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11 - D05 - Roraima Energia (Carrazza)\Estrutura\"/>
    </mc:Choice>
  </mc:AlternateContent>
  <xr:revisionPtr revIDLastSave="0" documentId="13_ncr:1_{51446F90-48E5-4C22-80C0-DB3C68F4A9E1}" xr6:coauthVersionLast="47" xr6:coauthVersionMax="47" xr10:uidLastSave="{00000000-0000-0000-0000-000000000000}"/>
  <bookViews>
    <workbookView xWindow="-120" yWindow="-120" windowWidth="20640" windowHeight="11160" firstSheet="9" activeTab="16" xr2:uid="{AFEDF552-711B-4827-A9E0-60B93E9BFE21}"/>
  </bookViews>
  <sheets>
    <sheet name="Mercado_Receita" sheetId="1" r:id="rId1"/>
    <sheet name="EVENTOS" sheetId="2" r:id="rId2"/>
    <sheet name="TAR FIN" sheetId="56" r:id="rId3"/>
    <sheet name="MERCADO TUSD" sheetId="3" r:id="rId4"/>
    <sheet name="MERCADO TE" sheetId="4" r:id="rId5"/>
    <sheet name="CUSTOS" sheetId="5" r:id="rId6"/>
    <sheet name="TRANSICAO" sheetId="55" r:id="rId7"/>
    <sheet name="TR TUSD" sheetId="47" r:id="rId8"/>
    <sheet name="TUSD BE" sheetId="48" r:id="rId9"/>
    <sheet name="TUSD BF" sheetId="49" r:id="rId10"/>
    <sheet name="TUSD CVA" sheetId="50" r:id="rId11"/>
    <sheet name="TR TE" sheetId="51" r:id="rId12"/>
    <sheet name="TE BE" sheetId="52" r:id="rId13"/>
    <sheet name="TE BF" sheetId="53" r:id="rId14"/>
    <sheet name="TE CVA" sheetId="54" r:id="rId15"/>
    <sheet name="EFEITO" sheetId="57" r:id="rId16"/>
    <sheet name="SUBSIDIO" sheetId="58" r:id="rId17"/>
    <sheet name="TabDinEfeito" sheetId="59" r:id="rId18"/>
    <sheet name="TabDinSubsidio" sheetId="60" r:id="rId19"/>
    <sheet name="TABELAS REH" sheetId="68" r:id="rId20"/>
    <sheet name="CONSISTENCIA" sheetId="61" r:id="rId21"/>
    <sheet name="TUSD" sheetId="63" r:id="rId22"/>
    <sheet name="TE" sheetId="64" r:id="rId23"/>
    <sheet name="RESUMO TUSD" sheetId="65" r:id="rId24"/>
    <sheet name="RESUMO TE" sheetId="66" r:id="rId25"/>
    <sheet name="Descontos" sheetId="20" r:id="rId26"/>
    <sheet name="ERD" sheetId="67" r:id="rId27"/>
    <sheet name="TA - Aplicação" sheetId="69" r:id="rId28"/>
    <sheet name="TA - BE" sheetId="70" r:id="rId29"/>
    <sheet name="TA - CVA" sheetId="71" r:id="rId30"/>
  </sheets>
  <definedNames>
    <definedName name="DadosExternos_1" localSheetId="27" hidden="1">'TA - Aplicação'!$B$3:$AT$50</definedName>
    <definedName name="DadosExternos_1" localSheetId="28" hidden="1">'TA - BE'!$B$3:$AT$50</definedName>
    <definedName name="DadosExternos_1" localSheetId="29" hidden="1">'TA - CVA'!$B$3:$AT$50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3" i="68" l="1"/>
  <c r="V32" i="68"/>
  <c r="V31" i="68"/>
  <c r="V30" i="68"/>
  <c r="V29" i="68"/>
  <c r="V28" i="68"/>
  <c r="V27" i="68"/>
  <c r="V26" i="68"/>
  <c r="V21" i="68"/>
  <c r="V16" i="68"/>
  <c r="V25" i="68"/>
  <c r="V20" i="68"/>
  <c r="V15" i="68"/>
  <c r="V24" i="68"/>
  <c r="V23" i="68"/>
  <c r="V22" i="68"/>
  <c r="V19" i="68"/>
  <c r="V18" i="68"/>
  <c r="V17" i="68"/>
  <c r="V14" i="68"/>
  <c r="V13" i="68"/>
  <c r="V12" i="68"/>
  <c r="V11" i="68"/>
  <c r="V9" i="68"/>
  <c r="V10" i="68"/>
  <c r="V8" i="68"/>
  <c r="V7" i="68"/>
  <c r="V6" i="68"/>
  <c r="V5" i="68"/>
  <c r="J11" i="68"/>
  <c r="J10" i="68"/>
  <c r="J6" i="68"/>
  <c r="J5" i="68"/>
  <c r="I3" i="67"/>
  <c r="I2" i="67" s="1"/>
  <c r="B2" i="67"/>
  <c r="C2" i="67"/>
  <c r="D2" i="67"/>
  <c r="E2" i="67"/>
  <c r="F2" i="67"/>
  <c r="G2" i="67"/>
  <c r="H2" i="67"/>
  <c r="J2" i="67"/>
  <c r="K2" i="67"/>
  <c r="L2" i="67"/>
  <c r="B11" i="67"/>
  <c r="L5" i="66" l="1"/>
  <c r="K5" i="66"/>
  <c r="J5" i="66"/>
  <c r="I5" i="66"/>
  <c r="H5" i="66"/>
  <c r="G5" i="66"/>
  <c r="F5" i="66"/>
  <c r="E5" i="66"/>
  <c r="D5" i="66"/>
  <c r="C5" i="66"/>
  <c r="B5" i="66"/>
  <c r="I2" i="66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C5" i="65"/>
  <c r="B5" i="65"/>
  <c r="I2" i="65"/>
  <c r="AE13" i="61"/>
  <c r="AD13" i="61"/>
  <c r="AC13" i="61"/>
  <c r="AB13" i="61"/>
  <c r="AA13" i="61"/>
  <c r="W13" i="61"/>
  <c r="V13" i="61"/>
  <c r="U13" i="61"/>
  <c r="T13" i="61"/>
  <c r="S13" i="61"/>
  <c r="Y13" i="61" s="1"/>
  <c r="AG13" i="61" s="1"/>
  <c r="R13" i="61"/>
  <c r="AE12" i="61"/>
  <c r="AD12" i="61"/>
  <c r="AE8" i="61"/>
  <c r="AD8" i="61"/>
  <c r="AC8" i="61"/>
  <c r="AB8" i="61"/>
  <c r="AA8" i="61"/>
  <c r="W8" i="61"/>
  <c r="V8" i="61"/>
  <c r="U8" i="61"/>
  <c r="AI8" i="61" s="1"/>
  <c r="T8" i="61"/>
  <c r="S8" i="61"/>
  <c r="Y8" i="61" s="1"/>
  <c r="R8" i="61"/>
  <c r="X8" i="61" s="1"/>
  <c r="AE6" i="61"/>
  <c r="AD6" i="61"/>
  <c r="AC6" i="61"/>
  <c r="AB6" i="61"/>
  <c r="AA6" i="61"/>
  <c r="W6" i="61"/>
  <c r="V6" i="61"/>
  <c r="U6" i="61"/>
  <c r="T6" i="61"/>
  <c r="S6" i="61"/>
  <c r="Y6" i="61" s="1"/>
  <c r="AG6" i="61" s="1"/>
  <c r="R6" i="61"/>
  <c r="X6" i="61" s="1"/>
  <c r="AE5" i="61"/>
  <c r="AD5" i="61"/>
  <c r="AC5" i="61"/>
  <c r="AB5" i="61"/>
  <c r="AA5" i="61"/>
  <c r="W5" i="61"/>
  <c r="V5" i="61"/>
  <c r="U5" i="61"/>
  <c r="T5" i="61"/>
  <c r="S5" i="61"/>
  <c r="R5" i="61"/>
  <c r="AE4" i="61"/>
  <c r="AD4" i="61"/>
  <c r="AC4" i="61"/>
  <c r="AB4" i="61"/>
  <c r="AA4" i="61"/>
  <c r="W4" i="61"/>
  <c r="V4" i="61"/>
  <c r="U4" i="61"/>
  <c r="T4" i="61"/>
  <c r="S4" i="61"/>
  <c r="R4" i="61"/>
  <c r="AE3" i="61"/>
  <c r="AD3" i="61"/>
  <c r="AC3" i="61"/>
  <c r="AB3" i="61"/>
  <c r="AA3" i="61"/>
  <c r="W3" i="61"/>
  <c r="V3" i="61"/>
  <c r="U3" i="61"/>
  <c r="T3" i="61"/>
  <c r="S3" i="61"/>
  <c r="R3" i="61"/>
  <c r="J1131" i="61"/>
  <c r="M1131" i="61" s="1"/>
  <c r="J1130" i="61"/>
  <c r="J1129" i="61"/>
  <c r="M1129" i="61" s="1"/>
  <c r="J1128" i="61"/>
  <c r="J1127" i="61"/>
  <c r="M1127" i="61" s="1"/>
  <c r="J1126" i="61"/>
  <c r="M1126" i="61" s="1"/>
  <c r="J1125" i="61"/>
  <c r="J1124" i="61"/>
  <c r="J1123" i="61"/>
  <c r="M1123" i="61" s="1"/>
  <c r="J1122" i="61"/>
  <c r="J1121" i="61"/>
  <c r="M1121" i="61" s="1"/>
  <c r="J1120" i="61"/>
  <c r="J1119" i="61"/>
  <c r="M1119" i="61" s="1"/>
  <c r="J1118" i="61"/>
  <c r="J1117" i="61"/>
  <c r="J1116" i="61"/>
  <c r="J1115" i="61"/>
  <c r="J1114" i="61"/>
  <c r="J1113" i="61"/>
  <c r="J1112" i="61"/>
  <c r="J640" i="61"/>
  <c r="M640" i="61" s="1"/>
  <c r="J639" i="61"/>
  <c r="J638" i="61"/>
  <c r="J637" i="61"/>
  <c r="J636" i="61"/>
  <c r="M636" i="61" s="1"/>
  <c r="J635" i="61"/>
  <c r="J634" i="61"/>
  <c r="J633" i="61"/>
  <c r="J632" i="61"/>
  <c r="M632" i="61" s="1"/>
  <c r="J631" i="61"/>
  <c r="J630" i="61"/>
  <c r="J629" i="61"/>
  <c r="L628" i="61"/>
  <c r="O628" i="61" s="1"/>
  <c r="K628" i="61"/>
  <c r="L627" i="61"/>
  <c r="K627" i="61"/>
  <c r="L626" i="61"/>
  <c r="O626" i="61" s="1"/>
  <c r="K626" i="61"/>
  <c r="L625" i="61"/>
  <c r="K625" i="61"/>
  <c r="L624" i="61"/>
  <c r="O624" i="61" s="1"/>
  <c r="K624" i="61"/>
  <c r="L623" i="61"/>
  <c r="K623" i="61"/>
  <c r="L622" i="61"/>
  <c r="O622" i="61" s="1"/>
  <c r="K622" i="61"/>
  <c r="L621" i="61"/>
  <c r="K621" i="61"/>
  <c r="L620" i="61"/>
  <c r="O620" i="61" s="1"/>
  <c r="K620" i="61"/>
  <c r="L619" i="61"/>
  <c r="K619" i="61"/>
  <c r="L618" i="61"/>
  <c r="O618" i="61" s="1"/>
  <c r="K618" i="61"/>
  <c r="L617" i="61"/>
  <c r="K617" i="61"/>
  <c r="L616" i="61"/>
  <c r="O616" i="61" s="1"/>
  <c r="K616" i="61"/>
  <c r="J615" i="61"/>
  <c r="J614" i="61"/>
  <c r="J613" i="61"/>
  <c r="M613" i="61" s="1"/>
  <c r="J612" i="61"/>
  <c r="J611" i="61"/>
  <c r="J610" i="61"/>
  <c r="J609" i="61"/>
  <c r="M609" i="61" s="1"/>
  <c r="J608" i="61"/>
  <c r="J607" i="61"/>
  <c r="J606" i="61"/>
  <c r="J605" i="61"/>
  <c r="M605" i="61" s="1"/>
  <c r="J604" i="61"/>
  <c r="J603" i="61"/>
  <c r="J602" i="61"/>
  <c r="J601" i="61"/>
  <c r="M601" i="61" s="1"/>
  <c r="J600" i="61"/>
  <c r="J599" i="61"/>
  <c r="J598" i="61"/>
  <c r="J597" i="61"/>
  <c r="M597" i="61" s="1"/>
  <c r="J596" i="61"/>
  <c r="J595" i="61"/>
  <c r="J594" i="61"/>
  <c r="J593" i="61"/>
  <c r="M593" i="61" s="1"/>
  <c r="J592" i="61"/>
  <c r="J591" i="61"/>
  <c r="J590" i="61"/>
  <c r="J589" i="61"/>
  <c r="M589" i="61" s="1"/>
  <c r="J588" i="61"/>
  <c r="J587" i="61"/>
  <c r="J586" i="61"/>
  <c r="L585" i="61"/>
  <c r="O585" i="61" s="1"/>
  <c r="K585" i="61"/>
  <c r="L584" i="61"/>
  <c r="K584" i="61"/>
  <c r="L583" i="61"/>
  <c r="O583" i="61" s="1"/>
  <c r="K583" i="61"/>
  <c r="L582" i="61"/>
  <c r="K582" i="61"/>
  <c r="L581" i="61"/>
  <c r="O581" i="61" s="1"/>
  <c r="K581" i="61"/>
  <c r="L580" i="61"/>
  <c r="K580" i="61"/>
  <c r="L579" i="61"/>
  <c r="O579" i="61" s="1"/>
  <c r="K579" i="61"/>
  <c r="L578" i="61"/>
  <c r="K578" i="61"/>
  <c r="L577" i="61"/>
  <c r="O577" i="61" s="1"/>
  <c r="K577" i="61"/>
  <c r="L576" i="61"/>
  <c r="K576" i="61"/>
  <c r="L575" i="61"/>
  <c r="O575" i="61" s="1"/>
  <c r="K575" i="61"/>
  <c r="L574" i="61"/>
  <c r="K574" i="61"/>
  <c r="L573" i="61"/>
  <c r="O573" i="61" s="1"/>
  <c r="K573" i="61"/>
  <c r="L572" i="61"/>
  <c r="K572" i="61"/>
  <c r="L571" i="61"/>
  <c r="O571" i="61" s="1"/>
  <c r="K571" i="61"/>
  <c r="L570" i="61"/>
  <c r="K570" i="61"/>
  <c r="L569" i="61"/>
  <c r="O569" i="61" s="1"/>
  <c r="K569" i="61"/>
  <c r="L568" i="61"/>
  <c r="K568" i="61"/>
  <c r="J567" i="61"/>
  <c r="M567" i="61" s="1"/>
  <c r="J566" i="61"/>
  <c r="J565" i="61"/>
  <c r="J564" i="61"/>
  <c r="J563" i="61"/>
  <c r="M563" i="61" s="1"/>
  <c r="J562" i="61"/>
  <c r="J561" i="61"/>
  <c r="J560" i="61"/>
  <c r="J559" i="61"/>
  <c r="M559" i="61" s="1"/>
  <c r="J558" i="61"/>
  <c r="J557" i="61"/>
  <c r="J556" i="61"/>
  <c r="J555" i="61"/>
  <c r="M555" i="61" s="1"/>
  <c r="J554" i="61"/>
  <c r="J553" i="61"/>
  <c r="J552" i="61"/>
  <c r="J551" i="61"/>
  <c r="M551" i="61" s="1"/>
  <c r="J550" i="61"/>
  <c r="J549" i="61"/>
  <c r="J548" i="61"/>
  <c r="J547" i="61"/>
  <c r="M547" i="61" s="1"/>
  <c r="J546" i="61"/>
  <c r="J545" i="61"/>
  <c r="J544" i="61"/>
  <c r="J543" i="61"/>
  <c r="M543" i="61" s="1"/>
  <c r="J542" i="61"/>
  <c r="J541" i="61"/>
  <c r="J540" i="61"/>
  <c r="J539" i="61"/>
  <c r="M539" i="61" s="1"/>
  <c r="J538" i="61"/>
  <c r="J537" i="61"/>
  <c r="J536" i="61"/>
  <c r="J535" i="61"/>
  <c r="M535" i="61" s="1"/>
  <c r="J534" i="61"/>
  <c r="L533" i="61"/>
  <c r="K533" i="61"/>
  <c r="L532" i="61"/>
  <c r="O532" i="61" s="1"/>
  <c r="K532" i="61"/>
  <c r="L531" i="61"/>
  <c r="K531" i="61"/>
  <c r="L530" i="61"/>
  <c r="O530" i="61" s="1"/>
  <c r="K530" i="61"/>
  <c r="L529" i="61"/>
  <c r="K529" i="61"/>
  <c r="L528" i="61"/>
  <c r="O528" i="61" s="1"/>
  <c r="K528" i="61"/>
  <c r="L527" i="61"/>
  <c r="K527" i="61"/>
  <c r="L526" i="61"/>
  <c r="O526" i="61" s="1"/>
  <c r="K526" i="61"/>
  <c r="L525" i="61"/>
  <c r="K525" i="61"/>
  <c r="L524" i="61"/>
  <c r="O524" i="61" s="1"/>
  <c r="K524" i="61"/>
  <c r="L523" i="61"/>
  <c r="K523" i="61"/>
  <c r="L522" i="61"/>
  <c r="O522" i="61" s="1"/>
  <c r="K522" i="61"/>
  <c r="L521" i="61"/>
  <c r="K521" i="61"/>
  <c r="L520" i="61"/>
  <c r="O520" i="61" s="1"/>
  <c r="K520" i="61"/>
  <c r="L519" i="61"/>
  <c r="K519" i="61"/>
  <c r="J518" i="61"/>
  <c r="M518" i="61" s="1"/>
  <c r="J517" i="61"/>
  <c r="J516" i="61"/>
  <c r="J515" i="61"/>
  <c r="J514" i="61"/>
  <c r="M514" i="61" s="1"/>
  <c r="J513" i="61"/>
  <c r="J512" i="61"/>
  <c r="J511" i="61"/>
  <c r="J510" i="61"/>
  <c r="M510" i="61" s="1"/>
  <c r="J509" i="61"/>
  <c r="J508" i="61"/>
  <c r="J507" i="61"/>
  <c r="J506" i="61"/>
  <c r="M506" i="61" s="1"/>
  <c r="J505" i="61"/>
  <c r="J504" i="61"/>
  <c r="J503" i="61"/>
  <c r="J502" i="61"/>
  <c r="M502" i="61" s="1"/>
  <c r="J501" i="61"/>
  <c r="J500" i="61"/>
  <c r="J499" i="61"/>
  <c r="J498" i="61"/>
  <c r="M498" i="61" s="1"/>
  <c r="J497" i="61"/>
  <c r="J496" i="61"/>
  <c r="J495" i="61"/>
  <c r="J494" i="61"/>
  <c r="M494" i="61" s="1"/>
  <c r="J493" i="61"/>
  <c r="J492" i="61"/>
  <c r="J491" i="61"/>
  <c r="J490" i="61"/>
  <c r="M490" i="61" s="1"/>
  <c r="J489" i="61"/>
  <c r="M1156" i="61"/>
  <c r="J1156" i="61"/>
  <c r="J1155" i="61"/>
  <c r="M1155" i="61" s="1"/>
  <c r="M1154" i="61"/>
  <c r="J1154" i="61"/>
  <c r="J1153" i="61"/>
  <c r="M1153" i="61" s="1"/>
  <c r="M1152" i="61"/>
  <c r="J1152" i="61"/>
  <c r="M1151" i="61"/>
  <c r="J1151" i="61"/>
  <c r="M1150" i="61"/>
  <c r="J1150" i="61"/>
  <c r="J1149" i="61"/>
  <c r="M1149" i="61" s="1"/>
  <c r="J1148" i="61"/>
  <c r="M1148" i="61" s="1"/>
  <c r="J1147" i="61"/>
  <c r="M1147" i="61" s="1"/>
  <c r="M1146" i="61"/>
  <c r="J1146" i="61"/>
  <c r="M1145" i="61"/>
  <c r="J1145" i="61"/>
  <c r="J1144" i="61"/>
  <c r="M1144" i="61" s="1"/>
  <c r="J1143" i="61"/>
  <c r="M1143" i="61" s="1"/>
  <c r="J1142" i="61"/>
  <c r="M1142" i="61" s="1"/>
  <c r="J1141" i="61"/>
  <c r="M1141" i="61" s="1"/>
  <c r="J1140" i="61"/>
  <c r="M1140" i="61" s="1"/>
  <c r="J1139" i="61"/>
  <c r="M1139" i="61" s="1"/>
  <c r="J1138" i="61"/>
  <c r="M1138" i="61" s="1"/>
  <c r="J1137" i="61"/>
  <c r="M1137" i="61" s="1"/>
  <c r="M1136" i="61"/>
  <c r="J1136" i="61"/>
  <c r="M1135" i="61"/>
  <c r="J1135" i="61"/>
  <c r="M1134" i="61"/>
  <c r="J1134" i="61"/>
  <c r="J1133" i="61"/>
  <c r="M1133" i="61" s="1"/>
  <c r="J1132" i="61"/>
  <c r="M1132" i="61" s="1"/>
  <c r="M1130" i="61"/>
  <c r="M1128" i="61"/>
  <c r="M1125" i="61"/>
  <c r="M1124" i="61"/>
  <c r="M1122" i="61"/>
  <c r="M1120" i="61"/>
  <c r="M1118" i="61"/>
  <c r="M1117" i="61"/>
  <c r="M1116" i="61"/>
  <c r="M1115" i="61"/>
  <c r="M1114" i="61"/>
  <c r="M1113" i="61"/>
  <c r="M1112" i="61"/>
  <c r="J1111" i="61"/>
  <c r="M1111" i="61" s="1"/>
  <c r="J1110" i="61"/>
  <c r="M1110" i="61" s="1"/>
  <c r="J1109" i="61"/>
  <c r="M1109" i="61" s="1"/>
  <c r="J1108" i="61"/>
  <c r="M1108" i="61" s="1"/>
  <c r="J1107" i="61"/>
  <c r="M1107" i="61" s="1"/>
  <c r="J1106" i="61"/>
  <c r="M1106" i="61" s="1"/>
  <c r="J1105" i="61"/>
  <c r="M1105" i="61" s="1"/>
  <c r="J1104" i="61"/>
  <c r="M1104" i="61" s="1"/>
  <c r="J1103" i="61"/>
  <c r="M1103" i="61" s="1"/>
  <c r="J1102" i="61"/>
  <c r="M1102" i="61" s="1"/>
  <c r="M1101" i="61"/>
  <c r="J1101" i="61"/>
  <c r="J1100" i="61"/>
  <c r="M1100" i="61" s="1"/>
  <c r="J1099" i="61"/>
  <c r="M1099" i="61" s="1"/>
  <c r="J1098" i="61"/>
  <c r="M1098" i="61" s="1"/>
  <c r="M1097" i="61"/>
  <c r="J1097" i="61"/>
  <c r="J1096" i="61"/>
  <c r="M1096" i="61" s="1"/>
  <c r="J1095" i="61"/>
  <c r="M1095" i="61" s="1"/>
  <c r="J1094" i="61"/>
  <c r="M1094" i="61" s="1"/>
  <c r="J1093" i="61"/>
  <c r="M1093" i="61" s="1"/>
  <c r="J1092" i="61"/>
  <c r="M1092" i="61" s="1"/>
  <c r="J1091" i="61"/>
  <c r="M1091" i="61" s="1"/>
  <c r="J1090" i="61"/>
  <c r="M1090" i="61" s="1"/>
  <c r="J1089" i="61"/>
  <c r="M1089" i="61" s="1"/>
  <c r="J1088" i="61"/>
  <c r="M1088" i="61" s="1"/>
  <c r="J1087" i="61"/>
  <c r="M1087" i="61" s="1"/>
  <c r="J1086" i="61"/>
  <c r="M1086" i="61" s="1"/>
  <c r="M1085" i="61"/>
  <c r="J1085" i="61"/>
  <c r="J1084" i="61"/>
  <c r="M1084" i="61" s="1"/>
  <c r="J1083" i="61"/>
  <c r="M1083" i="61" s="1"/>
  <c r="M1082" i="61"/>
  <c r="J1082" i="61"/>
  <c r="J1081" i="61"/>
  <c r="M1081" i="61" s="1"/>
  <c r="J1080" i="61"/>
  <c r="M1080" i="61" s="1"/>
  <c r="J1079" i="61"/>
  <c r="M1079" i="61" s="1"/>
  <c r="J1078" i="61"/>
  <c r="M1078" i="61" s="1"/>
  <c r="J1077" i="61"/>
  <c r="M1077" i="61" s="1"/>
  <c r="M1076" i="61"/>
  <c r="J1076" i="61"/>
  <c r="J1075" i="61"/>
  <c r="M1075" i="61" s="1"/>
  <c r="J1074" i="61"/>
  <c r="M1074" i="61" s="1"/>
  <c r="J1073" i="61"/>
  <c r="M1073" i="61" s="1"/>
  <c r="J1072" i="61"/>
  <c r="M1072" i="61" s="1"/>
  <c r="J1071" i="61"/>
  <c r="M1071" i="61" s="1"/>
  <c r="J1070" i="61"/>
  <c r="M1070" i="61" s="1"/>
  <c r="M1069" i="61"/>
  <c r="J1069" i="61"/>
  <c r="J1068" i="61"/>
  <c r="M1068" i="61" s="1"/>
  <c r="J1067" i="61"/>
  <c r="M1067" i="61" s="1"/>
  <c r="J1066" i="61"/>
  <c r="M1066" i="61" s="1"/>
  <c r="M1065" i="61"/>
  <c r="J1065" i="61"/>
  <c r="M1064" i="61"/>
  <c r="J1064" i="61"/>
  <c r="J1063" i="61"/>
  <c r="M1063" i="61" s="1"/>
  <c r="J1062" i="61"/>
  <c r="M1062" i="61" s="1"/>
  <c r="M1061" i="61"/>
  <c r="J1061" i="61"/>
  <c r="J1060" i="61"/>
  <c r="M1060" i="61" s="1"/>
  <c r="J1059" i="61"/>
  <c r="M1059" i="61" s="1"/>
  <c r="J1058" i="61"/>
  <c r="M1058" i="61" s="1"/>
  <c r="J1057" i="61"/>
  <c r="M1057" i="61" s="1"/>
  <c r="M1056" i="61"/>
  <c r="J1056" i="61"/>
  <c r="J1055" i="61"/>
  <c r="M1055" i="61" s="1"/>
  <c r="J1054" i="61"/>
  <c r="M1054" i="61" s="1"/>
  <c r="M1053" i="61"/>
  <c r="J1053" i="61"/>
  <c r="J1052" i="61"/>
  <c r="M1052" i="61" s="1"/>
  <c r="J1051" i="61"/>
  <c r="M1051" i="61" s="1"/>
  <c r="J1050" i="61"/>
  <c r="M1050" i="61" s="1"/>
  <c r="M1049" i="61"/>
  <c r="J1049" i="61"/>
  <c r="J1048" i="61"/>
  <c r="M1048" i="61" s="1"/>
  <c r="M1047" i="61"/>
  <c r="J1047" i="61"/>
  <c r="J1046" i="61"/>
  <c r="M1046" i="61" s="1"/>
  <c r="M1045" i="61"/>
  <c r="J1045" i="61"/>
  <c r="M1044" i="61"/>
  <c r="J1044" i="61"/>
  <c r="J1043" i="61"/>
  <c r="M1043" i="61" s="1"/>
  <c r="J1042" i="61"/>
  <c r="M1042" i="61" s="1"/>
  <c r="J1041" i="61"/>
  <c r="M1041" i="61" s="1"/>
  <c r="J1040" i="61"/>
  <c r="M1040" i="61" s="1"/>
  <c r="J1039" i="61"/>
  <c r="M1039" i="61" s="1"/>
  <c r="J1038" i="61"/>
  <c r="M1038" i="61" s="1"/>
  <c r="M1037" i="61"/>
  <c r="J1037" i="61"/>
  <c r="J1036" i="61"/>
  <c r="M1036" i="61" s="1"/>
  <c r="J1035" i="61"/>
  <c r="M1035" i="61" s="1"/>
  <c r="J1034" i="61"/>
  <c r="M1034" i="61" s="1"/>
  <c r="M1033" i="61"/>
  <c r="J1033" i="61"/>
  <c r="M1032" i="61"/>
  <c r="J1032" i="61"/>
  <c r="J1031" i="61"/>
  <c r="M1031" i="61" s="1"/>
  <c r="J1030" i="61"/>
  <c r="M1030" i="61" s="1"/>
  <c r="M1029" i="61"/>
  <c r="J1029" i="61"/>
  <c r="M1028" i="61"/>
  <c r="J1028" i="61"/>
  <c r="J1027" i="61"/>
  <c r="M1027" i="61" s="1"/>
  <c r="J1026" i="61"/>
  <c r="M1026" i="61" s="1"/>
  <c r="J1025" i="61"/>
  <c r="M1025" i="61" s="1"/>
  <c r="M1024" i="61"/>
  <c r="J1024" i="61"/>
  <c r="J1023" i="61"/>
  <c r="M1023" i="61" s="1"/>
  <c r="J1022" i="61"/>
  <c r="M1022" i="61" s="1"/>
  <c r="M1021" i="61"/>
  <c r="J1021" i="61"/>
  <c r="J1020" i="61"/>
  <c r="M1020" i="61" s="1"/>
  <c r="J1019" i="61"/>
  <c r="M1019" i="61" s="1"/>
  <c r="J1018" i="61"/>
  <c r="M1018" i="61" s="1"/>
  <c r="M1017" i="61"/>
  <c r="J1017" i="61"/>
  <c r="M1016" i="61"/>
  <c r="J1016" i="61"/>
  <c r="J1015" i="61"/>
  <c r="M1015" i="61" s="1"/>
  <c r="J1014" i="61"/>
  <c r="M1014" i="61" s="1"/>
  <c r="M1013" i="61"/>
  <c r="J1013" i="61"/>
  <c r="M1012" i="61"/>
  <c r="J1012" i="61"/>
  <c r="J1011" i="61"/>
  <c r="M1011" i="61" s="1"/>
  <c r="J1010" i="61"/>
  <c r="M1010" i="61" s="1"/>
  <c r="J1009" i="61"/>
  <c r="M1009" i="61" s="1"/>
  <c r="M1008" i="61"/>
  <c r="J1008" i="61"/>
  <c r="J1007" i="61"/>
  <c r="M1007" i="61" s="1"/>
  <c r="J1006" i="61"/>
  <c r="M1006" i="61" s="1"/>
  <c r="M1005" i="61"/>
  <c r="J1005" i="61"/>
  <c r="J1004" i="61"/>
  <c r="M1004" i="61" s="1"/>
  <c r="J1003" i="61"/>
  <c r="M1003" i="61" s="1"/>
  <c r="J1002" i="61"/>
  <c r="M1002" i="61" s="1"/>
  <c r="M1001" i="61"/>
  <c r="J1001" i="61"/>
  <c r="M1000" i="61"/>
  <c r="J1000" i="61"/>
  <c r="J999" i="61"/>
  <c r="M999" i="61" s="1"/>
  <c r="J998" i="61"/>
  <c r="M998" i="61" s="1"/>
  <c r="M997" i="61"/>
  <c r="J997" i="61"/>
  <c r="M996" i="61"/>
  <c r="J996" i="61"/>
  <c r="J995" i="61"/>
  <c r="M995" i="61" s="1"/>
  <c r="J994" i="61"/>
  <c r="M994" i="61" s="1"/>
  <c r="J993" i="61"/>
  <c r="M993" i="61" s="1"/>
  <c r="M992" i="61"/>
  <c r="J992" i="61"/>
  <c r="J991" i="61"/>
  <c r="M991" i="61" s="1"/>
  <c r="J990" i="61"/>
  <c r="M990" i="61" s="1"/>
  <c r="M989" i="61"/>
  <c r="J989" i="61"/>
  <c r="J988" i="61"/>
  <c r="M988" i="61" s="1"/>
  <c r="J987" i="61"/>
  <c r="M987" i="61" s="1"/>
  <c r="J986" i="61"/>
  <c r="M986" i="61" s="1"/>
  <c r="M985" i="61"/>
  <c r="J985" i="61"/>
  <c r="M984" i="61"/>
  <c r="J984" i="61"/>
  <c r="J983" i="61"/>
  <c r="M983" i="61" s="1"/>
  <c r="J982" i="61"/>
  <c r="M982" i="61" s="1"/>
  <c r="M981" i="61"/>
  <c r="J981" i="61"/>
  <c r="M980" i="61"/>
  <c r="J980" i="61"/>
  <c r="J979" i="61"/>
  <c r="M979" i="61" s="1"/>
  <c r="J978" i="61"/>
  <c r="M978" i="61" s="1"/>
  <c r="J977" i="61"/>
  <c r="M977" i="61" s="1"/>
  <c r="M976" i="61"/>
  <c r="J976" i="61"/>
  <c r="J975" i="61"/>
  <c r="M975" i="61" s="1"/>
  <c r="J974" i="61"/>
  <c r="M974" i="61" s="1"/>
  <c r="M973" i="61"/>
  <c r="J973" i="61"/>
  <c r="J972" i="61"/>
  <c r="M972" i="61" s="1"/>
  <c r="J971" i="61"/>
  <c r="M971" i="61" s="1"/>
  <c r="J970" i="61"/>
  <c r="M970" i="61" s="1"/>
  <c r="M969" i="61"/>
  <c r="J969" i="61"/>
  <c r="M968" i="61"/>
  <c r="J968" i="61"/>
  <c r="J967" i="61"/>
  <c r="M967" i="61" s="1"/>
  <c r="J966" i="61"/>
  <c r="M966" i="61" s="1"/>
  <c r="J965" i="61"/>
  <c r="M965" i="61" s="1"/>
  <c r="J964" i="61"/>
  <c r="M964" i="61" s="1"/>
  <c r="J963" i="61"/>
  <c r="M963" i="61" s="1"/>
  <c r="J962" i="61"/>
  <c r="M962" i="61" s="1"/>
  <c r="J961" i="61"/>
  <c r="M961" i="61" s="1"/>
  <c r="J960" i="61"/>
  <c r="M960" i="61" s="1"/>
  <c r="J959" i="61"/>
  <c r="M959" i="61" s="1"/>
  <c r="J958" i="61"/>
  <c r="M958" i="61" s="1"/>
  <c r="J957" i="61"/>
  <c r="M957" i="61" s="1"/>
  <c r="J956" i="61"/>
  <c r="M956" i="61" s="1"/>
  <c r="J955" i="61"/>
  <c r="M955" i="61" s="1"/>
  <c r="J954" i="61"/>
  <c r="M954" i="61" s="1"/>
  <c r="J953" i="61"/>
  <c r="M953" i="61" s="1"/>
  <c r="M952" i="61"/>
  <c r="J952" i="61"/>
  <c r="J951" i="61"/>
  <c r="M951" i="61" s="1"/>
  <c r="J950" i="61"/>
  <c r="M950" i="61" s="1"/>
  <c r="J949" i="61"/>
  <c r="M949" i="61" s="1"/>
  <c r="M948" i="61"/>
  <c r="J948" i="61"/>
  <c r="J947" i="61"/>
  <c r="M947" i="61" s="1"/>
  <c r="J946" i="61"/>
  <c r="M946" i="61" s="1"/>
  <c r="J945" i="61"/>
  <c r="M945" i="61" s="1"/>
  <c r="J944" i="61"/>
  <c r="M944" i="61" s="1"/>
  <c r="J943" i="61"/>
  <c r="M943" i="61" s="1"/>
  <c r="J942" i="61"/>
  <c r="M942" i="61" s="1"/>
  <c r="J941" i="61"/>
  <c r="M941" i="61" s="1"/>
  <c r="J940" i="61"/>
  <c r="M940" i="61" s="1"/>
  <c r="J939" i="61"/>
  <c r="M939" i="61" s="1"/>
  <c r="J938" i="61"/>
  <c r="M938" i="61" s="1"/>
  <c r="J937" i="61"/>
  <c r="M937" i="61" s="1"/>
  <c r="M936" i="61"/>
  <c r="J936" i="61"/>
  <c r="J935" i="61"/>
  <c r="M935" i="61" s="1"/>
  <c r="J934" i="61"/>
  <c r="J933" i="61"/>
  <c r="M933" i="61" s="1"/>
  <c r="M932" i="61"/>
  <c r="J932" i="61"/>
  <c r="J931" i="61"/>
  <c r="M931" i="61" s="1"/>
  <c r="J930" i="61"/>
  <c r="M930" i="61" s="1"/>
  <c r="J929" i="61"/>
  <c r="M929" i="61" s="1"/>
  <c r="J928" i="61"/>
  <c r="M928" i="61" s="1"/>
  <c r="J927" i="61"/>
  <c r="M927" i="61" s="1"/>
  <c r="J926" i="61"/>
  <c r="M926" i="61" s="1"/>
  <c r="J925" i="61"/>
  <c r="M925" i="61" s="1"/>
  <c r="J924" i="61"/>
  <c r="M924" i="61" s="1"/>
  <c r="J923" i="61"/>
  <c r="M923" i="61" s="1"/>
  <c r="J922" i="61"/>
  <c r="M922" i="61" s="1"/>
  <c r="J921" i="61"/>
  <c r="M921" i="61" s="1"/>
  <c r="J920" i="61"/>
  <c r="M920" i="61" s="1"/>
  <c r="J919" i="61"/>
  <c r="M919" i="61" s="1"/>
  <c r="J918" i="61"/>
  <c r="M918" i="61" s="1"/>
  <c r="J917" i="61"/>
  <c r="M917" i="61" s="1"/>
  <c r="J916" i="61"/>
  <c r="M916" i="61" s="1"/>
  <c r="J915" i="61"/>
  <c r="M915" i="61" s="1"/>
  <c r="J914" i="61"/>
  <c r="M914" i="61" s="1"/>
  <c r="J913" i="61"/>
  <c r="M913" i="61" s="1"/>
  <c r="J912" i="61"/>
  <c r="M912" i="61" s="1"/>
  <c r="J911" i="61"/>
  <c r="M911" i="61" s="1"/>
  <c r="J910" i="61"/>
  <c r="M910" i="61" s="1"/>
  <c r="J909" i="61"/>
  <c r="M909" i="61" s="1"/>
  <c r="J908" i="61"/>
  <c r="M908" i="61" s="1"/>
  <c r="J907" i="61"/>
  <c r="M907" i="61" s="1"/>
  <c r="J906" i="61"/>
  <c r="M906" i="61" s="1"/>
  <c r="J905" i="61"/>
  <c r="M905" i="61" s="1"/>
  <c r="M904" i="61"/>
  <c r="J904" i="61"/>
  <c r="J903" i="61"/>
  <c r="M903" i="61" s="1"/>
  <c r="J902" i="61"/>
  <c r="M902" i="61" s="1"/>
  <c r="J901" i="61"/>
  <c r="M901" i="61" s="1"/>
  <c r="J900" i="61"/>
  <c r="M900" i="61" s="1"/>
  <c r="J899" i="61"/>
  <c r="M899" i="61" s="1"/>
  <c r="J898" i="61"/>
  <c r="M898" i="61" s="1"/>
  <c r="J897" i="61"/>
  <c r="M897" i="61" s="1"/>
  <c r="J896" i="61"/>
  <c r="M896" i="61" s="1"/>
  <c r="J895" i="61"/>
  <c r="M895" i="61" s="1"/>
  <c r="J894" i="61"/>
  <c r="M894" i="61" s="1"/>
  <c r="J893" i="61"/>
  <c r="M893" i="61" s="1"/>
  <c r="J892" i="61"/>
  <c r="M892" i="61" s="1"/>
  <c r="J891" i="61"/>
  <c r="M891" i="61" s="1"/>
  <c r="J890" i="61"/>
  <c r="M890" i="61" s="1"/>
  <c r="J889" i="61"/>
  <c r="M889" i="61" s="1"/>
  <c r="J888" i="61"/>
  <c r="M888" i="61" s="1"/>
  <c r="J887" i="61"/>
  <c r="M887" i="61" s="1"/>
  <c r="J886" i="61"/>
  <c r="M886" i="61" s="1"/>
  <c r="J885" i="61"/>
  <c r="M885" i="61" s="1"/>
  <c r="J884" i="61"/>
  <c r="M884" i="61" s="1"/>
  <c r="J883" i="61"/>
  <c r="M883" i="61" s="1"/>
  <c r="J882" i="61"/>
  <c r="M882" i="61" s="1"/>
  <c r="J881" i="61"/>
  <c r="M881" i="61" s="1"/>
  <c r="J880" i="61"/>
  <c r="M880" i="61" s="1"/>
  <c r="J879" i="61"/>
  <c r="M879" i="61" s="1"/>
  <c r="J878" i="61"/>
  <c r="M878" i="61" s="1"/>
  <c r="J877" i="61"/>
  <c r="M877" i="61" s="1"/>
  <c r="J876" i="61"/>
  <c r="M876" i="61" s="1"/>
  <c r="J875" i="61"/>
  <c r="M875" i="61" s="1"/>
  <c r="J874" i="61"/>
  <c r="M874" i="61" s="1"/>
  <c r="J873" i="61"/>
  <c r="M873" i="61" s="1"/>
  <c r="J872" i="61"/>
  <c r="M872" i="61" s="1"/>
  <c r="M871" i="61"/>
  <c r="J871" i="61"/>
  <c r="J870" i="61"/>
  <c r="M870" i="61" s="1"/>
  <c r="J869" i="61"/>
  <c r="M869" i="61" s="1"/>
  <c r="J868" i="61"/>
  <c r="M868" i="61" s="1"/>
  <c r="J867" i="61"/>
  <c r="M867" i="61" s="1"/>
  <c r="J866" i="61"/>
  <c r="M866" i="61" s="1"/>
  <c r="J865" i="61"/>
  <c r="M865" i="61" s="1"/>
  <c r="J864" i="61"/>
  <c r="M864" i="61" s="1"/>
  <c r="J863" i="61"/>
  <c r="M863" i="61" s="1"/>
  <c r="M862" i="61"/>
  <c r="J862" i="61"/>
  <c r="J840" i="61"/>
  <c r="M840" i="61" s="1"/>
  <c r="J839" i="61"/>
  <c r="M839" i="61" s="1"/>
  <c r="J838" i="61"/>
  <c r="M838" i="61" s="1"/>
  <c r="J837" i="61"/>
  <c r="M837" i="61" s="1"/>
  <c r="J836" i="61"/>
  <c r="M836" i="61" s="1"/>
  <c r="J835" i="61"/>
  <c r="M835" i="61" s="1"/>
  <c r="J834" i="61"/>
  <c r="M834" i="61" s="1"/>
  <c r="J833" i="61"/>
  <c r="M833" i="61" s="1"/>
  <c r="J832" i="61"/>
  <c r="M832" i="61" s="1"/>
  <c r="J831" i="61"/>
  <c r="M831" i="61" s="1"/>
  <c r="J830" i="61"/>
  <c r="M830" i="61" s="1"/>
  <c r="J829" i="61"/>
  <c r="M829" i="61" s="1"/>
  <c r="J828" i="61"/>
  <c r="M828" i="61" s="1"/>
  <c r="J827" i="61"/>
  <c r="M827" i="61" s="1"/>
  <c r="J826" i="61"/>
  <c r="M826" i="61" s="1"/>
  <c r="J825" i="61"/>
  <c r="M825" i="61" s="1"/>
  <c r="J824" i="61"/>
  <c r="M824" i="61" s="1"/>
  <c r="J823" i="61"/>
  <c r="M823" i="61" s="1"/>
  <c r="J822" i="61"/>
  <c r="M822" i="61" s="1"/>
  <c r="J821" i="61"/>
  <c r="M821" i="61" s="1"/>
  <c r="J820" i="61"/>
  <c r="M820" i="61" s="1"/>
  <c r="J819" i="61"/>
  <c r="M819" i="61" s="1"/>
  <c r="J818" i="61"/>
  <c r="M818" i="61" s="1"/>
  <c r="J817" i="61"/>
  <c r="M817" i="61" s="1"/>
  <c r="J816" i="61"/>
  <c r="M816" i="61" s="1"/>
  <c r="J815" i="61"/>
  <c r="M815" i="61" s="1"/>
  <c r="J814" i="61"/>
  <c r="M814" i="61" s="1"/>
  <c r="J813" i="61"/>
  <c r="M813" i="61" s="1"/>
  <c r="J812" i="61"/>
  <c r="M812" i="61" s="1"/>
  <c r="J811" i="61"/>
  <c r="M811" i="61" s="1"/>
  <c r="J810" i="61"/>
  <c r="M810" i="61" s="1"/>
  <c r="J809" i="61"/>
  <c r="M809" i="61" s="1"/>
  <c r="J808" i="61"/>
  <c r="M808" i="61" s="1"/>
  <c r="J807" i="61"/>
  <c r="M807" i="61" s="1"/>
  <c r="J806" i="61"/>
  <c r="M806" i="61" s="1"/>
  <c r="J805" i="61"/>
  <c r="M805" i="61" s="1"/>
  <c r="J804" i="61"/>
  <c r="M804" i="61" s="1"/>
  <c r="J803" i="61"/>
  <c r="M803" i="61" s="1"/>
  <c r="J802" i="61"/>
  <c r="M802" i="61" s="1"/>
  <c r="J801" i="61"/>
  <c r="M801" i="61" s="1"/>
  <c r="J800" i="61"/>
  <c r="M800" i="61" s="1"/>
  <c r="J799" i="61"/>
  <c r="M799" i="61" s="1"/>
  <c r="J798" i="61"/>
  <c r="M798" i="61" s="1"/>
  <c r="J797" i="61"/>
  <c r="M797" i="61" s="1"/>
  <c r="J796" i="61"/>
  <c r="M796" i="61" s="1"/>
  <c r="J795" i="61"/>
  <c r="M795" i="61" s="1"/>
  <c r="J794" i="61"/>
  <c r="M794" i="61" s="1"/>
  <c r="J793" i="61"/>
  <c r="M793" i="61" s="1"/>
  <c r="J792" i="61"/>
  <c r="M792" i="61" s="1"/>
  <c r="J791" i="61"/>
  <c r="M791" i="61" s="1"/>
  <c r="J790" i="61"/>
  <c r="M790" i="61" s="1"/>
  <c r="J789" i="61"/>
  <c r="M789" i="61" s="1"/>
  <c r="J788" i="61"/>
  <c r="M788" i="61" s="1"/>
  <c r="J787" i="61"/>
  <c r="M787" i="61" s="1"/>
  <c r="J786" i="61"/>
  <c r="M786" i="61" s="1"/>
  <c r="J785" i="61"/>
  <c r="M785" i="61" s="1"/>
  <c r="J784" i="61"/>
  <c r="M784" i="61" s="1"/>
  <c r="M783" i="61"/>
  <c r="J783" i="61"/>
  <c r="J782" i="61"/>
  <c r="M782" i="61" s="1"/>
  <c r="J781" i="61"/>
  <c r="M781" i="61" s="1"/>
  <c r="J780" i="61"/>
  <c r="M780" i="61" s="1"/>
  <c r="M779" i="61"/>
  <c r="J779" i="61"/>
  <c r="J778" i="61"/>
  <c r="M778" i="61" s="1"/>
  <c r="J777" i="61"/>
  <c r="M777" i="61" s="1"/>
  <c r="J776" i="61"/>
  <c r="M776" i="61" s="1"/>
  <c r="M775" i="61"/>
  <c r="J775" i="61"/>
  <c r="J774" i="61"/>
  <c r="M774" i="61" s="1"/>
  <c r="J773" i="61"/>
  <c r="M773" i="61" s="1"/>
  <c r="J772" i="61"/>
  <c r="M772" i="61" s="1"/>
  <c r="J771" i="61"/>
  <c r="M771" i="61" s="1"/>
  <c r="J770" i="61"/>
  <c r="M770" i="61" s="1"/>
  <c r="J769" i="61"/>
  <c r="M769" i="61" s="1"/>
  <c r="J768" i="61"/>
  <c r="M768" i="61" s="1"/>
  <c r="J767" i="61"/>
  <c r="M767" i="61" s="1"/>
  <c r="J766" i="61"/>
  <c r="M766" i="61" s="1"/>
  <c r="J765" i="61"/>
  <c r="M765" i="61" s="1"/>
  <c r="J764" i="61"/>
  <c r="M764" i="61" s="1"/>
  <c r="J763" i="61"/>
  <c r="M763" i="61" s="1"/>
  <c r="J762" i="61"/>
  <c r="M762" i="61" s="1"/>
  <c r="M761" i="61"/>
  <c r="J761" i="61"/>
  <c r="J760" i="61"/>
  <c r="M760" i="61" s="1"/>
  <c r="J759" i="61"/>
  <c r="M759" i="61" s="1"/>
  <c r="J758" i="61"/>
  <c r="M758" i="61" s="1"/>
  <c r="M757" i="61"/>
  <c r="J757" i="61"/>
  <c r="J756" i="61"/>
  <c r="M756" i="61" s="1"/>
  <c r="M755" i="61"/>
  <c r="J755" i="61"/>
  <c r="J754" i="61"/>
  <c r="M754" i="61" s="1"/>
  <c r="M753" i="61"/>
  <c r="J753" i="61"/>
  <c r="J752" i="61"/>
  <c r="M752" i="61" s="1"/>
  <c r="J751" i="61"/>
  <c r="M751" i="61" s="1"/>
  <c r="J750" i="61"/>
  <c r="M750" i="61" s="1"/>
  <c r="J749" i="61"/>
  <c r="M749" i="61" s="1"/>
  <c r="J748" i="61"/>
  <c r="M748" i="61" s="1"/>
  <c r="J747" i="61"/>
  <c r="M747" i="61" s="1"/>
  <c r="J746" i="61"/>
  <c r="M746" i="61" s="1"/>
  <c r="M745" i="61"/>
  <c r="J745" i="61"/>
  <c r="J744" i="61"/>
  <c r="M744" i="61" s="1"/>
  <c r="J743" i="61"/>
  <c r="M743" i="61" s="1"/>
  <c r="M742" i="61"/>
  <c r="J742" i="61"/>
  <c r="J741" i="61"/>
  <c r="M741" i="61" s="1"/>
  <c r="J740" i="61"/>
  <c r="M740" i="61" s="1"/>
  <c r="J739" i="61"/>
  <c r="M739" i="61" s="1"/>
  <c r="J738" i="61"/>
  <c r="M738" i="61" s="1"/>
  <c r="J737" i="61"/>
  <c r="M737" i="61" s="1"/>
  <c r="J736" i="61"/>
  <c r="M736" i="61" s="1"/>
  <c r="J735" i="61"/>
  <c r="M735" i="61" s="1"/>
  <c r="M734" i="61"/>
  <c r="J734" i="61"/>
  <c r="J733" i="61"/>
  <c r="M733" i="61" s="1"/>
  <c r="J732" i="61"/>
  <c r="M732" i="61" s="1"/>
  <c r="J731" i="61"/>
  <c r="M731" i="61" s="1"/>
  <c r="M730" i="61"/>
  <c r="J730" i="61"/>
  <c r="J729" i="61"/>
  <c r="M729" i="61" s="1"/>
  <c r="M728" i="61"/>
  <c r="J728" i="61"/>
  <c r="J727" i="61"/>
  <c r="M727" i="61" s="1"/>
  <c r="M726" i="61"/>
  <c r="J726" i="61"/>
  <c r="J725" i="61"/>
  <c r="M725" i="61" s="1"/>
  <c r="J724" i="61"/>
  <c r="M724" i="61" s="1"/>
  <c r="J723" i="61"/>
  <c r="M723" i="61" s="1"/>
  <c r="J722" i="61"/>
  <c r="M722" i="61" s="1"/>
  <c r="J721" i="61"/>
  <c r="M721" i="61" s="1"/>
  <c r="J720" i="61"/>
  <c r="M720" i="61" s="1"/>
  <c r="J719" i="61"/>
  <c r="M719" i="61" s="1"/>
  <c r="M718" i="61"/>
  <c r="J718" i="61"/>
  <c r="J717" i="61"/>
  <c r="M717" i="61" s="1"/>
  <c r="J716" i="61"/>
  <c r="M716" i="61" s="1"/>
  <c r="J715" i="61"/>
  <c r="M715" i="61" s="1"/>
  <c r="M714" i="61"/>
  <c r="J714" i="61"/>
  <c r="J713" i="61"/>
  <c r="M713" i="61" s="1"/>
  <c r="M712" i="61"/>
  <c r="J712" i="61"/>
  <c r="J711" i="61"/>
  <c r="M711" i="61" s="1"/>
  <c r="M710" i="61"/>
  <c r="J710" i="61"/>
  <c r="J709" i="61"/>
  <c r="M709" i="61" s="1"/>
  <c r="J708" i="61"/>
  <c r="M708" i="61" s="1"/>
  <c r="J707" i="61"/>
  <c r="M707" i="61" s="1"/>
  <c r="J706" i="61"/>
  <c r="M706" i="61" s="1"/>
  <c r="J705" i="61"/>
  <c r="M705" i="61" s="1"/>
  <c r="J704" i="61"/>
  <c r="M704" i="61" s="1"/>
  <c r="J703" i="61"/>
  <c r="M703" i="61" s="1"/>
  <c r="M702" i="61"/>
  <c r="J702" i="61"/>
  <c r="J701" i="61"/>
  <c r="M701" i="61" s="1"/>
  <c r="J700" i="61"/>
  <c r="M700" i="61" s="1"/>
  <c r="J699" i="61"/>
  <c r="M699" i="61" s="1"/>
  <c r="M698" i="61"/>
  <c r="J698" i="61"/>
  <c r="J697" i="61"/>
  <c r="M697" i="61" s="1"/>
  <c r="M696" i="61"/>
  <c r="J696" i="61"/>
  <c r="J695" i="61"/>
  <c r="M695" i="61" s="1"/>
  <c r="M694" i="61"/>
  <c r="J694" i="61"/>
  <c r="J693" i="61"/>
  <c r="M693" i="61" s="1"/>
  <c r="J692" i="61"/>
  <c r="M692" i="61" s="1"/>
  <c r="J691" i="61"/>
  <c r="M691" i="61" s="1"/>
  <c r="J690" i="61"/>
  <c r="M690" i="61" s="1"/>
  <c r="J689" i="61"/>
  <c r="M689" i="61" s="1"/>
  <c r="J688" i="61"/>
  <c r="M688" i="61" s="1"/>
  <c r="J687" i="61"/>
  <c r="M687" i="61" s="1"/>
  <c r="M686" i="61"/>
  <c r="J686" i="61"/>
  <c r="J685" i="61"/>
  <c r="M685" i="61" s="1"/>
  <c r="J684" i="61"/>
  <c r="M684" i="61" s="1"/>
  <c r="J683" i="61"/>
  <c r="M683" i="61" s="1"/>
  <c r="M682" i="61"/>
  <c r="J682" i="61"/>
  <c r="J681" i="61"/>
  <c r="M681" i="61" s="1"/>
  <c r="M680" i="61"/>
  <c r="J680" i="61"/>
  <c r="J679" i="61"/>
  <c r="M679" i="61" s="1"/>
  <c r="M678" i="61"/>
  <c r="J678" i="61"/>
  <c r="J677" i="61"/>
  <c r="M677" i="61" s="1"/>
  <c r="J676" i="61"/>
  <c r="M676" i="61" s="1"/>
  <c r="J675" i="61"/>
  <c r="M675" i="61" s="1"/>
  <c r="J674" i="61"/>
  <c r="M674" i="61" s="1"/>
  <c r="J673" i="61"/>
  <c r="M673" i="61" s="1"/>
  <c r="J672" i="61"/>
  <c r="M672" i="61" s="1"/>
  <c r="J671" i="61"/>
  <c r="M671" i="61" s="1"/>
  <c r="M670" i="61"/>
  <c r="J670" i="61"/>
  <c r="J669" i="61"/>
  <c r="M669" i="61" s="1"/>
  <c r="J668" i="61"/>
  <c r="M668" i="61" s="1"/>
  <c r="J667" i="61"/>
  <c r="M667" i="61" s="1"/>
  <c r="M666" i="61"/>
  <c r="J666" i="61"/>
  <c r="J665" i="61"/>
  <c r="M665" i="61" s="1"/>
  <c r="M664" i="61"/>
  <c r="J664" i="61"/>
  <c r="J663" i="61"/>
  <c r="M663" i="61" s="1"/>
  <c r="M662" i="61"/>
  <c r="J662" i="61"/>
  <c r="J661" i="61"/>
  <c r="M661" i="61" s="1"/>
  <c r="J660" i="61"/>
  <c r="M660" i="61" s="1"/>
  <c r="J659" i="61"/>
  <c r="M659" i="61" s="1"/>
  <c r="J658" i="61"/>
  <c r="M658" i="61" s="1"/>
  <c r="J657" i="61"/>
  <c r="M657" i="61" s="1"/>
  <c r="J656" i="61"/>
  <c r="M656" i="61" s="1"/>
  <c r="J655" i="61"/>
  <c r="M655" i="61" s="1"/>
  <c r="M654" i="61"/>
  <c r="J654" i="61"/>
  <c r="J653" i="61"/>
  <c r="M653" i="61" s="1"/>
  <c r="J652" i="61"/>
  <c r="M652" i="61" s="1"/>
  <c r="J651" i="61"/>
  <c r="M651" i="61" s="1"/>
  <c r="M650" i="61"/>
  <c r="J650" i="61"/>
  <c r="J649" i="61"/>
  <c r="M649" i="61" s="1"/>
  <c r="M648" i="61"/>
  <c r="J648" i="61"/>
  <c r="J647" i="61"/>
  <c r="M647" i="61" s="1"/>
  <c r="M646" i="61"/>
  <c r="J646" i="61"/>
  <c r="J645" i="61"/>
  <c r="M645" i="61" s="1"/>
  <c r="J644" i="61"/>
  <c r="M644" i="61" s="1"/>
  <c r="J643" i="61"/>
  <c r="M643" i="61" s="1"/>
  <c r="J642" i="61"/>
  <c r="M642" i="61" s="1"/>
  <c r="J641" i="61"/>
  <c r="M639" i="61"/>
  <c r="M638" i="61"/>
  <c r="M637" i="61"/>
  <c r="M635" i="61"/>
  <c r="M634" i="61"/>
  <c r="M633" i="61"/>
  <c r="M631" i="61"/>
  <c r="M630" i="61"/>
  <c r="M629" i="61"/>
  <c r="N628" i="61"/>
  <c r="O627" i="61"/>
  <c r="N627" i="61"/>
  <c r="N626" i="61"/>
  <c r="O625" i="61"/>
  <c r="N625" i="61"/>
  <c r="N624" i="61"/>
  <c r="O623" i="61"/>
  <c r="N623" i="61"/>
  <c r="N622" i="61"/>
  <c r="O621" i="61"/>
  <c r="N621" i="61"/>
  <c r="N620" i="61"/>
  <c r="O619" i="61"/>
  <c r="N619" i="61"/>
  <c r="N618" i="61"/>
  <c r="O617" i="61"/>
  <c r="N617" i="61"/>
  <c r="N616" i="61"/>
  <c r="M615" i="61"/>
  <c r="M614" i="61"/>
  <c r="M612" i="61"/>
  <c r="M611" i="61"/>
  <c r="M610" i="61"/>
  <c r="M608" i="61"/>
  <c r="M607" i="61"/>
  <c r="M606" i="61"/>
  <c r="M604" i="61"/>
  <c r="M603" i="61"/>
  <c r="M602" i="61"/>
  <c r="M600" i="61"/>
  <c r="M599" i="61"/>
  <c r="M598" i="61"/>
  <c r="M596" i="61"/>
  <c r="M595" i="61"/>
  <c r="M594" i="61"/>
  <c r="M592" i="61"/>
  <c r="M591" i="61"/>
  <c r="M590" i="61"/>
  <c r="M588" i="61"/>
  <c r="M587" i="61"/>
  <c r="M586" i="61"/>
  <c r="N585" i="61"/>
  <c r="O584" i="61"/>
  <c r="N584" i="61"/>
  <c r="N583" i="61"/>
  <c r="O582" i="61"/>
  <c r="N582" i="61"/>
  <c r="N581" i="61"/>
  <c r="O580" i="61"/>
  <c r="N580" i="61"/>
  <c r="N579" i="61"/>
  <c r="O578" i="61"/>
  <c r="N578" i="61"/>
  <c r="N577" i="61"/>
  <c r="O576" i="61"/>
  <c r="N576" i="61"/>
  <c r="N575" i="61"/>
  <c r="O574" i="61"/>
  <c r="N574" i="61"/>
  <c r="N573" i="61"/>
  <c r="O572" i="61"/>
  <c r="N572" i="61"/>
  <c r="N571" i="61"/>
  <c r="O570" i="61"/>
  <c r="N570" i="61"/>
  <c r="N569" i="61"/>
  <c r="O568" i="61"/>
  <c r="N568" i="61"/>
  <c r="M566" i="61"/>
  <c r="M565" i="61"/>
  <c r="M564" i="61"/>
  <c r="M562" i="61"/>
  <c r="M561" i="61"/>
  <c r="M560" i="61"/>
  <c r="M558" i="61"/>
  <c r="M557" i="61"/>
  <c r="M556" i="61"/>
  <c r="M554" i="61"/>
  <c r="M553" i="61"/>
  <c r="M552" i="61"/>
  <c r="M550" i="61"/>
  <c r="M549" i="61"/>
  <c r="M548" i="61"/>
  <c r="M546" i="61"/>
  <c r="M545" i="61"/>
  <c r="M544" i="61"/>
  <c r="M542" i="61"/>
  <c r="M541" i="61"/>
  <c r="M540" i="61"/>
  <c r="M538" i="61"/>
  <c r="M537" i="61"/>
  <c r="M536" i="61"/>
  <c r="M534" i="61"/>
  <c r="O533" i="61"/>
  <c r="N533" i="61"/>
  <c r="N532" i="61"/>
  <c r="O531" i="61"/>
  <c r="N531" i="61"/>
  <c r="N530" i="61"/>
  <c r="O529" i="61"/>
  <c r="N529" i="61"/>
  <c r="N528" i="61"/>
  <c r="O527" i="61"/>
  <c r="N527" i="61"/>
  <c r="N526" i="61"/>
  <c r="O525" i="61"/>
  <c r="N525" i="61"/>
  <c r="N524" i="61"/>
  <c r="O523" i="61"/>
  <c r="N523" i="61"/>
  <c r="N522" i="61"/>
  <c r="O521" i="61"/>
  <c r="N521" i="61"/>
  <c r="N520" i="61"/>
  <c r="O519" i="61"/>
  <c r="N519" i="61"/>
  <c r="M517" i="61"/>
  <c r="M516" i="61"/>
  <c r="M515" i="61"/>
  <c r="M513" i="61"/>
  <c r="M512" i="61"/>
  <c r="M511" i="61"/>
  <c r="M509" i="61"/>
  <c r="M508" i="61"/>
  <c r="M507" i="61"/>
  <c r="M505" i="61"/>
  <c r="M504" i="61"/>
  <c r="M503" i="61"/>
  <c r="M501" i="61"/>
  <c r="M500" i="61"/>
  <c r="M499" i="61"/>
  <c r="M497" i="61"/>
  <c r="M496" i="61"/>
  <c r="M495" i="61"/>
  <c r="M493" i="61"/>
  <c r="M492" i="61"/>
  <c r="M491" i="61"/>
  <c r="M489" i="61"/>
  <c r="J488" i="61"/>
  <c r="M488" i="61" s="1"/>
  <c r="J487" i="61"/>
  <c r="M487" i="61" s="1"/>
  <c r="J486" i="61"/>
  <c r="M486" i="61" s="1"/>
  <c r="J485" i="61"/>
  <c r="M485" i="61" s="1"/>
  <c r="M484" i="61"/>
  <c r="J484" i="61"/>
  <c r="J483" i="61"/>
  <c r="M483" i="61" s="1"/>
  <c r="J482" i="61"/>
  <c r="M482" i="61" s="1"/>
  <c r="J481" i="61"/>
  <c r="M481" i="61" s="1"/>
  <c r="J480" i="61"/>
  <c r="M480" i="61" s="1"/>
  <c r="J479" i="61"/>
  <c r="M479" i="61" s="1"/>
  <c r="M478" i="61"/>
  <c r="J478" i="61"/>
  <c r="J477" i="61"/>
  <c r="M477" i="61" s="1"/>
  <c r="J476" i="61"/>
  <c r="M476" i="61" s="1"/>
  <c r="J475" i="61"/>
  <c r="M475" i="61" s="1"/>
  <c r="M474" i="61"/>
  <c r="J474" i="61"/>
  <c r="J473" i="61"/>
  <c r="M473" i="61" s="1"/>
  <c r="J472" i="61"/>
  <c r="M472" i="61" s="1"/>
  <c r="J471" i="61"/>
  <c r="M471" i="61" s="1"/>
  <c r="J470" i="61"/>
  <c r="M470" i="61" s="1"/>
  <c r="J469" i="61"/>
  <c r="M469" i="61" s="1"/>
  <c r="M468" i="61"/>
  <c r="J468" i="61"/>
  <c r="M467" i="61"/>
  <c r="J467" i="61"/>
  <c r="J466" i="61"/>
  <c r="M466" i="61" s="1"/>
  <c r="J465" i="61"/>
  <c r="M465" i="61" s="1"/>
  <c r="J464" i="61"/>
  <c r="M464" i="61" s="1"/>
  <c r="M463" i="61"/>
  <c r="J463" i="61"/>
  <c r="M462" i="61"/>
  <c r="J462" i="61"/>
  <c r="J461" i="61"/>
  <c r="M461" i="61" s="1"/>
  <c r="J460" i="61"/>
  <c r="M460" i="61" s="1"/>
  <c r="J459" i="61"/>
  <c r="M459" i="61" s="1"/>
  <c r="J458" i="61"/>
  <c r="M458" i="61" s="1"/>
  <c r="L457" i="61"/>
  <c r="O457" i="61" s="1"/>
  <c r="K457" i="61"/>
  <c r="N457" i="61" s="1"/>
  <c r="L456" i="61"/>
  <c r="O456" i="61" s="1"/>
  <c r="K456" i="61"/>
  <c r="N456" i="61" s="1"/>
  <c r="L455" i="61"/>
  <c r="O455" i="61" s="1"/>
  <c r="K455" i="61"/>
  <c r="N455" i="61" s="1"/>
  <c r="L454" i="61"/>
  <c r="O454" i="61" s="1"/>
  <c r="K454" i="61"/>
  <c r="N454" i="61" s="1"/>
  <c r="N453" i="61"/>
  <c r="L453" i="61"/>
  <c r="O453" i="61" s="1"/>
  <c r="K453" i="61"/>
  <c r="L452" i="61"/>
  <c r="O452" i="61" s="1"/>
  <c r="K452" i="61"/>
  <c r="N452" i="61" s="1"/>
  <c r="N451" i="61"/>
  <c r="L451" i="61"/>
  <c r="O451" i="61" s="1"/>
  <c r="K451" i="61"/>
  <c r="L450" i="61"/>
  <c r="O450" i="61" s="1"/>
  <c r="K450" i="61"/>
  <c r="N450" i="61" s="1"/>
  <c r="L449" i="61"/>
  <c r="O449" i="61" s="1"/>
  <c r="K449" i="61"/>
  <c r="N449" i="61" s="1"/>
  <c r="L448" i="61"/>
  <c r="O448" i="61" s="1"/>
  <c r="K448" i="61"/>
  <c r="N448" i="61" s="1"/>
  <c r="L447" i="61"/>
  <c r="O447" i="61" s="1"/>
  <c r="K447" i="61"/>
  <c r="N447" i="61" s="1"/>
  <c r="L446" i="61"/>
  <c r="O446" i="61" s="1"/>
  <c r="K446" i="61"/>
  <c r="N446" i="61" s="1"/>
  <c r="N445" i="61"/>
  <c r="L445" i="61"/>
  <c r="O445" i="61" s="1"/>
  <c r="K445" i="61"/>
  <c r="L444" i="61"/>
  <c r="O444" i="61" s="1"/>
  <c r="K444" i="61"/>
  <c r="N444" i="61" s="1"/>
  <c r="L443" i="61"/>
  <c r="O443" i="61" s="1"/>
  <c r="K443" i="61"/>
  <c r="N443" i="61" s="1"/>
  <c r="L442" i="61"/>
  <c r="O442" i="61" s="1"/>
  <c r="K442" i="61"/>
  <c r="N442" i="61" s="1"/>
  <c r="L441" i="61"/>
  <c r="O441" i="61" s="1"/>
  <c r="K441" i="61"/>
  <c r="N441" i="61" s="1"/>
  <c r="L440" i="61"/>
  <c r="O440" i="61" s="1"/>
  <c r="K440" i="61"/>
  <c r="N440" i="61" s="1"/>
  <c r="N439" i="61"/>
  <c r="L439" i="61"/>
  <c r="O439" i="61" s="1"/>
  <c r="K439" i="61"/>
  <c r="L438" i="61"/>
  <c r="O438" i="61" s="1"/>
  <c r="K438" i="61"/>
  <c r="N438" i="61" s="1"/>
  <c r="L437" i="61"/>
  <c r="O437" i="61" s="1"/>
  <c r="K437" i="61"/>
  <c r="N437" i="61" s="1"/>
  <c r="N436" i="61"/>
  <c r="L436" i="61"/>
  <c r="O436" i="61" s="1"/>
  <c r="K436" i="61"/>
  <c r="N435" i="61"/>
  <c r="L435" i="61"/>
  <c r="O435" i="61" s="1"/>
  <c r="K435" i="61"/>
  <c r="L434" i="61"/>
  <c r="O434" i="61" s="1"/>
  <c r="K434" i="61"/>
  <c r="N434" i="61" s="1"/>
  <c r="N433" i="61"/>
  <c r="L433" i="61"/>
  <c r="O433" i="61" s="1"/>
  <c r="K433" i="61"/>
  <c r="N432" i="61"/>
  <c r="L432" i="61"/>
  <c r="O432" i="61" s="1"/>
  <c r="K432" i="61"/>
  <c r="L431" i="61"/>
  <c r="O431" i="61" s="1"/>
  <c r="K431" i="61"/>
  <c r="N431" i="61" s="1"/>
  <c r="L430" i="61"/>
  <c r="O430" i="61" s="1"/>
  <c r="K430" i="61"/>
  <c r="N430" i="61" s="1"/>
  <c r="N429" i="61"/>
  <c r="L429" i="61"/>
  <c r="O429" i="61" s="1"/>
  <c r="K429" i="61"/>
  <c r="L428" i="61"/>
  <c r="O428" i="61" s="1"/>
  <c r="K428" i="61"/>
  <c r="N428" i="61" s="1"/>
  <c r="L427" i="61"/>
  <c r="O427" i="61" s="1"/>
  <c r="K427" i="61"/>
  <c r="N427" i="61" s="1"/>
  <c r="L426" i="61"/>
  <c r="O426" i="61" s="1"/>
  <c r="K426" i="61"/>
  <c r="N426" i="61" s="1"/>
  <c r="L425" i="61"/>
  <c r="O425" i="61" s="1"/>
  <c r="K425" i="61"/>
  <c r="N425" i="61" s="1"/>
  <c r="L424" i="61"/>
  <c r="O424" i="61" s="1"/>
  <c r="K424" i="61"/>
  <c r="N424" i="61" s="1"/>
  <c r="N423" i="61"/>
  <c r="L423" i="61"/>
  <c r="O423" i="61" s="1"/>
  <c r="K423" i="61"/>
  <c r="J422" i="61"/>
  <c r="M422" i="61" s="1"/>
  <c r="J421" i="61"/>
  <c r="M421" i="61" s="1"/>
  <c r="J420" i="61"/>
  <c r="M420" i="61" s="1"/>
  <c r="J419" i="61"/>
  <c r="M419" i="61" s="1"/>
  <c r="J418" i="61"/>
  <c r="M418" i="61" s="1"/>
  <c r="J417" i="61"/>
  <c r="M417" i="61" s="1"/>
  <c r="J416" i="61"/>
  <c r="M416" i="61" s="1"/>
  <c r="J415" i="61"/>
  <c r="M415" i="61" s="1"/>
  <c r="J414" i="61"/>
  <c r="M414" i="61" s="1"/>
  <c r="J413" i="61"/>
  <c r="M413" i="61" s="1"/>
  <c r="J412" i="61"/>
  <c r="M412" i="61" s="1"/>
  <c r="J411" i="61"/>
  <c r="M411" i="61" s="1"/>
  <c r="J410" i="61"/>
  <c r="M410" i="61" s="1"/>
  <c r="J409" i="61"/>
  <c r="M409" i="61" s="1"/>
  <c r="J408" i="61"/>
  <c r="M408" i="61" s="1"/>
  <c r="J407" i="61"/>
  <c r="M407" i="61" s="1"/>
  <c r="J406" i="61"/>
  <c r="M406" i="61" s="1"/>
  <c r="J405" i="61"/>
  <c r="M405" i="61" s="1"/>
  <c r="J404" i="61"/>
  <c r="M404" i="61" s="1"/>
  <c r="J403" i="61"/>
  <c r="M403" i="61" s="1"/>
  <c r="J402" i="61"/>
  <c r="M402" i="61" s="1"/>
  <c r="J401" i="61"/>
  <c r="M401" i="61" s="1"/>
  <c r="J400" i="61"/>
  <c r="M400" i="61" s="1"/>
  <c r="J399" i="61"/>
  <c r="M399" i="61" s="1"/>
  <c r="J398" i="61"/>
  <c r="M398" i="61" s="1"/>
  <c r="J397" i="61"/>
  <c r="M397" i="61" s="1"/>
  <c r="J396" i="61"/>
  <c r="M396" i="61" s="1"/>
  <c r="J395" i="61"/>
  <c r="M395" i="61" s="1"/>
  <c r="J394" i="61"/>
  <c r="M394" i="61" s="1"/>
  <c r="J393" i="61"/>
  <c r="M393" i="61" s="1"/>
  <c r="J392" i="61"/>
  <c r="M392" i="61" s="1"/>
  <c r="J391" i="61"/>
  <c r="M391" i="61" s="1"/>
  <c r="J390" i="61"/>
  <c r="M390" i="61" s="1"/>
  <c r="J389" i="61"/>
  <c r="M389" i="61" s="1"/>
  <c r="J388" i="61"/>
  <c r="M388" i="61" s="1"/>
  <c r="J387" i="61"/>
  <c r="M387" i="61" s="1"/>
  <c r="J386" i="61"/>
  <c r="M386" i="61" s="1"/>
  <c r="J385" i="61"/>
  <c r="M385" i="61" s="1"/>
  <c r="J384" i="61"/>
  <c r="M384" i="61" s="1"/>
  <c r="J383" i="61"/>
  <c r="M383" i="61" s="1"/>
  <c r="J382" i="61"/>
  <c r="M382" i="61" s="1"/>
  <c r="J381" i="61"/>
  <c r="M381" i="61" s="1"/>
  <c r="J380" i="61"/>
  <c r="M380" i="61" s="1"/>
  <c r="J379" i="61"/>
  <c r="M379" i="61" s="1"/>
  <c r="J378" i="61"/>
  <c r="M378" i="61" s="1"/>
  <c r="J377" i="61"/>
  <c r="M377" i="61" s="1"/>
  <c r="J376" i="61"/>
  <c r="M376" i="61" s="1"/>
  <c r="J375" i="61"/>
  <c r="M375" i="61" s="1"/>
  <c r="J374" i="61"/>
  <c r="M374" i="61" s="1"/>
  <c r="J373" i="61"/>
  <c r="M373" i="61" s="1"/>
  <c r="J372" i="61"/>
  <c r="M372" i="61" s="1"/>
  <c r="J371" i="61"/>
  <c r="M371" i="61" s="1"/>
  <c r="J370" i="61"/>
  <c r="M370" i="61" s="1"/>
  <c r="J369" i="61"/>
  <c r="M369" i="61" s="1"/>
  <c r="J368" i="61"/>
  <c r="M368" i="61" s="1"/>
  <c r="J367" i="61"/>
  <c r="M367" i="61" s="1"/>
  <c r="L366" i="61"/>
  <c r="O366" i="61" s="1"/>
  <c r="K366" i="61"/>
  <c r="N366" i="61" s="1"/>
  <c r="L365" i="61"/>
  <c r="O365" i="61" s="1"/>
  <c r="K365" i="61"/>
  <c r="N365" i="61" s="1"/>
  <c r="N364" i="61"/>
  <c r="L364" i="61"/>
  <c r="O364" i="61" s="1"/>
  <c r="K364" i="61"/>
  <c r="N363" i="61"/>
  <c r="L363" i="61"/>
  <c r="O363" i="61" s="1"/>
  <c r="K363" i="61"/>
  <c r="L362" i="61"/>
  <c r="O362" i="61" s="1"/>
  <c r="K362" i="61"/>
  <c r="N362" i="61" s="1"/>
  <c r="N361" i="61"/>
  <c r="L361" i="61"/>
  <c r="O361" i="61" s="1"/>
  <c r="K361" i="61"/>
  <c r="N360" i="61"/>
  <c r="L360" i="61"/>
  <c r="O360" i="61" s="1"/>
  <c r="K360" i="61"/>
  <c r="L359" i="61"/>
  <c r="O359" i="61" s="1"/>
  <c r="K359" i="61"/>
  <c r="N359" i="61" s="1"/>
  <c r="L358" i="61"/>
  <c r="O358" i="61" s="1"/>
  <c r="K358" i="61"/>
  <c r="N358" i="61" s="1"/>
  <c r="N357" i="61"/>
  <c r="L357" i="61"/>
  <c r="O357" i="61" s="1"/>
  <c r="K357" i="61"/>
  <c r="L356" i="61"/>
  <c r="O356" i="61" s="1"/>
  <c r="K356" i="61"/>
  <c r="N356" i="61" s="1"/>
  <c r="L355" i="61"/>
  <c r="O355" i="61" s="1"/>
  <c r="K355" i="61"/>
  <c r="N355" i="61" s="1"/>
  <c r="L354" i="61"/>
  <c r="O354" i="61" s="1"/>
  <c r="K354" i="61"/>
  <c r="N354" i="61" s="1"/>
  <c r="L353" i="61"/>
  <c r="O353" i="61" s="1"/>
  <c r="K353" i="61"/>
  <c r="N353" i="61" s="1"/>
  <c r="L352" i="61"/>
  <c r="O352" i="61" s="1"/>
  <c r="K352" i="61"/>
  <c r="N352" i="61" s="1"/>
  <c r="N351" i="61"/>
  <c r="L351" i="61"/>
  <c r="O351" i="61" s="1"/>
  <c r="K351" i="61"/>
  <c r="L350" i="61"/>
  <c r="O350" i="61" s="1"/>
  <c r="K350" i="61"/>
  <c r="N350" i="61" s="1"/>
  <c r="L349" i="61"/>
  <c r="O349" i="61" s="1"/>
  <c r="K349" i="61"/>
  <c r="N349" i="61" s="1"/>
  <c r="N348" i="61"/>
  <c r="L348" i="61"/>
  <c r="O348" i="61" s="1"/>
  <c r="K348" i="61"/>
  <c r="N347" i="61"/>
  <c r="L347" i="61"/>
  <c r="O347" i="61" s="1"/>
  <c r="K347" i="61"/>
  <c r="L346" i="61"/>
  <c r="O346" i="61" s="1"/>
  <c r="K346" i="61"/>
  <c r="N346" i="61" s="1"/>
  <c r="N345" i="61"/>
  <c r="L345" i="61"/>
  <c r="O345" i="61" s="1"/>
  <c r="K345" i="61"/>
  <c r="N344" i="61"/>
  <c r="L344" i="61"/>
  <c r="O344" i="61" s="1"/>
  <c r="K344" i="61"/>
  <c r="L343" i="61"/>
  <c r="O343" i="61" s="1"/>
  <c r="K343" i="61"/>
  <c r="N343" i="61" s="1"/>
  <c r="L342" i="61"/>
  <c r="O342" i="61" s="1"/>
  <c r="K342" i="61"/>
  <c r="N342" i="61" s="1"/>
  <c r="N341" i="61"/>
  <c r="L341" i="61"/>
  <c r="O341" i="61" s="1"/>
  <c r="K341" i="61"/>
  <c r="L340" i="61"/>
  <c r="O340" i="61" s="1"/>
  <c r="K340" i="61"/>
  <c r="N340" i="61" s="1"/>
  <c r="L339" i="61"/>
  <c r="O339" i="61" s="1"/>
  <c r="K339" i="61"/>
  <c r="N339" i="61" s="1"/>
  <c r="J338" i="61"/>
  <c r="M338" i="61" s="1"/>
  <c r="J337" i="61"/>
  <c r="M337" i="61" s="1"/>
  <c r="J336" i="61"/>
  <c r="M336" i="61" s="1"/>
  <c r="J335" i="61"/>
  <c r="M335" i="61" s="1"/>
  <c r="J334" i="61"/>
  <c r="M334" i="61" s="1"/>
  <c r="J333" i="61"/>
  <c r="M333" i="61" s="1"/>
  <c r="J332" i="61"/>
  <c r="M332" i="61" s="1"/>
  <c r="J331" i="61"/>
  <c r="M331" i="61" s="1"/>
  <c r="J330" i="61"/>
  <c r="M330" i="61" s="1"/>
  <c r="J329" i="61"/>
  <c r="M329" i="61" s="1"/>
  <c r="J328" i="61"/>
  <c r="M328" i="61" s="1"/>
  <c r="J327" i="61"/>
  <c r="M327" i="61" s="1"/>
  <c r="J326" i="61"/>
  <c r="M326" i="61" s="1"/>
  <c r="J325" i="61"/>
  <c r="M325" i="61" s="1"/>
  <c r="J324" i="61"/>
  <c r="M324" i="61" s="1"/>
  <c r="J323" i="61"/>
  <c r="M323" i="61" s="1"/>
  <c r="J322" i="61"/>
  <c r="M322" i="61" s="1"/>
  <c r="J321" i="61"/>
  <c r="M321" i="61" s="1"/>
  <c r="J320" i="61"/>
  <c r="M320" i="61" s="1"/>
  <c r="J319" i="61"/>
  <c r="M319" i="61" s="1"/>
  <c r="J318" i="61"/>
  <c r="M318" i="61" s="1"/>
  <c r="J317" i="61"/>
  <c r="M317" i="61" s="1"/>
  <c r="J316" i="61"/>
  <c r="M316" i="61" s="1"/>
  <c r="J315" i="61"/>
  <c r="M315" i="61" s="1"/>
  <c r="J314" i="61"/>
  <c r="M314" i="61" s="1"/>
  <c r="J313" i="61"/>
  <c r="M313" i="61" s="1"/>
  <c r="J312" i="61"/>
  <c r="M312" i="61" s="1"/>
  <c r="J311" i="61"/>
  <c r="M311" i="61" s="1"/>
  <c r="J310" i="61"/>
  <c r="M310" i="61" s="1"/>
  <c r="J309" i="61"/>
  <c r="M309" i="61" s="1"/>
  <c r="J308" i="61"/>
  <c r="M308" i="61" s="1"/>
  <c r="J307" i="61"/>
  <c r="M307" i="61" s="1"/>
  <c r="J306" i="61"/>
  <c r="M306" i="61" s="1"/>
  <c r="J305" i="61"/>
  <c r="M305" i="61" s="1"/>
  <c r="J304" i="61"/>
  <c r="M304" i="61" s="1"/>
  <c r="J303" i="61"/>
  <c r="M303" i="61" s="1"/>
  <c r="J302" i="61"/>
  <c r="M302" i="61" s="1"/>
  <c r="L301" i="61"/>
  <c r="O301" i="61" s="1"/>
  <c r="K301" i="61"/>
  <c r="N301" i="61" s="1"/>
  <c r="N300" i="61"/>
  <c r="L300" i="61"/>
  <c r="O300" i="61" s="1"/>
  <c r="K300" i="61"/>
  <c r="N299" i="61"/>
  <c r="L299" i="61"/>
  <c r="O299" i="61" s="1"/>
  <c r="K299" i="61"/>
  <c r="L298" i="61"/>
  <c r="O298" i="61" s="1"/>
  <c r="K298" i="61"/>
  <c r="N298" i="61" s="1"/>
  <c r="N297" i="61"/>
  <c r="L297" i="61"/>
  <c r="O297" i="61" s="1"/>
  <c r="K297" i="61"/>
  <c r="N296" i="61"/>
  <c r="L296" i="61"/>
  <c r="O296" i="61" s="1"/>
  <c r="K296" i="61"/>
  <c r="L295" i="61"/>
  <c r="O295" i="61" s="1"/>
  <c r="K295" i="61"/>
  <c r="N295" i="61" s="1"/>
  <c r="L294" i="61"/>
  <c r="O294" i="61" s="1"/>
  <c r="K294" i="61"/>
  <c r="N294" i="61" s="1"/>
  <c r="N293" i="61"/>
  <c r="L293" i="61"/>
  <c r="O293" i="61" s="1"/>
  <c r="K293" i="61"/>
  <c r="L292" i="61"/>
  <c r="O292" i="61" s="1"/>
  <c r="K292" i="61"/>
  <c r="N292" i="61" s="1"/>
  <c r="L291" i="61"/>
  <c r="O291" i="61" s="1"/>
  <c r="K291" i="61"/>
  <c r="N291" i="61" s="1"/>
  <c r="L290" i="61"/>
  <c r="O290" i="61" s="1"/>
  <c r="K290" i="61"/>
  <c r="N290" i="61" s="1"/>
  <c r="J289" i="61"/>
  <c r="M289" i="61" s="1"/>
  <c r="J288" i="61"/>
  <c r="M288" i="61" s="1"/>
  <c r="J287" i="61"/>
  <c r="M287" i="61" s="1"/>
  <c r="J286" i="61"/>
  <c r="M286" i="61" s="1"/>
  <c r="J285" i="61"/>
  <c r="M285" i="61" s="1"/>
  <c r="J284" i="61"/>
  <c r="M284" i="61" s="1"/>
  <c r="J283" i="61"/>
  <c r="M283" i="61" s="1"/>
  <c r="J282" i="61"/>
  <c r="M282" i="61" s="1"/>
  <c r="J281" i="61"/>
  <c r="M281" i="61" s="1"/>
  <c r="J280" i="61"/>
  <c r="M280" i="61" s="1"/>
  <c r="J279" i="61"/>
  <c r="M279" i="61" s="1"/>
  <c r="J278" i="61"/>
  <c r="M278" i="61" s="1"/>
  <c r="J277" i="61"/>
  <c r="M277" i="61" s="1"/>
  <c r="J276" i="61"/>
  <c r="M276" i="61" s="1"/>
  <c r="J275" i="61"/>
  <c r="M275" i="61" s="1"/>
  <c r="J274" i="61"/>
  <c r="M274" i="61" s="1"/>
  <c r="J273" i="61"/>
  <c r="M273" i="61" s="1"/>
  <c r="J272" i="61"/>
  <c r="M272" i="61" s="1"/>
  <c r="M271" i="61"/>
  <c r="J271" i="61"/>
  <c r="J270" i="61"/>
  <c r="M270" i="61" s="1"/>
  <c r="J269" i="61"/>
  <c r="M269" i="61" s="1"/>
  <c r="J268" i="61"/>
  <c r="M268" i="61" s="1"/>
  <c r="J267" i="61"/>
  <c r="M267" i="61" s="1"/>
  <c r="J266" i="61"/>
  <c r="M266" i="61" s="1"/>
  <c r="J265" i="61"/>
  <c r="M265" i="61" s="1"/>
  <c r="J264" i="61"/>
  <c r="M264" i="61" s="1"/>
  <c r="J263" i="61"/>
  <c r="M263" i="61" s="1"/>
  <c r="J262" i="61"/>
  <c r="M262" i="61" s="1"/>
  <c r="J261" i="61"/>
  <c r="M261" i="61" s="1"/>
  <c r="J260" i="61"/>
  <c r="M260" i="61" s="1"/>
  <c r="J259" i="61"/>
  <c r="M259" i="61" s="1"/>
  <c r="J258" i="61"/>
  <c r="M258" i="61" s="1"/>
  <c r="J257" i="61"/>
  <c r="M257" i="61" s="1"/>
  <c r="J256" i="61"/>
  <c r="M256" i="61" s="1"/>
  <c r="J255" i="61"/>
  <c r="M255" i="61" s="1"/>
  <c r="J254" i="61"/>
  <c r="M254" i="61" s="1"/>
  <c r="J253" i="61"/>
  <c r="M253" i="61" s="1"/>
  <c r="J252" i="61"/>
  <c r="M252" i="61" s="1"/>
  <c r="J251" i="61"/>
  <c r="M251" i="61" s="1"/>
  <c r="J250" i="61"/>
  <c r="M250" i="61" s="1"/>
  <c r="M249" i="61"/>
  <c r="J249" i="61"/>
  <c r="J248" i="61"/>
  <c r="M248" i="61" s="1"/>
  <c r="J247" i="61"/>
  <c r="M247" i="61" s="1"/>
  <c r="J246" i="61"/>
  <c r="M246" i="61" s="1"/>
  <c r="M245" i="61"/>
  <c r="J245" i="61"/>
  <c r="L244" i="61"/>
  <c r="O244" i="61" s="1"/>
  <c r="K244" i="61"/>
  <c r="N244" i="61" s="1"/>
  <c r="N243" i="61"/>
  <c r="L243" i="61"/>
  <c r="O243" i="61" s="1"/>
  <c r="K243" i="61"/>
  <c r="O242" i="61"/>
  <c r="L242" i="61"/>
  <c r="K242" i="61"/>
  <c r="N242" i="61" s="1"/>
  <c r="L241" i="61"/>
  <c r="O241" i="61" s="1"/>
  <c r="K241" i="61"/>
  <c r="N241" i="61" s="1"/>
  <c r="L240" i="61"/>
  <c r="O240" i="61" s="1"/>
  <c r="K240" i="61"/>
  <c r="N240" i="61" s="1"/>
  <c r="N239" i="61"/>
  <c r="L239" i="61"/>
  <c r="O239" i="61" s="1"/>
  <c r="K239" i="61"/>
  <c r="L238" i="61"/>
  <c r="O238" i="61" s="1"/>
  <c r="K238" i="61"/>
  <c r="N238" i="61" s="1"/>
  <c r="L237" i="61"/>
  <c r="O237" i="61" s="1"/>
  <c r="K237" i="61"/>
  <c r="N237" i="61" s="1"/>
  <c r="L236" i="61"/>
  <c r="O236" i="61" s="1"/>
  <c r="K236" i="61"/>
  <c r="N236" i="61" s="1"/>
  <c r="L235" i="61"/>
  <c r="O235" i="61" s="1"/>
  <c r="K235" i="61"/>
  <c r="N235" i="61" s="1"/>
  <c r="O234" i="61"/>
  <c r="L234" i="61"/>
  <c r="K234" i="61"/>
  <c r="N234" i="61" s="1"/>
  <c r="N233" i="61"/>
  <c r="L233" i="61"/>
  <c r="O233" i="61" s="1"/>
  <c r="K233" i="61"/>
  <c r="L232" i="61"/>
  <c r="O232" i="61" s="1"/>
  <c r="K232" i="61"/>
  <c r="N232" i="61" s="1"/>
  <c r="L231" i="61"/>
  <c r="O231" i="61" s="1"/>
  <c r="K231" i="61"/>
  <c r="N231" i="61" s="1"/>
  <c r="O230" i="61"/>
  <c r="L230" i="61"/>
  <c r="K230" i="61"/>
  <c r="N230" i="61" s="1"/>
  <c r="N229" i="61"/>
  <c r="L229" i="61"/>
  <c r="O229" i="61" s="1"/>
  <c r="K229" i="61"/>
  <c r="L228" i="61"/>
  <c r="O228" i="61" s="1"/>
  <c r="K228" i="61"/>
  <c r="N228" i="61" s="1"/>
  <c r="N227" i="61"/>
  <c r="L227" i="61"/>
  <c r="O227" i="61" s="1"/>
  <c r="K227" i="61"/>
  <c r="O226" i="61"/>
  <c r="L226" i="61"/>
  <c r="K226" i="61"/>
  <c r="N226" i="61" s="1"/>
  <c r="L225" i="61"/>
  <c r="O225" i="61" s="1"/>
  <c r="K225" i="61"/>
  <c r="N225" i="61" s="1"/>
  <c r="L224" i="61"/>
  <c r="O224" i="61" s="1"/>
  <c r="K224" i="61"/>
  <c r="N224" i="61" s="1"/>
  <c r="N223" i="61"/>
  <c r="L223" i="61"/>
  <c r="O223" i="61" s="1"/>
  <c r="K223" i="61"/>
  <c r="L222" i="61"/>
  <c r="O222" i="61" s="1"/>
  <c r="K222" i="61"/>
  <c r="N222" i="61" s="1"/>
  <c r="L221" i="61"/>
  <c r="O221" i="61" s="1"/>
  <c r="K221" i="61"/>
  <c r="N221" i="61" s="1"/>
  <c r="L220" i="61"/>
  <c r="O220" i="61" s="1"/>
  <c r="K220" i="61"/>
  <c r="N220" i="61" s="1"/>
  <c r="L219" i="61"/>
  <c r="O219" i="61" s="1"/>
  <c r="K219" i="61"/>
  <c r="N219" i="61" s="1"/>
  <c r="O218" i="61"/>
  <c r="L218" i="61"/>
  <c r="K218" i="61"/>
  <c r="N218" i="61" s="1"/>
  <c r="N217" i="61"/>
  <c r="L217" i="61"/>
  <c r="O217" i="61" s="1"/>
  <c r="K217" i="61"/>
  <c r="L216" i="61"/>
  <c r="O216" i="61" s="1"/>
  <c r="K216" i="61"/>
  <c r="N216" i="61" s="1"/>
  <c r="L215" i="61"/>
  <c r="O215" i="61" s="1"/>
  <c r="K215" i="61"/>
  <c r="N215" i="61" s="1"/>
  <c r="L214" i="61"/>
  <c r="O214" i="61" s="1"/>
  <c r="K214" i="61"/>
  <c r="N214" i="61" s="1"/>
  <c r="N213" i="61"/>
  <c r="L213" i="61"/>
  <c r="O213" i="61" s="1"/>
  <c r="K213" i="61"/>
  <c r="L212" i="61"/>
  <c r="O212" i="61" s="1"/>
  <c r="K212" i="61"/>
  <c r="N212" i="61" s="1"/>
  <c r="N211" i="61"/>
  <c r="L211" i="61"/>
  <c r="O211" i="61" s="1"/>
  <c r="K211" i="61"/>
  <c r="O210" i="61"/>
  <c r="L210" i="61"/>
  <c r="K210" i="61"/>
  <c r="N210" i="61" s="1"/>
  <c r="L209" i="61"/>
  <c r="O209" i="61" s="1"/>
  <c r="K209" i="61"/>
  <c r="N209" i="61" s="1"/>
  <c r="J208" i="61"/>
  <c r="M208" i="61" s="1"/>
  <c r="J207" i="61"/>
  <c r="M207" i="61" s="1"/>
  <c r="J206" i="61"/>
  <c r="M206" i="61" s="1"/>
  <c r="M205" i="61"/>
  <c r="J205" i="61"/>
  <c r="J204" i="61"/>
  <c r="M204" i="61" s="1"/>
  <c r="J203" i="61"/>
  <c r="M203" i="61" s="1"/>
  <c r="J202" i="61"/>
  <c r="M202" i="61" s="1"/>
  <c r="M201" i="61"/>
  <c r="J201" i="61"/>
  <c r="J200" i="61"/>
  <c r="M200" i="61" s="1"/>
  <c r="J199" i="61"/>
  <c r="M199" i="61" s="1"/>
  <c r="J198" i="61"/>
  <c r="M198" i="61" s="1"/>
  <c r="J197" i="61"/>
  <c r="M197" i="61" s="1"/>
  <c r="J196" i="61"/>
  <c r="M196" i="61" s="1"/>
  <c r="J195" i="61"/>
  <c r="M195" i="61" s="1"/>
  <c r="J194" i="61"/>
  <c r="M194" i="61" s="1"/>
  <c r="M193" i="61"/>
  <c r="J193" i="61"/>
  <c r="J192" i="61"/>
  <c r="M192" i="61" s="1"/>
  <c r="J191" i="61"/>
  <c r="M191" i="61" s="1"/>
  <c r="J190" i="61"/>
  <c r="M190" i="61" s="1"/>
  <c r="J189" i="61"/>
  <c r="M189" i="61" s="1"/>
  <c r="J188" i="61"/>
  <c r="M188" i="61" s="1"/>
  <c r="J187" i="61"/>
  <c r="M187" i="61" s="1"/>
  <c r="J186" i="61"/>
  <c r="M186" i="61" s="1"/>
  <c r="M185" i="61"/>
  <c r="J185" i="61"/>
  <c r="J184" i="61"/>
  <c r="M184" i="61" s="1"/>
  <c r="J183" i="61"/>
  <c r="M183" i="61" s="1"/>
  <c r="J182" i="61"/>
  <c r="M182" i="61" s="1"/>
  <c r="J181" i="61"/>
  <c r="M181" i="61" s="1"/>
  <c r="J180" i="61"/>
  <c r="M180" i="61" s="1"/>
  <c r="J179" i="61"/>
  <c r="M179" i="61" s="1"/>
  <c r="J178" i="61"/>
  <c r="M178" i="61" s="1"/>
  <c r="M177" i="61"/>
  <c r="J177" i="61"/>
  <c r="J176" i="61"/>
  <c r="M176" i="61" s="1"/>
  <c r="X1131" i="57"/>
  <c r="W1131" i="57"/>
  <c r="X1130" i="57"/>
  <c r="W1130" i="57"/>
  <c r="X1129" i="57"/>
  <c r="W1129" i="57"/>
  <c r="X1128" i="57"/>
  <c r="W1128" i="57"/>
  <c r="X1127" i="57"/>
  <c r="W1127" i="57"/>
  <c r="X1126" i="57"/>
  <c r="W1126" i="57"/>
  <c r="X1125" i="57"/>
  <c r="W1125" i="57"/>
  <c r="X1124" i="57"/>
  <c r="W1124" i="57"/>
  <c r="X1123" i="57"/>
  <c r="W1123" i="57"/>
  <c r="X1122" i="57"/>
  <c r="W1122" i="57"/>
  <c r="X1121" i="57"/>
  <c r="W1121" i="57"/>
  <c r="X1120" i="57"/>
  <c r="W1120" i="57"/>
  <c r="X1119" i="57"/>
  <c r="W1119" i="57"/>
  <c r="X1118" i="57"/>
  <c r="W1118" i="57"/>
  <c r="X1117" i="57"/>
  <c r="W1117" i="57"/>
  <c r="X1116" i="57"/>
  <c r="W1116" i="57"/>
  <c r="X1115" i="57"/>
  <c r="W1115" i="57"/>
  <c r="X1114" i="57"/>
  <c r="W1114" i="57"/>
  <c r="X1113" i="57"/>
  <c r="W1113" i="57"/>
  <c r="X1112" i="57"/>
  <c r="W1112" i="57"/>
  <c r="X640" i="57"/>
  <c r="W640" i="57"/>
  <c r="X639" i="57"/>
  <c r="W639" i="57"/>
  <c r="X638" i="57"/>
  <c r="W638" i="57"/>
  <c r="X637" i="57"/>
  <c r="W637" i="57"/>
  <c r="X636" i="57"/>
  <c r="W636" i="57"/>
  <c r="X635" i="57"/>
  <c r="W635" i="57"/>
  <c r="X634" i="57"/>
  <c r="W634" i="57"/>
  <c r="X633" i="57"/>
  <c r="W633" i="57"/>
  <c r="X632" i="57"/>
  <c r="W632" i="57"/>
  <c r="X631" i="57"/>
  <c r="W631" i="57"/>
  <c r="X630" i="57"/>
  <c r="W630" i="57"/>
  <c r="X629" i="57"/>
  <c r="W629" i="57"/>
  <c r="V628" i="57"/>
  <c r="V627" i="57"/>
  <c r="V626" i="57"/>
  <c r="V625" i="57"/>
  <c r="V624" i="57"/>
  <c r="V623" i="57"/>
  <c r="V622" i="57"/>
  <c r="V621" i="57"/>
  <c r="V620" i="57"/>
  <c r="V619" i="57"/>
  <c r="V618" i="57"/>
  <c r="V617" i="57"/>
  <c r="V616" i="57"/>
  <c r="X615" i="57"/>
  <c r="W615" i="57"/>
  <c r="X614" i="57"/>
  <c r="W614" i="57"/>
  <c r="X613" i="57"/>
  <c r="W613" i="57"/>
  <c r="X612" i="57"/>
  <c r="W612" i="57"/>
  <c r="X611" i="57"/>
  <c r="W611" i="57"/>
  <c r="X610" i="57"/>
  <c r="W610" i="57"/>
  <c r="X609" i="57"/>
  <c r="W609" i="57"/>
  <c r="X608" i="57"/>
  <c r="W608" i="57"/>
  <c r="X607" i="57"/>
  <c r="W607" i="57"/>
  <c r="X606" i="57"/>
  <c r="W606" i="57"/>
  <c r="X605" i="57"/>
  <c r="W605" i="57"/>
  <c r="X604" i="57"/>
  <c r="W604" i="57"/>
  <c r="X603" i="57"/>
  <c r="W603" i="57"/>
  <c r="X602" i="57"/>
  <c r="W602" i="57"/>
  <c r="X601" i="57"/>
  <c r="W601" i="57"/>
  <c r="X600" i="57"/>
  <c r="W600" i="57"/>
  <c r="X599" i="57"/>
  <c r="W599" i="57"/>
  <c r="X598" i="57"/>
  <c r="W598" i="57"/>
  <c r="X597" i="57"/>
  <c r="W597" i="57"/>
  <c r="X596" i="57"/>
  <c r="W596" i="57"/>
  <c r="X595" i="57"/>
  <c r="W595" i="57"/>
  <c r="X594" i="57"/>
  <c r="W594" i="57"/>
  <c r="X593" i="57"/>
  <c r="W593" i="57"/>
  <c r="X592" i="57"/>
  <c r="W592" i="57"/>
  <c r="X591" i="57"/>
  <c r="W591" i="57"/>
  <c r="X590" i="57"/>
  <c r="W590" i="57"/>
  <c r="X589" i="57"/>
  <c r="W589" i="57"/>
  <c r="X588" i="57"/>
  <c r="W588" i="57"/>
  <c r="X587" i="57"/>
  <c r="W587" i="57"/>
  <c r="X586" i="57"/>
  <c r="W586" i="57"/>
  <c r="V585" i="57"/>
  <c r="V584" i="57"/>
  <c r="V583" i="57"/>
  <c r="V582" i="57"/>
  <c r="V581" i="57"/>
  <c r="V580" i="57"/>
  <c r="V579" i="57"/>
  <c r="V578" i="57"/>
  <c r="V577" i="57"/>
  <c r="V576" i="57"/>
  <c r="V575" i="57"/>
  <c r="V574" i="57"/>
  <c r="V573" i="57"/>
  <c r="V572" i="57"/>
  <c r="V571" i="57"/>
  <c r="V570" i="57"/>
  <c r="V569" i="57"/>
  <c r="V568" i="57"/>
  <c r="X567" i="57"/>
  <c r="W567" i="57"/>
  <c r="X566" i="57"/>
  <c r="W566" i="57"/>
  <c r="X565" i="57"/>
  <c r="W565" i="57"/>
  <c r="X564" i="57"/>
  <c r="W564" i="57"/>
  <c r="X563" i="57"/>
  <c r="W563" i="57"/>
  <c r="X562" i="57"/>
  <c r="W562" i="57"/>
  <c r="X561" i="57"/>
  <c r="W561" i="57"/>
  <c r="X560" i="57"/>
  <c r="W560" i="57"/>
  <c r="X559" i="57"/>
  <c r="W559" i="57"/>
  <c r="X558" i="57"/>
  <c r="W558" i="57"/>
  <c r="X557" i="57"/>
  <c r="W557" i="57"/>
  <c r="X556" i="57"/>
  <c r="W556" i="57"/>
  <c r="X555" i="57"/>
  <c r="W555" i="57"/>
  <c r="X554" i="57"/>
  <c r="W554" i="57"/>
  <c r="X553" i="57"/>
  <c r="W553" i="57"/>
  <c r="X552" i="57"/>
  <c r="W552" i="57"/>
  <c r="X551" i="57"/>
  <c r="W551" i="57"/>
  <c r="X550" i="57"/>
  <c r="W550" i="57"/>
  <c r="X549" i="57"/>
  <c r="W549" i="57"/>
  <c r="X548" i="57"/>
  <c r="W548" i="57"/>
  <c r="X547" i="57"/>
  <c r="W547" i="57"/>
  <c r="X546" i="57"/>
  <c r="W546" i="57"/>
  <c r="X545" i="57"/>
  <c r="W545" i="57"/>
  <c r="X544" i="57"/>
  <c r="W544" i="57"/>
  <c r="X543" i="57"/>
  <c r="W543" i="57"/>
  <c r="X542" i="57"/>
  <c r="W542" i="57"/>
  <c r="X541" i="57"/>
  <c r="W541" i="57"/>
  <c r="X540" i="57"/>
  <c r="W540" i="57"/>
  <c r="X539" i="57"/>
  <c r="W539" i="57"/>
  <c r="X538" i="57"/>
  <c r="W538" i="57"/>
  <c r="X537" i="57"/>
  <c r="W537" i="57"/>
  <c r="X536" i="57"/>
  <c r="W536" i="57"/>
  <c r="X535" i="57"/>
  <c r="W535" i="57"/>
  <c r="X534" i="57"/>
  <c r="W534" i="57"/>
  <c r="V533" i="57"/>
  <c r="V532" i="57"/>
  <c r="V531" i="57"/>
  <c r="V530" i="57"/>
  <c r="V529" i="57"/>
  <c r="V528" i="57"/>
  <c r="V527" i="57"/>
  <c r="V526" i="57"/>
  <c r="V525" i="57"/>
  <c r="V524" i="57"/>
  <c r="V523" i="57"/>
  <c r="V522" i="57"/>
  <c r="V521" i="57"/>
  <c r="V520" i="57"/>
  <c r="V519" i="57"/>
  <c r="X518" i="57"/>
  <c r="W518" i="57"/>
  <c r="X517" i="57"/>
  <c r="W517" i="57"/>
  <c r="X516" i="57"/>
  <c r="W516" i="57"/>
  <c r="X515" i="57"/>
  <c r="W515" i="57"/>
  <c r="X514" i="57"/>
  <c r="W514" i="57"/>
  <c r="X513" i="57"/>
  <c r="W513" i="57"/>
  <c r="X512" i="57"/>
  <c r="W512" i="57"/>
  <c r="X511" i="57"/>
  <c r="W511" i="57"/>
  <c r="X510" i="57"/>
  <c r="W510" i="57"/>
  <c r="X509" i="57"/>
  <c r="W509" i="57"/>
  <c r="X508" i="57"/>
  <c r="W508" i="57"/>
  <c r="X507" i="57"/>
  <c r="W507" i="57"/>
  <c r="X506" i="57"/>
  <c r="W506" i="57"/>
  <c r="X505" i="57"/>
  <c r="W505" i="57"/>
  <c r="X504" i="57"/>
  <c r="W504" i="57"/>
  <c r="X503" i="57"/>
  <c r="W503" i="57"/>
  <c r="AD388" i="58"/>
  <c r="X388" i="58"/>
  <c r="W388" i="58"/>
  <c r="AD387" i="58"/>
  <c r="X387" i="58"/>
  <c r="W387" i="58"/>
  <c r="AD386" i="58"/>
  <c r="X386" i="58"/>
  <c r="W386" i="58"/>
  <c r="AD385" i="58"/>
  <c r="X385" i="58"/>
  <c r="W385" i="58"/>
  <c r="AD384" i="58"/>
  <c r="X384" i="58"/>
  <c r="W384" i="58"/>
  <c r="AD383" i="58"/>
  <c r="X383" i="58"/>
  <c r="W383" i="58"/>
  <c r="AD382" i="58"/>
  <c r="X382" i="58"/>
  <c r="W382" i="58"/>
  <c r="AD381" i="58"/>
  <c r="X381" i="58"/>
  <c r="W381" i="58"/>
  <c r="AC381" i="58" s="1"/>
  <c r="AD380" i="58"/>
  <c r="X380" i="58"/>
  <c r="W380" i="58"/>
  <c r="AD379" i="58"/>
  <c r="X379" i="58"/>
  <c r="W379" i="58"/>
  <c r="AD378" i="58"/>
  <c r="X378" i="58"/>
  <c r="W378" i="58"/>
  <c r="AD377" i="58"/>
  <c r="X377" i="58"/>
  <c r="W377" i="58"/>
  <c r="AD376" i="58"/>
  <c r="X376" i="58"/>
  <c r="W376" i="58"/>
  <c r="AD375" i="58"/>
  <c r="X375" i="58"/>
  <c r="W375" i="58"/>
  <c r="AD374" i="58"/>
  <c r="X374" i="58"/>
  <c r="W374" i="58"/>
  <c r="AD373" i="58"/>
  <c r="X373" i="58"/>
  <c r="W373" i="58"/>
  <c r="AD372" i="58"/>
  <c r="X372" i="58"/>
  <c r="W372" i="58"/>
  <c r="AD371" i="58"/>
  <c r="X371" i="58"/>
  <c r="W371" i="58"/>
  <c r="AD370" i="58"/>
  <c r="X370" i="58"/>
  <c r="W370" i="58"/>
  <c r="AD369" i="58"/>
  <c r="X369" i="58"/>
  <c r="W369" i="58"/>
  <c r="AD177" i="58"/>
  <c r="X177" i="58"/>
  <c r="W177" i="58"/>
  <c r="AD176" i="58"/>
  <c r="X176" i="58"/>
  <c r="W176" i="58"/>
  <c r="AD175" i="58"/>
  <c r="X175" i="58"/>
  <c r="W175" i="58"/>
  <c r="X175" i="57"/>
  <c r="W175" i="57"/>
  <c r="V175" i="57"/>
  <c r="AD174" i="58"/>
  <c r="X174" i="58"/>
  <c r="W174" i="58"/>
  <c r="X174" i="57"/>
  <c r="W174" i="57"/>
  <c r="V174" i="57"/>
  <c r="AD173" i="58"/>
  <c r="X173" i="58"/>
  <c r="W173" i="58"/>
  <c r="X173" i="57"/>
  <c r="W173" i="57"/>
  <c r="V173" i="57"/>
  <c r="AD172" i="58"/>
  <c r="X172" i="58"/>
  <c r="W172" i="58"/>
  <c r="X172" i="57"/>
  <c r="W172" i="57"/>
  <c r="V172" i="57"/>
  <c r="AD171" i="58"/>
  <c r="X171" i="58"/>
  <c r="W171" i="58"/>
  <c r="X171" i="57"/>
  <c r="W171" i="57"/>
  <c r="V171" i="57"/>
  <c r="AD170" i="58"/>
  <c r="X170" i="58"/>
  <c r="W170" i="58"/>
  <c r="X170" i="57"/>
  <c r="W170" i="57"/>
  <c r="V170" i="57"/>
  <c r="AD169" i="58"/>
  <c r="X169" i="58"/>
  <c r="W169" i="58"/>
  <c r="X169" i="57"/>
  <c r="W169" i="57"/>
  <c r="V169" i="57"/>
  <c r="AD168" i="58"/>
  <c r="X168" i="58"/>
  <c r="W168" i="58"/>
  <c r="X168" i="57"/>
  <c r="W168" i="57"/>
  <c r="V168" i="57"/>
  <c r="AD167" i="58"/>
  <c r="X167" i="58"/>
  <c r="W167" i="58"/>
  <c r="X167" i="57"/>
  <c r="W167" i="57"/>
  <c r="V167" i="57"/>
  <c r="AD166" i="58"/>
  <c r="X166" i="58"/>
  <c r="W166" i="58"/>
  <c r="X166" i="57"/>
  <c r="W166" i="57"/>
  <c r="V166" i="57"/>
  <c r="AE165" i="58"/>
  <c r="V165" i="58"/>
  <c r="AB165" i="58" s="1"/>
  <c r="X165" i="57"/>
  <c r="W165" i="57"/>
  <c r="V165" i="57"/>
  <c r="AE164" i="58"/>
  <c r="V164" i="58"/>
  <c r="AB164" i="58" s="1"/>
  <c r="X164" i="57"/>
  <c r="W164" i="57"/>
  <c r="V164" i="57"/>
  <c r="AE163" i="58"/>
  <c r="V163" i="58"/>
  <c r="AB163" i="58" s="1"/>
  <c r="X163" i="57"/>
  <c r="W163" i="57"/>
  <c r="V163" i="57"/>
  <c r="AE162" i="58"/>
  <c r="V162" i="58"/>
  <c r="AB162" i="58" s="1"/>
  <c r="X162" i="57"/>
  <c r="W162" i="57"/>
  <c r="V162" i="57"/>
  <c r="AE161" i="58"/>
  <c r="V161" i="58"/>
  <c r="AB161" i="58" s="1"/>
  <c r="X161" i="57"/>
  <c r="W161" i="57"/>
  <c r="V161" i="57"/>
  <c r="AE160" i="58"/>
  <c r="V160" i="58"/>
  <c r="AB160" i="58" s="1"/>
  <c r="X160" i="57"/>
  <c r="W160" i="57"/>
  <c r="V160" i="57"/>
  <c r="AE159" i="58"/>
  <c r="V159" i="58"/>
  <c r="AB159" i="58" s="1"/>
  <c r="X159" i="57"/>
  <c r="W159" i="57"/>
  <c r="V159" i="57"/>
  <c r="AE158" i="58"/>
  <c r="V158" i="58"/>
  <c r="AB158" i="58" s="1"/>
  <c r="X158" i="57"/>
  <c r="W158" i="57"/>
  <c r="V158" i="57"/>
  <c r="AE157" i="58"/>
  <c r="V157" i="58"/>
  <c r="AB157" i="58" s="1"/>
  <c r="X157" i="57"/>
  <c r="W157" i="57"/>
  <c r="V157" i="57"/>
  <c r="AE156" i="58"/>
  <c r="V156" i="58"/>
  <c r="AB156" i="58" s="1"/>
  <c r="X156" i="57"/>
  <c r="W156" i="57"/>
  <c r="V156" i="57"/>
  <c r="AE155" i="58"/>
  <c r="V155" i="58"/>
  <c r="AB155" i="58" s="1"/>
  <c r="X155" i="57"/>
  <c r="W155" i="57"/>
  <c r="V155" i="57"/>
  <c r="AE154" i="58"/>
  <c r="V154" i="58"/>
  <c r="AB154" i="58" s="1"/>
  <c r="X154" i="57"/>
  <c r="W154" i="57"/>
  <c r="V154" i="57"/>
  <c r="AE153" i="58"/>
  <c r="V153" i="58"/>
  <c r="AB153" i="58" s="1"/>
  <c r="X153" i="57"/>
  <c r="W153" i="57"/>
  <c r="V153" i="57"/>
  <c r="AD152" i="58"/>
  <c r="X152" i="58"/>
  <c r="W152" i="58"/>
  <c r="X152" i="57"/>
  <c r="W152" i="57"/>
  <c r="V152" i="57"/>
  <c r="AD151" i="58"/>
  <c r="X151" i="58"/>
  <c r="W151" i="58"/>
  <c r="AD150" i="58"/>
  <c r="X150" i="58"/>
  <c r="W150" i="58"/>
  <c r="AD149" i="58"/>
  <c r="X149" i="58"/>
  <c r="W149" i="58"/>
  <c r="AD148" i="58"/>
  <c r="X148" i="58"/>
  <c r="W148" i="58"/>
  <c r="AD147" i="58"/>
  <c r="X147" i="58"/>
  <c r="W147" i="58"/>
  <c r="AD146" i="58"/>
  <c r="X146" i="58"/>
  <c r="W146" i="58"/>
  <c r="AC146" i="58" s="1"/>
  <c r="AD145" i="58"/>
  <c r="X145" i="58"/>
  <c r="W145" i="58"/>
  <c r="AD144" i="58"/>
  <c r="X144" i="58"/>
  <c r="W144" i="58"/>
  <c r="AD143" i="58"/>
  <c r="X143" i="58"/>
  <c r="W143" i="58"/>
  <c r="AD142" i="58"/>
  <c r="X142" i="58"/>
  <c r="W142" i="58"/>
  <c r="AD141" i="58"/>
  <c r="X141" i="58"/>
  <c r="W141" i="58"/>
  <c r="AD140" i="58"/>
  <c r="X140" i="58"/>
  <c r="W140" i="58"/>
  <c r="AD139" i="58"/>
  <c r="X139" i="58"/>
  <c r="W139" i="58"/>
  <c r="AD138" i="58"/>
  <c r="X138" i="58"/>
  <c r="W138" i="58"/>
  <c r="AD137" i="58"/>
  <c r="X137" i="58"/>
  <c r="W137" i="58"/>
  <c r="AD136" i="58"/>
  <c r="X136" i="58"/>
  <c r="W136" i="58"/>
  <c r="AD135" i="58"/>
  <c r="X135" i="58"/>
  <c r="W135" i="58"/>
  <c r="AD134" i="58"/>
  <c r="X134" i="58"/>
  <c r="W134" i="58"/>
  <c r="AD133" i="58"/>
  <c r="X133" i="58"/>
  <c r="W133" i="58"/>
  <c r="AD132" i="58"/>
  <c r="X132" i="58"/>
  <c r="AC132" i="58" s="1"/>
  <c r="W132" i="58"/>
  <c r="AD131" i="58"/>
  <c r="X131" i="58"/>
  <c r="W131" i="58"/>
  <c r="AD130" i="58"/>
  <c r="X130" i="58"/>
  <c r="W130" i="58"/>
  <c r="AD129" i="58"/>
  <c r="X129" i="58"/>
  <c r="W129" i="58"/>
  <c r="AD128" i="58"/>
  <c r="X128" i="58"/>
  <c r="AC128" i="58" s="1"/>
  <c r="W128" i="58"/>
  <c r="AD127" i="58"/>
  <c r="X127" i="58"/>
  <c r="W127" i="58"/>
  <c r="AD126" i="58"/>
  <c r="X126" i="58"/>
  <c r="W126" i="58"/>
  <c r="AD125" i="58"/>
  <c r="X125" i="58"/>
  <c r="W125" i="58"/>
  <c r="AD124" i="58"/>
  <c r="X124" i="58"/>
  <c r="AC124" i="58" s="1"/>
  <c r="W124" i="58"/>
  <c r="AD123" i="58"/>
  <c r="X123" i="58"/>
  <c r="W123" i="58"/>
  <c r="AE122" i="58"/>
  <c r="V122" i="58"/>
  <c r="AB122" i="58" s="1"/>
  <c r="AE121" i="58"/>
  <c r="V121" i="58"/>
  <c r="AB121" i="58" s="1"/>
  <c r="AE120" i="58"/>
  <c r="V120" i="58"/>
  <c r="AB120" i="58" s="1"/>
  <c r="AE119" i="58"/>
  <c r="V119" i="58"/>
  <c r="AB119" i="58" s="1"/>
  <c r="AE118" i="58"/>
  <c r="V118" i="58"/>
  <c r="AB118" i="58" s="1"/>
  <c r="AE117" i="58"/>
  <c r="V117" i="58"/>
  <c r="AB117" i="58" s="1"/>
  <c r="AE116" i="58"/>
  <c r="V116" i="58"/>
  <c r="AB116" i="58" s="1"/>
  <c r="AE115" i="58"/>
  <c r="V115" i="58"/>
  <c r="AB115" i="58" s="1"/>
  <c r="AE114" i="58"/>
  <c r="V114" i="58"/>
  <c r="AB114" i="58" s="1"/>
  <c r="AE113" i="58"/>
  <c r="V113" i="58"/>
  <c r="AB113" i="58" s="1"/>
  <c r="AE112" i="58"/>
  <c r="V112" i="58"/>
  <c r="AB112" i="58" s="1"/>
  <c r="AE111" i="58"/>
  <c r="V111" i="58"/>
  <c r="AB111" i="58" s="1"/>
  <c r="AE110" i="58"/>
  <c r="V110" i="58"/>
  <c r="AB110" i="58" s="1"/>
  <c r="AE109" i="58"/>
  <c r="V109" i="58"/>
  <c r="AB109" i="58" s="1"/>
  <c r="AE108" i="58"/>
  <c r="V108" i="58"/>
  <c r="AB108" i="58" s="1"/>
  <c r="AE107" i="58"/>
  <c r="V107" i="58"/>
  <c r="AB107" i="58" s="1"/>
  <c r="AE106" i="58"/>
  <c r="V106" i="58"/>
  <c r="AB106" i="58" s="1"/>
  <c r="AE105" i="58"/>
  <c r="V105" i="58"/>
  <c r="AB105" i="58" s="1"/>
  <c r="AD104" i="58"/>
  <c r="X104" i="58"/>
  <c r="W104" i="58"/>
  <c r="AC104" i="58" s="1"/>
  <c r="AD103" i="58"/>
  <c r="X103" i="58"/>
  <c r="W103" i="58"/>
  <c r="AD102" i="58"/>
  <c r="AC102" i="58"/>
  <c r="X102" i="58"/>
  <c r="W102" i="58"/>
  <c r="AD101" i="58"/>
  <c r="X101" i="58"/>
  <c r="W101" i="58"/>
  <c r="AD100" i="58"/>
  <c r="X100" i="58"/>
  <c r="W100" i="58"/>
  <c r="AD99" i="58"/>
  <c r="X99" i="58"/>
  <c r="W99" i="58"/>
  <c r="AC99" i="58" s="1"/>
  <c r="AD98" i="58"/>
  <c r="X98" i="58"/>
  <c r="W98" i="58"/>
  <c r="AD97" i="58"/>
  <c r="X97" i="58"/>
  <c r="W97" i="58"/>
  <c r="AD96" i="58"/>
  <c r="X96" i="58"/>
  <c r="W96" i="58"/>
  <c r="AD95" i="58"/>
  <c r="X95" i="58"/>
  <c r="W95" i="58"/>
  <c r="AC95" i="58" s="1"/>
  <c r="AD94" i="58"/>
  <c r="X94" i="58"/>
  <c r="W94" i="58"/>
  <c r="AC94" i="58" s="1"/>
  <c r="AD93" i="58"/>
  <c r="X93" i="58"/>
  <c r="W93" i="58"/>
  <c r="AD92" i="58"/>
  <c r="X92" i="58"/>
  <c r="W92" i="58"/>
  <c r="AD91" i="58"/>
  <c r="X91" i="58"/>
  <c r="W91" i="58"/>
  <c r="AD90" i="58"/>
  <c r="X90" i="58"/>
  <c r="W90" i="58"/>
  <c r="AD89" i="58"/>
  <c r="X89" i="58"/>
  <c r="W89" i="58"/>
  <c r="AD88" i="58"/>
  <c r="X88" i="58"/>
  <c r="W88" i="58"/>
  <c r="AD87" i="58"/>
  <c r="X87" i="58"/>
  <c r="W87" i="58"/>
  <c r="AD86" i="58"/>
  <c r="X86" i="58"/>
  <c r="W86" i="58"/>
  <c r="AC86" i="58" s="1"/>
  <c r="AD85" i="58"/>
  <c r="X85" i="58"/>
  <c r="W85" i="58"/>
  <c r="AD84" i="58"/>
  <c r="X84" i="58"/>
  <c r="W84" i="58"/>
  <c r="AD83" i="58"/>
  <c r="X83" i="58"/>
  <c r="W83" i="58"/>
  <c r="AD82" i="58"/>
  <c r="X82" i="58"/>
  <c r="W82" i="58"/>
  <c r="AD81" i="58"/>
  <c r="X81" i="58"/>
  <c r="W81" i="58"/>
  <c r="AD80" i="58"/>
  <c r="X80" i="58"/>
  <c r="W80" i="58"/>
  <c r="AD79" i="58"/>
  <c r="X79" i="58"/>
  <c r="W79" i="58"/>
  <c r="AD78" i="58"/>
  <c r="X78" i="58"/>
  <c r="W78" i="58"/>
  <c r="AD77" i="58"/>
  <c r="X77" i="58"/>
  <c r="W77" i="58"/>
  <c r="AD76" i="58"/>
  <c r="X76" i="58"/>
  <c r="W76" i="58"/>
  <c r="AD75" i="58"/>
  <c r="X75" i="58"/>
  <c r="W75" i="58"/>
  <c r="AD74" i="58"/>
  <c r="X74" i="58"/>
  <c r="W74" i="58"/>
  <c r="AD73" i="58"/>
  <c r="X73" i="58"/>
  <c r="W73" i="58"/>
  <c r="AD72" i="58"/>
  <c r="X72" i="58"/>
  <c r="W72" i="58"/>
  <c r="AD71" i="58"/>
  <c r="X71" i="58"/>
  <c r="W71" i="58"/>
  <c r="AE70" i="58"/>
  <c r="V70" i="58"/>
  <c r="AB70" i="58" s="1"/>
  <c r="AE69" i="58"/>
  <c r="V69" i="58"/>
  <c r="AB69" i="58" s="1"/>
  <c r="AE68" i="58"/>
  <c r="V68" i="58"/>
  <c r="AB68" i="58" s="1"/>
  <c r="AE67" i="58"/>
  <c r="V67" i="58"/>
  <c r="AB67" i="58" s="1"/>
  <c r="AE66" i="58"/>
  <c r="V66" i="58"/>
  <c r="AB66" i="58" s="1"/>
  <c r="AE65" i="58"/>
  <c r="V65" i="58"/>
  <c r="AB65" i="58" s="1"/>
  <c r="AE64" i="58"/>
  <c r="V64" i="58"/>
  <c r="AB64" i="58" s="1"/>
  <c r="AE63" i="58"/>
  <c r="V63" i="58"/>
  <c r="AB63" i="58" s="1"/>
  <c r="AE62" i="58"/>
  <c r="V62" i="58"/>
  <c r="AB62" i="58" s="1"/>
  <c r="AE61" i="58"/>
  <c r="V61" i="58"/>
  <c r="AB61" i="58" s="1"/>
  <c r="AE60" i="58"/>
  <c r="V60" i="58"/>
  <c r="AB60" i="58" s="1"/>
  <c r="AE59" i="58"/>
  <c r="V59" i="58"/>
  <c r="AB59" i="58" s="1"/>
  <c r="AE58" i="58"/>
  <c r="V58" i="58"/>
  <c r="AB58" i="58" s="1"/>
  <c r="AE57" i="58"/>
  <c r="V57" i="58"/>
  <c r="AB57" i="58" s="1"/>
  <c r="AE56" i="58"/>
  <c r="V56" i="58"/>
  <c r="AB56" i="58" s="1"/>
  <c r="AD55" i="58"/>
  <c r="X55" i="58"/>
  <c r="W55" i="58"/>
  <c r="AD54" i="58"/>
  <c r="X54" i="58"/>
  <c r="W54" i="58"/>
  <c r="AD53" i="58"/>
  <c r="X53" i="58"/>
  <c r="W53" i="58"/>
  <c r="AD52" i="58"/>
  <c r="X52" i="58"/>
  <c r="W52" i="58"/>
  <c r="AD51" i="58"/>
  <c r="X51" i="58"/>
  <c r="W51" i="58"/>
  <c r="AD50" i="58"/>
  <c r="X50" i="58"/>
  <c r="W50" i="58"/>
  <c r="AD49" i="58"/>
  <c r="X49" i="58"/>
  <c r="W49" i="58"/>
  <c r="AD48" i="58"/>
  <c r="X48" i="58"/>
  <c r="W48" i="58"/>
  <c r="AD47" i="58"/>
  <c r="X47" i="58"/>
  <c r="W47" i="58"/>
  <c r="AD46" i="58"/>
  <c r="X46" i="58"/>
  <c r="W46" i="58"/>
  <c r="AD45" i="58"/>
  <c r="X45" i="58"/>
  <c r="W45" i="58"/>
  <c r="AD44" i="58"/>
  <c r="X44" i="58"/>
  <c r="W44" i="58"/>
  <c r="AD43" i="58"/>
  <c r="X43" i="58"/>
  <c r="W43" i="58"/>
  <c r="AD42" i="58"/>
  <c r="X42" i="58"/>
  <c r="W42" i="58"/>
  <c r="AD41" i="58"/>
  <c r="X41" i="58"/>
  <c r="W41" i="58"/>
  <c r="AD40" i="58"/>
  <c r="X40" i="58"/>
  <c r="W40" i="58"/>
  <c r="X25" i="58"/>
  <c r="W25" i="58"/>
  <c r="V25" i="58"/>
  <c r="AB25" i="58" s="1"/>
  <c r="X24" i="58"/>
  <c r="W24" i="58"/>
  <c r="V24" i="58"/>
  <c r="AB24" i="58" s="1"/>
  <c r="X23" i="58"/>
  <c r="W23" i="58"/>
  <c r="V23" i="58"/>
  <c r="AB23" i="58" s="1"/>
  <c r="X22" i="58"/>
  <c r="W22" i="58"/>
  <c r="V22" i="58"/>
  <c r="AB22" i="58" s="1"/>
  <c r="X21" i="58"/>
  <c r="W21" i="58"/>
  <c r="V21" i="58"/>
  <c r="AB21" i="58" s="1"/>
  <c r="X20" i="58"/>
  <c r="W20" i="58"/>
  <c r="V20" i="58"/>
  <c r="AB20" i="58" s="1"/>
  <c r="X19" i="58"/>
  <c r="W19" i="58"/>
  <c r="V19" i="58"/>
  <c r="AB19" i="58" s="1"/>
  <c r="X18" i="58"/>
  <c r="W18" i="58"/>
  <c r="V18" i="58"/>
  <c r="AB18" i="58" s="1"/>
  <c r="X17" i="58"/>
  <c r="W17" i="58"/>
  <c r="V17" i="58"/>
  <c r="AB17" i="58" s="1"/>
  <c r="X16" i="58"/>
  <c r="W16" i="58"/>
  <c r="V16" i="58"/>
  <c r="AB16" i="58" s="1"/>
  <c r="X15" i="58"/>
  <c r="W15" i="58"/>
  <c r="V15" i="58"/>
  <c r="AB15" i="58" s="1"/>
  <c r="X14" i="58"/>
  <c r="W14" i="58"/>
  <c r="V14" i="58"/>
  <c r="AB14" i="58" s="1"/>
  <c r="X13" i="58"/>
  <c r="W13" i="58"/>
  <c r="V13" i="58"/>
  <c r="AB13" i="58" s="1"/>
  <c r="X12" i="58"/>
  <c r="W12" i="58"/>
  <c r="V12" i="58"/>
  <c r="AB12" i="58" s="1"/>
  <c r="X11" i="58"/>
  <c r="W11" i="58"/>
  <c r="V11" i="58"/>
  <c r="AB11" i="58" s="1"/>
  <c r="X10" i="58"/>
  <c r="W10" i="58"/>
  <c r="V10" i="58"/>
  <c r="AB10" i="58" s="1"/>
  <c r="X9" i="58"/>
  <c r="W9" i="58"/>
  <c r="AC9" i="58" s="1"/>
  <c r="V9" i="58"/>
  <c r="AB9" i="58" s="1"/>
  <c r="X8" i="58"/>
  <c r="W8" i="58"/>
  <c r="V8" i="58"/>
  <c r="AB8" i="58" s="1"/>
  <c r="X7" i="58"/>
  <c r="W7" i="58"/>
  <c r="V7" i="58"/>
  <c r="AB7" i="58" s="1"/>
  <c r="X6" i="58"/>
  <c r="W6" i="58"/>
  <c r="V6" i="58"/>
  <c r="AB6" i="58" s="1"/>
  <c r="X5" i="58"/>
  <c r="W5" i="58"/>
  <c r="AC5" i="58" s="1"/>
  <c r="V5" i="58"/>
  <c r="AB5" i="58" s="1"/>
  <c r="X4" i="58"/>
  <c r="W4" i="58"/>
  <c r="V4" i="58"/>
  <c r="AB4" i="58" s="1"/>
  <c r="X3" i="58"/>
  <c r="W3" i="58"/>
  <c r="V3" i="58"/>
  <c r="AB3" i="58" s="1"/>
  <c r="X2" i="58"/>
  <c r="W2" i="58"/>
  <c r="V2" i="58"/>
  <c r="AB2" i="58" s="1"/>
  <c r="M40" i="5"/>
  <c r="M39" i="5"/>
  <c r="M38" i="5"/>
  <c r="AJ9" i="58"/>
  <c r="AI9" i="58"/>
  <c r="AJ4" i="58"/>
  <c r="AI4" i="58"/>
  <c r="AJ3" i="58"/>
  <c r="AI3" i="58"/>
  <c r="AJ2" i="58"/>
  <c r="AI2" i="58"/>
  <c r="AD368" i="58"/>
  <c r="AD367" i="58"/>
  <c r="AD366" i="58"/>
  <c r="AD365" i="58"/>
  <c r="AD364" i="58"/>
  <c r="AD363" i="58"/>
  <c r="AD362" i="58"/>
  <c r="AD361" i="58"/>
  <c r="AD360" i="58"/>
  <c r="AD359" i="58"/>
  <c r="AD358" i="58"/>
  <c r="AD357" i="58"/>
  <c r="AD356" i="58"/>
  <c r="AD355" i="58"/>
  <c r="AD354" i="58"/>
  <c r="AD353" i="58"/>
  <c r="AD352" i="58"/>
  <c r="AD351" i="58"/>
  <c r="AD350" i="58"/>
  <c r="AD349" i="58"/>
  <c r="AD348" i="58"/>
  <c r="AD347" i="58"/>
  <c r="AD346" i="58"/>
  <c r="AD345" i="58"/>
  <c r="AD344" i="58"/>
  <c r="AD343" i="58"/>
  <c r="AD342" i="58"/>
  <c r="AD341" i="58"/>
  <c r="AD340" i="58"/>
  <c r="AD339" i="58"/>
  <c r="AD338" i="58"/>
  <c r="AD337" i="58"/>
  <c r="AD336" i="58"/>
  <c r="AD335" i="58"/>
  <c r="AD334" i="58"/>
  <c r="AD333" i="58"/>
  <c r="AD332" i="58"/>
  <c r="AD331" i="58"/>
  <c r="AD330" i="58"/>
  <c r="AD329" i="58"/>
  <c r="AD328" i="58"/>
  <c r="AD327" i="58"/>
  <c r="AD326" i="58"/>
  <c r="AD325" i="58"/>
  <c r="AD324" i="58"/>
  <c r="AD323" i="58"/>
  <c r="AD322" i="58"/>
  <c r="AD321" i="58"/>
  <c r="AD320" i="58"/>
  <c r="AD319" i="58"/>
  <c r="AD318" i="58"/>
  <c r="AD317" i="58"/>
  <c r="AD316" i="58"/>
  <c r="AD315" i="58"/>
  <c r="AD314" i="58"/>
  <c r="AD313" i="58"/>
  <c r="AD312" i="58"/>
  <c r="AD311" i="58"/>
  <c r="AD310" i="58"/>
  <c r="AD309" i="58"/>
  <c r="AD308" i="58"/>
  <c r="AD307" i="58"/>
  <c r="AD306" i="58"/>
  <c r="AD305" i="58"/>
  <c r="AD304" i="58"/>
  <c r="AD303" i="58"/>
  <c r="AD302" i="58"/>
  <c r="AD301" i="58"/>
  <c r="AD300" i="58"/>
  <c r="AD299" i="58"/>
  <c r="AD298" i="58"/>
  <c r="AD297" i="58"/>
  <c r="AD296" i="58"/>
  <c r="AD295" i="58"/>
  <c r="AD294" i="58"/>
  <c r="AD293" i="58"/>
  <c r="AD292" i="58"/>
  <c r="AD291" i="58"/>
  <c r="AD290" i="58"/>
  <c r="AD289" i="58"/>
  <c r="AD288" i="58"/>
  <c r="AD287" i="58"/>
  <c r="AD286" i="58"/>
  <c r="AD285" i="58"/>
  <c r="AD284" i="58"/>
  <c r="AD283" i="58"/>
  <c r="AD282" i="58"/>
  <c r="AD281" i="58"/>
  <c r="AD280" i="58"/>
  <c r="AD279" i="58"/>
  <c r="AD278" i="58"/>
  <c r="AD277" i="58"/>
  <c r="AD276" i="58"/>
  <c r="AD275" i="58"/>
  <c r="AD274" i="58"/>
  <c r="AD273" i="58"/>
  <c r="AD272" i="58"/>
  <c r="AD271" i="58"/>
  <c r="AD270" i="58"/>
  <c r="AD269" i="58"/>
  <c r="AD268" i="58"/>
  <c r="AD267" i="58"/>
  <c r="AD266" i="58"/>
  <c r="AD265" i="58"/>
  <c r="AD264" i="58"/>
  <c r="AD263" i="58"/>
  <c r="AD262" i="58"/>
  <c r="AD261" i="58"/>
  <c r="AD260" i="58"/>
  <c r="AD259" i="58"/>
  <c r="AD258" i="58"/>
  <c r="AD257" i="58"/>
  <c r="AD256" i="58"/>
  <c r="AD255" i="58"/>
  <c r="AD254" i="58"/>
  <c r="AD253" i="58"/>
  <c r="AD252" i="58"/>
  <c r="AD251" i="58"/>
  <c r="AD250" i="58"/>
  <c r="AD249" i="58"/>
  <c r="AD248" i="58"/>
  <c r="AD247" i="58"/>
  <c r="AD246" i="58"/>
  <c r="AD245" i="58"/>
  <c r="AD244" i="58"/>
  <c r="AD243" i="58"/>
  <c r="AD242" i="58"/>
  <c r="AD241" i="58"/>
  <c r="AD240" i="58"/>
  <c r="AD239" i="58"/>
  <c r="AD238" i="58"/>
  <c r="AD237" i="58"/>
  <c r="AD236" i="58"/>
  <c r="AD235" i="58"/>
  <c r="AD234" i="58"/>
  <c r="AD233" i="58"/>
  <c r="AD232" i="58"/>
  <c r="AD231" i="58"/>
  <c r="AD230" i="58"/>
  <c r="AD229" i="58"/>
  <c r="AD228" i="58"/>
  <c r="AD227" i="58"/>
  <c r="AD226" i="58"/>
  <c r="AD225" i="58"/>
  <c r="AD224" i="58"/>
  <c r="AD223" i="58"/>
  <c r="AD222" i="58"/>
  <c r="AD221" i="58"/>
  <c r="AD220" i="58"/>
  <c r="AD219" i="58"/>
  <c r="AD218" i="58"/>
  <c r="AD217" i="58"/>
  <c r="AD216" i="58"/>
  <c r="AD215" i="58"/>
  <c r="AD214" i="58"/>
  <c r="AD213" i="58"/>
  <c r="AD212" i="58"/>
  <c r="AD211" i="58"/>
  <c r="AD210" i="58"/>
  <c r="AD209" i="58"/>
  <c r="AD208" i="58"/>
  <c r="AD207" i="58"/>
  <c r="AD206" i="58"/>
  <c r="AD205" i="58"/>
  <c r="AD204" i="58"/>
  <c r="AD203" i="58"/>
  <c r="AD202" i="58"/>
  <c r="AD201" i="58"/>
  <c r="AD200" i="58"/>
  <c r="AD199" i="58"/>
  <c r="AD198" i="58"/>
  <c r="AD197" i="58"/>
  <c r="AD196" i="58"/>
  <c r="AD195" i="58"/>
  <c r="AD194" i="58"/>
  <c r="AD193" i="58"/>
  <c r="AD192" i="58"/>
  <c r="AD191" i="58"/>
  <c r="AD190" i="58"/>
  <c r="AD189" i="58"/>
  <c r="AD188" i="58"/>
  <c r="AD187" i="58"/>
  <c r="AD186" i="58"/>
  <c r="AD185" i="58"/>
  <c r="AD184" i="58"/>
  <c r="AD183" i="58"/>
  <c r="AD182" i="58"/>
  <c r="AD181" i="58"/>
  <c r="AD180" i="58"/>
  <c r="AD179" i="58"/>
  <c r="AD178" i="58"/>
  <c r="AD39" i="58"/>
  <c r="AD38" i="58"/>
  <c r="AD37" i="58"/>
  <c r="AD36" i="58"/>
  <c r="AD35" i="58"/>
  <c r="AD34" i="58"/>
  <c r="AD33" i="58"/>
  <c r="AD32" i="58"/>
  <c r="AD31" i="58"/>
  <c r="AD30" i="58"/>
  <c r="AD29" i="58"/>
  <c r="AD28" i="58"/>
  <c r="AD27" i="58"/>
  <c r="AD26" i="58"/>
  <c r="V388" i="58"/>
  <c r="AB388" i="58" s="1"/>
  <c r="V387" i="58"/>
  <c r="AB387" i="58" s="1"/>
  <c r="V386" i="58"/>
  <c r="AB386" i="58" s="1"/>
  <c r="V385" i="58"/>
  <c r="AB385" i="58" s="1"/>
  <c r="V384" i="58"/>
  <c r="AB384" i="58" s="1"/>
  <c r="V383" i="58"/>
  <c r="AB383" i="58" s="1"/>
  <c r="V382" i="58"/>
  <c r="AB382" i="58" s="1"/>
  <c r="V381" i="58"/>
  <c r="AB381" i="58" s="1"/>
  <c r="V380" i="58"/>
  <c r="AB380" i="58" s="1"/>
  <c r="V379" i="58"/>
  <c r="AB379" i="58" s="1"/>
  <c r="V378" i="58"/>
  <c r="AB378" i="58" s="1"/>
  <c r="V377" i="58"/>
  <c r="AB377" i="58" s="1"/>
  <c r="V376" i="58"/>
  <c r="AB376" i="58" s="1"/>
  <c r="V375" i="58"/>
  <c r="AB375" i="58" s="1"/>
  <c r="V374" i="58"/>
  <c r="AB374" i="58" s="1"/>
  <c r="V373" i="58"/>
  <c r="AB373" i="58" s="1"/>
  <c r="V372" i="58"/>
  <c r="AB372" i="58" s="1"/>
  <c r="V371" i="58"/>
  <c r="AB371" i="58" s="1"/>
  <c r="V370" i="58"/>
  <c r="AB370" i="58" s="1"/>
  <c r="V369" i="58"/>
  <c r="AB369" i="58" s="1"/>
  <c r="X368" i="58"/>
  <c r="W368" i="58"/>
  <c r="V368" i="58"/>
  <c r="AB368" i="58" s="1"/>
  <c r="X367" i="58"/>
  <c r="W367" i="58"/>
  <c r="V367" i="58"/>
  <c r="AB367" i="58" s="1"/>
  <c r="X366" i="58"/>
  <c r="W366" i="58"/>
  <c r="V366" i="58"/>
  <c r="AB366" i="58" s="1"/>
  <c r="X365" i="58"/>
  <c r="W365" i="58"/>
  <c r="V365" i="58"/>
  <c r="AB365" i="58" s="1"/>
  <c r="X364" i="58"/>
  <c r="W364" i="58"/>
  <c r="V364" i="58"/>
  <c r="AB364" i="58" s="1"/>
  <c r="X363" i="58"/>
  <c r="W363" i="58"/>
  <c r="V363" i="58"/>
  <c r="AB363" i="58" s="1"/>
  <c r="X362" i="58"/>
  <c r="W362" i="58"/>
  <c r="V362" i="58"/>
  <c r="AB362" i="58" s="1"/>
  <c r="X361" i="58"/>
  <c r="W361" i="58"/>
  <c r="V361" i="58"/>
  <c r="AB361" i="58" s="1"/>
  <c r="X360" i="58"/>
  <c r="W360" i="58"/>
  <c r="V360" i="58"/>
  <c r="AB360" i="58" s="1"/>
  <c r="X359" i="58"/>
  <c r="W359" i="58"/>
  <c r="V359" i="58"/>
  <c r="AB359" i="58" s="1"/>
  <c r="X358" i="58"/>
  <c r="W358" i="58"/>
  <c r="V358" i="58"/>
  <c r="AB358" i="58" s="1"/>
  <c r="X357" i="58"/>
  <c r="W357" i="58"/>
  <c r="V357" i="58"/>
  <c r="AB357" i="58" s="1"/>
  <c r="X356" i="58"/>
  <c r="W356" i="58"/>
  <c r="V356" i="58"/>
  <c r="AB356" i="58" s="1"/>
  <c r="X355" i="58"/>
  <c r="W355" i="58"/>
  <c r="V355" i="58"/>
  <c r="AB355" i="58" s="1"/>
  <c r="X354" i="58"/>
  <c r="W354" i="58"/>
  <c r="V354" i="58"/>
  <c r="AB354" i="58" s="1"/>
  <c r="X353" i="58"/>
  <c r="W353" i="58"/>
  <c r="V353" i="58"/>
  <c r="AB353" i="58" s="1"/>
  <c r="X352" i="58"/>
  <c r="W352" i="58"/>
  <c r="V352" i="58"/>
  <c r="AB352" i="58" s="1"/>
  <c r="X351" i="58"/>
  <c r="W351" i="58"/>
  <c r="V351" i="58"/>
  <c r="AB351" i="58" s="1"/>
  <c r="X350" i="58"/>
  <c r="W350" i="58"/>
  <c r="V350" i="58"/>
  <c r="AB350" i="58" s="1"/>
  <c r="X349" i="58"/>
  <c r="W349" i="58"/>
  <c r="V349" i="58"/>
  <c r="AB349" i="58" s="1"/>
  <c r="X348" i="58"/>
  <c r="W348" i="58"/>
  <c r="V348" i="58"/>
  <c r="AB348" i="58" s="1"/>
  <c r="X347" i="58"/>
  <c r="W347" i="58"/>
  <c r="V347" i="58"/>
  <c r="AB347" i="58" s="1"/>
  <c r="X346" i="58"/>
  <c r="W346" i="58"/>
  <c r="V346" i="58"/>
  <c r="AB346" i="58" s="1"/>
  <c r="X345" i="58"/>
  <c r="W345" i="58"/>
  <c r="V345" i="58"/>
  <c r="AB345" i="58" s="1"/>
  <c r="X344" i="58"/>
  <c r="W344" i="58"/>
  <c r="V344" i="58"/>
  <c r="AB344" i="58" s="1"/>
  <c r="X343" i="58"/>
  <c r="W343" i="58"/>
  <c r="V343" i="58"/>
  <c r="AB343" i="58" s="1"/>
  <c r="X342" i="58"/>
  <c r="W342" i="58"/>
  <c r="V342" i="58"/>
  <c r="AB342" i="58" s="1"/>
  <c r="X341" i="58"/>
  <c r="W341" i="58"/>
  <c r="V341" i="58"/>
  <c r="AB341" i="58" s="1"/>
  <c r="X340" i="58"/>
  <c r="W340" i="58"/>
  <c r="V340" i="58"/>
  <c r="AB340" i="58" s="1"/>
  <c r="X339" i="58"/>
  <c r="W339" i="58"/>
  <c r="V339" i="58"/>
  <c r="AB339" i="58" s="1"/>
  <c r="X338" i="58"/>
  <c r="W338" i="58"/>
  <c r="V338" i="58"/>
  <c r="AB338" i="58" s="1"/>
  <c r="X337" i="58"/>
  <c r="W337" i="58"/>
  <c r="V337" i="58"/>
  <c r="AB337" i="58" s="1"/>
  <c r="X336" i="58"/>
  <c r="W336" i="58"/>
  <c r="V336" i="58"/>
  <c r="AB336" i="58" s="1"/>
  <c r="X335" i="58"/>
  <c r="W335" i="58"/>
  <c r="V335" i="58"/>
  <c r="AB335" i="58" s="1"/>
  <c r="X334" i="58"/>
  <c r="W334" i="58"/>
  <c r="V334" i="58"/>
  <c r="AB334" i="58" s="1"/>
  <c r="X333" i="58"/>
  <c r="W333" i="58"/>
  <c r="V333" i="58"/>
  <c r="AB333" i="58" s="1"/>
  <c r="X332" i="58"/>
  <c r="W332" i="58"/>
  <c r="V332" i="58"/>
  <c r="AB332" i="58" s="1"/>
  <c r="X331" i="58"/>
  <c r="W331" i="58"/>
  <c r="V331" i="58"/>
  <c r="AB331" i="58" s="1"/>
  <c r="X330" i="58"/>
  <c r="W330" i="58"/>
  <c r="V330" i="58"/>
  <c r="AB330" i="58" s="1"/>
  <c r="X329" i="58"/>
  <c r="W329" i="58"/>
  <c r="V329" i="58"/>
  <c r="AB329" i="58" s="1"/>
  <c r="X328" i="58"/>
  <c r="W328" i="58"/>
  <c r="V328" i="58"/>
  <c r="AB328" i="58" s="1"/>
  <c r="X327" i="58"/>
  <c r="W327" i="58"/>
  <c r="V327" i="58"/>
  <c r="AB327" i="58" s="1"/>
  <c r="X326" i="58"/>
  <c r="W326" i="58"/>
  <c r="V326" i="58"/>
  <c r="AB326" i="58" s="1"/>
  <c r="X325" i="58"/>
  <c r="W325" i="58"/>
  <c r="V325" i="58"/>
  <c r="AB325" i="58" s="1"/>
  <c r="X324" i="58"/>
  <c r="W324" i="58"/>
  <c r="V324" i="58"/>
  <c r="AB324" i="58" s="1"/>
  <c r="X323" i="58"/>
  <c r="W323" i="58"/>
  <c r="V323" i="58"/>
  <c r="AB323" i="58" s="1"/>
  <c r="X322" i="58"/>
  <c r="W322" i="58"/>
  <c r="V322" i="58"/>
  <c r="AB322" i="58" s="1"/>
  <c r="X321" i="58"/>
  <c r="W321" i="58"/>
  <c r="V321" i="58"/>
  <c r="AB321" i="58" s="1"/>
  <c r="X320" i="58"/>
  <c r="W320" i="58"/>
  <c r="V320" i="58"/>
  <c r="AB320" i="58" s="1"/>
  <c r="X319" i="58"/>
  <c r="W319" i="58"/>
  <c r="V319" i="58"/>
  <c r="AB319" i="58" s="1"/>
  <c r="X318" i="58"/>
  <c r="W318" i="58"/>
  <c r="V318" i="58"/>
  <c r="AB318" i="58" s="1"/>
  <c r="X317" i="58"/>
  <c r="W317" i="58"/>
  <c r="V317" i="58"/>
  <c r="AB317" i="58" s="1"/>
  <c r="X316" i="58"/>
  <c r="W316" i="58"/>
  <c r="V316" i="58"/>
  <c r="AB316" i="58" s="1"/>
  <c r="X315" i="58"/>
  <c r="W315" i="58"/>
  <c r="V315" i="58"/>
  <c r="AB315" i="58" s="1"/>
  <c r="X314" i="58"/>
  <c r="W314" i="58"/>
  <c r="V314" i="58"/>
  <c r="AB314" i="58" s="1"/>
  <c r="X313" i="58"/>
  <c r="W313" i="58"/>
  <c r="V313" i="58"/>
  <c r="AB313" i="58" s="1"/>
  <c r="X312" i="58"/>
  <c r="W312" i="58"/>
  <c r="V312" i="58"/>
  <c r="AB312" i="58" s="1"/>
  <c r="X311" i="58"/>
  <c r="W311" i="58"/>
  <c r="V311" i="58"/>
  <c r="AB311" i="58" s="1"/>
  <c r="X310" i="58"/>
  <c r="W310" i="58"/>
  <c r="V310" i="58"/>
  <c r="AB310" i="58" s="1"/>
  <c r="X309" i="58"/>
  <c r="W309" i="58"/>
  <c r="V309" i="58"/>
  <c r="AB309" i="58" s="1"/>
  <c r="X308" i="58"/>
  <c r="W308" i="58"/>
  <c r="V308" i="58"/>
  <c r="AB308" i="58" s="1"/>
  <c r="X307" i="58"/>
  <c r="W307" i="58"/>
  <c r="V307" i="58"/>
  <c r="AB307" i="58" s="1"/>
  <c r="X306" i="58"/>
  <c r="W306" i="58"/>
  <c r="V306" i="58"/>
  <c r="AB306" i="58" s="1"/>
  <c r="X305" i="58"/>
  <c r="W305" i="58"/>
  <c r="V305" i="58"/>
  <c r="AB305" i="58" s="1"/>
  <c r="X304" i="58"/>
  <c r="W304" i="58"/>
  <c r="V304" i="58"/>
  <c r="AB304" i="58" s="1"/>
  <c r="X303" i="58"/>
  <c r="W303" i="58"/>
  <c r="V303" i="58"/>
  <c r="AB303" i="58" s="1"/>
  <c r="X302" i="58"/>
  <c r="W302" i="58"/>
  <c r="V302" i="58"/>
  <c r="AB302" i="58" s="1"/>
  <c r="X301" i="58"/>
  <c r="W301" i="58"/>
  <c r="V301" i="58"/>
  <c r="AB301" i="58" s="1"/>
  <c r="X300" i="58"/>
  <c r="W300" i="58"/>
  <c r="V300" i="58"/>
  <c r="AB300" i="58" s="1"/>
  <c r="X299" i="58"/>
  <c r="W299" i="58"/>
  <c r="V299" i="58"/>
  <c r="AB299" i="58" s="1"/>
  <c r="X298" i="58"/>
  <c r="W298" i="58"/>
  <c r="V298" i="58"/>
  <c r="AB298" i="58" s="1"/>
  <c r="X297" i="58"/>
  <c r="W297" i="58"/>
  <c r="V297" i="58"/>
  <c r="AB297" i="58" s="1"/>
  <c r="X296" i="58"/>
  <c r="W296" i="58"/>
  <c r="V296" i="58"/>
  <c r="AB296" i="58" s="1"/>
  <c r="X295" i="58"/>
  <c r="W295" i="58"/>
  <c r="AC295" i="58" s="1"/>
  <c r="V295" i="58"/>
  <c r="AB295" i="58" s="1"/>
  <c r="X294" i="58"/>
  <c r="W294" i="58"/>
  <c r="V294" i="58"/>
  <c r="AB294" i="58" s="1"/>
  <c r="X293" i="58"/>
  <c r="W293" i="58"/>
  <c r="V293" i="58"/>
  <c r="AB293" i="58" s="1"/>
  <c r="X292" i="58"/>
  <c r="W292" i="58"/>
  <c r="V292" i="58"/>
  <c r="AB292" i="58" s="1"/>
  <c r="X291" i="58"/>
  <c r="W291" i="58"/>
  <c r="V291" i="58"/>
  <c r="AB291" i="58" s="1"/>
  <c r="X290" i="58"/>
  <c r="W290" i="58"/>
  <c r="V290" i="58"/>
  <c r="AB290" i="58" s="1"/>
  <c r="X289" i="58"/>
  <c r="W289" i="58"/>
  <c r="V289" i="58"/>
  <c r="AB289" i="58" s="1"/>
  <c r="X288" i="58"/>
  <c r="W288" i="58"/>
  <c r="V288" i="58"/>
  <c r="AB288" i="58" s="1"/>
  <c r="X287" i="58"/>
  <c r="W287" i="58"/>
  <c r="AC287" i="58" s="1"/>
  <c r="V287" i="58"/>
  <c r="AB287" i="58" s="1"/>
  <c r="X286" i="58"/>
  <c r="W286" i="58"/>
  <c r="V286" i="58"/>
  <c r="AB286" i="58" s="1"/>
  <c r="X285" i="58"/>
  <c r="W285" i="58"/>
  <c r="V285" i="58"/>
  <c r="AB285" i="58" s="1"/>
  <c r="X284" i="58"/>
  <c r="W284" i="58"/>
  <c r="V284" i="58"/>
  <c r="AB284" i="58" s="1"/>
  <c r="X283" i="58"/>
  <c r="W283" i="58"/>
  <c r="V283" i="58"/>
  <c r="AB283" i="58" s="1"/>
  <c r="X282" i="58"/>
  <c r="W282" i="58"/>
  <c r="V282" i="58"/>
  <c r="AB282" i="58" s="1"/>
  <c r="X281" i="58"/>
  <c r="W281" i="58"/>
  <c r="V281" i="58"/>
  <c r="AB281" i="58" s="1"/>
  <c r="X280" i="58"/>
  <c r="W280" i="58"/>
  <c r="V280" i="58"/>
  <c r="AB280" i="58" s="1"/>
  <c r="X279" i="58"/>
  <c r="W279" i="58"/>
  <c r="AC279" i="58" s="1"/>
  <c r="V279" i="58"/>
  <c r="AB279" i="58" s="1"/>
  <c r="X278" i="58"/>
  <c r="W278" i="58"/>
  <c r="V278" i="58"/>
  <c r="AB278" i="58" s="1"/>
  <c r="X277" i="58"/>
  <c r="W277" i="58"/>
  <c r="V277" i="58"/>
  <c r="AB277" i="58" s="1"/>
  <c r="X276" i="58"/>
  <c r="W276" i="58"/>
  <c r="V276" i="58"/>
  <c r="AB276" i="58" s="1"/>
  <c r="X275" i="58"/>
  <c r="W275" i="58"/>
  <c r="V275" i="58"/>
  <c r="AB275" i="58" s="1"/>
  <c r="X274" i="58"/>
  <c r="W274" i="58"/>
  <c r="V274" i="58"/>
  <c r="AB274" i="58" s="1"/>
  <c r="X273" i="58"/>
  <c r="W273" i="58"/>
  <c r="V273" i="58"/>
  <c r="AB273" i="58" s="1"/>
  <c r="X272" i="58"/>
  <c r="W272" i="58"/>
  <c r="V272" i="58"/>
  <c r="AB272" i="58" s="1"/>
  <c r="X271" i="58"/>
  <c r="W271" i="58"/>
  <c r="V271" i="58"/>
  <c r="AB271" i="58" s="1"/>
  <c r="X270" i="58"/>
  <c r="W270" i="58"/>
  <c r="V270" i="58"/>
  <c r="AB270" i="58" s="1"/>
  <c r="X269" i="58"/>
  <c r="W269" i="58"/>
  <c r="V269" i="58"/>
  <c r="AB269" i="58" s="1"/>
  <c r="X268" i="58"/>
  <c r="W268" i="58"/>
  <c r="V268" i="58"/>
  <c r="AB268" i="58" s="1"/>
  <c r="X267" i="58"/>
  <c r="W267" i="58"/>
  <c r="V267" i="58"/>
  <c r="AB267" i="58" s="1"/>
  <c r="X266" i="58"/>
  <c r="W266" i="58"/>
  <c r="V266" i="58"/>
  <c r="AB266" i="58" s="1"/>
  <c r="X265" i="58"/>
  <c r="W265" i="58"/>
  <c r="V265" i="58"/>
  <c r="AB265" i="58" s="1"/>
  <c r="X264" i="58"/>
  <c r="W264" i="58"/>
  <c r="V264" i="58"/>
  <c r="AB264" i="58" s="1"/>
  <c r="X263" i="58"/>
  <c r="W263" i="58"/>
  <c r="V263" i="58"/>
  <c r="AB263" i="58" s="1"/>
  <c r="X262" i="58"/>
  <c r="W262" i="58"/>
  <c r="V262" i="58"/>
  <c r="AB262" i="58" s="1"/>
  <c r="X261" i="58"/>
  <c r="W261" i="58"/>
  <c r="V261" i="58"/>
  <c r="AB261" i="58" s="1"/>
  <c r="X260" i="58"/>
  <c r="W260" i="58"/>
  <c r="V260" i="58"/>
  <c r="AB260" i="58" s="1"/>
  <c r="X259" i="58"/>
  <c r="W259" i="58"/>
  <c r="V259" i="58"/>
  <c r="AB259" i="58" s="1"/>
  <c r="X258" i="58"/>
  <c r="W258" i="58"/>
  <c r="V258" i="58"/>
  <c r="AB258" i="58" s="1"/>
  <c r="X257" i="58"/>
  <c r="W257" i="58"/>
  <c r="V257" i="58"/>
  <c r="AB257" i="58" s="1"/>
  <c r="X256" i="58"/>
  <c r="W256" i="58"/>
  <c r="V256" i="58"/>
  <c r="AB256" i="58" s="1"/>
  <c r="X255" i="58"/>
  <c r="W255" i="58"/>
  <c r="V255" i="58"/>
  <c r="AB255" i="58" s="1"/>
  <c r="X254" i="58"/>
  <c r="W254" i="58"/>
  <c r="V254" i="58"/>
  <c r="AB254" i="58" s="1"/>
  <c r="X253" i="58"/>
  <c r="W253" i="58"/>
  <c r="V253" i="58"/>
  <c r="AB253" i="58" s="1"/>
  <c r="X252" i="58"/>
  <c r="W252" i="58"/>
  <c r="V252" i="58"/>
  <c r="AB252" i="58" s="1"/>
  <c r="X251" i="58"/>
  <c r="W251" i="58"/>
  <c r="V251" i="58"/>
  <c r="AB251" i="58" s="1"/>
  <c r="X250" i="58"/>
  <c r="W250" i="58"/>
  <c r="V250" i="58"/>
  <c r="AB250" i="58" s="1"/>
  <c r="X249" i="58"/>
  <c r="W249" i="58"/>
  <c r="V249" i="58"/>
  <c r="AB249" i="58" s="1"/>
  <c r="X248" i="58"/>
  <c r="W248" i="58"/>
  <c r="V248" i="58"/>
  <c r="AB248" i="58" s="1"/>
  <c r="X247" i="58"/>
  <c r="W247" i="58"/>
  <c r="V247" i="58"/>
  <c r="AB247" i="58" s="1"/>
  <c r="X246" i="58"/>
  <c r="W246" i="58"/>
  <c r="V246" i="58"/>
  <c r="AB246" i="58" s="1"/>
  <c r="X245" i="58"/>
  <c r="W245" i="58"/>
  <c r="V245" i="58"/>
  <c r="AB245" i="58" s="1"/>
  <c r="X244" i="58"/>
  <c r="W244" i="58"/>
  <c r="V244" i="58"/>
  <c r="AB244" i="58" s="1"/>
  <c r="X243" i="58"/>
  <c r="W243" i="58"/>
  <c r="V243" i="58"/>
  <c r="AB243" i="58" s="1"/>
  <c r="X242" i="58"/>
  <c r="W242" i="58"/>
  <c r="V242" i="58"/>
  <c r="AB242" i="58" s="1"/>
  <c r="X241" i="58"/>
  <c r="W241" i="58"/>
  <c r="V241" i="58"/>
  <c r="AB241" i="58" s="1"/>
  <c r="X240" i="58"/>
  <c r="W240" i="58"/>
  <c r="V240" i="58"/>
  <c r="AB240" i="58" s="1"/>
  <c r="X239" i="58"/>
  <c r="W239" i="58"/>
  <c r="V239" i="58"/>
  <c r="AB239" i="58" s="1"/>
  <c r="X238" i="58"/>
  <c r="W238" i="58"/>
  <c r="V238" i="58"/>
  <c r="AB238" i="58" s="1"/>
  <c r="X237" i="58"/>
  <c r="W237" i="58"/>
  <c r="V237" i="58"/>
  <c r="AB237" i="58" s="1"/>
  <c r="X236" i="58"/>
  <c r="W236" i="58"/>
  <c r="V236" i="58"/>
  <c r="AB236" i="58" s="1"/>
  <c r="X235" i="58"/>
  <c r="W235" i="58"/>
  <c r="V235" i="58"/>
  <c r="AB235" i="58" s="1"/>
  <c r="X234" i="58"/>
  <c r="W234" i="58"/>
  <c r="V234" i="58"/>
  <c r="AB234" i="58" s="1"/>
  <c r="X233" i="58"/>
  <c r="W233" i="58"/>
  <c r="V233" i="58"/>
  <c r="AB233" i="58" s="1"/>
  <c r="X232" i="58"/>
  <c r="W232" i="58"/>
  <c r="V232" i="58"/>
  <c r="AB232" i="58" s="1"/>
  <c r="X231" i="58"/>
  <c r="W231" i="58"/>
  <c r="V231" i="58"/>
  <c r="AB231" i="58" s="1"/>
  <c r="X230" i="58"/>
  <c r="W230" i="58"/>
  <c r="V230" i="58"/>
  <c r="AB230" i="58" s="1"/>
  <c r="X229" i="58"/>
  <c r="W229" i="58"/>
  <c r="V229" i="58"/>
  <c r="AB229" i="58" s="1"/>
  <c r="X228" i="58"/>
  <c r="W228" i="58"/>
  <c r="V228" i="58"/>
  <c r="AB228" i="58" s="1"/>
  <c r="X227" i="58"/>
  <c r="W227" i="58"/>
  <c r="V227" i="58"/>
  <c r="AB227" i="58" s="1"/>
  <c r="X226" i="58"/>
  <c r="W226" i="58"/>
  <c r="V226" i="58"/>
  <c r="AB226" i="58" s="1"/>
  <c r="X225" i="58"/>
  <c r="W225" i="58"/>
  <c r="V225" i="58"/>
  <c r="AB225" i="58" s="1"/>
  <c r="X224" i="58"/>
  <c r="W224" i="58"/>
  <c r="V224" i="58"/>
  <c r="AB224" i="58" s="1"/>
  <c r="X223" i="58"/>
  <c r="W223" i="58"/>
  <c r="V223" i="58"/>
  <c r="AB223" i="58" s="1"/>
  <c r="X222" i="58"/>
  <c r="W222" i="58"/>
  <c r="V222" i="58"/>
  <c r="AB222" i="58" s="1"/>
  <c r="X221" i="58"/>
  <c r="W221" i="58"/>
  <c r="V221" i="58"/>
  <c r="AB221" i="58" s="1"/>
  <c r="X220" i="58"/>
  <c r="W220" i="58"/>
  <c r="V220" i="58"/>
  <c r="AB220" i="58" s="1"/>
  <c r="X219" i="58"/>
  <c r="W219" i="58"/>
  <c r="V219" i="58"/>
  <c r="AB219" i="58" s="1"/>
  <c r="X218" i="58"/>
  <c r="W218" i="58"/>
  <c r="V218" i="58"/>
  <c r="AB218" i="58" s="1"/>
  <c r="X217" i="58"/>
  <c r="W217" i="58"/>
  <c r="V217" i="58"/>
  <c r="AB217" i="58" s="1"/>
  <c r="X216" i="58"/>
  <c r="W216" i="58"/>
  <c r="V216" i="58"/>
  <c r="AB216" i="58" s="1"/>
  <c r="X215" i="58"/>
  <c r="W215" i="58"/>
  <c r="V215" i="58"/>
  <c r="AB215" i="58" s="1"/>
  <c r="X214" i="58"/>
  <c r="W214" i="58"/>
  <c r="V214" i="58"/>
  <c r="AB214" i="58" s="1"/>
  <c r="X213" i="58"/>
  <c r="W213" i="58"/>
  <c r="V213" i="58"/>
  <c r="AB213" i="58" s="1"/>
  <c r="X212" i="58"/>
  <c r="W212" i="58"/>
  <c r="V212" i="58"/>
  <c r="AB212" i="58" s="1"/>
  <c r="X211" i="58"/>
  <c r="W211" i="58"/>
  <c r="V211" i="58"/>
  <c r="AB211" i="58" s="1"/>
  <c r="X210" i="58"/>
  <c r="W210" i="58"/>
  <c r="V210" i="58"/>
  <c r="AB210" i="58" s="1"/>
  <c r="X209" i="58"/>
  <c r="W209" i="58"/>
  <c r="V209" i="58"/>
  <c r="AB209" i="58" s="1"/>
  <c r="X208" i="58"/>
  <c r="W208" i="58"/>
  <c r="V208" i="58"/>
  <c r="AB208" i="58" s="1"/>
  <c r="X207" i="58"/>
  <c r="W207" i="58"/>
  <c r="V207" i="58"/>
  <c r="AB207" i="58" s="1"/>
  <c r="X206" i="58"/>
  <c r="W206" i="58"/>
  <c r="V206" i="58"/>
  <c r="AB206" i="58" s="1"/>
  <c r="X205" i="58"/>
  <c r="W205" i="58"/>
  <c r="V205" i="58"/>
  <c r="AB205" i="58" s="1"/>
  <c r="X204" i="58"/>
  <c r="W204" i="58"/>
  <c r="V204" i="58"/>
  <c r="AB204" i="58" s="1"/>
  <c r="X203" i="58"/>
  <c r="W203" i="58"/>
  <c r="V203" i="58"/>
  <c r="AB203" i="58" s="1"/>
  <c r="X202" i="58"/>
  <c r="W202" i="58"/>
  <c r="V202" i="58"/>
  <c r="AB202" i="58" s="1"/>
  <c r="X201" i="58"/>
  <c r="W201" i="58"/>
  <c r="V201" i="58"/>
  <c r="AB201" i="58" s="1"/>
  <c r="X200" i="58"/>
  <c r="W200" i="58"/>
  <c r="V200" i="58"/>
  <c r="AB200" i="58" s="1"/>
  <c r="X199" i="58"/>
  <c r="W199" i="58"/>
  <c r="V199" i="58"/>
  <c r="AB199" i="58" s="1"/>
  <c r="X198" i="58"/>
  <c r="W198" i="58"/>
  <c r="V198" i="58"/>
  <c r="AB198" i="58" s="1"/>
  <c r="X197" i="58"/>
  <c r="W197" i="58"/>
  <c r="V197" i="58"/>
  <c r="AB197" i="58" s="1"/>
  <c r="X196" i="58"/>
  <c r="W196" i="58"/>
  <c r="V196" i="58"/>
  <c r="AB196" i="58" s="1"/>
  <c r="X195" i="58"/>
  <c r="W195" i="58"/>
  <c r="V195" i="58"/>
  <c r="AB195" i="58" s="1"/>
  <c r="X194" i="58"/>
  <c r="W194" i="58"/>
  <c r="V194" i="58"/>
  <c r="AB194" i="58" s="1"/>
  <c r="X193" i="58"/>
  <c r="W193" i="58"/>
  <c r="V193" i="58"/>
  <c r="AB193" i="58" s="1"/>
  <c r="X192" i="58"/>
  <c r="W192" i="58"/>
  <c r="V192" i="58"/>
  <c r="AB192" i="58" s="1"/>
  <c r="X191" i="58"/>
  <c r="W191" i="58"/>
  <c r="V191" i="58"/>
  <c r="AB191" i="58" s="1"/>
  <c r="X190" i="58"/>
  <c r="W190" i="58"/>
  <c r="V190" i="58"/>
  <c r="AB190" i="58" s="1"/>
  <c r="X189" i="58"/>
  <c r="W189" i="58"/>
  <c r="V189" i="58"/>
  <c r="AB189" i="58" s="1"/>
  <c r="X188" i="58"/>
  <c r="W188" i="58"/>
  <c r="V188" i="58"/>
  <c r="AB188" i="58" s="1"/>
  <c r="X187" i="58"/>
  <c r="W187" i="58"/>
  <c r="V187" i="58"/>
  <c r="AB187" i="58" s="1"/>
  <c r="X186" i="58"/>
  <c r="W186" i="58"/>
  <c r="V186" i="58"/>
  <c r="AB186" i="58" s="1"/>
  <c r="X185" i="58"/>
  <c r="W185" i="58"/>
  <c r="V185" i="58"/>
  <c r="AB185" i="58" s="1"/>
  <c r="X184" i="58"/>
  <c r="W184" i="58"/>
  <c r="V184" i="58"/>
  <c r="AB184" i="58" s="1"/>
  <c r="X183" i="58"/>
  <c r="W183" i="58"/>
  <c r="V183" i="58"/>
  <c r="AB183" i="58" s="1"/>
  <c r="X182" i="58"/>
  <c r="W182" i="58"/>
  <c r="V182" i="58"/>
  <c r="AB182" i="58" s="1"/>
  <c r="X181" i="58"/>
  <c r="W181" i="58"/>
  <c r="V181" i="58"/>
  <c r="AB181" i="58" s="1"/>
  <c r="X180" i="58"/>
  <c r="W180" i="58"/>
  <c r="V180" i="58"/>
  <c r="AB180" i="58" s="1"/>
  <c r="X179" i="58"/>
  <c r="W179" i="58"/>
  <c r="V179" i="58"/>
  <c r="AB179" i="58" s="1"/>
  <c r="X178" i="58"/>
  <c r="W178" i="58"/>
  <c r="V178" i="58"/>
  <c r="AB178" i="58" s="1"/>
  <c r="V177" i="58"/>
  <c r="AB177" i="58" s="1"/>
  <c r="V176" i="58"/>
  <c r="AB176" i="58" s="1"/>
  <c r="V175" i="58"/>
  <c r="AB175" i="58" s="1"/>
  <c r="V174" i="58"/>
  <c r="AB174" i="58" s="1"/>
  <c r="V173" i="58"/>
  <c r="AB173" i="58" s="1"/>
  <c r="V172" i="58"/>
  <c r="AB172" i="58" s="1"/>
  <c r="V171" i="58"/>
  <c r="AB171" i="58" s="1"/>
  <c r="V170" i="58"/>
  <c r="AB170" i="58" s="1"/>
  <c r="V169" i="58"/>
  <c r="AB169" i="58" s="1"/>
  <c r="V168" i="58"/>
  <c r="AB168" i="58" s="1"/>
  <c r="V167" i="58"/>
  <c r="AB167" i="58" s="1"/>
  <c r="V166" i="58"/>
  <c r="AB166" i="58" s="1"/>
  <c r="X165" i="58"/>
  <c r="W165" i="58"/>
  <c r="X164" i="58"/>
  <c r="W164" i="58"/>
  <c r="AC164" i="58" s="1"/>
  <c r="X163" i="58"/>
  <c r="W163" i="58"/>
  <c r="X162" i="58"/>
  <c r="W162" i="58"/>
  <c r="AC162" i="58" s="1"/>
  <c r="X161" i="58"/>
  <c r="W161" i="58"/>
  <c r="X160" i="58"/>
  <c r="W160" i="58"/>
  <c r="AC160" i="58" s="1"/>
  <c r="X159" i="58"/>
  <c r="W159" i="58"/>
  <c r="X158" i="58"/>
  <c r="W158" i="58"/>
  <c r="AC158" i="58" s="1"/>
  <c r="X157" i="58"/>
  <c r="W157" i="58"/>
  <c r="X156" i="58"/>
  <c r="W156" i="58"/>
  <c r="AC156" i="58" s="1"/>
  <c r="X155" i="58"/>
  <c r="W155" i="58"/>
  <c r="X154" i="58"/>
  <c r="W154" i="58"/>
  <c r="AC154" i="58" s="1"/>
  <c r="X153" i="58"/>
  <c r="W153" i="58"/>
  <c r="V152" i="58"/>
  <c r="AB152" i="58" s="1"/>
  <c r="V151" i="58"/>
  <c r="AB151" i="58" s="1"/>
  <c r="V150" i="58"/>
  <c r="AB150" i="58" s="1"/>
  <c r="V149" i="58"/>
  <c r="AB149" i="58" s="1"/>
  <c r="V148" i="58"/>
  <c r="AB148" i="58" s="1"/>
  <c r="V147" i="58"/>
  <c r="AB147" i="58" s="1"/>
  <c r="V146" i="58"/>
  <c r="AB146" i="58" s="1"/>
  <c r="V145" i="58"/>
  <c r="AB145" i="58" s="1"/>
  <c r="V144" i="58"/>
  <c r="AB144" i="58" s="1"/>
  <c r="V143" i="58"/>
  <c r="AB143" i="58" s="1"/>
  <c r="V142" i="58"/>
  <c r="AB142" i="58" s="1"/>
  <c r="V141" i="58"/>
  <c r="AB141" i="58" s="1"/>
  <c r="V140" i="58"/>
  <c r="AB140" i="58" s="1"/>
  <c r="V139" i="58"/>
  <c r="AB139" i="58" s="1"/>
  <c r="V138" i="58"/>
  <c r="AB138" i="58" s="1"/>
  <c r="V137" i="58"/>
  <c r="AB137" i="58" s="1"/>
  <c r="V136" i="58"/>
  <c r="AB136" i="58" s="1"/>
  <c r="V135" i="58"/>
  <c r="AB135" i="58" s="1"/>
  <c r="V134" i="58"/>
  <c r="AB134" i="58" s="1"/>
  <c r="V133" i="58"/>
  <c r="AB133" i="58" s="1"/>
  <c r="V132" i="58"/>
  <c r="AB132" i="58" s="1"/>
  <c r="V131" i="58"/>
  <c r="AB131" i="58" s="1"/>
  <c r="V130" i="58"/>
  <c r="AB130" i="58" s="1"/>
  <c r="V129" i="58"/>
  <c r="AB129" i="58" s="1"/>
  <c r="V128" i="58"/>
  <c r="AB128" i="58" s="1"/>
  <c r="V127" i="58"/>
  <c r="AB127" i="58" s="1"/>
  <c r="V126" i="58"/>
  <c r="AB126" i="58" s="1"/>
  <c r="V125" i="58"/>
  <c r="AB125" i="58" s="1"/>
  <c r="V124" i="58"/>
  <c r="AB124" i="58" s="1"/>
  <c r="V123" i="58"/>
  <c r="AB123" i="58" s="1"/>
  <c r="X122" i="58"/>
  <c r="W122" i="58"/>
  <c r="X121" i="58"/>
  <c r="W121" i="58"/>
  <c r="AC121" i="58" s="1"/>
  <c r="X120" i="58"/>
  <c r="W120" i="58"/>
  <c r="X119" i="58"/>
  <c r="W119" i="58"/>
  <c r="AC119" i="58" s="1"/>
  <c r="X118" i="58"/>
  <c r="W118" i="58"/>
  <c r="X117" i="58"/>
  <c r="W117" i="58"/>
  <c r="AC117" i="58" s="1"/>
  <c r="X116" i="58"/>
  <c r="W116" i="58"/>
  <c r="X115" i="58"/>
  <c r="W115" i="58"/>
  <c r="AC115" i="58" s="1"/>
  <c r="X114" i="58"/>
  <c r="W114" i="58"/>
  <c r="X113" i="58"/>
  <c r="W113" i="58"/>
  <c r="AC113" i="58" s="1"/>
  <c r="X112" i="58"/>
  <c r="W112" i="58"/>
  <c r="X111" i="58"/>
  <c r="W111" i="58"/>
  <c r="AC111" i="58" s="1"/>
  <c r="X110" i="58"/>
  <c r="W110" i="58"/>
  <c r="X109" i="58"/>
  <c r="W109" i="58"/>
  <c r="AC109" i="58" s="1"/>
  <c r="X108" i="58"/>
  <c r="W108" i="58"/>
  <c r="X107" i="58"/>
  <c r="W107" i="58"/>
  <c r="AC107" i="58" s="1"/>
  <c r="X106" i="58"/>
  <c r="W106" i="58"/>
  <c r="X105" i="58"/>
  <c r="W105" i="58"/>
  <c r="AC105" i="58" s="1"/>
  <c r="V104" i="58"/>
  <c r="AB104" i="58" s="1"/>
  <c r="V103" i="58"/>
  <c r="AB103" i="58" s="1"/>
  <c r="V102" i="58"/>
  <c r="AB102" i="58" s="1"/>
  <c r="V101" i="58"/>
  <c r="AB101" i="58" s="1"/>
  <c r="V100" i="58"/>
  <c r="AB100" i="58" s="1"/>
  <c r="V99" i="58"/>
  <c r="AB99" i="58" s="1"/>
  <c r="V98" i="58"/>
  <c r="AB98" i="58" s="1"/>
  <c r="V97" i="58"/>
  <c r="AB97" i="58" s="1"/>
  <c r="V96" i="58"/>
  <c r="AB96" i="58" s="1"/>
  <c r="V95" i="58"/>
  <c r="AB95" i="58" s="1"/>
  <c r="V94" i="58"/>
  <c r="AB94" i="58" s="1"/>
  <c r="V93" i="58"/>
  <c r="AB93" i="58" s="1"/>
  <c r="V92" i="58"/>
  <c r="AB92" i="58" s="1"/>
  <c r="V91" i="58"/>
  <c r="AB91" i="58" s="1"/>
  <c r="V90" i="58"/>
  <c r="AB90" i="58" s="1"/>
  <c r="V89" i="58"/>
  <c r="AB89" i="58" s="1"/>
  <c r="V88" i="58"/>
  <c r="AB88" i="58" s="1"/>
  <c r="V87" i="58"/>
  <c r="AB87" i="58" s="1"/>
  <c r="V86" i="58"/>
  <c r="AB86" i="58" s="1"/>
  <c r="V85" i="58"/>
  <c r="AB85" i="58" s="1"/>
  <c r="V84" i="58"/>
  <c r="AB84" i="58" s="1"/>
  <c r="V83" i="58"/>
  <c r="AB83" i="58" s="1"/>
  <c r="V82" i="58"/>
  <c r="AB82" i="58" s="1"/>
  <c r="V81" i="58"/>
  <c r="AB81" i="58" s="1"/>
  <c r="V80" i="58"/>
  <c r="AB80" i="58" s="1"/>
  <c r="V79" i="58"/>
  <c r="AB79" i="58" s="1"/>
  <c r="V78" i="58"/>
  <c r="AB78" i="58" s="1"/>
  <c r="V77" i="58"/>
  <c r="AB77" i="58" s="1"/>
  <c r="V76" i="58"/>
  <c r="AB76" i="58" s="1"/>
  <c r="V75" i="58"/>
  <c r="AB75" i="58" s="1"/>
  <c r="V74" i="58"/>
  <c r="AB74" i="58" s="1"/>
  <c r="V73" i="58"/>
  <c r="AB73" i="58" s="1"/>
  <c r="V72" i="58"/>
  <c r="AB72" i="58" s="1"/>
  <c r="V71" i="58"/>
  <c r="AB71" i="58" s="1"/>
  <c r="X70" i="58"/>
  <c r="W70" i="58"/>
  <c r="AC70" i="58" s="1"/>
  <c r="X69" i="58"/>
  <c r="W69" i="58"/>
  <c r="X68" i="58"/>
  <c r="W68" i="58"/>
  <c r="AC68" i="58" s="1"/>
  <c r="X67" i="58"/>
  <c r="W67" i="58"/>
  <c r="X66" i="58"/>
  <c r="W66" i="58"/>
  <c r="AC66" i="58" s="1"/>
  <c r="X65" i="58"/>
  <c r="W65" i="58"/>
  <c r="X64" i="58"/>
  <c r="W64" i="58"/>
  <c r="AC64" i="58" s="1"/>
  <c r="X63" i="58"/>
  <c r="W63" i="58"/>
  <c r="X62" i="58"/>
  <c r="W62" i="58"/>
  <c r="AC62" i="58" s="1"/>
  <c r="X61" i="58"/>
  <c r="W61" i="58"/>
  <c r="X60" i="58"/>
  <c r="W60" i="58"/>
  <c r="AC60" i="58" s="1"/>
  <c r="X59" i="58"/>
  <c r="W59" i="58"/>
  <c r="X58" i="58"/>
  <c r="W58" i="58"/>
  <c r="AC58" i="58" s="1"/>
  <c r="X57" i="58"/>
  <c r="W57" i="58"/>
  <c r="X56" i="58"/>
  <c r="W56" i="58"/>
  <c r="AC56" i="58" s="1"/>
  <c r="V55" i="58"/>
  <c r="AB55" i="58" s="1"/>
  <c r="V54" i="58"/>
  <c r="AB54" i="58" s="1"/>
  <c r="V53" i="58"/>
  <c r="AB53" i="58" s="1"/>
  <c r="V52" i="58"/>
  <c r="AB52" i="58" s="1"/>
  <c r="V51" i="58"/>
  <c r="AB51" i="58" s="1"/>
  <c r="V50" i="58"/>
  <c r="AB50" i="58" s="1"/>
  <c r="V49" i="58"/>
  <c r="AB49" i="58" s="1"/>
  <c r="V48" i="58"/>
  <c r="AB48" i="58" s="1"/>
  <c r="V47" i="58"/>
  <c r="AB47" i="58" s="1"/>
  <c r="V46" i="58"/>
  <c r="AB46" i="58" s="1"/>
  <c r="V45" i="58"/>
  <c r="AB45" i="58" s="1"/>
  <c r="V44" i="58"/>
  <c r="AB44" i="58" s="1"/>
  <c r="V43" i="58"/>
  <c r="AB43" i="58" s="1"/>
  <c r="V42" i="58"/>
  <c r="AB42" i="58" s="1"/>
  <c r="V41" i="58"/>
  <c r="AB41" i="58" s="1"/>
  <c r="V40" i="58"/>
  <c r="AB40" i="58" s="1"/>
  <c r="X39" i="58"/>
  <c r="W39" i="58"/>
  <c r="V39" i="58"/>
  <c r="AB39" i="58" s="1"/>
  <c r="X38" i="58"/>
  <c r="W38" i="58"/>
  <c r="V38" i="58"/>
  <c r="AB38" i="58" s="1"/>
  <c r="X37" i="58"/>
  <c r="W37" i="58"/>
  <c r="AC37" i="58" s="1"/>
  <c r="V37" i="58"/>
  <c r="AB37" i="58" s="1"/>
  <c r="X36" i="58"/>
  <c r="W36" i="58"/>
  <c r="V36" i="58"/>
  <c r="AB36" i="58" s="1"/>
  <c r="X35" i="58"/>
  <c r="W35" i="58"/>
  <c r="V35" i="58"/>
  <c r="AB35" i="58" s="1"/>
  <c r="X34" i="58"/>
  <c r="W34" i="58"/>
  <c r="V34" i="58"/>
  <c r="AB34" i="58" s="1"/>
  <c r="X33" i="58"/>
  <c r="W33" i="58"/>
  <c r="AC33" i="58" s="1"/>
  <c r="V33" i="58"/>
  <c r="AB33" i="58" s="1"/>
  <c r="X32" i="58"/>
  <c r="W32" i="58"/>
  <c r="V32" i="58"/>
  <c r="AB32" i="58" s="1"/>
  <c r="X31" i="58"/>
  <c r="W31" i="58"/>
  <c r="V31" i="58"/>
  <c r="AB31" i="58" s="1"/>
  <c r="X30" i="58"/>
  <c r="W30" i="58"/>
  <c r="V30" i="58"/>
  <c r="AB30" i="58" s="1"/>
  <c r="X29" i="58"/>
  <c r="W29" i="58"/>
  <c r="AC29" i="58" s="1"/>
  <c r="V29" i="58"/>
  <c r="AB29" i="58" s="1"/>
  <c r="X28" i="58"/>
  <c r="W28" i="58"/>
  <c r="V28" i="58"/>
  <c r="AB28" i="58" s="1"/>
  <c r="X27" i="58"/>
  <c r="W27" i="58"/>
  <c r="V27" i="58"/>
  <c r="AB27" i="58" s="1"/>
  <c r="X26" i="58"/>
  <c r="W26" i="58"/>
  <c r="V26" i="58"/>
  <c r="AB26" i="58" s="1"/>
  <c r="AE1156" i="57"/>
  <c r="AE1155" i="57"/>
  <c r="AE1154" i="57"/>
  <c r="AE1153" i="57"/>
  <c r="AE1152" i="57"/>
  <c r="AE1151" i="57"/>
  <c r="AE1150" i="57"/>
  <c r="AE1149" i="57"/>
  <c r="AE1148" i="57"/>
  <c r="AE1147" i="57"/>
  <c r="AE1146" i="57"/>
  <c r="AE1145" i="57"/>
  <c r="AE1144" i="57"/>
  <c r="AE1143" i="57"/>
  <c r="AE1142" i="57"/>
  <c r="AE1141" i="57"/>
  <c r="AE1140" i="57"/>
  <c r="AE1139" i="57"/>
  <c r="AE1138" i="57"/>
  <c r="AE1137" i="57"/>
  <c r="AE1136" i="57"/>
  <c r="AE1135" i="57"/>
  <c r="AE1134" i="57"/>
  <c r="AE1133" i="57"/>
  <c r="AE1132" i="57"/>
  <c r="AE1131" i="57"/>
  <c r="AD1131" i="57"/>
  <c r="AC1131" i="57"/>
  <c r="AE1130" i="57"/>
  <c r="AD1130" i="57"/>
  <c r="AC1130" i="57"/>
  <c r="AE1129" i="57"/>
  <c r="AD1129" i="57"/>
  <c r="AC1129" i="57"/>
  <c r="AE1128" i="57"/>
  <c r="AD1128" i="57"/>
  <c r="AC1128" i="57"/>
  <c r="AE1127" i="57"/>
  <c r="AD1127" i="57"/>
  <c r="AC1127" i="57"/>
  <c r="AE1126" i="57"/>
  <c r="AD1126" i="57"/>
  <c r="AC1126" i="57"/>
  <c r="AE1125" i="57"/>
  <c r="AD1125" i="57"/>
  <c r="AC1125" i="57"/>
  <c r="AE1124" i="57"/>
  <c r="AD1124" i="57"/>
  <c r="AC1124" i="57"/>
  <c r="AE1123" i="57"/>
  <c r="AD1123" i="57"/>
  <c r="AC1123" i="57"/>
  <c r="AE1122" i="57"/>
  <c r="AD1122" i="57"/>
  <c r="AC1122" i="57"/>
  <c r="AE1121" i="57"/>
  <c r="AD1121" i="57"/>
  <c r="AC1121" i="57"/>
  <c r="AE1120" i="57"/>
  <c r="AD1120" i="57"/>
  <c r="AC1120" i="57"/>
  <c r="AE1119" i="57"/>
  <c r="AD1119" i="57"/>
  <c r="AC1119" i="57"/>
  <c r="AE1118" i="57"/>
  <c r="AD1118" i="57"/>
  <c r="AC1118" i="57"/>
  <c r="AE1117" i="57"/>
  <c r="AD1117" i="57"/>
  <c r="AC1117" i="57"/>
  <c r="AE1116" i="57"/>
  <c r="AD1116" i="57"/>
  <c r="AC1116" i="57"/>
  <c r="AE1115" i="57"/>
  <c r="AD1115" i="57"/>
  <c r="AC1115" i="57"/>
  <c r="AE1114" i="57"/>
  <c r="AD1114" i="57"/>
  <c r="AC1114" i="57"/>
  <c r="AE1113" i="57"/>
  <c r="AD1113" i="57"/>
  <c r="AC1113" i="57"/>
  <c r="AE1112" i="57"/>
  <c r="AD1112" i="57"/>
  <c r="AC1112" i="57"/>
  <c r="AE1111" i="57"/>
  <c r="AE1110" i="57"/>
  <c r="AE1109" i="57"/>
  <c r="AE1108" i="57"/>
  <c r="AE1107" i="57"/>
  <c r="AE1106" i="57"/>
  <c r="AE1105" i="57"/>
  <c r="AE1104" i="57"/>
  <c r="AE1103" i="57"/>
  <c r="AE1102" i="57"/>
  <c r="AE1101" i="57"/>
  <c r="AE1100" i="57"/>
  <c r="AE1099" i="57"/>
  <c r="AE1098" i="57"/>
  <c r="AE1097" i="57"/>
  <c r="AE1096" i="57"/>
  <c r="AE1095" i="57"/>
  <c r="AE1094" i="57"/>
  <c r="AE1093" i="57"/>
  <c r="AE1092" i="57"/>
  <c r="AE1091" i="57"/>
  <c r="AE1090" i="57"/>
  <c r="AE1089" i="57"/>
  <c r="AE1088" i="57"/>
  <c r="AE1087" i="57"/>
  <c r="AE1086" i="57"/>
  <c r="AE1085" i="57"/>
  <c r="AE1084" i="57"/>
  <c r="AE1083" i="57"/>
  <c r="AE1082" i="57"/>
  <c r="AE1081" i="57"/>
  <c r="AE1080" i="57"/>
  <c r="AE1079" i="57"/>
  <c r="AE1078" i="57"/>
  <c r="AE1077" i="57"/>
  <c r="AE1076" i="57"/>
  <c r="AE1075" i="57"/>
  <c r="AE1074" i="57"/>
  <c r="AE1073" i="57"/>
  <c r="AE1072" i="57"/>
  <c r="AE1071" i="57"/>
  <c r="AE1070" i="57"/>
  <c r="AE1069" i="57"/>
  <c r="AE1068" i="57"/>
  <c r="AE1067" i="57"/>
  <c r="AE1066" i="57"/>
  <c r="AE1065" i="57"/>
  <c r="AE1064" i="57"/>
  <c r="AE1063" i="57"/>
  <c r="AE1062" i="57"/>
  <c r="AE1061" i="57"/>
  <c r="AE1060" i="57"/>
  <c r="AE1059" i="57"/>
  <c r="AE1058" i="57"/>
  <c r="AE1057" i="57"/>
  <c r="AE1056" i="57"/>
  <c r="AE1055" i="57"/>
  <c r="AE1054" i="57"/>
  <c r="AE1053" i="57"/>
  <c r="AE1052" i="57"/>
  <c r="AE1051" i="57"/>
  <c r="AE1050" i="57"/>
  <c r="AE1049" i="57"/>
  <c r="AE1048" i="57"/>
  <c r="AE1047" i="57"/>
  <c r="AE1046" i="57"/>
  <c r="AE1045" i="57"/>
  <c r="AE1044" i="57"/>
  <c r="AE1043" i="57"/>
  <c r="AE1042" i="57"/>
  <c r="AE1041" i="57"/>
  <c r="AE1040" i="57"/>
  <c r="AE1039" i="57"/>
  <c r="AE1038" i="57"/>
  <c r="AE1037" i="57"/>
  <c r="AE1036" i="57"/>
  <c r="AE1035" i="57"/>
  <c r="AE1034" i="57"/>
  <c r="AE1033" i="57"/>
  <c r="AE1032" i="57"/>
  <c r="AE1031" i="57"/>
  <c r="AE1030" i="57"/>
  <c r="AE1029" i="57"/>
  <c r="AE1028" i="57"/>
  <c r="AE1027" i="57"/>
  <c r="AE1026" i="57"/>
  <c r="AE1025" i="57"/>
  <c r="AE1024" i="57"/>
  <c r="AE1023" i="57"/>
  <c r="AE1022" i="57"/>
  <c r="AE1021" i="57"/>
  <c r="AE1020" i="57"/>
  <c r="AE1019" i="57"/>
  <c r="AE1018" i="57"/>
  <c r="AE1017" i="57"/>
  <c r="AE1016" i="57"/>
  <c r="AE1015" i="57"/>
  <c r="AE1014" i="57"/>
  <c r="AE1013" i="57"/>
  <c r="AE1012" i="57"/>
  <c r="AE1011" i="57"/>
  <c r="AE1010" i="57"/>
  <c r="AE1009" i="57"/>
  <c r="AE1008" i="57"/>
  <c r="AE1007" i="57"/>
  <c r="AE1006" i="57"/>
  <c r="AE1005" i="57"/>
  <c r="AE1004" i="57"/>
  <c r="AE1003" i="57"/>
  <c r="AE1002" i="57"/>
  <c r="AE1001" i="57"/>
  <c r="AE1000" i="57"/>
  <c r="AE999" i="57"/>
  <c r="AE998" i="57"/>
  <c r="AE997" i="57"/>
  <c r="AE996" i="57"/>
  <c r="AE995" i="57"/>
  <c r="AE994" i="57"/>
  <c r="AE993" i="57"/>
  <c r="AE992" i="57"/>
  <c r="AE991" i="57"/>
  <c r="AE990" i="57"/>
  <c r="AE989" i="57"/>
  <c r="AE988" i="57"/>
  <c r="AE987" i="57"/>
  <c r="AE986" i="57"/>
  <c r="AE985" i="57"/>
  <c r="AE984" i="57"/>
  <c r="AE983" i="57"/>
  <c r="AE982" i="57"/>
  <c r="AE981" i="57"/>
  <c r="AE980" i="57"/>
  <c r="AE979" i="57"/>
  <c r="AE978" i="57"/>
  <c r="AE977" i="57"/>
  <c r="AE976" i="57"/>
  <c r="AE975" i="57"/>
  <c r="AE974" i="57"/>
  <c r="AE973" i="57"/>
  <c r="AE972" i="57"/>
  <c r="AE971" i="57"/>
  <c r="AE970" i="57"/>
  <c r="AE969" i="57"/>
  <c r="AE968" i="57"/>
  <c r="AE967" i="57"/>
  <c r="AE966" i="57"/>
  <c r="AE965" i="57"/>
  <c r="AE964" i="57"/>
  <c r="AE963" i="57"/>
  <c r="AE962" i="57"/>
  <c r="AE961" i="57"/>
  <c r="AE960" i="57"/>
  <c r="AE959" i="57"/>
  <c r="AE958" i="57"/>
  <c r="AE957" i="57"/>
  <c r="AE956" i="57"/>
  <c r="AE955" i="57"/>
  <c r="AE954" i="57"/>
  <c r="AE953" i="57"/>
  <c r="AE952" i="57"/>
  <c r="AE951" i="57"/>
  <c r="AE950" i="57"/>
  <c r="AE949" i="57"/>
  <c r="AE948" i="57"/>
  <c r="AE947" i="57"/>
  <c r="AE946" i="57"/>
  <c r="AE945" i="57"/>
  <c r="AE944" i="57"/>
  <c r="AE943" i="57"/>
  <c r="AE942" i="57"/>
  <c r="AE941" i="57"/>
  <c r="AE940" i="57"/>
  <c r="AE939" i="57"/>
  <c r="AE938" i="57"/>
  <c r="AE937" i="57"/>
  <c r="AE936" i="57"/>
  <c r="AE935" i="57"/>
  <c r="AE934" i="57"/>
  <c r="AA11" i="61" s="1"/>
  <c r="AE933" i="57"/>
  <c r="AE932" i="57"/>
  <c r="AE931" i="57"/>
  <c r="AE930" i="57"/>
  <c r="AE929" i="57"/>
  <c r="AE928" i="57"/>
  <c r="AE927" i="57"/>
  <c r="AE926" i="57"/>
  <c r="AE925" i="57"/>
  <c r="AE924" i="57"/>
  <c r="AE923" i="57"/>
  <c r="AE922" i="57"/>
  <c r="AE921" i="57"/>
  <c r="AE920" i="57"/>
  <c r="AE919" i="57"/>
  <c r="AE918" i="57"/>
  <c r="AE917" i="57"/>
  <c r="AE916" i="57"/>
  <c r="AE915" i="57"/>
  <c r="AE914" i="57"/>
  <c r="AE913" i="57"/>
  <c r="AE912" i="57"/>
  <c r="AE911" i="57"/>
  <c r="AE910" i="57"/>
  <c r="AE909" i="57"/>
  <c r="AE908" i="57"/>
  <c r="AE907" i="57"/>
  <c r="AE906" i="57"/>
  <c r="AE905" i="57"/>
  <c r="AE904" i="57"/>
  <c r="AE903" i="57"/>
  <c r="AE902" i="57"/>
  <c r="AE901" i="57"/>
  <c r="AE900" i="57"/>
  <c r="AE899" i="57"/>
  <c r="AE898" i="57"/>
  <c r="AE897" i="57"/>
  <c r="AE896" i="57"/>
  <c r="AE895" i="57"/>
  <c r="AE894" i="57"/>
  <c r="AE893" i="57"/>
  <c r="AE892" i="57"/>
  <c r="AE891" i="57"/>
  <c r="AE890" i="57"/>
  <c r="AE889" i="57"/>
  <c r="AE888" i="57"/>
  <c r="AE887" i="57"/>
  <c r="AE886" i="57"/>
  <c r="AE885" i="57"/>
  <c r="AE884" i="57"/>
  <c r="AE883" i="57"/>
  <c r="AE882" i="57"/>
  <c r="AE881" i="57"/>
  <c r="AE880" i="57"/>
  <c r="AE879" i="57"/>
  <c r="AE878" i="57"/>
  <c r="AE877" i="57"/>
  <c r="AE876" i="57"/>
  <c r="AE875" i="57"/>
  <c r="AE874" i="57"/>
  <c r="AE873" i="57"/>
  <c r="AE872" i="57"/>
  <c r="AE871" i="57"/>
  <c r="AE870" i="57"/>
  <c r="AE869" i="57"/>
  <c r="AE868" i="57"/>
  <c r="AE867" i="57"/>
  <c r="AE866" i="57"/>
  <c r="AE865" i="57"/>
  <c r="AE864" i="57"/>
  <c r="AE863" i="57"/>
  <c r="AE862" i="57"/>
  <c r="AE861" i="57"/>
  <c r="AE860" i="57"/>
  <c r="AE859" i="57"/>
  <c r="AE858" i="57"/>
  <c r="AE857" i="57"/>
  <c r="AE856" i="57"/>
  <c r="AE855" i="57"/>
  <c r="AE854" i="57"/>
  <c r="AE853" i="57"/>
  <c r="AE852" i="57"/>
  <c r="AE851" i="57"/>
  <c r="AE850" i="57"/>
  <c r="AE849" i="57"/>
  <c r="AE848" i="57"/>
  <c r="AE847" i="57"/>
  <c r="AE846" i="57"/>
  <c r="AE845" i="57"/>
  <c r="AE844" i="57"/>
  <c r="AE843" i="57"/>
  <c r="AE842" i="57"/>
  <c r="AE841" i="57"/>
  <c r="AE840" i="57"/>
  <c r="AE839" i="57"/>
  <c r="AE838" i="57"/>
  <c r="AE837" i="57"/>
  <c r="AE836" i="57"/>
  <c r="AE835" i="57"/>
  <c r="AE834" i="57"/>
  <c r="AE833" i="57"/>
  <c r="AE832" i="57"/>
  <c r="AE831" i="57"/>
  <c r="AE830" i="57"/>
  <c r="AE829" i="57"/>
  <c r="AE828" i="57"/>
  <c r="AE827" i="57"/>
  <c r="AE826" i="57"/>
  <c r="AE825" i="57"/>
  <c r="AE824" i="57"/>
  <c r="AE823" i="57"/>
  <c r="AE822" i="57"/>
  <c r="AE821" i="57"/>
  <c r="AE820" i="57"/>
  <c r="AE819" i="57"/>
  <c r="AE818" i="57"/>
  <c r="AE817" i="57"/>
  <c r="AE816" i="57"/>
  <c r="AE815" i="57"/>
  <c r="AE814" i="57"/>
  <c r="AE813" i="57"/>
  <c r="AE812" i="57"/>
  <c r="AE811" i="57"/>
  <c r="AE810" i="57"/>
  <c r="AE809" i="57"/>
  <c r="AE808" i="57"/>
  <c r="AE807" i="57"/>
  <c r="AE806" i="57"/>
  <c r="AE805" i="57"/>
  <c r="AE804" i="57"/>
  <c r="AE803" i="57"/>
  <c r="AE802" i="57"/>
  <c r="AE801" i="57"/>
  <c r="AE800" i="57"/>
  <c r="AE799" i="57"/>
  <c r="AE798" i="57"/>
  <c r="AE797" i="57"/>
  <c r="AE796" i="57"/>
  <c r="AE795" i="57"/>
  <c r="AE794" i="57"/>
  <c r="AE793" i="57"/>
  <c r="AE792" i="57"/>
  <c r="AE791" i="57"/>
  <c r="AE790" i="57"/>
  <c r="AE789" i="57"/>
  <c r="AE788" i="57"/>
  <c r="AE787" i="57"/>
  <c r="AE786" i="57"/>
  <c r="AE785" i="57"/>
  <c r="AE784" i="57"/>
  <c r="AE783" i="57"/>
  <c r="AE782" i="57"/>
  <c r="AE781" i="57"/>
  <c r="AE780" i="57"/>
  <c r="AE779" i="57"/>
  <c r="AE778" i="57"/>
  <c r="AE777" i="57"/>
  <c r="AE776" i="57"/>
  <c r="AE775" i="57"/>
  <c r="AE774" i="57"/>
  <c r="AE773" i="57"/>
  <c r="AE772" i="57"/>
  <c r="AE771" i="57"/>
  <c r="AE770" i="57"/>
  <c r="AE769" i="57"/>
  <c r="AE768" i="57"/>
  <c r="AE767" i="57"/>
  <c r="AE766" i="57"/>
  <c r="AE765" i="57"/>
  <c r="AE764" i="57"/>
  <c r="AE763" i="57"/>
  <c r="AE762" i="57"/>
  <c r="AE761" i="57"/>
  <c r="AE760" i="57"/>
  <c r="AE759" i="57"/>
  <c r="AE758" i="57"/>
  <c r="AE757" i="57"/>
  <c r="AE756" i="57"/>
  <c r="AE755" i="57"/>
  <c r="AE754" i="57"/>
  <c r="AE753" i="57"/>
  <c r="AE752" i="57"/>
  <c r="AE751" i="57"/>
  <c r="AE750" i="57"/>
  <c r="AE749" i="57"/>
  <c r="AE748" i="57"/>
  <c r="AE747" i="57"/>
  <c r="AE746" i="57"/>
  <c r="AE745" i="57"/>
  <c r="AE744" i="57"/>
  <c r="AE743" i="57"/>
  <c r="AE742" i="57"/>
  <c r="AE741" i="57"/>
  <c r="AE740" i="57"/>
  <c r="AE739" i="57"/>
  <c r="AE738" i="57"/>
  <c r="AE737" i="57"/>
  <c r="AE736" i="57"/>
  <c r="AE735" i="57"/>
  <c r="AE734" i="57"/>
  <c r="AE733" i="57"/>
  <c r="AE732" i="57"/>
  <c r="AE731" i="57"/>
  <c r="AE730" i="57"/>
  <c r="AE729" i="57"/>
  <c r="AE728" i="57"/>
  <c r="AE727" i="57"/>
  <c r="AE726" i="57"/>
  <c r="AE725" i="57"/>
  <c r="AE724" i="57"/>
  <c r="AE723" i="57"/>
  <c r="AE722" i="57"/>
  <c r="AE721" i="57"/>
  <c r="AE720" i="57"/>
  <c r="AE719" i="57"/>
  <c r="AE718" i="57"/>
  <c r="AE717" i="57"/>
  <c r="AE716" i="57"/>
  <c r="AE715" i="57"/>
  <c r="AE714" i="57"/>
  <c r="AE713" i="57"/>
  <c r="AE712" i="57"/>
  <c r="AE711" i="57"/>
  <c r="AE710" i="57"/>
  <c r="AE709" i="57"/>
  <c r="AE708" i="57"/>
  <c r="AE707" i="57"/>
  <c r="AE706" i="57"/>
  <c r="AE705" i="57"/>
  <c r="AE704" i="57"/>
  <c r="AE703" i="57"/>
  <c r="AE702" i="57"/>
  <c r="AE701" i="57"/>
  <c r="AE700" i="57"/>
  <c r="AE699" i="57"/>
  <c r="AE698" i="57"/>
  <c r="AE697" i="57"/>
  <c r="AE696" i="57"/>
  <c r="AE695" i="57"/>
  <c r="AE694" i="57"/>
  <c r="AE693" i="57"/>
  <c r="AE692" i="57"/>
  <c r="AE691" i="57"/>
  <c r="AE690" i="57"/>
  <c r="AE689" i="57"/>
  <c r="AE688" i="57"/>
  <c r="AE687" i="57"/>
  <c r="AE686" i="57"/>
  <c r="AE685" i="57"/>
  <c r="AE684" i="57"/>
  <c r="AE683" i="57"/>
  <c r="AE682" i="57"/>
  <c r="AE681" i="57"/>
  <c r="AE680" i="57"/>
  <c r="AE679" i="57"/>
  <c r="AE678" i="57"/>
  <c r="AE677" i="57"/>
  <c r="AE676" i="57"/>
  <c r="AE675" i="57"/>
  <c r="AE674" i="57"/>
  <c r="AE673" i="57"/>
  <c r="AE672" i="57"/>
  <c r="AE671" i="57"/>
  <c r="AE670" i="57"/>
  <c r="AE669" i="57"/>
  <c r="AE668" i="57"/>
  <c r="AE667" i="57"/>
  <c r="AE666" i="57"/>
  <c r="AE665" i="57"/>
  <c r="AE664" i="57"/>
  <c r="AE663" i="57"/>
  <c r="AE662" i="57"/>
  <c r="AE661" i="57"/>
  <c r="AE660" i="57"/>
  <c r="AE659" i="57"/>
  <c r="AE658" i="57"/>
  <c r="AE657" i="57"/>
  <c r="AE656" i="57"/>
  <c r="AE655" i="57"/>
  <c r="AE654" i="57"/>
  <c r="AE653" i="57"/>
  <c r="AE652" i="57"/>
  <c r="AE651" i="57"/>
  <c r="AE650" i="57"/>
  <c r="AE649" i="57"/>
  <c r="AE648" i="57"/>
  <c r="AE647" i="57"/>
  <c r="AE646" i="57"/>
  <c r="AE645" i="57"/>
  <c r="AE644" i="57"/>
  <c r="AE643" i="57"/>
  <c r="AE642" i="57"/>
  <c r="AE641" i="57"/>
  <c r="AE640" i="57"/>
  <c r="AD640" i="57"/>
  <c r="AC640" i="57"/>
  <c r="AE639" i="57"/>
  <c r="AD639" i="57"/>
  <c r="AC639" i="57"/>
  <c r="AE638" i="57"/>
  <c r="AD638" i="57"/>
  <c r="AC638" i="57"/>
  <c r="AE637" i="57"/>
  <c r="AD637" i="57"/>
  <c r="AC637" i="57"/>
  <c r="AE636" i="57"/>
  <c r="AD636" i="57"/>
  <c r="AC636" i="57"/>
  <c r="AE635" i="57"/>
  <c r="AD635" i="57"/>
  <c r="AC635" i="57"/>
  <c r="AE634" i="57"/>
  <c r="AD634" i="57"/>
  <c r="AC634" i="57"/>
  <c r="AE633" i="57"/>
  <c r="AD633" i="57"/>
  <c r="AC633" i="57"/>
  <c r="AE632" i="57"/>
  <c r="AD632" i="57"/>
  <c r="AC632" i="57"/>
  <c r="AE631" i="57"/>
  <c r="AD631" i="57"/>
  <c r="AC631" i="57"/>
  <c r="AE630" i="57"/>
  <c r="AD630" i="57"/>
  <c r="AC630" i="57"/>
  <c r="AE629" i="57"/>
  <c r="AD629" i="57"/>
  <c r="AC629" i="57"/>
  <c r="AG628" i="57"/>
  <c r="AF628" i="57"/>
  <c r="AB628" i="57"/>
  <c r="AG627" i="57"/>
  <c r="AF627" i="57"/>
  <c r="AB627" i="57"/>
  <c r="AG626" i="57"/>
  <c r="AF626" i="57"/>
  <c r="AB626" i="57"/>
  <c r="AG625" i="57"/>
  <c r="AF625" i="57"/>
  <c r="AB625" i="57"/>
  <c r="AG624" i="57"/>
  <c r="AF624" i="57"/>
  <c r="AB624" i="57"/>
  <c r="AG623" i="57"/>
  <c r="AF623" i="57"/>
  <c r="AB623" i="57"/>
  <c r="AG622" i="57"/>
  <c r="AF622" i="57"/>
  <c r="AB622" i="57"/>
  <c r="AG621" i="57"/>
  <c r="AF621" i="57"/>
  <c r="AB621" i="57"/>
  <c r="AG620" i="57"/>
  <c r="AF620" i="57"/>
  <c r="AB620" i="57"/>
  <c r="AG619" i="57"/>
  <c r="AF619" i="57"/>
  <c r="AB619" i="57"/>
  <c r="AG618" i="57"/>
  <c r="AF618" i="57"/>
  <c r="AB618" i="57"/>
  <c r="AG617" i="57"/>
  <c r="AF617" i="57"/>
  <c r="AB617" i="57"/>
  <c r="AG616" i="57"/>
  <c r="AF616" i="57"/>
  <c r="AB616" i="57"/>
  <c r="AE615" i="57"/>
  <c r="AD615" i="57"/>
  <c r="AC615" i="57"/>
  <c r="AE614" i="57"/>
  <c r="AD614" i="57"/>
  <c r="AC614" i="57"/>
  <c r="AE613" i="57"/>
  <c r="AD613" i="57"/>
  <c r="AC613" i="57"/>
  <c r="AE612" i="57"/>
  <c r="AD612" i="57"/>
  <c r="AC612" i="57"/>
  <c r="AE611" i="57"/>
  <c r="AD611" i="57"/>
  <c r="AC611" i="57"/>
  <c r="AE610" i="57"/>
  <c r="AD610" i="57"/>
  <c r="AC610" i="57"/>
  <c r="AE609" i="57"/>
  <c r="AD609" i="57"/>
  <c r="AC609" i="57"/>
  <c r="AE608" i="57"/>
  <c r="AD608" i="57"/>
  <c r="AC608" i="57"/>
  <c r="AE607" i="57"/>
  <c r="AD607" i="57"/>
  <c r="AC607" i="57"/>
  <c r="AE606" i="57"/>
  <c r="AD606" i="57"/>
  <c r="AC606" i="57"/>
  <c r="AE605" i="57"/>
  <c r="AD605" i="57"/>
  <c r="AC605" i="57"/>
  <c r="AE604" i="57"/>
  <c r="AD604" i="57"/>
  <c r="AC604" i="57"/>
  <c r="AE603" i="57"/>
  <c r="AD603" i="57"/>
  <c r="AC603" i="57"/>
  <c r="AE602" i="57"/>
  <c r="AD602" i="57"/>
  <c r="AC602" i="57"/>
  <c r="AE601" i="57"/>
  <c r="AD601" i="57"/>
  <c r="AC601" i="57"/>
  <c r="AE600" i="57"/>
  <c r="AD600" i="57"/>
  <c r="AC600" i="57"/>
  <c r="AE599" i="57"/>
  <c r="AD599" i="57"/>
  <c r="AC599" i="57"/>
  <c r="AE598" i="57"/>
  <c r="AD598" i="57"/>
  <c r="AC598" i="57"/>
  <c r="AE597" i="57"/>
  <c r="AD597" i="57"/>
  <c r="AC597" i="57"/>
  <c r="AE596" i="57"/>
  <c r="AD596" i="57"/>
  <c r="AC596" i="57"/>
  <c r="AE595" i="57"/>
  <c r="AD595" i="57"/>
  <c r="AC595" i="57"/>
  <c r="AE594" i="57"/>
  <c r="AD594" i="57"/>
  <c r="AC594" i="57"/>
  <c r="AE593" i="57"/>
  <c r="AD593" i="57"/>
  <c r="AC593" i="57"/>
  <c r="AE592" i="57"/>
  <c r="AD592" i="57"/>
  <c r="AC592" i="57"/>
  <c r="AE591" i="57"/>
  <c r="AD591" i="57"/>
  <c r="AC591" i="57"/>
  <c r="AE590" i="57"/>
  <c r="AD590" i="57"/>
  <c r="AC590" i="57"/>
  <c r="AE589" i="57"/>
  <c r="AD589" i="57"/>
  <c r="AC589" i="57"/>
  <c r="AE588" i="57"/>
  <c r="AD588" i="57"/>
  <c r="AC588" i="57"/>
  <c r="AE587" i="57"/>
  <c r="AD587" i="57"/>
  <c r="AC587" i="57"/>
  <c r="AE586" i="57"/>
  <c r="AD586" i="57"/>
  <c r="AC586" i="57"/>
  <c r="AG585" i="57"/>
  <c r="AF585" i="57"/>
  <c r="AB585" i="57"/>
  <c r="AG584" i="57"/>
  <c r="AF584" i="57"/>
  <c r="AB584" i="57"/>
  <c r="AG583" i="57"/>
  <c r="AF583" i="57"/>
  <c r="AB583" i="57"/>
  <c r="AG582" i="57"/>
  <c r="AF582" i="57"/>
  <c r="AB582" i="57"/>
  <c r="AG581" i="57"/>
  <c r="AF581" i="57"/>
  <c r="AB581" i="57"/>
  <c r="AG580" i="57"/>
  <c r="AF580" i="57"/>
  <c r="AB580" i="57"/>
  <c r="AG579" i="57"/>
  <c r="AF579" i="57"/>
  <c r="AB579" i="57"/>
  <c r="AG578" i="57"/>
  <c r="AF578" i="57"/>
  <c r="AB578" i="57"/>
  <c r="AG577" i="57"/>
  <c r="AF577" i="57"/>
  <c r="AB577" i="57"/>
  <c r="AG576" i="57"/>
  <c r="AF576" i="57"/>
  <c r="AB576" i="57"/>
  <c r="AG575" i="57"/>
  <c r="AF575" i="57"/>
  <c r="AB575" i="57"/>
  <c r="AG574" i="57"/>
  <c r="AF574" i="57"/>
  <c r="AB574" i="57"/>
  <c r="AG573" i="57"/>
  <c r="AF573" i="57"/>
  <c r="AB573" i="57"/>
  <c r="AG572" i="57"/>
  <c r="AF572" i="57"/>
  <c r="AB572" i="57"/>
  <c r="AG571" i="57"/>
  <c r="AF571" i="57"/>
  <c r="AB571" i="57"/>
  <c r="AG570" i="57"/>
  <c r="AF570" i="57"/>
  <c r="AB570" i="57"/>
  <c r="AG569" i="57"/>
  <c r="AF569" i="57"/>
  <c r="AB569" i="57"/>
  <c r="AG568" i="57"/>
  <c r="AF568" i="57"/>
  <c r="AB568" i="57"/>
  <c r="AE567" i="57"/>
  <c r="AD567" i="57"/>
  <c r="AC567" i="57"/>
  <c r="AE566" i="57"/>
  <c r="AD566" i="57"/>
  <c r="AC566" i="57"/>
  <c r="AE565" i="57"/>
  <c r="AD565" i="57"/>
  <c r="AC565" i="57"/>
  <c r="AE564" i="57"/>
  <c r="AD564" i="57"/>
  <c r="AC564" i="57"/>
  <c r="AE563" i="57"/>
  <c r="AD563" i="57"/>
  <c r="AC563" i="57"/>
  <c r="AE562" i="57"/>
  <c r="AD562" i="57"/>
  <c r="AC562" i="57"/>
  <c r="AE561" i="57"/>
  <c r="AD561" i="57"/>
  <c r="AC561" i="57"/>
  <c r="AE560" i="57"/>
  <c r="AD560" i="57"/>
  <c r="AC560" i="57"/>
  <c r="AE559" i="57"/>
  <c r="AD559" i="57"/>
  <c r="AC559" i="57"/>
  <c r="AE558" i="57"/>
  <c r="AD558" i="57"/>
  <c r="AC558" i="57"/>
  <c r="AE557" i="57"/>
  <c r="AD557" i="57"/>
  <c r="AC557" i="57"/>
  <c r="AE556" i="57"/>
  <c r="AD556" i="57"/>
  <c r="AC556" i="57"/>
  <c r="AE555" i="57"/>
  <c r="AD555" i="57"/>
  <c r="AC555" i="57"/>
  <c r="AE554" i="57"/>
  <c r="AD554" i="57"/>
  <c r="AC554" i="57"/>
  <c r="AE553" i="57"/>
  <c r="AD553" i="57"/>
  <c r="AC553" i="57"/>
  <c r="AE552" i="57"/>
  <c r="AD552" i="57"/>
  <c r="AC552" i="57"/>
  <c r="AE551" i="57"/>
  <c r="AD551" i="57"/>
  <c r="AC551" i="57"/>
  <c r="AE550" i="57"/>
  <c r="AD550" i="57"/>
  <c r="AC550" i="57"/>
  <c r="AE549" i="57"/>
  <c r="AD549" i="57"/>
  <c r="AC549" i="57"/>
  <c r="AE548" i="57"/>
  <c r="AD548" i="57"/>
  <c r="AC548" i="57"/>
  <c r="AE547" i="57"/>
  <c r="AD547" i="57"/>
  <c r="AC547" i="57"/>
  <c r="AE546" i="57"/>
  <c r="AD546" i="57"/>
  <c r="AC546" i="57"/>
  <c r="AE545" i="57"/>
  <c r="AD545" i="57"/>
  <c r="AC545" i="57"/>
  <c r="AE544" i="57"/>
  <c r="AD544" i="57"/>
  <c r="AC544" i="57"/>
  <c r="AE543" i="57"/>
  <c r="AD543" i="57"/>
  <c r="AC543" i="57"/>
  <c r="AE542" i="57"/>
  <c r="AD542" i="57"/>
  <c r="AC542" i="57"/>
  <c r="AE541" i="57"/>
  <c r="AD541" i="57"/>
  <c r="AC541" i="57"/>
  <c r="AE540" i="57"/>
  <c r="AD540" i="57"/>
  <c r="AC540" i="57"/>
  <c r="AE539" i="57"/>
  <c r="AD539" i="57"/>
  <c r="AC539" i="57"/>
  <c r="AE538" i="57"/>
  <c r="AD538" i="57"/>
  <c r="AC538" i="57"/>
  <c r="AE537" i="57"/>
  <c r="AD537" i="57"/>
  <c r="AC537" i="57"/>
  <c r="AE536" i="57"/>
  <c r="AD536" i="57"/>
  <c r="AC536" i="57"/>
  <c r="AE535" i="57"/>
  <c r="AD535" i="57"/>
  <c r="AC535" i="57"/>
  <c r="AE534" i="57"/>
  <c r="AD534" i="57"/>
  <c r="AC534" i="57"/>
  <c r="AG533" i="57"/>
  <c r="AF533" i="57"/>
  <c r="AB533" i="57"/>
  <c r="AG532" i="57"/>
  <c r="AF532" i="57"/>
  <c r="AB532" i="57"/>
  <c r="AG531" i="57"/>
  <c r="AF531" i="57"/>
  <c r="AB531" i="57"/>
  <c r="AG530" i="57"/>
  <c r="AF530" i="57"/>
  <c r="AB530" i="57"/>
  <c r="AG529" i="57"/>
  <c r="AF529" i="57"/>
  <c r="AB529" i="57"/>
  <c r="AG528" i="57"/>
  <c r="AF528" i="57"/>
  <c r="AB528" i="57"/>
  <c r="AG527" i="57"/>
  <c r="AF527" i="57"/>
  <c r="AB527" i="57"/>
  <c r="AG526" i="57"/>
  <c r="AF526" i="57"/>
  <c r="AB526" i="57"/>
  <c r="AG525" i="57"/>
  <c r="AF525" i="57"/>
  <c r="AB525" i="57"/>
  <c r="AG524" i="57"/>
  <c r="AF524" i="57"/>
  <c r="AB524" i="57"/>
  <c r="AG523" i="57"/>
  <c r="AF523" i="57"/>
  <c r="AB523" i="57"/>
  <c r="AG522" i="57"/>
  <c r="AF522" i="57"/>
  <c r="AB522" i="57"/>
  <c r="AG521" i="57"/>
  <c r="AF521" i="57"/>
  <c r="AB521" i="57"/>
  <c r="AG520" i="57"/>
  <c r="AF520" i="57"/>
  <c r="AB520" i="57"/>
  <c r="AG519" i="57"/>
  <c r="AF519" i="57"/>
  <c r="AB519" i="57"/>
  <c r="AE518" i="57"/>
  <c r="AD518" i="57"/>
  <c r="AC518" i="57"/>
  <c r="AE517" i="57"/>
  <c r="AD517" i="57"/>
  <c r="AC517" i="57"/>
  <c r="AE516" i="57"/>
  <c r="AD516" i="57"/>
  <c r="AC516" i="57"/>
  <c r="AE515" i="57"/>
  <c r="AD515" i="57"/>
  <c r="AC515" i="57"/>
  <c r="AE514" i="57"/>
  <c r="AD514" i="57"/>
  <c r="AC514" i="57"/>
  <c r="AE513" i="57"/>
  <c r="AD513" i="57"/>
  <c r="AC513" i="57"/>
  <c r="AE512" i="57"/>
  <c r="AD512" i="57"/>
  <c r="AC512" i="57"/>
  <c r="AE511" i="57"/>
  <c r="AD511" i="57"/>
  <c r="AC511" i="57"/>
  <c r="AE510" i="57"/>
  <c r="AD510" i="57"/>
  <c r="AC510" i="57"/>
  <c r="AE509" i="57"/>
  <c r="AD509" i="57"/>
  <c r="AC509" i="57"/>
  <c r="AE508" i="57"/>
  <c r="AD508" i="57"/>
  <c r="AC508" i="57"/>
  <c r="AE507" i="57"/>
  <c r="AD507" i="57"/>
  <c r="AC507" i="57"/>
  <c r="AE506" i="57"/>
  <c r="AD506" i="57"/>
  <c r="AC506" i="57"/>
  <c r="AE505" i="57"/>
  <c r="AD505" i="57"/>
  <c r="AC505" i="57"/>
  <c r="AE504" i="57"/>
  <c r="AD504" i="57"/>
  <c r="AC504" i="57"/>
  <c r="AE503" i="57"/>
  <c r="AD503" i="57"/>
  <c r="AC503" i="57"/>
  <c r="AE502" i="57"/>
  <c r="AE501" i="57"/>
  <c r="AE500" i="57"/>
  <c r="AE499" i="57"/>
  <c r="AE498" i="57"/>
  <c r="AE497" i="57"/>
  <c r="AE496" i="57"/>
  <c r="AE495" i="57"/>
  <c r="AE494" i="57"/>
  <c r="AE493" i="57"/>
  <c r="AE492" i="57"/>
  <c r="AE491" i="57"/>
  <c r="AE490" i="57"/>
  <c r="AE489" i="57"/>
  <c r="AE488" i="57"/>
  <c r="AE487" i="57"/>
  <c r="AE486" i="57"/>
  <c r="AE485" i="57"/>
  <c r="AE484" i="57"/>
  <c r="AE483" i="57"/>
  <c r="AE482" i="57"/>
  <c r="AE481" i="57"/>
  <c r="AE480" i="57"/>
  <c r="AE479" i="57"/>
  <c r="AE478" i="57"/>
  <c r="AE477" i="57"/>
  <c r="AE476" i="57"/>
  <c r="AE475" i="57"/>
  <c r="AE474" i="57"/>
  <c r="AE473" i="57"/>
  <c r="AE472" i="57"/>
  <c r="AE471" i="57"/>
  <c r="AE470" i="57"/>
  <c r="AE469" i="57"/>
  <c r="AE468" i="57"/>
  <c r="AE467" i="57"/>
  <c r="AE466" i="57"/>
  <c r="AE465" i="57"/>
  <c r="AE464" i="57"/>
  <c r="AE463" i="57"/>
  <c r="AE462" i="57"/>
  <c r="AE461" i="57"/>
  <c r="AE460" i="57"/>
  <c r="AE459" i="57"/>
  <c r="AE458" i="57"/>
  <c r="AG457" i="57"/>
  <c r="AF457" i="57"/>
  <c r="AG456" i="57"/>
  <c r="AF456" i="57"/>
  <c r="AG455" i="57"/>
  <c r="AF455" i="57"/>
  <c r="AG454" i="57"/>
  <c r="AF454" i="57"/>
  <c r="AG453" i="57"/>
  <c r="AF453" i="57"/>
  <c r="AG452" i="57"/>
  <c r="AF452" i="57"/>
  <c r="AG451" i="57"/>
  <c r="AF451" i="57"/>
  <c r="AG450" i="57"/>
  <c r="AF450" i="57"/>
  <c r="AG449" i="57"/>
  <c r="AF449" i="57"/>
  <c r="AG448" i="57"/>
  <c r="AF448" i="57"/>
  <c r="AG447" i="57"/>
  <c r="AF447" i="57"/>
  <c r="AG446" i="57"/>
  <c r="AF446" i="57"/>
  <c r="AG445" i="57"/>
  <c r="AF445" i="57"/>
  <c r="AG444" i="57"/>
  <c r="AF444" i="57"/>
  <c r="AG443" i="57"/>
  <c r="AF443" i="57"/>
  <c r="AG442" i="57"/>
  <c r="AF442" i="57"/>
  <c r="AG441" i="57"/>
  <c r="AF441" i="57"/>
  <c r="AG440" i="57"/>
  <c r="AF440" i="57"/>
  <c r="AG439" i="57"/>
  <c r="AF439" i="57"/>
  <c r="AG438" i="57"/>
  <c r="AF438" i="57"/>
  <c r="AG437" i="57"/>
  <c r="AF437" i="57"/>
  <c r="AG436" i="57"/>
  <c r="AF436" i="57"/>
  <c r="AG435" i="57"/>
  <c r="AF435" i="57"/>
  <c r="AG434" i="57"/>
  <c r="AF434" i="57"/>
  <c r="AG433" i="57"/>
  <c r="AF433" i="57"/>
  <c r="AG432" i="57"/>
  <c r="AF432" i="57"/>
  <c r="AG431" i="57"/>
  <c r="AF431" i="57"/>
  <c r="AG430" i="57"/>
  <c r="AF430" i="57"/>
  <c r="AG429" i="57"/>
  <c r="AF429" i="57"/>
  <c r="AG428" i="57"/>
  <c r="AF428" i="57"/>
  <c r="AG427" i="57"/>
  <c r="AF427" i="57"/>
  <c r="AG426" i="57"/>
  <c r="AF426" i="57"/>
  <c r="AG425" i="57"/>
  <c r="AF425" i="57"/>
  <c r="AG424" i="57"/>
  <c r="AF424" i="57"/>
  <c r="AG423" i="57"/>
  <c r="AF423" i="57"/>
  <c r="AE422" i="57"/>
  <c r="AE421" i="57"/>
  <c r="AE420" i="57"/>
  <c r="AE419" i="57"/>
  <c r="AE418" i="57"/>
  <c r="AE417" i="57"/>
  <c r="AE416" i="57"/>
  <c r="AE415" i="57"/>
  <c r="AE414" i="57"/>
  <c r="AE413" i="57"/>
  <c r="AE412" i="57"/>
  <c r="AE411" i="57"/>
  <c r="AE410" i="57"/>
  <c r="AE409" i="57"/>
  <c r="AE408" i="57"/>
  <c r="AE407" i="57"/>
  <c r="AE406" i="57"/>
  <c r="AE405" i="57"/>
  <c r="AE404" i="57"/>
  <c r="AE403" i="57"/>
  <c r="AE402" i="57"/>
  <c r="AE401" i="57"/>
  <c r="AE400" i="57"/>
  <c r="AE399" i="57"/>
  <c r="AE398" i="57"/>
  <c r="AE397" i="57"/>
  <c r="AE396" i="57"/>
  <c r="AE395" i="57"/>
  <c r="AE394" i="57"/>
  <c r="AE393" i="57"/>
  <c r="AE392" i="57"/>
  <c r="AE391" i="57"/>
  <c r="AE390" i="57"/>
  <c r="AE389" i="57"/>
  <c r="AE388" i="57"/>
  <c r="AE387" i="57"/>
  <c r="AE386" i="57"/>
  <c r="AE385" i="57"/>
  <c r="AE384" i="57"/>
  <c r="AE383" i="57"/>
  <c r="AE382" i="57"/>
  <c r="AE381" i="57"/>
  <c r="AE380" i="57"/>
  <c r="AE379" i="57"/>
  <c r="AE378" i="57"/>
  <c r="AE377" i="57"/>
  <c r="AE376" i="57"/>
  <c r="AE375" i="57"/>
  <c r="AE374" i="57"/>
  <c r="AE373" i="57"/>
  <c r="AE372" i="57"/>
  <c r="AE371" i="57"/>
  <c r="AE370" i="57"/>
  <c r="AE369" i="57"/>
  <c r="AE368" i="57"/>
  <c r="AE367" i="57"/>
  <c r="AG366" i="57"/>
  <c r="AF366" i="57"/>
  <c r="AG365" i="57"/>
  <c r="AF365" i="57"/>
  <c r="AG364" i="57"/>
  <c r="AF364" i="57"/>
  <c r="AG363" i="57"/>
  <c r="AF363" i="57"/>
  <c r="AG362" i="57"/>
  <c r="AF362" i="57"/>
  <c r="AG361" i="57"/>
  <c r="AF361" i="57"/>
  <c r="AG360" i="57"/>
  <c r="AF360" i="57"/>
  <c r="AG359" i="57"/>
  <c r="AF359" i="57"/>
  <c r="AG358" i="57"/>
  <c r="AF358" i="57"/>
  <c r="AG357" i="57"/>
  <c r="AF357" i="57"/>
  <c r="AG356" i="57"/>
  <c r="AF356" i="57"/>
  <c r="AG355" i="57"/>
  <c r="AF355" i="57"/>
  <c r="AG354" i="57"/>
  <c r="AF354" i="57"/>
  <c r="AG353" i="57"/>
  <c r="AF353" i="57"/>
  <c r="AG352" i="57"/>
  <c r="AF352" i="57"/>
  <c r="AG351" i="57"/>
  <c r="AF351" i="57"/>
  <c r="AG350" i="57"/>
  <c r="AF350" i="57"/>
  <c r="AG349" i="57"/>
  <c r="AF349" i="57"/>
  <c r="AG348" i="57"/>
  <c r="AF348" i="57"/>
  <c r="AG347" i="57"/>
  <c r="AF347" i="57"/>
  <c r="AG346" i="57"/>
  <c r="AF346" i="57"/>
  <c r="AG345" i="57"/>
  <c r="AF345" i="57"/>
  <c r="AG344" i="57"/>
  <c r="AF344" i="57"/>
  <c r="AG343" i="57"/>
  <c r="AF343" i="57"/>
  <c r="AG342" i="57"/>
  <c r="AF342" i="57"/>
  <c r="AG341" i="57"/>
  <c r="AF341" i="57"/>
  <c r="AG340" i="57"/>
  <c r="AF340" i="57"/>
  <c r="AG339" i="57"/>
  <c r="AF339" i="57"/>
  <c r="AE338" i="57"/>
  <c r="AE337" i="57"/>
  <c r="AE336" i="57"/>
  <c r="AE335" i="57"/>
  <c r="AE334" i="57"/>
  <c r="AE333" i="57"/>
  <c r="AE332" i="57"/>
  <c r="AE331" i="57"/>
  <c r="AE330" i="57"/>
  <c r="AE329" i="57"/>
  <c r="AE328" i="57"/>
  <c r="AE327" i="57"/>
  <c r="AE326" i="57"/>
  <c r="AE325" i="57"/>
  <c r="AE324" i="57"/>
  <c r="AE323" i="57"/>
  <c r="AE322" i="57"/>
  <c r="AE321" i="57"/>
  <c r="AE320" i="57"/>
  <c r="AE319" i="57"/>
  <c r="AE318" i="57"/>
  <c r="AE317" i="57"/>
  <c r="AE316" i="57"/>
  <c r="AE315" i="57"/>
  <c r="AE314" i="57"/>
  <c r="AE313" i="57"/>
  <c r="AE312" i="57"/>
  <c r="AE311" i="57"/>
  <c r="AE310" i="57"/>
  <c r="AE309" i="57"/>
  <c r="AE308" i="57"/>
  <c r="AE307" i="57"/>
  <c r="AE306" i="57"/>
  <c r="AE305" i="57"/>
  <c r="AE304" i="57"/>
  <c r="AE303" i="57"/>
  <c r="AE302" i="57"/>
  <c r="AG301" i="57"/>
  <c r="AF301" i="57"/>
  <c r="AG300" i="57"/>
  <c r="AF300" i="57"/>
  <c r="AG299" i="57"/>
  <c r="AF299" i="57"/>
  <c r="AG298" i="57"/>
  <c r="AF298" i="57"/>
  <c r="AG297" i="57"/>
  <c r="AF297" i="57"/>
  <c r="AG296" i="57"/>
  <c r="AF296" i="57"/>
  <c r="AG295" i="57"/>
  <c r="AF295" i="57"/>
  <c r="AG294" i="57"/>
  <c r="AF294" i="57"/>
  <c r="AG293" i="57"/>
  <c r="AF293" i="57"/>
  <c r="AG292" i="57"/>
  <c r="AF292" i="57"/>
  <c r="AG291" i="57"/>
  <c r="AF291" i="57"/>
  <c r="AG290" i="57"/>
  <c r="AF290" i="57"/>
  <c r="AE289" i="57"/>
  <c r="AE288" i="57"/>
  <c r="AE287" i="57"/>
  <c r="AE286" i="57"/>
  <c r="AE285" i="57"/>
  <c r="AE284" i="57"/>
  <c r="AE283" i="57"/>
  <c r="AE282" i="57"/>
  <c r="AE281" i="57"/>
  <c r="AE280" i="57"/>
  <c r="AE279" i="57"/>
  <c r="AE278" i="57"/>
  <c r="AE277" i="57"/>
  <c r="AE276" i="57"/>
  <c r="AE275" i="57"/>
  <c r="AE274" i="57"/>
  <c r="AE273" i="57"/>
  <c r="AE272" i="57"/>
  <c r="AE271" i="57"/>
  <c r="AE270" i="57"/>
  <c r="AE269" i="57"/>
  <c r="AE268" i="57"/>
  <c r="AE267" i="57"/>
  <c r="AE266" i="57"/>
  <c r="AE265" i="57"/>
  <c r="AE264" i="57"/>
  <c r="AE263" i="57"/>
  <c r="AE262" i="57"/>
  <c r="AE261" i="57"/>
  <c r="AE260" i="57"/>
  <c r="AE259" i="57"/>
  <c r="AE258" i="57"/>
  <c r="AE257" i="57"/>
  <c r="AE256" i="57"/>
  <c r="AE255" i="57"/>
  <c r="AE254" i="57"/>
  <c r="AE253" i="57"/>
  <c r="AE252" i="57"/>
  <c r="AE251" i="57"/>
  <c r="AE250" i="57"/>
  <c r="AE249" i="57"/>
  <c r="AE248" i="57"/>
  <c r="AE247" i="57"/>
  <c r="AE246" i="57"/>
  <c r="AE245" i="57"/>
  <c r="AG244" i="57"/>
  <c r="AF244" i="57"/>
  <c r="AG243" i="57"/>
  <c r="AF243" i="57"/>
  <c r="AG242" i="57"/>
  <c r="AF242" i="57"/>
  <c r="AG241" i="57"/>
  <c r="AF241" i="57"/>
  <c r="AG240" i="57"/>
  <c r="AF240" i="57"/>
  <c r="AG239" i="57"/>
  <c r="AF239" i="57"/>
  <c r="AG238" i="57"/>
  <c r="AF238" i="57"/>
  <c r="AG237" i="57"/>
  <c r="AF237" i="57"/>
  <c r="AG236" i="57"/>
  <c r="AF236" i="57"/>
  <c r="AG235" i="57"/>
  <c r="AF235" i="57"/>
  <c r="AG234" i="57"/>
  <c r="AF234" i="57"/>
  <c r="AG233" i="57"/>
  <c r="AF233" i="57"/>
  <c r="AG232" i="57"/>
  <c r="AF232" i="57"/>
  <c r="AG231" i="57"/>
  <c r="AF231" i="57"/>
  <c r="AG230" i="57"/>
  <c r="AF230" i="57"/>
  <c r="AG229" i="57"/>
  <c r="AF229" i="57"/>
  <c r="AG228" i="57"/>
  <c r="AF228" i="57"/>
  <c r="AG227" i="57"/>
  <c r="AF227" i="57"/>
  <c r="AG226" i="57"/>
  <c r="AF226" i="57"/>
  <c r="AG225" i="57"/>
  <c r="AF225" i="57"/>
  <c r="AG224" i="57"/>
  <c r="AF224" i="57"/>
  <c r="AG223" i="57"/>
  <c r="AF223" i="57"/>
  <c r="AG222" i="57"/>
  <c r="AF222" i="57"/>
  <c r="AG221" i="57"/>
  <c r="AF221" i="57"/>
  <c r="AG220" i="57"/>
  <c r="AF220" i="57"/>
  <c r="AG219" i="57"/>
  <c r="AF219" i="57"/>
  <c r="AG218" i="57"/>
  <c r="AF218" i="57"/>
  <c r="AG217" i="57"/>
  <c r="AF217" i="57"/>
  <c r="AG216" i="57"/>
  <c r="AF216" i="57"/>
  <c r="AG215" i="57"/>
  <c r="AF215" i="57"/>
  <c r="AG214" i="57"/>
  <c r="AF214" i="57"/>
  <c r="AG213" i="57"/>
  <c r="AF213" i="57"/>
  <c r="AG212" i="57"/>
  <c r="AF212" i="57"/>
  <c r="AG211" i="57"/>
  <c r="AF211" i="57"/>
  <c r="AG210" i="57"/>
  <c r="AF210" i="57"/>
  <c r="AG209" i="57"/>
  <c r="AF209" i="57"/>
  <c r="AE208" i="57"/>
  <c r="AE207" i="57"/>
  <c r="AE206" i="57"/>
  <c r="AE205" i="57"/>
  <c r="AE204" i="57"/>
  <c r="AE203" i="57"/>
  <c r="AE202" i="57"/>
  <c r="AE201" i="57"/>
  <c r="AE200" i="57"/>
  <c r="AE199" i="57"/>
  <c r="AE198" i="57"/>
  <c r="AE197" i="57"/>
  <c r="AE196" i="57"/>
  <c r="AE195" i="57"/>
  <c r="AE194" i="57"/>
  <c r="AE193" i="57"/>
  <c r="AE192" i="57"/>
  <c r="AE191" i="57"/>
  <c r="AE190" i="57"/>
  <c r="AE189" i="57"/>
  <c r="AE188" i="57"/>
  <c r="AE187" i="57"/>
  <c r="AE186" i="57"/>
  <c r="AE185" i="57"/>
  <c r="AE184" i="57"/>
  <c r="AE183" i="57"/>
  <c r="AE182" i="57"/>
  <c r="AE181" i="57"/>
  <c r="AE180" i="57"/>
  <c r="AE179" i="57"/>
  <c r="AE178" i="57"/>
  <c r="AE177" i="57"/>
  <c r="AE176" i="57"/>
  <c r="AD175" i="57"/>
  <c r="AC175" i="57"/>
  <c r="AB175" i="57"/>
  <c r="AD174" i="57"/>
  <c r="AC174" i="57"/>
  <c r="AB174" i="57"/>
  <c r="AD173" i="57"/>
  <c r="AC173" i="57"/>
  <c r="AB173" i="57"/>
  <c r="AD172" i="57"/>
  <c r="AC172" i="57"/>
  <c r="AB172" i="57"/>
  <c r="AD171" i="57"/>
  <c r="AC171" i="57"/>
  <c r="AB171" i="57"/>
  <c r="AD170" i="57"/>
  <c r="AC170" i="57"/>
  <c r="AB170" i="57"/>
  <c r="AD169" i="57"/>
  <c r="AC169" i="57"/>
  <c r="AB169" i="57"/>
  <c r="AD168" i="57"/>
  <c r="AC168" i="57"/>
  <c r="AB168" i="57"/>
  <c r="AD167" i="57"/>
  <c r="AC167" i="57"/>
  <c r="AB167" i="57"/>
  <c r="AD166" i="57"/>
  <c r="AC166" i="57"/>
  <c r="AB166" i="57"/>
  <c r="AD165" i="57"/>
  <c r="AC165" i="57"/>
  <c r="AB165" i="57"/>
  <c r="AD164" i="57"/>
  <c r="AC164" i="57"/>
  <c r="AB164" i="57"/>
  <c r="AD163" i="57"/>
  <c r="AC163" i="57"/>
  <c r="AB163" i="57"/>
  <c r="AD162" i="57"/>
  <c r="AC162" i="57"/>
  <c r="AB162" i="57"/>
  <c r="AD161" i="57"/>
  <c r="AC161" i="57"/>
  <c r="AB161" i="57"/>
  <c r="AD160" i="57"/>
  <c r="AC160" i="57"/>
  <c r="AB160" i="57"/>
  <c r="AD159" i="57"/>
  <c r="AC159" i="57"/>
  <c r="AB159" i="57"/>
  <c r="AD158" i="57"/>
  <c r="AC158" i="57"/>
  <c r="AB158" i="57"/>
  <c r="AD157" i="57"/>
  <c r="AC157" i="57"/>
  <c r="AB157" i="57"/>
  <c r="AD156" i="57"/>
  <c r="AC156" i="57"/>
  <c r="AB156" i="57"/>
  <c r="AD155" i="57"/>
  <c r="AC155" i="57"/>
  <c r="AB155" i="57"/>
  <c r="AD154" i="57"/>
  <c r="AC154" i="57"/>
  <c r="AB154" i="57"/>
  <c r="AD153" i="57"/>
  <c r="AC153" i="57"/>
  <c r="AB153" i="57"/>
  <c r="AD152" i="57"/>
  <c r="AC152" i="57"/>
  <c r="AB152" i="57"/>
  <c r="X1156" i="57"/>
  <c r="AD1156" i="57" s="1"/>
  <c r="W1156" i="57"/>
  <c r="AC1156" i="57" s="1"/>
  <c r="V1156" i="57"/>
  <c r="AB1156" i="57" s="1"/>
  <c r="X1155" i="57"/>
  <c r="AD1155" i="57" s="1"/>
  <c r="W1155" i="57"/>
  <c r="AC1155" i="57" s="1"/>
  <c r="V1155" i="57"/>
  <c r="AB1155" i="57" s="1"/>
  <c r="X1154" i="57"/>
  <c r="AD1154" i="57" s="1"/>
  <c r="W1154" i="57"/>
  <c r="AC1154" i="57" s="1"/>
  <c r="V1154" i="57"/>
  <c r="AB1154" i="57" s="1"/>
  <c r="X1153" i="57"/>
  <c r="AD1153" i="57" s="1"/>
  <c r="W1153" i="57"/>
  <c r="AC1153" i="57" s="1"/>
  <c r="V1153" i="57"/>
  <c r="AB1153" i="57" s="1"/>
  <c r="X1152" i="57"/>
  <c r="AD1152" i="57" s="1"/>
  <c r="W1152" i="57"/>
  <c r="AC1152" i="57" s="1"/>
  <c r="V1152" i="57"/>
  <c r="AB1152" i="57" s="1"/>
  <c r="X1151" i="57"/>
  <c r="AD1151" i="57" s="1"/>
  <c r="W1151" i="57"/>
  <c r="AC1151" i="57" s="1"/>
  <c r="V1151" i="57"/>
  <c r="AB1151" i="57" s="1"/>
  <c r="X1150" i="57"/>
  <c r="AD1150" i="57" s="1"/>
  <c r="W1150" i="57"/>
  <c r="AC1150" i="57" s="1"/>
  <c r="V1150" i="57"/>
  <c r="AB1150" i="57" s="1"/>
  <c r="X1149" i="57"/>
  <c r="AD1149" i="57" s="1"/>
  <c r="W1149" i="57"/>
  <c r="AC1149" i="57" s="1"/>
  <c r="V1149" i="57"/>
  <c r="AB1149" i="57" s="1"/>
  <c r="X1148" i="57"/>
  <c r="AD1148" i="57" s="1"/>
  <c r="W1148" i="57"/>
  <c r="AC1148" i="57" s="1"/>
  <c r="V1148" i="57"/>
  <c r="AB1148" i="57" s="1"/>
  <c r="X1147" i="57"/>
  <c r="AD1147" i="57" s="1"/>
  <c r="W1147" i="57"/>
  <c r="AC1147" i="57" s="1"/>
  <c r="V1147" i="57"/>
  <c r="AB1147" i="57" s="1"/>
  <c r="X1146" i="57"/>
  <c r="AD1146" i="57" s="1"/>
  <c r="W1146" i="57"/>
  <c r="AC1146" i="57" s="1"/>
  <c r="V1146" i="57"/>
  <c r="AB1146" i="57" s="1"/>
  <c r="X1145" i="57"/>
  <c r="AD1145" i="57" s="1"/>
  <c r="W1145" i="57"/>
  <c r="AC1145" i="57" s="1"/>
  <c r="V1145" i="57"/>
  <c r="AB1145" i="57" s="1"/>
  <c r="X1144" i="57"/>
  <c r="AD1144" i="57" s="1"/>
  <c r="W1144" i="57"/>
  <c r="AC1144" i="57" s="1"/>
  <c r="V1144" i="57"/>
  <c r="AB1144" i="57" s="1"/>
  <c r="X1143" i="57"/>
  <c r="AD1143" i="57" s="1"/>
  <c r="W1143" i="57"/>
  <c r="AC1143" i="57" s="1"/>
  <c r="V1143" i="57"/>
  <c r="AB1143" i="57" s="1"/>
  <c r="X1142" i="57"/>
  <c r="AD1142" i="57" s="1"/>
  <c r="W1142" i="57"/>
  <c r="AC1142" i="57" s="1"/>
  <c r="V1142" i="57"/>
  <c r="AB1142" i="57" s="1"/>
  <c r="X1141" i="57"/>
  <c r="AD1141" i="57" s="1"/>
  <c r="W1141" i="57"/>
  <c r="AC1141" i="57" s="1"/>
  <c r="V1141" i="57"/>
  <c r="AB1141" i="57" s="1"/>
  <c r="X1140" i="57"/>
  <c r="AD1140" i="57" s="1"/>
  <c r="W1140" i="57"/>
  <c r="AC1140" i="57" s="1"/>
  <c r="V1140" i="57"/>
  <c r="AB1140" i="57" s="1"/>
  <c r="X1139" i="57"/>
  <c r="AD1139" i="57" s="1"/>
  <c r="W1139" i="57"/>
  <c r="AC1139" i="57" s="1"/>
  <c r="V1139" i="57"/>
  <c r="AB1139" i="57" s="1"/>
  <c r="X1138" i="57"/>
  <c r="AD1138" i="57" s="1"/>
  <c r="W1138" i="57"/>
  <c r="AC1138" i="57" s="1"/>
  <c r="V1138" i="57"/>
  <c r="AB1138" i="57" s="1"/>
  <c r="X1137" i="57"/>
  <c r="AD1137" i="57" s="1"/>
  <c r="W1137" i="57"/>
  <c r="AC1137" i="57" s="1"/>
  <c r="V1137" i="57"/>
  <c r="AB1137" i="57" s="1"/>
  <c r="X1136" i="57"/>
  <c r="AD1136" i="57" s="1"/>
  <c r="W1136" i="57"/>
  <c r="AC1136" i="57" s="1"/>
  <c r="V1136" i="57"/>
  <c r="AB1136" i="57" s="1"/>
  <c r="X1135" i="57"/>
  <c r="AD1135" i="57" s="1"/>
  <c r="W1135" i="57"/>
  <c r="AC1135" i="57" s="1"/>
  <c r="V1135" i="57"/>
  <c r="AB1135" i="57" s="1"/>
  <c r="X1134" i="57"/>
  <c r="AD1134" i="57" s="1"/>
  <c r="W1134" i="57"/>
  <c r="AC1134" i="57" s="1"/>
  <c r="V1134" i="57"/>
  <c r="AB1134" i="57" s="1"/>
  <c r="X1133" i="57"/>
  <c r="AD1133" i="57" s="1"/>
  <c r="W1133" i="57"/>
  <c r="AC1133" i="57" s="1"/>
  <c r="V1133" i="57"/>
  <c r="AB1133" i="57" s="1"/>
  <c r="X1132" i="57"/>
  <c r="AD1132" i="57" s="1"/>
  <c r="AO6" i="57" s="1"/>
  <c r="W1132" i="57"/>
  <c r="AC1132" i="57" s="1"/>
  <c r="V1132" i="57"/>
  <c r="AB1132" i="57" s="1"/>
  <c r="V1131" i="57"/>
  <c r="AB1131" i="57" s="1"/>
  <c r="V1130" i="57"/>
  <c r="AB1130" i="57" s="1"/>
  <c r="V1129" i="57"/>
  <c r="AB1129" i="57" s="1"/>
  <c r="V1128" i="57"/>
  <c r="AB1128" i="57" s="1"/>
  <c r="V1127" i="57"/>
  <c r="AB1127" i="57" s="1"/>
  <c r="V1126" i="57"/>
  <c r="AB1126" i="57" s="1"/>
  <c r="V1125" i="57"/>
  <c r="AB1125" i="57" s="1"/>
  <c r="V1124" i="57"/>
  <c r="AB1124" i="57" s="1"/>
  <c r="V1123" i="57"/>
  <c r="AB1123" i="57" s="1"/>
  <c r="V1122" i="57"/>
  <c r="AB1122" i="57" s="1"/>
  <c r="V1121" i="57"/>
  <c r="AB1121" i="57" s="1"/>
  <c r="V1120" i="57"/>
  <c r="AB1120" i="57" s="1"/>
  <c r="V1119" i="57"/>
  <c r="AB1119" i="57" s="1"/>
  <c r="V1118" i="57"/>
  <c r="AB1118" i="57" s="1"/>
  <c r="V1117" i="57"/>
  <c r="AB1117" i="57" s="1"/>
  <c r="V1116" i="57"/>
  <c r="AB1116" i="57" s="1"/>
  <c r="V1115" i="57"/>
  <c r="AB1115" i="57" s="1"/>
  <c r="V1114" i="57"/>
  <c r="AB1114" i="57" s="1"/>
  <c r="V1113" i="57"/>
  <c r="AB1113" i="57" s="1"/>
  <c r="V1112" i="57"/>
  <c r="AB1112" i="57" s="1"/>
  <c r="X1111" i="57"/>
  <c r="AD1111" i="57" s="1"/>
  <c r="W1111" i="57"/>
  <c r="AC1111" i="57" s="1"/>
  <c r="V1111" i="57"/>
  <c r="AB1111" i="57" s="1"/>
  <c r="X1110" i="57"/>
  <c r="AD1110" i="57" s="1"/>
  <c r="W1110" i="57"/>
  <c r="AC1110" i="57" s="1"/>
  <c r="V1110" i="57"/>
  <c r="AB1110" i="57" s="1"/>
  <c r="X1109" i="57"/>
  <c r="AD1109" i="57" s="1"/>
  <c r="W1109" i="57"/>
  <c r="AC1109" i="57" s="1"/>
  <c r="V1109" i="57"/>
  <c r="AB1109" i="57" s="1"/>
  <c r="X1108" i="57"/>
  <c r="AD1108" i="57" s="1"/>
  <c r="W1108" i="57"/>
  <c r="AC1108" i="57" s="1"/>
  <c r="V1108" i="57"/>
  <c r="AB1108" i="57" s="1"/>
  <c r="X1107" i="57"/>
  <c r="AD1107" i="57" s="1"/>
  <c r="W1107" i="57"/>
  <c r="AC1107" i="57" s="1"/>
  <c r="V1107" i="57"/>
  <c r="AB1107" i="57" s="1"/>
  <c r="X1106" i="57"/>
  <c r="AD1106" i="57" s="1"/>
  <c r="W1106" i="57"/>
  <c r="AC1106" i="57" s="1"/>
  <c r="V1106" i="57"/>
  <c r="AB1106" i="57" s="1"/>
  <c r="X1105" i="57"/>
  <c r="AD1105" i="57" s="1"/>
  <c r="W1105" i="57"/>
  <c r="AC1105" i="57" s="1"/>
  <c r="V1105" i="57"/>
  <c r="AB1105" i="57" s="1"/>
  <c r="X1104" i="57"/>
  <c r="AD1104" i="57" s="1"/>
  <c r="W1104" i="57"/>
  <c r="AC1104" i="57" s="1"/>
  <c r="V1104" i="57"/>
  <c r="AB1104" i="57" s="1"/>
  <c r="X1103" i="57"/>
  <c r="AD1103" i="57" s="1"/>
  <c r="W1103" i="57"/>
  <c r="AC1103" i="57" s="1"/>
  <c r="V1103" i="57"/>
  <c r="AB1103" i="57" s="1"/>
  <c r="X1102" i="57"/>
  <c r="AD1102" i="57" s="1"/>
  <c r="W1102" i="57"/>
  <c r="AC1102" i="57" s="1"/>
  <c r="V1102" i="57"/>
  <c r="AB1102" i="57" s="1"/>
  <c r="X1101" i="57"/>
  <c r="AD1101" i="57" s="1"/>
  <c r="W1101" i="57"/>
  <c r="AC1101" i="57" s="1"/>
  <c r="V1101" i="57"/>
  <c r="AB1101" i="57" s="1"/>
  <c r="X1100" i="57"/>
  <c r="AD1100" i="57" s="1"/>
  <c r="W1100" i="57"/>
  <c r="AC1100" i="57" s="1"/>
  <c r="V1100" i="57"/>
  <c r="AB1100" i="57" s="1"/>
  <c r="X1099" i="57"/>
  <c r="AD1099" i="57" s="1"/>
  <c r="W1099" i="57"/>
  <c r="AC1099" i="57" s="1"/>
  <c r="V1099" i="57"/>
  <c r="AB1099" i="57" s="1"/>
  <c r="X1098" i="57"/>
  <c r="AD1098" i="57" s="1"/>
  <c r="W1098" i="57"/>
  <c r="AC1098" i="57" s="1"/>
  <c r="V1098" i="57"/>
  <c r="AB1098" i="57" s="1"/>
  <c r="X1097" i="57"/>
  <c r="AD1097" i="57" s="1"/>
  <c r="W1097" i="57"/>
  <c r="AC1097" i="57" s="1"/>
  <c r="V1097" i="57"/>
  <c r="AB1097" i="57" s="1"/>
  <c r="X1096" i="57"/>
  <c r="AD1096" i="57" s="1"/>
  <c r="W1096" i="57"/>
  <c r="AC1096" i="57" s="1"/>
  <c r="V1096" i="57"/>
  <c r="AB1096" i="57" s="1"/>
  <c r="X1095" i="57"/>
  <c r="AD1095" i="57" s="1"/>
  <c r="W1095" i="57"/>
  <c r="AC1095" i="57" s="1"/>
  <c r="V1095" i="57"/>
  <c r="AB1095" i="57" s="1"/>
  <c r="X1094" i="57"/>
  <c r="AD1094" i="57" s="1"/>
  <c r="W1094" i="57"/>
  <c r="AC1094" i="57" s="1"/>
  <c r="V1094" i="57"/>
  <c r="AB1094" i="57" s="1"/>
  <c r="X1093" i="57"/>
  <c r="AD1093" i="57" s="1"/>
  <c r="W1093" i="57"/>
  <c r="AC1093" i="57" s="1"/>
  <c r="V1093" i="57"/>
  <c r="AB1093" i="57" s="1"/>
  <c r="X1092" i="57"/>
  <c r="AD1092" i="57" s="1"/>
  <c r="W1092" i="57"/>
  <c r="AC1092" i="57" s="1"/>
  <c r="V1092" i="57"/>
  <c r="AB1092" i="57" s="1"/>
  <c r="X1091" i="57"/>
  <c r="AD1091" i="57" s="1"/>
  <c r="W1091" i="57"/>
  <c r="AC1091" i="57" s="1"/>
  <c r="V1091" i="57"/>
  <c r="AB1091" i="57" s="1"/>
  <c r="X1090" i="57"/>
  <c r="AD1090" i="57" s="1"/>
  <c r="W1090" i="57"/>
  <c r="AC1090" i="57" s="1"/>
  <c r="V1090" i="57"/>
  <c r="AB1090" i="57" s="1"/>
  <c r="X1089" i="57"/>
  <c r="AD1089" i="57" s="1"/>
  <c r="W1089" i="57"/>
  <c r="AC1089" i="57" s="1"/>
  <c r="V1089" i="57"/>
  <c r="AB1089" i="57" s="1"/>
  <c r="X1088" i="57"/>
  <c r="AD1088" i="57" s="1"/>
  <c r="W1088" i="57"/>
  <c r="AC1088" i="57" s="1"/>
  <c r="V1088" i="57"/>
  <c r="AB1088" i="57" s="1"/>
  <c r="X1087" i="57"/>
  <c r="AD1087" i="57" s="1"/>
  <c r="W1087" i="57"/>
  <c r="AC1087" i="57" s="1"/>
  <c r="V1087" i="57"/>
  <c r="AB1087" i="57" s="1"/>
  <c r="X1086" i="57"/>
  <c r="AD1086" i="57" s="1"/>
  <c r="W1086" i="57"/>
  <c r="AC1086" i="57" s="1"/>
  <c r="V1086" i="57"/>
  <c r="AB1086" i="57" s="1"/>
  <c r="X1085" i="57"/>
  <c r="AD1085" i="57" s="1"/>
  <c r="W1085" i="57"/>
  <c r="AC1085" i="57" s="1"/>
  <c r="V1085" i="57"/>
  <c r="AB1085" i="57" s="1"/>
  <c r="X1084" i="57"/>
  <c r="AD1084" i="57" s="1"/>
  <c r="W1084" i="57"/>
  <c r="AC1084" i="57" s="1"/>
  <c r="V1084" i="57"/>
  <c r="AB1084" i="57" s="1"/>
  <c r="X1083" i="57"/>
  <c r="AD1083" i="57" s="1"/>
  <c r="W1083" i="57"/>
  <c r="AC1083" i="57" s="1"/>
  <c r="V1083" i="57"/>
  <c r="AB1083" i="57" s="1"/>
  <c r="X1082" i="57"/>
  <c r="AD1082" i="57" s="1"/>
  <c r="W1082" i="57"/>
  <c r="AC1082" i="57" s="1"/>
  <c r="V1082" i="57"/>
  <c r="AB1082" i="57" s="1"/>
  <c r="X1081" i="57"/>
  <c r="AD1081" i="57" s="1"/>
  <c r="W1081" i="57"/>
  <c r="AC1081" i="57" s="1"/>
  <c r="V1081" i="57"/>
  <c r="AB1081" i="57" s="1"/>
  <c r="X1080" i="57"/>
  <c r="AD1080" i="57" s="1"/>
  <c r="W1080" i="57"/>
  <c r="AC1080" i="57" s="1"/>
  <c r="V1080" i="57"/>
  <c r="AB1080" i="57" s="1"/>
  <c r="X1079" i="57"/>
  <c r="AD1079" i="57" s="1"/>
  <c r="W1079" i="57"/>
  <c r="AC1079" i="57" s="1"/>
  <c r="V1079" i="57"/>
  <c r="AB1079" i="57" s="1"/>
  <c r="X1078" i="57"/>
  <c r="AD1078" i="57" s="1"/>
  <c r="W1078" i="57"/>
  <c r="AC1078" i="57" s="1"/>
  <c r="V1078" i="57"/>
  <c r="AB1078" i="57" s="1"/>
  <c r="X1077" i="57"/>
  <c r="AD1077" i="57" s="1"/>
  <c r="W1077" i="57"/>
  <c r="AC1077" i="57" s="1"/>
  <c r="V1077" i="57"/>
  <c r="AB1077" i="57" s="1"/>
  <c r="X1076" i="57"/>
  <c r="AD1076" i="57" s="1"/>
  <c r="W1076" i="57"/>
  <c r="AC1076" i="57" s="1"/>
  <c r="V1076" i="57"/>
  <c r="AB1076" i="57" s="1"/>
  <c r="X1075" i="57"/>
  <c r="AD1075" i="57" s="1"/>
  <c r="W1075" i="57"/>
  <c r="AC1075" i="57" s="1"/>
  <c r="V1075" i="57"/>
  <c r="AB1075" i="57" s="1"/>
  <c r="X1074" i="57"/>
  <c r="AD1074" i="57" s="1"/>
  <c r="W1074" i="57"/>
  <c r="AC1074" i="57" s="1"/>
  <c r="V1074" i="57"/>
  <c r="AB1074" i="57" s="1"/>
  <c r="X1073" i="57"/>
  <c r="AD1073" i="57" s="1"/>
  <c r="W1073" i="57"/>
  <c r="AC1073" i="57" s="1"/>
  <c r="V1073" i="57"/>
  <c r="AB1073" i="57" s="1"/>
  <c r="X1072" i="57"/>
  <c r="AD1072" i="57" s="1"/>
  <c r="W1072" i="57"/>
  <c r="AC1072" i="57" s="1"/>
  <c r="V1072" i="57"/>
  <c r="AB1072" i="57" s="1"/>
  <c r="X1071" i="57"/>
  <c r="AD1071" i="57" s="1"/>
  <c r="W1071" i="57"/>
  <c r="AC1071" i="57" s="1"/>
  <c r="V1071" i="57"/>
  <c r="AB1071" i="57" s="1"/>
  <c r="X1070" i="57"/>
  <c r="AD1070" i="57" s="1"/>
  <c r="W1070" i="57"/>
  <c r="AC1070" i="57" s="1"/>
  <c r="V1070" i="57"/>
  <c r="AB1070" i="57" s="1"/>
  <c r="X1069" i="57"/>
  <c r="AD1069" i="57" s="1"/>
  <c r="W1069" i="57"/>
  <c r="AC1069" i="57" s="1"/>
  <c r="V1069" i="57"/>
  <c r="AB1069" i="57" s="1"/>
  <c r="X1068" i="57"/>
  <c r="AD1068" i="57" s="1"/>
  <c r="W1068" i="57"/>
  <c r="AC1068" i="57" s="1"/>
  <c r="V1068" i="57"/>
  <c r="AB1068" i="57" s="1"/>
  <c r="X1067" i="57"/>
  <c r="AD1067" i="57" s="1"/>
  <c r="W1067" i="57"/>
  <c r="AC1067" i="57" s="1"/>
  <c r="V1067" i="57"/>
  <c r="AB1067" i="57" s="1"/>
  <c r="X1066" i="57"/>
  <c r="AD1066" i="57" s="1"/>
  <c r="W1066" i="57"/>
  <c r="AC1066" i="57" s="1"/>
  <c r="V1066" i="57"/>
  <c r="AB1066" i="57" s="1"/>
  <c r="X1065" i="57"/>
  <c r="AD1065" i="57" s="1"/>
  <c r="W1065" i="57"/>
  <c r="AC1065" i="57" s="1"/>
  <c r="V1065" i="57"/>
  <c r="AB1065" i="57" s="1"/>
  <c r="X1064" i="57"/>
  <c r="AD1064" i="57" s="1"/>
  <c r="W1064" i="57"/>
  <c r="AC1064" i="57" s="1"/>
  <c r="V1064" i="57"/>
  <c r="AB1064" i="57" s="1"/>
  <c r="X1063" i="57"/>
  <c r="AD1063" i="57" s="1"/>
  <c r="W1063" i="57"/>
  <c r="AC1063" i="57" s="1"/>
  <c r="V1063" i="57"/>
  <c r="AB1063" i="57" s="1"/>
  <c r="X1062" i="57"/>
  <c r="AD1062" i="57" s="1"/>
  <c r="W1062" i="57"/>
  <c r="AC1062" i="57" s="1"/>
  <c r="V1062" i="57"/>
  <c r="AB1062" i="57" s="1"/>
  <c r="X1061" i="57"/>
  <c r="AD1061" i="57" s="1"/>
  <c r="W1061" i="57"/>
  <c r="AC1061" i="57" s="1"/>
  <c r="V1061" i="57"/>
  <c r="AB1061" i="57" s="1"/>
  <c r="X1060" i="57"/>
  <c r="AD1060" i="57" s="1"/>
  <c r="W1060" i="57"/>
  <c r="AC1060" i="57" s="1"/>
  <c r="V1060" i="57"/>
  <c r="AB1060" i="57" s="1"/>
  <c r="X1059" i="57"/>
  <c r="AD1059" i="57" s="1"/>
  <c r="W1059" i="57"/>
  <c r="AC1059" i="57" s="1"/>
  <c r="V1059" i="57"/>
  <c r="AB1059" i="57" s="1"/>
  <c r="X1058" i="57"/>
  <c r="AD1058" i="57" s="1"/>
  <c r="W1058" i="57"/>
  <c r="AC1058" i="57" s="1"/>
  <c r="V1058" i="57"/>
  <c r="AB1058" i="57" s="1"/>
  <c r="X1057" i="57"/>
  <c r="AD1057" i="57" s="1"/>
  <c r="W1057" i="57"/>
  <c r="AC1057" i="57" s="1"/>
  <c r="V1057" i="57"/>
  <c r="AB1057" i="57" s="1"/>
  <c r="X1056" i="57"/>
  <c r="AD1056" i="57" s="1"/>
  <c r="W1056" i="57"/>
  <c r="AC1056" i="57" s="1"/>
  <c r="V1056" i="57"/>
  <c r="AB1056" i="57" s="1"/>
  <c r="X1055" i="57"/>
  <c r="AD1055" i="57" s="1"/>
  <c r="W1055" i="57"/>
  <c r="AC1055" i="57" s="1"/>
  <c r="V1055" i="57"/>
  <c r="AB1055" i="57" s="1"/>
  <c r="X1054" i="57"/>
  <c r="AD1054" i="57" s="1"/>
  <c r="W1054" i="57"/>
  <c r="AC1054" i="57" s="1"/>
  <c r="V1054" i="57"/>
  <c r="AB1054" i="57" s="1"/>
  <c r="X1053" i="57"/>
  <c r="AD1053" i="57" s="1"/>
  <c r="W1053" i="57"/>
  <c r="AC1053" i="57" s="1"/>
  <c r="V1053" i="57"/>
  <c r="AB1053" i="57" s="1"/>
  <c r="X1052" i="57"/>
  <c r="AD1052" i="57" s="1"/>
  <c r="W1052" i="57"/>
  <c r="AC1052" i="57" s="1"/>
  <c r="V1052" i="57"/>
  <c r="AB1052" i="57" s="1"/>
  <c r="X1051" i="57"/>
  <c r="AD1051" i="57" s="1"/>
  <c r="W1051" i="57"/>
  <c r="AC1051" i="57" s="1"/>
  <c r="V1051" i="57"/>
  <c r="AB1051" i="57" s="1"/>
  <c r="X1050" i="57"/>
  <c r="AD1050" i="57" s="1"/>
  <c r="W1050" i="57"/>
  <c r="AC1050" i="57" s="1"/>
  <c r="V1050" i="57"/>
  <c r="AB1050" i="57" s="1"/>
  <c r="X1049" i="57"/>
  <c r="AD1049" i="57" s="1"/>
  <c r="W1049" i="57"/>
  <c r="AC1049" i="57" s="1"/>
  <c r="V1049" i="57"/>
  <c r="AB1049" i="57" s="1"/>
  <c r="X1048" i="57"/>
  <c r="AD1048" i="57" s="1"/>
  <c r="W1048" i="57"/>
  <c r="AC1048" i="57" s="1"/>
  <c r="V1048" i="57"/>
  <c r="AB1048" i="57" s="1"/>
  <c r="X1047" i="57"/>
  <c r="AD1047" i="57" s="1"/>
  <c r="W1047" i="57"/>
  <c r="AC1047" i="57" s="1"/>
  <c r="V1047" i="57"/>
  <c r="AB1047" i="57" s="1"/>
  <c r="X1046" i="57"/>
  <c r="AD1046" i="57" s="1"/>
  <c r="W1046" i="57"/>
  <c r="AC1046" i="57" s="1"/>
  <c r="V1046" i="57"/>
  <c r="AB1046" i="57" s="1"/>
  <c r="X1045" i="57"/>
  <c r="AD1045" i="57" s="1"/>
  <c r="W1045" i="57"/>
  <c r="AC1045" i="57" s="1"/>
  <c r="V1045" i="57"/>
  <c r="AB1045" i="57" s="1"/>
  <c r="X1044" i="57"/>
  <c r="AD1044" i="57" s="1"/>
  <c r="W1044" i="57"/>
  <c r="AC1044" i="57" s="1"/>
  <c r="V1044" i="57"/>
  <c r="AB1044" i="57" s="1"/>
  <c r="X1043" i="57"/>
  <c r="AD1043" i="57" s="1"/>
  <c r="W1043" i="57"/>
  <c r="AC1043" i="57" s="1"/>
  <c r="V1043" i="57"/>
  <c r="AB1043" i="57" s="1"/>
  <c r="X1042" i="57"/>
  <c r="AD1042" i="57" s="1"/>
  <c r="W1042" i="57"/>
  <c r="AC1042" i="57" s="1"/>
  <c r="V1042" i="57"/>
  <c r="AB1042" i="57" s="1"/>
  <c r="X1041" i="57"/>
  <c r="AD1041" i="57" s="1"/>
  <c r="W1041" i="57"/>
  <c r="AC1041" i="57" s="1"/>
  <c r="V1041" i="57"/>
  <c r="AB1041" i="57" s="1"/>
  <c r="X1040" i="57"/>
  <c r="AD1040" i="57" s="1"/>
  <c r="W1040" i="57"/>
  <c r="AC1040" i="57" s="1"/>
  <c r="V1040" i="57"/>
  <c r="AB1040" i="57" s="1"/>
  <c r="X1039" i="57"/>
  <c r="AD1039" i="57" s="1"/>
  <c r="W1039" i="57"/>
  <c r="AC1039" i="57" s="1"/>
  <c r="V1039" i="57"/>
  <c r="AB1039" i="57" s="1"/>
  <c r="X1038" i="57"/>
  <c r="AD1038" i="57" s="1"/>
  <c r="W1038" i="57"/>
  <c r="AC1038" i="57" s="1"/>
  <c r="V1038" i="57"/>
  <c r="AB1038" i="57" s="1"/>
  <c r="X1037" i="57"/>
  <c r="AD1037" i="57" s="1"/>
  <c r="W1037" i="57"/>
  <c r="AC1037" i="57" s="1"/>
  <c r="V1037" i="57"/>
  <c r="AB1037" i="57" s="1"/>
  <c r="X1036" i="57"/>
  <c r="AD1036" i="57" s="1"/>
  <c r="W1036" i="57"/>
  <c r="AC1036" i="57" s="1"/>
  <c r="V1036" i="57"/>
  <c r="AB1036" i="57" s="1"/>
  <c r="X1035" i="57"/>
  <c r="AD1035" i="57" s="1"/>
  <c r="W1035" i="57"/>
  <c r="AC1035" i="57" s="1"/>
  <c r="V1035" i="57"/>
  <c r="AB1035" i="57" s="1"/>
  <c r="X1034" i="57"/>
  <c r="AD1034" i="57" s="1"/>
  <c r="W1034" i="57"/>
  <c r="AC1034" i="57" s="1"/>
  <c r="V1034" i="57"/>
  <c r="AB1034" i="57" s="1"/>
  <c r="X1033" i="57"/>
  <c r="AD1033" i="57" s="1"/>
  <c r="W1033" i="57"/>
  <c r="AC1033" i="57" s="1"/>
  <c r="V1033" i="57"/>
  <c r="AB1033" i="57" s="1"/>
  <c r="X1032" i="57"/>
  <c r="AD1032" i="57" s="1"/>
  <c r="W1032" i="57"/>
  <c r="AC1032" i="57" s="1"/>
  <c r="V1032" i="57"/>
  <c r="AB1032" i="57" s="1"/>
  <c r="X1031" i="57"/>
  <c r="AD1031" i="57" s="1"/>
  <c r="W1031" i="57"/>
  <c r="AC1031" i="57" s="1"/>
  <c r="V1031" i="57"/>
  <c r="AB1031" i="57" s="1"/>
  <c r="X1030" i="57"/>
  <c r="AD1030" i="57" s="1"/>
  <c r="W1030" i="57"/>
  <c r="AC1030" i="57" s="1"/>
  <c r="V1030" i="57"/>
  <c r="AB1030" i="57" s="1"/>
  <c r="X1029" i="57"/>
  <c r="AD1029" i="57" s="1"/>
  <c r="W1029" i="57"/>
  <c r="AC1029" i="57" s="1"/>
  <c r="V1029" i="57"/>
  <c r="AB1029" i="57" s="1"/>
  <c r="X1028" i="57"/>
  <c r="AD1028" i="57" s="1"/>
  <c r="W1028" i="57"/>
  <c r="AC1028" i="57" s="1"/>
  <c r="V1028" i="57"/>
  <c r="AB1028" i="57" s="1"/>
  <c r="X1027" i="57"/>
  <c r="AD1027" i="57" s="1"/>
  <c r="W1027" i="57"/>
  <c r="AC1027" i="57" s="1"/>
  <c r="V1027" i="57"/>
  <c r="AB1027" i="57" s="1"/>
  <c r="X1026" i="57"/>
  <c r="AD1026" i="57" s="1"/>
  <c r="W1026" i="57"/>
  <c r="AC1026" i="57" s="1"/>
  <c r="V1026" i="57"/>
  <c r="AB1026" i="57" s="1"/>
  <c r="X1025" i="57"/>
  <c r="AD1025" i="57" s="1"/>
  <c r="W1025" i="57"/>
  <c r="AC1025" i="57" s="1"/>
  <c r="V1025" i="57"/>
  <c r="AB1025" i="57" s="1"/>
  <c r="X1024" i="57"/>
  <c r="AD1024" i="57" s="1"/>
  <c r="W1024" i="57"/>
  <c r="AC1024" i="57" s="1"/>
  <c r="V1024" i="57"/>
  <c r="AB1024" i="57" s="1"/>
  <c r="X1023" i="57"/>
  <c r="AD1023" i="57" s="1"/>
  <c r="W1023" i="57"/>
  <c r="AC1023" i="57" s="1"/>
  <c r="V1023" i="57"/>
  <c r="AB1023" i="57" s="1"/>
  <c r="X1022" i="57"/>
  <c r="AD1022" i="57" s="1"/>
  <c r="W1022" i="57"/>
  <c r="AC1022" i="57" s="1"/>
  <c r="V1022" i="57"/>
  <c r="AB1022" i="57" s="1"/>
  <c r="X1021" i="57"/>
  <c r="AD1021" i="57" s="1"/>
  <c r="W1021" i="57"/>
  <c r="AC1021" i="57" s="1"/>
  <c r="V1021" i="57"/>
  <c r="AB1021" i="57" s="1"/>
  <c r="X1020" i="57"/>
  <c r="AD1020" i="57" s="1"/>
  <c r="W1020" i="57"/>
  <c r="AC1020" i="57" s="1"/>
  <c r="V1020" i="57"/>
  <c r="AB1020" i="57" s="1"/>
  <c r="X1019" i="57"/>
  <c r="AD1019" i="57" s="1"/>
  <c r="W1019" i="57"/>
  <c r="AC1019" i="57" s="1"/>
  <c r="V1019" i="57"/>
  <c r="AB1019" i="57" s="1"/>
  <c r="X1018" i="57"/>
  <c r="AD1018" i="57" s="1"/>
  <c r="W1018" i="57"/>
  <c r="AC1018" i="57" s="1"/>
  <c r="V1018" i="57"/>
  <c r="AB1018" i="57" s="1"/>
  <c r="X1017" i="57"/>
  <c r="AD1017" i="57" s="1"/>
  <c r="W1017" i="57"/>
  <c r="AC1017" i="57" s="1"/>
  <c r="V1017" i="57"/>
  <c r="AB1017" i="57" s="1"/>
  <c r="X1016" i="57"/>
  <c r="AD1016" i="57" s="1"/>
  <c r="W1016" i="57"/>
  <c r="AC1016" i="57" s="1"/>
  <c r="V1016" i="57"/>
  <c r="AB1016" i="57" s="1"/>
  <c r="X1015" i="57"/>
  <c r="AD1015" i="57" s="1"/>
  <c r="W1015" i="57"/>
  <c r="AC1015" i="57" s="1"/>
  <c r="V1015" i="57"/>
  <c r="AB1015" i="57" s="1"/>
  <c r="X1014" i="57"/>
  <c r="AD1014" i="57" s="1"/>
  <c r="W1014" i="57"/>
  <c r="AC1014" i="57" s="1"/>
  <c r="V1014" i="57"/>
  <c r="AB1014" i="57" s="1"/>
  <c r="X1013" i="57"/>
  <c r="AD1013" i="57" s="1"/>
  <c r="W1013" i="57"/>
  <c r="AC1013" i="57" s="1"/>
  <c r="V1013" i="57"/>
  <c r="AB1013" i="57" s="1"/>
  <c r="X1012" i="57"/>
  <c r="AD1012" i="57" s="1"/>
  <c r="W1012" i="57"/>
  <c r="AC1012" i="57" s="1"/>
  <c r="V1012" i="57"/>
  <c r="AB1012" i="57" s="1"/>
  <c r="X1011" i="57"/>
  <c r="AD1011" i="57" s="1"/>
  <c r="W1011" i="57"/>
  <c r="AC1011" i="57" s="1"/>
  <c r="V1011" i="57"/>
  <c r="AB1011" i="57" s="1"/>
  <c r="X1010" i="57"/>
  <c r="AD1010" i="57" s="1"/>
  <c r="W1010" i="57"/>
  <c r="AC1010" i="57" s="1"/>
  <c r="V1010" i="57"/>
  <c r="AB1010" i="57" s="1"/>
  <c r="X1009" i="57"/>
  <c r="AD1009" i="57" s="1"/>
  <c r="W1009" i="57"/>
  <c r="AC1009" i="57" s="1"/>
  <c r="V1009" i="57"/>
  <c r="AB1009" i="57" s="1"/>
  <c r="X1008" i="57"/>
  <c r="AD1008" i="57" s="1"/>
  <c r="W1008" i="57"/>
  <c r="AC1008" i="57" s="1"/>
  <c r="V1008" i="57"/>
  <c r="AB1008" i="57" s="1"/>
  <c r="X1007" i="57"/>
  <c r="AD1007" i="57" s="1"/>
  <c r="W1007" i="57"/>
  <c r="AC1007" i="57" s="1"/>
  <c r="V1007" i="57"/>
  <c r="AB1007" i="57" s="1"/>
  <c r="X1006" i="57"/>
  <c r="AD1006" i="57" s="1"/>
  <c r="W1006" i="57"/>
  <c r="AC1006" i="57" s="1"/>
  <c r="V1006" i="57"/>
  <c r="AB1006" i="57" s="1"/>
  <c r="X1005" i="57"/>
  <c r="AD1005" i="57" s="1"/>
  <c r="W1005" i="57"/>
  <c r="AC1005" i="57" s="1"/>
  <c r="V1005" i="57"/>
  <c r="AB1005" i="57" s="1"/>
  <c r="X1004" i="57"/>
  <c r="AD1004" i="57" s="1"/>
  <c r="W1004" i="57"/>
  <c r="AC1004" i="57" s="1"/>
  <c r="V1004" i="57"/>
  <c r="AB1004" i="57" s="1"/>
  <c r="X1003" i="57"/>
  <c r="AD1003" i="57" s="1"/>
  <c r="W1003" i="57"/>
  <c r="AC1003" i="57" s="1"/>
  <c r="V1003" i="57"/>
  <c r="AB1003" i="57" s="1"/>
  <c r="X1002" i="57"/>
  <c r="AD1002" i="57" s="1"/>
  <c r="W1002" i="57"/>
  <c r="AC1002" i="57" s="1"/>
  <c r="V1002" i="57"/>
  <c r="AB1002" i="57" s="1"/>
  <c r="X1001" i="57"/>
  <c r="AD1001" i="57" s="1"/>
  <c r="W1001" i="57"/>
  <c r="AC1001" i="57" s="1"/>
  <c r="V1001" i="57"/>
  <c r="AB1001" i="57" s="1"/>
  <c r="X1000" i="57"/>
  <c r="AD1000" i="57" s="1"/>
  <c r="W1000" i="57"/>
  <c r="AC1000" i="57" s="1"/>
  <c r="V1000" i="57"/>
  <c r="AB1000" i="57" s="1"/>
  <c r="X999" i="57"/>
  <c r="AD999" i="57" s="1"/>
  <c r="W999" i="57"/>
  <c r="AC999" i="57" s="1"/>
  <c r="V999" i="57"/>
  <c r="AB999" i="57" s="1"/>
  <c r="X998" i="57"/>
  <c r="AD998" i="57" s="1"/>
  <c r="W998" i="57"/>
  <c r="AC998" i="57" s="1"/>
  <c r="V998" i="57"/>
  <c r="AB998" i="57" s="1"/>
  <c r="X997" i="57"/>
  <c r="AD997" i="57" s="1"/>
  <c r="W997" i="57"/>
  <c r="AC997" i="57" s="1"/>
  <c r="V997" i="57"/>
  <c r="AB997" i="57" s="1"/>
  <c r="X996" i="57"/>
  <c r="AD996" i="57" s="1"/>
  <c r="W996" i="57"/>
  <c r="AC996" i="57" s="1"/>
  <c r="V996" i="57"/>
  <c r="AB996" i="57" s="1"/>
  <c r="X995" i="57"/>
  <c r="AD995" i="57" s="1"/>
  <c r="W995" i="57"/>
  <c r="AC995" i="57" s="1"/>
  <c r="V995" i="57"/>
  <c r="AB995" i="57" s="1"/>
  <c r="X994" i="57"/>
  <c r="AD994" i="57" s="1"/>
  <c r="W994" i="57"/>
  <c r="AC994" i="57" s="1"/>
  <c r="V994" i="57"/>
  <c r="AB994" i="57" s="1"/>
  <c r="X993" i="57"/>
  <c r="AD993" i="57" s="1"/>
  <c r="W993" i="57"/>
  <c r="AC993" i="57" s="1"/>
  <c r="V993" i="57"/>
  <c r="AB993" i="57" s="1"/>
  <c r="X992" i="57"/>
  <c r="AD992" i="57" s="1"/>
  <c r="W992" i="57"/>
  <c r="AC992" i="57" s="1"/>
  <c r="V992" i="57"/>
  <c r="AB992" i="57" s="1"/>
  <c r="X991" i="57"/>
  <c r="AD991" i="57" s="1"/>
  <c r="W991" i="57"/>
  <c r="AC991" i="57" s="1"/>
  <c r="V991" i="57"/>
  <c r="AB991" i="57" s="1"/>
  <c r="X990" i="57"/>
  <c r="AD990" i="57" s="1"/>
  <c r="W990" i="57"/>
  <c r="AC990" i="57" s="1"/>
  <c r="V990" i="57"/>
  <c r="AB990" i="57" s="1"/>
  <c r="X989" i="57"/>
  <c r="AD989" i="57" s="1"/>
  <c r="W989" i="57"/>
  <c r="AC989" i="57" s="1"/>
  <c r="V989" i="57"/>
  <c r="AB989" i="57" s="1"/>
  <c r="X988" i="57"/>
  <c r="AD988" i="57" s="1"/>
  <c r="W988" i="57"/>
  <c r="AC988" i="57" s="1"/>
  <c r="V988" i="57"/>
  <c r="AB988" i="57" s="1"/>
  <c r="X987" i="57"/>
  <c r="AD987" i="57" s="1"/>
  <c r="W987" i="57"/>
  <c r="AC987" i="57" s="1"/>
  <c r="V987" i="57"/>
  <c r="AB987" i="57" s="1"/>
  <c r="X986" i="57"/>
  <c r="AD986" i="57" s="1"/>
  <c r="W986" i="57"/>
  <c r="AC986" i="57" s="1"/>
  <c r="V986" i="57"/>
  <c r="AB986" i="57" s="1"/>
  <c r="X985" i="57"/>
  <c r="AD985" i="57" s="1"/>
  <c r="W985" i="57"/>
  <c r="AC985" i="57" s="1"/>
  <c r="V985" i="57"/>
  <c r="AB985" i="57" s="1"/>
  <c r="X984" i="57"/>
  <c r="AD984" i="57" s="1"/>
  <c r="W984" i="57"/>
  <c r="AC984" i="57" s="1"/>
  <c r="V984" i="57"/>
  <c r="AB984" i="57" s="1"/>
  <c r="X983" i="57"/>
  <c r="AD983" i="57" s="1"/>
  <c r="W983" i="57"/>
  <c r="AC983" i="57" s="1"/>
  <c r="V983" i="57"/>
  <c r="AB983" i="57" s="1"/>
  <c r="X982" i="57"/>
  <c r="AD982" i="57" s="1"/>
  <c r="W982" i="57"/>
  <c r="AC982" i="57" s="1"/>
  <c r="V982" i="57"/>
  <c r="AB982" i="57" s="1"/>
  <c r="X981" i="57"/>
  <c r="AD981" i="57" s="1"/>
  <c r="W981" i="57"/>
  <c r="AC981" i="57" s="1"/>
  <c r="V981" i="57"/>
  <c r="AB981" i="57" s="1"/>
  <c r="X980" i="57"/>
  <c r="AD980" i="57" s="1"/>
  <c r="W980" i="57"/>
  <c r="AC980" i="57" s="1"/>
  <c r="V980" i="57"/>
  <c r="AB980" i="57" s="1"/>
  <c r="X979" i="57"/>
  <c r="AD979" i="57" s="1"/>
  <c r="W979" i="57"/>
  <c r="AC979" i="57" s="1"/>
  <c r="V979" i="57"/>
  <c r="AB979" i="57" s="1"/>
  <c r="X978" i="57"/>
  <c r="AD978" i="57" s="1"/>
  <c r="W978" i="57"/>
  <c r="AC978" i="57" s="1"/>
  <c r="V978" i="57"/>
  <c r="AB978" i="57" s="1"/>
  <c r="X977" i="57"/>
  <c r="AD977" i="57" s="1"/>
  <c r="W977" i="57"/>
  <c r="AC977" i="57" s="1"/>
  <c r="V977" i="57"/>
  <c r="AB977" i="57" s="1"/>
  <c r="X976" i="57"/>
  <c r="AD976" i="57" s="1"/>
  <c r="W976" i="57"/>
  <c r="AC976" i="57" s="1"/>
  <c r="V976" i="57"/>
  <c r="AB976" i="57" s="1"/>
  <c r="X975" i="57"/>
  <c r="AD975" i="57" s="1"/>
  <c r="W975" i="57"/>
  <c r="AC975" i="57" s="1"/>
  <c r="V975" i="57"/>
  <c r="AB975" i="57" s="1"/>
  <c r="X974" i="57"/>
  <c r="AD974" i="57" s="1"/>
  <c r="W974" i="57"/>
  <c r="AC974" i="57" s="1"/>
  <c r="V974" i="57"/>
  <c r="AB974" i="57" s="1"/>
  <c r="X973" i="57"/>
  <c r="AD973" i="57" s="1"/>
  <c r="W973" i="57"/>
  <c r="AC973" i="57" s="1"/>
  <c r="V973" i="57"/>
  <c r="AB973" i="57" s="1"/>
  <c r="X972" i="57"/>
  <c r="AD972" i="57" s="1"/>
  <c r="W972" i="57"/>
  <c r="AC972" i="57" s="1"/>
  <c r="V972" i="57"/>
  <c r="AB972" i="57" s="1"/>
  <c r="X971" i="57"/>
  <c r="AD971" i="57" s="1"/>
  <c r="W971" i="57"/>
  <c r="AC971" i="57" s="1"/>
  <c r="V971" i="57"/>
  <c r="AB971" i="57" s="1"/>
  <c r="X970" i="57"/>
  <c r="AD970" i="57" s="1"/>
  <c r="W970" i="57"/>
  <c r="AC970" i="57" s="1"/>
  <c r="V970" i="57"/>
  <c r="AB970" i="57" s="1"/>
  <c r="X969" i="57"/>
  <c r="AD969" i="57" s="1"/>
  <c r="W969" i="57"/>
  <c r="AC969" i="57" s="1"/>
  <c r="V969" i="57"/>
  <c r="AB969" i="57" s="1"/>
  <c r="X968" i="57"/>
  <c r="AD968" i="57" s="1"/>
  <c r="W968" i="57"/>
  <c r="AC968" i="57" s="1"/>
  <c r="V968" i="57"/>
  <c r="AB968" i="57" s="1"/>
  <c r="X967" i="57"/>
  <c r="AD967" i="57" s="1"/>
  <c r="W967" i="57"/>
  <c r="AC967" i="57" s="1"/>
  <c r="V967" i="57"/>
  <c r="AB967" i="57" s="1"/>
  <c r="X966" i="57"/>
  <c r="AD966" i="57" s="1"/>
  <c r="W966" i="57"/>
  <c r="AC966" i="57" s="1"/>
  <c r="V966" i="57"/>
  <c r="AB966" i="57" s="1"/>
  <c r="X965" i="57"/>
  <c r="AD965" i="57" s="1"/>
  <c r="W965" i="57"/>
  <c r="AC965" i="57" s="1"/>
  <c r="V965" i="57"/>
  <c r="AB965" i="57" s="1"/>
  <c r="X964" i="57"/>
  <c r="AD964" i="57" s="1"/>
  <c r="W964" i="57"/>
  <c r="AC964" i="57" s="1"/>
  <c r="V964" i="57"/>
  <c r="AB964" i="57" s="1"/>
  <c r="X963" i="57"/>
  <c r="AD963" i="57" s="1"/>
  <c r="W963" i="57"/>
  <c r="AC963" i="57" s="1"/>
  <c r="V963" i="57"/>
  <c r="AB963" i="57" s="1"/>
  <c r="X962" i="57"/>
  <c r="AD962" i="57" s="1"/>
  <c r="W962" i="57"/>
  <c r="AC962" i="57" s="1"/>
  <c r="V962" i="57"/>
  <c r="AB962" i="57" s="1"/>
  <c r="X961" i="57"/>
  <c r="AD961" i="57" s="1"/>
  <c r="W961" i="57"/>
  <c r="AC961" i="57" s="1"/>
  <c r="V961" i="57"/>
  <c r="AB961" i="57" s="1"/>
  <c r="X960" i="57"/>
  <c r="AD960" i="57" s="1"/>
  <c r="W960" i="57"/>
  <c r="AC960" i="57" s="1"/>
  <c r="V960" i="57"/>
  <c r="AB960" i="57" s="1"/>
  <c r="X959" i="57"/>
  <c r="AD959" i="57" s="1"/>
  <c r="W959" i="57"/>
  <c r="AC959" i="57" s="1"/>
  <c r="V959" i="57"/>
  <c r="AB959" i="57" s="1"/>
  <c r="X958" i="57"/>
  <c r="AD958" i="57" s="1"/>
  <c r="W958" i="57"/>
  <c r="AC958" i="57" s="1"/>
  <c r="V958" i="57"/>
  <c r="AB958" i="57" s="1"/>
  <c r="X957" i="57"/>
  <c r="AD957" i="57" s="1"/>
  <c r="W957" i="57"/>
  <c r="AC957" i="57" s="1"/>
  <c r="V957" i="57"/>
  <c r="AB957" i="57" s="1"/>
  <c r="X956" i="57"/>
  <c r="AD956" i="57" s="1"/>
  <c r="W956" i="57"/>
  <c r="AC956" i="57" s="1"/>
  <c r="V956" i="57"/>
  <c r="AB956" i="57" s="1"/>
  <c r="X955" i="57"/>
  <c r="AD955" i="57" s="1"/>
  <c r="W955" i="57"/>
  <c r="AC955" i="57" s="1"/>
  <c r="V955" i="57"/>
  <c r="AB955" i="57" s="1"/>
  <c r="X954" i="57"/>
  <c r="AD954" i="57" s="1"/>
  <c r="W954" i="57"/>
  <c r="AC954" i="57" s="1"/>
  <c r="V954" i="57"/>
  <c r="AB954" i="57" s="1"/>
  <c r="X953" i="57"/>
  <c r="AD953" i="57" s="1"/>
  <c r="W953" i="57"/>
  <c r="AC953" i="57" s="1"/>
  <c r="V953" i="57"/>
  <c r="AB953" i="57" s="1"/>
  <c r="X952" i="57"/>
  <c r="AD952" i="57" s="1"/>
  <c r="W952" i="57"/>
  <c r="AC952" i="57" s="1"/>
  <c r="V952" i="57"/>
  <c r="AB952" i="57" s="1"/>
  <c r="X951" i="57"/>
  <c r="AD951" i="57" s="1"/>
  <c r="W951" i="57"/>
  <c r="AC951" i="57" s="1"/>
  <c r="V951" i="57"/>
  <c r="AB951" i="57" s="1"/>
  <c r="X950" i="57"/>
  <c r="AD950" i="57" s="1"/>
  <c r="W950" i="57"/>
  <c r="AC950" i="57" s="1"/>
  <c r="V950" i="57"/>
  <c r="AB950" i="57" s="1"/>
  <c r="X949" i="57"/>
  <c r="AD949" i="57" s="1"/>
  <c r="W949" i="57"/>
  <c r="AC949" i="57" s="1"/>
  <c r="V949" i="57"/>
  <c r="AB949" i="57" s="1"/>
  <c r="X948" i="57"/>
  <c r="AD948" i="57" s="1"/>
  <c r="W948" i="57"/>
  <c r="AC948" i="57" s="1"/>
  <c r="V948" i="57"/>
  <c r="AB948" i="57" s="1"/>
  <c r="X947" i="57"/>
  <c r="AD947" i="57" s="1"/>
  <c r="W947" i="57"/>
  <c r="AC947" i="57" s="1"/>
  <c r="V947" i="57"/>
  <c r="AB947" i="57" s="1"/>
  <c r="X946" i="57"/>
  <c r="AD946" i="57" s="1"/>
  <c r="W946" i="57"/>
  <c r="AC946" i="57" s="1"/>
  <c r="V946" i="57"/>
  <c r="AB946" i="57" s="1"/>
  <c r="X945" i="57"/>
  <c r="AD945" i="57" s="1"/>
  <c r="W945" i="57"/>
  <c r="AC945" i="57" s="1"/>
  <c r="V945" i="57"/>
  <c r="AB945" i="57" s="1"/>
  <c r="X944" i="57"/>
  <c r="AD944" i="57" s="1"/>
  <c r="W944" i="57"/>
  <c r="AC944" i="57" s="1"/>
  <c r="V944" i="57"/>
  <c r="AB944" i="57" s="1"/>
  <c r="X943" i="57"/>
  <c r="AD943" i="57" s="1"/>
  <c r="W943" i="57"/>
  <c r="AC943" i="57" s="1"/>
  <c r="V943" i="57"/>
  <c r="AB943" i="57" s="1"/>
  <c r="X942" i="57"/>
  <c r="AD942" i="57" s="1"/>
  <c r="W942" i="57"/>
  <c r="AC942" i="57" s="1"/>
  <c r="V942" i="57"/>
  <c r="AB942" i="57" s="1"/>
  <c r="X941" i="57"/>
  <c r="AD941" i="57" s="1"/>
  <c r="W941" i="57"/>
  <c r="AC941" i="57" s="1"/>
  <c r="V941" i="57"/>
  <c r="AB941" i="57" s="1"/>
  <c r="X940" i="57"/>
  <c r="AD940" i="57" s="1"/>
  <c r="W940" i="57"/>
  <c r="AC940" i="57" s="1"/>
  <c r="V940" i="57"/>
  <c r="AB940" i="57" s="1"/>
  <c r="X939" i="57"/>
  <c r="AD939" i="57" s="1"/>
  <c r="W939" i="57"/>
  <c r="AC939" i="57" s="1"/>
  <c r="V939" i="57"/>
  <c r="AB939" i="57" s="1"/>
  <c r="X938" i="57"/>
  <c r="AD938" i="57" s="1"/>
  <c r="W938" i="57"/>
  <c r="AC938" i="57" s="1"/>
  <c r="V938" i="57"/>
  <c r="AB938" i="57" s="1"/>
  <c r="X937" i="57"/>
  <c r="AD937" i="57" s="1"/>
  <c r="W937" i="57"/>
  <c r="AC937" i="57" s="1"/>
  <c r="V937" i="57"/>
  <c r="AB937" i="57" s="1"/>
  <c r="X936" i="57"/>
  <c r="AD936" i="57" s="1"/>
  <c r="W936" i="57"/>
  <c r="AC936" i="57" s="1"/>
  <c r="V936" i="57"/>
  <c r="AB936" i="57" s="1"/>
  <c r="X935" i="57"/>
  <c r="AD935" i="57" s="1"/>
  <c r="W935" i="57"/>
  <c r="AC935" i="57" s="1"/>
  <c r="V935" i="57"/>
  <c r="AB935" i="57" s="1"/>
  <c r="X934" i="57"/>
  <c r="AD934" i="57" s="1"/>
  <c r="W934" i="57"/>
  <c r="AC934" i="57" s="1"/>
  <c r="V934" i="57"/>
  <c r="AB934" i="57" s="1"/>
  <c r="X933" i="57"/>
  <c r="AD933" i="57" s="1"/>
  <c r="W933" i="57"/>
  <c r="AC933" i="57" s="1"/>
  <c r="V933" i="57"/>
  <c r="AB933" i="57" s="1"/>
  <c r="X932" i="57"/>
  <c r="AD932" i="57" s="1"/>
  <c r="W932" i="57"/>
  <c r="AC932" i="57" s="1"/>
  <c r="V932" i="57"/>
  <c r="AB932" i="57" s="1"/>
  <c r="X931" i="57"/>
  <c r="AD931" i="57" s="1"/>
  <c r="W931" i="57"/>
  <c r="AC931" i="57" s="1"/>
  <c r="V931" i="57"/>
  <c r="AB931" i="57" s="1"/>
  <c r="X930" i="57"/>
  <c r="AD930" i="57" s="1"/>
  <c r="W930" i="57"/>
  <c r="AC930" i="57" s="1"/>
  <c r="V930" i="57"/>
  <c r="AB930" i="57" s="1"/>
  <c r="X929" i="57"/>
  <c r="AD929" i="57" s="1"/>
  <c r="W929" i="57"/>
  <c r="AC929" i="57" s="1"/>
  <c r="V929" i="57"/>
  <c r="AB929" i="57" s="1"/>
  <c r="X928" i="57"/>
  <c r="AD928" i="57" s="1"/>
  <c r="W928" i="57"/>
  <c r="AC928" i="57" s="1"/>
  <c r="V928" i="57"/>
  <c r="AB928" i="57" s="1"/>
  <c r="X927" i="57"/>
  <c r="AD927" i="57" s="1"/>
  <c r="W927" i="57"/>
  <c r="AC927" i="57" s="1"/>
  <c r="V927" i="57"/>
  <c r="AB927" i="57" s="1"/>
  <c r="X926" i="57"/>
  <c r="AD926" i="57" s="1"/>
  <c r="W926" i="57"/>
  <c r="AC926" i="57" s="1"/>
  <c r="V926" i="57"/>
  <c r="AB926" i="57" s="1"/>
  <c r="X925" i="57"/>
  <c r="AD925" i="57" s="1"/>
  <c r="W925" i="57"/>
  <c r="AC925" i="57" s="1"/>
  <c r="V925" i="57"/>
  <c r="AB925" i="57" s="1"/>
  <c r="X924" i="57"/>
  <c r="AD924" i="57" s="1"/>
  <c r="W924" i="57"/>
  <c r="AC924" i="57" s="1"/>
  <c r="V924" i="57"/>
  <c r="AB924" i="57" s="1"/>
  <c r="X923" i="57"/>
  <c r="AD923" i="57" s="1"/>
  <c r="W923" i="57"/>
  <c r="AC923" i="57" s="1"/>
  <c r="V923" i="57"/>
  <c r="AB923" i="57" s="1"/>
  <c r="X922" i="57"/>
  <c r="AD922" i="57" s="1"/>
  <c r="W922" i="57"/>
  <c r="AC922" i="57" s="1"/>
  <c r="V922" i="57"/>
  <c r="AB922" i="57" s="1"/>
  <c r="X921" i="57"/>
  <c r="AD921" i="57" s="1"/>
  <c r="W921" i="57"/>
  <c r="AC921" i="57" s="1"/>
  <c r="V921" i="57"/>
  <c r="AB921" i="57" s="1"/>
  <c r="X920" i="57"/>
  <c r="AD920" i="57" s="1"/>
  <c r="W920" i="57"/>
  <c r="AC920" i="57" s="1"/>
  <c r="V920" i="57"/>
  <c r="AB920" i="57" s="1"/>
  <c r="X919" i="57"/>
  <c r="AD919" i="57" s="1"/>
  <c r="W919" i="57"/>
  <c r="AC919" i="57" s="1"/>
  <c r="V919" i="57"/>
  <c r="AB919" i="57" s="1"/>
  <c r="X918" i="57"/>
  <c r="AD918" i="57" s="1"/>
  <c r="W918" i="57"/>
  <c r="AC918" i="57" s="1"/>
  <c r="V918" i="57"/>
  <c r="AB918" i="57" s="1"/>
  <c r="X917" i="57"/>
  <c r="AD917" i="57" s="1"/>
  <c r="W917" i="57"/>
  <c r="AC917" i="57" s="1"/>
  <c r="V917" i="57"/>
  <c r="AB917" i="57" s="1"/>
  <c r="X916" i="57"/>
  <c r="AD916" i="57" s="1"/>
  <c r="W916" i="57"/>
  <c r="AC916" i="57" s="1"/>
  <c r="V916" i="57"/>
  <c r="AB916" i="57" s="1"/>
  <c r="X915" i="57"/>
  <c r="AD915" i="57" s="1"/>
  <c r="W915" i="57"/>
  <c r="AC915" i="57" s="1"/>
  <c r="V915" i="57"/>
  <c r="AB915" i="57" s="1"/>
  <c r="X914" i="57"/>
  <c r="AD914" i="57" s="1"/>
  <c r="W914" i="57"/>
  <c r="AC914" i="57" s="1"/>
  <c r="V914" i="57"/>
  <c r="AB914" i="57" s="1"/>
  <c r="X913" i="57"/>
  <c r="AD913" i="57" s="1"/>
  <c r="W913" i="57"/>
  <c r="AC913" i="57" s="1"/>
  <c r="V913" i="57"/>
  <c r="AB913" i="57" s="1"/>
  <c r="X912" i="57"/>
  <c r="AD912" i="57" s="1"/>
  <c r="W912" i="57"/>
  <c r="AC912" i="57" s="1"/>
  <c r="V912" i="57"/>
  <c r="AB912" i="57" s="1"/>
  <c r="X911" i="57"/>
  <c r="AD911" i="57" s="1"/>
  <c r="W911" i="57"/>
  <c r="AC911" i="57" s="1"/>
  <c r="V911" i="57"/>
  <c r="AB911" i="57" s="1"/>
  <c r="X910" i="57"/>
  <c r="AD910" i="57" s="1"/>
  <c r="W910" i="57"/>
  <c r="AC910" i="57" s="1"/>
  <c r="V910" i="57"/>
  <c r="AB910" i="57" s="1"/>
  <c r="X909" i="57"/>
  <c r="AD909" i="57" s="1"/>
  <c r="W909" i="57"/>
  <c r="AC909" i="57" s="1"/>
  <c r="V909" i="57"/>
  <c r="AB909" i="57" s="1"/>
  <c r="X908" i="57"/>
  <c r="AD908" i="57" s="1"/>
  <c r="W908" i="57"/>
  <c r="AC908" i="57" s="1"/>
  <c r="V908" i="57"/>
  <c r="AB908" i="57" s="1"/>
  <c r="X907" i="57"/>
  <c r="AD907" i="57" s="1"/>
  <c r="W907" i="57"/>
  <c r="AC907" i="57" s="1"/>
  <c r="V907" i="57"/>
  <c r="AB907" i="57" s="1"/>
  <c r="X906" i="57"/>
  <c r="AD906" i="57" s="1"/>
  <c r="W906" i="57"/>
  <c r="AC906" i="57" s="1"/>
  <c r="V906" i="57"/>
  <c r="AB906" i="57" s="1"/>
  <c r="X905" i="57"/>
  <c r="AD905" i="57" s="1"/>
  <c r="W905" i="57"/>
  <c r="AC905" i="57" s="1"/>
  <c r="V905" i="57"/>
  <c r="AB905" i="57" s="1"/>
  <c r="X904" i="57"/>
  <c r="AD904" i="57" s="1"/>
  <c r="W904" i="57"/>
  <c r="AC904" i="57" s="1"/>
  <c r="V904" i="57"/>
  <c r="AB904" i="57" s="1"/>
  <c r="X903" i="57"/>
  <c r="AD903" i="57" s="1"/>
  <c r="W903" i="57"/>
  <c r="AC903" i="57" s="1"/>
  <c r="V903" i="57"/>
  <c r="AB903" i="57" s="1"/>
  <c r="X902" i="57"/>
  <c r="AD902" i="57" s="1"/>
  <c r="W902" i="57"/>
  <c r="AC902" i="57" s="1"/>
  <c r="V902" i="57"/>
  <c r="AB902" i="57" s="1"/>
  <c r="X901" i="57"/>
  <c r="AD901" i="57" s="1"/>
  <c r="W901" i="57"/>
  <c r="AC901" i="57" s="1"/>
  <c r="V901" i="57"/>
  <c r="AB901" i="57" s="1"/>
  <c r="X900" i="57"/>
  <c r="AD900" i="57" s="1"/>
  <c r="W900" i="57"/>
  <c r="AC900" i="57" s="1"/>
  <c r="V900" i="57"/>
  <c r="AB900" i="57" s="1"/>
  <c r="X899" i="57"/>
  <c r="AD899" i="57" s="1"/>
  <c r="W899" i="57"/>
  <c r="AC899" i="57" s="1"/>
  <c r="V899" i="57"/>
  <c r="AB899" i="57" s="1"/>
  <c r="X898" i="57"/>
  <c r="AD898" i="57" s="1"/>
  <c r="W898" i="57"/>
  <c r="AC898" i="57" s="1"/>
  <c r="V898" i="57"/>
  <c r="AB898" i="57" s="1"/>
  <c r="X897" i="57"/>
  <c r="AD897" i="57" s="1"/>
  <c r="W897" i="57"/>
  <c r="AC897" i="57" s="1"/>
  <c r="V897" i="57"/>
  <c r="AB897" i="57" s="1"/>
  <c r="X896" i="57"/>
  <c r="AD896" i="57" s="1"/>
  <c r="W896" i="57"/>
  <c r="AC896" i="57" s="1"/>
  <c r="V896" i="57"/>
  <c r="AB896" i="57" s="1"/>
  <c r="X895" i="57"/>
  <c r="AD895" i="57" s="1"/>
  <c r="W895" i="57"/>
  <c r="AC895" i="57" s="1"/>
  <c r="V895" i="57"/>
  <c r="AB895" i="57" s="1"/>
  <c r="X894" i="57"/>
  <c r="AD894" i="57" s="1"/>
  <c r="W894" i="57"/>
  <c r="AC894" i="57" s="1"/>
  <c r="V894" i="57"/>
  <c r="AB894" i="57" s="1"/>
  <c r="X893" i="57"/>
  <c r="AD893" i="57" s="1"/>
  <c r="W893" i="57"/>
  <c r="AC893" i="57" s="1"/>
  <c r="V893" i="57"/>
  <c r="AB893" i="57" s="1"/>
  <c r="X892" i="57"/>
  <c r="AD892" i="57" s="1"/>
  <c r="W892" i="57"/>
  <c r="AC892" i="57" s="1"/>
  <c r="V892" i="57"/>
  <c r="AB892" i="57" s="1"/>
  <c r="X891" i="57"/>
  <c r="AD891" i="57" s="1"/>
  <c r="W891" i="57"/>
  <c r="AC891" i="57" s="1"/>
  <c r="V891" i="57"/>
  <c r="AB891" i="57" s="1"/>
  <c r="X890" i="57"/>
  <c r="AD890" i="57" s="1"/>
  <c r="W890" i="57"/>
  <c r="AC890" i="57" s="1"/>
  <c r="V890" i="57"/>
  <c r="AB890" i="57" s="1"/>
  <c r="X889" i="57"/>
  <c r="AD889" i="57" s="1"/>
  <c r="W889" i="57"/>
  <c r="AC889" i="57" s="1"/>
  <c r="V889" i="57"/>
  <c r="AB889" i="57" s="1"/>
  <c r="X888" i="57"/>
  <c r="AD888" i="57" s="1"/>
  <c r="W888" i="57"/>
  <c r="AC888" i="57" s="1"/>
  <c r="V888" i="57"/>
  <c r="AB888" i="57" s="1"/>
  <c r="X887" i="57"/>
  <c r="AD887" i="57" s="1"/>
  <c r="W887" i="57"/>
  <c r="AC887" i="57" s="1"/>
  <c r="V887" i="57"/>
  <c r="AB887" i="57" s="1"/>
  <c r="X886" i="57"/>
  <c r="AD886" i="57" s="1"/>
  <c r="W886" i="57"/>
  <c r="AC886" i="57" s="1"/>
  <c r="V886" i="57"/>
  <c r="AB886" i="57" s="1"/>
  <c r="X885" i="57"/>
  <c r="AD885" i="57" s="1"/>
  <c r="W885" i="57"/>
  <c r="AC885" i="57" s="1"/>
  <c r="V885" i="57"/>
  <c r="AB885" i="57" s="1"/>
  <c r="X884" i="57"/>
  <c r="AD884" i="57" s="1"/>
  <c r="W884" i="57"/>
  <c r="AC884" i="57" s="1"/>
  <c r="V884" i="57"/>
  <c r="AB884" i="57" s="1"/>
  <c r="X883" i="57"/>
  <c r="AD883" i="57" s="1"/>
  <c r="W883" i="57"/>
  <c r="AC883" i="57" s="1"/>
  <c r="V883" i="57"/>
  <c r="AB883" i="57" s="1"/>
  <c r="X882" i="57"/>
  <c r="AD882" i="57" s="1"/>
  <c r="W882" i="57"/>
  <c r="AC882" i="57" s="1"/>
  <c r="V882" i="57"/>
  <c r="AB882" i="57" s="1"/>
  <c r="X881" i="57"/>
  <c r="AD881" i="57" s="1"/>
  <c r="W881" i="57"/>
  <c r="AC881" i="57" s="1"/>
  <c r="V881" i="57"/>
  <c r="AB881" i="57" s="1"/>
  <c r="X880" i="57"/>
  <c r="AD880" i="57" s="1"/>
  <c r="W880" i="57"/>
  <c r="AC880" i="57" s="1"/>
  <c r="V880" i="57"/>
  <c r="AB880" i="57" s="1"/>
  <c r="X879" i="57"/>
  <c r="AD879" i="57" s="1"/>
  <c r="W879" i="57"/>
  <c r="AC879" i="57" s="1"/>
  <c r="V879" i="57"/>
  <c r="AB879" i="57" s="1"/>
  <c r="X878" i="57"/>
  <c r="AD878" i="57" s="1"/>
  <c r="W878" i="57"/>
  <c r="AC878" i="57" s="1"/>
  <c r="V878" i="57"/>
  <c r="AB878" i="57" s="1"/>
  <c r="X877" i="57"/>
  <c r="AD877" i="57" s="1"/>
  <c r="W877" i="57"/>
  <c r="AC877" i="57" s="1"/>
  <c r="V877" i="57"/>
  <c r="AB877" i="57" s="1"/>
  <c r="X876" i="57"/>
  <c r="AD876" i="57" s="1"/>
  <c r="W876" i="57"/>
  <c r="AC876" i="57" s="1"/>
  <c r="V876" i="57"/>
  <c r="AB876" i="57" s="1"/>
  <c r="X875" i="57"/>
  <c r="AD875" i="57" s="1"/>
  <c r="W875" i="57"/>
  <c r="AC875" i="57" s="1"/>
  <c r="V875" i="57"/>
  <c r="AB875" i="57" s="1"/>
  <c r="X874" i="57"/>
  <c r="AD874" i="57" s="1"/>
  <c r="W874" i="57"/>
  <c r="AC874" i="57" s="1"/>
  <c r="V874" i="57"/>
  <c r="AB874" i="57" s="1"/>
  <c r="X873" i="57"/>
  <c r="AD873" i="57" s="1"/>
  <c r="W873" i="57"/>
  <c r="AC873" i="57" s="1"/>
  <c r="V873" i="57"/>
  <c r="AB873" i="57" s="1"/>
  <c r="X872" i="57"/>
  <c r="AD872" i="57" s="1"/>
  <c r="W872" i="57"/>
  <c r="AC872" i="57" s="1"/>
  <c r="V872" i="57"/>
  <c r="AB872" i="57" s="1"/>
  <c r="X871" i="57"/>
  <c r="AD871" i="57" s="1"/>
  <c r="W871" i="57"/>
  <c r="AC871" i="57" s="1"/>
  <c r="V871" i="57"/>
  <c r="AB871" i="57" s="1"/>
  <c r="X870" i="57"/>
  <c r="AD870" i="57" s="1"/>
  <c r="W870" i="57"/>
  <c r="AC870" i="57" s="1"/>
  <c r="V870" i="57"/>
  <c r="AB870" i="57" s="1"/>
  <c r="X869" i="57"/>
  <c r="AD869" i="57" s="1"/>
  <c r="W869" i="57"/>
  <c r="AC869" i="57" s="1"/>
  <c r="V869" i="57"/>
  <c r="AB869" i="57" s="1"/>
  <c r="X868" i="57"/>
  <c r="AD868" i="57" s="1"/>
  <c r="W868" i="57"/>
  <c r="AC868" i="57" s="1"/>
  <c r="V868" i="57"/>
  <c r="AB868" i="57" s="1"/>
  <c r="X867" i="57"/>
  <c r="AD867" i="57" s="1"/>
  <c r="W867" i="57"/>
  <c r="AC867" i="57" s="1"/>
  <c r="V867" i="57"/>
  <c r="AB867" i="57" s="1"/>
  <c r="X866" i="57"/>
  <c r="AD866" i="57" s="1"/>
  <c r="W866" i="57"/>
  <c r="AC866" i="57" s="1"/>
  <c r="V866" i="57"/>
  <c r="AB866" i="57" s="1"/>
  <c r="X865" i="57"/>
  <c r="AD865" i="57" s="1"/>
  <c r="W865" i="57"/>
  <c r="AC865" i="57" s="1"/>
  <c r="V865" i="57"/>
  <c r="AB865" i="57" s="1"/>
  <c r="X864" i="57"/>
  <c r="AD864" i="57" s="1"/>
  <c r="W864" i="57"/>
  <c r="AC864" i="57" s="1"/>
  <c r="V864" i="57"/>
  <c r="AB864" i="57" s="1"/>
  <c r="X863" i="57"/>
  <c r="AD863" i="57" s="1"/>
  <c r="W863" i="57"/>
  <c r="AC863" i="57" s="1"/>
  <c r="V863" i="57"/>
  <c r="AB863" i="57" s="1"/>
  <c r="X862" i="57"/>
  <c r="AD862" i="57" s="1"/>
  <c r="W862" i="57"/>
  <c r="AC862" i="57" s="1"/>
  <c r="V862" i="57"/>
  <c r="AB862" i="57" s="1"/>
  <c r="X861" i="57"/>
  <c r="AD861" i="57" s="1"/>
  <c r="W861" i="57"/>
  <c r="AC861" i="57" s="1"/>
  <c r="V861" i="57"/>
  <c r="AB861" i="57" s="1"/>
  <c r="X860" i="57"/>
  <c r="AD860" i="57" s="1"/>
  <c r="W860" i="57"/>
  <c r="AC860" i="57" s="1"/>
  <c r="V860" i="57"/>
  <c r="AB860" i="57" s="1"/>
  <c r="X859" i="57"/>
  <c r="AD859" i="57" s="1"/>
  <c r="W859" i="57"/>
  <c r="AC859" i="57" s="1"/>
  <c r="V859" i="57"/>
  <c r="AB859" i="57" s="1"/>
  <c r="X858" i="57"/>
  <c r="AD858" i="57" s="1"/>
  <c r="W858" i="57"/>
  <c r="AC858" i="57" s="1"/>
  <c r="V858" i="57"/>
  <c r="AB858" i="57" s="1"/>
  <c r="X857" i="57"/>
  <c r="AD857" i="57" s="1"/>
  <c r="W857" i="57"/>
  <c r="AC857" i="57" s="1"/>
  <c r="V857" i="57"/>
  <c r="AB857" i="57" s="1"/>
  <c r="X856" i="57"/>
  <c r="AD856" i="57" s="1"/>
  <c r="W856" i="57"/>
  <c r="AC856" i="57" s="1"/>
  <c r="V856" i="57"/>
  <c r="AB856" i="57" s="1"/>
  <c r="X855" i="57"/>
  <c r="AD855" i="57" s="1"/>
  <c r="W855" i="57"/>
  <c r="AC855" i="57" s="1"/>
  <c r="V855" i="57"/>
  <c r="AB855" i="57" s="1"/>
  <c r="X854" i="57"/>
  <c r="AD854" i="57" s="1"/>
  <c r="W854" i="57"/>
  <c r="AC854" i="57" s="1"/>
  <c r="V854" i="57"/>
  <c r="AB854" i="57" s="1"/>
  <c r="X853" i="57"/>
  <c r="AD853" i="57" s="1"/>
  <c r="W853" i="57"/>
  <c r="AC853" i="57" s="1"/>
  <c r="V853" i="57"/>
  <c r="AB853" i="57" s="1"/>
  <c r="X852" i="57"/>
  <c r="AD852" i="57" s="1"/>
  <c r="W852" i="57"/>
  <c r="AC852" i="57" s="1"/>
  <c r="V852" i="57"/>
  <c r="AB852" i="57" s="1"/>
  <c r="X851" i="57"/>
  <c r="AD851" i="57" s="1"/>
  <c r="W851" i="57"/>
  <c r="AC851" i="57" s="1"/>
  <c r="V851" i="57"/>
  <c r="AB851" i="57" s="1"/>
  <c r="X850" i="57"/>
  <c r="AD850" i="57" s="1"/>
  <c r="W850" i="57"/>
  <c r="AC850" i="57" s="1"/>
  <c r="V850" i="57"/>
  <c r="AB850" i="57" s="1"/>
  <c r="X849" i="57"/>
  <c r="AD849" i="57" s="1"/>
  <c r="W849" i="57"/>
  <c r="AC849" i="57" s="1"/>
  <c r="V849" i="57"/>
  <c r="AB849" i="57" s="1"/>
  <c r="X848" i="57"/>
  <c r="AD848" i="57" s="1"/>
  <c r="W848" i="57"/>
  <c r="AC848" i="57" s="1"/>
  <c r="V848" i="57"/>
  <c r="AB848" i="57" s="1"/>
  <c r="X847" i="57"/>
  <c r="AD847" i="57" s="1"/>
  <c r="W847" i="57"/>
  <c r="AC847" i="57" s="1"/>
  <c r="V847" i="57"/>
  <c r="AB847" i="57" s="1"/>
  <c r="X846" i="57"/>
  <c r="AD846" i="57" s="1"/>
  <c r="W846" i="57"/>
  <c r="AC846" i="57" s="1"/>
  <c r="V846" i="57"/>
  <c r="AB846" i="57" s="1"/>
  <c r="X845" i="57"/>
  <c r="AD845" i="57" s="1"/>
  <c r="W845" i="57"/>
  <c r="AC845" i="57" s="1"/>
  <c r="V845" i="57"/>
  <c r="AB845" i="57" s="1"/>
  <c r="X844" i="57"/>
  <c r="AD844" i="57" s="1"/>
  <c r="W844" i="57"/>
  <c r="AC844" i="57" s="1"/>
  <c r="V844" i="57"/>
  <c r="AB844" i="57" s="1"/>
  <c r="X843" i="57"/>
  <c r="AD843" i="57" s="1"/>
  <c r="W843" i="57"/>
  <c r="AC843" i="57" s="1"/>
  <c r="V843" i="57"/>
  <c r="AB843" i="57" s="1"/>
  <c r="X842" i="57"/>
  <c r="AD842" i="57" s="1"/>
  <c r="W842" i="57"/>
  <c r="AC842" i="57" s="1"/>
  <c r="V842" i="57"/>
  <c r="AB842" i="57" s="1"/>
  <c r="X841" i="57"/>
  <c r="AD841" i="57" s="1"/>
  <c r="W841" i="57"/>
  <c r="AC841" i="57" s="1"/>
  <c r="V841" i="57"/>
  <c r="AB841" i="57" s="1"/>
  <c r="X840" i="57"/>
  <c r="AD840" i="57" s="1"/>
  <c r="W840" i="57"/>
  <c r="AC840" i="57" s="1"/>
  <c r="V840" i="57"/>
  <c r="AB840" i="57" s="1"/>
  <c r="X839" i="57"/>
  <c r="AD839" i="57" s="1"/>
  <c r="W839" i="57"/>
  <c r="AC839" i="57" s="1"/>
  <c r="V839" i="57"/>
  <c r="AB839" i="57" s="1"/>
  <c r="X838" i="57"/>
  <c r="AD838" i="57" s="1"/>
  <c r="W838" i="57"/>
  <c r="AC838" i="57" s="1"/>
  <c r="V838" i="57"/>
  <c r="AB838" i="57" s="1"/>
  <c r="X837" i="57"/>
  <c r="AD837" i="57" s="1"/>
  <c r="W837" i="57"/>
  <c r="AC837" i="57" s="1"/>
  <c r="V837" i="57"/>
  <c r="AB837" i="57" s="1"/>
  <c r="X836" i="57"/>
  <c r="AD836" i="57" s="1"/>
  <c r="W836" i="57"/>
  <c r="AC836" i="57" s="1"/>
  <c r="V836" i="57"/>
  <c r="AB836" i="57" s="1"/>
  <c r="X835" i="57"/>
  <c r="AD835" i="57" s="1"/>
  <c r="W835" i="57"/>
  <c r="AC835" i="57" s="1"/>
  <c r="V835" i="57"/>
  <c r="AB835" i="57" s="1"/>
  <c r="X834" i="57"/>
  <c r="AD834" i="57" s="1"/>
  <c r="W834" i="57"/>
  <c r="AC834" i="57" s="1"/>
  <c r="V834" i="57"/>
  <c r="AB834" i="57" s="1"/>
  <c r="X833" i="57"/>
  <c r="AD833" i="57" s="1"/>
  <c r="W833" i="57"/>
  <c r="AC833" i="57" s="1"/>
  <c r="V833" i="57"/>
  <c r="AB833" i="57" s="1"/>
  <c r="X832" i="57"/>
  <c r="AD832" i="57" s="1"/>
  <c r="W832" i="57"/>
  <c r="AC832" i="57" s="1"/>
  <c r="V832" i="57"/>
  <c r="AB832" i="57" s="1"/>
  <c r="X831" i="57"/>
  <c r="AD831" i="57" s="1"/>
  <c r="W831" i="57"/>
  <c r="AC831" i="57" s="1"/>
  <c r="V831" i="57"/>
  <c r="AB831" i="57" s="1"/>
  <c r="X830" i="57"/>
  <c r="AD830" i="57" s="1"/>
  <c r="W830" i="57"/>
  <c r="AC830" i="57" s="1"/>
  <c r="V830" i="57"/>
  <c r="AB830" i="57" s="1"/>
  <c r="X829" i="57"/>
  <c r="AD829" i="57" s="1"/>
  <c r="W829" i="57"/>
  <c r="AC829" i="57" s="1"/>
  <c r="V829" i="57"/>
  <c r="AB829" i="57" s="1"/>
  <c r="X828" i="57"/>
  <c r="AD828" i="57" s="1"/>
  <c r="W828" i="57"/>
  <c r="AC828" i="57" s="1"/>
  <c r="V828" i="57"/>
  <c r="AB828" i="57" s="1"/>
  <c r="X827" i="57"/>
  <c r="AD827" i="57" s="1"/>
  <c r="W827" i="57"/>
  <c r="AC827" i="57" s="1"/>
  <c r="V827" i="57"/>
  <c r="AB827" i="57" s="1"/>
  <c r="X826" i="57"/>
  <c r="AD826" i="57" s="1"/>
  <c r="W826" i="57"/>
  <c r="AC826" i="57" s="1"/>
  <c r="V826" i="57"/>
  <c r="AB826" i="57" s="1"/>
  <c r="X825" i="57"/>
  <c r="AD825" i="57" s="1"/>
  <c r="W825" i="57"/>
  <c r="AC825" i="57" s="1"/>
  <c r="V825" i="57"/>
  <c r="AB825" i="57" s="1"/>
  <c r="X824" i="57"/>
  <c r="AD824" i="57" s="1"/>
  <c r="W824" i="57"/>
  <c r="AC824" i="57" s="1"/>
  <c r="V824" i="57"/>
  <c r="AB824" i="57" s="1"/>
  <c r="X823" i="57"/>
  <c r="AD823" i="57" s="1"/>
  <c r="W823" i="57"/>
  <c r="AC823" i="57" s="1"/>
  <c r="V823" i="57"/>
  <c r="AB823" i="57" s="1"/>
  <c r="X822" i="57"/>
  <c r="AD822" i="57" s="1"/>
  <c r="W822" i="57"/>
  <c r="AC822" i="57" s="1"/>
  <c r="V822" i="57"/>
  <c r="AB822" i="57" s="1"/>
  <c r="X821" i="57"/>
  <c r="AD821" i="57" s="1"/>
  <c r="W821" i="57"/>
  <c r="AC821" i="57" s="1"/>
  <c r="V821" i="57"/>
  <c r="AB821" i="57" s="1"/>
  <c r="X820" i="57"/>
  <c r="AD820" i="57" s="1"/>
  <c r="W820" i="57"/>
  <c r="AC820" i="57" s="1"/>
  <c r="V820" i="57"/>
  <c r="AB820" i="57" s="1"/>
  <c r="X819" i="57"/>
  <c r="AD819" i="57" s="1"/>
  <c r="W819" i="57"/>
  <c r="AC819" i="57" s="1"/>
  <c r="V819" i="57"/>
  <c r="AB819" i="57" s="1"/>
  <c r="X818" i="57"/>
  <c r="AD818" i="57" s="1"/>
  <c r="W818" i="57"/>
  <c r="AC818" i="57" s="1"/>
  <c r="V818" i="57"/>
  <c r="AB818" i="57" s="1"/>
  <c r="X817" i="57"/>
  <c r="AD817" i="57" s="1"/>
  <c r="W817" i="57"/>
  <c r="AC817" i="57" s="1"/>
  <c r="V817" i="57"/>
  <c r="AB817" i="57" s="1"/>
  <c r="X816" i="57"/>
  <c r="AD816" i="57" s="1"/>
  <c r="W816" i="57"/>
  <c r="AC816" i="57" s="1"/>
  <c r="V816" i="57"/>
  <c r="AB816" i="57" s="1"/>
  <c r="X815" i="57"/>
  <c r="AD815" i="57" s="1"/>
  <c r="W815" i="57"/>
  <c r="AC815" i="57" s="1"/>
  <c r="V815" i="57"/>
  <c r="AB815" i="57" s="1"/>
  <c r="X814" i="57"/>
  <c r="AD814" i="57" s="1"/>
  <c r="W814" i="57"/>
  <c r="AC814" i="57" s="1"/>
  <c r="V814" i="57"/>
  <c r="AB814" i="57" s="1"/>
  <c r="X813" i="57"/>
  <c r="AD813" i="57" s="1"/>
  <c r="W813" i="57"/>
  <c r="AC813" i="57" s="1"/>
  <c r="V813" i="57"/>
  <c r="AB813" i="57" s="1"/>
  <c r="X812" i="57"/>
  <c r="AD812" i="57" s="1"/>
  <c r="W812" i="57"/>
  <c r="AC812" i="57" s="1"/>
  <c r="V812" i="57"/>
  <c r="AB812" i="57" s="1"/>
  <c r="X811" i="57"/>
  <c r="AD811" i="57" s="1"/>
  <c r="W811" i="57"/>
  <c r="AC811" i="57" s="1"/>
  <c r="V811" i="57"/>
  <c r="AB811" i="57" s="1"/>
  <c r="X810" i="57"/>
  <c r="AD810" i="57" s="1"/>
  <c r="W810" i="57"/>
  <c r="AC810" i="57" s="1"/>
  <c r="V810" i="57"/>
  <c r="AB810" i="57" s="1"/>
  <c r="X809" i="57"/>
  <c r="AD809" i="57" s="1"/>
  <c r="W809" i="57"/>
  <c r="AC809" i="57" s="1"/>
  <c r="V809" i="57"/>
  <c r="AB809" i="57" s="1"/>
  <c r="X808" i="57"/>
  <c r="AD808" i="57" s="1"/>
  <c r="W808" i="57"/>
  <c r="AC808" i="57" s="1"/>
  <c r="V808" i="57"/>
  <c r="AB808" i="57" s="1"/>
  <c r="X807" i="57"/>
  <c r="AD807" i="57" s="1"/>
  <c r="W807" i="57"/>
  <c r="AC807" i="57" s="1"/>
  <c r="V807" i="57"/>
  <c r="AB807" i="57" s="1"/>
  <c r="X806" i="57"/>
  <c r="AD806" i="57" s="1"/>
  <c r="W806" i="57"/>
  <c r="AC806" i="57" s="1"/>
  <c r="V806" i="57"/>
  <c r="AB806" i="57" s="1"/>
  <c r="X805" i="57"/>
  <c r="AD805" i="57" s="1"/>
  <c r="W805" i="57"/>
  <c r="AC805" i="57" s="1"/>
  <c r="V805" i="57"/>
  <c r="AB805" i="57" s="1"/>
  <c r="X804" i="57"/>
  <c r="AD804" i="57" s="1"/>
  <c r="W804" i="57"/>
  <c r="AC804" i="57" s="1"/>
  <c r="V804" i="57"/>
  <c r="AB804" i="57" s="1"/>
  <c r="X803" i="57"/>
  <c r="AD803" i="57" s="1"/>
  <c r="W803" i="57"/>
  <c r="AC803" i="57" s="1"/>
  <c r="V803" i="57"/>
  <c r="AB803" i="57" s="1"/>
  <c r="X802" i="57"/>
  <c r="AD802" i="57" s="1"/>
  <c r="W802" i="57"/>
  <c r="AC802" i="57" s="1"/>
  <c r="V802" i="57"/>
  <c r="AB802" i="57" s="1"/>
  <c r="X801" i="57"/>
  <c r="AD801" i="57" s="1"/>
  <c r="W801" i="57"/>
  <c r="AC801" i="57" s="1"/>
  <c r="V801" i="57"/>
  <c r="AB801" i="57" s="1"/>
  <c r="X800" i="57"/>
  <c r="AD800" i="57" s="1"/>
  <c r="W800" i="57"/>
  <c r="AC800" i="57" s="1"/>
  <c r="V800" i="57"/>
  <c r="AB800" i="57" s="1"/>
  <c r="X799" i="57"/>
  <c r="AD799" i="57" s="1"/>
  <c r="W799" i="57"/>
  <c r="AC799" i="57" s="1"/>
  <c r="V799" i="57"/>
  <c r="AB799" i="57" s="1"/>
  <c r="X798" i="57"/>
  <c r="AD798" i="57" s="1"/>
  <c r="W798" i="57"/>
  <c r="AC798" i="57" s="1"/>
  <c r="V798" i="57"/>
  <c r="AB798" i="57" s="1"/>
  <c r="X797" i="57"/>
  <c r="AD797" i="57" s="1"/>
  <c r="W797" i="57"/>
  <c r="AC797" i="57" s="1"/>
  <c r="V797" i="57"/>
  <c r="AB797" i="57" s="1"/>
  <c r="X796" i="57"/>
  <c r="AD796" i="57" s="1"/>
  <c r="W796" i="57"/>
  <c r="AC796" i="57" s="1"/>
  <c r="V796" i="57"/>
  <c r="AB796" i="57" s="1"/>
  <c r="X795" i="57"/>
  <c r="AD795" i="57" s="1"/>
  <c r="W795" i="57"/>
  <c r="AC795" i="57" s="1"/>
  <c r="V795" i="57"/>
  <c r="AB795" i="57" s="1"/>
  <c r="X794" i="57"/>
  <c r="AD794" i="57" s="1"/>
  <c r="W794" i="57"/>
  <c r="AC794" i="57" s="1"/>
  <c r="V794" i="57"/>
  <c r="AB794" i="57" s="1"/>
  <c r="X793" i="57"/>
  <c r="AD793" i="57" s="1"/>
  <c r="W793" i="57"/>
  <c r="AC793" i="57" s="1"/>
  <c r="V793" i="57"/>
  <c r="AB793" i="57" s="1"/>
  <c r="X792" i="57"/>
  <c r="AD792" i="57" s="1"/>
  <c r="W792" i="57"/>
  <c r="AC792" i="57" s="1"/>
  <c r="V792" i="57"/>
  <c r="AB792" i="57" s="1"/>
  <c r="X791" i="57"/>
  <c r="AD791" i="57" s="1"/>
  <c r="W791" i="57"/>
  <c r="AC791" i="57" s="1"/>
  <c r="V791" i="57"/>
  <c r="AB791" i="57" s="1"/>
  <c r="X790" i="57"/>
  <c r="AD790" i="57" s="1"/>
  <c r="W790" i="57"/>
  <c r="AC790" i="57" s="1"/>
  <c r="V790" i="57"/>
  <c r="AB790" i="57" s="1"/>
  <c r="X789" i="57"/>
  <c r="AD789" i="57" s="1"/>
  <c r="W789" i="57"/>
  <c r="AC789" i="57" s="1"/>
  <c r="V789" i="57"/>
  <c r="AB789" i="57" s="1"/>
  <c r="X788" i="57"/>
  <c r="AD788" i="57" s="1"/>
  <c r="W788" i="57"/>
  <c r="AC788" i="57" s="1"/>
  <c r="V788" i="57"/>
  <c r="AB788" i="57" s="1"/>
  <c r="X787" i="57"/>
  <c r="AD787" i="57" s="1"/>
  <c r="W787" i="57"/>
  <c r="AC787" i="57" s="1"/>
  <c r="V787" i="57"/>
  <c r="AB787" i="57" s="1"/>
  <c r="X786" i="57"/>
  <c r="AD786" i="57" s="1"/>
  <c r="W786" i="57"/>
  <c r="AC786" i="57" s="1"/>
  <c r="V786" i="57"/>
  <c r="AB786" i="57" s="1"/>
  <c r="X785" i="57"/>
  <c r="AD785" i="57" s="1"/>
  <c r="W785" i="57"/>
  <c r="AC785" i="57" s="1"/>
  <c r="V785" i="57"/>
  <c r="AB785" i="57" s="1"/>
  <c r="X784" i="57"/>
  <c r="AD784" i="57" s="1"/>
  <c r="W784" i="57"/>
  <c r="AC784" i="57" s="1"/>
  <c r="V784" i="57"/>
  <c r="AB784" i="57" s="1"/>
  <c r="X783" i="57"/>
  <c r="AD783" i="57" s="1"/>
  <c r="W783" i="57"/>
  <c r="AC783" i="57" s="1"/>
  <c r="V783" i="57"/>
  <c r="AB783" i="57" s="1"/>
  <c r="X782" i="57"/>
  <c r="AD782" i="57" s="1"/>
  <c r="W782" i="57"/>
  <c r="AC782" i="57" s="1"/>
  <c r="V782" i="57"/>
  <c r="AB782" i="57" s="1"/>
  <c r="X781" i="57"/>
  <c r="AD781" i="57" s="1"/>
  <c r="W781" i="57"/>
  <c r="AC781" i="57" s="1"/>
  <c r="V781" i="57"/>
  <c r="AB781" i="57" s="1"/>
  <c r="X780" i="57"/>
  <c r="AD780" i="57" s="1"/>
  <c r="W780" i="57"/>
  <c r="AC780" i="57" s="1"/>
  <c r="V780" i="57"/>
  <c r="AB780" i="57" s="1"/>
  <c r="X779" i="57"/>
  <c r="AD779" i="57" s="1"/>
  <c r="W779" i="57"/>
  <c r="AC779" i="57" s="1"/>
  <c r="V779" i="57"/>
  <c r="AB779" i="57" s="1"/>
  <c r="X778" i="57"/>
  <c r="AD778" i="57" s="1"/>
  <c r="W778" i="57"/>
  <c r="AC778" i="57" s="1"/>
  <c r="V778" i="57"/>
  <c r="AB778" i="57" s="1"/>
  <c r="X777" i="57"/>
  <c r="AD777" i="57" s="1"/>
  <c r="W777" i="57"/>
  <c r="AC777" i="57" s="1"/>
  <c r="V777" i="57"/>
  <c r="AB777" i="57" s="1"/>
  <c r="X776" i="57"/>
  <c r="AD776" i="57" s="1"/>
  <c r="W776" i="57"/>
  <c r="AC776" i="57" s="1"/>
  <c r="V776" i="57"/>
  <c r="AB776" i="57" s="1"/>
  <c r="X775" i="57"/>
  <c r="AD775" i="57" s="1"/>
  <c r="W775" i="57"/>
  <c r="AC775" i="57" s="1"/>
  <c r="V775" i="57"/>
  <c r="AB775" i="57" s="1"/>
  <c r="X774" i="57"/>
  <c r="AD774" i="57" s="1"/>
  <c r="W774" i="57"/>
  <c r="AC774" i="57" s="1"/>
  <c r="V774" i="57"/>
  <c r="AB774" i="57" s="1"/>
  <c r="X773" i="57"/>
  <c r="AD773" i="57" s="1"/>
  <c r="W773" i="57"/>
  <c r="AC773" i="57" s="1"/>
  <c r="V773" i="57"/>
  <c r="AB773" i="57" s="1"/>
  <c r="X772" i="57"/>
  <c r="AD772" i="57" s="1"/>
  <c r="W772" i="57"/>
  <c r="AC772" i="57" s="1"/>
  <c r="V772" i="57"/>
  <c r="AB772" i="57" s="1"/>
  <c r="X771" i="57"/>
  <c r="AD771" i="57" s="1"/>
  <c r="W771" i="57"/>
  <c r="AC771" i="57" s="1"/>
  <c r="V771" i="57"/>
  <c r="AB771" i="57" s="1"/>
  <c r="X770" i="57"/>
  <c r="AD770" i="57" s="1"/>
  <c r="W770" i="57"/>
  <c r="AC770" i="57" s="1"/>
  <c r="V770" i="57"/>
  <c r="AB770" i="57" s="1"/>
  <c r="X769" i="57"/>
  <c r="AD769" i="57" s="1"/>
  <c r="W769" i="57"/>
  <c r="AC769" i="57" s="1"/>
  <c r="V769" i="57"/>
  <c r="AB769" i="57" s="1"/>
  <c r="X768" i="57"/>
  <c r="AD768" i="57" s="1"/>
  <c r="W768" i="57"/>
  <c r="AC768" i="57" s="1"/>
  <c r="V768" i="57"/>
  <c r="AB768" i="57" s="1"/>
  <c r="X767" i="57"/>
  <c r="AD767" i="57" s="1"/>
  <c r="W767" i="57"/>
  <c r="AC767" i="57" s="1"/>
  <c r="V767" i="57"/>
  <c r="AB767" i="57" s="1"/>
  <c r="X766" i="57"/>
  <c r="AD766" i="57" s="1"/>
  <c r="W766" i="57"/>
  <c r="AC766" i="57" s="1"/>
  <c r="V766" i="57"/>
  <c r="AB766" i="57" s="1"/>
  <c r="X765" i="57"/>
  <c r="AD765" i="57" s="1"/>
  <c r="W765" i="57"/>
  <c r="AC765" i="57" s="1"/>
  <c r="V765" i="57"/>
  <c r="AB765" i="57" s="1"/>
  <c r="X764" i="57"/>
  <c r="AD764" i="57" s="1"/>
  <c r="W764" i="57"/>
  <c r="AC764" i="57" s="1"/>
  <c r="V764" i="57"/>
  <c r="AB764" i="57" s="1"/>
  <c r="X763" i="57"/>
  <c r="AD763" i="57" s="1"/>
  <c r="W763" i="57"/>
  <c r="AC763" i="57" s="1"/>
  <c r="V763" i="57"/>
  <c r="AB763" i="57" s="1"/>
  <c r="X762" i="57"/>
  <c r="AD762" i="57" s="1"/>
  <c r="W762" i="57"/>
  <c r="AC762" i="57" s="1"/>
  <c r="V762" i="57"/>
  <c r="AB762" i="57" s="1"/>
  <c r="X761" i="57"/>
  <c r="AD761" i="57" s="1"/>
  <c r="W761" i="57"/>
  <c r="AC761" i="57" s="1"/>
  <c r="V761" i="57"/>
  <c r="AB761" i="57" s="1"/>
  <c r="X760" i="57"/>
  <c r="AD760" i="57" s="1"/>
  <c r="W760" i="57"/>
  <c r="AC760" i="57" s="1"/>
  <c r="V760" i="57"/>
  <c r="AB760" i="57" s="1"/>
  <c r="X759" i="57"/>
  <c r="AD759" i="57" s="1"/>
  <c r="W759" i="57"/>
  <c r="AC759" i="57" s="1"/>
  <c r="V759" i="57"/>
  <c r="AB759" i="57" s="1"/>
  <c r="X758" i="57"/>
  <c r="AD758" i="57" s="1"/>
  <c r="W758" i="57"/>
  <c r="AC758" i="57" s="1"/>
  <c r="V758" i="57"/>
  <c r="AB758" i="57" s="1"/>
  <c r="X757" i="57"/>
  <c r="AD757" i="57" s="1"/>
  <c r="W757" i="57"/>
  <c r="AC757" i="57" s="1"/>
  <c r="V757" i="57"/>
  <c r="AB757" i="57" s="1"/>
  <c r="X756" i="57"/>
  <c r="AD756" i="57" s="1"/>
  <c r="W756" i="57"/>
  <c r="AC756" i="57" s="1"/>
  <c r="V756" i="57"/>
  <c r="AB756" i="57" s="1"/>
  <c r="X755" i="57"/>
  <c r="AD755" i="57" s="1"/>
  <c r="W755" i="57"/>
  <c r="AC755" i="57" s="1"/>
  <c r="V755" i="57"/>
  <c r="AB755" i="57" s="1"/>
  <c r="X754" i="57"/>
  <c r="AD754" i="57" s="1"/>
  <c r="W754" i="57"/>
  <c r="AC754" i="57" s="1"/>
  <c r="V754" i="57"/>
  <c r="AB754" i="57" s="1"/>
  <c r="X753" i="57"/>
  <c r="AD753" i="57" s="1"/>
  <c r="W753" i="57"/>
  <c r="AC753" i="57" s="1"/>
  <c r="V753" i="57"/>
  <c r="AB753" i="57" s="1"/>
  <c r="X752" i="57"/>
  <c r="AD752" i="57" s="1"/>
  <c r="W752" i="57"/>
  <c r="AC752" i="57" s="1"/>
  <c r="V752" i="57"/>
  <c r="AB752" i="57" s="1"/>
  <c r="X751" i="57"/>
  <c r="AD751" i="57" s="1"/>
  <c r="W751" i="57"/>
  <c r="AC751" i="57" s="1"/>
  <c r="V751" i="57"/>
  <c r="AB751" i="57" s="1"/>
  <c r="X750" i="57"/>
  <c r="AD750" i="57" s="1"/>
  <c r="W750" i="57"/>
  <c r="AC750" i="57" s="1"/>
  <c r="V750" i="57"/>
  <c r="AB750" i="57" s="1"/>
  <c r="X749" i="57"/>
  <c r="AD749" i="57" s="1"/>
  <c r="W749" i="57"/>
  <c r="AC749" i="57" s="1"/>
  <c r="V749" i="57"/>
  <c r="AB749" i="57" s="1"/>
  <c r="X748" i="57"/>
  <c r="AD748" i="57" s="1"/>
  <c r="W748" i="57"/>
  <c r="AC748" i="57" s="1"/>
  <c r="V748" i="57"/>
  <c r="AB748" i="57" s="1"/>
  <c r="X747" i="57"/>
  <c r="AD747" i="57" s="1"/>
  <c r="W747" i="57"/>
  <c r="AC747" i="57" s="1"/>
  <c r="V747" i="57"/>
  <c r="AB747" i="57" s="1"/>
  <c r="X746" i="57"/>
  <c r="AD746" i="57" s="1"/>
  <c r="W746" i="57"/>
  <c r="AC746" i="57" s="1"/>
  <c r="V746" i="57"/>
  <c r="AB746" i="57" s="1"/>
  <c r="X745" i="57"/>
  <c r="AD745" i="57" s="1"/>
  <c r="W745" i="57"/>
  <c r="AC745" i="57" s="1"/>
  <c r="V745" i="57"/>
  <c r="AB745" i="57" s="1"/>
  <c r="X744" i="57"/>
  <c r="AD744" i="57" s="1"/>
  <c r="W744" i="57"/>
  <c r="AC744" i="57" s="1"/>
  <c r="V744" i="57"/>
  <c r="AB744" i="57" s="1"/>
  <c r="X743" i="57"/>
  <c r="AD743" i="57" s="1"/>
  <c r="W743" i="57"/>
  <c r="AC743" i="57" s="1"/>
  <c r="V743" i="57"/>
  <c r="AB743" i="57" s="1"/>
  <c r="X742" i="57"/>
  <c r="AD742" i="57" s="1"/>
  <c r="W742" i="57"/>
  <c r="AC742" i="57" s="1"/>
  <c r="V742" i="57"/>
  <c r="AB742" i="57" s="1"/>
  <c r="X741" i="57"/>
  <c r="AD741" i="57" s="1"/>
  <c r="W741" i="57"/>
  <c r="AC741" i="57" s="1"/>
  <c r="V741" i="57"/>
  <c r="AB741" i="57" s="1"/>
  <c r="X740" i="57"/>
  <c r="AD740" i="57" s="1"/>
  <c r="W740" i="57"/>
  <c r="AC740" i="57" s="1"/>
  <c r="V740" i="57"/>
  <c r="AB740" i="57" s="1"/>
  <c r="X739" i="57"/>
  <c r="AD739" i="57" s="1"/>
  <c r="W739" i="57"/>
  <c r="AC739" i="57" s="1"/>
  <c r="V739" i="57"/>
  <c r="AB739" i="57" s="1"/>
  <c r="X738" i="57"/>
  <c r="AD738" i="57" s="1"/>
  <c r="W738" i="57"/>
  <c r="AC738" i="57" s="1"/>
  <c r="V738" i="57"/>
  <c r="AB738" i="57" s="1"/>
  <c r="X737" i="57"/>
  <c r="AD737" i="57" s="1"/>
  <c r="W737" i="57"/>
  <c r="AC737" i="57" s="1"/>
  <c r="V737" i="57"/>
  <c r="AB737" i="57" s="1"/>
  <c r="X736" i="57"/>
  <c r="AD736" i="57" s="1"/>
  <c r="W736" i="57"/>
  <c r="AC736" i="57" s="1"/>
  <c r="V736" i="57"/>
  <c r="AB736" i="57" s="1"/>
  <c r="X735" i="57"/>
  <c r="AD735" i="57" s="1"/>
  <c r="W735" i="57"/>
  <c r="AC735" i="57" s="1"/>
  <c r="V735" i="57"/>
  <c r="AB735" i="57" s="1"/>
  <c r="X734" i="57"/>
  <c r="AD734" i="57" s="1"/>
  <c r="W734" i="57"/>
  <c r="AC734" i="57" s="1"/>
  <c r="V734" i="57"/>
  <c r="AB734" i="57" s="1"/>
  <c r="X733" i="57"/>
  <c r="AD733" i="57" s="1"/>
  <c r="W733" i="57"/>
  <c r="AC733" i="57" s="1"/>
  <c r="V733" i="57"/>
  <c r="AB733" i="57" s="1"/>
  <c r="X732" i="57"/>
  <c r="AD732" i="57" s="1"/>
  <c r="W732" i="57"/>
  <c r="AC732" i="57" s="1"/>
  <c r="V732" i="57"/>
  <c r="AB732" i="57" s="1"/>
  <c r="X731" i="57"/>
  <c r="AD731" i="57" s="1"/>
  <c r="W731" i="57"/>
  <c r="AC731" i="57" s="1"/>
  <c r="V731" i="57"/>
  <c r="AB731" i="57" s="1"/>
  <c r="X730" i="57"/>
  <c r="AD730" i="57" s="1"/>
  <c r="W730" i="57"/>
  <c r="AC730" i="57" s="1"/>
  <c r="V730" i="57"/>
  <c r="AB730" i="57" s="1"/>
  <c r="X729" i="57"/>
  <c r="AD729" i="57" s="1"/>
  <c r="W729" i="57"/>
  <c r="AC729" i="57" s="1"/>
  <c r="V729" i="57"/>
  <c r="AB729" i="57" s="1"/>
  <c r="X728" i="57"/>
  <c r="AD728" i="57" s="1"/>
  <c r="W728" i="57"/>
  <c r="AC728" i="57" s="1"/>
  <c r="V728" i="57"/>
  <c r="AB728" i="57" s="1"/>
  <c r="X727" i="57"/>
  <c r="AD727" i="57" s="1"/>
  <c r="W727" i="57"/>
  <c r="AC727" i="57" s="1"/>
  <c r="V727" i="57"/>
  <c r="AB727" i="57" s="1"/>
  <c r="X726" i="57"/>
  <c r="AD726" i="57" s="1"/>
  <c r="W726" i="57"/>
  <c r="AC726" i="57" s="1"/>
  <c r="V726" i="57"/>
  <c r="AB726" i="57" s="1"/>
  <c r="X725" i="57"/>
  <c r="AD725" i="57" s="1"/>
  <c r="W725" i="57"/>
  <c r="AC725" i="57" s="1"/>
  <c r="V725" i="57"/>
  <c r="AB725" i="57" s="1"/>
  <c r="X724" i="57"/>
  <c r="AD724" i="57" s="1"/>
  <c r="W724" i="57"/>
  <c r="AC724" i="57" s="1"/>
  <c r="V724" i="57"/>
  <c r="AB724" i="57" s="1"/>
  <c r="X723" i="57"/>
  <c r="AD723" i="57" s="1"/>
  <c r="W723" i="57"/>
  <c r="AC723" i="57" s="1"/>
  <c r="V723" i="57"/>
  <c r="AB723" i="57" s="1"/>
  <c r="X722" i="57"/>
  <c r="AD722" i="57" s="1"/>
  <c r="W722" i="57"/>
  <c r="AC722" i="57" s="1"/>
  <c r="V722" i="57"/>
  <c r="AB722" i="57" s="1"/>
  <c r="X721" i="57"/>
  <c r="AD721" i="57" s="1"/>
  <c r="W721" i="57"/>
  <c r="AC721" i="57" s="1"/>
  <c r="V721" i="57"/>
  <c r="AB721" i="57" s="1"/>
  <c r="X720" i="57"/>
  <c r="AD720" i="57" s="1"/>
  <c r="W720" i="57"/>
  <c r="AC720" i="57" s="1"/>
  <c r="V720" i="57"/>
  <c r="AB720" i="57" s="1"/>
  <c r="X719" i="57"/>
  <c r="AD719" i="57" s="1"/>
  <c r="W719" i="57"/>
  <c r="AC719" i="57" s="1"/>
  <c r="V719" i="57"/>
  <c r="AB719" i="57" s="1"/>
  <c r="X718" i="57"/>
  <c r="AD718" i="57" s="1"/>
  <c r="W718" i="57"/>
  <c r="AC718" i="57" s="1"/>
  <c r="V718" i="57"/>
  <c r="AB718" i="57" s="1"/>
  <c r="X717" i="57"/>
  <c r="AD717" i="57" s="1"/>
  <c r="W717" i="57"/>
  <c r="AC717" i="57" s="1"/>
  <c r="V717" i="57"/>
  <c r="AB717" i="57" s="1"/>
  <c r="X716" i="57"/>
  <c r="AD716" i="57" s="1"/>
  <c r="W716" i="57"/>
  <c r="AC716" i="57" s="1"/>
  <c r="V716" i="57"/>
  <c r="AB716" i="57" s="1"/>
  <c r="X715" i="57"/>
  <c r="AD715" i="57" s="1"/>
  <c r="W715" i="57"/>
  <c r="AC715" i="57" s="1"/>
  <c r="V715" i="57"/>
  <c r="AB715" i="57" s="1"/>
  <c r="X714" i="57"/>
  <c r="AD714" i="57" s="1"/>
  <c r="W714" i="57"/>
  <c r="AC714" i="57" s="1"/>
  <c r="V714" i="57"/>
  <c r="AB714" i="57" s="1"/>
  <c r="X713" i="57"/>
  <c r="AD713" i="57" s="1"/>
  <c r="W713" i="57"/>
  <c r="AC713" i="57" s="1"/>
  <c r="V713" i="57"/>
  <c r="AB713" i="57" s="1"/>
  <c r="X712" i="57"/>
  <c r="AD712" i="57" s="1"/>
  <c r="W712" i="57"/>
  <c r="AC712" i="57" s="1"/>
  <c r="V712" i="57"/>
  <c r="AB712" i="57" s="1"/>
  <c r="X711" i="57"/>
  <c r="AD711" i="57" s="1"/>
  <c r="W711" i="57"/>
  <c r="AC711" i="57" s="1"/>
  <c r="V711" i="57"/>
  <c r="AB711" i="57" s="1"/>
  <c r="X710" i="57"/>
  <c r="AD710" i="57" s="1"/>
  <c r="W710" i="57"/>
  <c r="AC710" i="57" s="1"/>
  <c r="V710" i="57"/>
  <c r="AB710" i="57" s="1"/>
  <c r="X709" i="57"/>
  <c r="AD709" i="57" s="1"/>
  <c r="W709" i="57"/>
  <c r="AC709" i="57" s="1"/>
  <c r="V709" i="57"/>
  <c r="AB709" i="57" s="1"/>
  <c r="X708" i="57"/>
  <c r="AD708" i="57" s="1"/>
  <c r="W708" i="57"/>
  <c r="AC708" i="57" s="1"/>
  <c r="V708" i="57"/>
  <c r="AB708" i="57" s="1"/>
  <c r="X707" i="57"/>
  <c r="AD707" i="57" s="1"/>
  <c r="W707" i="57"/>
  <c r="AC707" i="57" s="1"/>
  <c r="V707" i="57"/>
  <c r="AB707" i="57" s="1"/>
  <c r="X706" i="57"/>
  <c r="AD706" i="57" s="1"/>
  <c r="W706" i="57"/>
  <c r="AC706" i="57" s="1"/>
  <c r="V706" i="57"/>
  <c r="AB706" i="57" s="1"/>
  <c r="X705" i="57"/>
  <c r="AD705" i="57" s="1"/>
  <c r="W705" i="57"/>
  <c r="AC705" i="57" s="1"/>
  <c r="V705" i="57"/>
  <c r="AB705" i="57" s="1"/>
  <c r="X704" i="57"/>
  <c r="AD704" i="57" s="1"/>
  <c r="W704" i="57"/>
  <c r="AC704" i="57" s="1"/>
  <c r="V704" i="57"/>
  <c r="AB704" i="57" s="1"/>
  <c r="X703" i="57"/>
  <c r="AD703" i="57" s="1"/>
  <c r="W703" i="57"/>
  <c r="AC703" i="57" s="1"/>
  <c r="V703" i="57"/>
  <c r="AB703" i="57" s="1"/>
  <c r="X702" i="57"/>
  <c r="AD702" i="57" s="1"/>
  <c r="W702" i="57"/>
  <c r="AC702" i="57" s="1"/>
  <c r="V702" i="57"/>
  <c r="AB702" i="57" s="1"/>
  <c r="X701" i="57"/>
  <c r="AD701" i="57" s="1"/>
  <c r="W701" i="57"/>
  <c r="AC701" i="57" s="1"/>
  <c r="V701" i="57"/>
  <c r="AB701" i="57" s="1"/>
  <c r="X700" i="57"/>
  <c r="AD700" i="57" s="1"/>
  <c r="W700" i="57"/>
  <c r="AC700" i="57" s="1"/>
  <c r="V700" i="57"/>
  <c r="AB700" i="57" s="1"/>
  <c r="X699" i="57"/>
  <c r="AD699" i="57" s="1"/>
  <c r="W699" i="57"/>
  <c r="AC699" i="57" s="1"/>
  <c r="V699" i="57"/>
  <c r="AB699" i="57" s="1"/>
  <c r="X698" i="57"/>
  <c r="AD698" i="57" s="1"/>
  <c r="W698" i="57"/>
  <c r="AC698" i="57" s="1"/>
  <c r="V698" i="57"/>
  <c r="AB698" i="57" s="1"/>
  <c r="X697" i="57"/>
  <c r="AD697" i="57" s="1"/>
  <c r="W697" i="57"/>
  <c r="AC697" i="57" s="1"/>
  <c r="V697" i="57"/>
  <c r="AB697" i="57" s="1"/>
  <c r="X696" i="57"/>
  <c r="AD696" i="57" s="1"/>
  <c r="W696" i="57"/>
  <c r="AC696" i="57" s="1"/>
  <c r="V696" i="57"/>
  <c r="AB696" i="57" s="1"/>
  <c r="X695" i="57"/>
  <c r="AD695" i="57" s="1"/>
  <c r="W695" i="57"/>
  <c r="AC695" i="57" s="1"/>
  <c r="V695" i="57"/>
  <c r="AB695" i="57" s="1"/>
  <c r="X694" i="57"/>
  <c r="AD694" i="57" s="1"/>
  <c r="W694" i="57"/>
  <c r="AC694" i="57" s="1"/>
  <c r="V694" i="57"/>
  <c r="AB694" i="57" s="1"/>
  <c r="X693" i="57"/>
  <c r="AD693" i="57" s="1"/>
  <c r="W693" i="57"/>
  <c r="AC693" i="57" s="1"/>
  <c r="V693" i="57"/>
  <c r="AB693" i="57" s="1"/>
  <c r="X692" i="57"/>
  <c r="AD692" i="57" s="1"/>
  <c r="W692" i="57"/>
  <c r="AC692" i="57" s="1"/>
  <c r="V692" i="57"/>
  <c r="AB692" i="57" s="1"/>
  <c r="X691" i="57"/>
  <c r="AD691" i="57" s="1"/>
  <c r="W691" i="57"/>
  <c r="AC691" i="57" s="1"/>
  <c r="V691" i="57"/>
  <c r="AB691" i="57" s="1"/>
  <c r="X690" i="57"/>
  <c r="AD690" i="57" s="1"/>
  <c r="W690" i="57"/>
  <c r="AC690" i="57" s="1"/>
  <c r="V690" i="57"/>
  <c r="AB690" i="57" s="1"/>
  <c r="X689" i="57"/>
  <c r="AD689" i="57" s="1"/>
  <c r="W689" i="57"/>
  <c r="AC689" i="57" s="1"/>
  <c r="V689" i="57"/>
  <c r="AB689" i="57" s="1"/>
  <c r="X688" i="57"/>
  <c r="AD688" i="57" s="1"/>
  <c r="W688" i="57"/>
  <c r="AC688" i="57" s="1"/>
  <c r="V688" i="57"/>
  <c r="AB688" i="57" s="1"/>
  <c r="X687" i="57"/>
  <c r="AD687" i="57" s="1"/>
  <c r="W687" i="57"/>
  <c r="AC687" i="57" s="1"/>
  <c r="V687" i="57"/>
  <c r="AB687" i="57" s="1"/>
  <c r="X686" i="57"/>
  <c r="AD686" i="57" s="1"/>
  <c r="W686" i="57"/>
  <c r="AC686" i="57" s="1"/>
  <c r="V686" i="57"/>
  <c r="AB686" i="57" s="1"/>
  <c r="X685" i="57"/>
  <c r="AD685" i="57" s="1"/>
  <c r="W685" i="57"/>
  <c r="AC685" i="57" s="1"/>
  <c r="V685" i="57"/>
  <c r="AB685" i="57" s="1"/>
  <c r="X684" i="57"/>
  <c r="AD684" i="57" s="1"/>
  <c r="W684" i="57"/>
  <c r="AC684" i="57" s="1"/>
  <c r="V684" i="57"/>
  <c r="AB684" i="57" s="1"/>
  <c r="X683" i="57"/>
  <c r="AD683" i="57" s="1"/>
  <c r="W683" i="57"/>
  <c r="AC683" i="57" s="1"/>
  <c r="V683" i="57"/>
  <c r="AB683" i="57" s="1"/>
  <c r="X682" i="57"/>
  <c r="AD682" i="57" s="1"/>
  <c r="W682" i="57"/>
  <c r="AC682" i="57" s="1"/>
  <c r="V682" i="57"/>
  <c r="AB682" i="57" s="1"/>
  <c r="X681" i="57"/>
  <c r="AD681" i="57" s="1"/>
  <c r="W681" i="57"/>
  <c r="AC681" i="57" s="1"/>
  <c r="V681" i="57"/>
  <c r="AB681" i="57" s="1"/>
  <c r="X680" i="57"/>
  <c r="AD680" i="57" s="1"/>
  <c r="W680" i="57"/>
  <c r="AC680" i="57" s="1"/>
  <c r="V680" i="57"/>
  <c r="AB680" i="57" s="1"/>
  <c r="X679" i="57"/>
  <c r="AD679" i="57" s="1"/>
  <c r="W679" i="57"/>
  <c r="AC679" i="57" s="1"/>
  <c r="V679" i="57"/>
  <c r="AB679" i="57" s="1"/>
  <c r="X678" i="57"/>
  <c r="AD678" i="57" s="1"/>
  <c r="W678" i="57"/>
  <c r="AC678" i="57" s="1"/>
  <c r="V678" i="57"/>
  <c r="AB678" i="57" s="1"/>
  <c r="X677" i="57"/>
  <c r="AD677" i="57" s="1"/>
  <c r="W677" i="57"/>
  <c r="AC677" i="57" s="1"/>
  <c r="V677" i="57"/>
  <c r="AB677" i="57" s="1"/>
  <c r="X676" i="57"/>
  <c r="AD676" i="57" s="1"/>
  <c r="W676" i="57"/>
  <c r="AC676" i="57" s="1"/>
  <c r="V676" i="57"/>
  <c r="AB676" i="57" s="1"/>
  <c r="X675" i="57"/>
  <c r="AD675" i="57" s="1"/>
  <c r="W675" i="57"/>
  <c r="AC675" i="57" s="1"/>
  <c r="V675" i="57"/>
  <c r="AB675" i="57" s="1"/>
  <c r="X674" i="57"/>
  <c r="AD674" i="57" s="1"/>
  <c r="W674" i="57"/>
  <c r="AC674" i="57" s="1"/>
  <c r="V674" i="57"/>
  <c r="AB674" i="57" s="1"/>
  <c r="X673" i="57"/>
  <c r="AD673" i="57" s="1"/>
  <c r="W673" i="57"/>
  <c r="AC673" i="57" s="1"/>
  <c r="V673" i="57"/>
  <c r="AB673" i="57" s="1"/>
  <c r="X672" i="57"/>
  <c r="AD672" i="57" s="1"/>
  <c r="W672" i="57"/>
  <c r="AC672" i="57" s="1"/>
  <c r="V672" i="57"/>
  <c r="AB672" i="57" s="1"/>
  <c r="X671" i="57"/>
  <c r="AD671" i="57" s="1"/>
  <c r="W671" i="57"/>
  <c r="AC671" i="57" s="1"/>
  <c r="V671" i="57"/>
  <c r="AB671" i="57" s="1"/>
  <c r="X670" i="57"/>
  <c r="AD670" i="57" s="1"/>
  <c r="W670" i="57"/>
  <c r="AC670" i="57" s="1"/>
  <c r="V670" i="57"/>
  <c r="AB670" i="57" s="1"/>
  <c r="X669" i="57"/>
  <c r="AD669" i="57" s="1"/>
  <c r="W669" i="57"/>
  <c r="AC669" i="57" s="1"/>
  <c r="V669" i="57"/>
  <c r="AB669" i="57" s="1"/>
  <c r="X668" i="57"/>
  <c r="AD668" i="57" s="1"/>
  <c r="W668" i="57"/>
  <c r="AC668" i="57" s="1"/>
  <c r="V668" i="57"/>
  <c r="AB668" i="57" s="1"/>
  <c r="X667" i="57"/>
  <c r="AD667" i="57" s="1"/>
  <c r="W667" i="57"/>
  <c r="AC667" i="57" s="1"/>
  <c r="V667" i="57"/>
  <c r="AB667" i="57" s="1"/>
  <c r="X666" i="57"/>
  <c r="AD666" i="57" s="1"/>
  <c r="W666" i="57"/>
  <c r="AC666" i="57" s="1"/>
  <c r="V666" i="57"/>
  <c r="AB666" i="57" s="1"/>
  <c r="X665" i="57"/>
  <c r="AD665" i="57" s="1"/>
  <c r="W665" i="57"/>
  <c r="AC665" i="57" s="1"/>
  <c r="V665" i="57"/>
  <c r="AB665" i="57" s="1"/>
  <c r="X664" i="57"/>
  <c r="AD664" i="57" s="1"/>
  <c r="W664" i="57"/>
  <c r="AC664" i="57" s="1"/>
  <c r="V664" i="57"/>
  <c r="AB664" i="57" s="1"/>
  <c r="X663" i="57"/>
  <c r="AD663" i="57" s="1"/>
  <c r="W663" i="57"/>
  <c r="AC663" i="57" s="1"/>
  <c r="V663" i="57"/>
  <c r="AB663" i="57" s="1"/>
  <c r="X662" i="57"/>
  <c r="AD662" i="57" s="1"/>
  <c r="W662" i="57"/>
  <c r="AC662" i="57" s="1"/>
  <c r="V662" i="57"/>
  <c r="AB662" i="57" s="1"/>
  <c r="X661" i="57"/>
  <c r="AD661" i="57" s="1"/>
  <c r="W661" i="57"/>
  <c r="AC661" i="57" s="1"/>
  <c r="V661" i="57"/>
  <c r="AB661" i="57" s="1"/>
  <c r="X660" i="57"/>
  <c r="AD660" i="57" s="1"/>
  <c r="W660" i="57"/>
  <c r="AC660" i="57" s="1"/>
  <c r="V660" i="57"/>
  <c r="AB660" i="57" s="1"/>
  <c r="X659" i="57"/>
  <c r="AD659" i="57" s="1"/>
  <c r="W659" i="57"/>
  <c r="AC659" i="57" s="1"/>
  <c r="V659" i="57"/>
  <c r="AB659" i="57" s="1"/>
  <c r="X658" i="57"/>
  <c r="AD658" i="57" s="1"/>
  <c r="W658" i="57"/>
  <c r="AC658" i="57" s="1"/>
  <c r="V658" i="57"/>
  <c r="AB658" i="57" s="1"/>
  <c r="X657" i="57"/>
  <c r="AD657" i="57" s="1"/>
  <c r="W657" i="57"/>
  <c r="AC657" i="57" s="1"/>
  <c r="V657" i="57"/>
  <c r="AB657" i="57" s="1"/>
  <c r="X656" i="57"/>
  <c r="AD656" i="57" s="1"/>
  <c r="W656" i="57"/>
  <c r="AC656" i="57" s="1"/>
  <c r="V656" i="57"/>
  <c r="AB656" i="57" s="1"/>
  <c r="X655" i="57"/>
  <c r="AD655" i="57" s="1"/>
  <c r="W655" i="57"/>
  <c r="AC655" i="57" s="1"/>
  <c r="V655" i="57"/>
  <c r="AB655" i="57" s="1"/>
  <c r="X654" i="57"/>
  <c r="AD654" i="57" s="1"/>
  <c r="W654" i="57"/>
  <c r="AC654" i="57" s="1"/>
  <c r="V654" i="57"/>
  <c r="AB654" i="57" s="1"/>
  <c r="X653" i="57"/>
  <c r="AD653" i="57" s="1"/>
  <c r="W653" i="57"/>
  <c r="AC653" i="57" s="1"/>
  <c r="V653" i="57"/>
  <c r="AB653" i="57" s="1"/>
  <c r="X652" i="57"/>
  <c r="AD652" i="57" s="1"/>
  <c r="W652" i="57"/>
  <c r="AC652" i="57" s="1"/>
  <c r="V652" i="57"/>
  <c r="AB652" i="57" s="1"/>
  <c r="X651" i="57"/>
  <c r="AD651" i="57" s="1"/>
  <c r="W651" i="57"/>
  <c r="AC651" i="57" s="1"/>
  <c r="V651" i="57"/>
  <c r="AB651" i="57" s="1"/>
  <c r="X650" i="57"/>
  <c r="AD650" i="57" s="1"/>
  <c r="W650" i="57"/>
  <c r="AC650" i="57" s="1"/>
  <c r="V650" i="57"/>
  <c r="AB650" i="57" s="1"/>
  <c r="X649" i="57"/>
  <c r="AD649" i="57" s="1"/>
  <c r="W649" i="57"/>
  <c r="AC649" i="57" s="1"/>
  <c r="V649" i="57"/>
  <c r="AB649" i="57" s="1"/>
  <c r="X648" i="57"/>
  <c r="AD648" i="57" s="1"/>
  <c r="W648" i="57"/>
  <c r="AC648" i="57" s="1"/>
  <c r="V648" i="57"/>
  <c r="AB648" i="57" s="1"/>
  <c r="X647" i="57"/>
  <c r="AD647" i="57" s="1"/>
  <c r="W647" i="57"/>
  <c r="AC647" i="57" s="1"/>
  <c r="V647" i="57"/>
  <c r="AB647" i="57" s="1"/>
  <c r="X646" i="57"/>
  <c r="AD646" i="57" s="1"/>
  <c r="W646" i="57"/>
  <c r="AC646" i="57" s="1"/>
  <c r="V646" i="57"/>
  <c r="AB646" i="57" s="1"/>
  <c r="X645" i="57"/>
  <c r="AD645" i="57" s="1"/>
  <c r="W645" i="57"/>
  <c r="AC645" i="57" s="1"/>
  <c r="V645" i="57"/>
  <c r="AB645" i="57" s="1"/>
  <c r="X644" i="57"/>
  <c r="AD644" i="57" s="1"/>
  <c r="W644" i="57"/>
  <c r="AC644" i="57" s="1"/>
  <c r="V644" i="57"/>
  <c r="AB644" i="57" s="1"/>
  <c r="X643" i="57"/>
  <c r="AD643" i="57" s="1"/>
  <c r="W643" i="57"/>
  <c r="AC643" i="57" s="1"/>
  <c r="V643" i="57"/>
  <c r="AB643" i="57" s="1"/>
  <c r="X642" i="57"/>
  <c r="AD642" i="57" s="1"/>
  <c r="W642" i="57"/>
  <c r="AC642" i="57" s="1"/>
  <c r="V642" i="57"/>
  <c r="AB642" i="57" s="1"/>
  <c r="X641" i="57"/>
  <c r="AD641" i="57" s="1"/>
  <c r="AO3" i="57" s="1"/>
  <c r="W641" i="57"/>
  <c r="AC641" i="57" s="1"/>
  <c r="V641" i="57"/>
  <c r="AB641" i="57" s="1"/>
  <c r="V640" i="57"/>
  <c r="AB640" i="57" s="1"/>
  <c r="V639" i="57"/>
  <c r="AB639" i="57" s="1"/>
  <c r="V638" i="57"/>
  <c r="AB638" i="57" s="1"/>
  <c r="V637" i="57"/>
  <c r="AB637" i="57" s="1"/>
  <c r="V636" i="57"/>
  <c r="AB636" i="57" s="1"/>
  <c r="V635" i="57"/>
  <c r="AB635" i="57" s="1"/>
  <c r="V634" i="57"/>
  <c r="AB634" i="57" s="1"/>
  <c r="V633" i="57"/>
  <c r="AB633" i="57" s="1"/>
  <c r="V632" i="57"/>
  <c r="AB632" i="57" s="1"/>
  <c r="V631" i="57"/>
  <c r="AB631" i="57" s="1"/>
  <c r="V630" i="57"/>
  <c r="AB630" i="57" s="1"/>
  <c r="V629" i="57"/>
  <c r="AB629" i="57" s="1"/>
  <c r="X628" i="57"/>
  <c r="AD628" i="57" s="1"/>
  <c r="W628" i="57"/>
  <c r="AC628" i="57" s="1"/>
  <c r="X627" i="57"/>
  <c r="AD627" i="57" s="1"/>
  <c r="W627" i="57"/>
  <c r="AC627" i="57" s="1"/>
  <c r="X626" i="57"/>
  <c r="AD626" i="57" s="1"/>
  <c r="W626" i="57"/>
  <c r="AC626" i="57" s="1"/>
  <c r="X625" i="57"/>
  <c r="AD625" i="57" s="1"/>
  <c r="W625" i="57"/>
  <c r="AC625" i="57" s="1"/>
  <c r="X624" i="57"/>
  <c r="AD624" i="57" s="1"/>
  <c r="W624" i="57"/>
  <c r="AC624" i="57" s="1"/>
  <c r="X623" i="57"/>
  <c r="AD623" i="57" s="1"/>
  <c r="W623" i="57"/>
  <c r="AC623" i="57" s="1"/>
  <c r="X622" i="57"/>
  <c r="AD622" i="57" s="1"/>
  <c r="W622" i="57"/>
  <c r="AC622" i="57" s="1"/>
  <c r="X621" i="57"/>
  <c r="AD621" i="57" s="1"/>
  <c r="W621" i="57"/>
  <c r="AC621" i="57" s="1"/>
  <c r="X620" i="57"/>
  <c r="AD620" i="57" s="1"/>
  <c r="W620" i="57"/>
  <c r="AC620" i="57" s="1"/>
  <c r="X619" i="57"/>
  <c r="AD619" i="57" s="1"/>
  <c r="W619" i="57"/>
  <c r="AC619" i="57" s="1"/>
  <c r="X618" i="57"/>
  <c r="AD618" i="57" s="1"/>
  <c r="W618" i="57"/>
  <c r="AC618" i="57" s="1"/>
  <c r="X617" i="57"/>
  <c r="AD617" i="57" s="1"/>
  <c r="W617" i="57"/>
  <c r="AC617" i="57" s="1"/>
  <c r="X616" i="57"/>
  <c r="AD616" i="57" s="1"/>
  <c r="W616" i="57"/>
  <c r="AC616" i="57" s="1"/>
  <c r="V615" i="57"/>
  <c r="AB615" i="57" s="1"/>
  <c r="V614" i="57"/>
  <c r="AB614" i="57" s="1"/>
  <c r="V613" i="57"/>
  <c r="AB613" i="57" s="1"/>
  <c r="V612" i="57"/>
  <c r="AB612" i="57" s="1"/>
  <c r="V611" i="57"/>
  <c r="AB611" i="57" s="1"/>
  <c r="V610" i="57"/>
  <c r="AB610" i="57" s="1"/>
  <c r="V609" i="57"/>
  <c r="AB609" i="57" s="1"/>
  <c r="V608" i="57"/>
  <c r="AB608" i="57" s="1"/>
  <c r="V607" i="57"/>
  <c r="AB607" i="57" s="1"/>
  <c r="V606" i="57"/>
  <c r="AB606" i="57" s="1"/>
  <c r="V605" i="57"/>
  <c r="AB605" i="57" s="1"/>
  <c r="V604" i="57"/>
  <c r="AB604" i="57" s="1"/>
  <c r="V603" i="57"/>
  <c r="AB603" i="57" s="1"/>
  <c r="V602" i="57"/>
  <c r="AB602" i="57" s="1"/>
  <c r="V601" i="57"/>
  <c r="AB601" i="57" s="1"/>
  <c r="V600" i="57"/>
  <c r="AB600" i="57" s="1"/>
  <c r="V599" i="57"/>
  <c r="AB599" i="57" s="1"/>
  <c r="V598" i="57"/>
  <c r="AB598" i="57" s="1"/>
  <c r="V597" i="57"/>
  <c r="AB597" i="57" s="1"/>
  <c r="V596" i="57"/>
  <c r="AB596" i="57" s="1"/>
  <c r="V595" i="57"/>
  <c r="AB595" i="57" s="1"/>
  <c r="V594" i="57"/>
  <c r="AB594" i="57" s="1"/>
  <c r="V593" i="57"/>
  <c r="AB593" i="57" s="1"/>
  <c r="V592" i="57"/>
  <c r="AB592" i="57" s="1"/>
  <c r="V591" i="57"/>
  <c r="AB591" i="57" s="1"/>
  <c r="V590" i="57"/>
  <c r="AB590" i="57" s="1"/>
  <c r="V589" i="57"/>
  <c r="AB589" i="57" s="1"/>
  <c r="V588" i="57"/>
  <c r="AB588" i="57" s="1"/>
  <c r="V587" i="57"/>
  <c r="AB587" i="57" s="1"/>
  <c r="V586" i="57"/>
  <c r="AB586" i="57" s="1"/>
  <c r="X585" i="57"/>
  <c r="AD585" i="57" s="1"/>
  <c r="W585" i="57"/>
  <c r="AC585" i="57" s="1"/>
  <c r="X584" i="57"/>
  <c r="AD584" i="57" s="1"/>
  <c r="W584" i="57"/>
  <c r="AC584" i="57" s="1"/>
  <c r="X583" i="57"/>
  <c r="AD583" i="57" s="1"/>
  <c r="W583" i="57"/>
  <c r="AC583" i="57" s="1"/>
  <c r="X582" i="57"/>
  <c r="AD582" i="57" s="1"/>
  <c r="W582" i="57"/>
  <c r="AC582" i="57" s="1"/>
  <c r="X581" i="57"/>
  <c r="AD581" i="57" s="1"/>
  <c r="W581" i="57"/>
  <c r="AC581" i="57" s="1"/>
  <c r="X580" i="57"/>
  <c r="AD580" i="57" s="1"/>
  <c r="W580" i="57"/>
  <c r="AC580" i="57" s="1"/>
  <c r="X579" i="57"/>
  <c r="AD579" i="57" s="1"/>
  <c r="W579" i="57"/>
  <c r="AC579" i="57" s="1"/>
  <c r="X578" i="57"/>
  <c r="AD578" i="57" s="1"/>
  <c r="W578" i="57"/>
  <c r="AC578" i="57" s="1"/>
  <c r="X577" i="57"/>
  <c r="AD577" i="57" s="1"/>
  <c r="W577" i="57"/>
  <c r="AC577" i="57" s="1"/>
  <c r="X576" i="57"/>
  <c r="AD576" i="57" s="1"/>
  <c r="W576" i="57"/>
  <c r="AC576" i="57" s="1"/>
  <c r="X575" i="57"/>
  <c r="AD575" i="57" s="1"/>
  <c r="W575" i="57"/>
  <c r="AC575" i="57" s="1"/>
  <c r="X574" i="57"/>
  <c r="AD574" i="57" s="1"/>
  <c r="W574" i="57"/>
  <c r="AC574" i="57" s="1"/>
  <c r="X573" i="57"/>
  <c r="AD573" i="57" s="1"/>
  <c r="W573" i="57"/>
  <c r="AC573" i="57" s="1"/>
  <c r="X572" i="57"/>
  <c r="AD572" i="57" s="1"/>
  <c r="W572" i="57"/>
  <c r="AC572" i="57" s="1"/>
  <c r="X571" i="57"/>
  <c r="AD571" i="57" s="1"/>
  <c r="W571" i="57"/>
  <c r="AC571" i="57" s="1"/>
  <c r="X570" i="57"/>
  <c r="AD570" i="57" s="1"/>
  <c r="W570" i="57"/>
  <c r="AC570" i="57" s="1"/>
  <c r="X569" i="57"/>
  <c r="AD569" i="57" s="1"/>
  <c r="W569" i="57"/>
  <c r="AC569" i="57" s="1"/>
  <c r="X568" i="57"/>
  <c r="AD568" i="57" s="1"/>
  <c r="W568" i="57"/>
  <c r="AC568" i="57" s="1"/>
  <c r="V567" i="57"/>
  <c r="AB567" i="57" s="1"/>
  <c r="V566" i="57"/>
  <c r="AB566" i="57" s="1"/>
  <c r="V565" i="57"/>
  <c r="AB565" i="57" s="1"/>
  <c r="V564" i="57"/>
  <c r="AB564" i="57" s="1"/>
  <c r="V563" i="57"/>
  <c r="AB563" i="57" s="1"/>
  <c r="V562" i="57"/>
  <c r="AB562" i="57" s="1"/>
  <c r="V561" i="57"/>
  <c r="AB561" i="57" s="1"/>
  <c r="V560" i="57"/>
  <c r="AB560" i="57" s="1"/>
  <c r="V559" i="57"/>
  <c r="AB559" i="57" s="1"/>
  <c r="V558" i="57"/>
  <c r="AB558" i="57" s="1"/>
  <c r="V557" i="57"/>
  <c r="AB557" i="57" s="1"/>
  <c r="V556" i="57"/>
  <c r="AB556" i="57" s="1"/>
  <c r="V555" i="57"/>
  <c r="AB555" i="57" s="1"/>
  <c r="V554" i="57"/>
  <c r="AB554" i="57" s="1"/>
  <c r="V553" i="57"/>
  <c r="AB553" i="57" s="1"/>
  <c r="V552" i="57"/>
  <c r="AB552" i="57" s="1"/>
  <c r="V551" i="57"/>
  <c r="AB551" i="57" s="1"/>
  <c r="V550" i="57"/>
  <c r="AB550" i="57" s="1"/>
  <c r="V549" i="57"/>
  <c r="AB549" i="57" s="1"/>
  <c r="V548" i="57"/>
  <c r="AB548" i="57" s="1"/>
  <c r="V547" i="57"/>
  <c r="AB547" i="57" s="1"/>
  <c r="V546" i="57"/>
  <c r="AB546" i="57" s="1"/>
  <c r="V545" i="57"/>
  <c r="AB545" i="57" s="1"/>
  <c r="V544" i="57"/>
  <c r="AB544" i="57" s="1"/>
  <c r="V543" i="57"/>
  <c r="AB543" i="57" s="1"/>
  <c r="V542" i="57"/>
  <c r="AB542" i="57" s="1"/>
  <c r="V541" i="57"/>
  <c r="AB541" i="57" s="1"/>
  <c r="V540" i="57"/>
  <c r="AB540" i="57" s="1"/>
  <c r="V539" i="57"/>
  <c r="AB539" i="57" s="1"/>
  <c r="V538" i="57"/>
  <c r="AB538" i="57" s="1"/>
  <c r="V537" i="57"/>
  <c r="AB537" i="57" s="1"/>
  <c r="V536" i="57"/>
  <c r="AB536" i="57" s="1"/>
  <c r="V535" i="57"/>
  <c r="AB535" i="57" s="1"/>
  <c r="V534" i="57"/>
  <c r="AB534" i="57" s="1"/>
  <c r="X533" i="57"/>
  <c r="AD533" i="57" s="1"/>
  <c r="W533" i="57"/>
  <c r="AC533" i="57" s="1"/>
  <c r="X532" i="57"/>
  <c r="AD532" i="57" s="1"/>
  <c r="W532" i="57"/>
  <c r="AC532" i="57" s="1"/>
  <c r="X531" i="57"/>
  <c r="AD531" i="57" s="1"/>
  <c r="W531" i="57"/>
  <c r="AC531" i="57" s="1"/>
  <c r="X530" i="57"/>
  <c r="AD530" i="57" s="1"/>
  <c r="W530" i="57"/>
  <c r="AC530" i="57" s="1"/>
  <c r="X529" i="57"/>
  <c r="AD529" i="57" s="1"/>
  <c r="W529" i="57"/>
  <c r="AC529" i="57" s="1"/>
  <c r="X528" i="57"/>
  <c r="AD528" i="57" s="1"/>
  <c r="W528" i="57"/>
  <c r="AC528" i="57" s="1"/>
  <c r="X527" i="57"/>
  <c r="AD527" i="57" s="1"/>
  <c r="W527" i="57"/>
  <c r="AC527" i="57" s="1"/>
  <c r="X526" i="57"/>
  <c r="AD526" i="57" s="1"/>
  <c r="W526" i="57"/>
  <c r="AC526" i="57" s="1"/>
  <c r="X525" i="57"/>
  <c r="AD525" i="57" s="1"/>
  <c r="W525" i="57"/>
  <c r="AC525" i="57" s="1"/>
  <c r="X524" i="57"/>
  <c r="AD524" i="57" s="1"/>
  <c r="W524" i="57"/>
  <c r="AC524" i="57" s="1"/>
  <c r="X523" i="57"/>
  <c r="AD523" i="57" s="1"/>
  <c r="W523" i="57"/>
  <c r="AC523" i="57" s="1"/>
  <c r="X522" i="57"/>
  <c r="AD522" i="57" s="1"/>
  <c r="W522" i="57"/>
  <c r="AC522" i="57" s="1"/>
  <c r="X521" i="57"/>
  <c r="AD521" i="57" s="1"/>
  <c r="W521" i="57"/>
  <c r="AC521" i="57" s="1"/>
  <c r="X520" i="57"/>
  <c r="AD520" i="57" s="1"/>
  <c r="W520" i="57"/>
  <c r="AC520" i="57" s="1"/>
  <c r="X519" i="57"/>
  <c r="AD519" i="57" s="1"/>
  <c r="W519" i="57"/>
  <c r="AC519" i="57" s="1"/>
  <c r="V518" i="57"/>
  <c r="AB518" i="57" s="1"/>
  <c r="V517" i="57"/>
  <c r="AB517" i="57" s="1"/>
  <c r="V516" i="57"/>
  <c r="AB516" i="57" s="1"/>
  <c r="V515" i="57"/>
  <c r="AB515" i="57" s="1"/>
  <c r="V514" i="57"/>
  <c r="AB514" i="57" s="1"/>
  <c r="V513" i="57"/>
  <c r="AB513" i="57" s="1"/>
  <c r="V512" i="57"/>
  <c r="AB512" i="57" s="1"/>
  <c r="V511" i="57"/>
  <c r="AB511" i="57" s="1"/>
  <c r="V510" i="57"/>
  <c r="AB510" i="57" s="1"/>
  <c r="V509" i="57"/>
  <c r="AB509" i="57" s="1"/>
  <c r="V508" i="57"/>
  <c r="AB508" i="57" s="1"/>
  <c r="V507" i="57"/>
  <c r="AB507" i="57" s="1"/>
  <c r="V506" i="57"/>
  <c r="AB506" i="57" s="1"/>
  <c r="V505" i="57"/>
  <c r="AB505" i="57" s="1"/>
  <c r="V504" i="57"/>
  <c r="AB504" i="57" s="1"/>
  <c r="V503" i="57"/>
  <c r="AB503" i="57" s="1"/>
  <c r="X502" i="57"/>
  <c r="AD502" i="57" s="1"/>
  <c r="W502" i="57"/>
  <c r="AC502" i="57" s="1"/>
  <c r="V502" i="57"/>
  <c r="AB502" i="57" s="1"/>
  <c r="X501" i="57"/>
  <c r="AD501" i="57" s="1"/>
  <c r="W501" i="57"/>
  <c r="AC501" i="57" s="1"/>
  <c r="V501" i="57"/>
  <c r="AB501" i="57" s="1"/>
  <c r="X500" i="57"/>
  <c r="AD500" i="57" s="1"/>
  <c r="W500" i="57"/>
  <c r="AC500" i="57" s="1"/>
  <c r="V500" i="57"/>
  <c r="AB500" i="57" s="1"/>
  <c r="X499" i="57"/>
  <c r="AD499" i="57" s="1"/>
  <c r="W499" i="57"/>
  <c r="AC499" i="57" s="1"/>
  <c r="V499" i="57"/>
  <c r="AB499" i="57" s="1"/>
  <c r="X498" i="57"/>
  <c r="AD498" i="57" s="1"/>
  <c r="W498" i="57"/>
  <c r="AC498" i="57" s="1"/>
  <c r="V498" i="57"/>
  <c r="AB498" i="57" s="1"/>
  <c r="X497" i="57"/>
  <c r="AD497" i="57" s="1"/>
  <c r="W497" i="57"/>
  <c r="AC497" i="57" s="1"/>
  <c r="V497" i="57"/>
  <c r="AB497" i="57" s="1"/>
  <c r="X496" i="57"/>
  <c r="AD496" i="57" s="1"/>
  <c r="W496" i="57"/>
  <c r="AC496" i="57" s="1"/>
  <c r="V496" i="57"/>
  <c r="AB496" i="57" s="1"/>
  <c r="X495" i="57"/>
  <c r="AD495" i="57" s="1"/>
  <c r="W495" i="57"/>
  <c r="AC495" i="57" s="1"/>
  <c r="V495" i="57"/>
  <c r="AB495" i="57" s="1"/>
  <c r="X494" i="57"/>
  <c r="AD494" i="57" s="1"/>
  <c r="W494" i="57"/>
  <c r="AC494" i="57" s="1"/>
  <c r="V494" i="57"/>
  <c r="AB494" i="57" s="1"/>
  <c r="X493" i="57"/>
  <c r="AD493" i="57" s="1"/>
  <c r="W493" i="57"/>
  <c r="AC493" i="57" s="1"/>
  <c r="V493" i="57"/>
  <c r="AB493" i="57" s="1"/>
  <c r="X492" i="57"/>
  <c r="AD492" i="57" s="1"/>
  <c r="W492" i="57"/>
  <c r="AC492" i="57" s="1"/>
  <c r="V492" i="57"/>
  <c r="AB492" i="57" s="1"/>
  <c r="X491" i="57"/>
  <c r="AD491" i="57" s="1"/>
  <c r="W491" i="57"/>
  <c r="AC491" i="57" s="1"/>
  <c r="V491" i="57"/>
  <c r="AB491" i="57" s="1"/>
  <c r="X490" i="57"/>
  <c r="AD490" i="57" s="1"/>
  <c r="W490" i="57"/>
  <c r="AC490" i="57" s="1"/>
  <c r="V490" i="57"/>
  <c r="AB490" i="57" s="1"/>
  <c r="X489" i="57"/>
  <c r="AD489" i="57" s="1"/>
  <c r="W489" i="57"/>
  <c r="AC489" i="57" s="1"/>
  <c r="V489" i="57"/>
  <c r="AB489" i="57" s="1"/>
  <c r="X488" i="57"/>
  <c r="AD488" i="57" s="1"/>
  <c r="W488" i="57"/>
  <c r="AC488" i="57" s="1"/>
  <c r="V488" i="57"/>
  <c r="AB488" i="57" s="1"/>
  <c r="X487" i="57"/>
  <c r="AD487" i="57" s="1"/>
  <c r="W487" i="57"/>
  <c r="AC487" i="57" s="1"/>
  <c r="V487" i="57"/>
  <c r="AB487" i="57" s="1"/>
  <c r="X486" i="57"/>
  <c r="AD486" i="57" s="1"/>
  <c r="W486" i="57"/>
  <c r="AC486" i="57" s="1"/>
  <c r="V486" i="57"/>
  <c r="AB486" i="57" s="1"/>
  <c r="X485" i="57"/>
  <c r="AD485" i="57" s="1"/>
  <c r="W485" i="57"/>
  <c r="AC485" i="57" s="1"/>
  <c r="V485" i="57"/>
  <c r="AB485" i="57" s="1"/>
  <c r="X484" i="57"/>
  <c r="AD484" i="57" s="1"/>
  <c r="W484" i="57"/>
  <c r="AC484" i="57" s="1"/>
  <c r="V484" i="57"/>
  <c r="AB484" i="57" s="1"/>
  <c r="X483" i="57"/>
  <c r="AD483" i="57" s="1"/>
  <c r="W483" i="57"/>
  <c r="AC483" i="57" s="1"/>
  <c r="V483" i="57"/>
  <c r="AB483" i="57" s="1"/>
  <c r="X482" i="57"/>
  <c r="AD482" i="57" s="1"/>
  <c r="W482" i="57"/>
  <c r="AC482" i="57" s="1"/>
  <c r="V482" i="57"/>
  <c r="AB482" i="57" s="1"/>
  <c r="X481" i="57"/>
  <c r="AD481" i="57" s="1"/>
  <c r="W481" i="57"/>
  <c r="AC481" i="57" s="1"/>
  <c r="V481" i="57"/>
  <c r="AB481" i="57" s="1"/>
  <c r="X480" i="57"/>
  <c r="AD480" i="57" s="1"/>
  <c r="W480" i="57"/>
  <c r="AC480" i="57" s="1"/>
  <c r="V480" i="57"/>
  <c r="AB480" i="57" s="1"/>
  <c r="X479" i="57"/>
  <c r="AD479" i="57" s="1"/>
  <c r="W479" i="57"/>
  <c r="AC479" i="57" s="1"/>
  <c r="V479" i="57"/>
  <c r="AB479" i="57" s="1"/>
  <c r="X478" i="57"/>
  <c r="AD478" i="57" s="1"/>
  <c r="W478" i="57"/>
  <c r="AC478" i="57" s="1"/>
  <c r="V478" i="57"/>
  <c r="AB478" i="57" s="1"/>
  <c r="X477" i="57"/>
  <c r="AD477" i="57" s="1"/>
  <c r="W477" i="57"/>
  <c r="AC477" i="57" s="1"/>
  <c r="V477" i="57"/>
  <c r="AB477" i="57" s="1"/>
  <c r="X476" i="57"/>
  <c r="AD476" i="57" s="1"/>
  <c r="W476" i="57"/>
  <c r="AC476" i="57" s="1"/>
  <c r="V476" i="57"/>
  <c r="AB476" i="57" s="1"/>
  <c r="X475" i="57"/>
  <c r="AD475" i="57" s="1"/>
  <c r="W475" i="57"/>
  <c r="AC475" i="57" s="1"/>
  <c r="V475" i="57"/>
  <c r="AB475" i="57" s="1"/>
  <c r="X474" i="57"/>
  <c r="AD474" i="57" s="1"/>
  <c r="W474" i="57"/>
  <c r="AC474" i="57" s="1"/>
  <c r="V474" i="57"/>
  <c r="AB474" i="57" s="1"/>
  <c r="X473" i="57"/>
  <c r="AD473" i="57" s="1"/>
  <c r="W473" i="57"/>
  <c r="AC473" i="57" s="1"/>
  <c r="V473" i="57"/>
  <c r="AB473" i="57" s="1"/>
  <c r="X472" i="57"/>
  <c r="AD472" i="57" s="1"/>
  <c r="W472" i="57"/>
  <c r="AC472" i="57" s="1"/>
  <c r="V472" i="57"/>
  <c r="AB472" i="57" s="1"/>
  <c r="X471" i="57"/>
  <c r="AD471" i="57" s="1"/>
  <c r="W471" i="57"/>
  <c r="AC471" i="57" s="1"/>
  <c r="V471" i="57"/>
  <c r="AB471" i="57" s="1"/>
  <c r="X470" i="57"/>
  <c r="AD470" i="57" s="1"/>
  <c r="W470" i="57"/>
  <c r="AC470" i="57" s="1"/>
  <c r="V470" i="57"/>
  <c r="AB470" i="57" s="1"/>
  <c r="X469" i="57"/>
  <c r="AD469" i="57" s="1"/>
  <c r="W469" i="57"/>
  <c r="AC469" i="57" s="1"/>
  <c r="V469" i="57"/>
  <c r="AB469" i="57" s="1"/>
  <c r="X468" i="57"/>
  <c r="AD468" i="57" s="1"/>
  <c r="W468" i="57"/>
  <c r="AC468" i="57" s="1"/>
  <c r="V468" i="57"/>
  <c r="AB468" i="57" s="1"/>
  <c r="X467" i="57"/>
  <c r="AD467" i="57" s="1"/>
  <c r="W467" i="57"/>
  <c r="AC467" i="57" s="1"/>
  <c r="V467" i="57"/>
  <c r="AB467" i="57" s="1"/>
  <c r="X466" i="57"/>
  <c r="AD466" i="57" s="1"/>
  <c r="W466" i="57"/>
  <c r="AC466" i="57" s="1"/>
  <c r="V466" i="57"/>
  <c r="AB466" i="57" s="1"/>
  <c r="X465" i="57"/>
  <c r="AD465" i="57" s="1"/>
  <c r="W465" i="57"/>
  <c r="AC465" i="57" s="1"/>
  <c r="V465" i="57"/>
  <c r="AB465" i="57" s="1"/>
  <c r="X464" i="57"/>
  <c r="AD464" i="57" s="1"/>
  <c r="W464" i="57"/>
  <c r="AC464" i="57" s="1"/>
  <c r="V464" i="57"/>
  <c r="AB464" i="57" s="1"/>
  <c r="X463" i="57"/>
  <c r="AD463" i="57" s="1"/>
  <c r="W463" i="57"/>
  <c r="AC463" i="57" s="1"/>
  <c r="V463" i="57"/>
  <c r="AB463" i="57" s="1"/>
  <c r="X462" i="57"/>
  <c r="AD462" i="57" s="1"/>
  <c r="W462" i="57"/>
  <c r="AC462" i="57" s="1"/>
  <c r="V462" i="57"/>
  <c r="AB462" i="57" s="1"/>
  <c r="X461" i="57"/>
  <c r="AD461" i="57" s="1"/>
  <c r="W461" i="57"/>
  <c r="AC461" i="57" s="1"/>
  <c r="V461" i="57"/>
  <c r="AB461" i="57" s="1"/>
  <c r="X460" i="57"/>
  <c r="AD460" i="57" s="1"/>
  <c r="W460" i="57"/>
  <c r="AC460" i="57" s="1"/>
  <c r="V460" i="57"/>
  <c r="AB460" i="57" s="1"/>
  <c r="X459" i="57"/>
  <c r="AD459" i="57" s="1"/>
  <c r="W459" i="57"/>
  <c r="AC459" i="57" s="1"/>
  <c r="V459" i="57"/>
  <c r="AB459" i="57" s="1"/>
  <c r="X458" i="57"/>
  <c r="AD458" i="57" s="1"/>
  <c r="W458" i="57"/>
  <c r="AC458" i="57" s="1"/>
  <c r="V458" i="57"/>
  <c r="AB458" i="57" s="1"/>
  <c r="X457" i="57"/>
  <c r="AD457" i="57" s="1"/>
  <c r="W457" i="57"/>
  <c r="AC457" i="57" s="1"/>
  <c r="V457" i="57"/>
  <c r="AB457" i="57" s="1"/>
  <c r="X456" i="57"/>
  <c r="AD456" i="57" s="1"/>
  <c r="W456" i="57"/>
  <c r="AC456" i="57" s="1"/>
  <c r="V456" i="57"/>
  <c r="AB456" i="57" s="1"/>
  <c r="X455" i="57"/>
  <c r="AD455" i="57" s="1"/>
  <c r="W455" i="57"/>
  <c r="AC455" i="57" s="1"/>
  <c r="V455" i="57"/>
  <c r="AB455" i="57" s="1"/>
  <c r="X454" i="57"/>
  <c r="AD454" i="57" s="1"/>
  <c r="W454" i="57"/>
  <c r="AC454" i="57" s="1"/>
  <c r="V454" i="57"/>
  <c r="AB454" i="57" s="1"/>
  <c r="X453" i="57"/>
  <c r="AD453" i="57" s="1"/>
  <c r="W453" i="57"/>
  <c r="AC453" i="57" s="1"/>
  <c r="V453" i="57"/>
  <c r="AB453" i="57" s="1"/>
  <c r="X452" i="57"/>
  <c r="AD452" i="57" s="1"/>
  <c r="W452" i="57"/>
  <c r="AC452" i="57" s="1"/>
  <c r="V452" i="57"/>
  <c r="AB452" i="57" s="1"/>
  <c r="X451" i="57"/>
  <c r="AD451" i="57" s="1"/>
  <c r="W451" i="57"/>
  <c r="AC451" i="57" s="1"/>
  <c r="V451" i="57"/>
  <c r="AB451" i="57" s="1"/>
  <c r="X450" i="57"/>
  <c r="AD450" i="57" s="1"/>
  <c r="W450" i="57"/>
  <c r="AC450" i="57" s="1"/>
  <c r="V450" i="57"/>
  <c r="AB450" i="57" s="1"/>
  <c r="X449" i="57"/>
  <c r="AD449" i="57" s="1"/>
  <c r="W449" i="57"/>
  <c r="AC449" i="57" s="1"/>
  <c r="V449" i="57"/>
  <c r="AB449" i="57" s="1"/>
  <c r="X448" i="57"/>
  <c r="AD448" i="57" s="1"/>
  <c r="W448" i="57"/>
  <c r="AC448" i="57" s="1"/>
  <c r="V448" i="57"/>
  <c r="AB448" i="57" s="1"/>
  <c r="X447" i="57"/>
  <c r="AD447" i="57" s="1"/>
  <c r="W447" i="57"/>
  <c r="AC447" i="57" s="1"/>
  <c r="V447" i="57"/>
  <c r="AB447" i="57" s="1"/>
  <c r="X446" i="57"/>
  <c r="AD446" i="57" s="1"/>
  <c r="W446" i="57"/>
  <c r="AC446" i="57" s="1"/>
  <c r="V446" i="57"/>
  <c r="AB446" i="57" s="1"/>
  <c r="X445" i="57"/>
  <c r="AD445" i="57" s="1"/>
  <c r="W445" i="57"/>
  <c r="AC445" i="57" s="1"/>
  <c r="V445" i="57"/>
  <c r="AB445" i="57" s="1"/>
  <c r="X444" i="57"/>
  <c r="AD444" i="57" s="1"/>
  <c r="W444" i="57"/>
  <c r="AC444" i="57" s="1"/>
  <c r="V444" i="57"/>
  <c r="AB444" i="57" s="1"/>
  <c r="X443" i="57"/>
  <c r="AD443" i="57" s="1"/>
  <c r="W443" i="57"/>
  <c r="AC443" i="57" s="1"/>
  <c r="V443" i="57"/>
  <c r="AB443" i="57" s="1"/>
  <c r="X442" i="57"/>
  <c r="AD442" i="57" s="1"/>
  <c r="W442" i="57"/>
  <c r="AC442" i="57" s="1"/>
  <c r="V442" i="57"/>
  <c r="AB442" i="57" s="1"/>
  <c r="X441" i="57"/>
  <c r="AD441" i="57" s="1"/>
  <c r="W441" i="57"/>
  <c r="AC441" i="57" s="1"/>
  <c r="V441" i="57"/>
  <c r="AB441" i="57" s="1"/>
  <c r="X440" i="57"/>
  <c r="AD440" i="57" s="1"/>
  <c r="W440" i="57"/>
  <c r="AC440" i="57" s="1"/>
  <c r="V440" i="57"/>
  <c r="AB440" i="57" s="1"/>
  <c r="X439" i="57"/>
  <c r="AD439" i="57" s="1"/>
  <c r="W439" i="57"/>
  <c r="AC439" i="57" s="1"/>
  <c r="V439" i="57"/>
  <c r="AB439" i="57" s="1"/>
  <c r="X438" i="57"/>
  <c r="AD438" i="57" s="1"/>
  <c r="W438" i="57"/>
  <c r="AC438" i="57" s="1"/>
  <c r="V438" i="57"/>
  <c r="AB438" i="57" s="1"/>
  <c r="X437" i="57"/>
  <c r="AD437" i="57" s="1"/>
  <c r="W437" i="57"/>
  <c r="AC437" i="57" s="1"/>
  <c r="V437" i="57"/>
  <c r="AB437" i="57" s="1"/>
  <c r="X436" i="57"/>
  <c r="AD436" i="57" s="1"/>
  <c r="W436" i="57"/>
  <c r="AC436" i="57" s="1"/>
  <c r="V436" i="57"/>
  <c r="AB436" i="57" s="1"/>
  <c r="X435" i="57"/>
  <c r="AD435" i="57" s="1"/>
  <c r="W435" i="57"/>
  <c r="AC435" i="57" s="1"/>
  <c r="V435" i="57"/>
  <c r="AB435" i="57" s="1"/>
  <c r="X434" i="57"/>
  <c r="AD434" i="57" s="1"/>
  <c r="W434" i="57"/>
  <c r="AC434" i="57" s="1"/>
  <c r="V434" i="57"/>
  <c r="AB434" i="57" s="1"/>
  <c r="X433" i="57"/>
  <c r="AD433" i="57" s="1"/>
  <c r="W433" i="57"/>
  <c r="AC433" i="57" s="1"/>
  <c r="V433" i="57"/>
  <c r="AB433" i="57" s="1"/>
  <c r="X432" i="57"/>
  <c r="AD432" i="57" s="1"/>
  <c r="W432" i="57"/>
  <c r="AC432" i="57" s="1"/>
  <c r="V432" i="57"/>
  <c r="AB432" i="57" s="1"/>
  <c r="X431" i="57"/>
  <c r="AD431" i="57" s="1"/>
  <c r="W431" i="57"/>
  <c r="AC431" i="57" s="1"/>
  <c r="V431" i="57"/>
  <c r="AB431" i="57" s="1"/>
  <c r="X430" i="57"/>
  <c r="AD430" i="57" s="1"/>
  <c r="W430" i="57"/>
  <c r="AC430" i="57" s="1"/>
  <c r="V430" i="57"/>
  <c r="AB430" i="57" s="1"/>
  <c r="X429" i="57"/>
  <c r="AD429" i="57" s="1"/>
  <c r="W429" i="57"/>
  <c r="AC429" i="57" s="1"/>
  <c r="V429" i="57"/>
  <c r="AB429" i="57" s="1"/>
  <c r="X428" i="57"/>
  <c r="AD428" i="57" s="1"/>
  <c r="W428" i="57"/>
  <c r="AC428" i="57" s="1"/>
  <c r="V428" i="57"/>
  <c r="AB428" i="57" s="1"/>
  <c r="X427" i="57"/>
  <c r="AD427" i="57" s="1"/>
  <c r="W427" i="57"/>
  <c r="AC427" i="57" s="1"/>
  <c r="V427" i="57"/>
  <c r="AB427" i="57" s="1"/>
  <c r="X426" i="57"/>
  <c r="AD426" i="57" s="1"/>
  <c r="W426" i="57"/>
  <c r="AC426" i="57" s="1"/>
  <c r="V426" i="57"/>
  <c r="AB426" i="57" s="1"/>
  <c r="X425" i="57"/>
  <c r="AD425" i="57" s="1"/>
  <c r="W425" i="57"/>
  <c r="AC425" i="57" s="1"/>
  <c r="V425" i="57"/>
  <c r="AB425" i="57" s="1"/>
  <c r="X424" i="57"/>
  <c r="AD424" i="57" s="1"/>
  <c r="W424" i="57"/>
  <c r="AC424" i="57" s="1"/>
  <c r="V424" i="57"/>
  <c r="AB424" i="57" s="1"/>
  <c r="X423" i="57"/>
  <c r="AD423" i="57" s="1"/>
  <c r="W423" i="57"/>
  <c r="AC423" i="57" s="1"/>
  <c r="V423" i="57"/>
  <c r="AB423" i="57" s="1"/>
  <c r="X422" i="57"/>
  <c r="AD422" i="57" s="1"/>
  <c r="W422" i="57"/>
  <c r="AC422" i="57" s="1"/>
  <c r="V422" i="57"/>
  <c r="AB422" i="57" s="1"/>
  <c r="X421" i="57"/>
  <c r="AD421" i="57" s="1"/>
  <c r="W421" i="57"/>
  <c r="AC421" i="57" s="1"/>
  <c r="V421" i="57"/>
  <c r="AB421" i="57" s="1"/>
  <c r="X420" i="57"/>
  <c r="AD420" i="57" s="1"/>
  <c r="W420" i="57"/>
  <c r="AC420" i="57" s="1"/>
  <c r="V420" i="57"/>
  <c r="AB420" i="57" s="1"/>
  <c r="X419" i="57"/>
  <c r="AD419" i="57" s="1"/>
  <c r="W419" i="57"/>
  <c r="AC419" i="57" s="1"/>
  <c r="V419" i="57"/>
  <c r="AB419" i="57" s="1"/>
  <c r="X418" i="57"/>
  <c r="AD418" i="57" s="1"/>
  <c r="W418" i="57"/>
  <c r="AC418" i="57" s="1"/>
  <c r="V418" i="57"/>
  <c r="AB418" i="57" s="1"/>
  <c r="X417" i="57"/>
  <c r="AD417" i="57" s="1"/>
  <c r="W417" i="57"/>
  <c r="AC417" i="57" s="1"/>
  <c r="V417" i="57"/>
  <c r="AB417" i="57" s="1"/>
  <c r="X416" i="57"/>
  <c r="AD416" i="57" s="1"/>
  <c r="W416" i="57"/>
  <c r="AC416" i="57" s="1"/>
  <c r="V416" i="57"/>
  <c r="AB416" i="57" s="1"/>
  <c r="X415" i="57"/>
  <c r="AD415" i="57" s="1"/>
  <c r="W415" i="57"/>
  <c r="AC415" i="57" s="1"/>
  <c r="V415" i="57"/>
  <c r="AB415" i="57" s="1"/>
  <c r="X414" i="57"/>
  <c r="AD414" i="57" s="1"/>
  <c r="W414" i="57"/>
  <c r="AC414" i="57" s="1"/>
  <c r="V414" i="57"/>
  <c r="AB414" i="57" s="1"/>
  <c r="X413" i="57"/>
  <c r="AD413" i="57" s="1"/>
  <c r="W413" i="57"/>
  <c r="AC413" i="57" s="1"/>
  <c r="V413" i="57"/>
  <c r="AB413" i="57" s="1"/>
  <c r="X412" i="57"/>
  <c r="AD412" i="57" s="1"/>
  <c r="W412" i="57"/>
  <c r="AC412" i="57" s="1"/>
  <c r="V412" i="57"/>
  <c r="AB412" i="57" s="1"/>
  <c r="X411" i="57"/>
  <c r="AD411" i="57" s="1"/>
  <c r="W411" i="57"/>
  <c r="AC411" i="57" s="1"/>
  <c r="V411" i="57"/>
  <c r="AB411" i="57" s="1"/>
  <c r="X410" i="57"/>
  <c r="AD410" i="57" s="1"/>
  <c r="W410" i="57"/>
  <c r="AC410" i="57" s="1"/>
  <c r="V410" i="57"/>
  <c r="AB410" i="57" s="1"/>
  <c r="X409" i="57"/>
  <c r="AD409" i="57" s="1"/>
  <c r="W409" i="57"/>
  <c r="AC409" i="57" s="1"/>
  <c r="V409" i="57"/>
  <c r="AB409" i="57" s="1"/>
  <c r="X408" i="57"/>
  <c r="AD408" i="57" s="1"/>
  <c r="W408" i="57"/>
  <c r="AC408" i="57" s="1"/>
  <c r="V408" i="57"/>
  <c r="AB408" i="57" s="1"/>
  <c r="X407" i="57"/>
  <c r="AD407" i="57" s="1"/>
  <c r="W407" i="57"/>
  <c r="AC407" i="57" s="1"/>
  <c r="V407" i="57"/>
  <c r="AB407" i="57" s="1"/>
  <c r="X406" i="57"/>
  <c r="AD406" i="57" s="1"/>
  <c r="W406" i="57"/>
  <c r="AC406" i="57" s="1"/>
  <c r="V406" i="57"/>
  <c r="AB406" i="57" s="1"/>
  <c r="X405" i="57"/>
  <c r="AD405" i="57" s="1"/>
  <c r="W405" i="57"/>
  <c r="AC405" i="57" s="1"/>
  <c r="V405" i="57"/>
  <c r="AB405" i="57" s="1"/>
  <c r="X404" i="57"/>
  <c r="AD404" i="57" s="1"/>
  <c r="W404" i="57"/>
  <c r="AC404" i="57" s="1"/>
  <c r="V404" i="57"/>
  <c r="AB404" i="57" s="1"/>
  <c r="X403" i="57"/>
  <c r="AD403" i="57" s="1"/>
  <c r="W403" i="57"/>
  <c r="AC403" i="57" s="1"/>
  <c r="V403" i="57"/>
  <c r="AB403" i="57" s="1"/>
  <c r="X402" i="57"/>
  <c r="AD402" i="57" s="1"/>
  <c r="W402" i="57"/>
  <c r="AC402" i="57" s="1"/>
  <c r="V402" i="57"/>
  <c r="AB402" i="57" s="1"/>
  <c r="X401" i="57"/>
  <c r="AD401" i="57" s="1"/>
  <c r="W401" i="57"/>
  <c r="AC401" i="57" s="1"/>
  <c r="V401" i="57"/>
  <c r="AB401" i="57" s="1"/>
  <c r="X400" i="57"/>
  <c r="AD400" i="57" s="1"/>
  <c r="W400" i="57"/>
  <c r="AC400" i="57" s="1"/>
  <c r="V400" i="57"/>
  <c r="AB400" i="57" s="1"/>
  <c r="X399" i="57"/>
  <c r="AD399" i="57" s="1"/>
  <c r="W399" i="57"/>
  <c r="AC399" i="57" s="1"/>
  <c r="V399" i="57"/>
  <c r="AB399" i="57" s="1"/>
  <c r="X398" i="57"/>
  <c r="AD398" i="57" s="1"/>
  <c r="W398" i="57"/>
  <c r="AC398" i="57" s="1"/>
  <c r="V398" i="57"/>
  <c r="AB398" i="57" s="1"/>
  <c r="X397" i="57"/>
  <c r="AD397" i="57" s="1"/>
  <c r="W397" i="57"/>
  <c r="AC397" i="57" s="1"/>
  <c r="V397" i="57"/>
  <c r="AB397" i="57" s="1"/>
  <c r="X396" i="57"/>
  <c r="AD396" i="57" s="1"/>
  <c r="W396" i="57"/>
  <c r="AC396" i="57" s="1"/>
  <c r="V396" i="57"/>
  <c r="AB396" i="57" s="1"/>
  <c r="X395" i="57"/>
  <c r="AD395" i="57" s="1"/>
  <c r="W395" i="57"/>
  <c r="AC395" i="57" s="1"/>
  <c r="V395" i="57"/>
  <c r="AB395" i="57" s="1"/>
  <c r="X394" i="57"/>
  <c r="AD394" i="57" s="1"/>
  <c r="W394" i="57"/>
  <c r="AC394" i="57" s="1"/>
  <c r="V394" i="57"/>
  <c r="AB394" i="57" s="1"/>
  <c r="X393" i="57"/>
  <c r="AD393" i="57" s="1"/>
  <c r="W393" i="57"/>
  <c r="AC393" i="57" s="1"/>
  <c r="V393" i="57"/>
  <c r="AB393" i="57" s="1"/>
  <c r="X392" i="57"/>
  <c r="AD392" i="57" s="1"/>
  <c r="W392" i="57"/>
  <c r="AC392" i="57" s="1"/>
  <c r="V392" i="57"/>
  <c r="AB392" i="57" s="1"/>
  <c r="X391" i="57"/>
  <c r="AD391" i="57" s="1"/>
  <c r="W391" i="57"/>
  <c r="AC391" i="57" s="1"/>
  <c r="V391" i="57"/>
  <c r="AB391" i="57" s="1"/>
  <c r="X390" i="57"/>
  <c r="AD390" i="57" s="1"/>
  <c r="W390" i="57"/>
  <c r="AC390" i="57" s="1"/>
  <c r="V390" i="57"/>
  <c r="AB390" i="57" s="1"/>
  <c r="X389" i="57"/>
  <c r="AD389" i="57" s="1"/>
  <c r="W389" i="57"/>
  <c r="AC389" i="57" s="1"/>
  <c r="V389" i="57"/>
  <c r="AB389" i="57" s="1"/>
  <c r="X388" i="57"/>
  <c r="AD388" i="57" s="1"/>
  <c r="W388" i="57"/>
  <c r="AC388" i="57" s="1"/>
  <c r="V388" i="57"/>
  <c r="AB388" i="57" s="1"/>
  <c r="X387" i="57"/>
  <c r="AD387" i="57" s="1"/>
  <c r="W387" i="57"/>
  <c r="AC387" i="57" s="1"/>
  <c r="V387" i="57"/>
  <c r="AB387" i="57" s="1"/>
  <c r="X386" i="57"/>
  <c r="AD386" i="57" s="1"/>
  <c r="W386" i="57"/>
  <c r="AC386" i="57" s="1"/>
  <c r="V386" i="57"/>
  <c r="AB386" i="57" s="1"/>
  <c r="X385" i="57"/>
  <c r="AD385" i="57" s="1"/>
  <c r="W385" i="57"/>
  <c r="AC385" i="57" s="1"/>
  <c r="V385" i="57"/>
  <c r="AB385" i="57" s="1"/>
  <c r="X384" i="57"/>
  <c r="AD384" i="57" s="1"/>
  <c r="W384" i="57"/>
  <c r="AC384" i="57" s="1"/>
  <c r="V384" i="57"/>
  <c r="AB384" i="57" s="1"/>
  <c r="X383" i="57"/>
  <c r="AD383" i="57" s="1"/>
  <c r="W383" i="57"/>
  <c r="AC383" i="57" s="1"/>
  <c r="V383" i="57"/>
  <c r="AB383" i="57" s="1"/>
  <c r="X382" i="57"/>
  <c r="AD382" i="57" s="1"/>
  <c r="W382" i="57"/>
  <c r="AC382" i="57" s="1"/>
  <c r="V382" i="57"/>
  <c r="AB382" i="57" s="1"/>
  <c r="X381" i="57"/>
  <c r="AD381" i="57" s="1"/>
  <c r="W381" i="57"/>
  <c r="AC381" i="57" s="1"/>
  <c r="V381" i="57"/>
  <c r="AB381" i="57" s="1"/>
  <c r="X380" i="57"/>
  <c r="AD380" i="57" s="1"/>
  <c r="W380" i="57"/>
  <c r="AC380" i="57" s="1"/>
  <c r="V380" i="57"/>
  <c r="AB380" i="57" s="1"/>
  <c r="X379" i="57"/>
  <c r="AD379" i="57" s="1"/>
  <c r="W379" i="57"/>
  <c r="AC379" i="57" s="1"/>
  <c r="V379" i="57"/>
  <c r="AB379" i="57" s="1"/>
  <c r="X378" i="57"/>
  <c r="AD378" i="57" s="1"/>
  <c r="W378" i="57"/>
  <c r="AC378" i="57" s="1"/>
  <c r="V378" i="57"/>
  <c r="AB378" i="57" s="1"/>
  <c r="X377" i="57"/>
  <c r="AD377" i="57" s="1"/>
  <c r="W377" i="57"/>
  <c r="AC377" i="57" s="1"/>
  <c r="V377" i="57"/>
  <c r="AB377" i="57" s="1"/>
  <c r="X376" i="57"/>
  <c r="AD376" i="57" s="1"/>
  <c r="W376" i="57"/>
  <c r="AC376" i="57" s="1"/>
  <c r="V376" i="57"/>
  <c r="AB376" i="57" s="1"/>
  <c r="X375" i="57"/>
  <c r="AD375" i="57" s="1"/>
  <c r="W375" i="57"/>
  <c r="AC375" i="57" s="1"/>
  <c r="V375" i="57"/>
  <c r="AB375" i="57" s="1"/>
  <c r="X374" i="57"/>
  <c r="AD374" i="57" s="1"/>
  <c r="W374" i="57"/>
  <c r="AC374" i="57" s="1"/>
  <c r="V374" i="57"/>
  <c r="AB374" i="57" s="1"/>
  <c r="X373" i="57"/>
  <c r="AD373" i="57" s="1"/>
  <c r="W373" i="57"/>
  <c r="AC373" i="57" s="1"/>
  <c r="V373" i="57"/>
  <c r="AB373" i="57" s="1"/>
  <c r="X372" i="57"/>
  <c r="AD372" i="57" s="1"/>
  <c r="W372" i="57"/>
  <c r="AC372" i="57" s="1"/>
  <c r="V372" i="57"/>
  <c r="AB372" i="57" s="1"/>
  <c r="X371" i="57"/>
  <c r="AD371" i="57" s="1"/>
  <c r="W371" i="57"/>
  <c r="AC371" i="57" s="1"/>
  <c r="V371" i="57"/>
  <c r="AB371" i="57" s="1"/>
  <c r="X370" i="57"/>
  <c r="AD370" i="57" s="1"/>
  <c r="W370" i="57"/>
  <c r="AC370" i="57" s="1"/>
  <c r="V370" i="57"/>
  <c r="AB370" i="57" s="1"/>
  <c r="X369" i="57"/>
  <c r="AD369" i="57" s="1"/>
  <c r="W369" i="57"/>
  <c r="AC369" i="57" s="1"/>
  <c r="V369" i="57"/>
  <c r="AB369" i="57" s="1"/>
  <c r="X368" i="57"/>
  <c r="AD368" i="57" s="1"/>
  <c r="W368" i="57"/>
  <c r="AC368" i="57" s="1"/>
  <c r="V368" i="57"/>
  <c r="AB368" i="57" s="1"/>
  <c r="X367" i="57"/>
  <c r="AD367" i="57" s="1"/>
  <c r="W367" i="57"/>
  <c r="AC367" i="57" s="1"/>
  <c r="V367" i="57"/>
  <c r="AB367" i="57" s="1"/>
  <c r="X366" i="57"/>
  <c r="AD366" i="57" s="1"/>
  <c r="W366" i="57"/>
  <c r="AC366" i="57" s="1"/>
  <c r="V366" i="57"/>
  <c r="AB366" i="57" s="1"/>
  <c r="X365" i="57"/>
  <c r="AD365" i="57" s="1"/>
  <c r="W365" i="57"/>
  <c r="AC365" i="57" s="1"/>
  <c r="V365" i="57"/>
  <c r="AB365" i="57" s="1"/>
  <c r="X364" i="57"/>
  <c r="AD364" i="57" s="1"/>
  <c r="W364" i="57"/>
  <c r="AC364" i="57" s="1"/>
  <c r="V364" i="57"/>
  <c r="AB364" i="57" s="1"/>
  <c r="X363" i="57"/>
  <c r="AD363" i="57" s="1"/>
  <c r="W363" i="57"/>
  <c r="AC363" i="57" s="1"/>
  <c r="V363" i="57"/>
  <c r="AB363" i="57" s="1"/>
  <c r="X362" i="57"/>
  <c r="AD362" i="57" s="1"/>
  <c r="W362" i="57"/>
  <c r="AC362" i="57" s="1"/>
  <c r="V362" i="57"/>
  <c r="AB362" i="57" s="1"/>
  <c r="X361" i="57"/>
  <c r="AD361" i="57" s="1"/>
  <c r="W361" i="57"/>
  <c r="AC361" i="57" s="1"/>
  <c r="V361" i="57"/>
  <c r="AB361" i="57" s="1"/>
  <c r="X360" i="57"/>
  <c r="AD360" i="57" s="1"/>
  <c r="W360" i="57"/>
  <c r="AC360" i="57" s="1"/>
  <c r="V360" i="57"/>
  <c r="AB360" i="57" s="1"/>
  <c r="X359" i="57"/>
  <c r="AD359" i="57" s="1"/>
  <c r="W359" i="57"/>
  <c r="AC359" i="57" s="1"/>
  <c r="V359" i="57"/>
  <c r="AB359" i="57" s="1"/>
  <c r="X358" i="57"/>
  <c r="AD358" i="57" s="1"/>
  <c r="W358" i="57"/>
  <c r="AC358" i="57" s="1"/>
  <c r="V358" i="57"/>
  <c r="AB358" i="57" s="1"/>
  <c r="X357" i="57"/>
  <c r="AD357" i="57" s="1"/>
  <c r="W357" i="57"/>
  <c r="AC357" i="57" s="1"/>
  <c r="V357" i="57"/>
  <c r="AB357" i="57" s="1"/>
  <c r="X356" i="57"/>
  <c r="AD356" i="57" s="1"/>
  <c r="W356" i="57"/>
  <c r="AC356" i="57" s="1"/>
  <c r="V356" i="57"/>
  <c r="AB356" i="57" s="1"/>
  <c r="X355" i="57"/>
  <c r="AD355" i="57" s="1"/>
  <c r="W355" i="57"/>
  <c r="AC355" i="57" s="1"/>
  <c r="V355" i="57"/>
  <c r="AB355" i="57" s="1"/>
  <c r="X354" i="57"/>
  <c r="AD354" i="57" s="1"/>
  <c r="W354" i="57"/>
  <c r="AC354" i="57" s="1"/>
  <c r="V354" i="57"/>
  <c r="AB354" i="57" s="1"/>
  <c r="X353" i="57"/>
  <c r="AD353" i="57" s="1"/>
  <c r="W353" i="57"/>
  <c r="AC353" i="57" s="1"/>
  <c r="V353" i="57"/>
  <c r="AB353" i="57" s="1"/>
  <c r="X352" i="57"/>
  <c r="AD352" i="57" s="1"/>
  <c r="W352" i="57"/>
  <c r="AC352" i="57" s="1"/>
  <c r="V352" i="57"/>
  <c r="AB352" i="57" s="1"/>
  <c r="X351" i="57"/>
  <c r="AD351" i="57" s="1"/>
  <c r="W351" i="57"/>
  <c r="AC351" i="57" s="1"/>
  <c r="V351" i="57"/>
  <c r="AB351" i="57" s="1"/>
  <c r="X350" i="57"/>
  <c r="AD350" i="57" s="1"/>
  <c r="W350" i="57"/>
  <c r="AC350" i="57" s="1"/>
  <c r="V350" i="57"/>
  <c r="AB350" i="57" s="1"/>
  <c r="X349" i="57"/>
  <c r="AD349" i="57" s="1"/>
  <c r="W349" i="57"/>
  <c r="AC349" i="57" s="1"/>
  <c r="V349" i="57"/>
  <c r="AB349" i="57" s="1"/>
  <c r="X348" i="57"/>
  <c r="AD348" i="57" s="1"/>
  <c r="W348" i="57"/>
  <c r="AC348" i="57" s="1"/>
  <c r="V348" i="57"/>
  <c r="AB348" i="57" s="1"/>
  <c r="X347" i="57"/>
  <c r="AD347" i="57" s="1"/>
  <c r="W347" i="57"/>
  <c r="AC347" i="57" s="1"/>
  <c r="V347" i="57"/>
  <c r="AB347" i="57" s="1"/>
  <c r="X346" i="57"/>
  <c r="AD346" i="57" s="1"/>
  <c r="W346" i="57"/>
  <c r="AC346" i="57" s="1"/>
  <c r="V346" i="57"/>
  <c r="AB346" i="57" s="1"/>
  <c r="X345" i="57"/>
  <c r="AD345" i="57" s="1"/>
  <c r="W345" i="57"/>
  <c r="AC345" i="57" s="1"/>
  <c r="V345" i="57"/>
  <c r="AB345" i="57" s="1"/>
  <c r="X344" i="57"/>
  <c r="AD344" i="57" s="1"/>
  <c r="W344" i="57"/>
  <c r="AC344" i="57" s="1"/>
  <c r="V344" i="57"/>
  <c r="AB344" i="57" s="1"/>
  <c r="X343" i="57"/>
  <c r="AD343" i="57" s="1"/>
  <c r="W343" i="57"/>
  <c r="AC343" i="57" s="1"/>
  <c r="V343" i="57"/>
  <c r="AB343" i="57" s="1"/>
  <c r="X342" i="57"/>
  <c r="AD342" i="57" s="1"/>
  <c r="W342" i="57"/>
  <c r="AC342" i="57" s="1"/>
  <c r="V342" i="57"/>
  <c r="AB342" i="57" s="1"/>
  <c r="X341" i="57"/>
  <c r="AD341" i="57" s="1"/>
  <c r="W341" i="57"/>
  <c r="AC341" i="57" s="1"/>
  <c r="V341" i="57"/>
  <c r="AB341" i="57" s="1"/>
  <c r="X340" i="57"/>
  <c r="AD340" i="57" s="1"/>
  <c r="W340" i="57"/>
  <c r="AC340" i="57" s="1"/>
  <c r="V340" i="57"/>
  <c r="AB340" i="57" s="1"/>
  <c r="X339" i="57"/>
  <c r="AD339" i="57" s="1"/>
  <c r="W339" i="57"/>
  <c r="AC339" i="57" s="1"/>
  <c r="V339" i="57"/>
  <c r="AB339" i="57" s="1"/>
  <c r="X338" i="57"/>
  <c r="AD338" i="57" s="1"/>
  <c r="W338" i="57"/>
  <c r="AC338" i="57" s="1"/>
  <c r="V338" i="57"/>
  <c r="AB338" i="57" s="1"/>
  <c r="X337" i="57"/>
  <c r="AD337" i="57" s="1"/>
  <c r="W337" i="57"/>
  <c r="AC337" i="57" s="1"/>
  <c r="V337" i="57"/>
  <c r="AB337" i="57" s="1"/>
  <c r="X336" i="57"/>
  <c r="AD336" i="57" s="1"/>
  <c r="W336" i="57"/>
  <c r="AC336" i="57" s="1"/>
  <c r="V336" i="57"/>
  <c r="AB336" i="57" s="1"/>
  <c r="X335" i="57"/>
  <c r="AD335" i="57" s="1"/>
  <c r="W335" i="57"/>
  <c r="AC335" i="57" s="1"/>
  <c r="V335" i="57"/>
  <c r="AB335" i="57" s="1"/>
  <c r="X334" i="57"/>
  <c r="AD334" i="57" s="1"/>
  <c r="W334" i="57"/>
  <c r="AC334" i="57" s="1"/>
  <c r="V334" i="57"/>
  <c r="AB334" i="57" s="1"/>
  <c r="X333" i="57"/>
  <c r="AD333" i="57" s="1"/>
  <c r="W333" i="57"/>
  <c r="AC333" i="57" s="1"/>
  <c r="V333" i="57"/>
  <c r="AB333" i="57" s="1"/>
  <c r="X332" i="57"/>
  <c r="AD332" i="57" s="1"/>
  <c r="W332" i="57"/>
  <c r="AC332" i="57" s="1"/>
  <c r="V332" i="57"/>
  <c r="AB332" i="57" s="1"/>
  <c r="X331" i="57"/>
  <c r="AD331" i="57" s="1"/>
  <c r="W331" i="57"/>
  <c r="AC331" i="57" s="1"/>
  <c r="V331" i="57"/>
  <c r="AB331" i="57" s="1"/>
  <c r="X330" i="57"/>
  <c r="AD330" i="57" s="1"/>
  <c r="W330" i="57"/>
  <c r="AC330" i="57" s="1"/>
  <c r="V330" i="57"/>
  <c r="AB330" i="57" s="1"/>
  <c r="X329" i="57"/>
  <c r="AD329" i="57" s="1"/>
  <c r="W329" i="57"/>
  <c r="AC329" i="57" s="1"/>
  <c r="V329" i="57"/>
  <c r="AB329" i="57" s="1"/>
  <c r="X328" i="57"/>
  <c r="AD328" i="57" s="1"/>
  <c r="W328" i="57"/>
  <c r="AC328" i="57" s="1"/>
  <c r="V328" i="57"/>
  <c r="AB328" i="57" s="1"/>
  <c r="X327" i="57"/>
  <c r="AD327" i="57" s="1"/>
  <c r="W327" i="57"/>
  <c r="AC327" i="57" s="1"/>
  <c r="V327" i="57"/>
  <c r="AB327" i="57" s="1"/>
  <c r="X326" i="57"/>
  <c r="AD326" i="57" s="1"/>
  <c r="W326" i="57"/>
  <c r="AC326" i="57" s="1"/>
  <c r="V326" i="57"/>
  <c r="AB326" i="57" s="1"/>
  <c r="X325" i="57"/>
  <c r="AD325" i="57" s="1"/>
  <c r="W325" i="57"/>
  <c r="AC325" i="57" s="1"/>
  <c r="V325" i="57"/>
  <c r="AB325" i="57" s="1"/>
  <c r="X324" i="57"/>
  <c r="AD324" i="57" s="1"/>
  <c r="W324" i="57"/>
  <c r="AC324" i="57" s="1"/>
  <c r="V324" i="57"/>
  <c r="AB324" i="57" s="1"/>
  <c r="X323" i="57"/>
  <c r="AD323" i="57" s="1"/>
  <c r="W323" i="57"/>
  <c r="AC323" i="57" s="1"/>
  <c r="V323" i="57"/>
  <c r="AB323" i="57" s="1"/>
  <c r="X322" i="57"/>
  <c r="AD322" i="57" s="1"/>
  <c r="W322" i="57"/>
  <c r="AC322" i="57" s="1"/>
  <c r="V322" i="57"/>
  <c r="AB322" i="57" s="1"/>
  <c r="X321" i="57"/>
  <c r="AD321" i="57" s="1"/>
  <c r="W321" i="57"/>
  <c r="AC321" i="57" s="1"/>
  <c r="V321" i="57"/>
  <c r="AB321" i="57" s="1"/>
  <c r="X320" i="57"/>
  <c r="AD320" i="57" s="1"/>
  <c r="W320" i="57"/>
  <c r="AC320" i="57" s="1"/>
  <c r="V320" i="57"/>
  <c r="AB320" i="57" s="1"/>
  <c r="X319" i="57"/>
  <c r="AD319" i="57" s="1"/>
  <c r="W319" i="57"/>
  <c r="AC319" i="57" s="1"/>
  <c r="V319" i="57"/>
  <c r="AB319" i="57" s="1"/>
  <c r="X318" i="57"/>
  <c r="AD318" i="57" s="1"/>
  <c r="W318" i="57"/>
  <c r="AC318" i="57" s="1"/>
  <c r="V318" i="57"/>
  <c r="AB318" i="57" s="1"/>
  <c r="X317" i="57"/>
  <c r="AD317" i="57" s="1"/>
  <c r="W317" i="57"/>
  <c r="AC317" i="57" s="1"/>
  <c r="V317" i="57"/>
  <c r="AB317" i="57" s="1"/>
  <c r="X316" i="57"/>
  <c r="AD316" i="57" s="1"/>
  <c r="W316" i="57"/>
  <c r="AC316" i="57" s="1"/>
  <c r="V316" i="57"/>
  <c r="AB316" i="57" s="1"/>
  <c r="X315" i="57"/>
  <c r="AD315" i="57" s="1"/>
  <c r="W315" i="57"/>
  <c r="AC315" i="57" s="1"/>
  <c r="V315" i="57"/>
  <c r="AB315" i="57" s="1"/>
  <c r="X314" i="57"/>
  <c r="AD314" i="57" s="1"/>
  <c r="W314" i="57"/>
  <c r="AC314" i="57" s="1"/>
  <c r="V314" i="57"/>
  <c r="AB314" i="57" s="1"/>
  <c r="X313" i="57"/>
  <c r="AD313" i="57" s="1"/>
  <c r="W313" i="57"/>
  <c r="AC313" i="57" s="1"/>
  <c r="V313" i="57"/>
  <c r="AB313" i="57" s="1"/>
  <c r="X312" i="57"/>
  <c r="AD312" i="57" s="1"/>
  <c r="W312" i="57"/>
  <c r="AC312" i="57" s="1"/>
  <c r="V312" i="57"/>
  <c r="AB312" i="57" s="1"/>
  <c r="X311" i="57"/>
  <c r="AD311" i="57" s="1"/>
  <c r="W311" i="57"/>
  <c r="AC311" i="57" s="1"/>
  <c r="V311" i="57"/>
  <c r="AB311" i="57" s="1"/>
  <c r="X310" i="57"/>
  <c r="AD310" i="57" s="1"/>
  <c r="W310" i="57"/>
  <c r="AC310" i="57" s="1"/>
  <c r="V310" i="57"/>
  <c r="AB310" i="57" s="1"/>
  <c r="X309" i="57"/>
  <c r="AD309" i="57" s="1"/>
  <c r="W309" i="57"/>
  <c r="AC309" i="57" s="1"/>
  <c r="V309" i="57"/>
  <c r="AB309" i="57" s="1"/>
  <c r="X308" i="57"/>
  <c r="AD308" i="57" s="1"/>
  <c r="W308" i="57"/>
  <c r="AC308" i="57" s="1"/>
  <c r="V308" i="57"/>
  <c r="AB308" i="57" s="1"/>
  <c r="X307" i="57"/>
  <c r="AD307" i="57" s="1"/>
  <c r="W307" i="57"/>
  <c r="AC307" i="57" s="1"/>
  <c r="V307" i="57"/>
  <c r="AB307" i="57" s="1"/>
  <c r="X306" i="57"/>
  <c r="AD306" i="57" s="1"/>
  <c r="W306" i="57"/>
  <c r="AC306" i="57" s="1"/>
  <c r="V306" i="57"/>
  <c r="AB306" i="57" s="1"/>
  <c r="X305" i="57"/>
  <c r="AD305" i="57" s="1"/>
  <c r="W305" i="57"/>
  <c r="AC305" i="57" s="1"/>
  <c r="V305" i="57"/>
  <c r="AB305" i="57" s="1"/>
  <c r="X304" i="57"/>
  <c r="AD304" i="57" s="1"/>
  <c r="W304" i="57"/>
  <c r="AC304" i="57" s="1"/>
  <c r="V304" i="57"/>
  <c r="AB304" i="57" s="1"/>
  <c r="X303" i="57"/>
  <c r="AD303" i="57" s="1"/>
  <c r="W303" i="57"/>
  <c r="AC303" i="57" s="1"/>
  <c r="V303" i="57"/>
  <c r="AB303" i="57" s="1"/>
  <c r="X302" i="57"/>
  <c r="AD302" i="57" s="1"/>
  <c r="W302" i="57"/>
  <c r="AC302" i="57" s="1"/>
  <c r="V302" i="57"/>
  <c r="AB302" i="57" s="1"/>
  <c r="X301" i="57"/>
  <c r="AD301" i="57" s="1"/>
  <c r="W301" i="57"/>
  <c r="AC301" i="57" s="1"/>
  <c r="V301" i="57"/>
  <c r="AB301" i="57" s="1"/>
  <c r="X300" i="57"/>
  <c r="AD300" i="57" s="1"/>
  <c r="W300" i="57"/>
  <c r="AC300" i="57" s="1"/>
  <c r="V300" i="57"/>
  <c r="AB300" i="57" s="1"/>
  <c r="X299" i="57"/>
  <c r="AD299" i="57" s="1"/>
  <c r="W299" i="57"/>
  <c r="AC299" i="57" s="1"/>
  <c r="V299" i="57"/>
  <c r="AB299" i="57" s="1"/>
  <c r="X298" i="57"/>
  <c r="AD298" i="57" s="1"/>
  <c r="W298" i="57"/>
  <c r="AC298" i="57" s="1"/>
  <c r="V298" i="57"/>
  <c r="AB298" i="57" s="1"/>
  <c r="X297" i="57"/>
  <c r="AD297" i="57" s="1"/>
  <c r="W297" i="57"/>
  <c r="AC297" i="57" s="1"/>
  <c r="V297" i="57"/>
  <c r="AB297" i="57" s="1"/>
  <c r="X296" i="57"/>
  <c r="AD296" i="57" s="1"/>
  <c r="W296" i="57"/>
  <c r="AC296" i="57" s="1"/>
  <c r="V296" i="57"/>
  <c r="AB296" i="57" s="1"/>
  <c r="X295" i="57"/>
  <c r="AD295" i="57" s="1"/>
  <c r="W295" i="57"/>
  <c r="AC295" i="57" s="1"/>
  <c r="V295" i="57"/>
  <c r="AB295" i="57" s="1"/>
  <c r="X294" i="57"/>
  <c r="AD294" i="57" s="1"/>
  <c r="W294" i="57"/>
  <c r="AC294" i="57" s="1"/>
  <c r="V294" i="57"/>
  <c r="AB294" i="57" s="1"/>
  <c r="X293" i="57"/>
  <c r="AD293" i="57" s="1"/>
  <c r="W293" i="57"/>
  <c r="AC293" i="57" s="1"/>
  <c r="V293" i="57"/>
  <c r="AB293" i="57" s="1"/>
  <c r="X292" i="57"/>
  <c r="AD292" i="57" s="1"/>
  <c r="W292" i="57"/>
  <c r="AC292" i="57" s="1"/>
  <c r="V292" i="57"/>
  <c r="AB292" i="57" s="1"/>
  <c r="X291" i="57"/>
  <c r="AD291" i="57" s="1"/>
  <c r="W291" i="57"/>
  <c r="AC291" i="57" s="1"/>
  <c r="V291" i="57"/>
  <c r="AB291" i="57" s="1"/>
  <c r="X290" i="57"/>
  <c r="AD290" i="57" s="1"/>
  <c r="W290" i="57"/>
  <c r="AC290" i="57" s="1"/>
  <c r="V290" i="57"/>
  <c r="AB290" i="57" s="1"/>
  <c r="X289" i="57"/>
  <c r="AD289" i="57" s="1"/>
  <c r="W289" i="57"/>
  <c r="AC289" i="57" s="1"/>
  <c r="V289" i="57"/>
  <c r="AB289" i="57" s="1"/>
  <c r="X288" i="57"/>
  <c r="AD288" i="57" s="1"/>
  <c r="W288" i="57"/>
  <c r="AC288" i="57" s="1"/>
  <c r="V288" i="57"/>
  <c r="AB288" i="57" s="1"/>
  <c r="X287" i="57"/>
  <c r="AD287" i="57" s="1"/>
  <c r="W287" i="57"/>
  <c r="AC287" i="57" s="1"/>
  <c r="V287" i="57"/>
  <c r="AB287" i="57" s="1"/>
  <c r="X286" i="57"/>
  <c r="AD286" i="57" s="1"/>
  <c r="W286" i="57"/>
  <c r="AC286" i="57" s="1"/>
  <c r="V286" i="57"/>
  <c r="AB286" i="57" s="1"/>
  <c r="X285" i="57"/>
  <c r="AD285" i="57" s="1"/>
  <c r="W285" i="57"/>
  <c r="AC285" i="57" s="1"/>
  <c r="V285" i="57"/>
  <c r="AB285" i="57" s="1"/>
  <c r="X284" i="57"/>
  <c r="AD284" i="57" s="1"/>
  <c r="W284" i="57"/>
  <c r="AC284" i="57" s="1"/>
  <c r="V284" i="57"/>
  <c r="AB284" i="57" s="1"/>
  <c r="X283" i="57"/>
  <c r="AD283" i="57" s="1"/>
  <c r="W283" i="57"/>
  <c r="AC283" i="57" s="1"/>
  <c r="V283" i="57"/>
  <c r="AB283" i="57" s="1"/>
  <c r="X282" i="57"/>
  <c r="AD282" i="57" s="1"/>
  <c r="W282" i="57"/>
  <c r="AC282" i="57" s="1"/>
  <c r="V282" i="57"/>
  <c r="AB282" i="57" s="1"/>
  <c r="X281" i="57"/>
  <c r="AD281" i="57" s="1"/>
  <c r="W281" i="57"/>
  <c r="AC281" i="57" s="1"/>
  <c r="V281" i="57"/>
  <c r="AB281" i="57" s="1"/>
  <c r="X280" i="57"/>
  <c r="AD280" i="57" s="1"/>
  <c r="W280" i="57"/>
  <c r="AC280" i="57" s="1"/>
  <c r="V280" i="57"/>
  <c r="AB280" i="57" s="1"/>
  <c r="X279" i="57"/>
  <c r="AD279" i="57" s="1"/>
  <c r="W279" i="57"/>
  <c r="AC279" i="57" s="1"/>
  <c r="V279" i="57"/>
  <c r="AB279" i="57" s="1"/>
  <c r="X278" i="57"/>
  <c r="AD278" i="57" s="1"/>
  <c r="W278" i="57"/>
  <c r="AC278" i="57" s="1"/>
  <c r="V278" i="57"/>
  <c r="AB278" i="57" s="1"/>
  <c r="X277" i="57"/>
  <c r="AD277" i="57" s="1"/>
  <c r="W277" i="57"/>
  <c r="AC277" i="57" s="1"/>
  <c r="V277" i="57"/>
  <c r="AB277" i="57" s="1"/>
  <c r="X276" i="57"/>
  <c r="AD276" i="57" s="1"/>
  <c r="W276" i="57"/>
  <c r="AC276" i="57" s="1"/>
  <c r="V276" i="57"/>
  <c r="AB276" i="57" s="1"/>
  <c r="X275" i="57"/>
  <c r="AD275" i="57" s="1"/>
  <c r="W275" i="57"/>
  <c r="AC275" i="57" s="1"/>
  <c r="V275" i="57"/>
  <c r="AB275" i="57" s="1"/>
  <c r="X274" i="57"/>
  <c r="AD274" i="57" s="1"/>
  <c r="W274" i="57"/>
  <c r="AC274" i="57" s="1"/>
  <c r="V274" i="57"/>
  <c r="AB274" i="57" s="1"/>
  <c r="X273" i="57"/>
  <c r="AD273" i="57" s="1"/>
  <c r="W273" i="57"/>
  <c r="AC273" i="57" s="1"/>
  <c r="V273" i="57"/>
  <c r="AB273" i="57" s="1"/>
  <c r="X272" i="57"/>
  <c r="AD272" i="57" s="1"/>
  <c r="W272" i="57"/>
  <c r="AC272" i="57" s="1"/>
  <c r="V272" i="57"/>
  <c r="AB272" i="57" s="1"/>
  <c r="X271" i="57"/>
  <c r="AD271" i="57" s="1"/>
  <c r="W271" i="57"/>
  <c r="AC271" i="57" s="1"/>
  <c r="V271" i="57"/>
  <c r="AB271" i="57" s="1"/>
  <c r="X270" i="57"/>
  <c r="AD270" i="57" s="1"/>
  <c r="W270" i="57"/>
  <c r="AC270" i="57" s="1"/>
  <c r="V270" i="57"/>
  <c r="AB270" i="57" s="1"/>
  <c r="X269" i="57"/>
  <c r="AD269" i="57" s="1"/>
  <c r="W269" i="57"/>
  <c r="AC269" i="57" s="1"/>
  <c r="V269" i="57"/>
  <c r="AB269" i="57" s="1"/>
  <c r="X268" i="57"/>
  <c r="AD268" i="57" s="1"/>
  <c r="W268" i="57"/>
  <c r="AC268" i="57" s="1"/>
  <c r="V268" i="57"/>
  <c r="AB268" i="57" s="1"/>
  <c r="X267" i="57"/>
  <c r="AD267" i="57" s="1"/>
  <c r="W267" i="57"/>
  <c r="AC267" i="57" s="1"/>
  <c r="V267" i="57"/>
  <c r="AB267" i="57" s="1"/>
  <c r="X266" i="57"/>
  <c r="AD266" i="57" s="1"/>
  <c r="W266" i="57"/>
  <c r="AC266" i="57" s="1"/>
  <c r="V266" i="57"/>
  <c r="AB266" i="57" s="1"/>
  <c r="X265" i="57"/>
  <c r="AD265" i="57" s="1"/>
  <c r="W265" i="57"/>
  <c r="AC265" i="57" s="1"/>
  <c r="V265" i="57"/>
  <c r="AB265" i="57" s="1"/>
  <c r="X264" i="57"/>
  <c r="AD264" i="57" s="1"/>
  <c r="W264" i="57"/>
  <c r="AC264" i="57" s="1"/>
  <c r="V264" i="57"/>
  <c r="AB264" i="57" s="1"/>
  <c r="X263" i="57"/>
  <c r="AD263" i="57" s="1"/>
  <c r="W263" i="57"/>
  <c r="AC263" i="57" s="1"/>
  <c r="V263" i="57"/>
  <c r="AB263" i="57" s="1"/>
  <c r="X262" i="57"/>
  <c r="AD262" i="57" s="1"/>
  <c r="W262" i="57"/>
  <c r="AC262" i="57" s="1"/>
  <c r="V262" i="57"/>
  <c r="AB262" i="57" s="1"/>
  <c r="X261" i="57"/>
  <c r="AD261" i="57" s="1"/>
  <c r="W261" i="57"/>
  <c r="AC261" i="57" s="1"/>
  <c r="V261" i="57"/>
  <c r="AB261" i="57" s="1"/>
  <c r="X260" i="57"/>
  <c r="AD260" i="57" s="1"/>
  <c r="W260" i="57"/>
  <c r="AC260" i="57" s="1"/>
  <c r="V260" i="57"/>
  <c r="AB260" i="57" s="1"/>
  <c r="X259" i="57"/>
  <c r="AD259" i="57" s="1"/>
  <c r="W259" i="57"/>
  <c r="AC259" i="57" s="1"/>
  <c r="V259" i="57"/>
  <c r="AB259" i="57" s="1"/>
  <c r="X258" i="57"/>
  <c r="AD258" i="57" s="1"/>
  <c r="W258" i="57"/>
  <c r="AC258" i="57" s="1"/>
  <c r="V258" i="57"/>
  <c r="AB258" i="57" s="1"/>
  <c r="X257" i="57"/>
  <c r="AD257" i="57" s="1"/>
  <c r="W257" i="57"/>
  <c r="AC257" i="57" s="1"/>
  <c r="V257" i="57"/>
  <c r="AB257" i="57" s="1"/>
  <c r="X256" i="57"/>
  <c r="AD256" i="57" s="1"/>
  <c r="W256" i="57"/>
  <c r="AC256" i="57" s="1"/>
  <c r="V256" i="57"/>
  <c r="AB256" i="57" s="1"/>
  <c r="X255" i="57"/>
  <c r="AD255" i="57" s="1"/>
  <c r="W255" i="57"/>
  <c r="AC255" i="57" s="1"/>
  <c r="V255" i="57"/>
  <c r="AB255" i="57" s="1"/>
  <c r="X254" i="57"/>
  <c r="AD254" i="57" s="1"/>
  <c r="W254" i="57"/>
  <c r="AC254" i="57" s="1"/>
  <c r="V254" i="57"/>
  <c r="AB254" i="57" s="1"/>
  <c r="X253" i="57"/>
  <c r="AD253" i="57" s="1"/>
  <c r="W253" i="57"/>
  <c r="AC253" i="57" s="1"/>
  <c r="V253" i="57"/>
  <c r="AB253" i="57" s="1"/>
  <c r="X252" i="57"/>
  <c r="AD252" i="57" s="1"/>
  <c r="W252" i="57"/>
  <c r="AC252" i="57" s="1"/>
  <c r="V252" i="57"/>
  <c r="AB252" i="57" s="1"/>
  <c r="X251" i="57"/>
  <c r="AD251" i="57" s="1"/>
  <c r="W251" i="57"/>
  <c r="AC251" i="57" s="1"/>
  <c r="V251" i="57"/>
  <c r="AB251" i="57" s="1"/>
  <c r="X250" i="57"/>
  <c r="AD250" i="57" s="1"/>
  <c r="W250" i="57"/>
  <c r="AC250" i="57" s="1"/>
  <c r="V250" i="57"/>
  <c r="AB250" i="57" s="1"/>
  <c r="X249" i="57"/>
  <c r="AD249" i="57" s="1"/>
  <c r="W249" i="57"/>
  <c r="AC249" i="57" s="1"/>
  <c r="V249" i="57"/>
  <c r="AB249" i="57" s="1"/>
  <c r="X248" i="57"/>
  <c r="AD248" i="57" s="1"/>
  <c r="W248" i="57"/>
  <c r="AC248" i="57" s="1"/>
  <c r="V248" i="57"/>
  <c r="AB248" i="57" s="1"/>
  <c r="X247" i="57"/>
  <c r="AD247" i="57" s="1"/>
  <c r="W247" i="57"/>
  <c r="AC247" i="57" s="1"/>
  <c r="V247" i="57"/>
  <c r="AB247" i="57" s="1"/>
  <c r="X246" i="57"/>
  <c r="AD246" i="57" s="1"/>
  <c r="W246" i="57"/>
  <c r="AC246" i="57" s="1"/>
  <c r="V246" i="57"/>
  <c r="AB246" i="57" s="1"/>
  <c r="X245" i="57"/>
  <c r="AD245" i="57" s="1"/>
  <c r="W245" i="57"/>
  <c r="AC245" i="57" s="1"/>
  <c r="V245" i="57"/>
  <c r="AB245" i="57" s="1"/>
  <c r="X244" i="57"/>
  <c r="AD244" i="57" s="1"/>
  <c r="W244" i="57"/>
  <c r="AC244" i="57" s="1"/>
  <c r="V244" i="57"/>
  <c r="AB244" i="57" s="1"/>
  <c r="X243" i="57"/>
  <c r="AD243" i="57" s="1"/>
  <c r="W243" i="57"/>
  <c r="AC243" i="57" s="1"/>
  <c r="V243" i="57"/>
  <c r="AB243" i="57" s="1"/>
  <c r="X242" i="57"/>
  <c r="AD242" i="57" s="1"/>
  <c r="W242" i="57"/>
  <c r="AC242" i="57" s="1"/>
  <c r="V242" i="57"/>
  <c r="AB242" i="57" s="1"/>
  <c r="X241" i="57"/>
  <c r="AD241" i="57" s="1"/>
  <c r="W241" i="57"/>
  <c r="AC241" i="57" s="1"/>
  <c r="V241" i="57"/>
  <c r="AB241" i="57" s="1"/>
  <c r="X240" i="57"/>
  <c r="AD240" i="57" s="1"/>
  <c r="W240" i="57"/>
  <c r="AC240" i="57" s="1"/>
  <c r="V240" i="57"/>
  <c r="AB240" i="57" s="1"/>
  <c r="X239" i="57"/>
  <c r="AD239" i="57" s="1"/>
  <c r="W239" i="57"/>
  <c r="AC239" i="57" s="1"/>
  <c r="V239" i="57"/>
  <c r="AB239" i="57" s="1"/>
  <c r="X238" i="57"/>
  <c r="AD238" i="57" s="1"/>
  <c r="W238" i="57"/>
  <c r="AC238" i="57" s="1"/>
  <c r="V238" i="57"/>
  <c r="AB238" i="57" s="1"/>
  <c r="X237" i="57"/>
  <c r="AD237" i="57" s="1"/>
  <c r="W237" i="57"/>
  <c r="AC237" i="57" s="1"/>
  <c r="V237" i="57"/>
  <c r="AB237" i="57" s="1"/>
  <c r="X236" i="57"/>
  <c r="AD236" i="57" s="1"/>
  <c r="W236" i="57"/>
  <c r="AC236" i="57" s="1"/>
  <c r="V236" i="57"/>
  <c r="AB236" i="57" s="1"/>
  <c r="X235" i="57"/>
  <c r="AD235" i="57" s="1"/>
  <c r="W235" i="57"/>
  <c r="AC235" i="57" s="1"/>
  <c r="V235" i="57"/>
  <c r="AB235" i="57" s="1"/>
  <c r="X234" i="57"/>
  <c r="AD234" i="57" s="1"/>
  <c r="W234" i="57"/>
  <c r="AC234" i="57" s="1"/>
  <c r="V234" i="57"/>
  <c r="AB234" i="57" s="1"/>
  <c r="X233" i="57"/>
  <c r="AD233" i="57" s="1"/>
  <c r="W233" i="57"/>
  <c r="AC233" i="57" s="1"/>
  <c r="V233" i="57"/>
  <c r="AB233" i="57" s="1"/>
  <c r="X232" i="57"/>
  <c r="AD232" i="57" s="1"/>
  <c r="W232" i="57"/>
  <c r="AC232" i="57" s="1"/>
  <c r="V232" i="57"/>
  <c r="AB232" i="57" s="1"/>
  <c r="X231" i="57"/>
  <c r="AD231" i="57" s="1"/>
  <c r="W231" i="57"/>
  <c r="AC231" i="57" s="1"/>
  <c r="V231" i="57"/>
  <c r="AB231" i="57" s="1"/>
  <c r="X230" i="57"/>
  <c r="AD230" i="57" s="1"/>
  <c r="W230" i="57"/>
  <c r="AC230" i="57" s="1"/>
  <c r="V230" i="57"/>
  <c r="AB230" i="57" s="1"/>
  <c r="X229" i="57"/>
  <c r="AD229" i="57" s="1"/>
  <c r="W229" i="57"/>
  <c r="AC229" i="57" s="1"/>
  <c r="V229" i="57"/>
  <c r="AB229" i="57" s="1"/>
  <c r="X228" i="57"/>
  <c r="AD228" i="57" s="1"/>
  <c r="W228" i="57"/>
  <c r="AC228" i="57" s="1"/>
  <c r="V228" i="57"/>
  <c r="AB228" i="57" s="1"/>
  <c r="X227" i="57"/>
  <c r="AD227" i="57" s="1"/>
  <c r="W227" i="57"/>
  <c r="AC227" i="57" s="1"/>
  <c r="V227" i="57"/>
  <c r="AB227" i="57" s="1"/>
  <c r="X226" i="57"/>
  <c r="AD226" i="57" s="1"/>
  <c r="W226" i="57"/>
  <c r="AC226" i="57" s="1"/>
  <c r="V226" i="57"/>
  <c r="AB226" i="57" s="1"/>
  <c r="X225" i="57"/>
  <c r="AD225" i="57" s="1"/>
  <c r="W225" i="57"/>
  <c r="AC225" i="57" s="1"/>
  <c r="V225" i="57"/>
  <c r="AB225" i="57" s="1"/>
  <c r="X224" i="57"/>
  <c r="AD224" i="57" s="1"/>
  <c r="W224" i="57"/>
  <c r="AC224" i="57" s="1"/>
  <c r="V224" i="57"/>
  <c r="AB224" i="57" s="1"/>
  <c r="X223" i="57"/>
  <c r="AD223" i="57" s="1"/>
  <c r="W223" i="57"/>
  <c r="AC223" i="57" s="1"/>
  <c r="V223" i="57"/>
  <c r="AB223" i="57" s="1"/>
  <c r="X222" i="57"/>
  <c r="AD222" i="57" s="1"/>
  <c r="W222" i="57"/>
  <c r="AC222" i="57" s="1"/>
  <c r="V222" i="57"/>
  <c r="AB222" i="57" s="1"/>
  <c r="X221" i="57"/>
  <c r="AD221" i="57" s="1"/>
  <c r="W221" i="57"/>
  <c r="AC221" i="57" s="1"/>
  <c r="V221" i="57"/>
  <c r="AB221" i="57" s="1"/>
  <c r="X220" i="57"/>
  <c r="AD220" i="57" s="1"/>
  <c r="W220" i="57"/>
  <c r="AC220" i="57" s="1"/>
  <c r="V220" i="57"/>
  <c r="AB220" i="57" s="1"/>
  <c r="X219" i="57"/>
  <c r="AD219" i="57" s="1"/>
  <c r="W219" i="57"/>
  <c r="AC219" i="57" s="1"/>
  <c r="V219" i="57"/>
  <c r="AB219" i="57" s="1"/>
  <c r="X218" i="57"/>
  <c r="AD218" i="57" s="1"/>
  <c r="W218" i="57"/>
  <c r="AC218" i="57" s="1"/>
  <c r="V218" i="57"/>
  <c r="AB218" i="57" s="1"/>
  <c r="X217" i="57"/>
  <c r="AD217" i="57" s="1"/>
  <c r="W217" i="57"/>
  <c r="AC217" i="57" s="1"/>
  <c r="V217" i="57"/>
  <c r="AB217" i="57" s="1"/>
  <c r="X216" i="57"/>
  <c r="AD216" i="57" s="1"/>
  <c r="W216" i="57"/>
  <c r="AC216" i="57" s="1"/>
  <c r="V216" i="57"/>
  <c r="AB216" i="57" s="1"/>
  <c r="X215" i="57"/>
  <c r="AD215" i="57" s="1"/>
  <c r="W215" i="57"/>
  <c r="AC215" i="57" s="1"/>
  <c r="V215" i="57"/>
  <c r="AB215" i="57" s="1"/>
  <c r="X214" i="57"/>
  <c r="AD214" i="57" s="1"/>
  <c r="W214" i="57"/>
  <c r="AC214" i="57" s="1"/>
  <c r="V214" i="57"/>
  <c r="AB214" i="57" s="1"/>
  <c r="X213" i="57"/>
  <c r="AD213" i="57" s="1"/>
  <c r="W213" i="57"/>
  <c r="AC213" i="57" s="1"/>
  <c r="V213" i="57"/>
  <c r="AB213" i="57" s="1"/>
  <c r="X212" i="57"/>
  <c r="AD212" i="57" s="1"/>
  <c r="W212" i="57"/>
  <c r="AC212" i="57" s="1"/>
  <c r="V212" i="57"/>
  <c r="AB212" i="57" s="1"/>
  <c r="X211" i="57"/>
  <c r="AD211" i="57" s="1"/>
  <c r="W211" i="57"/>
  <c r="AC211" i="57" s="1"/>
  <c r="V211" i="57"/>
  <c r="AB211" i="57" s="1"/>
  <c r="X210" i="57"/>
  <c r="AD210" i="57" s="1"/>
  <c r="W210" i="57"/>
  <c r="AC210" i="57" s="1"/>
  <c r="V210" i="57"/>
  <c r="AB210" i="57" s="1"/>
  <c r="X209" i="57"/>
  <c r="AD209" i="57" s="1"/>
  <c r="W209" i="57"/>
  <c r="AC209" i="57" s="1"/>
  <c r="V209" i="57"/>
  <c r="AB209" i="57" s="1"/>
  <c r="X208" i="57"/>
  <c r="AD208" i="57" s="1"/>
  <c r="W208" i="57"/>
  <c r="AC208" i="57" s="1"/>
  <c r="V208" i="57"/>
  <c r="AB208" i="57" s="1"/>
  <c r="X207" i="57"/>
  <c r="AD207" i="57" s="1"/>
  <c r="W207" i="57"/>
  <c r="AC207" i="57" s="1"/>
  <c r="V207" i="57"/>
  <c r="AB207" i="57" s="1"/>
  <c r="X206" i="57"/>
  <c r="AD206" i="57" s="1"/>
  <c r="W206" i="57"/>
  <c r="AC206" i="57" s="1"/>
  <c r="V206" i="57"/>
  <c r="AB206" i="57" s="1"/>
  <c r="X205" i="57"/>
  <c r="AD205" i="57" s="1"/>
  <c r="W205" i="57"/>
  <c r="AC205" i="57" s="1"/>
  <c r="V205" i="57"/>
  <c r="AB205" i="57" s="1"/>
  <c r="X204" i="57"/>
  <c r="AD204" i="57" s="1"/>
  <c r="W204" i="57"/>
  <c r="AC204" i="57" s="1"/>
  <c r="V204" i="57"/>
  <c r="AB204" i="57" s="1"/>
  <c r="X203" i="57"/>
  <c r="AD203" i="57" s="1"/>
  <c r="W203" i="57"/>
  <c r="AC203" i="57" s="1"/>
  <c r="V203" i="57"/>
  <c r="AB203" i="57" s="1"/>
  <c r="X202" i="57"/>
  <c r="AD202" i="57" s="1"/>
  <c r="W202" i="57"/>
  <c r="AC202" i="57" s="1"/>
  <c r="V202" i="57"/>
  <c r="AB202" i="57" s="1"/>
  <c r="X201" i="57"/>
  <c r="AD201" i="57" s="1"/>
  <c r="W201" i="57"/>
  <c r="AC201" i="57" s="1"/>
  <c r="V201" i="57"/>
  <c r="AB201" i="57" s="1"/>
  <c r="X200" i="57"/>
  <c r="AD200" i="57" s="1"/>
  <c r="W200" i="57"/>
  <c r="AC200" i="57" s="1"/>
  <c r="V200" i="57"/>
  <c r="AB200" i="57" s="1"/>
  <c r="X199" i="57"/>
  <c r="AD199" i="57" s="1"/>
  <c r="W199" i="57"/>
  <c r="AC199" i="57" s="1"/>
  <c r="V199" i="57"/>
  <c r="AB199" i="57" s="1"/>
  <c r="X198" i="57"/>
  <c r="AD198" i="57" s="1"/>
  <c r="W198" i="57"/>
  <c r="AC198" i="57" s="1"/>
  <c r="V198" i="57"/>
  <c r="AB198" i="57" s="1"/>
  <c r="X197" i="57"/>
  <c r="AD197" i="57" s="1"/>
  <c r="W197" i="57"/>
  <c r="AC197" i="57" s="1"/>
  <c r="V197" i="57"/>
  <c r="AB197" i="57" s="1"/>
  <c r="X196" i="57"/>
  <c r="AD196" i="57" s="1"/>
  <c r="W196" i="57"/>
  <c r="AC196" i="57" s="1"/>
  <c r="V196" i="57"/>
  <c r="AB196" i="57" s="1"/>
  <c r="X195" i="57"/>
  <c r="AD195" i="57" s="1"/>
  <c r="W195" i="57"/>
  <c r="AC195" i="57" s="1"/>
  <c r="V195" i="57"/>
  <c r="AB195" i="57" s="1"/>
  <c r="X194" i="57"/>
  <c r="AD194" i="57" s="1"/>
  <c r="W194" i="57"/>
  <c r="AC194" i="57" s="1"/>
  <c r="V194" i="57"/>
  <c r="AB194" i="57" s="1"/>
  <c r="X193" i="57"/>
  <c r="AD193" i="57" s="1"/>
  <c r="W193" i="57"/>
  <c r="AC193" i="57" s="1"/>
  <c r="V193" i="57"/>
  <c r="AB193" i="57" s="1"/>
  <c r="X192" i="57"/>
  <c r="AD192" i="57" s="1"/>
  <c r="W192" i="57"/>
  <c r="AC192" i="57" s="1"/>
  <c r="V192" i="57"/>
  <c r="AB192" i="57" s="1"/>
  <c r="X191" i="57"/>
  <c r="AD191" i="57" s="1"/>
  <c r="W191" i="57"/>
  <c r="AC191" i="57" s="1"/>
  <c r="V191" i="57"/>
  <c r="AB191" i="57" s="1"/>
  <c r="X190" i="57"/>
  <c r="AD190" i="57" s="1"/>
  <c r="W190" i="57"/>
  <c r="AC190" i="57" s="1"/>
  <c r="V190" i="57"/>
  <c r="AB190" i="57" s="1"/>
  <c r="X189" i="57"/>
  <c r="AD189" i="57" s="1"/>
  <c r="W189" i="57"/>
  <c r="AC189" i="57" s="1"/>
  <c r="V189" i="57"/>
  <c r="AB189" i="57" s="1"/>
  <c r="X188" i="57"/>
  <c r="AD188" i="57" s="1"/>
  <c r="W188" i="57"/>
  <c r="AC188" i="57" s="1"/>
  <c r="V188" i="57"/>
  <c r="AB188" i="57" s="1"/>
  <c r="X187" i="57"/>
  <c r="AD187" i="57" s="1"/>
  <c r="W187" i="57"/>
  <c r="AC187" i="57" s="1"/>
  <c r="V187" i="57"/>
  <c r="AB187" i="57" s="1"/>
  <c r="X186" i="57"/>
  <c r="AD186" i="57" s="1"/>
  <c r="W186" i="57"/>
  <c r="AC186" i="57" s="1"/>
  <c r="V186" i="57"/>
  <c r="AB186" i="57" s="1"/>
  <c r="X185" i="57"/>
  <c r="AD185" i="57" s="1"/>
  <c r="W185" i="57"/>
  <c r="AC185" i="57" s="1"/>
  <c r="V185" i="57"/>
  <c r="AB185" i="57" s="1"/>
  <c r="X184" i="57"/>
  <c r="AD184" i="57" s="1"/>
  <c r="W184" i="57"/>
  <c r="AC184" i="57" s="1"/>
  <c r="V184" i="57"/>
  <c r="AB184" i="57" s="1"/>
  <c r="X183" i="57"/>
  <c r="AD183" i="57" s="1"/>
  <c r="W183" i="57"/>
  <c r="AC183" i="57" s="1"/>
  <c r="V183" i="57"/>
  <c r="AB183" i="57" s="1"/>
  <c r="X182" i="57"/>
  <c r="AD182" i="57" s="1"/>
  <c r="W182" i="57"/>
  <c r="AC182" i="57" s="1"/>
  <c r="V182" i="57"/>
  <c r="AB182" i="57" s="1"/>
  <c r="X181" i="57"/>
  <c r="AD181" i="57" s="1"/>
  <c r="W181" i="57"/>
  <c r="AC181" i="57" s="1"/>
  <c r="V181" i="57"/>
  <c r="AB181" i="57" s="1"/>
  <c r="X180" i="57"/>
  <c r="AD180" i="57" s="1"/>
  <c r="W180" i="57"/>
  <c r="AC180" i="57" s="1"/>
  <c r="V180" i="57"/>
  <c r="AB180" i="57" s="1"/>
  <c r="X179" i="57"/>
  <c r="AD179" i="57" s="1"/>
  <c r="W179" i="57"/>
  <c r="AC179" i="57" s="1"/>
  <c r="V179" i="57"/>
  <c r="AB179" i="57" s="1"/>
  <c r="X178" i="57"/>
  <c r="AD178" i="57" s="1"/>
  <c r="W178" i="57"/>
  <c r="AC178" i="57" s="1"/>
  <c r="V178" i="57"/>
  <c r="AB178" i="57" s="1"/>
  <c r="X177" i="57"/>
  <c r="AD177" i="57" s="1"/>
  <c r="W177" i="57"/>
  <c r="AC177" i="57" s="1"/>
  <c r="V177" i="57"/>
  <c r="AB177" i="57" s="1"/>
  <c r="X176" i="57"/>
  <c r="AD176" i="57" s="1"/>
  <c r="W176" i="57"/>
  <c r="AC176" i="57" s="1"/>
  <c r="V176" i="57"/>
  <c r="AB176" i="57" s="1"/>
  <c r="X151" i="57"/>
  <c r="AD151" i="57" s="1"/>
  <c r="W151" i="57"/>
  <c r="AC151" i="57" s="1"/>
  <c r="V151" i="57"/>
  <c r="AB151" i="57" s="1"/>
  <c r="X150" i="57"/>
  <c r="AD150" i="57" s="1"/>
  <c r="W150" i="57"/>
  <c r="AC150" i="57" s="1"/>
  <c r="V150" i="57"/>
  <c r="AB150" i="57" s="1"/>
  <c r="X149" i="57"/>
  <c r="AD149" i="57" s="1"/>
  <c r="W149" i="57"/>
  <c r="AC149" i="57" s="1"/>
  <c r="V149" i="57"/>
  <c r="AB149" i="57" s="1"/>
  <c r="X148" i="57"/>
  <c r="AD148" i="57" s="1"/>
  <c r="W148" i="57"/>
  <c r="AC148" i="57" s="1"/>
  <c r="V148" i="57"/>
  <c r="AB148" i="57" s="1"/>
  <c r="X147" i="57"/>
  <c r="AD147" i="57" s="1"/>
  <c r="W147" i="57"/>
  <c r="AC147" i="57" s="1"/>
  <c r="V147" i="57"/>
  <c r="AB147" i="57" s="1"/>
  <c r="X146" i="57"/>
  <c r="AD146" i="57" s="1"/>
  <c r="W146" i="57"/>
  <c r="AC146" i="57" s="1"/>
  <c r="V146" i="57"/>
  <c r="AB146" i="57" s="1"/>
  <c r="X145" i="57"/>
  <c r="AD145" i="57" s="1"/>
  <c r="W145" i="57"/>
  <c r="AC145" i="57" s="1"/>
  <c r="V145" i="57"/>
  <c r="AB145" i="57" s="1"/>
  <c r="X144" i="57"/>
  <c r="AD144" i="57" s="1"/>
  <c r="W144" i="57"/>
  <c r="AC144" i="57" s="1"/>
  <c r="V144" i="57"/>
  <c r="AB144" i="57" s="1"/>
  <c r="X143" i="57"/>
  <c r="AD143" i="57" s="1"/>
  <c r="W143" i="57"/>
  <c r="AC143" i="57" s="1"/>
  <c r="V143" i="57"/>
  <c r="AB143" i="57" s="1"/>
  <c r="X142" i="57"/>
  <c r="AD142" i="57" s="1"/>
  <c r="W142" i="57"/>
  <c r="AC142" i="57" s="1"/>
  <c r="V142" i="57"/>
  <c r="AB142" i="57" s="1"/>
  <c r="X141" i="57"/>
  <c r="AD141" i="57" s="1"/>
  <c r="W141" i="57"/>
  <c r="AC141" i="57" s="1"/>
  <c r="V141" i="57"/>
  <c r="AB141" i="57" s="1"/>
  <c r="X140" i="57"/>
  <c r="AD140" i="57" s="1"/>
  <c r="W140" i="57"/>
  <c r="AC140" i="57" s="1"/>
  <c r="V140" i="57"/>
  <c r="AB140" i="57" s="1"/>
  <c r="X139" i="57"/>
  <c r="AD139" i="57" s="1"/>
  <c r="W139" i="57"/>
  <c r="AC139" i="57" s="1"/>
  <c r="V139" i="57"/>
  <c r="AB139" i="57" s="1"/>
  <c r="X138" i="57"/>
  <c r="AD138" i="57" s="1"/>
  <c r="W138" i="57"/>
  <c r="AC138" i="57" s="1"/>
  <c r="V138" i="57"/>
  <c r="AB138" i="57" s="1"/>
  <c r="X137" i="57"/>
  <c r="AD137" i="57" s="1"/>
  <c r="W137" i="57"/>
  <c r="AC137" i="57" s="1"/>
  <c r="V137" i="57"/>
  <c r="AB137" i="57" s="1"/>
  <c r="X136" i="57"/>
  <c r="AD136" i="57" s="1"/>
  <c r="W136" i="57"/>
  <c r="AC136" i="57" s="1"/>
  <c r="V136" i="57"/>
  <c r="AB136" i="57" s="1"/>
  <c r="X135" i="57"/>
  <c r="AD135" i="57" s="1"/>
  <c r="W135" i="57"/>
  <c r="AC135" i="57" s="1"/>
  <c r="V135" i="57"/>
  <c r="AB135" i="57" s="1"/>
  <c r="X134" i="57"/>
  <c r="AD134" i="57" s="1"/>
  <c r="W134" i="57"/>
  <c r="AC134" i="57" s="1"/>
  <c r="V134" i="57"/>
  <c r="AB134" i="57" s="1"/>
  <c r="X133" i="57"/>
  <c r="AD133" i="57" s="1"/>
  <c r="W133" i="57"/>
  <c r="AC133" i="57" s="1"/>
  <c r="V133" i="57"/>
  <c r="AB133" i="57" s="1"/>
  <c r="X132" i="57"/>
  <c r="AD132" i="57" s="1"/>
  <c r="W132" i="57"/>
  <c r="AC132" i="57" s="1"/>
  <c r="V132" i="57"/>
  <c r="AB132" i="57" s="1"/>
  <c r="X131" i="57"/>
  <c r="AD131" i="57" s="1"/>
  <c r="W131" i="57"/>
  <c r="AC131" i="57" s="1"/>
  <c r="V131" i="57"/>
  <c r="AB131" i="57" s="1"/>
  <c r="X130" i="57"/>
  <c r="AD130" i="57" s="1"/>
  <c r="W130" i="57"/>
  <c r="AC130" i="57" s="1"/>
  <c r="V130" i="57"/>
  <c r="AB130" i="57" s="1"/>
  <c r="X129" i="57"/>
  <c r="AD129" i="57" s="1"/>
  <c r="W129" i="57"/>
  <c r="AC129" i="57" s="1"/>
  <c r="V129" i="57"/>
  <c r="AB129" i="57" s="1"/>
  <c r="X128" i="57"/>
  <c r="AD128" i="57" s="1"/>
  <c r="W128" i="57"/>
  <c r="AC128" i="57" s="1"/>
  <c r="V128" i="57"/>
  <c r="AB128" i="57" s="1"/>
  <c r="X127" i="57"/>
  <c r="AD127" i="57" s="1"/>
  <c r="W127" i="57"/>
  <c r="AC127" i="57" s="1"/>
  <c r="V127" i="57"/>
  <c r="AB127" i="57" s="1"/>
  <c r="X126" i="57"/>
  <c r="AD126" i="57" s="1"/>
  <c r="W126" i="57"/>
  <c r="AC126" i="57" s="1"/>
  <c r="V126" i="57"/>
  <c r="AB126" i="57" s="1"/>
  <c r="X125" i="57"/>
  <c r="AD125" i="57" s="1"/>
  <c r="W125" i="57"/>
  <c r="AC125" i="57" s="1"/>
  <c r="V125" i="57"/>
  <c r="AB125" i="57" s="1"/>
  <c r="X124" i="57"/>
  <c r="AD124" i="57" s="1"/>
  <c r="W124" i="57"/>
  <c r="AC124" i="57" s="1"/>
  <c r="V124" i="57"/>
  <c r="AB124" i="57" s="1"/>
  <c r="X123" i="57"/>
  <c r="AD123" i="57" s="1"/>
  <c r="W123" i="57"/>
  <c r="AC123" i="57" s="1"/>
  <c r="V123" i="57"/>
  <c r="AB123" i="57" s="1"/>
  <c r="X122" i="57"/>
  <c r="AD122" i="57" s="1"/>
  <c r="W122" i="57"/>
  <c r="AC122" i="57" s="1"/>
  <c r="V122" i="57"/>
  <c r="AB122" i="57" s="1"/>
  <c r="X121" i="57"/>
  <c r="AD121" i="57" s="1"/>
  <c r="W121" i="57"/>
  <c r="AC121" i="57" s="1"/>
  <c r="V121" i="57"/>
  <c r="AB121" i="57" s="1"/>
  <c r="X120" i="57"/>
  <c r="AD120" i="57" s="1"/>
  <c r="W120" i="57"/>
  <c r="AC120" i="57" s="1"/>
  <c r="V120" i="57"/>
  <c r="AB120" i="57" s="1"/>
  <c r="X119" i="57"/>
  <c r="AD119" i="57" s="1"/>
  <c r="W119" i="57"/>
  <c r="AC119" i="57" s="1"/>
  <c r="V119" i="57"/>
  <c r="AB119" i="57" s="1"/>
  <c r="X118" i="57"/>
  <c r="AD118" i="57" s="1"/>
  <c r="W118" i="57"/>
  <c r="AC118" i="57" s="1"/>
  <c r="V118" i="57"/>
  <c r="AB118" i="57" s="1"/>
  <c r="X117" i="57"/>
  <c r="AD117" i="57" s="1"/>
  <c r="W117" i="57"/>
  <c r="AC117" i="57" s="1"/>
  <c r="V117" i="57"/>
  <c r="AB117" i="57" s="1"/>
  <c r="X116" i="57"/>
  <c r="AD116" i="57" s="1"/>
  <c r="W116" i="57"/>
  <c r="AC116" i="57" s="1"/>
  <c r="V116" i="57"/>
  <c r="AB116" i="57" s="1"/>
  <c r="X115" i="57"/>
  <c r="AD115" i="57" s="1"/>
  <c r="W115" i="57"/>
  <c r="AC115" i="57" s="1"/>
  <c r="V115" i="57"/>
  <c r="AB115" i="57" s="1"/>
  <c r="X114" i="57"/>
  <c r="AD114" i="57" s="1"/>
  <c r="W114" i="57"/>
  <c r="AC114" i="57" s="1"/>
  <c r="V114" i="57"/>
  <c r="AB114" i="57" s="1"/>
  <c r="X113" i="57"/>
  <c r="AD113" i="57" s="1"/>
  <c r="W113" i="57"/>
  <c r="AC113" i="57" s="1"/>
  <c r="V113" i="57"/>
  <c r="AB113" i="57" s="1"/>
  <c r="X112" i="57"/>
  <c r="AD112" i="57" s="1"/>
  <c r="W112" i="57"/>
  <c r="AC112" i="57" s="1"/>
  <c r="V112" i="57"/>
  <c r="AB112" i="57" s="1"/>
  <c r="X111" i="57"/>
  <c r="AD111" i="57" s="1"/>
  <c r="W111" i="57"/>
  <c r="AC111" i="57" s="1"/>
  <c r="V111" i="57"/>
  <c r="AB111" i="57" s="1"/>
  <c r="X110" i="57"/>
  <c r="AD110" i="57" s="1"/>
  <c r="W110" i="57"/>
  <c r="AC110" i="57" s="1"/>
  <c r="V110" i="57"/>
  <c r="AB110" i="57" s="1"/>
  <c r="X109" i="57"/>
  <c r="AD109" i="57" s="1"/>
  <c r="W109" i="57"/>
  <c r="AC109" i="57" s="1"/>
  <c r="V109" i="57"/>
  <c r="AB109" i="57" s="1"/>
  <c r="X108" i="57"/>
  <c r="AD108" i="57" s="1"/>
  <c r="W108" i="57"/>
  <c r="AC108" i="57" s="1"/>
  <c r="V108" i="57"/>
  <c r="AB108" i="57" s="1"/>
  <c r="X107" i="57"/>
  <c r="AD107" i="57" s="1"/>
  <c r="W107" i="57"/>
  <c r="AC107" i="57" s="1"/>
  <c r="V107" i="57"/>
  <c r="AB107" i="57" s="1"/>
  <c r="X106" i="57"/>
  <c r="AD106" i="57" s="1"/>
  <c r="W106" i="57"/>
  <c r="AC106" i="57" s="1"/>
  <c r="V106" i="57"/>
  <c r="AB106" i="57" s="1"/>
  <c r="X105" i="57"/>
  <c r="AD105" i="57" s="1"/>
  <c r="W105" i="57"/>
  <c r="AC105" i="57" s="1"/>
  <c r="V105" i="57"/>
  <c r="AB105" i="57" s="1"/>
  <c r="X104" i="57"/>
  <c r="AD104" i="57" s="1"/>
  <c r="W104" i="57"/>
  <c r="AC104" i="57" s="1"/>
  <c r="V104" i="57"/>
  <c r="AB104" i="57" s="1"/>
  <c r="X103" i="57"/>
  <c r="AD103" i="57" s="1"/>
  <c r="W103" i="57"/>
  <c r="AC103" i="57" s="1"/>
  <c r="V103" i="57"/>
  <c r="AB103" i="57" s="1"/>
  <c r="X102" i="57"/>
  <c r="AD102" i="57" s="1"/>
  <c r="W102" i="57"/>
  <c r="AC102" i="57" s="1"/>
  <c r="V102" i="57"/>
  <c r="AB102" i="57" s="1"/>
  <c r="X101" i="57"/>
  <c r="AD101" i="57" s="1"/>
  <c r="W101" i="57"/>
  <c r="AC101" i="57" s="1"/>
  <c r="V101" i="57"/>
  <c r="AB101" i="57" s="1"/>
  <c r="X100" i="57"/>
  <c r="AD100" i="57" s="1"/>
  <c r="W100" i="57"/>
  <c r="AC100" i="57" s="1"/>
  <c r="V100" i="57"/>
  <c r="AB100" i="57" s="1"/>
  <c r="X99" i="57"/>
  <c r="AD99" i="57" s="1"/>
  <c r="W99" i="57"/>
  <c r="AC99" i="57" s="1"/>
  <c r="V99" i="57"/>
  <c r="AB99" i="57" s="1"/>
  <c r="X98" i="57"/>
  <c r="AD98" i="57" s="1"/>
  <c r="W98" i="57"/>
  <c r="AC98" i="57" s="1"/>
  <c r="V98" i="57"/>
  <c r="AB98" i="57" s="1"/>
  <c r="X97" i="57"/>
  <c r="AD97" i="57" s="1"/>
  <c r="W97" i="57"/>
  <c r="AC97" i="57" s="1"/>
  <c r="V97" i="57"/>
  <c r="AB97" i="57" s="1"/>
  <c r="X96" i="57"/>
  <c r="AD96" i="57" s="1"/>
  <c r="W96" i="57"/>
  <c r="AC96" i="57" s="1"/>
  <c r="V96" i="57"/>
  <c r="AB96" i="57" s="1"/>
  <c r="X95" i="57"/>
  <c r="AD95" i="57" s="1"/>
  <c r="W95" i="57"/>
  <c r="AC95" i="57" s="1"/>
  <c r="V95" i="57"/>
  <c r="AB95" i="57" s="1"/>
  <c r="X94" i="57"/>
  <c r="AD94" i="57" s="1"/>
  <c r="W94" i="57"/>
  <c r="AC94" i="57" s="1"/>
  <c r="V94" i="57"/>
  <c r="AB94" i="57" s="1"/>
  <c r="X93" i="57"/>
  <c r="AD93" i="57" s="1"/>
  <c r="W93" i="57"/>
  <c r="AC93" i="57" s="1"/>
  <c r="V93" i="57"/>
  <c r="AB93" i="57" s="1"/>
  <c r="X92" i="57"/>
  <c r="AD92" i="57" s="1"/>
  <c r="W92" i="57"/>
  <c r="AC92" i="57" s="1"/>
  <c r="V92" i="57"/>
  <c r="AB92" i="57" s="1"/>
  <c r="X91" i="57"/>
  <c r="AD91" i="57" s="1"/>
  <c r="W91" i="57"/>
  <c r="AC91" i="57" s="1"/>
  <c r="V91" i="57"/>
  <c r="AB91" i="57" s="1"/>
  <c r="X90" i="57"/>
  <c r="AD90" i="57" s="1"/>
  <c r="W90" i="57"/>
  <c r="AC90" i="57" s="1"/>
  <c r="V90" i="57"/>
  <c r="AB90" i="57" s="1"/>
  <c r="X89" i="57"/>
  <c r="AD89" i="57" s="1"/>
  <c r="W89" i="57"/>
  <c r="AC89" i="57" s="1"/>
  <c r="V89" i="57"/>
  <c r="AB89" i="57" s="1"/>
  <c r="X88" i="57"/>
  <c r="AD88" i="57" s="1"/>
  <c r="W88" i="57"/>
  <c r="AC88" i="57" s="1"/>
  <c r="V88" i="57"/>
  <c r="AB88" i="57" s="1"/>
  <c r="X87" i="57"/>
  <c r="AD87" i="57" s="1"/>
  <c r="W87" i="57"/>
  <c r="AC87" i="57" s="1"/>
  <c r="V87" i="57"/>
  <c r="AB87" i="57" s="1"/>
  <c r="X86" i="57"/>
  <c r="AD86" i="57" s="1"/>
  <c r="W86" i="57"/>
  <c r="AC86" i="57" s="1"/>
  <c r="V86" i="57"/>
  <c r="AB86" i="57" s="1"/>
  <c r="X85" i="57"/>
  <c r="AD85" i="57" s="1"/>
  <c r="W85" i="57"/>
  <c r="AC85" i="57" s="1"/>
  <c r="V85" i="57"/>
  <c r="AB85" i="57" s="1"/>
  <c r="X84" i="57"/>
  <c r="AD84" i="57" s="1"/>
  <c r="W84" i="57"/>
  <c r="AC84" i="57" s="1"/>
  <c r="V84" i="57"/>
  <c r="AB84" i="57" s="1"/>
  <c r="X83" i="57"/>
  <c r="AD83" i="57" s="1"/>
  <c r="W83" i="57"/>
  <c r="AC83" i="57" s="1"/>
  <c r="V83" i="57"/>
  <c r="AB83" i="57" s="1"/>
  <c r="X82" i="57"/>
  <c r="AD82" i="57" s="1"/>
  <c r="W82" i="57"/>
  <c r="AC82" i="57" s="1"/>
  <c r="V82" i="57"/>
  <c r="AB82" i="57" s="1"/>
  <c r="X81" i="57"/>
  <c r="AD81" i="57" s="1"/>
  <c r="W81" i="57"/>
  <c r="AC81" i="57" s="1"/>
  <c r="V81" i="57"/>
  <c r="AB81" i="57" s="1"/>
  <c r="X80" i="57"/>
  <c r="AD80" i="57" s="1"/>
  <c r="W80" i="57"/>
  <c r="AC80" i="57" s="1"/>
  <c r="V80" i="57"/>
  <c r="AB80" i="57" s="1"/>
  <c r="X79" i="57"/>
  <c r="AD79" i="57" s="1"/>
  <c r="W79" i="57"/>
  <c r="AC79" i="57" s="1"/>
  <c r="V79" i="57"/>
  <c r="AB79" i="57" s="1"/>
  <c r="X78" i="57"/>
  <c r="AD78" i="57" s="1"/>
  <c r="W78" i="57"/>
  <c r="AC78" i="57" s="1"/>
  <c r="V78" i="57"/>
  <c r="AB78" i="57" s="1"/>
  <c r="X77" i="57"/>
  <c r="AD77" i="57" s="1"/>
  <c r="W77" i="57"/>
  <c r="AC77" i="57" s="1"/>
  <c r="V77" i="57"/>
  <c r="AB77" i="57" s="1"/>
  <c r="X76" i="57"/>
  <c r="AD76" i="57" s="1"/>
  <c r="W76" i="57"/>
  <c r="AC76" i="57" s="1"/>
  <c r="V76" i="57"/>
  <c r="AB76" i="57" s="1"/>
  <c r="X75" i="57"/>
  <c r="AD75" i="57" s="1"/>
  <c r="W75" i="57"/>
  <c r="AC75" i="57" s="1"/>
  <c r="V75" i="57"/>
  <c r="AB75" i="57" s="1"/>
  <c r="X74" i="57"/>
  <c r="AD74" i="57" s="1"/>
  <c r="W74" i="57"/>
  <c r="AC74" i="57" s="1"/>
  <c r="V74" i="57"/>
  <c r="AB74" i="57" s="1"/>
  <c r="X73" i="57"/>
  <c r="AD73" i="57" s="1"/>
  <c r="W73" i="57"/>
  <c r="AC73" i="57" s="1"/>
  <c r="V73" i="57"/>
  <c r="AB73" i="57" s="1"/>
  <c r="X72" i="57"/>
  <c r="AD72" i="57" s="1"/>
  <c r="W72" i="57"/>
  <c r="AC72" i="57" s="1"/>
  <c r="V72" i="57"/>
  <c r="AB72" i="57" s="1"/>
  <c r="X71" i="57"/>
  <c r="AD71" i="57" s="1"/>
  <c r="W71" i="57"/>
  <c r="AC71" i="57" s="1"/>
  <c r="V71" i="57"/>
  <c r="AB71" i="57" s="1"/>
  <c r="X70" i="57"/>
  <c r="AD70" i="57" s="1"/>
  <c r="W70" i="57"/>
  <c r="AC70" i="57" s="1"/>
  <c r="V70" i="57"/>
  <c r="AB70" i="57" s="1"/>
  <c r="X69" i="57"/>
  <c r="AD69" i="57" s="1"/>
  <c r="W69" i="57"/>
  <c r="AC69" i="57" s="1"/>
  <c r="V69" i="57"/>
  <c r="AB69" i="57" s="1"/>
  <c r="X68" i="57"/>
  <c r="AD68" i="57" s="1"/>
  <c r="W68" i="57"/>
  <c r="AC68" i="57" s="1"/>
  <c r="V68" i="57"/>
  <c r="AB68" i="57" s="1"/>
  <c r="X67" i="57"/>
  <c r="AD67" i="57" s="1"/>
  <c r="W67" i="57"/>
  <c r="AC67" i="57" s="1"/>
  <c r="V67" i="57"/>
  <c r="AB67" i="57" s="1"/>
  <c r="X66" i="57"/>
  <c r="AD66" i="57" s="1"/>
  <c r="W66" i="57"/>
  <c r="AC66" i="57" s="1"/>
  <c r="V66" i="57"/>
  <c r="AB66" i="57" s="1"/>
  <c r="X65" i="57"/>
  <c r="AD65" i="57" s="1"/>
  <c r="W65" i="57"/>
  <c r="AC65" i="57" s="1"/>
  <c r="V65" i="57"/>
  <c r="AB65" i="57" s="1"/>
  <c r="X64" i="57"/>
  <c r="AD64" i="57" s="1"/>
  <c r="W64" i="57"/>
  <c r="AC64" i="57" s="1"/>
  <c r="V64" i="57"/>
  <c r="AB64" i="57" s="1"/>
  <c r="X63" i="57"/>
  <c r="AD63" i="57" s="1"/>
  <c r="W63" i="57"/>
  <c r="AC63" i="57" s="1"/>
  <c r="V63" i="57"/>
  <c r="AB63" i="57" s="1"/>
  <c r="X62" i="57"/>
  <c r="AD62" i="57" s="1"/>
  <c r="W62" i="57"/>
  <c r="AC62" i="57" s="1"/>
  <c r="V62" i="57"/>
  <c r="AB62" i="57" s="1"/>
  <c r="X61" i="57"/>
  <c r="AD61" i="57" s="1"/>
  <c r="W61" i="57"/>
  <c r="AC61" i="57" s="1"/>
  <c r="V61" i="57"/>
  <c r="AB61" i="57" s="1"/>
  <c r="X60" i="57"/>
  <c r="AD60" i="57" s="1"/>
  <c r="W60" i="57"/>
  <c r="AC60" i="57" s="1"/>
  <c r="V60" i="57"/>
  <c r="AB60" i="57" s="1"/>
  <c r="X59" i="57"/>
  <c r="AD59" i="57" s="1"/>
  <c r="W59" i="57"/>
  <c r="AC59" i="57" s="1"/>
  <c r="V59" i="57"/>
  <c r="AB59" i="57" s="1"/>
  <c r="X58" i="57"/>
  <c r="AD58" i="57" s="1"/>
  <c r="W58" i="57"/>
  <c r="AC58" i="57" s="1"/>
  <c r="V58" i="57"/>
  <c r="AB58" i="57" s="1"/>
  <c r="X57" i="57"/>
  <c r="AD57" i="57" s="1"/>
  <c r="W57" i="57"/>
  <c r="AC57" i="57" s="1"/>
  <c r="V57" i="57"/>
  <c r="AB57" i="57" s="1"/>
  <c r="X56" i="57"/>
  <c r="AD56" i="57" s="1"/>
  <c r="W56" i="57"/>
  <c r="AC56" i="57" s="1"/>
  <c r="V56" i="57"/>
  <c r="AB56" i="57" s="1"/>
  <c r="X55" i="57"/>
  <c r="AD55" i="57" s="1"/>
  <c r="W55" i="57"/>
  <c r="AC55" i="57" s="1"/>
  <c r="V55" i="57"/>
  <c r="AB55" i="57" s="1"/>
  <c r="X54" i="57"/>
  <c r="AD54" i="57" s="1"/>
  <c r="W54" i="57"/>
  <c r="AC54" i="57" s="1"/>
  <c r="V54" i="57"/>
  <c r="AB54" i="57" s="1"/>
  <c r="X53" i="57"/>
  <c r="AD53" i="57" s="1"/>
  <c r="W53" i="57"/>
  <c r="AC53" i="57" s="1"/>
  <c r="V53" i="57"/>
  <c r="AB53" i="57" s="1"/>
  <c r="X52" i="57"/>
  <c r="AD52" i="57" s="1"/>
  <c r="W52" i="57"/>
  <c r="AC52" i="57" s="1"/>
  <c r="V52" i="57"/>
  <c r="AB52" i="57" s="1"/>
  <c r="X51" i="57"/>
  <c r="AD51" i="57" s="1"/>
  <c r="W51" i="57"/>
  <c r="AC51" i="57" s="1"/>
  <c r="V51" i="57"/>
  <c r="AB51" i="57" s="1"/>
  <c r="X50" i="57"/>
  <c r="AD50" i="57" s="1"/>
  <c r="W50" i="57"/>
  <c r="AC50" i="57" s="1"/>
  <c r="V50" i="57"/>
  <c r="AB50" i="57" s="1"/>
  <c r="X49" i="57"/>
  <c r="AD49" i="57" s="1"/>
  <c r="W49" i="57"/>
  <c r="AC49" i="57" s="1"/>
  <c r="V49" i="57"/>
  <c r="AB49" i="57" s="1"/>
  <c r="X48" i="57"/>
  <c r="AD48" i="57" s="1"/>
  <c r="W48" i="57"/>
  <c r="AC48" i="57" s="1"/>
  <c r="V48" i="57"/>
  <c r="AB48" i="57" s="1"/>
  <c r="X47" i="57"/>
  <c r="AD47" i="57" s="1"/>
  <c r="W47" i="57"/>
  <c r="AC47" i="57" s="1"/>
  <c r="V47" i="57"/>
  <c r="AB47" i="57" s="1"/>
  <c r="X46" i="57"/>
  <c r="AD46" i="57" s="1"/>
  <c r="W46" i="57"/>
  <c r="AC46" i="57" s="1"/>
  <c r="V46" i="57"/>
  <c r="AB46" i="57" s="1"/>
  <c r="X45" i="57"/>
  <c r="AD45" i="57" s="1"/>
  <c r="W45" i="57"/>
  <c r="AC45" i="57" s="1"/>
  <c r="V45" i="57"/>
  <c r="AB45" i="57" s="1"/>
  <c r="X44" i="57"/>
  <c r="AD44" i="57" s="1"/>
  <c r="W44" i="57"/>
  <c r="AC44" i="57" s="1"/>
  <c r="V44" i="57"/>
  <c r="AB44" i="57" s="1"/>
  <c r="X43" i="57"/>
  <c r="AD43" i="57" s="1"/>
  <c r="W43" i="57"/>
  <c r="AC43" i="57" s="1"/>
  <c r="V43" i="57"/>
  <c r="AB43" i="57" s="1"/>
  <c r="X42" i="57"/>
  <c r="AD42" i="57" s="1"/>
  <c r="W42" i="57"/>
  <c r="AC42" i="57" s="1"/>
  <c r="V42" i="57"/>
  <c r="AB42" i="57" s="1"/>
  <c r="X41" i="57"/>
  <c r="AD41" i="57" s="1"/>
  <c r="W41" i="57"/>
  <c r="AC41" i="57" s="1"/>
  <c r="V41" i="57"/>
  <c r="AB41" i="57" s="1"/>
  <c r="X40" i="57"/>
  <c r="AD40" i="57" s="1"/>
  <c r="W40" i="57"/>
  <c r="AC40" i="57" s="1"/>
  <c r="V40" i="57"/>
  <c r="AB40" i="57" s="1"/>
  <c r="X39" i="57"/>
  <c r="AD39" i="57" s="1"/>
  <c r="W39" i="57"/>
  <c r="AC39" i="57" s="1"/>
  <c r="V39" i="57"/>
  <c r="AB39" i="57" s="1"/>
  <c r="X38" i="57"/>
  <c r="AD38" i="57" s="1"/>
  <c r="W38" i="57"/>
  <c r="AC38" i="57" s="1"/>
  <c r="V38" i="57"/>
  <c r="AB38" i="57" s="1"/>
  <c r="X37" i="57"/>
  <c r="AD37" i="57" s="1"/>
  <c r="W37" i="57"/>
  <c r="AC37" i="57" s="1"/>
  <c r="V37" i="57"/>
  <c r="AB37" i="57" s="1"/>
  <c r="X36" i="57"/>
  <c r="AD36" i="57" s="1"/>
  <c r="W36" i="57"/>
  <c r="AC36" i="57" s="1"/>
  <c r="V36" i="57"/>
  <c r="AB36" i="57" s="1"/>
  <c r="X35" i="57"/>
  <c r="AD35" i="57" s="1"/>
  <c r="W35" i="57"/>
  <c r="AC35" i="57" s="1"/>
  <c r="V35" i="57"/>
  <c r="AB35" i="57" s="1"/>
  <c r="X34" i="57"/>
  <c r="AD34" i="57" s="1"/>
  <c r="W34" i="57"/>
  <c r="AC34" i="57" s="1"/>
  <c r="V34" i="57"/>
  <c r="AB34" i="57" s="1"/>
  <c r="X33" i="57"/>
  <c r="AD33" i="57" s="1"/>
  <c r="W33" i="57"/>
  <c r="AC33" i="57" s="1"/>
  <c r="V33" i="57"/>
  <c r="AB33" i="57" s="1"/>
  <c r="X32" i="57"/>
  <c r="AD32" i="57" s="1"/>
  <c r="W32" i="57"/>
  <c r="AC32" i="57" s="1"/>
  <c r="V32" i="57"/>
  <c r="AB32" i="57" s="1"/>
  <c r="X31" i="57"/>
  <c r="AD31" i="57" s="1"/>
  <c r="W31" i="57"/>
  <c r="AC31" i="57" s="1"/>
  <c r="V31" i="57"/>
  <c r="AB31" i="57" s="1"/>
  <c r="X30" i="57"/>
  <c r="AD30" i="57" s="1"/>
  <c r="W30" i="57"/>
  <c r="AC30" i="57" s="1"/>
  <c r="V30" i="57"/>
  <c r="AB30" i="57" s="1"/>
  <c r="X29" i="57"/>
  <c r="AD29" i="57" s="1"/>
  <c r="W29" i="57"/>
  <c r="AC29" i="57" s="1"/>
  <c r="V29" i="57"/>
  <c r="AB29" i="57" s="1"/>
  <c r="X28" i="57"/>
  <c r="AD28" i="57" s="1"/>
  <c r="W28" i="57"/>
  <c r="AC28" i="57" s="1"/>
  <c r="V28" i="57"/>
  <c r="AB28" i="57" s="1"/>
  <c r="X27" i="57"/>
  <c r="AD27" i="57" s="1"/>
  <c r="W27" i="57"/>
  <c r="AC27" i="57" s="1"/>
  <c r="V27" i="57"/>
  <c r="AB27" i="57" s="1"/>
  <c r="X26" i="57"/>
  <c r="AD26" i="57" s="1"/>
  <c r="W26" i="57"/>
  <c r="AC26" i="57" s="1"/>
  <c r="V26" i="57"/>
  <c r="AB26" i="57" s="1"/>
  <c r="X25" i="57"/>
  <c r="AD25" i="57" s="1"/>
  <c r="W25" i="57"/>
  <c r="AC25" i="57" s="1"/>
  <c r="V25" i="57"/>
  <c r="AB25" i="57" s="1"/>
  <c r="X24" i="57"/>
  <c r="AD24" i="57" s="1"/>
  <c r="W24" i="57"/>
  <c r="AC24" i="57" s="1"/>
  <c r="V24" i="57"/>
  <c r="AB24" i="57" s="1"/>
  <c r="X23" i="57"/>
  <c r="AD23" i="57" s="1"/>
  <c r="W23" i="57"/>
  <c r="AC23" i="57" s="1"/>
  <c r="V23" i="57"/>
  <c r="AB23" i="57" s="1"/>
  <c r="X22" i="57"/>
  <c r="AD22" i="57" s="1"/>
  <c r="W22" i="57"/>
  <c r="AC22" i="57" s="1"/>
  <c r="V22" i="57"/>
  <c r="AB22" i="57" s="1"/>
  <c r="X21" i="57"/>
  <c r="AD21" i="57" s="1"/>
  <c r="W21" i="57"/>
  <c r="AC21" i="57" s="1"/>
  <c r="V21" i="57"/>
  <c r="AB21" i="57" s="1"/>
  <c r="X20" i="57"/>
  <c r="AD20" i="57" s="1"/>
  <c r="W20" i="57"/>
  <c r="AC20" i="57" s="1"/>
  <c r="V20" i="57"/>
  <c r="AB20" i="57" s="1"/>
  <c r="X19" i="57"/>
  <c r="AD19" i="57" s="1"/>
  <c r="W19" i="57"/>
  <c r="AC19" i="57" s="1"/>
  <c r="V19" i="57"/>
  <c r="AB19" i="57" s="1"/>
  <c r="X18" i="57"/>
  <c r="AD18" i="57" s="1"/>
  <c r="W18" i="57"/>
  <c r="AC18" i="57" s="1"/>
  <c r="V18" i="57"/>
  <c r="AB18" i="57" s="1"/>
  <c r="X17" i="57"/>
  <c r="AD17" i="57" s="1"/>
  <c r="W17" i="57"/>
  <c r="AC17" i="57" s="1"/>
  <c r="V17" i="57"/>
  <c r="AB17" i="57" s="1"/>
  <c r="X16" i="57"/>
  <c r="AD16" i="57" s="1"/>
  <c r="W16" i="57"/>
  <c r="AC16" i="57" s="1"/>
  <c r="V16" i="57"/>
  <c r="AB16" i="57" s="1"/>
  <c r="X15" i="57"/>
  <c r="AD15" i="57" s="1"/>
  <c r="W15" i="57"/>
  <c r="AC15" i="57" s="1"/>
  <c r="V15" i="57"/>
  <c r="AB15" i="57" s="1"/>
  <c r="X14" i="57"/>
  <c r="AD14" i="57" s="1"/>
  <c r="W14" i="57"/>
  <c r="AC14" i="57" s="1"/>
  <c r="V14" i="57"/>
  <c r="AB14" i="57" s="1"/>
  <c r="X13" i="57"/>
  <c r="AD13" i="57" s="1"/>
  <c r="W13" i="57"/>
  <c r="AC13" i="57" s="1"/>
  <c r="V13" i="57"/>
  <c r="AB13" i="57" s="1"/>
  <c r="X12" i="57"/>
  <c r="AD12" i="57" s="1"/>
  <c r="W12" i="57"/>
  <c r="AC12" i="57" s="1"/>
  <c r="V12" i="57"/>
  <c r="AB12" i="57" s="1"/>
  <c r="X11" i="57"/>
  <c r="AD11" i="57" s="1"/>
  <c r="W11" i="57"/>
  <c r="AC11" i="57" s="1"/>
  <c r="V11" i="57"/>
  <c r="AB11" i="57" s="1"/>
  <c r="X10" i="57"/>
  <c r="AD10" i="57" s="1"/>
  <c r="W10" i="57"/>
  <c r="AC10" i="57" s="1"/>
  <c r="V10" i="57"/>
  <c r="AB10" i="57" s="1"/>
  <c r="X9" i="57"/>
  <c r="AD9" i="57" s="1"/>
  <c r="W9" i="57"/>
  <c r="AC9" i="57" s="1"/>
  <c r="V9" i="57"/>
  <c r="AB9" i="57" s="1"/>
  <c r="X8" i="57"/>
  <c r="AD8" i="57" s="1"/>
  <c r="W8" i="57"/>
  <c r="AC8" i="57" s="1"/>
  <c r="V8" i="57"/>
  <c r="AB8" i="57" s="1"/>
  <c r="X7" i="57"/>
  <c r="AD7" i="57" s="1"/>
  <c r="W7" i="57"/>
  <c r="AC7" i="57" s="1"/>
  <c r="V7" i="57"/>
  <c r="AB7" i="57" s="1"/>
  <c r="X6" i="57"/>
  <c r="AD6" i="57" s="1"/>
  <c r="W6" i="57"/>
  <c r="AC6" i="57" s="1"/>
  <c r="V6" i="57"/>
  <c r="AB6" i="57" s="1"/>
  <c r="X5" i="57"/>
  <c r="AD5" i="57" s="1"/>
  <c r="W5" i="57"/>
  <c r="AC5" i="57" s="1"/>
  <c r="V5" i="57"/>
  <c r="AB5" i="57" s="1"/>
  <c r="X4" i="57"/>
  <c r="AD4" i="57" s="1"/>
  <c r="W4" i="57"/>
  <c r="AC4" i="57" s="1"/>
  <c r="V4" i="57"/>
  <c r="AB4" i="57" s="1"/>
  <c r="X3" i="57"/>
  <c r="AD3" i="57" s="1"/>
  <c r="W3" i="57"/>
  <c r="AC3" i="57" s="1"/>
  <c r="V3" i="57"/>
  <c r="AB3" i="57" s="1"/>
  <c r="X2" i="57"/>
  <c r="AD2" i="57" s="1"/>
  <c r="AO2" i="57" s="1"/>
  <c r="AO7" i="57" s="1"/>
  <c r="W2" i="57"/>
  <c r="AC2" i="57" s="1"/>
  <c r="V2" i="57"/>
  <c r="AB2" i="57" s="1"/>
  <c r="AD51" i="47"/>
  <c r="AB51" i="47"/>
  <c r="AA51" i="47"/>
  <c r="Z51" i="47"/>
  <c r="Y51" i="47"/>
  <c r="X51" i="47"/>
  <c r="V51" i="47"/>
  <c r="U51" i="47"/>
  <c r="AD50" i="47"/>
  <c r="AB50" i="47"/>
  <c r="AA50" i="47"/>
  <c r="Z50" i="47"/>
  <c r="Y50" i="47"/>
  <c r="X50" i="47"/>
  <c r="V50" i="47"/>
  <c r="U50" i="47"/>
  <c r="AD49" i="47"/>
  <c r="AB49" i="47"/>
  <c r="AA49" i="47"/>
  <c r="AA49" i="48" s="1"/>
  <c r="Z49" i="47"/>
  <c r="Y49" i="47"/>
  <c r="X49" i="47"/>
  <c r="V49" i="47"/>
  <c r="U49" i="47"/>
  <c r="AD48" i="47"/>
  <c r="AB48" i="47"/>
  <c r="AA48" i="47"/>
  <c r="Z48" i="47"/>
  <c r="Y48" i="47"/>
  <c r="X48" i="47"/>
  <c r="V48" i="47"/>
  <c r="U48" i="47"/>
  <c r="AD47" i="47"/>
  <c r="AB47" i="47"/>
  <c r="AA47" i="47"/>
  <c r="Z47" i="47"/>
  <c r="Y47" i="47"/>
  <c r="X47" i="47"/>
  <c r="V47" i="47"/>
  <c r="U47" i="47"/>
  <c r="AD46" i="47"/>
  <c r="AB46" i="47"/>
  <c r="AA46" i="47"/>
  <c r="Z46" i="47"/>
  <c r="Y46" i="47"/>
  <c r="X46" i="47"/>
  <c r="V46" i="47"/>
  <c r="U46" i="47"/>
  <c r="AD45" i="47"/>
  <c r="AB45" i="47"/>
  <c r="AA45" i="47"/>
  <c r="AA45" i="48" s="1"/>
  <c r="Z45" i="47"/>
  <c r="Y45" i="47"/>
  <c r="X45" i="47"/>
  <c r="V45" i="47"/>
  <c r="U45" i="47"/>
  <c r="AD44" i="47"/>
  <c r="AB44" i="47"/>
  <c r="AA44" i="47"/>
  <c r="Z44" i="47"/>
  <c r="Y44" i="47"/>
  <c r="X44" i="47"/>
  <c r="V44" i="47"/>
  <c r="U44" i="47"/>
  <c r="AD43" i="47"/>
  <c r="AB43" i="47"/>
  <c r="AA43" i="47"/>
  <c r="Z43" i="47"/>
  <c r="Y43" i="47"/>
  <c r="X43" i="47"/>
  <c r="V43" i="47"/>
  <c r="U43" i="47"/>
  <c r="AD42" i="47"/>
  <c r="AB42" i="47"/>
  <c r="AA42" i="47"/>
  <c r="Z42" i="47"/>
  <c r="Y42" i="47"/>
  <c r="X42" i="47"/>
  <c r="V42" i="47"/>
  <c r="U42" i="47"/>
  <c r="AD41" i="47"/>
  <c r="AB41" i="47"/>
  <c r="AA41" i="47"/>
  <c r="AA41" i="48" s="1"/>
  <c r="Z41" i="47"/>
  <c r="Y41" i="47"/>
  <c r="X41" i="47"/>
  <c r="V41" i="47"/>
  <c r="U41" i="47"/>
  <c r="AD40" i="47"/>
  <c r="AB40" i="47"/>
  <c r="AA40" i="47"/>
  <c r="Z40" i="47"/>
  <c r="Y40" i="47"/>
  <c r="X40" i="47"/>
  <c r="V40" i="47"/>
  <c r="U40" i="47"/>
  <c r="AD39" i="47"/>
  <c r="AB39" i="47"/>
  <c r="AA39" i="47"/>
  <c r="Z39" i="47"/>
  <c r="Y39" i="47"/>
  <c r="X39" i="47"/>
  <c r="V39" i="47"/>
  <c r="U39" i="47"/>
  <c r="AD38" i="47"/>
  <c r="AB38" i="47"/>
  <c r="AA38" i="47"/>
  <c r="Z38" i="47"/>
  <c r="Y38" i="47"/>
  <c r="X38" i="47"/>
  <c r="V38" i="47"/>
  <c r="U38" i="47"/>
  <c r="AD37" i="47"/>
  <c r="AB37" i="47"/>
  <c r="AA37" i="47"/>
  <c r="AA37" i="48" s="1"/>
  <c r="Z37" i="47"/>
  <c r="Y37" i="47"/>
  <c r="X37" i="47"/>
  <c r="V37" i="47"/>
  <c r="U37" i="47"/>
  <c r="AD36" i="47"/>
  <c r="AB36" i="47"/>
  <c r="AA36" i="47"/>
  <c r="Z36" i="47"/>
  <c r="Y36" i="47"/>
  <c r="X36" i="47"/>
  <c r="V36" i="47"/>
  <c r="U36" i="47"/>
  <c r="AD35" i="47"/>
  <c r="AB35" i="47"/>
  <c r="AA35" i="47"/>
  <c r="Z35" i="47"/>
  <c r="Y35" i="47"/>
  <c r="X35" i="47"/>
  <c r="V35" i="47"/>
  <c r="U35" i="47"/>
  <c r="AD34" i="47"/>
  <c r="AB34" i="47"/>
  <c r="AA34" i="47"/>
  <c r="Z34" i="47"/>
  <c r="Y34" i="47"/>
  <c r="X34" i="47"/>
  <c r="V34" i="47"/>
  <c r="U34" i="47"/>
  <c r="AD33" i="47"/>
  <c r="AB33" i="47"/>
  <c r="AA33" i="47"/>
  <c r="AA33" i="48" s="1"/>
  <c r="Z33" i="47"/>
  <c r="Y33" i="47"/>
  <c r="X33" i="47"/>
  <c r="V33" i="47"/>
  <c r="U33" i="47"/>
  <c r="AD32" i="47"/>
  <c r="AB32" i="47"/>
  <c r="AA32" i="47"/>
  <c r="Z32" i="47"/>
  <c r="Y32" i="47"/>
  <c r="X32" i="47"/>
  <c r="V32" i="47"/>
  <c r="U32" i="47"/>
  <c r="AD31" i="47"/>
  <c r="AB31" i="47"/>
  <c r="AA31" i="47"/>
  <c r="Z31" i="47"/>
  <c r="Y31" i="47"/>
  <c r="X31" i="47"/>
  <c r="V31" i="47"/>
  <c r="U31" i="47"/>
  <c r="AD30" i="47"/>
  <c r="AB30" i="47"/>
  <c r="AA30" i="47"/>
  <c r="Z30" i="47"/>
  <c r="Y30" i="47"/>
  <c r="X30" i="47"/>
  <c r="V30" i="47"/>
  <c r="U30" i="47"/>
  <c r="AD29" i="47"/>
  <c r="AB29" i="47"/>
  <c r="AA29" i="47"/>
  <c r="AA29" i="48" s="1"/>
  <c r="Z29" i="47"/>
  <c r="Y29" i="47"/>
  <c r="X29" i="47"/>
  <c r="V29" i="47"/>
  <c r="U29" i="47"/>
  <c r="AD28" i="47"/>
  <c r="AB28" i="47"/>
  <c r="AA28" i="47"/>
  <c r="Z28" i="47"/>
  <c r="Y28" i="47"/>
  <c r="X28" i="47"/>
  <c r="V28" i="47"/>
  <c r="U28" i="47"/>
  <c r="AD27" i="47"/>
  <c r="AB27" i="47"/>
  <c r="AA27" i="47"/>
  <c r="Z27" i="47"/>
  <c r="Y27" i="47"/>
  <c r="X27" i="47"/>
  <c r="V27" i="47"/>
  <c r="U27" i="47"/>
  <c r="AD26" i="47"/>
  <c r="AB26" i="47"/>
  <c r="AA26" i="47"/>
  <c r="Z26" i="47"/>
  <c r="Y26" i="47"/>
  <c r="X26" i="47"/>
  <c r="V26" i="47"/>
  <c r="U26" i="47"/>
  <c r="AD25" i="47"/>
  <c r="AC25" i="47"/>
  <c r="AB25" i="47"/>
  <c r="AA25" i="47"/>
  <c r="AA25" i="48" s="1"/>
  <c r="Z25" i="47"/>
  <c r="Y25" i="47"/>
  <c r="X25" i="47"/>
  <c r="W25" i="47"/>
  <c r="V25" i="47"/>
  <c r="U25" i="47"/>
  <c r="AD24" i="47"/>
  <c r="AB24" i="47"/>
  <c r="AA24" i="47"/>
  <c r="Z24" i="47"/>
  <c r="Y24" i="47"/>
  <c r="X24" i="47"/>
  <c r="V24" i="47"/>
  <c r="U24" i="47"/>
  <c r="AD23" i="47"/>
  <c r="AB23" i="47"/>
  <c r="AA23" i="47"/>
  <c r="Z23" i="47"/>
  <c r="Y23" i="47"/>
  <c r="X23" i="47"/>
  <c r="W23" i="47"/>
  <c r="V23" i="47"/>
  <c r="U23" i="47"/>
  <c r="AD22" i="47"/>
  <c r="AB22" i="47"/>
  <c r="AA22" i="47"/>
  <c r="Z22" i="47"/>
  <c r="Y22" i="47"/>
  <c r="X22" i="47"/>
  <c r="V22" i="47"/>
  <c r="U22" i="47"/>
  <c r="AD21" i="47"/>
  <c r="AB21" i="47"/>
  <c r="AA21" i="47"/>
  <c r="AA21" i="48" s="1"/>
  <c r="Z21" i="47"/>
  <c r="Y21" i="47"/>
  <c r="X21" i="47"/>
  <c r="V21" i="47"/>
  <c r="U21" i="47"/>
  <c r="AD20" i="47"/>
  <c r="AC20" i="47"/>
  <c r="AB20" i="47"/>
  <c r="AA20" i="47"/>
  <c r="Z20" i="47"/>
  <c r="Y20" i="47"/>
  <c r="X20" i="47"/>
  <c r="W20" i="47"/>
  <c r="V20" i="47"/>
  <c r="U20" i="47"/>
  <c r="AD19" i="47"/>
  <c r="AC19" i="47"/>
  <c r="AB19" i="47"/>
  <c r="AA19" i="47"/>
  <c r="Z19" i="47"/>
  <c r="Y19" i="47"/>
  <c r="X19" i="47"/>
  <c r="W19" i="47"/>
  <c r="V19" i="47"/>
  <c r="U19" i="47"/>
  <c r="AD18" i="47"/>
  <c r="AC18" i="47"/>
  <c r="AB18" i="47"/>
  <c r="AA18" i="47"/>
  <c r="Z18" i="47"/>
  <c r="Y18" i="47"/>
  <c r="X18" i="47"/>
  <c r="W18" i="47"/>
  <c r="V18" i="47"/>
  <c r="U18" i="47"/>
  <c r="AD17" i="47"/>
  <c r="AC17" i="47"/>
  <c r="AB17" i="47"/>
  <c r="AA17" i="47"/>
  <c r="AA17" i="48" s="1"/>
  <c r="Z17" i="47"/>
  <c r="Y17" i="47"/>
  <c r="X17" i="47"/>
  <c r="W17" i="47"/>
  <c r="V17" i="47"/>
  <c r="U17" i="47"/>
  <c r="AD16" i="47"/>
  <c r="AC16" i="47"/>
  <c r="AB16" i="47"/>
  <c r="AA16" i="47"/>
  <c r="Z16" i="47"/>
  <c r="Y16" i="47"/>
  <c r="X16" i="47"/>
  <c r="W16" i="47"/>
  <c r="V16" i="47"/>
  <c r="U16" i="47"/>
  <c r="AD15" i="47"/>
  <c r="AC15" i="47"/>
  <c r="AB15" i="47"/>
  <c r="AA15" i="47"/>
  <c r="Z15" i="47"/>
  <c r="Y15" i="47"/>
  <c r="X15" i="47"/>
  <c r="W15" i="47"/>
  <c r="V15" i="47"/>
  <c r="U15" i="47"/>
  <c r="AD14" i="47"/>
  <c r="AC14" i="47"/>
  <c r="AB14" i="47"/>
  <c r="AA14" i="47"/>
  <c r="Z14" i="47"/>
  <c r="Y14" i="47"/>
  <c r="X14" i="47"/>
  <c r="W14" i="47"/>
  <c r="V14" i="47"/>
  <c r="U14" i="47"/>
  <c r="AD13" i="47"/>
  <c r="AC13" i="47"/>
  <c r="AB13" i="47"/>
  <c r="AA13" i="47"/>
  <c r="AA13" i="48" s="1"/>
  <c r="Z13" i="47"/>
  <c r="Y13" i="47"/>
  <c r="X13" i="47"/>
  <c r="W13" i="47"/>
  <c r="V13" i="47"/>
  <c r="U13" i="47"/>
  <c r="AD12" i="47"/>
  <c r="AC12" i="47"/>
  <c r="AB12" i="47"/>
  <c r="AA12" i="47"/>
  <c r="Z12" i="47"/>
  <c r="Y12" i="47"/>
  <c r="X12" i="47"/>
  <c r="W12" i="47"/>
  <c r="V12" i="47"/>
  <c r="U12" i="47"/>
  <c r="AD11" i="47"/>
  <c r="AC11" i="47"/>
  <c r="AB11" i="47"/>
  <c r="AA11" i="47"/>
  <c r="Z11" i="47"/>
  <c r="Y11" i="47"/>
  <c r="X11" i="47"/>
  <c r="W11" i="47"/>
  <c r="V11" i="47"/>
  <c r="U11" i="47"/>
  <c r="AD10" i="47"/>
  <c r="AC10" i="47"/>
  <c r="AB10" i="47"/>
  <c r="AA10" i="47"/>
  <c r="Z10" i="47"/>
  <c r="Y10" i="47"/>
  <c r="X10" i="47"/>
  <c r="W10" i="47"/>
  <c r="V10" i="47"/>
  <c r="U10" i="47"/>
  <c r="AD9" i="47"/>
  <c r="AC9" i="47"/>
  <c r="AB9" i="47"/>
  <c r="AA9" i="47"/>
  <c r="AA9" i="48" s="1"/>
  <c r="Z9" i="47"/>
  <c r="Y9" i="47"/>
  <c r="X9" i="47"/>
  <c r="W9" i="47"/>
  <c r="V9" i="47"/>
  <c r="U9" i="47"/>
  <c r="AD8" i="47"/>
  <c r="AC8" i="47"/>
  <c r="AB8" i="47"/>
  <c r="AA8" i="47"/>
  <c r="Z8" i="47"/>
  <c r="Y8" i="47"/>
  <c r="X8" i="47"/>
  <c r="W8" i="47"/>
  <c r="V8" i="47"/>
  <c r="U8" i="47"/>
  <c r="AD7" i="47"/>
  <c r="AC7" i="47"/>
  <c r="AB7" i="47"/>
  <c r="AA7" i="47"/>
  <c r="Z7" i="47"/>
  <c r="Y7" i="47"/>
  <c r="X7" i="47"/>
  <c r="W7" i="47"/>
  <c r="V7" i="47"/>
  <c r="U7" i="47"/>
  <c r="AD6" i="47"/>
  <c r="AC6" i="47"/>
  <c r="AB6" i="47"/>
  <c r="AA6" i="47"/>
  <c r="Z6" i="47"/>
  <c r="Y6" i="47"/>
  <c r="X6" i="47"/>
  <c r="W6" i="47"/>
  <c r="V6" i="47"/>
  <c r="U6" i="47"/>
  <c r="AD5" i="47"/>
  <c r="AC5" i="47"/>
  <c r="AB5" i="47"/>
  <c r="AA5" i="47"/>
  <c r="AA5" i="48" s="1"/>
  <c r="Z5" i="47"/>
  <c r="Y5" i="47"/>
  <c r="X5" i="47"/>
  <c r="W5" i="47"/>
  <c r="V5" i="47"/>
  <c r="U5" i="47"/>
  <c r="AP51" i="55"/>
  <c r="AC51" i="55"/>
  <c r="AC51" i="47" s="1"/>
  <c r="W51" i="55"/>
  <c r="W51" i="47" s="1"/>
  <c r="AP50" i="55"/>
  <c r="AC50" i="55"/>
  <c r="AC50" i="47" s="1"/>
  <c r="W50" i="55"/>
  <c r="W50" i="47" s="1"/>
  <c r="AP49" i="55"/>
  <c r="AC49" i="55"/>
  <c r="AC49" i="47" s="1"/>
  <c r="W49" i="55"/>
  <c r="W49" i="47" s="1"/>
  <c r="AP48" i="55"/>
  <c r="AC48" i="55"/>
  <c r="AC48" i="47" s="1"/>
  <c r="W48" i="55"/>
  <c r="W48" i="47" s="1"/>
  <c r="AP47" i="55"/>
  <c r="AC47" i="55"/>
  <c r="AC47" i="47" s="1"/>
  <c r="W47" i="55"/>
  <c r="W47" i="47" s="1"/>
  <c r="AP46" i="55"/>
  <c r="AC46" i="55"/>
  <c r="AC46" i="47" s="1"/>
  <c r="W46" i="55"/>
  <c r="W46" i="47" s="1"/>
  <c r="AP45" i="55"/>
  <c r="AC45" i="55"/>
  <c r="AC45" i="47" s="1"/>
  <c r="W45" i="55"/>
  <c r="W45" i="47" s="1"/>
  <c r="AP44" i="55"/>
  <c r="AC44" i="55"/>
  <c r="AC44" i="47" s="1"/>
  <c r="W44" i="55"/>
  <c r="W44" i="47" s="1"/>
  <c r="AP43" i="55"/>
  <c r="AC43" i="55"/>
  <c r="AC43" i="47" s="1"/>
  <c r="W43" i="55"/>
  <c r="W43" i="47" s="1"/>
  <c r="AP42" i="55"/>
  <c r="AC42" i="55"/>
  <c r="AC42" i="47" s="1"/>
  <c r="W42" i="55"/>
  <c r="W42" i="47" s="1"/>
  <c r="AP41" i="55"/>
  <c r="AC41" i="55"/>
  <c r="AC41" i="47" s="1"/>
  <c r="W41" i="55"/>
  <c r="W41" i="47" s="1"/>
  <c r="AP40" i="55"/>
  <c r="AC40" i="55"/>
  <c r="AC40" i="47" s="1"/>
  <c r="W40" i="55"/>
  <c r="W40" i="47" s="1"/>
  <c r="AP39" i="55"/>
  <c r="AC39" i="55"/>
  <c r="AC39" i="47" s="1"/>
  <c r="W39" i="55"/>
  <c r="W39" i="47" s="1"/>
  <c r="AP38" i="55"/>
  <c r="AC38" i="55"/>
  <c r="AC38" i="47" s="1"/>
  <c r="W38" i="55"/>
  <c r="W38" i="47" s="1"/>
  <c r="AP37" i="55"/>
  <c r="AC37" i="55"/>
  <c r="AC37" i="47" s="1"/>
  <c r="W37" i="55"/>
  <c r="W37" i="47" s="1"/>
  <c r="AP36" i="55"/>
  <c r="AC36" i="55"/>
  <c r="AC36" i="47" s="1"/>
  <c r="W36" i="55"/>
  <c r="W36" i="47" s="1"/>
  <c r="AP35" i="55"/>
  <c r="AC35" i="55"/>
  <c r="AC35" i="47" s="1"/>
  <c r="W35" i="55"/>
  <c r="W35" i="47" s="1"/>
  <c r="AP34" i="55"/>
  <c r="AC34" i="55"/>
  <c r="AC34" i="47" s="1"/>
  <c r="W34" i="55"/>
  <c r="W34" i="47" s="1"/>
  <c r="AP33" i="55"/>
  <c r="AC33" i="55"/>
  <c r="AC33" i="47" s="1"/>
  <c r="W33" i="55"/>
  <c r="W33" i="47" s="1"/>
  <c r="AP32" i="55"/>
  <c r="AC32" i="55"/>
  <c r="AC32" i="47" s="1"/>
  <c r="W32" i="55"/>
  <c r="W32" i="47" s="1"/>
  <c r="AP31" i="55"/>
  <c r="AC31" i="55"/>
  <c r="AC31" i="47" s="1"/>
  <c r="W31" i="55"/>
  <c r="W31" i="47" s="1"/>
  <c r="AP30" i="55"/>
  <c r="AC30" i="55"/>
  <c r="AC30" i="47" s="1"/>
  <c r="W30" i="55"/>
  <c r="W30" i="47" s="1"/>
  <c r="AP29" i="55"/>
  <c r="AC29" i="55"/>
  <c r="AC29" i="47" s="1"/>
  <c r="W29" i="55"/>
  <c r="W29" i="47" s="1"/>
  <c r="AP28" i="55"/>
  <c r="AC28" i="55"/>
  <c r="AC28" i="47" s="1"/>
  <c r="W28" i="55"/>
  <c r="W28" i="47" s="1"/>
  <c r="AP27" i="55"/>
  <c r="AC27" i="55"/>
  <c r="AC27" i="47" s="1"/>
  <c r="W27" i="55"/>
  <c r="W27" i="47" s="1"/>
  <c r="AP26" i="55"/>
  <c r="AC26" i="55"/>
  <c r="AC26" i="47" s="1"/>
  <c r="W26" i="55"/>
  <c r="W26" i="47" s="1"/>
  <c r="AP24" i="55"/>
  <c r="AC24" i="55"/>
  <c r="AC24" i="47" s="1"/>
  <c r="W24" i="55"/>
  <c r="W24" i="47" s="1"/>
  <c r="AP23" i="55"/>
  <c r="AC23" i="55"/>
  <c r="AC23" i="47" s="1"/>
  <c r="W23" i="55"/>
  <c r="AP22" i="55"/>
  <c r="AC22" i="55"/>
  <c r="AC22" i="47" s="1"/>
  <c r="W22" i="55"/>
  <c r="W22" i="47" s="1"/>
  <c r="AP21" i="55"/>
  <c r="AC21" i="55"/>
  <c r="AC21" i="47" s="1"/>
  <c r="W21" i="55"/>
  <c r="W21" i="47" s="1"/>
  <c r="X47" i="54"/>
  <c r="V47" i="54"/>
  <c r="T47" i="54"/>
  <c r="P47" i="54"/>
  <c r="O47" i="54"/>
  <c r="N47" i="54"/>
  <c r="M47" i="54"/>
  <c r="V46" i="54"/>
  <c r="U46" i="54"/>
  <c r="T46" i="54"/>
  <c r="P46" i="54"/>
  <c r="O46" i="54"/>
  <c r="N46" i="54"/>
  <c r="M46" i="54"/>
  <c r="X45" i="54"/>
  <c r="V45" i="54"/>
  <c r="U45" i="54"/>
  <c r="T45" i="54"/>
  <c r="P45" i="54"/>
  <c r="O45" i="54"/>
  <c r="N45" i="54"/>
  <c r="M45" i="54"/>
  <c r="X47" i="53"/>
  <c r="V47" i="53"/>
  <c r="T47" i="53"/>
  <c r="P47" i="53"/>
  <c r="O47" i="53"/>
  <c r="N47" i="53"/>
  <c r="M47" i="53"/>
  <c r="V46" i="53"/>
  <c r="U46" i="53"/>
  <c r="T46" i="53"/>
  <c r="P46" i="53"/>
  <c r="O46" i="53"/>
  <c r="N46" i="53"/>
  <c r="M46" i="53"/>
  <c r="X45" i="53"/>
  <c r="V45" i="53"/>
  <c r="V49" i="53" s="1"/>
  <c r="U45" i="53"/>
  <c r="U49" i="53" s="1"/>
  <c r="T45" i="53"/>
  <c r="T49" i="53" s="1"/>
  <c r="P45" i="53"/>
  <c r="P49" i="53" s="1"/>
  <c r="O45" i="53"/>
  <c r="N45" i="53"/>
  <c r="N49" i="53" s="1"/>
  <c r="M45" i="53"/>
  <c r="M49" i="53" s="1"/>
  <c r="Y42" i="52"/>
  <c r="Y41" i="52"/>
  <c r="Y40" i="52"/>
  <c r="Y39" i="52"/>
  <c r="Y38" i="52"/>
  <c r="Y37" i="52"/>
  <c r="Y36" i="52"/>
  <c r="Y35" i="52"/>
  <c r="Y34" i="52"/>
  <c r="Y33" i="52"/>
  <c r="Y32" i="52"/>
  <c r="Y31" i="52"/>
  <c r="Y30" i="52"/>
  <c r="Y29" i="52"/>
  <c r="Y28" i="52"/>
  <c r="Y27" i="52"/>
  <c r="Y26" i="52"/>
  <c r="Y25" i="52"/>
  <c r="Y24" i="52"/>
  <c r="Y23" i="52"/>
  <c r="Y22" i="52"/>
  <c r="Y21" i="52"/>
  <c r="Y20" i="52"/>
  <c r="Y19" i="52"/>
  <c r="Y18" i="52"/>
  <c r="Y17" i="52"/>
  <c r="Y16" i="52"/>
  <c r="Y15" i="52"/>
  <c r="Y14" i="52"/>
  <c r="Y13" i="52"/>
  <c r="Y12" i="52"/>
  <c r="Y11" i="52"/>
  <c r="Y10" i="52"/>
  <c r="Y9" i="52"/>
  <c r="Y8" i="52"/>
  <c r="Y7" i="52"/>
  <c r="Y6" i="52"/>
  <c r="Y5" i="52"/>
  <c r="X47" i="52"/>
  <c r="V47" i="52"/>
  <c r="T47" i="52"/>
  <c r="P47" i="52"/>
  <c r="O47" i="52"/>
  <c r="N47" i="52"/>
  <c r="M47" i="52"/>
  <c r="V46" i="52"/>
  <c r="U46" i="52"/>
  <c r="T46" i="52"/>
  <c r="P46" i="52"/>
  <c r="O46" i="52"/>
  <c r="N46" i="52"/>
  <c r="M46" i="52"/>
  <c r="X45" i="52"/>
  <c r="V45" i="52"/>
  <c r="V49" i="52" s="1"/>
  <c r="U45" i="52"/>
  <c r="U49" i="52" s="1"/>
  <c r="T45" i="52"/>
  <c r="T49" i="52" s="1"/>
  <c r="P45" i="52"/>
  <c r="P49" i="52" s="1"/>
  <c r="O45" i="52"/>
  <c r="O49" i="52" s="1"/>
  <c r="N45" i="52"/>
  <c r="N49" i="52" s="1"/>
  <c r="M45" i="52"/>
  <c r="M49" i="52" s="1"/>
  <c r="X47" i="51"/>
  <c r="X45" i="51"/>
  <c r="V47" i="51"/>
  <c r="V46" i="51"/>
  <c r="V45" i="51"/>
  <c r="U46" i="51"/>
  <c r="U45" i="51"/>
  <c r="T47" i="51"/>
  <c r="T46" i="51"/>
  <c r="T45" i="51"/>
  <c r="R48" i="51"/>
  <c r="P47" i="51"/>
  <c r="P46" i="51"/>
  <c r="P45" i="51"/>
  <c r="O47" i="51"/>
  <c r="O46" i="51"/>
  <c r="O45" i="51"/>
  <c r="N47" i="51"/>
  <c r="N46" i="51"/>
  <c r="N45" i="51"/>
  <c r="M47" i="51"/>
  <c r="M46" i="51"/>
  <c r="M45" i="51"/>
  <c r="Z42" i="51"/>
  <c r="Z41" i="51"/>
  <c r="Z40" i="51"/>
  <c r="Z39" i="51"/>
  <c r="Z38" i="51"/>
  <c r="Z37" i="51"/>
  <c r="Z36" i="51"/>
  <c r="Z35" i="51"/>
  <c r="Z34" i="51"/>
  <c r="Z33" i="51"/>
  <c r="Z32" i="51"/>
  <c r="Z31" i="51"/>
  <c r="Z30" i="51"/>
  <c r="Z29" i="51"/>
  <c r="Z28" i="51"/>
  <c r="Z27" i="51"/>
  <c r="Z26" i="51"/>
  <c r="Z25" i="51"/>
  <c r="Z24" i="51"/>
  <c r="Z23" i="51"/>
  <c r="Z22" i="51"/>
  <c r="Z21" i="51"/>
  <c r="Z20" i="51"/>
  <c r="Z19" i="51"/>
  <c r="Z18" i="51"/>
  <c r="Z17" i="51"/>
  <c r="Z15" i="51"/>
  <c r="Z14" i="51"/>
  <c r="Z13" i="51"/>
  <c r="Z12" i="51"/>
  <c r="V42" i="51"/>
  <c r="V41" i="51"/>
  <c r="V40" i="51"/>
  <c r="V39" i="51"/>
  <c r="V38" i="51"/>
  <c r="V37" i="51"/>
  <c r="V36" i="51"/>
  <c r="V35" i="51"/>
  <c r="V34" i="51"/>
  <c r="V33" i="51"/>
  <c r="V32" i="51"/>
  <c r="V31" i="51"/>
  <c r="V30" i="51"/>
  <c r="V29" i="51"/>
  <c r="V28" i="51"/>
  <c r="V27" i="51"/>
  <c r="V26" i="51"/>
  <c r="V25" i="51"/>
  <c r="V24" i="51"/>
  <c r="V23" i="51"/>
  <c r="V22" i="51"/>
  <c r="V21" i="51"/>
  <c r="V20" i="51"/>
  <c r="V19" i="51"/>
  <c r="V18" i="51"/>
  <c r="V17" i="51"/>
  <c r="V15" i="51"/>
  <c r="V14" i="51"/>
  <c r="V13" i="51"/>
  <c r="V12" i="51"/>
  <c r="U42" i="51"/>
  <c r="U41" i="51"/>
  <c r="U40" i="51"/>
  <c r="U39" i="51"/>
  <c r="U38" i="51"/>
  <c r="U37" i="51"/>
  <c r="U36" i="51"/>
  <c r="U35" i="51"/>
  <c r="U34" i="51"/>
  <c r="U33" i="51"/>
  <c r="U32" i="51"/>
  <c r="U31" i="51"/>
  <c r="U30" i="51"/>
  <c r="U29" i="51"/>
  <c r="U28" i="51"/>
  <c r="U27" i="51"/>
  <c r="U26" i="51"/>
  <c r="U25" i="51"/>
  <c r="U24" i="51"/>
  <c r="U23" i="51"/>
  <c r="U22" i="51"/>
  <c r="U21" i="51"/>
  <c r="U20" i="51"/>
  <c r="U19" i="51"/>
  <c r="U18" i="51"/>
  <c r="U17" i="51"/>
  <c r="U15" i="51"/>
  <c r="U14" i="51"/>
  <c r="U13" i="51"/>
  <c r="U12" i="51"/>
  <c r="T42" i="51"/>
  <c r="T41" i="51"/>
  <c r="T40" i="51"/>
  <c r="T39" i="51"/>
  <c r="T38" i="51"/>
  <c r="T37" i="51"/>
  <c r="T36" i="51"/>
  <c r="T35" i="51"/>
  <c r="T34" i="51"/>
  <c r="T33" i="51"/>
  <c r="T32" i="51"/>
  <c r="T31" i="51"/>
  <c r="T30" i="51"/>
  <c r="T29" i="51"/>
  <c r="T28" i="51"/>
  <c r="T27" i="51"/>
  <c r="T26" i="51"/>
  <c r="T25" i="51"/>
  <c r="T24" i="51"/>
  <c r="T23" i="51"/>
  <c r="T22" i="51"/>
  <c r="T21" i="51"/>
  <c r="T20" i="51"/>
  <c r="T19" i="51"/>
  <c r="T18" i="51"/>
  <c r="T17" i="51"/>
  <c r="T15" i="51"/>
  <c r="T14" i="51"/>
  <c r="T13" i="51"/>
  <c r="T12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5" i="51"/>
  <c r="R14" i="51"/>
  <c r="R13" i="51"/>
  <c r="R12" i="51"/>
  <c r="P42" i="51"/>
  <c r="P41" i="51"/>
  <c r="P40" i="51"/>
  <c r="P39" i="51"/>
  <c r="P38" i="51"/>
  <c r="P37" i="51"/>
  <c r="P36" i="51"/>
  <c r="P35" i="51"/>
  <c r="P34" i="51"/>
  <c r="P33" i="51"/>
  <c r="P32" i="51"/>
  <c r="P31" i="51"/>
  <c r="P30" i="51"/>
  <c r="P29" i="51"/>
  <c r="P28" i="51"/>
  <c r="P27" i="51"/>
  <c r="P26" i="51"/>
  <c r="P25" i="51"/>
  <c r="P24" i="51"/>
  <c r="P23" i="51"/>
  <c r="P22" i="51"/>
  <c r="P21" i="51"/>
  <c r="P20" i="51"/>
  <c r="P19" i="51"/>
  <c r="P18" i="51"/>
  <c r="P17" i="51"/>
  <c r="P15" i="51"/>
  <c r="P14" i="51"/>
  <c r="P13" i="51"/>
  <c r="P12" i="51"/>
  <c r="O42" i="51"/>
  <c r="O41" i="51"/>
  <c r="O40" i="51"/>
  <c r="O39" i="51"/>
  <c r="O38" i="51"/>
  <c r="O37" i="51"/>
  <c r="O36" i="51"/>
  <c r="O35" i="51"/>
  <c r="O34" i="51"/>
  <c r="O33" i="51"/>
  <c r="O32" i="51"/>
  <c r="O31" i="51"/>
  <c r="O30" i="51"/>
  <c r="O29" i="51"/>
  <c r="O28" i="51"/>
  <c r="O27" i="51"/>
  <c r="O26" i="51"/>
  <c r="O25" i="51"/>
  <c r="O24" i="51"/>
  <c r="O23" i="51"/>
  <c r="O22" i="51"/>
  <c r="O21" i="51"/>
  <c r="O20" i="51"/>
  <c r="O19" i="51"/>
  <c r="O18" i="51"/>
  <c r="O17" i="51"/>
  <c r="O15" i="51"/>
  <c r="O14" i="51"/>
  <c r="O13" i="51"/>
  <c r="O12" i="51"/>
  <c r="N42" i="51"/>
  <c r="N41" i="51"/>
  <c r="N40" i="51"/>
  <c r="N39" i="51"/>
  <c r="N38" i="51"/>
  <c r="N37" i="51"/>
  <c r="N36" i="51"/>
  <c r="N35" i="51"/>
  <c r="N34" i="51"/>
  <c r="N33" i="51"/>
  <c r="N32" i="51"/>
  <c r="N31" i="51"/>
  <c r="N30" i="51"/>
  <c r="N29" i="51"/>
  <c r="N28" i="51"/>
  <c r="N27" i="51"/>
  <c r="N26" i="51"/>
  <c r="N25" i="51"/>
  <c r="N24" i="51"/>
  <c r="N23" i="51"/>
  <c r="N22" i="51"/>
  <c r="N21" i="51"/>
  <c r="N20" i="51"/>
  <c r="N19" i="51"/>
  <c r="N18" i="51"/>
  <c r="N17" i="51"/>
  <c r="N15" i="51"/>
  <c r="N14" i="51"/>
  <c r="N13" i="51"/>
  <c r="N12" i="51"/>
  <c r="M42" i="51"/>
  <c r="M41" i="51"/>
  <c r="M40" i="51"/>
  <c r="M39" i="51"/>
  <c r="M38" i="51"/>
  <c r="M37" i="51"/>
  <c r="M36" i="51"/>
  <c r="M35" i="51"/>
  <c r="M34" i="51"/>
  <c r="M33" i="51"/>
  <c r="M32" i="51"/>
  <c r="M31" i="51"/>
  <c r="M30" i="51"/>
  <c r="M29" i="51"/>
  <c r="M28" i="51"/>
  <c r="M27" i="51"/>
  <c r="M26" i="51"/>
  <c r="M25" i="51"/>
  <c r="M24" i="51"/>
  <c r="M23" i="51"/>
  <c r="M22" i="51"/>
  <c r="M21" i="51"/>
  <c r="M20" i="51"/>
  <c r="M19" i="51"/>
  <c r="M18" i="51"/>
  <c r="M17" i="51"/>
  <c r="M15" i="51"/>
  <c r="M14" i="51"/>
  <c r="M13" i="51"/>
  <c r="M12" i="51"/>
  <c r="L42" i="51"/>
  <c r="L41" i="51"/>
  <c r="L40" i="51"/>
  <c r="L39" i="51"/>
  <c r="L38" i="51"/>
  <c r="L37" i="51"/>
  <c r="L36" i="51"/>
  <c r="L35" i="51"/>
  <c r="L34" i="51"/>
  <c r="L33" i="51"/>
  <c r="L32" i="51"/>
  <c r="L31" i="51"/>
  <c r="L30" i="51"/>
  <c r="L29" i="51"/>
  <c r="L28" i="51"/>
  <c r="L27" i="51"/>
  <c r="L26" i="51"/>
  <c r="L25" i="51"/>
  <c r="L24" i="51"/>
  <c r="L23" i="51"/>
  <c r="L22" i="51"/>
  <c r="L21" i="51"/>
  <c r="L20" i="51"/>
  <c r="L19" i="51"/>
  <c r="L18" i="51"/>
  <c r="L17" i="51"/>
  <c r="L15" i="51"/>
  <c r="L14" i="51"/>
  <c r="L13" i="51"/>
  <c r="L12" i="51"/>
  <c r="AK56" i="50"/>
  <c r="AF56" i="50"/>
  <c r="AP54" i="50" s="1"/>
  <c r="AE56" i="50"/>
  <c r="AO54" i="50" s="1"/>
  <c r="AC56" i="50"/>
  <c r="Y56" i="50"/>
  <c r="X56" i="50"/>
  <c r="W56" i="50"/>
  <c r="S56" i="50"/>
  <c r="R56" i="50"/>
  <c r="Q56" i="50"/>
  <c r="P56" i="50"/>
  <c r="O56" i="50"/>
  <c r="M56" i="50"/>
  <c r="L56" i="50"/>
  <c r="AK55" i="50"/>
  <c r="AF55" i="50"/>
  <c r="AC55" i="50"/>
  <c r="AA55" i="50"/>
  <c r="Z55" i="50"/>
  <c r="Y55" i="50"/>
  <c r="X55" i="50"/>
  <c r="W55" i="50"/>
  <c r="V55" i="50"/>
  <c r="U55" i="50"/>
  <c r="S55" i="50"/>
  <c r="R55" i="50"/>
  <c r="Q55" i="50"/>
  <c r="P55" i="50"/>
  <c r="O55" i="50"/>
  <c r="M55" i="50"/>
  <c r="L55" i="50"/>
  <c r="AL57" i="49"/>
  <c r="AG57" i="49"/>
  <c r="AD57" i="49"/>
  <c r="AB57" i="49"/>
  <c r="T57" i="49"/>
  <c r="AK56" i="49"/>
  <c r="AF56" i="49"/>
  <c r="AE56" i="49"/>
  <c r="AC56" i="49"/>
  <c r="Y56" i="49"/>
  <c r="X56" i="49"/>
  <c r="W56" i="49"/>
  <c r="S56" i="49"/>
  <c r="R56" i="49"/>
  <c r="Q56" i="49"/>
  <c r="P56" i="49"/>
  <c r="O56" i="49"/>
  <c r="M56" i="49"/>
  <c r="L56" i="49"/>
  <c r="AK55" i="49"/>
  <c r="AF55" i="49"/>
  <c r="AP54" i="49" s="1"/>
  <c r="AC55" i="49"/>
  <c r="AA55" i="49"/>
  <c r="Z55" i="49"/>
  <c r="Y55" i="49"/>
  <c r="X55" i="49"/>
  <c r="W55" i="49"/>
  <c r="V55" i="49"/>
  <c r="U55" i="49"/>
  <c r="S55" i="49"/>
  <c r="R55" i="49"/>
  <c r="Q55" i="49"/>
  <c r="P55" i="49"/>
  <c r="O55" i="49"/>
  <c r="M55" i="49"/>
  <c r="L55" i="49"/>
  <c r="AL57" i="48"/>
  <c r="AG57" i="48"/>
  <c r="AD57" i="48"/>
  <c r="AB57" i="48"/>
  <c r="T57" i="48"/>
  <c r="AG51" i="48"/>
  <c r="AA51" i="48"/>
  <c r="Z51" i="48"/>
  <c r="AG50" i="48"/>
  <c r="AA50" i="48"/>
  <c r="Z50" i="48"/>
  <c r="AG49" i="48"/>
  <c r="Z49" i="48"/>
  <c r="AG48" i="48"/>
  <c r="AA48" i="48"/>
  <c r="Z48" i="48"/>
  <c r="AG47" i="48"/>
  <c r="AA47" i="48"/>
  <c r="Z47" i="48"/>
  <c r="AG46" i="48"/>
  <c r="AA46" i="48"/>
  <c r="Z46" i="48"/>
  <c r="AG45" i="48"/>
  <c r="Z45" i="48"/>
  <c r="AG44" i="48"/>
  <c r="AA44" i="48"/>
  <c r="Z44" i="48"/>
  <c r="AG43" i="48"/>
  <c r="AA43" i="48"/>
  <c r="Z43" i="48"/>
  <c r="AG42" i="48"/>
  <c r="AA42" i="48"/>
  <c r="Z42" i="48"/>
  <c r="AG41" i="48"/>
  <c r="Z41" i="48"/>
  <c r="AG40" i="48"/>
  <c r="AA40" i="48"/>
  <c r="Z40" i="48"/>
  <c r="AG39" i="48"/>
  <c r="AA39" i="48"/>
  <c r="Z39" i="48"/>
  <c r="AG38" i="48"/>
  <c r="AA38" i="48"/>
  <c r="Z38" i="48"/>
  <c r="AG37" i="48"/>
  <c r="Z37" i="48"/>
  <c r="AG36" i="48"/>
  <c r="AA36" i="48"/>
  <c r="Z36" i="48"/>
  <c r="AG35" i="48"/>
  <c r="AA35" i="48"/>
  <c r="Z35" i="48"/>
  <c r="AG34" i="48"/>
  <c r="AA34" i="48"/>
  <c r="Z34" i="48"/>
  <c r="AG33" i="48"/>
  <c r="Z33" i="48"/>
  <c r="AG32" i="48"/>
  <c r="AA32" i="48"/>
  <c r="Z32" i="48"/>
  <c r="AG31" i="48"/>
  <c r="AA31" i="48"/>
  <c r="Z31" i="48"/>
  <c r="AG30" i="48"/>
  <c r="AA30" i="48"/>
  <c r="Z30" i="48"/>
  <c r="AG29" i="48"/>
  <c r="Z29" i="48"/>
  <c r="AG28" i="48"/>
  <c r="AA28" i="48"/>
  <c r="Z28" i="48"/>
  <c r="AG27" i="48"/>
  <c r="AA27" i="48"/>
  <c r="Z27" i="48"/>
  <c r="AG26" i="48"/>
  <c r="AA26" i="48"/>
  <c r="Z26" i="48"/>
  <c r="AG25" i="48"/>
  <c r="Z25" i="48"/>
  <c r="AG24" i="48"/>
  <c r="AA24" i="48"/>
  <c r="Z24" i="48"/>
  <c r="AG23" i="48"/>
  <c r="AA23" i="48"/>
  <c r="Z23" i="48"/>
  <c r="AG22" i="48"/>
  <c r="AA22" i="48"/>
  <c r="Z22" i="48"/>
  <c r="AG21" i="48"/>
  <c r="Z21" i="48"/>
  <c r="AG20" i="48"/>
  <c r="AA20" i="48"/>
  <c r="Z20" i="48"/>
  <c r="AG19" i="48"/>
  <c r="AA19" i="48"/>
  <c r="Z19" i="48"/>
  <c r="AG18" i="48"/>
  <c r="AA18" i="48"/>
  <c r="Z18" i="48"/>
  <c r="AG17" i="48"/>
  <c r="Z17" i="48"/>
  <c r="AG16" i="48"/>
  <c r="AA16" i="48"/>
  <c r="Z16" i="48"/>
  <c r="AG15" i="48"/>
  <c r="AA15" i="48"/>
  <c r="Z15" i="48"/>
  <c r="AG14" i="48"/>
  <c r="AA14" i="48"/>
  <c r="Z14" i="48"/>
  <c r="AG13" i="48"/>
  <c r="Z13" i="48"/>
  <c r="AG12" i="48"/>
  <c r="AA12" i="48"/>
  <c r="Z12" i="48"/>
  <c r="AG11" i="48"/>
  <c r="AA11" i="48"/>
  <c r="Z11" i="48"/>
  <c r="AG10" i="48"/>
  <c r="AA10" i="48"/>
  <c r="Z10" i="48"/>
  <c r="AG9" i="48"/>
  <c r="Z9" i="48"/>
  <c r="AG8" i="48"/>
  <c r="AA8" i="48"/>
  <c r="Z8" i="48"/>
  <c r="AG7" i="48"/>
  <c r="AA7" i="48"/>
  <c r="Z7" i="48"/>
  <c r="AG6" i="48"/>
  <c r="AA6" i="48"/>
  <c r="Z6" i="48"/>
  <c r="AG5" i="48"/>
  <c r="Z5" i="48"/>
  <c r="AK56" i="48"/>
  <c r="AF56" i="48"/>
  <c r="AE56" i="48"/>
  <c r="AC56" i="48"/>
  <c r="Y56" i="48"/>
  <c r="X56" i="48"/>
  <c r="W56" i="48"/>
  <c r="S56" i="48"/>
  <c r="R56" i="48"/>
  <c r="Q56" i="48"/>
  <c r="P56" i="48"/>
  <c r="O56" i="48"/>
  <c r="M56" i="48"/>
  <c r="L56" i="48"/>
  <c r="AK55" i="48"/>
  <c r="AF55" i="48"/>
  <c r="AC55" i="48"/>
  <c r="AA55" i="48"/>
  <c r="Z55" i="48"/>
  <c r="Y55" i="48"/>
  <c r="X55" i="48"/>
  <c r="W55" i="48"/>
  <c r="V55" i="48"/>
  <c r="U55" i="48"/>
  <c r="S55" i="48"/>
  <c r="R55" i="48"/>
  <c r="Q55" i="48"/>
  <c r="P55" i="48"/>
  <c r="O55" i="48"/>
  <c r="M55" i="48"/>
  <c r="L55" i="48"/>
  <c r="AP51" i="48"/>
  <c r="AP50" i="48"/>
  <c r="AP49" i="48"/>
  <c r="AP48" i="48"/>
  <c r="AP47" i="48"/>
  <c r="AP46" i="48"/>
  <c r="AP45" i="48"/>
  <c r="AP44" i="48"/>
  <c r="AP43" i="48"/>
  <c r="AP42" i="48"/>
  <c r="AP41" i="48"/>
  <c r="AP40" i="48"/>
  <c r="AP39" i="48"/>
  <c r="AP38" i="48"/>
  <c r="AP37" i="48"/>
  <c r="AP36" i="48"/>
  <c r="AP35" i="48"/>
  <c r="AP34" i="48"/>
  <c r="AP33" i="48"/>
  <c r="AP32" i="48"/>
  <c r="AP31" i="48"/>
  <c r="AP30" i="48"/>
  <c r="AP29" i="48"/>
  <c r="AP28" i="48"/>
  <c r="AP27" i="48"/>
  <c r="AP26" i="48"/>
  <c r="AP24" i="48"/>
  <c r="AP23" i="48"/>
  <c r="AP22" i="48"/>
  <c r="AP21" i="48"/>
  <c r="AA56" i="47"/>
  <c r="Z56" i="47"/>
  <c r="Z54" i="48" s="1"/>
  <c r="AK58" i="47"/>
  <c r="AK57" i="47"/>
  <c r="AK56" i="47"/>
  <c r="AF58" i="47"/>
  <c r="AF57" i="47"/>
  <c r="AF56" i="47"/>
  <c r="AE58" i="47"/>
  <c r="AE56" i="47"/>
  <c r="AE54" i="48" s="1"/>
  <c r="AC58" i="47"/>
  <c r="AC57" i="47"/>
  <c r="AC56" i="47"/>
  <c r="AA57" i="47"/>
  <c r="Z57" i="47"/>
  <c r="Y58" i="47"/>
  <c r="Y57" i="47"/>
  <c r="X58" i="47"/>
  <c r="X57" i="47"/>
  <c r="X56" i="47"/>
  <c r="W58" i="47"/>
  <c r="W57" i="47"/>
  <c r="V58" i="47"/>
  <c r="V57" i="47"/>
  <c r="U57" i="47"/>
  <c r="U56" i="47"/>
  <c r="S58" i="47"/>
  <c r="S57" i="47"/>
  <c r="S56" i="47"/>
  <c r="R58" i="47"/>
  <c r="R57" i="47"/>
  <c r="R56" i="47"/>
  <c r="Q58" i="47"/>
  <c r="Q57" i="47"/>
  <c r="Q56" i="47"/>
  <c r="P58" i="47"/>
  <c r="P57" i="47"/>
  <c r="P56" i="47"/>
  <c r="O58" i="47"/>
  <c r="O57" i="47"/>
  <c r="O56" i="47"/>
  <c r="O54" i="48" s="1"/>
  <c r="M58" i="47"/>
  <c r="M57" i="47"/>
  <c r="M56" i="47"/>
  <c r="L58" i="47"/>
  <c r="L57" i="47"/>
  <c r="L56" i="47"/>
  <c r="L54" i="50" s="1"/>
  <c r="AK16" i="47"/>
  <c r="AK15" i="47"/>
  <c r="AK10" i="47"/>
  <c r="AK9" i="47"/>
  <c r="AK6" i="47"/>
  <c r="AK5" i="47"/>
  <c r="AI51" i="47"/>
  <c r="AI50" i="47"/>
  <c r="AI49" i="47"/>
  <c r="AI48" i="47"/>
  <c r="AI47" i="47"/>
  <c r="AI46" i="47"/>
  <c r="AI45" i="47"/>
  <c r="AI44" i="47"/>
  <c r="AI43" i="47"/>
  <c r="AI42" i="47"/>
  <c r="AI41" i="47"/>
  <c r="AI40" i="47"/>
  <c r="AI39" i="47"/>
  <c r="AI38" i="47"/>
  <c r="AI37" i="47"/>
  <c r="AI36" i="47"/>
  <c r="AI35" i="47"/>
  <c r="AI34" i="47"/>
  <c r="AI33" i="47"/>
  <c r="AI32" i="47"/>
  <c r="AI31" i="47"/>
  <c r="AI30" i="47"/>
  <c r="AI29" i="47"/>
  <c r="AI28" i="47"/>
  <c r="AI27" i="47"/>
  <c r="AI26" i="47"/>
  <c r="AI24" i="47"/>
  <c r="AI23" i="47"/>
  <c r="AI22" i="47"/>
  <c r="AI21" i="47"/>
  <c r="AH51" i="47"/>
  <c r="AH50" i="47"/>
  <c r="AH49" i="47"/>
  <c r="AH48" i="47"/>
  <c r="AH47" i="47"/>
  <c r="AH46" i="47"/>
  <c r="AH45" i="47"/>
  <c r="AH44" i="47"/>
  <c r="AH43" i="47"/>
  <c r="AH42" i="47"/>
  <c r="AH41" i="47"/>
  <c r="AH40" i="47"/>
  <c r="AH39" i="47"/>
  <c r="AH38" i="47"/>
  <c r="AH37" i="47"/>
  <c r="AH36" i="47"/>
  <c r="AH35" i="47"/>
  <c r="AH34" i="47"/>
  <c r="AH33" i="47"/>
  <c r="AH32" i="47"/>
  <c r="AH31" i="47"/>
  <c r="AH30" i="47"/>
  <c r="AH29" i="47"/>
  <c r="AH28" i="47"/>
  <c r="AH27" i="47"/>
  <c r="AH26" i="47"/>
  <c r="AH24" i="47"/>
  <c r="AH23" i="47"/>
  <c r="AH22" i="47"/>
  <c r="AH21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4" i="47"/>
  <c r="S23" i="47"/>
  <c r="S22" i="47"/>
  <c r="S21" i="47"/>
  <c r="R51" i="47"/>
  <c r="R50" i="47"/>
  <c r="R49" i="47"/>
  <c r="R48" i="47"/>
  <c r="R47" i="47"/>
  <c r="R46" i="47"/>
  <c r="R45" i="47"/>
  <c r="R44" i="47"/>
  <c r="R43" i="47"/>
  <c r="R42" i="47"/>
  <c r="R41" i="47"/>
  <c r="R40" i="47"/>
  <c r="R39" i="47"/>
  <c r="R38" i="47"/>
  <c r="R37" i="47"/>
  <c r="R36" i="47"/>
  <c r="R35" i="47"/>
  <c r="R34" i="47"/>
  <c r="R33" i="47"/>
  <c r="R32" i="47"/>
  <c r="R31" i="47"/>
  <c r="R30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5" i="47"/>
  <c r="Q20" i="47"/>
  <c r="Q19" i="47"/>
  <c r="Q18" i="47"/>
  <c r="Q17" i="47"/>
  <c r="Q12" i="47"/>
  <c r="Q11" i="47"/>
  <c r="Q7" i="47"/>
  <c r="P51" i="47"/>
  <c r="P50" i="47"/>
  <c r="P49" i="47"/>
  <c r="P48" i="47"/>
  <c r="P47" i="47"/>
  <c r="P46" i="47"/>
  <c r="P45" i="47"/>
  <c r="P44" i="47"/>
  <c r="P43" i="47"/>
  <c r="P42" i="47"/>
  <c r="P41" i="47"/>
  <c r="P40" i="47"/>
  <c r="P39" i="47"/>
  <c r="P38" i="47"/>
  <c r="P37" i="47"/>
  <c r="P36" i="47"/>
  <c r="P35" i="47"/>
  <c r="P34" i="47"/>
  <c r="P33" i="47"/>
  <c r="P32" i="47"/>
  <c r="P31" i="47"/>
  <c r="P30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4" i="47"/>
  <c r="O23" i="47"/>
  <c r="O22" i="47"/>
  <c r="O21" i="47"/>
  <c r="N16" i="47"/>
  <c r="N15" i="47"/>
  <c r="N9" i="47"/>
  <c r="AP51" i="47"/>
  <c r="AP50" i="47"/>
  <c r="AP49" i="47"/>
  <c r="AP48" i="47"/>
  <c r="AP47" i="47"/>
  <c r="AP46" i="47"/>
  <c r="AP45" i="47"/>
  <c r="AP44" i="47"/>
  <c r="AP43" i="47"/>
  <c r="AP42" i="47"/>
  <c r="AP41" i="47"/>
  <c r="AP40" i="47"/>
  <c r="AP39" i="47"/>
  <c r="AP38" i="47"/>
  <c r="AP37" i="47"/>
  <c r="AP36" i="47"/>
  <c r="AP35" i="47"/>
  <c r="AP34" i="47"/>
  <c r="AP33" i="47"/>
  <c r="AP32" i="47"/>
  <c r="AP31" i="47"/>
  <c r="AP30" i="47"/>
  <c r="AP29" i="47"/>
  <c r="AP28" i="47"/>
  <c r="AP27" i="47"/>
  <c r="AP26" i="47"/>
  <c r="AP24" i="47"/>
  <c r="AP23" i="47"/>
  <c r="AP22" i="47"/>
  <c r="AP21" i="47"/>
  <c r="L51" i="47"/>
  <c r="L50" i="47"/>
  <c r="L49" i="47"/>
  <c r="L48" i="47"/>
  <c r="L47" i="47"/>
  <c r="L46" i="47"/>
  <c r="L45" i="47"/>
  <c r="L44" i="47"/>
  <c r="L43" i="47"/>
  <c r="L42" i="47"/>
  <c r="L41" i="47"/>
  <c r="L40" i="47"/>
  <c r="L39" i="47"/>
  <c r="L38" i="47"/>
  <c r="L37" i="47"/>
  <c r="L36" i="47"/>
  <c r="L35" i="47"/>
  <c r="L34" i="47"/>
  <c r="L33" i="47"/>
  <c r="L32" i="47"/>
  <c r="L31" i="47"/>
  <c r="L30" i="47"/>
  <c r="L25" i="47"/>
  <c r="L20" i="47"/>
  <c r="L19" i="47"/>
  <c r="L18" i="47"/>
  <c r="L17" i="47"/>
  <c r="L12" i="47"/>
  <c r="L11" i="47"/>
  <c r="L7" i="47"/>
  <c r="P11" i="5"/>
  <c r="R11" i="5" s="1"/>
  <c r="P10" i="5"/>
  <c r="P9" i="5"/>
  <c r="R9" i="5" s="1"/>
  <c r="F44" i="5"/>
  <c r="E44" i="5"/>
  <c r="D44" i="5"/>
  <c r="F26" i="5"/>
  <c r="AJ56" i="50" s="1"/>
  <c r="E26" i="5"/>
  <c r="AJ57" i="47" s="1"/>
  <c r="D26" i="5"/>
  <c r="AJ56" i="47" s="1"/>
  <c r="F25" i="5"/>
  <c r="E25" i="5"/>
  <c r="D25" i="5"/>
  <c r="AI56" i="47" s="1"/>
  <c r="AI54" i="48" s="1"/>
  <c r="F24" i="5"/>
  <c r="E24" i="5"/>
  <c r="D24" i="5"/>
  <c r="AH56" i="47" s="1"/>
  <c r="D13" i="5"/>
  <c r="W56" i="47" s="1"/>
  <c r="F39" i="5"/>
  <c r="F17" i="5"/>
  <c r="F16" i="5"/>
  <c r="Z56" i="50" s="1"/>
  <c r="F12" i="5"/>
  <c r="V56" i="50" s="1"/>
  <c r="F11" i="5"/>
  <c r="U56" i="48" s="1"/>
  <c r="M15" i="5"/>
  <c r="M7" i="5"/>
  <c r="F45" i="5"/>
  <c r="E45" i="5"/>
  <c r="F43" i="5"/>
  <c r="D43" i="5"/>
  <c r="E41" i="5"/>
  <c r="D41" i="5"/>
  <c r="F23" i="5"/>
  <c r="D23" i="5"/>
  <c r="AG56" i="47" s="1"/>
  <c r="F20" i="5"/>
  <c r="AD58" i="47" s="1"/>
  <c r="E20" i="5"/>
  <c r="AD57" i="47" s="1"/>
  <c r="D20" i="5"/>
  <c r="AD56" i="47" s="1"/>
  <c r="E18" i="5"/>
  <c r="AB57" i="47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U35" i="4" s="1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U27" i="4" s="1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U19" i="4" s="1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U11" i="4" s="1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U9" i="4" s="1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U3" i="4" s="1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U47" i="3" s="1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U42" i="3" s="1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U39" i="3" s="1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U36" i="3" s="1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U34" i="3" s="1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U33" i="3" s="1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U31" i="3" s="1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U28" i="3" s="1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U26" i="3" s="1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U23" i="3" s="1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U18" i="3" s="1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U15" i="3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U10" i="3" s="1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U7" i="3" s="1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U2" i="3" s="1"/>
  <c r="L2" i="3"/>
  <c r="K2" i="3"/>
  <c r="J2" i="3"/>
  <c r="I2" i="3"/>
  <c r="H1" i="2"/>
  <c r="AC49" i="58" l="1"/>
  <c r="AC2" i="58"/>
  <c r="AC10" i="58"/>
  <c r="AC55" i="58"/>
  <c r="AC125" i="58"/>
  <c r="AC129" i="58"/>
  <c r="AC133" i="58"/>
  <c r="AC168" i="58"/>
  <c r="AI4" i="61"/>
  <c r="AC183" i="58"/>
  <c r="AC191" i="58"/>
  <c r="AC199" i="58"/>
  <c r="AC207" i="58"/>
  <c r="AC215" i="58"/>
  <c r="AC223" i="58"/>
  <c r="AC231" i="58"/>
  <c r="AC239" i="58"/>
  <c r="AC247" i="58"/>
  <c r="AC319" i="58"/>
  <c r="AC18" i="58"/>
  <c r="AC51" i="58"/>
  <c r="AC385" i="58"/>
  <c r="AC50" i="58"/>
  <c r="AC53" i="58"/>
  <c r="AC77" i="58"/>
  <c r="AC78" i="58"/>
  <c r="AC81" i="58"/>
  <c r="AC85" i="58"/>
  <c r="AC126" i="58"/>
  <c r="AC130" i="58"/>
  <c r="AC134" i="58"/>
  <c r="AC177" i="58"/>
  <c r="AC372" i="58"/>
  <c r="AC376" i="58"/>
  <c r="AC23" i="58"/>
  <c r="AC44" i="58"/>
  <c r="AC52" i="58"/>
  <c r="AC136" i="58"/>
  <c r="AC152" i="58"/>
  <c r="AC6" i="58"/>
  <c r="AC11" i="58"/>
  <c r="AC12" i="58"/>
  <c r="AC16" i="58"/>
  <c r="AC24" i="58"/>
  <c r="AC54" i="58"/>
  <c r="AC74" i="58"/>
  <c r="AC82" i="58"/>
  <c r="AC87" i="58"/>
  <c r="AC91" i="58"/>
  <c r="AC96" i="58"/>
  <c r="AC100" i="58"/>
  <c r="AC137" i="58"/>
  <c r="AC170" i="58"/>
  <c r="AC373" i="58"/>
  <c r="AC382" i="58"/>
  <c r="AC386" i="58"/>
  <c r="AI6" i="61"/>
  <c r="AI13" i="61"/>
  <c r="AC4" i="58"/>
  <c r="AC14" i="58"/>
  <c r="AC22" i="58"/>
  <c r="AC48" i="58"/>
  <c r="AC72" i="58"/>
  <c r="AC76" i="58"/>
  <c r="AC80" i="58"/>
  <c r="AC84" i="58"/>
  <c r="AC89" i="58"/>
  <c r="AC93" i="58"/>
  <c r="AC98" i="58"/>
  <c r="AC127" i="58"/>
  <c r="AC131" i="58"/>
  <c r="AC135" i="58"/>
  <c r="AC139" i="58"/>
  <c r="AC144" i="58"/>
  <c r="AC167" i="58"/>
  <c r="AC171" i="58"/>
  <c r="AC173" i="58"/>
  <c r="AC175" i="58"/>
  <c r="AD11" i="61"/>
  <c r="AC375" i="58"/>
  <c r="AC384" i="58"/>
  <c r="AC388" i="58"/>
  <c r="AC31" i="58"/>
  <c r="AC57" i="58"/>
  <c r="AC59" i="58"/>
  <c r="AC61" i="58"/>
  <c r="AC63" i="58"/>
  <c r="AC65" i="58"/>
  <c r="AC67" i="58"/>
  <c r="AC69" i="58"/>
  <c r="AC106" i="58"/>
  <c r="AC108" i="58"/>
  <c r="AC110" i="58"/>
  <c r="AC112" i="58"/>
  <c r="AC114" i="58"/>
  <c r="AC116" i="58"/>
  <c r="AC118" i="58"/>
  <c r="AC120" i="58"/>
  <c r="AC122" i="58"/>
  <c r="AC153" i="58"/>
  <c r="AC155" i="58"/>
  <c r="AC157" i="58"/>
  <c r="AC159" i="58"/>
  <c r="AC161" i="58"/>
  <c r="AC163" i="58"/>
  <c r="AC165" i="58"/>
  <c r="AC3" i="58"/>
  <c r="AC7" i="58"/>
  <c r="AC17" i="58"/>
  <c r="AC21" i="58"/>
  <c r="AC25" i="58"/>
  <c r="AC79" i="58"/>
  <c r="AC83" i="58"/>
  <c r="AC97" i="58"/>
  <c r="AC101" i="58"/>
  <c r="AC138" i="58"/>
  <c r="AC147" i="58"/>
  <c r="AC370" i="58"/>
  <c r="AC387" i="58"/>
  <c r="I12" i="64"/>
  <c r="I12" i="53"/>
  <c r="I12" i="52"/>
  <c r="I12" i="51"/>
  <c r="I12" i="54"/>
  <c r="I5" i="63"/>
  <c r="BD57" i="63" s="1"/>
  <c r="I5" i="50"/>
  <c r="I5" i="48"/>
  <c r="P12" i="5"/>
  <c r="I5" i="49"/>
  <c r="I5" i="55"/>
  <c r="I5" i="47"/>
  <c r="I6" i="63"/>
  <c r="BD58" i="63" s="1"/>
  <c r="I6" i="50"/>
  <c r="I6" i="48"/>
  <c r="I6" i="49"/>
  <c r="I6" i="55"/>
  <c r="I6" i="47"/>
  <c r="I8" i="63"/>
  <c r="BD60" i="63" s="1"/>
  <c r="I8" i="49"/>
  <c r="I8" i="55"/>
  <c r="I8" i="47"/>
  <c r="I8" i="50"/>
  <c r="I8" i="48"/>
  <c r="I12" i="63"/>
  <c r="I12" i="55"/>
  <c r="I12" i="47"/>
  <c r="I12" i="50"/>
  <c r="I12" i="48"/>
  <c r="I12" i="49"/>
  <c r="I13" i="63"/>
  <c r="I13" i="50"/>
  <c r="I13" i="48"/>
  <c r="I13" i="49"/>
  <c r="I13" i="55"/>
  <c r="I13" i="47"/>
  <c r="I14" i="63"/>
  <c r="AU66" i="63" s="1"/>
  <c r="I14" i="50"/>
  <c r="I14" i="48"/>
  <c r="I14" i="49"/>
  <c r="I14" i="55"/>
  <c r="I14" i="47"/>
  <c r="I16" i="63"/>
  <c r="AT68" i="63" s="1"/>
  <c r="I16" i="49"/>
  <c r="I16" i="47"/>
  <c r="I16" i="55"/>
  <c r="I16" i="50"/>
  <c r="I16" i="48"/>
  <c r="I20" i="63"/>
  <c r="I20" i="55"/>
  <c r="I20" i="50"/>
  <c r="I20" i="48"/>
  <c r="I20" i="47"/>
  <c r="I20" i="49"/>
  <c r="I21" i="63"/>
  <c r="I21" i="50"/>
  <c r="I21" i="48"/>
  <c r="I21" i="47"/>
  <c r="I21" i="49"/>
  <c r="I21" i="55"/>
  <c r="I22" i="63"/>
  <c r="I22" i="50"/>
  <c r="I22" i="47"/>
  <c r="I22" i="55"/>
  <c r="I22" i="49"/>
  <c r="I22" i="48"/>
  <c r="I24" i="63"/>
  <c r="I24" i="49"/>
  <c r="I24" i="55"/>
  <c r="I24" i="48"/>
  <c r="I24" i="50"/>
  <c r="I24" i="47"/>
  <c r="I28" i="63"/>
  <c r="I28" i="50"/>
  <c r="I28" i="47"/>
  <c r="I28" i="48"/>
  <c r="I28" i="55"/>
  <c r="I28" i="49"/>
  <c r="I29" i="63"/>
  <c r="I29" i="50"/>
  <c r="I29" i="47"/>
  <c r="I29" i="55"/>
  <c r="I29" i="48"/>
  <c r="I29" i="49"/>
  <c r="I30" i="63"/>
  <c r="I30" i="50"/>
  <c r="I30" i="48"/>
  <c r="I30" i="47"/>
  <c r="I30" i="49"/>
  <c r="I30" i="55"/>
  <c r="I32" i="63"/>
  <c r="I32" i="49"/>
  <c r="I32" i="48"/>
  <c r="I32" i="55"/>
  <c r="I32" i="50"/>
  <c r="I32" i="47"/>
  <c r="I37" i="63"/>
  <c r="I37" i="50"/>
  <c r="I37" i="47"/>
  <c r="I37" i="55"/>
  <c r="I37" i="48"/>
  <c r="I37" i="49"/>
  <c r="I38" i="63"/>
  <c r="I38" i="50"/>
  <c r="I38" i="48"/>
  <c r="I38" i="47"/>
  <c r="I38" i="49"/>
  <c r="I38" i="55"/>
  <c r="I40" i="63"/>
  <c r="I40" i="55"/>
  <c r="I40" i="49"/>
  <c r="I40" i="48"/>
  <c r="I40" i="50"/>
  <c r="I40" i="47"/>
  <c r="I44" i="63"/>
  <c r="I44" i="55"/>
  <c r="I44" i="50"/>
  <c r="I44" i="47"/>
  <c r="I44" i="48"/>
  <c r="I44" i="49"/>
  <c r="I45" i="63"/>
  <c r="I45" i="55"/>
  <c r="I45" i="50"/>
  <c r="I45" i="47"/>
  <c r="I45" i="48"/>
  <c r="I45" i="49"/>
  <c r="I46" i="63"/>
  <c r="I46" i="55"/>
  <c r="I46" i="50"/>
  <c r="I46" i="48"/>
  <c r="I46" i="47"/>
  <c r="I46" i="49"/>
  <c r="I48" i="63"/>
  <c r="I48" i="55"/>
  <c r="I48" i="49"/>
  <c r="I48" i="48"/>
  <c r="I48" i="50"/>
  <c r="I48" i="47"/>
  <c r="I5" i="64"/>
  <c r="P14" i="5"/>
  <c r="I5" i="52"/>
  <c r="I5" i="51"/>
  <c r="I5" i="54"/>
  <c r="I5" i="53"/>
  <c r="I6" i="64"/>
  <c r="I6" i="52"/>
  <c r="I6" i="51"/>
  <c r="I6" i="54"/>
  <c r="I6" i="53"/>
  <c r="I7" i="64"/>
  <c r="I7" i="51"/>
  <c r="I7" i="54"/>
  <c r="I7" i="53"/>
  <c r="I7" i="52"/>
  <c r="I9" i="64"/>
  <c r="I9" i="53"/>
  <c r="I9" i="52"/>
  <c r="I9" i="51"/>
  <c r="I9" i="54"/>
  <c r="I11" i="64"/>
  <c r="I11" i="53"/>
  <c r="I11" i="52"/>
  <c r="I11" i="51"/>
  <c r="I11" i="54"/>
  <c r="I13" i="64"/>
  <c r="I13" i="52"/>
  <c r="I13" i="51"/>
  <c r="I13" i="54"/>
  <c r="I13" i="53"/>
  <c r="I14" i="64"/>
  <c r="I14" i="52"/>
  <c r="I14" i="51"/>
  <c r="I14" i="54"/>
  <c r="I14" i="53"/>
  <c r="I15" i="64"/>
  <c r="AA58" i="64" s="1"/>
  <c r="I15" i="51"/>
  <c r="I15" i="54"/>
  <c r="I15" i="53"/>
  <c r="I15" i="52"/>
  <c r="I17" i="64"/>
  <c r="I17" i="53"/>
  <c r="I17" i="52"/>
  <c r="I17" i="51"/>
  <c r="I17" i="54"/>
  <c r="I19" i="64"/>
  <c r="AG62" i="64" s="1"/>
  <c r="I19" i="53"/>
  <c r="I19" i="52"/>
  <c r="I19" i="51"/>
  <c r="I19" i="54"/>
  <c r="I21" i="64"/>
  <c r="I21" i="52"/>
  <c r="I21" i="51"/>
  <c r="I21" i="54"/>
  <c r="I21" i="53"/>
  <c r="I22" i="64"/>
  <c r="I22" i="52"/>
  <c r="I22" i="51"/>
  <c r="I22" i="54"/>
  <c r="I22" i="53"/>
  <c r="I23" i="64"/>
  <c r="I23" i="51"/>
  <c r="I23" i="54"/>
  <c r="I23" i="53"/>
  <c r="I23" i="52"/>
  <c r="I25" i="64"/>
  <c r="I25" i="53"/>
  <c r="I25" i="52"/>
  <c r="I25" i="51"/>
  <c r="I25" i="54"/>
  <c r="I27" i="64"/>
  <c r="AA70" i="64" s="1"/>
  <c r="I27" i="53"/>
  <c r="I27" i="52"/>
  <c r="I27" i="51"/>
  <c r="I27" i="54"/>
  <c r="I29" i="64"/>
  <c r="I29" i="52"/>
  <c r="I29" i="51"/>
  <c r="I29" i="54"/>
  <c r="I29" i="53"/>
  <c r="I30" i="64"/>
  <c r="I30" i="52"/>
  <c r="I30" i="51"/>
  <c r="I30" i="54"/>
  <c r="I30" i="53"/>
  <c r="I31" i="64"/>
  <c r="I31" i="51"/>
  <c r="I31" i="54"/>
  <c r="I31" i="53"/>
  <c r="I31" i="52"/>
  <c r="I33" i="64"/>
  <c r="I33" i="53"/>
  <c r="I33" i="52"/>
  <c r="I33" i="51"/>
  <c r="I33" i="54"/>
  <c r="I35" i="64"/>
  <c r="AA78" i="64" s="1"/>
  <c r="I35" i="53"/>
  <c r="I35" i="52"/>
  <c r="I35" i="51"/>
  <c r="I35" i="54"/>
  <c r="I37" i="64"/>
  <c r="I37" i="52"/>
  <c r="I37" i="51"/>
  <c r="I37" i="54"/>
  <c r="I37" i="53"/>
  <c r="I38" i="64"/>
  <c r="I38" i="52"/>
  <c r="I38" i="51"/>
  <c r="I38" i="54"/>
  <c r="I38" i="53"/>
  <c r="I39" i="64"/>
  <c r="I39" i="51"/>
  <c r="I39" i="54"/>
  <c r="I39" i="53"/>
  <c r="I39" i="52"/>
  <c r="I41" i="64"/>
  <c r="I41" i="53"/>
  <c r="I41" i="52"/>
  <c r="I41" i="51"/>
  <c r="I41" i="54"/>
  <c r="I36" i="63"/>
  <c r="I36" i="50"/>
  <c r="I36" i="47"/>
  <c r="I36" i="48"/>
  <c r="I36" i="55"/>
  <c r="I36" i="49"/>
  <c r="I9" i="63"/>
  <c r="AT61" i="63" s="1"/>
  <c r="I9" i="49"/>
  <c r="I9" i="55"/>
  <c r="I9" i="47"/>
  <c r="I9" i="50"/>
  <c r="I9" i="48"/>
  <c r="I15" i="63"/>
  <c r="I15" i="49"/>
  <c r="I15" i="47"/>
  <c r="I15" i="55"/>
  <c r="I15" i="50"/>
  <c r="I15" i="48"/>
  <c r="I18" i="63"/>
  <c r="I18" i="49"/>
  <c r="I18" i="55"/>
  <c r="I18" i="50"/>
  <c r="I18" i="48"/>
  <c r="I18" i="47"/>
  <c r="I27" i="63"/>
  <c r="I27" i="55"/>
  <c r="I27" i="50"/>
  <c r="I27" i="47"/>
  <c r="I27" i="48"/>
  <c r="I27" i="49"/>
  <c r="I35" i="63"/>
  <c r="I35" i="55"/>
  <c r="I35" i="50"/>
  <c r="I35" i="47"/>
  <c r="I35" i="48"/>
  <c r="I35" i="49"/>
  <c r="I42" i="63"/>
  <c r="I42" i="55"/>
  <c r="I42" i="49"/>
  <c r="I42" i="48"/>
  <c r="I42" i="50"/>
  <c r="I42" i="47"/>
  <c r="I47" i="63"/>
  <c r="I47" i="55"/>
  <c r="I47" i="49"/>
  <c r="I47" i="48"/>
  <c r="I47" i="50"/>
  <c r="I47" i="47"/>
  <c r="I50" i="63"/>
  <c r="I50" i="55"/>
  <c r="I50" i="49"/>
  <c r="I50" i="48"/>
  <c r="M69" i="47" s="1"/>
  <c r="I50" i="50"/>
  <c r="I50" i="47"/>
  <c r="I10" i="64"/>
  <c r="I10" i="53"/>
  <c r="I10" i="52"/>
  <c r="I10" i="51"/>
  <c r="I10" i="54"/>
  <c r="I16" i="64"/>
  <c r="I16" i="54"/>
  <c r="I16" i="53"/>
  <c r="I16" i="52"/>
  <c r="I16" i="51"/>
  <c r="I20" i="64"/>
  <c r="I20" i="53"/>
  <c r="I20" i="52"/>
  <c r="I20" i="51"/>
  <c r="I20" i="54"/>
  <c r="I24" i="64"/>
  <c r="I24" i="54"/>
  <c r="I24" i="53"/>
  <c r="I24" i="52"/>
  <c r="I24" i="51"/>
  <c r="I26" i="64"/>
  <c r="I26" i="53"/>
  <c r="I26" i="52"/>
  <c r="I26" i="51"/>
  <c r="I26" i="54"/>
  <c r="I28" i="64"/>
  <c r="I28" i="53"/>
  <c r="I28" i="52"/>
  <c r="I28" i="51"/>
  <c r="I28" i="54"/>
  <c r="I32" i="64"/>
  <c r="I32" i="54"/>
  <c r="I32" i="53"/>
  <c r="I32" i="52"/>
  <c r="I32" i="51"/>
  <c r="I34" i="64"/>
  <c r="I34" i="53"/>
  <c r="I34" i="52"/>
  <c r="I34" i="51"/>
  <c r="I34" i="54"/>
  <c r="I36" i="64"/>
  <c r="I36" i="53"/>
  <c r="I36" i="52"/>
  <c r="I36" i="51"/>
  <c r="I36" i="54"/>
  <c r="I40" i="64"/>
  <c r="I40" i="54"/>
  <c r="I40" i="53"/>
  <c r="I40" i="52"/>
  <c r="I40" i="51"/>
  <c r="I42" i="64"/>
  <c r="I42" i="53"/>
  <c r="I42" i="52"/>
  <c r="I42" i="51"/>
  <c r="I42" i="54"/>
  <c r="I10" i="63"/>
  <c r="AT62" i="63" s="1"/>
  <c r="I10" i="49"/>
  <c r="I10" i="55"/>
  <c r="I10" i="47"/>
  <c r="I10" i="50"/>
  <c r="I10" i="48"/>
  <c r="I19" i="63"/>
  <c r="I19" i="55"/>
  <c r="I19" i="50"/>
  <c r="I19" i="48"/>
  <c r="I19" i="47"/>
  <c r="I19" i="49"/>
  <c r="I25" i="63"/>
  <c r="BD77" i="63" s="1"/>
  <c r="I25" i="49"/>
  <c r="I25" i="48"/>
  <c r="I25" i="50"/>
  <c r="I25" i="47"/>
  <c r="I25" i="55"/>
  <c r="I33" i="63"/>
  <c r="I33" i="49"/>
  <c r="I33" i="55"/>
  <c r="I33" i="48"/>
  <c r="I33" i="50"/>
  <c r="I33" i="47"/>
  <c r="I41" i="63"/>
  <c r="I41" i="55"/>
  <c r="I41" i="49"/>
  <c r="I41" i="48"/>
  <c r="I41" i="50"/>
  <c r="I41" i="47"/>
  <c r="I51" i="63"/>
  <c r="I51" i="55"/>
  <c r="I51" i="50"/>
  <c r="I51" i="47"/>
  <c r="I51" i="48"/>
  <c r="I51" i="49"/>
  <c r="I18" i="64"/>
  <c r="I18" i="53"/>
  <c r="I18" i="52"/>
  <c r="I18" i="51"/>
  <c r="I18" i="54"/>
  <c r="I7" i="63"/>
  <c r="BD59" i="63" s="1"/>
  <c r="P13" i="5"/>
  <c r="I7" i="49"/>
  <c r="I7" i="55"/>
  <c r="I7" i="47"/>
  <c r="I7" i="50"/>
  <c r="I7" i="48"/>
  <c r="M63" i="47" s="1"/>
  <c r="I11" i="63"/>
  <c r="AT63" i="63" s="1"/>
  <c r="I11" i="55"/>
  <c r="I11" i="47"/>
  <c r="I11" i="50"/>
  <c r="I11" i="48"/>
  <c r="I11" i="49"/>
  <c r="I17" i="63"/>
  <c r="I17" i="49"/>
  <c r="I17" i="55"/>
  <c r="I17" i="50"/>
  <c r="I17" i="48"/>
  <c r="I17" i="47"/>
  <c r="I23" i="63"/>
  <c r="AR75" i="63" s="1"/>
  <c r="I23" i="49"/>
  <c r="I23" i="48"/>
  <c r="I23" i="55"/>
  <c r="I23" i="50"/>
  <c r="I23" i="47"/>
  <c r="I26" i="63"/>
  <c r="BB78" i="63" s="1"/>
  <c r="I26" i="49"/>
  <c r="I26" i="48"/>
  <c r="I26" i="50"/>
  <c r="I26" i="47"/>
  <c r="I26" i="55"/>
  <c r="I34" i="63"/>
  <c r="I34" i="49"/>
  <c r="I34" i="48"/>
  <c r="I34" i="50"/>
  <c r="I34" i="47"/>
  <c r="I34" i="55"/>
  <c r="I43" i="63"/>
  <c r="I43" i="55"/>
  <c r="I43" i="50"/>
  <c r="I43" i="47"/>
  <c r="I43" i="48"/>
  <c r="I43" i="49"/>
  <c r="I49" i="63"/>
  <c r="I49" i="55"/>
  <c r="I49" i="49"/>
  <c r="I49" i="48"/>
  <c r="I49" i="50"/>
  <c r="I49" i="47"/>
  <c r="I8" i="64"/>
  <c r="I8" i="54"/>
  <c r="I8" i="53"/>
  <c r="I8" i="52"/>
  <c r="I8" i="51"/>
  <c r="I31" i="63"/>
  <c r="I31" i="55"/>
  <c r="I31" i="49"/>
  <c r="I31" i="48"/>
  <c r="I31" i="50"/>
  <c r="I31" i="47"/>
  <c r="I39" i="63"/>
  <c r="I39" i="55"/>
  <c r="I39" i="49"/>
  <c r="I39" i="48"/>
  <c r="I39" i="50"/>
  <c r="I39" i="47"/>
  <c r="V56" i="49"/>
  <c r="V56" i="48"/>
  <c r="AM57" i="48"/>
  <c r="L54" i="49"/>
  <c r="L58" i="49" s="1"/>
  <c r="AT6" i="57"/>
  <c r="AJ6" i="57"/>
  <c r="AJ2" i="57"/>
  <c r="AJ7" i="57" s="1"/>
  <c r="AO4" i="57"/>
  <c r="AT5" i="57"/>
  <c r="AT2" i="57"/>
  <c r="AJ3" i="57"/>
  <c r="AT3" i="57"/>
  <c r="AT4" i="57"/>
  <c r="AJ4" i="57"/>
  <c r="AA9" i="61"/>
  <c r="AC35" i="58"/>
  <c r="AC312" i="58"/>
  <c r="AC320" i="58"/>
  <c r="AC360" i="58"/>
  <c r="J858" i="61"/>
  <c r="M858" i="61" s="1"/>
  <c r="J851" i="61"/>
  <c r="M851" i="61" s="1"/>
  <c r="J845" i="61"/>
  <c r="M845" i="61" s="1"/>
  <c r="J857" i="61"/>
  <c r="M857" i="61" s="1"/>
  <c r="J844" i="61"/>
  <c r="M844" i="61" s="1"/>
  <c r="J856" i="61"/>
  <c r="M856" i="61" s="1"/>
  <c r="J850" i="61"/>
  <c r="M850" i="61" s="1"/>
  <c r="J843" i="61"/>
  <c r="M843" i="61" s="1"/>
  <c r="J855" i="61"/>
  <c r="M855" i="61" s="1"/>
  <c r="J849" i="61"/>
  <c r="M849" i="61" s="1"/>
  <c r="J861" i="61"/>
  <c r="M861" i="61" s="1"/>
  <c r="J848" i="61"/>
  <c r="M848" i="61" s="1"/>
  <c r="J842" i="61"/>
  <c r="M842" i="61" s="1"/>
  <c r="J860" i="61"/>
  <c r="M860" i="61" s="1"/>
  <c r="J854" i="61"/>
  <c r="M854" i="61" s="1"/>
  <c r="J847" i="61"/>
  <c r="M847" i="61" s="1"/>
  <c r="J841" i="61"/>
  <c r="J859" i="61"/>
  <c r="M859" i="61" s="1"/>
  <c r="J853" i="61"/>
  <c r="M853" i="61" s="1"/>
  <c r="J852" i="61"/>
  <c r="M852" i="61" s="1"/>
  <c r="J846" i="61"/>
  <c r="M846" i="61" s="1"/>
  <c r="AC15" i="58"/>
  <c r="AC42" i="58"/>
  <c r="AO5" i="57"/>
  <c r="AC179" i="58"/>
  <c r="AC187" i="58"/>
  <c r="AC195" i="58"/>
  <c r="AC203" i="58"/>
  <c r="AC211" i="58"/>
  <c r="AC219" i="58"/>
  <c r="AC227" i="58"/>
  <c r="AC235" i="58"/>
  <c r="AC243" i="58"/>
  <c r="AC251" i="58"/>
  <c r="AC259" i="58"/>
  <c r="AC267" i="58"/>
  <c r="AC275" i="58"/>
  <c r="AC299" i="58"/>
  <c r="AC307" i="58"/>
  <c r="AC315" i="58"/>
  <c r="AA12" i="61"/>
  <c r="AC198" i="58"/>
  <c r="AC230" i="58"/>
  <c r="AC262" i="58"/>
  <c r="AC278" i="58"/>
  <c r="AC286" i="58"/>
  <c r="AC294" i="58"/>
  <c r="AC302" i="58"/>
  <c r="AC310" i="58"/>
  <c r="AD10" i="61"/>
  <c r="AC13" i="58"/>
  <c r="AC40" i="58"/>
  <c r="AC374" i="58"/>
  <c r="AC180" i="58"/>
  <c r="AC188" i="58"/>
  <c r="AC196" i="58"/>
  <c r="AC204" i="58"/>
  <c r="AC212" i="58"/>
  <c r="AC220" i="58"/>
  <c r="AC228" i="58"/>
  <c r="AC236" i="58"/>
  <c r="AC244" i="58"/>
  <c r="AC252" i="58"/>
  <c r="AC276" i="58"/>
  <c r="AC284" i="58"/>
  <c r="AC292" i="58"/>
  <c r="AC46" i="58"/>
  <c r="AC255" i="58"/>
  <c r="AC263" i="58"/>
  <c r="AC271" i="58"/>
  <c r="AC343" i="58"/>
  <c r="AA10" i="61"/>
  <c r="AC178" i="58"/>
  <c r="AC186" i="58"/>
  <c r="AC194" i="58"/>
  <c r="AC202" i="58"/>
  <c r="AC210" i="58"/>
  <c r="AC218" i="58"/>
  <c r="AC226" i="58"/>
  <c r="AC234" i="58"/>
  <c r="AC242" i="58"/>
  <c r="AC250" i="58"/>
  <c r="AC258" i="58"/>
  <c r="AC266" i="58"/>
  <c r="AC274" i="58"/>
  <c r="AC282" i="58"/>
  <c r="AC290" i="58"/>
  <c r="AD9" i="61"/>
  <c r="AC333" i="58"/>
  <c r="AC365" i="58"/>
  <c r="AC148" i="58"/>
  <c r="AC150" i="58"/>
  <c r="AC166" i="58"/>
  <c r="AJ8" i="61"/>
  <c r="AC20" i="58"/>
  <c r="AC141" i="58"/>
  <c r="AC143" i="58"/>
  <c r="AC145" i="58"/>
  <c r="AC174" i="58"/>
  <c r="AC377" i="58"/>
  <c r="AC379" i="58"/>
  <c r="Y4" i="61"/>
  <c r="AG4" i="61" s="1"/>
  <c r="Z3" i="61"/>
  <c r="AC41" i="58"/>
  <c r="AC43" i="58"/>
  <c r="AC45" i="58"/>
  <c r="AC47" i="58"/>
  <c r="AC149" i="58"/>
  <c r="AC151" i="58"/>
  <c r="AC172" i="58"/>
  <c r="AC383" i="58"/>
  <c r="AC8" i="58"/>
  <c r="AC123" i="58"/>
  <c r="AC140" i="58"/>
  <c r="AC142" i="58"/>
  <c r="AC169" i="58"/>
  <c r="AC176" i="58"/>
  <c r="AC378" i="58"/>
  <c r="AC380" i="58"/>
  <c r="AC19" i="58"/>
  <c r="AC71" i="58"/>
  <c r="AC73" i="58"/>
  <c r="AC75" i="58"/>
  <c r="AC88" i="58"/>
  <c r="AC90" i="58"/>
  <c r="AC92" i="58"/>
  <c r="AC103" i="58"/>
  <c r="AC369" i="58"/>
  <c r="AC371" i="58"/>
  <c r="AF6" i="61"/>
  <c r="BA64" i="63"/>
  <c r="AS64" i="63"/>
  <c r="AK64" i="63"/>
  <c r="AW64" i="63"/>
  <c r="AO64" i="63"/>
  <c r="AZ64" i="63"/>
  <c r="AP64" i="63"/>
  <c r="AU64" i="63"/>
  <c r="AJ64" i="63"/>
  <c r="BA72" i="63"/>
  <c r="AS72" i="63"/>
  <c r="AK72" i="63"/>
  <c r="AW72" i="63"/>
  <c r="AO72" i="63"/>
  <c r="BC72" i="63"/>
  <c r="AR72" i="63"/>
  <c r="BB72" i="63"/>
  <c r="AQ72" i="63"/>
  <c r="AZ72" i="63"/>
  <c r="AP72" i="63"/>
  <c r="AX72" i="63"/>
  <c r="AM72" i="63"/>
  <c r="AV72" i="63"/>
  <c r="AL72" i="63"/>
  <c r="AU72" i="63"/>
  <c r="AJ72" i="63"/>
  <c r="AY80" i="63"/>
  <c r="AQ80" i="63"/>
  <c r="AI80" i="63"/>
  <c r="R80" i="63"/>
  <c r="BC80" i="63"/>
  <c r="AU80" i="63"/>
  <c r="AM80" i="63"/>
  <c r="BB80" i="63"/>
  <c r="AR80" i="63"/>
  <c r="AW80" i="63"/>
  <c r="AL80" i="63"/>
  <c r="P80" i="63"/>
  <c r="AS80" i="63"/>
  <c r="AP80" i="63"/>
  <c r="BD80" i="63"/>
  <c r="AO80" i="63"/>
  <c r="BA80" i="63"/>
  <c r="AN80" i="63"/>
  <c r="AZ80" i="63"/>
  <c r="AK80" i="63"/>
  <c r="AX80" i="63"/>
  <c r="AJ80" i="63"/>
  <c r="AV80" i="63"/>
  <c r="AT80" i="63"/>
  <c r="AZ88" i="63"/>
  <c r="AY88" i="63"/>
  <c r="AQ88" i="63"/>
  <c r="AI88" i="63"/>
  <c r="BD88" i="63"/>
  <c r="AV88" i="63"/>
  <c r="AN88" i="63"/>
  <c r="BC88" i="63"/>
  <c r="AU88" i="63"/>
  <c r="AM88" i="63"/>
  <c r="AP88" i="63"/>
  <c r="BB88" i="63"/>
  <c r="AO88" i="63"/>
  <c r="AW88" i="63"/>
  <c r="AJ88" i="63"/>
  <c r="AT88" i="63"/>
  <c r="AL88" i="63"/>
  <c r="AK88" i="63"/>
  <c r="BA88" i="63"/>
  <c r="AX88" i="63"/>
  <c r="AS88" i="63"/>
  <c r="AR88" i="63"/>
  <c r="AZ96" i="63"/>
  <c r="AR96" i="63"/>
  <c r="AJ96" i="63"/>
  <c r="AY96" i="63"/>
  <c r="AQ96" i="63"/>
  <c r="AI96" i="63"/>
  <c r="BD96" i="63"/>
  <c r="AV96" i="63"/>
  <c r="AN96" i="63"/>
  <c r="BC96" i="63"/>
  <c r="AU96" i="63"/>
  <c r="AM96" i="63"/>
  <c r="AO96" i="63"/>
  <c r="BB96" i="63"/>
  <c r="AL96" i="63"/>
  <c r="AW96" i="63"/>
  <c r="AT96" i="63"/>
  <c r="AK96" i="63"/>
  <c r="BA96" i="63"/>
  <c r="AX96" i="63"/>
  <c r="AS96" i="63"/>
  <c r="AP96" i="63"/>
  <c r="AI57" i="63"/>
  <c r="AS57" i="63"/>
  <c r="AR58" i="63"/>
  <c r="BC58" i="63"/>
  <c r="AQ59" i="63"/>
  <c r="BA59" i="63"/>
  <c r="AO60" i="63"/>
  <c r="AZ60" i="63"/>
  <c r="AN61" i="63"/>
  <c r="AZ61" i="63"/>
  <c r="AJ62" i="63"/>
  <c r="AY62" i="63"/>
  <c r="AI63" i="63"/>
  <c r="AX63" i="63"/>
  <c r="Q8" i="65" s="1"/>
  <c r="AV64" i="63"/>
  <c r="AT66" i="63"/>
  <c r="AL68" i="63"/>
  <c r="AU69" i="63"/>
  <c r="AQ70" i="63"/>
  <c r="AN72" i="63"/>
  <c r="BB57" i="63"/>
  <c r="AT57" i="63"/>
  <c r="AL57" i="63"/>
  <c r="AX57" i="63"/>
  <c r="AP57" i="63"/>
  <c r="AW65" i="63"/>
  <c r="AO65" i="63"/>
  <c r="AY65" i="63"/>
  <c r="AN65" i="63"/>
  <c r="AW73" i="63"/>
  <c r="AO73" i="63"/>
  <c r="AK73" i="63"/>
  <c r="BC73" i="63"/>
  <c r="BB73" i="63"/>
  <c r="AZ73" i="63"/>
  <c r="AP73" i="63"/>
  <c r="AY73" i="63"/>
  <c r="AL73" i="63"/>
  <c r="AU73" i="63"/>
  <c r="AJ73" i="63"/>
  <c r="AI73" i="63"/>
  <c r="BC81" i="63"/>
  <c r="AU81" i="63"/>
  <c r="AY81" i="63"/>
  <c r="AQ81" i="63"/>
  <c r="AI81" i="63"/>
  <c r="R81" i="63"/>
  <c r="AV81" i="63"/>
  <c r="AK81" i="63"/>
  <c r="AO81" i="63"/>
  <c r="BB81" i="63"/>
  <c r="AN81" i="63"/>
  <c r="AX81" i="63"/>
  <c r="AJ81" i="63"/>
  <c r="AW81" i="63"/>
  <c r="AS81" i="63"/>
  <c r="P81" i="63"/>
  <c r="BD89" i="63"/>
  <c r="AV89" i="63"/>
  <c r="AN89" i="63"/>
  <c r="BC89" i="63"/>
  <c r="AU89" i="63"/>
  <c r="AM89" i="63"/>
  <c r="AZ89" i="63"/>
  <c r="AR89" i="63"/>
  <c r="AJ89" i="63"/>
  <c r="AY89" i="63"/>
  <c r="AQ89" i="63"/>
  <c r="AI89" i="63"/>
  <c r="AS89" i="63"/>
  <c r="AP89" i="63"/>
  <c r="BA89" i="63"/>
  <c r="AK89" i="63"/>
  <c r="AX89" i="63"/>
  <c r="BB89" i="63"/>
  <c r="AW89" i="63"/>
  <c r="AT89" i="63"/>
  <c r="AO89" i="63"/>
  <c r="AL89" i="63"/>
  <c r="BD97" i="63"/>
  <c r="AV97" i="63"/>
  <c r="AN97" i="63"/>
  <c r="BC97" i="63"/>
  <c r="AU97" i="63"/>
  <c r="AM97" i="63"/>
  <c r="AZ97" i="63"/>
  <c r="AR97" i="63"/>
  <c r="AJ97" i="63"/>
  <c r="AY97" i="63"/>
  <c r="AQ97" i="63"/>
  <c r="AI97" i="63"/>
  <c r="AS97" i="63"/>
  <c r="AP97" i="63"/>
  <c r="BA97" i="63"/>
  <c r="AK97" i="63"/>
  <c r="AX97" i="63"/>
  <c r="BB97" i="63"/>
  <c r="AW97" i="63"/>
  <c r="AT97" i="63"/>
  <c r="AO97" i="63"/>
  <c r="AL97" i="63"/>
  <c r="AJ57" i="63"/>
  <c r="AU57" i="63"/>
  <c r="AI58" i="63"/>
  <c r="AS58" i="63"/>
  <c r="AR59" i="63"/>
  <c r="BC59" i="63"/>
  <c r="AQ60" i="63"/>
  <c r="BA60" i="63"/>
  <c r="AO61" i="63"/>
  <c r="BB61" i="63"/>
  <c r="AL62" i="63"/>
  <c r="AZ62" i="63"/>
  <c r="AJ63" i="63"/>
  <c r="AY63" i="63"/>
  <c r="AI64" i="63"/>
  <c r="AX64" i="63"/>
  <c r="AV65" i="63"/>
  <c r="AN68" i="63"/>
  <c r="AV70" i="63"/>
  <c r="AT72" i="63"/>
  <c r="AR73" i="63"/>
  <c r="AX58" i="63"/>
  <c r="AP58" i="63"/>
  <c r="BB58" i="63"/>
  <c r="AT58" i="63"/>
  <c r="AL58" i="63"/>
  <c r="BA66" i="63"/>
  <c r="AS66" i="63"/>
  <c r="AK66" i="63"/>
  <c r="AW66" i="63"/>
  <c r="AO66" i="63"/>
  <c r="AX66" i="63"/>
  <c r="AM66" i="63"/>
  <c r="BC66" i="63"/>
  <c r="AR66" i="63"/>
  <c r="BA74" i="63"/>
  <c r="AS74" i="63"/>
  <c r="AK74" i="63"/>
  <c r="AW74" i="63"/>
  <c r="AO74" i="63"/>
  <c r="P74" i="63"/>
  <c r="BB74" i="63"/>
  <c r="AQ74" i="63"/>
  <c r="AZ74" i="63"/>
  <c r="AP74" i="63"/>
  <c r="AY74" i="63"/>
  <c r="AN74" i="63"/>
  <c r="R74" i="63"/>
  <c r="AX74" i="63"/>
  <c r="AM74" i="63"/>
  <c r="AU74" i="63"/>
  <c r="AJ74" i="63"/>
  <c r="BD74" i="63"/>
  <c r="AT74" i="63"/>
  <c r="AI74" i="63"/>
  <c r="BC74" i="63"/>
  <c r="AR74" i="63"/>
  <c r="AY82" i="63"/>
  <c r="AQ82" i="63"/>
  <c r="AI82" i="63"/>
  <c r="BC82" i="63"/>
  <c r="AU82" i="63"/>
  <c r="AM82" i="63"/>
  <c r="AZ82" i="63"/>
  <c r="AO82" i="63"/>
  <c r="AT82" i="63"/>
  <c r="AJ82" i="63"/>
  <c r="BD82" i="63"/>
  <c r="AP82" i="63"/>
  <c r="BB82" i="63"/>
  <c r="AN82" i="63"/>
  <c r="BA82" i="63"/>
  <c r="AL82" i="63"/>
  <c r="AX82" i="63"/>
  <c r="AK82" i="63"/>
  <c r="AW82" i="63"/>
  <c r="AV82" i="63"/>
  <c r="AS82" i="63"/>
  <c r="AR82" i="63"/>
  <c r="AJ90" i="63"/>
  <c r="AY90" i="63"/>
  <c r="AQ90" i="63"/>
  <c r="BD90" i="63"/>
  <c r="AV90" i="63"/>
  <c r="AN90" i="63"/>
  <c r="AM90" i="63"/>
  <c r="AW90" i="63"/>
  <c r="BB90" i="63"/>
  <c r="AL90" i="63"/>
  <c r="AS90" i="63"/>
  <c r="BA90" i="63"/>
  <c r="AX90" i="63"/>
  <c r="AY98" i="63"/>
  <c r="AQ98" i="63"/>
  <c r="AI98" i="63"/>
  <c r="AV98" i="63"/>
  <c r="AN98" i="63"/>
  <c r="AW98" i="63"/>
  <c r="AT98" i="63"/>
  <c r="BB98" i="63"/>
  <c r="AL98" i="63"/>
  <c r="AS98" i="63"/>
  <c r="BA98" i="63"/>
  <c r="AX98" i="63"/>
  <c r="AK57" i="63"/>
  <c r="AV57" i="63"/>
  <c r="AJ58" i="63"/>
  <c r="AU58" i="63"/>
  <c r="AI59" i="63"/>
  <c r="AS59" i="63"/>
  <c r="AR60" i="63"/>
  <c r="BC60" i="63"/>
  <c r="AQ61" i="63"/>
  <c r="J8" i="65" s="1"/>
  <c r="BC61" i="63"/>
  <c r="AN62" i="63"/>
  <c r="BB62" i="63"/>
  <c r="AM63" i="63"/>
  <c r="AZ63" i="63"/>
  <c r="AL64" i="63"/>
  <c r="AY64" i="63"/>
  <c r="AJ65" i="63"/>
  <c r="AX65" i="63"/>
  <c r="AI66" i="63"/>
  <c r="AV66" i="63"/>
  <c r="AQ68" i="63"/>
  <c r="BC69" i="63"/>
  <c r="BB70" i="63"/>
  <c r="AY72" i="63"/>
  <c r="AN78" i="63"/>
  <c r="BB59" i="63"/>
  <c r="AT59" i="63"/>
  <c r="AL59" i="63"/>
  <c r="AX59" i="63"/>
  <c r="AP59" i="63"/>
  <c r="AW67" i="63"/>
  <c r="AO67" i="63"/>
  <c r="AV67" i="63"/>
  <c r="AQ67" i="63"/>
  <c r="BC75" i="63"/>
  <c r="AU75" i="63"/>
  <c r="AM75" i="63"/>
  <c r="AY75" i="63"/>
  <c r="AQ75" i="63"/>
  <c r="AI75" i="63"/>
  <c r="R75" i="63"/>
  <c r="AX75" i="63"/>
  <c r="AN75" i="63"/>
  <c r="BD75" i="63"/>
  <c r="AS75" i="63"/>
  <c r="AZ75" i="63"/>
  <c r="AK75" i="63"/>
  <c r="AW75" i="63"/>
  <c r="AJ75" i="63"/>
  <c r="AV75" i="63"/>
  <c r="AT75" i="63"/>
  <c r="P75" i="63"/>
  <c r="AP75" i="63"/>
  <c r="BB75" i="63"/>
  <c r="AO75" i="63"/>
  <c r="BA75" i="63"/>
  <c r="AL75" i="63"/>
  <c r="BC83" i="63"/>
  <c r="AU83" i="63"/>
  <c r="AX83" i="63"/>
  <c r="AN83" i="63"/>
  <c r="BA83" i="63"/>
  <c r="AK83" i="63"/>
  <c r="AW83" i="63"/>
  <c r="AR83" i="63"/>
  <c r="AP83" i="63"/>
  <c r="BD91" i="63"/>
  <c r="AV91" i="63"/>
  <c r="AN91" i="63"/>
  <c r="BC91" i="63"/>
  <c r="AU91" i="63"/>
  <c r="AM91" i="63"/>
  <c r="AZ91" i="63"/>
  <c r="AR91" i="63"/>
  <c r="AJ91" i="63"/>
  <c r="AY91" i="63"/>
  <c r="AQ91" i="63"/>
  <c r="AI91" i="63"/>
  <c r="BA91" i="63"/>
  <c r="AK91" i="63"/>
  <c r="AX91" i="63"/>
  <c r="AS91" i="63"/>
  <c r="AP91" i="63"/>
  <c r="BB91" i="63"/>
  <c r="AW91" i="63"/>
  <c r="AT91" i="63"/>
  <c r="AO91" i="63"/>
  <c r="AL91" i="63"/>
  <c r="BD99" i="63"/>
  <c r="AV99" i="63"/>
  <c r="AN99" i="63"/>
  <c r="BC99" i="63"/>
  <c r="AU99" i="63"/>
  <c r="AM99" i="63"/>
  <c r="AZ99" i="63"/>
  <c r="AR99" i="63"/>
  <c r="AJ99" i="63"/>
  <c r="AY99" i="63"/>
  <c r="AQ99" i="63"/>
  <c r="AI99" i="63"/>
  <c r="BA99" i="63"/>
  <c r="AK99" i="63"/>
  <c r="AX99" i="63"/>
  <c r="AS99" i="63"/>
  <c r="AP99" i="63"/>
  <c r="BB99" i="63"/>
  <c r="AW99" i="63"/>
  <c r="AT99" i="63"/>
  <c r="AO99" i="63"/>
  <c r="AL99" i="63"/>
  <c r="AM57" i="63"/>
  <c r="AW57" i="63"/>
  <c r="P8" i="65" s="1"/>
  <c r="AK58" i="63"/>
  <c r="AV58" i="63"/>
  <c r="AJ59" i="63"/>
  <c r="AU59" i="63"/>
  <c r="AI60" i="63"/>
  <c r="AS60" i="63"/>
  <c r="AR61" i="63"/>
  <c r="AP62" i="63"/>
  <c r="BD62" i="63"/>
  <c r="AN63" i="63"/>
  <c r="BC63" i="63"/>
  <c r="AM64" i="63"/>
  <c r="BB64" i="63"/>
  <c r="AL65" i="63"/>
  <c r="AZ65" i="63"/>
  <c r="AJ66" i="63"/>
  <c r="AY66" i="63"/>
  <c r="AX67" i="63"/>
  <c r="BD72" i="63"/>
  <c r="AX60" i="63"/>
  <c r="AP60" i="63"/>
  <c r="BB60" i="63"/>
  <c r="AT60" i="63"/>
  <c r="AL60" i="63"/>
  <c r="BA68" i="63"/>
  <c r="AS68" i="63"/>
  <c r="AK68" i="63"/>
  <c r="AW68" i="63"/>
  <c r="AO68" i="63"/>
  <c r="AX68" i="63"/>
  <c r="AM68" i="63"/>
  <c r="AU68" i="63"/>
  <c r="AJ68" i="63"/>
  <c r="BC68" i="63"/>
  <c r="AR68" i="63"/>
  <c r="BB68" i="63"/>
  <c r="AZ68" i="63"/>
  <c r="AP68" i="63"/>
  <c r="AY76" i="63"/>
  <c r="AQ76" i="63"/>
  <c r="AI76" i="63"/>
  <c r="R76" i="63"/>
  <c r="BC76" i="63"/>
  <c r="AU76" i="63"/>
  <c r="AM76" i="63"/>
  <c r="AW76" i="63"/>
  <c r="AL76" i="63"/>
  <c r="P76" i="63"/>
  <c r="BB76" i="63"/>
  <c r="AR76" i="63"/>
  <c r="AX76" i="63"/>
  <c r="AJ76" i="63"/>
  <c r="AV76" i="63"/>
  <c r="AT76" i="63"/>
  <c r="AS76" i="63"/>
  <c r="BD76" i="63"/>
  <c r="AO76" i="63"/>
  <c r="BA76" i="63"/>
  <c r="AN76" i="63"/>
  <c r="AZ76" i="63"/>
  <c r="AK76" i="63"/>
  <c r="AY84" i="63"/>
  <c r="AQ84" i="63"/>
  <c r="AI84" i="63"/>
  <c r="BC84" i="63"/>
  <c r="AU84" i="63"/>
  <c r="AM84" i="63"/>
  <c r="AX84" i="63"/>
  <c r="AW84" i="63"/>
  <c r="AL84" i="63"/>
  <c r="BD84" i="63"/>
  <c r="AS84" i="63"/>
  <c r="BB84" i="63"/>
  <c r="AR84" i="63"/>
  <c r="AN84" i="63"/>
  <c r="AK84" i="63"/>
  <c r="BA84" i="63"/>
  <c r="AJ84" i="63"/>
  <c r="AZ84" i="63"/>
  <c r="AV84" i="63"/>
  <c r="AT84" i="63"/>
  <c r="AP84" i="63"/>
  <c r="AO84" i="63"/>
  <c r="AZ92" i="63"/>
  <c r="AR92" i="63"/>
  <c r="AJ92" i="63"/>
  <c r="AY92" i="63"/>
  <c r="AQ92" i="63"/>
  <c r="AI92" i="63"/>
  <c r="BD92" i="63"/>
  <c r="AV92" i="63"/>
  <c r="AN92" i="63"/>
  <c r="BC92" i="63"/>
  <c r="AU92" i="63"/>
  <c r="AM92" i="63"/>
  <c r="AO92" i="63"/>
  <c r="BB92" i="63"/>
  <c r="AL92" i="63"/>
  <c r="AW92" i="63"/>
  <c r="AT92" i="63"/>
  <c r="BA92" i="63"/>
  <c r="AX92" i="63"/>
  <c r="AS92" i="63"/>
  <c r="AP92" i="63"/>
  <c r="AK92" i="63"/>
  <c r="AY100" i="63"/>
  <c r="AQ100" i="63"/>
  <c r="BC100" i="63"/>
  <c r="AU100" i="63"/>
  <c r="AM100" i="63"/>
  <c r="AV100" i="63"/>
  <c r="AK100" i="63"/>
  <c r="AT100" i="63"/>
  <c r="AJ100" i="63"/>
  <c r="BA100" i="63"/>
  <c r="AP100" i="63"/>
  <c r="AZ100" i="63"/>
  <c r="AO100" i="63"/>
  <c r="AR100" i="63"/>
  <c r="AN100" i="63"/>
  <c r="BB100" i="63"/>
  <c r="AX100" i="63"/>
  <c r="BD100" i="63"/>
  <c r="AW100" i="63"/>
  <c r="AS100" i="63"/>
  <c r="AL100" i="63"/>
  <c r="AI100" i="63"/>
  <c r="AN57" i="63"/>
  <c r="AY57" i="63"/>
  <c r="AM58" i="63"/>
  <c r="AW58" i="63"/>
  <c r="AK59" i="63"/>
  <c r="AV59" i="63"/>
  <c r="AJ60" i="63"/>
  <c r="AU60" i="63"/>
  <c r="AI61" i="63"/>
  <c r="AQ62" i="63"/>
  <c r="AP63" i="63"/>
  <c r="BD63" i="63"/>
  <c r="AN64" i="63"/>
  <c r="BC64" i="63"/>
  <c r="AM65" i="63"/>
  <c r="AL66" i="63"/>
  <c r="AZ66" i="63"/>
  <c r="AY67" i="63"/>
  <c r="AV68" i="63"/>
  <c r="AP76" i="63"/>
  <c r="BA61" i="63"/>
  <c r="AS61" i="63"/>
  <c r="BD61" i="63"/>
  <c r="AU61" i="63"/>
  <c r="AL61" i="63"/>
  <c r="AY61" i="63"/>
  <c r="AP61" i="63"/>
  <c r="AO69" i="63"/>
  <c r="BA69" i="63"/>
  <c r="AS69" i="63"/>
  <c r="AV69" i="63"/>
  <c r="AL69" i="63"/>
  <c r="BD69" i="63"/>
  <c r="BB69" i="63"/>
  <c r="AQ69" i="63"/>
  <c r="AY69" i="63"/>
  <c r="AN69" i="63"/>
  <c r="BC77" i="63"/>
  <c r="AU77" i="63"/>
  <c r="AM77" i="63"/>
  <c r="AY77" i="63"/>
  <c r="AQ77" i="63"/>
  <c r="AI77" i="63"/>
  <c r="AV77" i="63"/>
  <c r="AK77" i="63"/>
  <c r="BA77" i="63"/>
  <c r="AP77" i="63"/>
  <c r="AW77" i="63"/>
  <c r="AT77" i="63"/>
  <c r="AS77" i="63"/>
  <c r="AR77" i="63"/>
  <c r="BB77" i="63"/>
  <c r="AN77" i="63"/>
  <c r="AZ77" i="63"/>
  <c r="AL77" i="63"/>
  <c r="AX77" i="63"/>
  <c r="AJ77" i="63"/>
  <c r="BC85" i="63"/>
  <c r="AU85" i="63"/>
  <c r="AM85" i="63"/>
  <c r="AY85" i="63"/>
  <c r="AQ85" i="63"/>
  <c r="AI85" i="63"/>
  <c r="AW85" i="63"/>
  <c r="AL85" i="63"/>
  <c r="AV85" i="63"/>
  <c r="AK85" i="63"/>
  <c r="BB85" i="63"/>
  <c r="AR85" i="63"/>
  <c r="BA85" i="63"/>
  <c r="AP85" i="63"/>
  <c r="AJ85" i="63"/>
  <c r="BD85" i="63"/>
  <c r="AZ85" i="63"/>
  <c r="AX85" i="63"/>
  <c r="AT85" i="63"/>
  <c r="AS85" i="63"/>
  <c r="AO85" i="63"/>
  <c r="AN85" i="63"/>
  <c r="BD93" i="63"/>
  <c r="AV93" i="63"/>
  <c r="AN93" i="63"/>
  <c r="BC93" i="63"/>
  <c r="AU93" i="63"/>
  <c r="AM93" i="63"/>
  <c r="AZ93" i="63"/>
  <c r="AR93" i="63"/>
  <c r="AJ93" i="63"/>
  <c r="AY93" i="63"/>
  <c r="AQ93" i="63"/>
  <c r="AI93" i="63"/>
  <c r="AS93" i="63"/>
  <c r="AP93" i="63"/>
  <c r="BA93" i="63"/>
  <c r="AK93" i="63"/>
  <c r="AX93" i="63"/>
  <c r="AO93" i="63"/>
  <c r="AL93" i="63"/>
  <c r="BB93" i="63"/>
  <c r="AW93" i="63"/>
  <c r="AT93" i="63"/>
  <c r="BC101" i="63"/>
  <c r="AU101" i="63"/>
  <c r="AM101" i="63"/>
  <c r="AY101" i="63"/>
  <c r="AQ101" i="63"/>
  <c r="AI101" i="63"/>
  <c r="AT101" i="63"/>
  <c r="AJ101" i="63"/>
  <c r="BD101" i="63"/>
  <c r="AS101" i="63"/>
  <c r="AZ101" i="63"/>
  <c r="AO101" i="63"/>
  <c r="AX101" i="63"/>
  <c r="AN101" i="63"/>
  <c r="AR101" i="63"/>
  <c r="AP101" i="63"/>
  <c r="AL101" i="63"/>
  <c r="BB101" i="63"/>
  <c r="BA101" i="63"/>
  <c r="AW101" i="63"/>
  <c r="AV101" i="63"/>
  <c r="AK101" i="63"/>
  <c r="AO57" i="63"/>
  <c r="AZ57" i="63"/>
  <c r="AN58" i="63"/>
  <c r="AY58" i="63"/>
  <c r="AM59" i="63"/>
  <c r="AW59" i="63"/>
  <c r="AK60" i="63"/>
  <c r="AV60" i="63"/>
  <c r="AJ61" i="63"/>
  <c r="AV61" i="63"/>
  <c r="AR63" i="63"/>
  <c r="AQ64" i="63"/>
  <c r="BD64" i="63"/>
  <c r="AN66" i="63"/>
  <c r="BB66" i="63"/>
  <c r="AM67" i="63"/>
  <c r="AY68" i="63"/>
  <c r="AL74" i="63"/>
  <c r="BA62" i="63"/>
  <c r="AS62" i="63"/>
  <c r="AK62" i="63"/>
  <c r="AW62" i="63"/>
  <c r="AO62" i="63"/>
  <c r="BC62" i="63"/>
  <c r="AR62" i="63"/>
  <c r="AX62" i="63"/>
  <c r="AM62" i="63"/>
  <c r="BA70" i="63"/>
  <c r="AS70" i="63"/>
  <c r="AK70" i="63"/>
  <c r="AW70" i="63"/>
  <c r="AO70" i="63"/>
  <c r="AU70" i="63"/>
  <c r="AJ70" i="63"/>
  <c r="BD70" i="63"/>
  <c r="AT70" i="63"/>
  <c r="AI70" i="63"/>
  <c r="BC70" i="63"/>
  <c r="AR70" i="63"/>
  <c r="AZ70" i="63"/>
  <c r="AP70" i="63"/>
  <c r="AY70" i="63"/>
  <c r="AN70" i="63"/>
  <c r="AX70" i="63"/>
  <c r="AM70" i="63"/>
  <c r="AY78" i="63"/>
  <c r="AQ78" i="63"/>
  <c r="AI78" i="63"/>
  <c r="R78" i="63"/>
  <c r="BC78" i="63"/>
  <c r="AU78" i="63"/>
  <c r="AM78" i="63"/>
  <c r="AT78" i="63"/>
  <c r="AJ78" i="63"/>
  <c r="AZ78" i="63"/>
  <c r="AO78" i="63"/>
  <c r="AV78" i="63"/>
  <c r="AS78" i="63"/>
  <c r="P78" i="63"/>
  <c r="AR78" i="63"/>
  <c r="BD78" i="63"/>
  <c r="AP78" i="63"/>
  <c r="BA78" i="63"/>
  <c r="AL78" i="63"/>
  <c r="AX78" i="63"/>
  <c r="AK78" i="63"/>
  <c r="AW78" i="63"/>
  <c r="AY86" i="63"/>
  <c r="AQ86" i="63"/>
  <c r="AI86" i="63"/>
  <c r="BC86" i="63"/>
  <c r="AU86" i="63"/>
  <c r="AM86" i="63"/>
  <c r="AV86" i="63"/>
  <c r="AK86" i="63"/>
  <c r="AT86" i="63"/>
  <c r="AJ86" i="63"/>
  <c r="BA86" i="63"/>
  <c r="AP86" i="63"/>
  <c r="AZ86" i="63"/>
  <c r="AO86" i="63"/>
  <c r="BD86" i="63"/>
  <c r="BB86" i="63"/>
  <c r="AX86" i="63"/>
  <c r="AW86" i="63"/>
  <c r="AS86" i="63"/>
  <c r="AR86" i="63"/>
  <c r="AN86" i="63"/>
  <c r="AL86" i="63"/>
  <c r="AJ94" i="63"/>
  <c r="AY94" i="63"/>
  <c r="BD94" i="63"/>
  <c r="AV94" i="63"/>
  <c r="AU94" i="63"/>
  <c r="AM94" i="63"/>
  <c r="AW94" i="63"/>
  <c r="AO94" i="63"/>
  <c r="BB94" i="63"/>
  <c r="AL94" i="63"/>
  <c r="AX94" i="63"/>
  <c r="AS94" i="63"/>
  <c r="AY102" i="63"/>
  <c r="AQ102" i="63"/>
  <c r="AI102" i="63"/>
  <c r="BC102" i="63"/>
  <c r="AU102" i="63"/>
  <c r="AM102" i="63"/>
  <c r="BD102" i="63"/>
  <c r="AS102" i="63"/>
  <c r="BB102" i="63"/>
  <c r="AR102" i="63"/>
  <c r="AX102" i="63"/>
  <c r="AN102" i="63"/>
  <c r="AW102" i="63"/>
  <c r="AL102" i="63"/>
  <c r="AP102" i="63"/>
  <c r="AO102" i="63"/>
  <c r="AK102" i="63"/>
  <c r="BA102" i="63"/>
  <c r="AZ102" i="63"/>
  <c r="AV102" i="63"/>
  <c r="AT102" i="63"/>
  <c r="AJ102" i="63"/>
  <c r="AQ57" i="63"/>
  <c r="BA57" i="63"/>
  <c r="AO58" i="63"/>
  <c r="AZ58" i="63"/>
  <c r="S8" i="65" s="1"/>
  <c r="AN59" i="63"/>
  <c r="AY59" i="63"/>
  <c r="AM60" i="63"/>
  <c r="AW60" i="63"/>
  <c r="AK61" i="63"/>
  <c r="AW61" i="63"/>
  <c r="AU62" i="63"/>
  <c r="AR64" i="63"/>
  <c r="AQ65" i="63"/>
  <c r="AP66" i="63"/>
  <c r="BD66" i="63"/>
  <c r="BD68" i="63"/>
  <c r="AM69" i="63"/>
  <c r="AV74" i="63"/>
  <c r="AW63" i="63"/>
  <c r="AO63" i="63"/>
  <c r="BA63" i="63"/>
  <c r="AS63" i="63"/>
  <c r="AK63" i="63"/>
  <c r="BB63" i="63"/>
  <c r="AQ63" i="63"/>
  <c r="AV63" i="63"/>
  <c r="AL63" i="63"/>
  <c r="AW71" i="63"/>
  <c r="AO71" i="63"/>
  <c r="BA71" i="63"/>
  <c r="BD71" i="63"/>
  <c r="AT71" i="63"/>
  <c r="AI71" i="63"/>
  <c r="BB71" i="63"/>
  <c r="AQ71" i="63"/>
  <c r="AX71" i="63"/>
  <c r="AM71" i="63"/>
  <c r="AV71" i="63"/>
  <c r="BC79" i="63"/>
  <c r="AU79" i="63"/>
  <c r="AM79" i="63"/>
  <c r="AY79" i="63"/>
  <c r="AQ79" i="63"/>
  <c r="AI79" i="63"/>
  <c r="R79" i="63"/>
  <c r="BD79" i="63"/>
  <c r="AS79" i="63"/>
  <c r="AX79" i="63"/>
  <c r="AN79" i="63"/>
  <c r="AT79" i="63"/>
  <c r="P79" i="63"/>
  <c r="AR79" i="63"/>
  <c r="AP79" i="63"/>
  <c r="BB79" i="63"/>
  <c r="AO79" i="63"/>
  <c r="BA79" i="63"/>
  <c r="AL79" i="63"/>
  <c r="AZ79" i="63"/>
  <c r="AK79" i="63"/>
  <c r="AW79" i="63"/>
  <c r="AJ79" i="63"/>
  <c r="AV79" i="63"/>
  <c r="BC87" i="63"/>
  <c r="AU87" i="63"/>
  <c r="AM87" i="63"/>
  <c r="AZ87" i="63"/>
  <c r="AR87" i="63"/>
  <c r="AY87" i="63"/>
  <c r="AQ87" i="63"/>
  <c r="AI87" i="63"/>
  <c r="AV87" i="63"/>
  <c r="AJ87" i="63"/>
  <c r="AT87" i="63"/>
  <c r="BB87" i="63"/>
  <c r="AO87" i="63"/>
  <c r="BA87" i="63"/>
  <c r="AN87" i="63"/>
  <c r="BD87" i="63"/>
  <c r="AX87" i="63"/>
  <c r="AW87" i="63"/>
  <c r="AS87" i="63"/>
  <c r="AP87" i="63"/>
  <c r="AL87" i="63"/>
  <c r="AK87" i="63"/>
  <c r="AN95" i="63"/>
  <c r="BC95" i="63"/>
  <c r="AZ95" i="63"/>
  <c r="AR95" i="63"/>
  <c r="AJ95" i="63"/>
  <c r="AI95" i="63"/>
  <c r="BA95" i="63"/>
  <c r="AK95" i="63"/>
  <c r="AS95" i="63"/>
  <c r="AP95" i="63"/>
  <c r="AW95" i="63"/>
  <c r="AO95" i="63"/>
  <c r="AL95" i="63"/>
  <c r="BB95" i="63"/>
  <c r="AY103" i="63"/>
  <c r="AQ103" i="63"/>
  <c r="AI103" i="63"/>
  <c r="AR103" i="63"/>
  <c r="BA103" i="63"/>
  <c r="AP103" i="63"/>
  <c r="AL103" i="63"/>
  <c r="AV103" i="63"/>
  <c r="AK103" i="63"/>
  <c r="AN103" i="63"/>
  <c r="AJ103" i="63"/>
  <c r="AZ103" i="63"/>
  <c r="BD103" i="63"/>
  <c r="AS103" i="63"/>
  <c r="AR57" i="63"/>
  <c r="BC57" i="63"/>
  <c r="AQ58" i="63"/>
  <c r="BA58" i="63"/>
  <c r="AO59" i="63"/>
  <c r="AZ59" i="63"/>
  <c r="AN60" i="63"/>
  <c r="AY60" i="63"/>
  <c r="R8" i="65" s="1"/>
  <c r="AM61" i="63"/>
  <c r="AX61" i="63"/>
  <c r="AI62" i="63"/>
  <c r="AV62" i="63"/>
  <c r="AU63" i="63"/>
  <c r="AT64" i="63"/>
  <c r="AR65" i="63"/>
  <c r="AQ66" i="63"/>
  <c r="AI68" i="63"/>
  <c r="AR69" i="63"/>
  <c r="AL70" i="63"/>
  <c r="AJ71" i="63"/>
  <c r="AI72" i="63"/>
  <c r="AO77" i="63"/>
  <c r="AD55" i="64"/>
  <c r="AH55" i="64"/>
  <c r="Z55" i="64"/>
  <c r="AF55" i="64"/>
  <c r="AE55" i="64"/>
  <c r="AC55" i="64"/>
  <c r="AB55" i="64"/>
  <c r="AA55" i="64"/>
  <c r="Y55" i="64"/>
  <c r="X55" i="64"/>
  <c r="AG55" i="64"/>
  <c r="AD63" i="64"/>
  <c r="AH63" i="64"/>
  <c r="Z63" i="64"/>
  <c r="AA63" i="64"/>
  <c r="Y63" i="64"/>
  <c r="X63" i="64"/>
  <c r="AG63" i="64"/>
  <c r="AF63" i="64"/>
  <c r="AE63" i="64"/>
  <c r="AC63" i="64"/>
  <c r="AB63" i="64"/>
  <c r="AH71" i="64"/>
  <c r="Z71" i="64"/>
  <c r="AE71" i="64"/>
  <c r="AB71" i="64"/>
  <c r="AG71" i="64"/>
  <c r="AA71" i="64"/>
  <c r="Y71" i="64"/>
  <c r="X71" i="64"/>
  <c r="AF71" i="64"/>
  <c r="AD71" i="64"/>
  <c r="AC71" i="64"/>
  <c r="AB79" i="64"/>
  <c r="AA79" i="64"/>
  <c r="AH79" i="64"/>
  <c r="Z79" i="64"/>
  <c r="AE79" i="64"/>
  <c r="AD79" i="64"/>
  <c r="AC79" i="64"/>
  <c r="AG79" i="64"/>
  <c r="AF79" i="64"/>
  <c r="Y79" i="64"/>
  <c r="X79" i="64"/>
  <c r="AD51" i="64"/>
  <c r="AH51" i="64"/>
  <c r="Z51" i="64"/>
  <c r="X51" i="64"/>
  <c r="AG51" i="64"/>
  <c r="AF51" i="64"/>
  <c r="AE51" i="64"/>
  <c r="AC51" i="64"/>
  <c r="AB51" i="64"/>
  <c r="AA51" i="64"/>
  <c r="Y51" i="64"/>
  <c r="AH59" i="64"/>
  <c r="Z59" i="64"/>
  <c r="AC59" i="64"/>
  <c r="AB59" i="64"/>
  <c r="AA59" i="64"/>
  <c r="Y59" i="64"/>
  <c r="X59" i="64"/>
  <c r="AG59" i="64"/>
  <c r="AF59" i="64"/>
  <c r="AE59" i="64"/>
  <c r="AD67" i="64"/>
  <c r="AH67" i="64"/>
  <c r="Z67" i="64"/>
  <c r="X67" i="64"/>
  <c r="AG67" i="64"/>
  <c r="AF67" i="64"/>
  <c r="AE67" i="64"/>
  <c r="AC67" i="64"/>
  <c r="AB67" i="64"/>
  <c r="AA67" i="64"/>
  <c r="Y67" i="64"/>
  <c r="AH75" i="64"/>
  <c r="Z75" i="64"/>
  <c r="AE75" i="64"/>
  <c r="AD75" i="64"/>
  <c r="Y75" i="64"/>
  <c r="AG75" i="64"/>
  <c r="AF75" i="64"/>
  <c r="AC75" i="64"/>
  <c r="X75" i="64"/>
  <c r="AB83" i="64"/>
  <c r="AA83" i="64"/>
  <c r="AH83" i="64"/>
  <c r="Z83" i="64"/>
  <c r="AE83" i="64"/>
  <c r="AD83" i="64"/>
  <c r="Y83" i="64"/>
  <c r="AG83" i="64"/>
  <c r="AF83" i="64"/>
  <c r="X83" i="64"/>
  <c r="AF52" i="64"/>
  <c r="X52" i="64"/>
  <c r="AB52" i="64"/>
  <c r="AH52" i="64"/>
  <c r="AG52" i="64"/>
  <c r="AE52" i="64"/>
  <c r="AD52" i="64"/>
  <c r="AC52" i="64"/>
  <c r="AA52" i="64"/>
  <c r="Z52" i="64"/>
  <c r="Y52" i="64"/>
  <c r="AF60" i="64"/>
  <c r="X60" i="64"/>
  <c r="AB60" i="64"/>
  <c r="AC60" i="64"/>
  <c r="AA60" i="64"/>
  <c r="Z60" i="64"/>
  <c r="Y60" i="64"/>
  <c r="AH60" i="64"/>
  <c r="AG60" i="64"/>
  <c r="AE60" i="64"/>
  <c r="AD60" i="64"/>
  <c r="AF68" i="64"/>
  <c r="X68" i="64"/>
  <c r="AB68" i="64"/>
  <c r="AH68" i="64"/>
  <c r="AG68" i="64"/>
  <c r="AE68" i="64"/>
  <c r="AD68" i="64"/>
  <c r="AC68" i="64"/>
  <c r="AA68" i="64"/>
  <c r="Z68" i="64"/>
  <c r="Y68" i="64"/>
  <c r="AD76" i="64"/>
  <c r="AB76" i="64"/>
  <c r="AG76" i="64"/>
  <c r="Y76" i="64"/>
  <c r="AF76" i="64"/>
  <c r="X76" i="64"/>
  <c r="AA76" i="64"/>
  <c r="AH76" i="64"/>
  <c r="AE76" i="64"/>
  <c r="AC76" i="64"/>
  <c r="Z76" i="64"/>
  <c r="AC84" i="64"/>
  <c r="AB84" i="64"/>
  <c r="AG84" i="64"/>
  <c r="AF84" i="64"/>
  <c r="X84" i="64"/>
  <c r="Z84" i="64"/>
  <c r="AH84" i="64"/>
  <c r="AE84" i="64"/>
  <c r="AA84" i="64"/>
  <c r="AB48" i="64"/>
  <c r="AF48" i="64"/>
  <c r="AE48" i="64"/>
  <c r="AC48" i="64"/>
  <c r="AA48" i="64"/>
  <c r="E8" i="66" s="1"/>
  <c r="Z48" i="64"/>
  <c r="AH48" i="64"/>
  <c r="Y48" i="64"/>
  <c r="AG48" i="64"/>
  <c r="X48" i="64"/>
  <c r="B8" i="66" s="1"/>
  <c r="AD48" i="64"/>
  <c r="AF56" i="64"/>
  <c r="X56" i="64"/>
  <c r="AB56" i="64"/>
  <c r="AE56" i="64"/>
  <c r="AD56" i="64"/>
  <c r="AC56" i="64"/>
  <c r="AA56" i="64"/>
  <c r="Z56" i="64"/>
  <c r="Y56" i="64"/>
  <c r="AH56" i="64"/>
  <c r="AG56" i="64"/>
  <c r="AF64" i="64"/>
  <c r="X64" i="64"/>
  <c r="AB64" i="64"/>
  <c r="Z64" i="64"/>
  <c r="Y64" i="64"/>
  <c r="AH64" i="64"/>
  <c r="AG64" i="64"/>
  <c r="AE64" i="64"/>
  <c r="AD64" i="64"/>
  <c r="AC64" i="64"/>
  <c r="AA64" i="64"/>
  <c r="AB72" i="64"/>
  <c r="AG72" i="64"/>
  <c r="Y72" i="64"/>
  <c r="AA72" i="64"/>
  <c r="AF72" i="64"/>
  <c r="AH72" i="64"/>
  <c r="AE72" i="64"/>
  <c r="AC72" i="64"/>
  <c r="Z72" i="64"/>
  <c r="X72" i="64"/>
  <c r="AD80" i="64"/>
  <c r="AC80" i="64"/>
  <c r="AB80" i="64"/>
  <c r="Y80" i="64"/>
  <c r="AF80" i="64"/>
  <c r="X80" i="64"/>
  <c r="AA80" i="64"/>
  <c r="AH80" i="64"/>
  <c r="AE80" i="64"/>
  <c r="Z80" i="64"/>
  <c r="AD49" i="64"/>
  <c r="AB49" i="64"/>
  <c r="AA49" i="64"/>
  <c r="AH49" i="64"/>
  <c r="Y49" i="64"/>
  <c r="AG49" i="64"/>
  <c r="X49" i="64"/>
  <c r="AF49" i="64"/>
  <c r="AE49" i="64"/>
  <c r="AC49" i="64"/>
  <c r="G8" i="66" s="1"/>
  <c r="AH57" i="64"/>
  <c r="Z57" i="64"/>
  <c r="AD57" i="64"/>
  <c r="AE57" i="64"/>
  <c r="AC57" i="64"/>
  <c r="AB57" i="64"/>
  <c r="AA57" i="64"/>
  <c r="Y57" i="64"/>
  <c r="X57" i="64"/>
  <c r="AG57" i="64"/>
  <c r="AF57" i="64"/>
  <c r="AH65" i="64"/>
  <c r="Z65" i="64"/>
  <c r="AD65" i="64"/>
  <c r="Y65" i="64"/>
  <c r="X65" i="64"/>
  <c r="AG65" i="64"/>
  <c r="AF65" i="64"/>
  <c r="AE65" i="64"/>
  <c r="AC65" i="64"/>
  <c r="AB65" i="64"/>
  <c r="AA65" i="64"/>
  <c r="AD73" i="64"/>
  <c r="AA73" i="64"/>
  <c r="AH73" i="64"/>
  <c r="Z73" i="64"/>
  <c r="AF73" i="64"/>
  <c r="Y73" i="64"/>
  <c r="X73" i="64"/>
  <c r="AG73" i="64"/>
  <c r="AE73" i="64"/>
  <c r="AC73" i="64"/>
  <c r="AB73" i="64"/>
  <c r="AF81" i="64"/>
  <c r="X81" i="64"/>
  <c r="AE81" i="64"/>
  <c r="AD81" i="64"/>
  <c r="AA81" i="64"/>
  <c r="AH81" i="64"/>
  <c r="Z81" i="64"/>
  <c r="AB81" i="64"/>
  <c r="AC81" i="64"/>
  <c r="Y81" i="64"/>
  <c r="AG81" i="64"/>
  <c r="AH53" i="64"/>
  <c r="Z53" i="64"/>
  <c r="AD53" i="64"/>
  <c r="AG53" i="64"/>
  <c r="AF53" i="64"/>
  <c r="AE53" i="64"/>
  <c r="AC53" i="64"/>
  <c r="AB53" i="64"/>
  <c r="AA53" i="64"/>
  <c r="Y53" i="64"/>
  <c r="X53" i="64"/>
  <c r="AH61" i="64"/>
  <c r="Z61" i="64"/>
  <c r="AD61" i="64"/>
  <c r="AB61" i="64"/>
  <c r="AA61" i="64"/>
  <c r="Y61" i="64"/>
  <c r="X61" i="64"/>
  <c r="AG61" i="64"/>
  <c r="AF61" i="64"/>
  <c r="AE61" i="64"/>
  <c r="AC61" i="64"/>
  <c r="AH69" i="64"/>
  <c r="Z69" i="64"/>
  <c r="AD69" i="64"/>
  <c r="AG69" i="64"/>
  <c r="AF69" i="64"/>
  <c r="AE69" i="64"/>
  <c r="AC69" i="64"/>
  <c r="AB69" i="64"/>
  <c r="AA69" i="64"/>
  <c r="Y69" i="64"/>
  <c r="X69" i="64"/>
  <c r="AF77" i="64"/>
  <c r="X77" i="64"/>
  <c r="AD77" i="64"/>
  <c r="AA77" i="64"/>
  <c r="AH77" i="64"/>
  <c r="Z77" i="64"/>
  <c r="AC77" i="64"/>
  <c r="AG77" i="64"/>
  <c r="AE77" i="64"/>
  <c r="AB77" i="64"/>
  <c r="Y77" i="64"/>
  <c r="AF85" i="64"/>
  <c r="X85" i="64"/>
  <c r="AE85" i="64"/>
  <c r="AD85" i="64"/>
  <c r="AA85" i="64"/>
  <c r="AH85" i="64"/>
  <c r="Z85" i="64"/>
  <c r="Y85" i="64"/>
  <c r="AB85" i="64"/>
  <c r="AG85" i="64"/>
  <c r="AC85" i="64"/>
  <c r="AB50" i="64"/>
  <c r="AF50" i="64"/>
  <c r="X50" i="64"/>
  <c r="AB58" i="64"/>
  <c r="AF58" i="64"/>
  <c r="X58" i="64"/>
  <c r="AB66" i="64"/>
  <c r="AF66" i="64"/>
  <c r="X66" i="64"/>
  <c r="AH74" i="64"/>
  <c r="Z74" i="64"/>
  <c r="AF74" i="64"/>
  <c r="X74" i="64"/>
  <c r="AC74" i="64"/>
  <c r="AB74" i="64"/>
  <c r="AE74" i="64"/>
  <c r="AH82" i="64"/>
  <c r="Z82" i="64"/>
  <c r="AG82" i="64"/>
  <c r="Y82" i="64"/>
  <c r="AF82" i="64"/>
  <c r="X82" i="64"/>
  <c r="AC82" i="64"/>
  <c r="AB82" i="64"/>
  <c r="AA82" i="64"/>
  <c r="Z50" i="64"/>
  <c r="AH54" i="64"/>
  <c r="AE58" i="64"/>
  <c r="AC62" i="64"/>
  <c r="Z66" i="64"/>
  <c r="AA50" i="64"/>
  <c r="Y54" i="64"/>
  <c r="AG58" i="64"/>
  <c r="AD62" i="64"/>
  <c r="AA66" i="64"/>
  <c r="Y70" i="64"/>
  <c r="Y74" i="64"/>
  <c r="AC50" i="64"/>
  <c r="Z54" i="64"/>
  <c r="AH58" i="64"/>
  <c r="AE62" i="64"/>
  <c r="AC66" i="64"/>
  <c r="Z70" i="64"/>
  <c r="AA74" i="64"/>
  <c r="Y78" i="64"/>
  <c r="AD50" i="64"/>
  <c r="H8" i="66" s="1"/>
  <c r="Y58" i="64"/>
  <c r="AD66" i="64"/>
  <c r="AD74" i="64"/>
  <c r="AB54" i="64"/>
  <c r="AF54" i="64"/>
  <c r="X54" i="64"/>
  <c r="AB62" i="64"/>
  <c r="AF62" i="64"/>
  <c r="X62" i="64"/>
  <c r="AF70" i="64"/>
  <c r="AC70" i="64"/>
  <c r="AB70" i="64"/>
  <c r="AH70" i="64"/>
  <c r="X70" i="64"/>
  <c r="AH78" i="64"/>
  <c r="Z78" i="64"/>
  <c r="AF78" i="64"/>
  <c r="X78" i="64"/>
  <c r="AC78" i="64"/>
  <c r="AB78" i="64"/>
  <c r="AE78" i="64"/>
  <c r="AE50" i="64"/>
  <c r="I8" i="66" s="1"/>
  <c r="AC54" i="64"/>
  <c r="Z58" i="64"/>
  <c r="AH62" i="64"/>
  <c r="AE66" i="64"/>
  <c r="AD70" i="64"/>
  <c r="AG74" i="64"/>
  <c r="AD78" i="64"/>
  <c r="Y62" i="64"/>
  <c r="AG66" i="64"/>
  <c r="AE70" i="64"/>
  <c r="AG78" i="64"/>
  <c r="AD82" i="64"/>
  <c r="AC58" i="64"/>
  <c r="Z62" i="64"/>
  <c r="AH66" i="64"/>
  <c r="AG70" i="64"/>
  <c r="AE82" i="64"/>
  <c r="Y50" i="64"/>
  <c r="AG54" i="64"/>
  <c r="AD58" i="64"/>
  <c r="AA62" i="64"/>
  <c r="Y66" i="64"/>
  <c r="H8" i="65"/>
  <c r="F8" i="66"/>
  <c r="J8" i="66"/>
  <c r="F8" i="65"/>
  <c r="C8" i="66"/>
  <c r="AH3" i="61"/>
  <c r="Z4" i="61"/>
  <c r="AH4" i="61" s="1"/>
  <c r="AJ5" i="61"/>
  <c r="Z6" i="61"/>
  <c r="AH6" i="61" s="1"/>
  <c r="Z13" i="61"/>
  <c r="AH13" i="61" s="1"/>
  <c r="AJ4" i="61"/>
  <c r="AJ13" i="61"/>
  <c r="Z8" i="61"/>
  <c r="AH8" i="61" s="1"/>
  <c r="Z5" i="61"/>
  <c r="AH5" i="61" s="1"/>
  <c r="AJ3" i="61"/>
  <c r="R10" i="61"/>
  <c r="X10" i="61" s="1"/>
  <c r="AF10" i="61" s="1"/>
  <c r="M841" i="61"/>
  <c r="U10" i="61" s="1"/>
  <c r="R9" i="61"/>
  <c r="M641" i="61"/>
  <c r="U9" i="61" s="1"/>
  <c r="R11" i="61"/>
  <c r="M934" i="61"/>
  <c r="U11" i="61" s="1"/>
  <c r="AI3" i="61"/>
  <c r="X3" i="61"/>
  <c r="AF3" i="61" s="1"/>
  <c r="U12" i="61"/>
  <c r="AI12" i="61" s="1"/>
  <c r="X4" i="61"/>
  <c r="AF4" i="61" s="1"/>
  <c r="Y3" i="61"/>
  <c r="AG3" i="61" s="1"/>
  <c r="AI5" i="61"/>
  <c r="AJ6" i="61"/>
  <c r="AF8" i="61"/>
  <c r="AG8" i="61"/>
  <c r="X13" i="61"/>
  <c r="AF13" i="61" s="1"/>
  <c r="X5" i="61"/>
  <c r="AF5" i="61" s="1"/>
  <c r="R12" i="61"/>
  <c r="Y5" i="61"/>
  <c r="AG5" i="61" s="1"/>
  <c r="AJ5" i="57"/>
  <c r="AJ8" i="57" s="1"/>
  <c r="AJ9" i="57" s="1"/>
  <c r="AT8" i="57"/>
  <c r="AC283" i="58"/>
  <c r="AC291" i="58"/>
  <c r="AC27" i="58"/>
  <c r="AC32" i="58"/>
  <c r="AC39" i="58"/>
  <c r="AC206" i="58"/>
  <c r="AC238" i="58"/>
  <c r="AC270" i="58"/>
  <c r="AC36" i="58"/>
  <c r="AC182" i="58"/>
  <c r="AC214" i="58"/>
  <c r="AC246" i="58"/>
  <c r="AC190" i="58"/>
  <c r="AC222" i="58"/>
  <c r="AC254" i="58"/>
  <c r="AC28" i="58"/>
  <c r="AC30" i="58"/>
  <c r="AC38" i="58"/>
  <c r="AC260" i="58"/>
  <c r="AC268" i="58"/>
  <c r="AC300" i="58"/>
  <c r="AC308" i="58"/>
  <c r="AC313" i="58"/>
  <c r="AC326" i="58"/>
  <c r="AC331" i="58"/>
  <c r="AC336" i="58"/>
  <c r="AC341" i="58"/>
  <c r="AC351" i="58"/>
  <c r="AC368" i="58"/>
  <c r="AC185" i="58"/>
  <c r="AC193" i="58"/>
  <c r="AC201" i="58"/>
  <c r="AC209" i="58"/>
  <c r="AC217" i="58"/>
  <c r="AC225" i="58"/>
  <c r="AC233" i="58"/>
  <c r="AC241" i="58"/>
  <c r="AC249" i="58"/>
  <c r="AC257" i="58"/>
  <c r="AC265" i="58"/>
  <c r="AC273" i="58"/>
  <c r="AC281" i="58"/>
  <c r="AC289" i="58"/>
  <c r="AC297" i="58"/>
  <c r="AC305" i="58"/>
  <c r="AC318" i="58"/>
  <c r="AC323" i="58"/>
  <c r="AC328" i="58"/>
  <c r="AC338" i="58"/>
  <c r="AC348" i="58"/>
  <c r="AC358" i="58"/>
  <c r="AO8" i="57"/>
  <c r="AC325" i="58"/>
  <c r="AC330" i="58"/>
  <c r="AC340" i="58"/>
  <c r="AC350" i="58"/>
  <c r="AC362" i="58"/>
  <c r="AC26" i="58"/>
  <c r="AC34" i="58"/>
  <c r="AC184" i="58"/>
  <c r="AC192" i="58"/>
  <c r="AC200" i="58"/>
  <c r="AC208" i="58"/>
  <c r="AC216" i="58"/>
  <c r="AC224" i="58"/>
  <c r="AC232" i="58"/>
  <c r="AC240" i="58"/>
  <c r="AC248" i="58"/>
  <c r="AC256" i="58"/>
  <c r="AC264" i="58"/>
  <c r="AC272" i="58"/>
  <c r="AC280" i="58"/>
  <c r="AC288" i="58"/>
  <c r="AC296" i="58"/>
  <c r="AC304" i="58"/>
  <c r="AC317" i="58"/>
  <c r="AC322" i="58"/>
  <c r="AC335" i="58"/>
  <c r="AC352" i="58"/>
  <c r="AC357" i="58"/>
  <c r="AC367" i="58"/>
  <c r="AC181" i="58"/>
  <c r="AC189" i="58"/>
  <c r="AC197" i="58"/>
  <c r="AC205" i="58"/>
  <c r="AC213" i="58"/>
  <c r="AC221" i="58"/>
  <c r="AC229" i="58"/>
  <c r="AC237" i="58"/>
  <c r="AC245" i="58"/>
  <c r="AC253" i="58"/>
  <c r="AC261" i="58"/>
  <c r="AC269" i="58"/>
  <c r="AC277" i="58"/>
  <c r="AC285" i="58"/>
  <c r="AC293" i="58"/>
  <c r="AC301" i="58"/>
  <c r="AC309" i="58"/>
  <c r="AC314" i="58"/>
  <c r="AC327" i="58"/>
  <c r="AC332" i="58"/>
  <c r="AC342" i="58"/>
  <c r="AC354" i="58"/>
  <c r="AC364" i="58"/>
  <c r="AC298" i="58"/>
  <c r="AC306" i="58"/>
  <c r="AC324" i="58"/>
  <c r="AC344" i="58"/>
  <c r="AC349" i="58"/>
  <c r="AC359" i="58"/>
  <c r="AT7" i="57"/>
  <c r="AC303" i="58"/>
  <c r="AC311" i="58"/>
  <c r="AC316" i="58"/>
  <c r="AC334" i="58"/>
  <c r="AC346" i="58"/>
  <c r="AC356" i="58"/>
  <c r="AC366" i="58"/>
  <c r="AC339" i="58"/>
  <c r="AC347" i="58"/>
  <c r="AC355" i="58"/>
  <c r="AC363" i="58"/>
  <c r="AC321" i="58"/>
  <c r="AC329" i="58"/>
  <c r="AC337" i="58"/>
  <c r="AC345" i="58"/>
  <c r="AC353" i="58"/>
  <c r="AC361" i="58"/>
  <c r="W54" i="50"/>
  <c r="W54" i="49"/>
  <c r="W58" i="49" s="1"/>
  <c r="W54" i="48"/>
  <c r="AH54" i="50"/>
  <c r="AH54" i="49"/>
  <c r="AH54" i="48"/>
  <c r="AG54" i="49"/>
  <c r="AG54" i="50"/>
  <c r="AG54" i="48"/>
  <c r="AI55" i="50"/>
  <c r="AI55" i="49"/>
  <c r="AI55" i="48"/>
  <c r="AI55" i="47"/>
  <c r="AI60" i="47" s="1"/>
  <c r="AI49" i="48" s="1"/>
  <c r="AI49" i="50" s="1"/>
  <c r="O54" i="50"/>
  <c r="O54" i="49"/>
  <c r="O58" i="49" s="1"/>
  <c r="AI57" i="47"/>
  <c r="AB55" i="48"/>
  <c r="AA56" i="50"/>
  <c r="AA56" i="49"/>
  <c r="AA56" i="48"/>
  <c r="AI56" i="50"/>
  <c r="AI56" i="49"/>
  <c r="AI56" i="48"/>
  <c r="R10" i="5"/>
  <c r="P16" i="5"/>
  <c r="R54" i="49"/>
  <c r="R58" i="49" s="1"/>
  <c r="R54" i="50"/>
  <c r="R54" i="48"/>
  <c r="U58" i="47"/>
  <c r="AF54" i="50"/>
  <c r="AF54" i="49"/>
  <c r="AF54" i="48"/>
  <c r="AI58" i="47"/>
  <c r="Z54" i="49"/>
  <c r="Z58" i="49" s="1"/>
  <c r="Z50" i="50" s="1"/>
  <c r="Z54" i="50"/>
  <c r="AG56" i="50"/>
  <c r="AG56" i="49"/>
  <c r="W45" i="53"/>
  <c r="W45" i="54"/>
  <c r="W45" i="52"/>
  <c r="W45" i="51"/>
  <c r="U47" i="53"/>
  <c r="U47" i="54"/>
  <c r="U47" i="51"/>
  <c r="U47" i="52"/>
  <c r="AJ54" i="49"/>
  <c r="AJ54" i="50"/>
  <c r="M14" i="47"/>
  <c r="AC54" i="49"/>
  <c r="AC58" i="49" s="1"/>
  <c r="AC54" i="48"/>
  <c r="AC54" i="50"/>
  <c r="AA54" i="50"/>
  <c r="AA54" i="49"/>
  <c r="AA58" i="49" s="1"/>
  <c r="AA41" i="50" s="1"/>
  <c r="AA54" i="48"/>
  <c r="AD55" i="48"/>
  <c r="AD56" i="48"/>
  <c r="W46" i="53"/>
  <c r="W46" i="54"/>
  <c r="W46" i="52"/>
  <c r="W46" i="51"/>
  <c r="AJ55" i="50"/>
  <c r="AJ55" i="49"/>
  <c r="P54" i="50"/>
  <c r="P54" i="49"/>
  <c r="P58" i="49" s="1"/>
  <c r="P54" i="48"/>
  <c r="AJ58" i="47"/>
  <c r="AJ54" i="48"/>
  <c r="AJ56" i="49"/>
  <c r="AB55" i="50"/>
  <c r="AB55" i="49"/>
  <c r="Y45" i="54"/>
  <c r="Y45" i="53"/>
  <c r="Y45" i="52"/>
  <c r="Y45" i="51"/>
  <c r="S54" i="50"/>
  <c r="S54" i="49"/>
  <c r="S54" i="48"/>
  <c r="AG58" i="47"/>
  <c r="AK54" i="49"/>
  <c r="AK58" i="49" s="1"/>
  <c r="AK54" i="50"/>
  <c r="AK54" i="48"/>
  <c r="AD54" i="49"/>
  <c r="AD54" i="50"/>
  <c r="AD54" i="48"/>
  <c r="Y47" i="54"/>
  <c r="Y47" i="52"/>
  <c r="Y47" i="53"/>
  <c r="Y47" i="51"/>
  <c r="AH55" i="50"/>
  <c r="AH55" i="49"/>
  <c r="Z45" i="54"/>
  <c r="Z45" i="53"/>
  <c r="Z49" i="53" s="1"/>
  <c r="Z45" i="51"/>
  <c r="Z48" i="51" s="1"/>
  <c r="Z48" i="53" s="1"/>
  <c r="Z45" i="52"/>
  <c r="Z49" i="52" s="1"/>
  <c r="M54" i="49"/>
  <c r="M58" i="49" s="1"/>
  <c r="M54" i="48"/>
  <c r="M54" i="50"/>
  <c r="Z58" i="47"/>
  <c r="AH55" i="48"/>
  <c r="AG56" i="48"/>
  <c r="U56" i="50"/>
  <c r="U56" i="49"/>
  <c r="AH56" i="50"/>
  <c r="AH56" i="49"/>
  <c r="AH58" i="47"/>
  <c r="Z46" i="54"/>
  <c r="Z46" i="52"/>
  <c r="Z46" i="53"/>
  <c r="Z46" i="51"/>
  <c r="P15" i="5"/>
  <c r="AH57" i="47"/>
  <c r="AJ55" i="48"/>
  <c r="AH56" i="48"/>
  <c r="AD55" i="50"/>
  <c r="AD55" i="49"/>
  <c r="AA46" i="54"/>
  <c r="AA46" i="53"/>
  <c r="AA46" i="52"/>
  <c r="AA46" i="51"/>
  <c r="AD56" i="50"/>
  <c r="AD56" i="49"/>
  <c r="AA47" i="53"/>
  <c r="AA47" i="54"/>
  <c r="AA47" i="52"/>
  <c r="AA47" i="51"/>
  <c r="P17" i="5"/>
  <c r="U54" i="49"/>
  <c r="U58" i="49" s="1"/>
  <c r="U54" i="50"/>
  <c r="U54" i="48"/>
  <c r="X54" i="50"/>
  <c r="X54" i="49"/>
  <c r="X58" i="49" s="1"/>
  <c r="AA58" i="47"/>
  <c r="AE54" i="50"/>
  <c r="AE54" i="49"/>
  <c r="AI54" i="50"/>
  <c r="AI54" i="49"/>
  <c r="AI58" i="49" s="1"/>
  <c r="Z56" i="48"/>
  <c r="AJ56" i="48"/>
  <c r="X54" i="48"/>
  <c r="Z56" i="49"/>
  <c r="Z47" i="54"/>
  <c r="Z47" i="53"/>
  <c r="Z47" i="51"/>
  <c r="Z47" i="52"/>
  <c r="Q54" i="49"/>
  <c r="Q58" i="49" s="1"/>
  <c r="Q54" i="50"/>
  <c r="Q54" i="48"/>
  <c r="M51" i="47"/>
  <c r="L54" i="48"/>
  <c r="O49" i="53"/>
  <c r="X44" i="52"/>
  <c r="Y44" i="52"/>
  <c r="M48" i="51"/>
  <c r="L44" i="51"/>
  <c r="P44" i="51"/>
  <c r="P49" i="51" s="1"/>
  <c r="S44" i="51"/>
  <c r="V44" i="51"/>
  <c r="Y44" i="51"/>
  <c r="P48" i="51"/>
  <c r="P48" i="53" s="1"/>
  <c r="V48" i="51"/>
  <c r="V48" i="52" s="1"/>
  <c r="O44" i="51"/>
  <c r="R44" i="51"/>
  <c r="U44" i="51"/>
  <c r="X44" i="51"/>
  <c r="X49" i="51" s="1"/>
  <c r="AA44" i="51"/>
  <c r="O48" i="51"/>
  <c r="U48" i="51"/>
  <c r="U48" i="52" s="1"/>
  <c r="X48" i="51"/>
  <c r="N44" i="51"/>
  <c r="T44" i="51"/>
  <c r="Z44" i="51"/>
  <c r="N48" i="51"/>
  <c r="T48" i="51"/>
  <c r="T48" i="52" s="1"/>
  <c r="M44" i="51"/>
  <c r="Q44" i="51"/>
  <c r="W44" i="51"/>
  <c r="Z51" i="50"/>
  <c r="Z47" i="50"/>
  <c r="Z48" i="50"/>
  <c r="Z49" i="50"/>
  <c r="Z38" i="50"/>
  <c r="Z34" i="50"/>
  <c r="Z30" i="50"/>
  <c r="Z44" i="50"/>
  <c r="Z36" i="50"/>
  <c r="Z24" i="50"/>
  <c r="Z37" i="50"/>
  <c r="Z25" i="50"/>
  <c r="Z41" i="50"/>
  <c r="Z26" i="50"/>
  <c r="Z27" i="50"/>
  <c r="Z22" i="50"/>
  <c r="Z43" i="50"/>
  <c r="Z35" i="50"/>
  <c r="Z33" i="50"/>
  <c r="Z17" i="50"/>
  <c r="Z13" i="50"/>
  <c r="Z9" i="50"/>
  <c r="Z5" i="50"/>
  <c r="Z15" i="50"/>
  <c r="Z6" i="50"/>
  <c r="Z19" i="50"/>
  <c r="Z12" i="50"/>
  <c r="Z7" i="50"/>
  <c r="Z20" i="50"/>
  <c r="AA51" i="50"/>
  <c r="AA49" i="50"/>
  <c r="AA50" i="50"/>
  <c r="AA46" i="50"/>
  <c r="AA42" i="50"/>
  <c r="AA39" i="50"/>
  <c r="AA32" i="50"/>
  <c r="AA28" i="50"/>
  <c r="AA24" i="50"/>
  <c r="AA45" i="50"/>
  <c r="AA18" i="50"/>
  <c r="AA30" i="50"/>
  <c r="AA34" i="50"/>
  <c r="AA26" i="50"/>
  <c r="AA38" i="50"/>
  <c r="AA27" i="50"/>
  <c r="AA22" i="50"/>
  <c r="AA20" i="50"/>
  <c r="AA43" i="50"/>
  <c r="AA33" i="50"/>
  <c r="AA17" i="50"/>
  <c r="AA13" i="50"/>
  <c r="AA9" i="50"/>
  <c r="AA5" i="50"/>
  <c r="AA37" i="50"/>
  <c r="AA6" i="50"/>
  <c r="AA19" i="50"/>
  <c r="AA12" i="50"/>
  <c r="AA7" i="50"/>
  <c r="AA16" i="50"/>
  <c r="M66" i="47"/>
  <c r="M68" i="47"/>
  <c r="AF53" i="48"/>
  <c r="AE53" i="48"/>
  <c r="AA53" i="48"/>
  <c r="AA58" i="48" s="1"/>
  <c r="Z53" i="48"/>
  <c r="Z58" i="48" s="1"/>
  <c r="M7" i="47"/>
  <c r="M17" i="47"/>
  <c r="M23" i="47"/>
  <c r="R55" i="47"/>
  <c r="R60" i="47" s="1"/>
  <c r="Y55" i="47"/>
  <c r="Y60" i="47" s="1"/>
  <c r="M8" i="47"/>
  <c r="M18" i="47"/>
  <c r="M28" i="47"/>
  <c r="M32" i="47"/>
  <c r="M36" i="47"/>
  <c r="M40" i="47"/>
  <c r="M44" i="47"/>
  <c r="M48" i="47"/>
  <c r="O55" i="47"/>
  <c r="O60" i="47" s="1"/>
  <c r="M11" i="47"/>
  <c r="M19" i="47"/>
  <c r="M24" i="47"/>
  <c r="L55" i="47"/>
  <c r="L60" i="47" s="1"/>
  <c r="V55" i="47"/>
  <c r="AF55" i="47"/>
  <c r="AF60" i="47" s="1"/>
  <c r="AH55" i="47"/>
  <c r="AH60" i="47" s="1"/>
  <c r="M12" i="47"/>
  <c r="M20" i="47"/>
  <c r="M29" i="47"/>
  <c r="M33" i="47"/>
  <c r="M37" i="47"/>
  <c r="M41" i="47"/>
  <c r="M45" i="47"/>
  <c r="M49" i="47"/>
  <c r="Q55" i="47"/>
  <c r="Q60" i="47" s="1"/>
  <c r="X55" i="47"/>
  <c r="X60" i="47" s="1"/>
  <c r="M13" i="47"/>
  <c r="M21" i="47"/>
  <c r="M25" i="47"/>
  <c r="Z55" i="47"/>
  <c r="M26" i="47"/>
  <c r="M30" i="47"/>
  <c r="M34" i="47"/>
  <c r="M38" i="47"/>
  <c r="M42" i="47"/>
  <c r="M46" i="47"/>
  <c r="M50" i="47"/>
  <c r="S55" i="47"/>
  <c r="S60" i="47" s="1"/>
  <c r="U55" i="47"/>
  <c r="U60" i="47" s="1"/>
  <c r="AC55" i="47"/>
  <c r="AC60" i="47" s="1"/>
  <c r="AE55" i="47"/>
  <c r="AE60" i="47" s="1"/>
  <c r="M22" i="47"/>
  <c r="P55" i="47"/>
  <c r="P60" i="47" s="1"/>
  <c r="W55" i="47"/>
  <c r="W60" i="47" s="1"/>
  <c r="M27" i="47"/>
  <c r="M31" i="47"/>
  <c r="M35" i="47"/>
  <c r="M39" i="47"/>
  <c r="M43" i="47"/>
  <c r="M47" i="47"/>
  <c r="AA55" i="47"/>
  <c r="D36" i="5"/>
  <c r="D37" i="5" s="1"/>
  <c r="E36" i="5"/>
  <c r="F36" i="5"/>
  <c r="D18" i="5"/>
  <c r="AB56" i="47" s="1"/>
  <c r="D28" i="5"/>
  <c r="AL56" i="47" s="1"/>
  <c r="D45" i="5"/>
  <c r="F18" i="5"/>
  <c r="E28" i="5"/>
  <c r="F28" i="5"/>
  <c r="F41" i="5"/>
  <c r="AI9" i="61" l="1"/>
  <c r="AI5" i="58"/>
  <c r="AI11" i="61"/>
  <c r="AI10" i="61"/>
  <c r="U8" i="65"/>
  <c r="AI8" i="58"/>
  <c r="AY83" i="63"/>
  <c r="BD83" i="63"/>
  <c r="AL83" i="63"/>
  <c r="AV83" i="63"/>
  <c r="AQ83" i="63"/>
  <c r="AS83" i="63"/>
  <c r="AI83" i="63"/>
  <c r="AZ83" i="63"/>
  <c r="AT83" i="63"/>
  <c r="AQ94" i="63"/>
  <c r="AK94" i="63"/>
  <c r="AI94" i="63"/>
  <c r="AT94" i="63"/>
  <c r="BA94" i="63"/>
  <c r="AZ94" i="63"/>
  <c r="BC94" i="63"/>
  <c r="AU67" i="63"/>
  <c r="BA67" i="63"/>
  <c r="AZ67" i="63"/>
  <c r="AS67" i="63"/>
  <c r="BD67" i="63"/>
  <c r="AN67" i="63"/>
  <c r="AK67" i="63"/>
  <c r="BB67" i="63"/>
  <c r="AI67" i="63"/>
  <c r="BC67" i="63"/>
  <c r="AG80" i="64"/>
  <c r="AA54" i="64"/>
  <c r="E6" i="66" s="1"/>
  <c r="AE54" i="64"/>
  <c r="AD54" i="64"/>
  <c r="AG53" i="48"/>
  <c r="AI7" i="58"/>
  <c r="AU95" i="63"/>
  <c r="BD95" i="63"/>
  <c r="AM95" i="63"/>
  <c r="AY95" i="63"/>
  <c r="AX95" i="63"/>
  <c r="AT95" i="63"/>
  <c r="AV95" i="63"/>
  <c r="AQ95" i="63"/>
  <c r="AX69" i="63"/>
  <c r="AK69" i="63"/>
  <c r="AT69" i="63"/>
  <c r="AZ69" i="63"/>
  <c r="AI69" i="63"/>
  <c r="AP69" i="63"/>
  <c r="AW69" i="63"/>
  <c r="AJ69" i="63"/>
  <c r="BC103" i="63"/>
  <c r="AX103" i="63"/>
  <c r="AU103" i="63"/>
  <c r="N6" i="65" s="1"/>
  <c r="AW103" i="63"/>
  <c r="AO103" i="63"/>
  <c r="AT103" i="63"/>
  <c r="AM103" i="63"/>
  <c r="BB103" i="63"/>
  <c r="AS71" i="63"/>
  <c r="AY71" i="63"/>
  <c r="AL71" i="63"/>
  <c r="AP71" i="63"/>
  <c r="AK71" i="63"/>
  <c r="BC71" i="63"/>
  <c r="AN71" i="63"/>
  <c r="AU71" i="63"/>
  <c r="AR71" i="63"/>
  <c r="AC83" i="64"/>
  <c r="AD59" i="64"/>
  <c r="AD84" i="64"/>
  <c r="Y84" i="64"/>
  <c r="AD72" i="64"/>
  <c r="AZ98" i="63"/>
  <c r="BC98" i="63"/>
  <c r="AP98" i="63"/>
  <c r="AR98" i="63"/>
  <c r="AU98" i="63"/>
  <c r="AO98" i="63"/>
  <c r="AK98" i="63"/>
  <c r="AJ98" i="63"/>
  <c r="BD98" i="63"/>
  <c r="AM98" i="63"/>
  <c r="AI90" i="63"/>
  <c r="AT90" i="63"/>
  <c r="AZ90" i="63"/>
  <c r="BC90" i="63"/>
  <c r="AP90" i="63"/>
  <c r="AR90" i="63"/>
  <c r="AU90" i="63"/>
  <c r="AO90" i="63"/>
  <c r="AK90" i="63"/>
  <c r="M67" i="47"/>
  <c r="AM81" i="63"/>
  <c r="BA81" i="63"/>
  <c r="AR81" i="63"/>
  <c r="AP81" i="63"/>
  <c r="AZ81" i="63"/>
  <c r="AT81" i="63"/>
  <c r="BD81" i="63"/>
  <c r="AL81" i="63"/>
  <c r="AM73" i="63"/>
  <c r="F6" i="65" s="1"/>
  <c r="P73" i="63"/>
  <c r="AQ73" i="63"/>
  <c r="AN73" i="63"/>
  <c r="AX73" i="63"/>
  <c r="BA73" i="63"/>
  <c r="R73" i="63"/>
  <c r="BD73" i="63"/>
  <c r="AS73" i="63"/>
  <c r="AV73" i="63"/>
  <c r="O6" i="65" s="1"/>
  <c r="AT73" i="63"/>
  <c r="AU65" i="63"/>
  <c r="N8" i="65" s="1"/>
  <c r="BA65" i="63"/>
  <c r="T6" i="65" s="1"/>
  <c r="BD65" i="63"/>
  <c r="W8" i="65" s="1"/>
  <c r="BB65" i="63"/>
  <c r="AS65" i="63"/>
  <c r="L8" i="65" s="1"/>
  <c r="AT65" i="63"/>
  <c r="M8" i="65" s="1"/>
  <c r="AP65" i="63"/>
  <c r="AK65" i="63"/>
  <c r="D8" i="65" s="1"/>
  <c r="AI65" i="63"/>
  <c r="BC65" i="63"/>
  <c r="V8" i="65" s="1"/>
  <c r="AA11" i="50"/>
  <c r="AA21" i="50"/>
  <c r="AA31" i="50"/>
  <c r="AA25" i="50"/>
  <c r="AA47" i="50"/>
  <c r="Z8" i="50"/>
  <c r="Z11" i="50"/>
  <c r="Z21" i="50"/>
  <c r="Z31" i="50"/>
  <c r="Z28" i="50"/>
  <c r="Z42" i="50"/>
  <c r="AO83" i="63"/>
  <c r="AL67" i="63"/>
  <c r="AR67" i="63"/>
  <c r="K6" i="65" s="1"/>
  <c r="AA8" i="50"/>
  <c r="AA10" i="50"/>
  <c r="AA23" i="50"/>
  <c r="AA40" i="50"/>
  <c r="AA44" i="50"/>
  <c r="AA48" i="50"/>
  <c r="Z14" i="50"/>
  <c r="Z18" i="50"/>
  <c r="Z23" i="50"/>
  <c r="Z40" i="50"/>
  <c r="Z32" i="50"/>
  <c r="Z46" i="50"/>
  <c r="AT9" i="57"/>
  <c r="BB83" i="63"/>
  <c r="AT67" i="63"/>
  <c r="AA14" i="50"/>
  <c r="AA15" i="50"/>
  <c r="AA29" i="50"/>
  <c r="AA36" i="50"/>
  <c r="AA35" i="50"/>
  <c r="Z16" i="50"/>
  <c r="Z10" i="50"/>
  <c r="Z29" i="50"/>
  <c r="Z45" i="50"/>
  <c r="Z39" i="50"/>
  <c r="AI46" i="48"/>
  <c r="AA75" i="64"/>
  <c r="AB75" i="64"/>
  <c r="AP67" i="63"/>
  <c r="AP94" i="63"/>
  <c r="AN94" i="63"/>
  <c r="AR94" i="63"/>
  <c r="AJ67" i="63"/>
  <c r="AJ83" i="63"/>
  <c r="AM83" i="63"/>
  <c r="AZ71" i="63"/>
  <c r="S6" i="65" s="1"/>
  <c r="AJ58" i="49"/>
  <c r="AH58" i="49"/>
  <c r="X9" i="61"/>
  <c r="AF9" i="61" s="1"/>
  <c r="AG50" i="64"/>
  <c r="K8" i="66" s="1"/>
  <c r="AH50" i="64"/>
  <c r="L8" i="66" s="1"/>
  <c r="AB44" i="51"/>
  <c r="Z49" i="64"/>
  <c r="D8" i="66" s="1"/>
  <c r="L6" i="66"/>
  <c r="L10" i="66"/>
  <c r="K10" i="65"/>
  <c r="K8" i="65"/>
  <c r="H6" i="66"/>
  <c r="H10" i="66"/>
  <c r="I10" i="66"/>
  <c r="I6" i="66"/>
  <c r="O10" i="65"/>
  <c r="O8" i="65"/>
  <c r="D6" i="66"/>
  <c r="D10" i="66"/>
  <c r="D6" i="65"/>
  <c r="C6" i="65"/>
  <c r="C10" i="65"/>
  <c r="C8" i="65"/>
  <c r="E10" i="65"/>
  <c r="E8" i="65"/>
  <c r="E6" i="65"/>
  <c r="M10" i="65"/>
  <c r="M6" i="65"/>
  <c r="B10" i="66"/>
  <c r="B6" i="66"/>
  <c r="E10" i="66"/>
  <c r="J10" i="66"/>
  <c r="J6" i="66"/>
  <c r="T10" i="65"/>
  <c r="U10" i="65"/>
  <c r="U6" i="65"/>
  <c r="W10" i="65"/>
  <c r="K6" i="66"/>
  <c r="K10" i="66"/>
  <c r="J6" i="65"/>
  <c r="J10" i="65"/>
  <c r="R6" i="65"/>
  <c r="R10" i="65"/>
  <c r="I10" i="65"/>
  <c r="I8" i="65"/>
  <c r="I6" i="65"/>
  <c r="G6" i="66"/>
  <c r="G10" i="66"/>
  <c r="F10" i="66"/>
  <c r="F6" i="66"/>
  <c r="S10" i="65"/>
  <c r="G6" i="65"/>
  <c r="G10" i="65"/>
  <c r="G8" i="65"/>
  <c r="P10" i="65"/>
  <c r="P6" i="65"/>
  <c r="Q10" i="65"/>
  <c r="Q6" i="65"/>
  <c r="L6" i="65"/>
  <c r="C6" i="66"/>
  <c r="C10" i="66"/>
  <c r="V6" i="65"/>
  <c r="V10" i="65"/>
  <c r="H10" i="65"/>
  <c r="H6" i="65"/>
  <c r="F10" i="65"/>
  <c r="B8" i="65"/>
  <c r="B10" i="65"/>
  <c r="B6" i="65"/>
  <c r="X11" i="61"/>
  <c r="AF11" i="61" s="1"/>
  <c r="X12" i="61"/>
  <c r="AF12" i="61" s="1"/>
  <c r="AI6" i="58"/>
  <c r="AO9" i="57"/>
  <c r="T48" i="53"/>
  <c r="AI34" i="48"/>
  <c r="AB54" i="50"/>
  <c r="AB54" i="49"/>
  <c r="AB54" i="48"/>
  <c r="R47" i="54"/>
  <c r="R47" i="53"/>
  <c r="R47" i="52"/>
  <c r="R47" i="51"/>
  <c r="U48" i="48"/>
  <c r="U44" i="48"/>
  <c r="U40" i="48"/>
  <c r="U36" i="48"/>
  <c r="U32" i="48"/>
  <c r="U28" i="48"/>
  <c r="U24" i="48"/>
  <c r="U20" i="48"/>
  <c r="U16" i="48"/>
  <c r="U12" i="48"/>
  <c r="U7" i="48"/>
  <c r="U50" i="48"/>
  <c r="U46" i="48"/>
  <c r="U42" i="48"/>
  <c r="U38" i="48"/>
  <c r="U34" i="48"/>
  <c r="U30" i="48"/>
  <c r="U26" i="48"/>
  <c r="U22" i="48"/>
  <c r="U18" i="48"/>
  <c r="U14" i="48"/>
  <c r="U10" i="48"/>
  <c r="U9" i="48"/>
  <c r="U5" i="48"/>
  <c r="U47" i="48"/>
  <c r="U29" i="48"/>
  <c r="U33" i="48"/>
  <c r="U23" i="48"/>
  <c r="U15" i="48"/>
  <c r="U6" i="48"/>
  <c r="U37" i="48"/>
  <c r="U49" i="48"/>
  <c r="U43" i="48"/>
  <c r="U41" i="48"/>
  <c r="U25" i="48"/>
  <c r="U17" i="48"/>
  <c r="U31" i="48"/>
  <c r="U8" i="48"/>
  <c r="U51" i="48"/>
  <c r="U35" i="48"/>
  <c r="U27" i="48"/>
  <c r="U19" i="48"/>
  <c r="U11" i="48"/>
  <c r="U45" i="48"/>
  <c r="U39" i="48"/>
  <c r="U21" i="48"/>
  <c r="U13" i="48"/>
  <c r="S20" i="48"/>
  <c r="S16" i="48"/>
  <c r="S12" i="48"/>
  <c r="S18" i="48"/>
  <c r="S14" i="48"/>
  <c r="S10" i="48"/>
  <c r="S21" i="48"/>
  <c r="S13" i="48"/>
  <c r="S5" i="48"/>
  <c r="S23" i="48"/>
  <c r="S15" i="48"/>
  <c r="S6" i="48"/>
  <c r="S7" i="48"/>
  <c r="S25" i="48"/>
  <c r="S17" i="48"/>
  <c r="S8" i="48"/>
  <c r="S19" i="48"/>
  <c r="S11" i="48"/>
  <c r="S9" i="48"/>
  <c r="S31" i="48"/>
  <c r="S45" i="48"/>
  <c r="S39" i="48"/>
  <c r="S27" i="48"/>
  <c r="S47" i="48"/>
  <c r="S32" i="48"/>
  <c r="S28" i="48"/>
  <c r="S35" i="48"/>
  <c r="S40" i="48"/>
  <c r="S24" i="48"/>
  <c r="S36" i="48"/>
  <c r="S43" i="48"/>
  <c r="S48" i="48"/>
  <c r="S33" i="48"/>
  <c r="S44" i="48"/>
  <c r="S30" i="48"/>
  <c r="S26" i="48"/>
  <c r="S51" i="48"/>
  <c r="S41" i="48"/>
  <c r="S38" i="48"/>
  <c r="S34" i="48"/>
  <c r="S49" i="48"/>
  <c r="S29" i="48"/>
  <c r="S46" i="48"/>
  <c r="S42" i="48"/>
  <c r="S37" i="48"/>
  <c r="S50" i="48"/>
  <c r="S22" i="48"/>
  <c r="AL54" i="49"/>
  <c r="AL54" i="50"/>
  <c r="AL54" i="48"/>
  <c r="R45" i="54"/>
  <c r="R45" i="53"/>
  <c r="R49" i="53" s="1"/>
  <c r="R48" i="53" s="1"/>
  <c r="R45" i="51"/>
  <c r="R45" i="52"/>
  <c r="W6" i="48"/>
  <c r="W8" i="48"/>
  <c r="W23" i="48"/>
  <c r="W15" i="48"/>
  <c r="W48" i="48"/>
  <c r="W42" i="48"/>
  <c r="W28" i="48"/>
  <c r="W20" i="48"/>
  <c r="W12" i="48"/>
  <c r="W7" i="48"/>
  <c r="W32" i="48"/>
  <c r="W25" i="48"/>
  <c r="W17" i="48"/>
  <c r="W50" i="48"/>
  <c r="W36" i="48"/>
  <c r="W14" i="48"/>
  <c r="W44" i="48"/>
  <c r="W40" i="48"/>
  <c r="W35" i="48"/>
  <c r="W27" i="48"/>
  <c r="W19" i="48"/>
  <c r="W11" i="48"/>
  <c r="W9" i="48"/>
  <c r="W16" i="48"/>
  <c r="W13" i="48"/>
  <c r="W5" i="48"/>
  <c r="W18" i="48"/>
  <c r="W10" i="48"/>
  <c r="W46" i="48"/>
  <c r="W39" i="48"/>
  <c r="W51" i="48"/>
  <c r="W49" i="48"/>
  <c r="W24" i="48"/>
  <c r="W45" i="48"/>
  <c r="W26" i="48"/>
  <c r="W33" i="48"/>
  <c r="W34" i="48"/>
  <c r="W21" i="48"/>
  <c r="W41" i="48"/>
  <c r="W29" i="48"/>
  <c r="W30" i="48"/>
  <c r="W22" i="48"/>
  <c r="W37" i="48"/>
  <c r="W38" i="48"/>
  <c r="W31" i="48"/>
  <c r="W43" i="48"/>
  <c r="W47" i="48"/>
  <c r="S45" i="54"/>
  <c r="S45" i="52"/>
  <c r="S45" i="51"/>
  <c r="S45" i="53"/>
  <c r="AL56" i="50"/>
  <c r="AL56" i="49"/>
  <c r="AL58" i="47"/>
  <c r="AL56" i="48"/>
  <c r="AL55" i="50"/>
  <c r="AL55" i="49"/>
  <c r="AL55" i="48"/>
  <c r="AL57" i="47"/>
  <c r="M55" i="47"/>
  <c r="M60" i="47" s="1"/>
  <c r="M31" i="48" s="1"/>
  <c r="P9" i="48"/>
  <c r="P5" i="48"/>
  <c r="P48" i="48"/>
  <c r="P44" i="48"/>
  <c r="P40" i="48"/>
  <c r="P36" i="48"/>
  <c r="P32" i="48"/>
  <c r="P7" i="48"/>
  <c r="P34" i="48"/>
  <c r="P29" i="48"/>
  <c r="P24" i="48"/>
  <c r="P21" i="48"/>
  <c r="P16" i="48"/>
  <c r="P13" i="48"/>
  <c r="P26" i="48"/>
  <c r="P23" i="48"/>
  <c r="P18" i="48"/>
  <c r="P15" i="48"/>
  <c r="P10" i="48"/>
  <c r="P6" i="48"/>
  <c r="P50" i="48"/>
  <c r="P28" i="48"/>
  <c r="P25" i="48"/>
  <c r="P20" i="48"/>
  <c r="P17" i="48"/>
  <c r="P12" i="48"/>
  <c r="P27" i="48"/>
  <c r="P22" i="48"/>
  <c r="P19" i="48"/>
  <c r="P14" i="48"/>
  <c r="P11" i="48"/>
  <c r="P8" i="48"/>
  <c r="P42" i="48"/>
  <c r="P35" i="48"/>
  <c r="P37" i="48"/>
  <c r="P49" i="48"/>
  <c r="P43" i="48"/>
  <c r="P45" i="48"/>
  <c r="P31" i="48"/>
  <c r="P51" i="48"/>
  <c r="P30" i="48"/>
  <c r="P39" i="48"/>
  <c r="P38" i="48"/>
  <c r="P33" i="48"/>
  <c r="P47" i="48"/>
  <c r="P46" i="48"/>
  <c r="P41" i="48"/>
  <c r="R46" i="54"/>
  <c r="R46" i="52"/>
  <c r="R46" i="53"/>
  <c r="R46" i="51"/>
  <c r="W47" i="54"/>
  <c r="W47" i="53"/>
  <c r="W47" i="52"/>
  <c r="W47" i="51"/>
  <c r="AB56" i="50"/>
  <c r="AB56" i="49"/>
  <c r="AB58" i="47"/>
  <c r="AB56" i="48"/>
  <c r="AA45" i="54"/>
  <c r="AA45" i="53"/>
  <c r="AA45" i="52"/>
  <c r="AA45" i="51"/>
  <c r="AC20" i="48"/>
  <c r="AC16" i="48"/>
  <c r="AC12" i="48"/>
  <c r="AC18" i="48"/>
  <c r="AC14" i="48"/>
  <c r="AC10" i="48"/>
  <c r="AC19" i="48"/>
  <c r="AC15" i="48"/>
  <c r="AC11" i="48"/>
  <c r="AC25" i="48"/>
  <c r="AC17" i="48"/>
  <c r="AC13" i="48"/>
  <c r="AC9" i="48"/>
  <c r="AC5" i="48"/>
  <c r="AC6" i="48"/>
  <c r="AC7" i="48"/>
  <c r="AC8" i="48"/>
  <c r="AC48" i="48"/>
  <c r="AC34" i="48"/>
  <c r="AC30" i="48"/>
  <c r="AC29" i="48"/>
  <c r="AC37" i="48"/>
  <c r="AC24" i="48"/>
  <c r="AC50" i="48"/>
  <c r="AC46" i="48"/>
  <c r="AC45" i="48"/>
  <c r="AC33" i="48"/>
  <c r="AC27" i="48"/>
  <c r="AC22" i="48"/>
  <c r="AC41" i="48"/>
  <c r="AC35" i="48"/>
  <c r="AC28" i="48"/>
  <c r="AC31" i="48"/>
  <c r="AC23" i="48"/>
  <c r="AC49" i="48"/>
  <c r="AC43" i="48"/>
  <c r="AC36" i="48"/>
  <c r="AC39" i="48"/>
  <c r="AC32" i="48"/>
  <c r="AC51" i="48"/>
  <c r="AC44" i="48"/>
  <c r="AC21" i="48"/>
  <c r="AC47" i="48"/>
  <c r="AC40" i="48"/>
  <c r="AC26" i="48"/>
  <c r="AC38" i="48"/>
  <c r="AC42" i="48"/>
  <c r="AH19" i="48"/>
  <c r="AH15" i="48"/>
  <c r="AH11" i="48"/>
  <c r="AH25" i="48"/>
  <c r="AH17" i="48"/>
  <c r="AH13" i="48"/>
  <c r="AH9" i="48"/>
  <c r="AH48" i="48"/>
  <c r="AH44" i="48"/>
  <c r="AH30" i="48"/>
  <c r="AH16" i="48"/>
  <c r="AH5" i="48"/>
  <c r="AH6" i="48"/>
  <c r="AH38" i="48"/>
  <c r="AH18" i="48"/>
  <c r="AH10" i="48"/>
  <c r="AH7" i="48"/>
  <c r="AH28" i="48"/>
  <c r="AH20" i="48"/>
  <c r="AH12" i="48"/>
  <c r="AH8" i="48"/>
  <c r="AH32" i="48"/>
  <c r="AH36" i="48"/>
  <c r="AH14" i="48"/>
  <c r="AH40" i="48"/>
  <c r="AH24" i="48"/>
  <c r="AH21" i="48"/>
  <c r="AH33" i="48"/>
  <c r="AH43" i="48"/>
  <c r="AH37" i="48"/>
  <c r="AH22" i="48"/>
  <c r="AH26" i="48"/>
  <c r="AH46" i="48"/>
  <c r="AH41" i="48"/>
  <c r="AH34" i="48"/>
  <c r="AH49" i="48"/>
  <c r="AH50" i="48"/>
  <c r="AH23" i="48"/>
  <c r="AH31" i="48"/>
  <c r="AH39" i="48"/>
  <c r="AH47" i="48"/>
  <c r="AH27" i="48"/>
  <c r="AH35" i="48"/>
  <c r="AH29" i="48"/>
  <c r="AH42" i="48"/>
  <c r="AH45" i="48"/>
  <c r="AH51" i="48"/>
  <c r="Y48" i="48"/>
  <c r="Y44" i="48"/>
  <c r="Y9" i="48"/>
  <c r="Y5" i="48"/>
  <c r="Y50" i="48"/>
  <c r="Y46" i="48"/>
  <c r="Y42" i="48"/>
  <c r="Y51" i="48"/>
  <c r="Y47" i="48"/>
  <c r="Y43" i="48"/>
  <c r="Y39" i="48"/>
  <c r="Y35" i="48"/>
  <c r="Y31" i="48"/>
  <c r="Y7" i="48"/>
  <c r="Y37" i="48"/>
  <c r="Y28" i="48"/>
  <c r="Y20" i="48"/>
  <c r="Y12" i="48"/>
  <c r="Y41" i="48"/>
  <c r="Y32" i="48"/>
  <c r="Y25" i="48"/>
  <c r="Y17" i="48"/>
  <c r="Y8" i="48"/>
  <c r="Y49" i="48"/>
  <c r="Y36" i="48"/>
  <c r="Y22" i="48"/>
  <c r="Y14" i="48"/>
  <c r="Y40" i="48"/>
  <c r="Y27" i="48"/>
  <c r="Y19" i="48"/>
  <c r="Y11" i="48"/>
  <c r="Y30" i="48"/>
  <c r="Y24" i="48"/>
  <c r="Y16" i="48"/>
  <c r="Y45" i="48"/>
  <c r="Y34" i="48"/>
  <c r="Y21" i="48"/>
  <c r="Y13" i="48"/>
  <c r="Y38" i="48"/>
  <c r="Y29" i="48"/>
  <c r="Y26" i="48"/>
  <c r="Y18" i="48"/>
  <c r="Y10" i="48"/>
  <c r="Y6" i="48"/>
  <c r="Y33" i="48"/>
  <c r="Y23" i="48"/>
  <c r="Y15" i="48"/>
  <c r="R27" i="48"/>
  <c r="R23" i="48"/>
  <c r="R19" i="48"/>
  <c r="R15" i="48"/>
  <c r="R11" i="48"/>
  <c r="R8" i="48"/>
  <c r="R48" i="48"/>
  <c r="R44" i="48"/>
  <c r="R29" i="48"/>
  <c r="R25" i="48"/>
  <c r="R21" i="48"/>
  <c r="R17" i="48"/>
  <c r="R13" i="48"/>
  <c r="R6" i="48"/>
  <c r="R38" i="48"/>
  <c r="R26" i="48"/>
  <c r="R18" i="48"/>
  <c r="R10" i="48"/>
  <c r="R5" i="48"/>
  <c r="R28" i="48"/>
  <c r="R20" i="48"/>
  <c r="R12" i="48"/>
  <c r="R32" i="48"/>
  <c r="R7" i="48"/>
  <c r="R36" i="48"/>
  <c r="R22" i="48"/>
  <c r="R14" i="48"/>
  <c r="R40" i="48"/>
  <c r="R24" i="48"/>
  <c r="R16" i="48"/>
  <c r="R9" i="48"/>
  <c r="R31" i="48"/>
  <c r="R33" i="48"/>
  <c r="R42" i="48"/>
  <c r="R45" i="48"/>
  <c r="R46" i="48"/>
  <c r="R39" i="48"/>
  <c r="R41" i="48"/>
  <c r="R47" i="48"/>
  <c r="R49" i="48"/>
  <c r="R30" i="48"/>
  <c r="R35" i="48"/>
  <c r="R34" i="48"/>
  <c r="R43" i="48"/>
  <c r="R51" i="48"/>
  <c r="R37" i="48"/>
  <c r="R50" i="48"/>
  <c r="Z44" i="49"/>
  <c r="Y44" i="63" s="1"/>
  <c r="Y96" i="63" s="1"/>
  <c r="Z38" i="49"/>
  <c r="Y38" i="63" s="1"/>
  <c r="Y90" i="63" s="1"/>
  <c r="Z48" i="49"/>
  <c r="Y48" i="63" s="1"/>
  <c r="Y100" i="63" s="1"/>
  <c r="Z43" i="49"/>
  <c r="Y43" i="63" s="1"/>
  <c r="Y95" i="63" s="1"/>
  <c r="Z42" i="49"/>
  <c r="Y42" i="63" s="1"/>
  <c r="Y94" i="63" s="1"/>
  <c r="Z37" i="49"/>
  <c r="Y37" i="63" s="1"/>
  <c r="Y89" i="63" s="1"/>
  <c r="Z32" i="49"/>
  <c r="Y32" i="63" s="1"/>
  <c r="Y84" i="63" s="1"/>
  <c r="Z20" i="49"/>
  <c r="Y20" i="63" s="1"/>
  <c r="Y72" i="63" s="1"/>
  <c r="Z14" i="49"/>
  <c r="Y14" i="63" s="1"/>
  <c r="Y66" i="63" s="1"/>
  <c r="Z34" i="49"/>
  <c r="Y34" i="63" s="1"/>
  <c r="Y86" i="63" s="1"/>
  <c r="Z29" i="49"/>
  <c r="Y29" i="63" s="1"/>
  <c r="Y81" i="63" s="1"/>
  <c r="Z23" i="49"/>
  <c r="Y23" i="63" s="1"/>
  <c r="Y75" i="63" s="1"/>
  <c r="Z17" i="49"/>
  <c r="Y17" i="63" s="1"/>
  <c r="Y69" i="63" s="1"/>
  <c r="Z40" i="49"/>
  <c r="Y40" i="63" s="1"/>
  <c r="Y92" i="63" s="1"/>
  <c r="Z30" i="49"/>
  <c r="Y30" i="63" s="1"/>
  <c r="Y82" i="63" s="1"/>
  <c r="Z22" i="49"/>
  <c r="Y22" i="63" s="1"/>
  <c r="Y74" i="63" s="1"/>
  <c r="Z12" i="49"/>
  <c r="Y12" i="63" s="1"/>
  <c r="Y64" i="63" s="1"/>
  <c r="Z51" i="49"/>
  <c r="Y51" i="63" s="1"/>
  <c r="Y103" i="63" s="1"/>
  <c r="Z50" i="49"/>
  <c r="Y50" i="63" s="1"/>
  <c r="Y102" i="63" s="1"/>
  <c r="Z26" i="49"/>
  <c r="Y26" i="63" s="1"/>
  <c r="Y78" i="63" s="1"/>
  <c r="Z18" i="49"/>
  <c r="Y18" i="63" s="1"/>
  <c r="Y70" i="63" s="1"/>
  <c r="Z15" i="49"/>
  <c r="Y15" i="63" s="1"/>
  <c r="Y67" i="63" s="1"/>
  <c r="Z28" i="49"/>
  <c r="Y28" i="63" s="1"/>
  <c r="Y80" i="63" s="1"/>
  <c r="Z24" i="49"/>
  <c r="Y24" i="63" s="1"/>
  <c r="Y76" i="63" s="1"/>
  <c r="Z19" i="49"/>
  <c r="Y19" i="63" s="1"/>
  <c r="Y71" i="63" s="1"/>
  <c r="Z9" i="49"/>
  <c r="Y9" i="63" s="1"/>
  <c r="Y61" i="63" s="1"/>
  <c r="Z49" i="49"/>
  <c r="Y49" i="63" s="1"/>
  <c r="Y101" i="63" s="1"/>
  <c r="Z39" i="49"/>
  <c r="Y39" i="63" s="1"/>
  <c r="Y91" i="63" s="1"/>
  <c r="Z36" i="49"/>
  <c r="Y36" i="63" s="1"/>
  <c r="Y88" i="63" s="1"/>
  <c r="Z27" i="49"/>
  <c r="Y27" i="63" s="1"/>
  <c r="Y79" i="63" s="1"/>
  <c r="Z7" i="49"/>
  <c r="Y7" i="63" s="1"/>
  <c r="Y59" i="63" s="1"/>
  <c r="Z45" i="49"/>
  <c r="Y45" i="63" s="1"/>
  <c r="Y97" i="63" s="1"/>
  <c r="Z41" i="49"/>
  <c r="Y41" i="63" s="1"/>
  <c r="Y93" i="63" s="1"/>
  <c r="Z31" i="49"/>
  <c r="Y31" i="63" s="1"/>
  <c r="Y83" i="63" s="1"/>
  <c r="Z10" i="49"/>
  <c r="Y10" i="63" s="1"/>
  <c r="Y62" i="63" s="1"/>
  <c r="Z46" i="49"/>
  <c r="Y46" i="63" s="1"/>
  <c r="Y98" i="63" s="1"/>
  <c r="Z35" i="49"/>
  <c r="Y35" i="63" s="1"/>
  <c r="Y87" i="63" s="1"/>
  <c r="Z13" i="49"/>
  <c r="Y13" i="63" s="1"/>
  <c r="Y65" i="63" s="1"/>
  <c r="Z25" i="49"/>
  <c r="Y25" i="63" s="1"/>
  <c r="Y77" i="63" s="1"/>
  <c r="Z21" i="49"/>
  <c r="Y21" i="63" s="1"/>
  <c r="Y73" i="63" s="1"/>
  <c r="Z16" i="49"/>
  <c r="Y16" i="63" s="1"/>
  <c r="Y68" i="63" s="1"/>
  <c r="Z8" i="49"/>
  <c r="Y8" i="63" s="1"/>
  <c r="Y60" i="63" s="1"/>
  <c r="Z5" i="49"/>
  <c r="Z47" i="49"/>
  <c r="Y47" i="63" s="1"/>
  <c r="Y99" i="63" s="1"/>
  <c r="Z11" i="49"/>
  <c r="Y11" i="63" s="1"/>
  <c r="Y63" i="63" s="1"/>
  <c r="Z33" i="49"/>
  <c r="Y33" i="63" s="1"/>
  <c r="Y85" i="63" s="1"/>
  <c r="Z6" i="49"/>
  <c r="Y6" i="63" s="1"/>
  <c r="Y58" i="63" s="1"/>
  <c r="R49" i="51"/>
  <c r="P5" i="52"/>
  <c r="P6" i="52"/>
  <c r="P9" i="52"/>
  <c r="P7" i="52"/>
  <c r="P26" i="52"/>
  <c r="P18" i="52"/>
  <c r="P10" i="52"/>
  <c r="P28" i="52"/>
  <c r="P20" i="52"/>
  <c r="P11" i="52"/>
  <c r="P16" i="52"/>
  <c r="P8" i="52"/>
  <c r="P42" i="52"/>
  <c r="P38" i="52"/>
  <c r="P41" i="52"/>
  <c r="P27" i="52"/>
  <c r="P12" i="52"/>
  <c r="P14" i="52"/>
  <c r="P21" i="52"/>
  <c r="P23" i="52"/>
  <c r="P29" i="52"/>
  <c r="P24" i="52"/>
  <c r="P39" i="52"/>
  <c r="P13" i="52"/>
  <c r="P17" i="52"/>
  <c r="P32" i="52"/>
  <c r="P22" i="52"/>
  <c r="P25" i="52"/>
  <c r="P40" i="52"/>
  <c r="P34" i="52"/>
  <c r="P35" i="52"/>
  <c r="P30" i="52"/>
  <c r="P33" i="52"/>
  <c r="P37" i="52"/>
  <c r="P36" i="52"/>
  <c r="P15" i="52"/>
  <c r="P31" i="52"/>
  <c r="P19" i="52"/>
  <c r="L27" i="48"/>
  <c r="L23" i="48"/>
  <c r="L15" i="48"/>
  <c r="L29" i="48"/>
  <c r="L21" i="48"/>
  <c r="L13" i="48"/>
  <c r="L22" i="48"/>
  <c r="L14" i="48"/>
  <c r="L8" i="48"/>
  <c r="L34" i="48"/>
  <c r="L24" i="48"/>
  <c r="L16" i="48"/>
  <c r="L9" i="48"/>
  <c r="L26" i="48"/>
  <c r="L18" i="48"/>
  <c r="L10" i="48"/>
  <c r="L5" i="48"/>
  <c r="L28" i="48"/>
  <c r="L6" i="48"/>
  <c r="L38" i="48"/>
  <c r="L12" i="48"/>
  <c r="L48" i="48"/>
  <c r="L47" i="48"/>
  <c r="L32" i="48"/>
  <c r="L50" i="48"/>
  <c r="L40" i="48"/>
  <c r="L17" i="48"/>
  <c r="L44" i="48"/>
  <c r="L25" i="48"/>
  <c r="L20" i="48"/>
  <c r="L33" i="48"/>
  <c r="L37" i="48"/>
  <c r="L36" i="48"/>
  <c r="L41" i="48"/>
  <c r="L45" i="48"/>
  <c r="L19" i="48"/>
  <c r="L49" i="48"/>
  <c r="L46" i="48"/>
  <c r="L11" i="48"/>
  <c r="L35" i="48"/>
  <c r="L42" i="48"/>
  <c r="L7" i="48"/>
  <c r="L31" i="48"/>
  <c r="L43" i="48"/>
  <c r="L30" i="48"/>
  <c r="L39" i="48"/>
  <c r="L51" i="48"/>
  <c r="M48" i="52"/>
  <c r="M48" i="53"/>
  <c r="V48" i="53"/>
  <c r="AA48" i="49"/>
  <c r="Z48" i="63" s="1"/>
  <c r="Z100" i="63" s="1"/>
  <c r="AA43" i="49"/>
  <c r="Z43" i="63" s="1"/>
  <c r="Z95" i="63" s="1"/>
  <c r="AA42" i="49"/>
  <c r="Z42" i="63" s="1"/>
  <c r="Z94" i="63" s="1"/>
  <c r="AA47" i="49"/>
  <c r="Z47" i="63" s="1"/>
  <c r="Z99" i="63" s="1"/>
  <c r="AA31" i="49"/>
  <c r="Z31" i="63" s="1"/>
  <c r="Z83" i="63" s="1"/>
  <c r="AA25" i="49"/>
  <c r="Z25" i="63" s="1"/>
  <c r="Z77" i="63" s="1"/>
  <c r="AA19" i="49"/>
  <c r="Z19" i="63" s="1"/>
  <c r="Z71" i="63" s="1"/>
  <c r="AA41" i="49"/>
  <c r="Z41" i="63" s="1"/>
  <c r="Z93" i="63" s="1"/>
  <c r="AA28" i="49"/>
  <c r="Z28" i="63" s="1"/>
  <c r="Z80" i="63" s="1"/>
  <c r="AA22" i="49"/>
  <c r="Z22" i="63" s="1"/>
  <c r="Z74" i="63" s="1"/>
  <c r="AA16" i="49"/>
  <c r="Z16" i="63" s="1"/>
  <c r="Z68" i="63" s="1"/>
  <c r="AA33" i="49"/>
  <c r="Z33" i="63" s="1"/>
  <c r="Z85" i="63" s="1"/>
  <c r="AA14" i="49"/>
  <c r="Z14" i="63" s="1"/>
  <c r="Z66" i="63" s="1"/>
  <c r="AA6" i="49"/>
  <c r="Z6" i="63" s="1"/>
  <c r="Z58" i="63" s="1"/>
  <c r="AA49" i="49"/>
  <c r="Z49" i="63" s="1"/>
  <c r="Z101" i="63" s="1"/>
  <c r="AA46" i="49"/>
  <c r="Z46" i="63" s="1"/>
  <c r="Z98" i="63" s="1"/>
  <c r="AA9" i="49"/>
  <c r="Z9" i="63" s="1"/>
  <c r="Z61" i="63" s="1"/>
  <c r="AA37" i="49"/>
  <c r="Z37" i="63" s="1"/>
  <c r="Z89" i="63" s="1"/>
  <c r="AA12" i="49"/>
  <c r="Z12" i="63" s="1"/>
  <c r="Z64" i="63" s="1"/>
  <c r="AA44" i="49"/>
  <c r="Z44" i="63" s="1"/>
  <c r="Z96" i="63" s="1"/>
  <c r="AA39" i="49"/>
  <c r="Z39" i="63" s="1"/>
  <c r="Z91" i="63" s="1"/>
  <c r="AA38" i="49"/>
  <c r="Z38" i="63" s="1"/>
  <c r="Z90" i="63" s="1"/>
  <c r="AA36" i="49"/>
  <c r="Z36" i="63" s="1"/>
  <c r="Z88" i="63" s="1"/>
  <c r="AA32" i="49"/>
  <c r="Z32" i="63" s="1"/>
  <c r="Z84" i="63" s="1"/>
  <c r="AA27" i="49"/>
  <c r="Z27" i="63" s="1"/>
  <c r="Z79" i="63" s="1"/>
  <c r="AA23" i="49"/>
  <c r="Z23" i="63" s="1"/>
  <c r="Z75" i="63" s="1"/>
  <c r="AA18" i="49"/>
  <c r="Z18" i="63" s="1"/>
  <c r="Z70" i="63" s="1"/>
  <c r="AA7" i="49"/>
  <c r="Z7" i="63" s="1"/>
  <c r="Z59" i="63" s="1"/>
  <c r="AA45" i="49"/>
  <c r="Z45" i="63" s="1"/>
  <c r="Z97" i="63" s="1"/>
  <c r="AA40" i="49"/>
  <c r="Z40" i="63" s="1"/>
  <c r="Z92" i="63" s="1"/>
  <c r="AA10" i="49"/>
  <c r="Z10" i="63" s="1"/>
  <c r="Z62" i="63" s="1"/>
  <c r="AA35" i="49"/>
  <c r="Z35" i="63" s="1"/>
  <c r="Z87" i="63" s="1"/>
  <c r="AA26" i="49"/>
  <c r="Z26" i="63" s="1"/>
  <c r="Z78" i="63" s="1"/>
  <c r="AA17" i="49"/>
  <c r="Z17" i="63" s="1"/>
  <c r="Z69" i="63" s="1"/>
  <c r="AA13" i="49"/>
  <c r="Z13" i="63" s="1"/>
  <c r="Z65" i="63" s="1"/>
  <c r="AA50" i="49"/>
  <c r="Z50" i="63" s="1"/>
  <c r="Z102" i="63" s="1"/>
  <c r="AA30" i="49"/>
  <c r="Z30" i="63" s="1"/>
  <c r="Z82" i="63" s="1"/>
  <c r="AA21" i="49"/>
  <c r="Z21" i="63" s="1"/>
  <c r="Z73" i="63" s="1"/>
  <c r="AA8" i="49"/>
  <c r="Z8" i="63" s="1"/>
  <c r="Z60" i="63" s="1"/>
  <c r="AA5" i="49"/>
  <c r="Z5" i="63" s="1"/>
  <c r="Z57" i="63" s="1"/>
  <c r="AA34" i="49"/>
  <c r="Z34" i="63" s="1"/>
  <c r="Z86" i="63" s="1"/>
  <c r="AA11" i="49"/>
  <c r="Z11" i="63" s="1"/>
  <c r="Z63" i="63" s="1"/>
  <c r="AA29" i="49"/>
  <c r="Z29" i="63" s="1"/>
  <c r="Z81" i="63" s="1"/>
  <c r="AA20" i="49"/>
  <c r="Z20" i="63" s="1"/>
  <c r="Z72" i="63" s="1"/>
  <c r="AA51" i="49"/>
  <c r="Z51" i="63" s="1"/>
  <c r="Z103" i="63" s="1"/>
  <c r="AA24" i="49"/>
  <c r="Z24" i="63" s="1"/>
  <c r="Z76" i="63" s="1"/>
  <c r="AA15" i="49"/>
  <c r="Z15" i="63" s="1"/>
  <c r="Z67" i="63" s="1"/>
  <c r="AA53" i="50"/>
  <c r="O48" i="52"/>
  <c r="O48" i="53"/>
  <c r="M38" i="48"/>
  <c r="X50" i="48"/>
  <c r="X46" i="48"/>
  <c r="X42" i="48"/>
  <c r="X38" i="48"/>
  <c r="X34" i="48"/>
  <c r="X30" i="48"/>
  <c r="X26" i="48"/>
  <c r="X22" i="48"/>
  <c r="X18" i="48"/>
  <c r="X14" i="48"/>
  <c r="X10" i="48"/>
  <c r="X48" i="48"/>
  <c r="X44" i="48"/>
  <c r="X40" i="48"/>
  <c r="X36" i="48"/>
  <c r="X32" i="48"/>
  <c r="X28" i="48"/>
  <c r="X24" i="48"/>
  <c r="X20" i="48"/>
  <c r="X16" i="48"/>
  <c r="X12" i="48"/>
  <c r="X49" i="48"/>
  <c r="X45" i="48"/>
  <c r="X41" i="48"/>
  <c r="X37" i="48"/>
  <c r="X33" i="48"/>
  <c r="X29" i="48"/>
  <c r="X25" i="48"/>
  <c r="X21" i="48"/>
  <c r="X17" i="48"/>
  <c r="X13" i="48"/>
  <c r="X51" i="48"/>
  <c r="X47" i="48"/>
  <c r="X43" i="48"/>
  <c r="X39" i="48"/>
  <c r="X35" i="48"/>
  <c r="X31" i="48"/>
  <c r="X27" i="48"/>
  <c r="X23" i="48"/>
  <c r="X19" i="48"/>
  <c r="X15" i="48"/>
  <c r="X11" i="48"/>
  <c r="X7" i="48"/>
  <c r="X8" i="48"/>
  <c r="X9" i="48"/>
  <c r="X5" i="48"/>
  <c r="X6" i="48"/>
  <c r="M20" i="48"/>
  <c r="Q29" i="48"/>
  <c r="Q21" i="48"/>
  <c r="Q13" i="48"/>
  <c r="Q27" i="48"/>
  <c r="Q23" i="48"/>
  <c r="Q15" i="48"/>
  <c r="Q34" i="48"/>
  <c r="Q24" i="48"/>
  <c r="Q16" i="48"/>
  <c r="Q9" i="48"/>
  <c r="Q38" i="48"/>
  <c r="Q42" i="48"/>
  <c r="Q26" i="48"/>
  <c r="Q18" i="48"/>
  <c r="Q10" i="48"/>
  <c r="Q5" i="48"/>
  <c r="Q6" i="48"/>
  <c r="Q50" i="48"/>
  <c r="Q28" i="48"/>
  <c r="Q20" i="48"/>
  <c r="Q7" i="48"/>
  <c r="Q22" i="48"/>
  <c r="Q14" i="48"/>
  <c r="Q8" i="48"/>
  <c r="Q46" i="48"/>
  <c r="Q30" i="48"/>
  <c r="Q12" i="48"/>
  <c r="Q33" i="48"/>
  <c r="Q36" i="48"/>
  <c r="Q32" i="48"/>
  <c r="Q44" i="48"/>
  <c r="Q40" i="48"/>
  <c r="Q49" i="48"/>
  <c r="Q48" i="48"/>
  <c r="Q19" i="48"/>
  <c r="Q11" i="48"/>
  <c r="Q35" i="48"/>
  <c r="Q25" i="48"/>
  <c r="Q31" i="48"/>
  <c r="Q43" i="48"/>
  <c r="Q37" i="48"/>
  <c r="Q39" i="48"/>
  <c r="Q51" i="48"/>
  <c r="Q45" i="48"/>
  <c r="Q47" i="48"/>
  <c r="Q17" i="48"/>
  <c r="Q41" i="48"/>
  <c r="O18" i="48"/>
  <c r="O14" i="48"/>
  <c r="O20" i="48"/>
  <c r="O16" i="48"/>
  <c r="O12" i="48"/>
  <c r="O10" i="48"/>
  <c r="O19" i="48"/>
  <c r="O11" i="48"/>
  <c r="O8" i="48"/>
  <c r="O9" i="48"/>
  <c r="O21" i="48"/>
  <c r="O13" i="48"/>
  <c r="O5" i="48"/>
  <c r="O49" i="48"/>
  <c r="O23" i="48"/>
  <c r="O15" i="48"/>
  <c r="O41" i="48"/>
  <c r="O6" i="48"/>
  <c r="O25" i="48"/>
  <c r="O17" i="48"/>
  <c r="O7" i="48"/>
  <c r="O51" i="48"/>
  <c r="O48" i="48"/>
  <c r="O26" i="48"/>
  <c r="O29" i="48"/>
  <c r="O37" i="48"/>
  <c r="O24" i="48"/>
  <c r="O38" i="48"/>
  <c r="O42" i="48"/>
  <c r="O45" i="48"/>
  <c r="O31" i="48"/>
  <c r="O46" i="48"/>
  <c r="O50" i="48"/>
  <c r="O39" i="48"/>
  <c r="O27" i="48"/>
  <c r="O47" i="48"/>
  <c r="O28" i="48"/>
  <c r="O35" i="48"/>
  <c r="O32" i="48"/>
  <c r="O36" i="48"/>
  <c r="O33" i="48"/>
  <c r="O43" i="48"/>
  <c r="O40" i="48"/>
  <c r="O44" i="48"/>
  <c r="O22" i="48"/>
  <c r="O34" i="48"/>
  <c r="O30" i="48"/>
  <c r="Z53" i="50"/>
  <c r="N48" i="53"/>
  <c r="N48" i="52"/>
  <c r="P48" i="52"/>
  <c r="U48" i="53"/>
  <c r="AI24" i="48"/>
  <c r="AI39" i="48"/>
  <c r="AI31" i="48"/>
  <c r="AI44" i="48"/>
  <c r="Z48" i="52"/>
  <c r="AI36" i="48"/>
  <c r="AI48" i="48"/>
  <c r="AI51" i="48"/>
  <c r="U17" i="50"/>
  <c r="AI38" i="48"/>
  <c r="AI28" i="48"/>
  <c r="AI50" i="48"/>
  <c r="AI40" i="48"/>
  <c r="AI45" i="48"/>
  <c r="AI43" i="48"/>
  <c r="AI22" i="48"/>
  <c r="AI30" i="48"/>
  <c r="AI42" i="48"/>
  <c r="AI32" i="48"/>
  <c r="AI37" i="48"/>
  <c r="AI35" i="48"/>
  <c r="AI20" i="48"/>
  <c r="AI16" i="48"/>
  <c r="AI12" i="48"/>
  <c r="AI6" i="48"/>
  <c r="AI18" i="48"/>
  <c r="AI14" i="48"/>
  <c r="AI10" i="48"/>
  <c r="AI8" i="48"/>
  <c r="AI21" i="48"/>
  <c r="AI13" i="48"/>
  <c r="AI7" i="48"/>
  <c r="AI33" i="48"/>
  <c r="AI23" i="48"/>
  <c r="AI15" i="48"/>
  <c r="AI41" i="48"/>
  <c r="AI25" i="48"/>
  <c r="AI17" i="48"/>
  <c r="AI9" i="48"/>
  <c r="AI19" i="48"/>
  <c r="AI11" i="48"/>
  <c r="AI5" i="48"/>
  <c r="AI29" i="48"/>
  <c r="AI27" i="48"/>
  <c r="AI26" i="48"/>
  <c r="AI47" i="48"/>
  <c r="M49" i="51"/>
  <c r="V49" i="51"/>
  <c r="Z49" i="51"/>
  <c r="U49" i="51"/>
  <c r="T49" i="51"/>
  <c r="N49" i="51"/>
  <c r="O49" i="51"/>
  <c r="M64" i="47"/>
  <c r="M70" i="47" s="1"/>
  <c r="Y56" i="47"/>
  <c r="V56" i="47"/>
  <c r="V60" i="47"/>
  <c r="D30" i="5"/>
  <c r="F37" i="5"/>
  <c r="E37" i="5"/>
  <c r="M8" i="66" l="1"/>
  <c r="P7" i="65"/>
  <c r="M22" i="48"/>
  <c r="L10" i="65"/>
  <c r="N10" i="65"/>
  <c r="Z53" i="49"/>
  <c r="Y5" i="63"/>
  <c r="Y57" i="63" s="1"/>
  <c r="W6" i="65"/>
  <c r="X6" i="65" s="1"/>
  <c r="T8" i="65"/>
  <c r="X8" i="65" s="1"/>
  <c r="M13" i="48"/>
  <c r="P9" i="65"/>
  <c r="P11" i="65"/>
  <c r="D10" i="65"/>
  <c r="AC21" i="50"/>
  <c r="AD21" i="50" s="1"/>
  <c r="AI46" i="50"/>
  <c r="AI34" i="50"/>
  <c r="M6" i="66"/>
  <c r="M10" i="66"/>
  <c r="M51" i="48"/>
  <c r="M14" i="48"/>
  <c r="M29" i="48"/>
  <c r="M26" i="48"/>
  <c r="M26" i="50" s="1"/>
  <c r="M35" i="48"/>
  <c r="M31" i="50"/>
  <c r="O7" i="50"/>
  <c r="Q35" i="50"/>
  <c r="Q23" i="50"/>
  <c r="X13" i="50"/>
  <c r="X26" i="50"/>
  <c r="L45" i="50"/>
  <c r="L6" i="50"/>
  <c r="P22" i="53"/>
  <c r="P22" i="64" s="1"/>
  <c r="P65" i="64" s="1"/>
  <c r="P22" i="54"/>
  <c r="P9" i="53"/>
  <c r="P9" i="64" s="1"/>
  <c r="P52" i="64" s="1"/>
  <c r="P9" i="54"/>
  <c r="R42" i="50"/>
  <c r="R25" i="50"/>
  <c r="AH41" i="50"/>
  <c r="AH30" i="50"/>
  <c r="AD47" i="48"/>
  <c r="AC47" i="50"/>
  <c r="AD47" i="50" s="1"/>
  <c r="AD34" i="48"/>
  <c r="AC34" i="50"/>
  <c r="AD34" i="50" s="1"/>
  <c r="AD12" i="48"/>
  <c r="AC12" i="50"/>
  <c r="AD12" i="50" s="1"/>
  <c r="P31" i="50"/>
  <c r="P25" i="50"/>
  <c r="P32" i="50"/>
  <c r="W37" i="50"/>
  <c r="W26" i="50"/>
  <c r="W18" i="50"/>
  <c r="W35" i="50"/>
  <c r="W32" i="50"/>
  <c r="W23" i="50"/>
  <c r="U35" i="50"/>
  <c r="U49" i="50"/>
  <c r="U20" i="50"/>
  <c r="M35" i="50"/>
  <c r="S47" i="53"/>
  <c r="S47" i="54"/>
  <c r="S47" i="52"/>
  <c r="S47" i="51"/>
  <c r="AI9" i="50"/>
  <c r="AI13" i="50"/>
  <c r="AI16" i="50"/>
  <c r="AI30" i="50"/>
  <c r="AI12" i="50"/>
  <c r="O44" i="50"/>
  <c r="O47" i="50"/>
  <c r="O38" i="50"/>
  <c r="O17" i="50"/>
  <c r="O13" i="50"/>
  <c r="O16" i="50"/>
  <c r="Q45" i="50"/>
  <c r="Q11" i="50"/>
  <c r="Q33" i="50"/>
  <c r="Q20" i="50"/>
  <c r="Q42" i="50"/>
  <c r="Q27" i="50"/>
  <c r="X5" i="50"/>
  <c r="X53" i="48"/>
  <c r="X58" i="48" s="1"/>
  <c r="X5" i="49" s="1"/>
  <c r="W5" i="63" s="1"/>
  <c r="W57" i="63" s="1"/>
  <c r="X27" i="50"/>
  <c r="X17" i="50"/>
  <c r="X49" i="50"/>
  <c r="X40" i="50"/>
  <c r="X30" i="50"/>
  <c r="M47" i="48"/>
  <c r="M42" i="48"/>
  <c r="AA53" i="49"/>
  <c r="M7" i="48"/>
  <c r="L7" i="50"/>
  <c r="L41" i="50"/>
  <c r="L40" i="50"/>
  <c r="L28" i="50"/>
  <c r="L34" i="50"/>
  <c r="L23" i="50"/>
  <c r="P37" i="53"/>
  <c r="P37" i="64" s="1"/>
  <c r="P80" i="64" s="1"/>
  <c r="P37" i="54"/>
  <c r="P32" i="53"/>
  <c r="P32" i="64" s="1"/>
  <c r="P75" i="64" s="1"/>
  <c r="P32" i="54"/>
  <c r="P14" i="53"/>
  <c r="P14" i="64" s="1"/>
  <c r="P57" i="64" s="1"/>
  <c r="P14" i="54"/>
  <c r="P11" i="53"/>
  <c r="P11" i="64" s="1"/>
  <c r="P54" i="64" s="1"/>
  <c r="P11" i="54"/>
  <c r="P6" i="53"/>
  <c r="P6" i="64" s="1"/>
  <c r="P49" i="64" s="1"/>
  <c r="P6" i="54"/>
  <c r="R30" i="50"/>
  <c r="R33" i="50"/>
  <c r="R36" i="50"/>
  <c r="R18" i="50"/>
  <c r="R29" i="50"/>
  <c r="R27" i="50"/>
  <c r="AH47" i="50"/>
  <c r="AH46" i="50"/>
  <c r="AH40" i="50"/>
  <c r="AH7" i="50"/>
  <c r="AH44" i="50"/>
  <c r="AH19" i="50"/>
  <c r="AD21" i="48"/>
  <c r="AD23" i="48"/>
  <c r="AC23" i="50"/>
  <c r="AD23" i="50" s="1"/>
  <c r="AD45" i="48"/>
  <c r="AC45" i="50"/>
  <c r="AD45" i="50" s="1"/>
  <c r="AD48" i="48"/>
  <c r="AC48" i="50"/>
  <c r="AD48" i="50" s="1"/>
  <c r="AD25" i="48"/>
  <c r="AC25" i="50"/>
  <c r="AD25" i="50" s="1"/>
  <c r="AD16" i="48"/>
  <c r="AC16" i="50"/>
  <c r="AD16" i="50" s="1"/>
  <c r="P46" i="50"/>
  <c r="P45" i="50"/>
  <c r="P14" i="50"/>
  <c r="P28" i="50"/>
  <c r="P13" i="50"/>
  <c r="P36" i="50"/>
  <c r="W22" i="50"/>
  <c r="W45" i="50"/>
  <c r="W53" i="48"/>
  <c r="W58" i="48" s="1"/>
  <c r="W18" i="49" s="1"/>
  <c r="V18" i="63" s="1"/>
  <c r="V70" i="63" s="1"/>
  <c r="W5" i="50"/>
  <c r="W40" i="50"/>
  <c r="W7" i="50"/>
  <c r="W8" i="49"/>
  <c r="V8" i="63" s="1"/>
  <c r="V60" i="63" s="1"/>
  <c r="W8" i="50"/>
  <c r="U13" i="50"/>
  <c r="U51" i="50"/>
  <c r="U37" i="50"/>
  <c r="U9" i="50"/>
  <c r="U38" i="50"/>
  <c r="U24" i="50"/>
  <c r="O10" i="52"/>
  <c r="O37" i="52"/>
  <c r="O29" i="52"/>
  <c r="O11" i="52"/>
  <c r="O6" i="52"/>
  <c r="O24" i="52"/>
  <c r="O16" i="52"/>
  <c r="O8" i="52"/>
  <c r="O25" i="52"/>
  <c r="O17" i="52"/>
  <c r="O9" i="52"/>
  <c r="O21" i="52"/>
  <c r="O5" i="52"/>
  <c r="O7" i="52"/>
  <c r="O13" i="52"/>
  <c r="O27" i="52"/>
  <c r="O39" i="52"/>
  <c r="O15" i="52"/>
  <c r="O42" i="52"/>
  <c r="O30" i="52"/>
  <c r="O20" i="52"/>
  <c r="O38" i="52"/>
  <c r="O18" i="52"/>
  <c r="O28" i="52"/>
  <c r="O14" i="52"/>
  <c r="O32" i="52"/>
  <c r="O33" i="52"/>
  <c r="O23" i="52"/>
  <c r="O40" i="52"/>
  <c r="O41" i="52"/>
  <c r="O19" i="52"/>
  <c r="O31" i="52"/>
  <c r="O34" i="52"/>
  <c r="O22" i="52"/>
  <c r="O35" i="52"/>
  <c r="O12" i="52"/>
  <c r="O26" i="52"/>
  <c r="O36" i="52"/>
  <c r="AI47" i="50"/>
  <c r="AI17" i="50"/>
  <c r="AI21" i="50"/>
  <c r="AI20" i="50"/>
  <c r="AI22" i="50"/>
  <c r="M51" i="50"/>
  <c r="AI44" i="50"/>
  <c r="O40" i="50"/>
  <c r="O27" i="50"/>
  <c r="O24" i="50"/>
  <c r="O25" i="50"/>
  <c r="O21" i="50"/>
  <c r="O20" i="50"/>
  <c r="Q51" i="50"/>
  <c r="Q19" i="50"/>
  <c r="Q12" i="50"/>
  <c r="Q28" i="50"/>
  <c r="Q38" i="50"/>
  <c r="Q13" i="50"/>
  <c r="X9" i="50"/>
  <c r="X31" i="50"/>
  <c r="X21" i="50"/>
  <c r="X12" i="50"/>
  <c r="X44" i="50"/>
  <c r="X34" i="50"/>
  <c r="M32" i="48"/>
  <c r="M17" i="48"/>
  <c r="L42" i="50"/>
  <c r="L36" i="50"/>
  <c r="L50" i="50"/>
  <c r="L53" i="48"/>
  <c r="L58" i="48" s="1"/>
  <c r="L27" i="49" s="1"/>
  <c r="L27" i="63" s="1"/>
  <c r="L79" i="63" s="1"/>
  <c r="L5" i="50"/>
  <c r="L8" i="50"/>
  <c r="L27" i="50"/>
  <c r="P33" i="53"/>
  <c r="P33" i="64" s="1"/>
  <c r="P76" i="64" s="1"/>
  <c r="P33" i="54"/>
  <c r="P17" i="53"/>
  <c r="P17" i="64" s="1"/>
  <c r="P60" i="64" s="1"/>
  <c r="P17" i="54"/>
  <c r="P12" i="53"/>
  <c r="P12" i="64" s="1"/>
  <c r="P55" i="64" s="1"/>
  <c r="P12" i="54"/>
  <c r="P20" i="53"/>
  <c r="P20" i="64" s="1"/>
  <c r="P63" i="64" s="1"/>
  <c r="P20" i="54"/>
  <c r="P5" i="53"/>
  <c r="P5" i="64" s="1"/>
  <c r="P48" i="64" s="1"/>
  <c r="P5" i="54"/>
  <c r="P44" i="52"/>
  <c r="R49" i="50"/>
  <c r="R31" i="50"/>
  <c r="R7" i="50"/>
  <c r="R26" i="50"/>
  <c r="R44" i="50"/>
  <c r="M44" i="48"/>
  <c r="M48" i="48"/>
  <c r="AH39" i="50"/>
  <c r="AH26" i="50"/>
  <c r="AH14" i="50"/>
  <c r="AH10" i="50"/>
  <c r="AH48" i="50"/>
  <c r="M49" i="48"/>
  <c r="AD44" i="48"/>
  <c r="AC44" i="50"/>
  <c r="AD44" i="50" s="1"/>
  <c r="AD31" i="48"/>
  <c r="AC31" i="50"/>
  <c r="AD31" i="50" s="1"/>
  <c r="AD46" i="48"/>
  <c r="AC46" i="50"/>
  <c r="AD46" i="50" s="1"/>
  <c r="AD8" i="48"/>
  <c r="AC8" i="50"/>
  <c r="AD8" i="50" s="1"/>
  <c r="AD11" i="48"/>
  <c r="AC11" i="50"/>
  <c r="AD11" i="50" s="1"/>
  <c r="AD20" i="48"/>
  <c r="AC20" i="50"/>
  <c r="AD20" i="50" s="1"/>
  <c r="P47" i="50"/>
  <c r="P43" i="50"/>
  <c r="P19" i="50"/>
  <c r="P50" i="50"/>
  <c r="P16" i="50"/>
  <c r="P40" i="50"/>
  <c r="W30" i="49"/>
  <c r="V30" i="63" s="1"/>
  <c r="V82" i="63" s="1"/>
  <c r="W30" i="50"/>
  <c r="W24" i="50"/>
  <c r="W13" i="50"/>
  <c r="W44" i="50"/>
  <c r="W12" i="49"/>
  <c r="V12" i="63" s="1"/>
  <c r="V64" i="63" s="1"/>
  <c r="W12" i="50"/>
  <c r="W6" i="50"/>
  <c r="U21" i="50"/>
  <c r="U8" i="50"/>
  <c r="U6" i="50"/>
  <c r="U10" i="50"/>
  <c r="U42" i="50"/>
  <c r="U28" i="50"/>
  <c r="N7" i="52"/>
  <c r="N40" i="52"/>
  <c r="N16" i="52"/>
  <c r="N8" i="52"/>
  <c r="N11" i="52"/>
  <c r="N9" i="52"/>
  <c r="N10" i="52"/>
  <c r="N5" i="52"/>
  <c r="N6" i="52"/>
  <c r="N14" i="52"/>
  <c r="N27" i="52"/>
  <c r="N18" i="52"/>
  <c r="N15" i="52"/>
  <c r="N34" i="52"/>
  <c r="N21" i="52"/>
  <c r="N23" i="52"/>
  <c r="N32" i="52"/>
  <c r="N17" i="52"/>
  <c r="N29" i="52"/>
  <c r="N31" i="52"/>
  <c r="N20" i="52"/>
  <c r="N33" i="52"/>
  <c r="N13" i="52"/>
  <c r="N28" i="52"/>
  <c r="N41" i="52"/>
  <c r="N22" i="52"/>
  <c r="N36" i="52"/>
  <c r="N19" i="52"/>
  <c r="N30" i="52"/>
  <c r="N25" i="52"/>
  <c r="N39" i="52"/>
  <c r="N12" i="52"/>
  <c r="N37" i="52"/>
  <c r="N38" i="52"/>
  <c r="N24" i="52"/>
  <c r="N42" i="52"/>
  <c r="N35" i="52"/>
  <c r="N26" i="52"/>
  <c r="AI26" i="50"/>
  <c r="AI25" i="50"/>
  <c r="AI8" i="50"/>
  <c r="AI43" i="50"/>
  <c r="AI51" i="50"/>
  <c r="AI31" i="50"/>
  <c r="O43" i="50"/>
  <c r="O39" i="50"/>
  <c r="O37" i="50"/>
  <c r="O6" i="50"/>
  <c r="O9" i="50"/>
  <c r="O14" i="50"/>
  <c r="Q39" i="50"/>
  <c r="Q48" i="50"/>
  <c r="Q30" i="50"/>
  <c r="Q50" i="50"/>
  <c r="Q9" i="50"/>
  <c r="Q21" i="50"/>
  <c r="X8" i="50"/>
  <c r="X35" i="49"/>
  <c r="W35" i="63" s="1"/>
  <c r="W87" i="63" s="1"/>
  <c r="X35" i="50"/>
  <c r="X25" i="49"/>
  <c r="W25" i="63" s="1"/>
  <c r="W77" i="63" s="1"/>
  <c r="X25" i="50"/>
  <c r="X16" i="50"/>
  <c r="X48" i="50"/>
  <c r="X38" i="49"/>
  <c r="W38" i="63" s="1"/>
  <c r="W90" i="63" s="1"/>
  <c r="X38" i="50"/>
  <c r="M24" i="48"/>
  <c r="M36" i="48"/>
  <c r="L35" i="50"/>
  <c r="L37" i="50"/>
  <c r="L32" i="50"/>
  <c r="L10" i="50"/>
  <c r="L14" i="50"/>
  <c r="M37" i="48"/>
  <c r="P30" i="53"/>
  <c r="P30" i="64" s="1"/>
  <c r="P73" i="64" s="1"/>
  <c r="P30" i="54"/>
  <c r="P13" i="53"/>
  <c r="P13" i="64" s="1"/>
  <c r="P56" i="64" s="1"/>
  <c r="P13" i="54"/>
  <c r="P27" i="53"/>
  <c r="P27" i="64" s="1"/>
  <c r="P70" i="64" s="1"/>
  <c r="P27" i="54"/>
  <c r="P28" i="53"/>
  <c r="P28" i="64" s="1"/>
  <c r="P71" i="64" s="1"/>
  <c r="P28" i="54"/>
  <c r="R11" i="52"/>
  <c r="R30" i="52"/>
  <c r="R7" i="52"/>
  <c r="R5" i="52"/>
  <c r="R25" i="52"/>
  <c r="R17" i="52"/>
  <c r="R9" i="52"/>
  <c r="R36" i="52"/>
  <c r="R10" i="52"/>
  <c r="R22" i="52"/>
  <c r="R6" i="52"/>
  <c r="R16" i="52"/>
  <c r="R8" i="52"/>
  <c r="R18" i="52"/>
  <c r="R42" i="52"/>
  <c r="R12" i="52"/>
  <c r="R41" i="52"/>
  <c r="R34" i="52"/>
  <c r="R24" i="52"/>
  <c r="R28" i="52"/>
  <c r="R29" i="52"/>
  <c r="R32" i="52"/>
  <c r="R27" i="52"/>
  <c r="R14" i="52"/>
  <c r="R37" i="52"/>
  <c r="R40" i="52"/>
  <c r="R35" i="52"/>
  <c r="R13" i="52"/>
  <c r="R23" i="52"/>
  <c r="R38" i="52"/>
  <c r="R31" i="52"/>
  <c r="R39" i="52"/>
  <c r="R33" i="52"/>
  <c r="R21" i="52"/>
  <c r="R26" i="52"/>
  <c r="R20" i="52"/>
  <c r="R19" i="52"/>
  <c r="R15" i="52"/>
  <c r="R50" i="50"/>
  <c r="R47" i="50"/>
  <c r="R9" i="50"/>
  <c r="R32" i="50"/>
  <c r="R38" i="50"/>
  <c r="R48" i="50"/>
  <c r="AH51" i="50"/>
  <c r="AH31" i="50"/>
  <c r="AH22" i="50"/>
  <c r="AH36" i="50"/>
  <c r="AH18" i="50"/>
  <c r="AH9" i="50"/>
  <c r="M30" i="48"/>
  <c r="AD51" i="48"/>
  <c r="AC51" i="50"/>
  <c r="AD51" i="50" s="1"/>
  <c r="AD28" i="48"/>
  <c r="AC28" i="50"/>
  <c r="AD28" i="50" s="1"/>
  <c r="AD50" i="48"/>
  <c r="AC50" i="50"/>
  <c r="AD50" i="50" s="1"/>
  <c r="AD7" i="48"/>
  <c r="AC7" i="50"/>
  <c r="AD7" i="50" s="1"/>
  <c r="AD15" i="48"/>
  <c r="AC15" i="50"/>
  <c r="AD15" i="50" s="1"/>
  <c r="M39" i="48"/>
  <c r="P33" i="50"/>
  <c r="P49" i="50"/>
  <c r="P22" i="50"/>
  <c r="P6" i="50"/>
  <c r="P21" i="50"/>
  <c r="P44" i="50"/>
  <c r="W29" i="49"/>
  <c r="V29" i="63" s="1"/>
  <c r="V81" i="63" s="1"/>
  <c r="W29" i="50"/>
  <c r="W49" i="49"/>
  <c r="V49" i="63" s="1"/>
  <c r="V101" i="63" s="1"/>
  <c r="W49" i="50"/>
  <c r="W16" i="50"/>
  <c r="W14" i="49"/>
  <c r="V14" i="63" s="1"/>
  <c r="V66" i="63" s="1"/>
  <c r="W14" i="50"/>
  <c r="W20" i="49"/>
  <c r="V20" i="63" s="1"/>
  <c r="V72" i="63" s="1"/>
  <c r="W20" i="50"/>
  <c r="M50" i="48"/>
  <c r="U39" i="50"/>
  <c r="U31" i="50"/>
  <c r="U15" i="50"/>
  <c r="U14" i="50"/>
  <c r="U46" i="50"/>
  <c r="U32" i="50"/>
  <c r="Y54" i="49"/>
  <c r="Y58" i="49" s="1"/>
  <c r="Y43" i="50" s="1"/>
  <c r="Y54" i="50"/>
  <c r="Y54" i="48"/>
  <c r="AI19" i="50"/>
  <c r="AI38" i="50"/>
  <c r="O28" i="50"/>
  <c r="O5" i="50"/>
  <c r="O53" i="48"/>
  <c r="O58" i="48" s="1"/>
  <c r="O17" i="49" s="1"/>
  <c r="O17" i="63" s="1"/>
  <c r="O69" i="63" s="1"/>
  <c r="Q36" i="50"/>
  <c r="X6" i="49"/>
  <c r="W6" i="63" s="1"/>
  <c r="W58" i="63" s="1"/>
  <c r="X6" i="50"/>
  <c r="X45" i="50"/>
  <c r="M13" i="50"/>
  <c r="L31" i="49"/>
  <c r="L31" i="63" s="1"/>
  <c r="L83" i="63" s="1"/>
  <c r="L31" i="50"/>
  <c r="L24" i="49"/>
  <c r="L24" i="63" s="1"/>
  <c r="L76" i="63" s="1"/>
  <c r="L24" i="50"/>
  <c r="P16" i="53"/>
  <c r="P16" i="64" s="1"/>
  <c r="P59" i="64" s="1"/>
  <c r="P16" i="54"/>
  <c r="R35" i="50"/>
  <c r="R23" i="50"/>
  <c r="AD49" i="48"/>
  <c r="AC49" i="50"/>
  <c r="AD49" i="50" s="1"/>
  <c r="T9" i="52"/>
  <c r="T35" i="52"/>
  <c r="T10" i="52"/>
  <c r="T5" i="52"/>
  <c r="T11" i="52"/>
  <c r="T6" i="52"/>
  <c r="T23" i="52"/>
  <c r="T15" i="52"/>
  <c r="T7" i="52"/>
  <c r="T24" i="52"/>
  <c r="T16" i="52"/>
  <c r="T8" i="52"/>
  <c r="T17" i="52"/>
  <c r="T28" i="52"/>
  <c r="T33" i="52"/>
  <c r="T40" i="52"/>
  <c r="T14" i="52"/>
  <c r="T36" i="52"/>
  <c r="T13" i="52"/>
  <c r="T41" i="52"/>
  <c r="T38" i="52"/>
  <c r="T39" i="52"/>
  <c r="T26" i="52"/>
  <c r="T29" i="52"/>
  <c r="T19" i="52"/>
  <c r="T34" i="52"/>
  <c r="T37" i="52"/>
  <c r="T27" i="52"/>
  <c r="T32" i="52"/>
  <c r="T42" i="52"/>
  <c r="T18" i="52"/>
  <c r="T25" i="52"/>
  <c r="T31" i="52"/>
  <c r="T12" i="52"/>
  <c r="T30" i="52"/>
  <c r="T20" i="52"/>
  <c r="T22" i="52"/>
  <c r="T21" i="52"/>
  <c r="AI27" i="50"/>
  <c r="AI41" i="50"/>
  <c r="AI10" i="50"/>
  <c r="AI35" i="50"/>
  <c r="AI45" i="50"/>
  <c r="AI48" i="50"/>
  <c r="M14" i="50"/>
  <c r="O33" i="50"/>
  <c r="O50" i="50"/>
  <c r="O29" i="50"/>
  <c r="O41" i="50"/>
  <c r="O8" i="50"/>
  <c r="O18" i="50"/>
  <c r="Q37" i="50"/>
  <c r="Q49" i="50"/>
  <c r="Q46" i="50"/>
  <c r="Q6" i="50"/>
  <c r="Q16" i="50"/>
  <c r="Q29" i="50"/>
  <c r="X7" i="49"/>
  <c r="W7" i="63" s="1"/>
  <c r="W59" i="63" s="1"/>
  <c r="X7" i="50"/>
  <c r="X39" i="49"/>
  <c r="W39" i="63" s="1"/>
  <c r="W91" i="63" s="1"/>
  <c r="X39" i="50"/>
  <c r="X29" i="50"/>
  <c r="X20" i="49"/>
  <c r="W20" i="63" s="1"/>
  <c r="W72" i="63" s="1"/>
  <c r="X20" i="50"/>
  <c r="X10" i="49"/>
  <c r="W10" i="63" s="1"/>
  <c r="W62" i="63" s="1"/>
  <c r="X10" i="50"/>
  <c r="X42" i="49"/>
  <c r="W42" i="63" s="1"/>
  <c r="W94" i="63" s="1"/>
  <c r="X42" i="50"/>
  <c r="M33" i="48"/>
  <c r="L51" i="50"/>
  <c r="L11" i="50"/>
  <c r="L33" i="50"/>
  <c r="L47" i="50"/>
  <c r="L18" i="50"/>
  <c r="L22" i="50"/>
  <c r="M25" i="48"/>
  <c r="P35" i="53"/>
  <c r="P35" i="64" s="1"/>
  <c r="P78" i="64" s="1"/>
  <c r="P35" i="54"/>
  <c r="P39" i="53"/>
  <c r="P39" i="64" s="1"/>
  <c r="P82" i="64" s="1"/>
  <c r="P39" i="54"/>
  <c r="P41" i="53"/>
  <c r="P41" i="64" s="1"/>
  <c r="P84" i="64" s="1"/>
  <c r="P41" i="54"/>
  <c r="P10" i="53"/>
  <c r="P10" i="64" s="1"/>
  <c r="P53" i="64" s="1"/>
  <c r="P10" i="54"/>
  <c r="R37" i="50"/>
  <c r="R41" i="50"/>
  <c r="R16" i="50"/>
  <c r="R12" i="50"/>
  <c r="R6" i="50"/>
  <c r="R8" i="50"/>
  <c r="Y23" i="50"/>
  <c r="AH45" i="50"/>
  <c r="AH23" i="50"/>
  <c r="AH37" i="50"/>
  <c r="AH32" i="50"/>
  <c r="AH38" i="50"/>
  <c r="AH13" i="50"/>
  <c r="AD42" i="48"/>
  <c r="AC42" i="50"/>
  <c r="AD42" i="50" s="1"/>
  <c r="AD32" i="48"/>
  <c r="AC32" i="50"/>
  <c r="AD32" i="50" s="1"/>
  <c r="AD35" i="48"/>
  <c r="AC35" i="50"/>
  <c r="AD35" i="50" s="1"/>
  <c r="AD24" i="48"/>
  <c r="AC24" i="50"/>
  <c r="AD24" i="50" s="1"/>
  <c r="AD6" i="48"/>
  <c r="AC6" i="50"/>
  <c r="AD6" i="50" s="1"/>
  <c r="AD19" i="48"/>
  <c r="AC19" i="50"/>
  <c r="AD19" i="50" s="1"/>
  <c r="M34" i="48"/>
  <c r="P38" i="50"/>
  <c r="P37" i="50"/>
  <c r="P27" i="50"/>
  <c r="P10" i="50"/>
  <c r="P24" i="50"/>
  <c r="P48" i="50"/>
  <c r="W47" i="49"/>
  <c r="V47" i="63" s="1"/>
  <c r="V99" i="63" s="1"/>
  <c r="W47" i="50"/>
  <c r="W41" i="49"/>
  <c r="V41" i="63" s="1"/>
  <c r="V93" i="63" s="1"/>
  <c r="W41" i="50"/>
  <c r="W51" i="49"/>
  <c r="V51" i="63" s="1"/>
  <c r="V103" i="63" s="1"/>
  <c r="W51" i="50"/>
  <c r="W9" i="49"/>
  <c r="V9" i="63" s="1"/>
  <c r="V61" i="63" s="1"/>
  <c r="W9" i="50"/>
  <c r="W36" i="49"/>
  <c r="V36" i="63" s="1"/>
  <c r="V88" i="63" s="1"/>
  <c r="W36" i="50"/>
  <c r="W28" i="49"/>
  <c r="V28" i="63" s="1"/>
  <c r="V80" i="63" s="1"/>
  <c r="W28" i="50"/>
  <c r="M27" i="48"/>
  <c r="M23" i="48"/>
  <c r="U45" i="50"/>
  <c r="U23" i="50"/>
  <c r="U18" i="50"/>
  <c r="U50" i="50"/>
  <c r="U36" i="50"/>
  <c r="V54" i="49"/>
  <c r="V58" i="49" s="1"/>
  <c r="V54" i="50"/>
  <c r="V54" i="48"/>
  <c r="S46" i="54"/>
  <c r="S46" i="53"/>
  <c r="S46" i="52"/>
  <c r="S46" i="51"/>
  <c r="AI7" i="50"/>
  <c r="O42" i="50"/>
  <c r="Q47" i="49"/>
  <c r="Q47" i="63" s="1"/>
  <c r="Q99" i="63" s="1"/>
  <c r="Q47" i="50"/>
  <c r="Q7" i="50"/>
  <c r="X23" i="50"/>
  <c r="M22" i="50"/>
  <c r="L17" i="50"/>
  <c r="L15" i="49"/>
  <c r="L15" i="63" s="1"/>
  <c r="L67" i="63" s="1"/>
  <c r="L15" i="50"/>
  <c r="P21" i="53"/>
  <c r="P21" i="64" s="1"/>
  <c r="P64" i="64" s="1"/>
  <c r="P21" i="54"/>
  <c r="R10" i="50"/>
  <c r="AH27" i="50"/>
  <c r="AH28" i="50"/>
  <c r="AH15" i="50"/>
  <c r="AD33" i="48"/>
  <c r="AC33" i="50"/>
  <c r="AD33" i="50" s="1"/>
  <c r="AD17" i="48"/>
  <c r="AC17" i="50"/>
  <c r="AD17" i="50" s="1"/>
  <c r="P41" i="50"/>
  <c r="P11" i="50"/>
  <c r="P26" i="50"/>
  <c r="U34" i="50"/>
  <c r="L45" i="54"/>
  <c r="L45" i="53"/>
  <c r="L45" i="51"/>
  <c r="L45" i="52"/>
  <c r="U37" i="52"/>
  <c r="U12" i="52"/>
  <c r="U5" i="52"/>
  <c r="U16" i="52"/>
  <c r="U8" i="52"/>
  <c r="U6" i="52"/>
  <c r="U26" i="52"/>
  <c r="U18" i="52"/>
  <c r="U11" i="52"/>
  <c r="U10" i="52"/>
  <c r="U7" i="52"/>
  <c r="U9" i="52"/>
  <c r="U40" i="52"/>
  <c r="U20" i="52"/>
  <c r="U29" i="52"/>
  <c r="U31" i="52"/>
  <c r="U23" i="52"/>
  <c r="U15" i="52"/>
  <c r="U36" i="52"/>
  <c r="U34" i="52"/>
  <c r="U25" i="52"/>
  <c r="U27" i="52"/>
  <c r="U22" i="52"/>
  <c r="U33" i="52"/>
  <c r="U30" i="52"/>
  <c r="U24" i="52"/>
  <c r="U41" i="52"/>
  <c r="U38" i="52"/>
  <c r="U32" i="52"/>
  <c r="U21" i="52"/>
  <c r="U14" i="52"/>
  <c r="U28" i="52"/>
  <c r="U19" i="52"/>
  <c r="U35" i="52"/>
  <c r="U42" i="52"/>
  <c r="U17" i="52"/>
  <c r="U13" i="52"/>
  <c r="U39" i="52"/>
  <c r="AI29" i="50"/>
  <c r="AI15" i="50"/>
  <c r="AI14" i="50"/>
  <c r="AI37" i="50"/>
  <c r="AI40" i="50"/>
  <c r="AI39" i="50"/>
  <c r="M8" i="48"/>
  <c r="O36" i="50"/>
  <c r="O46" i="50"/>
  <c r="O26" i="50"/>
  <c r="O15" i="50"/>
  <c r="O11" i="50"/>
  <c r="M12" i="48"/>
  <c r="Q43" i="50"/>
  <c r="Q40" i="50"/>
  <c r="Q8" i="50"/>
  <c r="Q5" i="50"/>
  <c r="Q53" i="48"/>
  <c r="Q58" i="48" s="1"/>
  <c r="Q11" i="49" s="1"/>
  <c r="Q11" i="63" s="1"/>
  <c r="Q63" i="63" s="1"/>
  <c r="Q24" i="50"/>
  <c r="M18" i="48"/>
  <c r="X11" i="49"/>
  <c r="W11" i="63" s="1"/>
  <c r="W63" i="63" s="1"/>
  <c r="X11" i="50"/>
  <c r="X43" i="49"/>
  <c r="W43" i="63" s="1"/>
  <c r="W95" i="63" s="1"/>
  <c r="X43" i="50"/>
  <c r="X33" i="49"/>
  <c r="W33" i="63" s="1"/>
  <c r="W85" i="63" s="1"/>
  <c r="X33" i="50"/>
  <c r="X24" i="49"/>
  <c r="W24" i="63" s="1"/>
  <c r="W76" i="63" s="1"/>
  <c r="X24" i="50"/>
  <c r="X14" i="49"/>
  <c r="W14" i="63" s="1"/>
  <c r="W66" i="63" s="1"/>
  <c r="X14" i="50"/>
  <c r="X46" i="49"/>
  <c r="W46" i="63" s="1"/>
  <c r="W98" i="63" s="1"/>
  <c r="X46" i="50"/>
  <c r="M28" i="48"/>
  <c r="M21" i="48"/>
  <c r="L39" i="49"/>
  <c r="L39" i="63" s="1"/>
  <c r="L91" i="63" s="1"/>
  <c r="L39" i="50"/>
  <c r="L46" i="49"/>
  <c r="L46" i="63" s="1"/>
  <c r="L98" i="63" s="1"/>
  <c r="L46" i="50"/>
  <c r="L20" i="50"/>
  <c r="L48" i="49"/>
  <c r="L48" i="63" s="1"/>
  <c r="L100" i="63" s="1"/>
  <c r="L48" i="50"/>
  <c r="L26" i="49"/>
  <c r="L26" i="63" s="1"/>
  <c r="L78" i="63" s="1"/>
  <c r="L26" i="50"/>
  <c r="L13" i="49"/>
  <c r="L13" i="63" s="1"/>
  <c r="L65" i="63" s="1"/>
  <c r="L13" i="50"/>
  <c r="P19" i="53"/>
  <c r="P19" i="64" s="1"/>
  <c r="P62" i="64" s="1"/>
  <c r="P19" i="54"/>
  <c r="P34" i="53"/>
  <c r="P34" i="64" s="1"/>
  <c r="P77" i="64" s="1"/>
  <c r="P34" i="54"/>
  <c r="P24" i="53"/>
  <c r="P24" i="64" s="1"/>
  <c r="P67" i="64" s="1"/>
  <c r="P24" i="54"/>
  <c r="P38" i="53"/>
  <c r="P38" i="64" s="1"/>
  <c r="P81" i="64" s="1"/>
  <c r="P38" i="54"/>
  <c r="P18" i="53"/>
  <c r="P18" i="64" s="1"/>
  <c r="P61" i="64" s="1"/>
  <c r="P18" i="54"/>
  <c r="R51" i="50"/>
  <c r="R39" i="50"/>
  <c r="R24" i="50"/>
  <c r="R20" i="50"/>
  <c r="R13" i="50"/>
  <c r="R11" i="50"/>
  <c r="Y31" i="50"/>
  <c r="AH42" i="50"/>
  <c r="AH50" i="50"/>
  <c r="AH43" i="50"/>
  <c r="AH8" i="50"/>
  <c r="AH6" i="50"/>
  <c r="AH17" i="50"/>
  <c r="AD38" i="48"/>
  <c r="AC38" i="50"/>
  <c r="AD38" i="50" s="1"/>
  <c r="AD39" i="48"/>
  <c r="AC39" i="50"/>
  <c r="AD39" i="50" s="1"/>
  <c r="AD41" i="48"/>
  <c r="AC41" i="50"/>
  <c r="AD41" i="50" s="1"/>
  <c r="AD37" i="48"/>
  <c r="AC37" i="50"/>
  <c r="AD37" i="50" s="1"/>
  <c r="AD5" i="48"/>
  <c r="AC53" i="48"/>
  <c r="AC58" i="48" s="1"/>
  <c r="AC16" i="49" s="1"/>
  <c r="AD16" i="49" s="1"/>
  <c r="AC5" i="50"/>
  <c r="AD10" i="48"/>
  <c r="AC10" i="50"/>
  <c r="AD10" i="50" s="1"/>
  <c r="M43" i="48"/>
  <c r="P39" i="50"/>
  <c r="P35" i="50"/>
  <c r="P12" i="50"/>
  <c r="P15" i="50"/>
  <c r="P29" i="50"/>
  <c r="P5" i="49"/>
  <c r="P5" i="63" s="1"/>
  <c r="P57" i="63" s="1"/>
  <c r="P53" i="48"/>
  <c r="P58" i="48" s="1"/>
  <c r="P25" i="49" s="1"/>
  <c r="P25" i="63" s="1"/>
  <c r="P77" i="63" s="1"/>
  <c r="P5" i="50"/>
  <c r="W43" i="49"/>
  <c r="V43" i="63" s="1"/>
  <c r="V95" i="63" s="1"/>
  <c r="W43" i="50"/>
  <c r="W21" i="49"/>
  <c r="V21" i="63" s="1"/>
  <c r="V73" i="63" s="1"/>
  <c r="W21" i="50"/>
  <c r="W39" i="49"/>
  <c r="V39" i="63" s="1"/>
  <c r="V91" i="63" s="1"/>
  <c r="W39" i="50"/>
  <c r="W11" i="49"/>
  <c r="V11" i="63" s="1"/>
  <c r="V63" i="63" s="1"/>
  <c r="W11" i="50"/>
  <c r="W50" i="49"/>
  <c r="V50" i="63" s="1"/>
  <c r="V102" i="63" s="1"/>
  <c r="W50" i="50"/>
  <c r="W42" i="49"/>
  <c r="V42" i="63" s="1"/>
  <c r="V94" i="63" s="1"/>
  <c r="W42" i="50"/>
  <c r="R49" i="52"/>
  <c r="R48" i="52" s="1"/>
  <c r="M40" i="48"/>
  <c r="S53" i="48"/>
  <c r="U11" i="50"/>
  <c r="U25" i="50"/>
  <c r="U33" i="50"/>
  <c r="U22" i="50"/>
  <c r="U7" i="50"/>
  <c r="U40" i="50"/>
  <c r="M33" i="52"/>
  <c r="M5" i="52"/>
  <c r="M16" i="52"/>
  <c r="M8" i="52"/>
  <c r="M6" i="52"/>
  <c r="M25" i="52"/>
  <c r="M17" i="52"/>
  <c r="M9" i="52"/>
  <c r="M11" i="52"/>
  <c r="M10" i="52"/>
  <c r="M38" i="52"/>
  <c r="M7" i="52"/>
  <c r="M23" i="52"/>
  <c r="M35" i="52"/>
  <c r="M29" i="52"/>
  <c r="M14" i="52"/>
  <c r="M26" i="52"/>
  <c r="M39" i="52"/>
  <c r="M28" i="52"/>
  <c r="M34" i="52"/>
  <c r="M36" i="52"/>
  <c r="M13" i="52"/>
  <c r="M24" i="52"/>
  <c r="M41" i="52"/>
  <c r="M19" i="52"/>
  <c r="M12" i="52"/>
  <c r="M22" i="52"/>
  <c r="M32" i="52"/>
  <c r="M27" i="52"/>
  <c r="M15" i="52"/>
  <c r="M21" i="52"/>
  <c r="M30" i="52"/>
  <c r="M40" i="52"/>
  <c r="M42" i="52"/>
  <c r="M20" i="52"/>
  <c r="M18" i="52"/>
  <c r="M31" i="52"/>
  <c r="M37" i="52"/>
  <c r="O22" i="50"/>
  <c r="O12" i="50"/>
  <c r="Q26" i="50"/>
  <c r="X36" i="49"/>
  <c r="W36" i="63" s="1"/>
  <c r="W88" i="63" s="1"/>
  <c r="X36" i="50"/>
  <c r="P36" i="53"/>
  <c r="P36" i="64" s="1"/>
  <c r="P79" i="64" s="1"/>
  <c r="P36" i="54"/>
  <c r="R22" i="50"/>
  <c r="AH24" i="50"/>
  <c r="U5" i="50"/>
  <c r="U53" i="48"/>
  <c r="U58" i="48" s="1"/>
  <c r="U20" i="49" s="1"/>
  <c r="T20" i="63" s="1"/>
  <c r="T72" i="63" s="1"/>
  <c r="V51" i="48"/>
  <c r="V47" i="48"/>
  <c r="V43" i="48"/>
  <c r="V39" i="48"/>
  <c r="V35" i="48"/>
  <c r="V31" i="48"/>
  <c r="V27" i="48"/>
  <c r="V23" i="48"/>
  <c r="V19" i="48"/>
  <c r="V15" i="48"/>
  <c r="V11" i="48"/>
  <c r="AB11" i="48" s="1"/>
  <c r="V49" i="48"/>
  <c r="V45" i="48"/>
  <c r="V41" i="48"/>
  <c r="V37" i="48"/>
  <c r="V33" i="48"/>
  <c r="AB33" i="48" s="1"/>
  <c r="V29" i="48"/>
  <c r="V25" i="48"/>
  <c r="V21" i="48"/>
  <c r="V17" i="48"/>
  <c r="V13" i="48"/>
  <c r="V50" i="48"/>
  <c r="V46" i="48"/>
  <c r="V42" i="48"/>
  <c r="V38" i="48"/>
  <c r="V34" i="48"/>
  <c r="V30" i="48"/>
  <c r="V26" i="48"/>
  <c r="V18" i="48"/>
  <c r="V10" i="48"/>
  <c r="V6" i="48"/>
  <c r="V48" i="48"/>
  <c r="V28" i="48"/>
  <c r="V20" i="48"/>
  <c r="V12" i="48"/>
  <c r="V7" i="48"/>
  <c r="V32" i="48"/>
  <c r="V8" i="48"/>
  <c r="V36" i="48"/>
  <c r="V22" i="48"/>
  <c r="V14" i="48"/>
  <c r="V44" i="48"/>
  <c r="AB44" i="48" s="1"/>
  <c r="V40" i="48"/>
  <c r="V9" i="48"/>
  <c r="V24" i="48"/>
  <c r="V16" i="48"/>
  <c r="V5" i="48"/>
  <c r="Z38" i="52"/>
  <c r="Z13" i="52"/>
  <c r="Z5" i="52"/>
  <c r="Z6" i="52"/>
  <c r="Z25" i="52"/>
  <c r="Z17" i="52"/>
  <c r="Z9" i="52"/>
  <c r="Z7" i="52"/>
  <c r="Z16" i="52"/>
  <c r="Z8" i="52"/>
  <c r="Z10" i="52"/>
  <c r="Z28" i="52"/>
  <c r="Z20" i="52"/>
  <c r="Z11" i="52"/>
  <c r="Z22" i="52"/>
  <c r="Z31" i="52"/>
  <c r="Z21" i="52"/>
  <c r="Z34" i="52"/>
  <c r="Z33" i="52"/>
  <c r="Z19" i="52"/>
  <c r="Z29" i="52"/>
  <c r="Z42" i="52"/>
  <c r="Z41" i="52"/>
  <c r="Z26" i="52"/>
  <c r="Z32" i="52"/>
  <c r="Z36" i="52"/>
  <c r="Z14" i="52"/>
  <c r="Z40" i="52"/>
  <c r="Z35" i="52"/>
  <c r="Z12" i="52"/>
  <c r="Z23" i="52"/>
  <c r="Z18" i="52"/>
  <c r="Z24" i="52"/>
  <c r="Z15" i="52"/>
  <c r="Z39" i="52"/>
  <c r="Z27" i="52"/>
  <c r="Z37" i="52"/>
  <c r="Z30" i="52"/>
  <c r="AI5" i="50"/>
  <c r="AI53" i="48"/>
  <c r="AI58" i="48" s="1"/>
  <c r="AI12" i="49" s="1"/>
  <c r="AE12" i="63" s="1"/>
  <c r="AE64" i="63" s="1"/>
  <c r="AI23" i="50"/>
  <c r="AI18" i="50"/>
  <c r="AI32" i="50"/>
  <c r="AI50" i="50"/>
  <c r="AI36" i="50"/>
  <c r="AI24" i="50"/>
  <c r="O30" i="50"/>
  <c r="O32" i="50"/>
  <c r="O31" i="50"/>
  <c r="O48" i="50"/>
  <c r="O23" i="50"/>
  <c r="O19" i="50"/>
  <c r="Q41" i="50"/>
  <c r="Q31" i="50"/>
  <c r="Q44" i="50"/>
  <c r="Q14" i="50"/>
  <c r="Q10" i="50"/>
  <c r="Q34" i="49"/>
  <c r="Q34" i="63" s="1"/>
  <c r="Q86" i="63" s="1"/>
  <c r="Q34" i="50"/>
  <c r="M11" i="48"/>
  <c r="X15" i="49"/>
  <c r="W15" i="63" s="1"/>
  <c r="W67" i="63" s="1"/>
  <c r="X15" i="50"/>
  <c r="X47" i="49"/>
  <c r="W47" i="63" s="1"/>
  <c r="W99" i="63" s="1"/>
  <c r="X47" i="50"/>
  <c r="X37" i="49"/>
  <c r="W37" i="63" s="1"/>
  <c r="W89" i="63" s="1"/>
  <c r="X37" i="50"/>
  <c r="X28" i="49"/>
  <c r="W28" i="63" s="1"/>
  <c r="W80" i="63" s="1"/>
  <c r="X28" i="50"/>
  <c r="X18" i="49"/>
  <c r="W18" i="63" s="1"/>
  <c r="W70" i="63" s="1"/>
  <c r="X18" i="50"/>
  <c r="X50" i="49"/>
  <c r="W50" i="63" s="1"/>
  <c r="W102" i="63" s="1"/>
  <c r="X50" i="50"/>
  <c r="M19" i="48"/>
  <c r="M46" i="48"/>
  <c r="L30" i="49"/>
  <c r="L30" i="63" s="1"/>
  <c r="L82" i="63" s="1"/>
  <c r="L30" i="50"/>
  <c r="L49" i="49"/>
  <c r="L49" i="63" s="1"/>
  <c r="L101" i="63" s="1"/>
  <c r="L49" i="50"/>
  <c r="L25" i="49"/>
  <c r="L25" i="63" s="1"/>
  <c r="L77" i="63" s="1"/>
  <c r="L25" i="50"/>
  <c r="L12" i="49"/>
  <c r="L12" i="63" s="1"/>
  <c r="L64" i="63" s="1"/>
  <c r="L12" i="50"/>
  <c r="L9" i="49"/>
  <c r="L9" i="63" s="1"/>
  <c r="L61" i="63" s="1"/>
  <c r="L9" i="50"/>
  <c r="L21" i="49"/>
  <c r="L21" i="63" s="1"/>
  <c r="L73" i="63" s="1"/>
  <c r="L21" i="50"/>
  <c r="P31" i="53"/>
  <c r="P31" i="64" s="1"/>
  <c r="P74" i="64" s="1"/>
  <c r="P31" i="54"/>
  <c r="P40" i="53"/>
  <c r="P40" i="64" s="1"/>
  <c r="P83" i="64" s="1"/>
  <c r="P40" i="54"/>
  <c r="P29" i="53"/>
  <c r="P29" i="64" s="1"/>
  <c r="P72" i="64" s="1"/>
  <c r="P29" i="54"/>
  <c r="P42" i="53"/>
  <c r="P42" i="64" s="1"/>
  <c r="P85" i="64" s="1"/>
  <c r="P42" i="54"/>
  <c r="P26" i="53"/>
  <c r="P26" i="64" s="1"/>
  <c r="P69" i="64" s="1"/>
  <c r="P26" i="54"/>
  <c r="R43" i="50"/>
  <c r="R46" i="50"/>
  <c r="R40" i="50"/>
  <c r="R28" i="50"/>
  <c r="R17" i="50"/>
  <c r="R15" i="50"/>
  <c r="Y40" i="50"/>
  <c r="Y53" i="48"/>
  <c r="Y58" i="48" s="1"/>
  <c r="Y49" i="49" s="1"/>
  <c r="AH29" i="50"/>
  <c r="AH49" i="50"/>
  <c r="AH33" i="50"/>
  <c r="AH12" i="50"/>
  <c r="AH5" i="50"/>
  <c r="AH53" i="48"/>
  <c r="AH58" i="48" s="1"/>
  <c r="AH37" i="49" s="1"/>
  <c r="AD37" i="63" s="1"/>
  <c r="AD89" i="63" s="1"/>
  <c r="AH25" i="50"/>
  <c r="AD26" i="48"/>
  <c r="AC26" i="50"/>
  <c r="AD26" i="50" s="1"/>
  <c r="AD36" i="48"/>
  <c r="AC36" i="50"/>
  <c r="AD36" i="50" s="1"/>
  <c r="AD22" i="48"/>
  <c r="AC22" i="50"/>
  <c r="AD22" i="50" s="1"/>
  <c r="AD29" i="48"/>
  <c r="AC29" i="49"/>
  <c r="AD29" i="49" s="1"/>
  <c r="AC29" i="50"/>
  <c r="AD29" i="50" s="1"/>
  <c r="AD9" i="48"/>
  <c r="AC9" i="50"/>
  <c r="AD9" i="50" s="1"/>
  <c r="AD14" i="48"/>
  <c r="AC14" i="50"/>
  <c r="AD14" i="50" s="1"/>
  <c r="P30" i="49"/>
  <c r="P30" i="63" s="1"/>
  <c r="P82" i="63" s="1"/>
  <c r="P30" i="50"/>
  <c r="P42" i="49"/>
  <c r="P42" i="63" s="1"/>
  <c r="P94" i="63" s="1"/>
  <c r="P42" i="50"/>
  <c r="P17" i="49"/>
  <c r="P17" i="63" s="1"/>
  <c r="P69" i="63" s="1"/>
  <c r="P17" i="50"/>
  <c r="P18" i="49"/>
  <c r="P18" i="63" s="1"/>
  <c r="P70" i="63" s="1"/>
  <c r="P18" i="50"/>
  <c r="P34" i="49"/>
  <c r="P34" i="63" s="1"/>
  <c r="P86" i="63" s="1"/>
  <c r="P34" i="50"/>
  <c r="P9" i="49"/>
  <c r="P9" i="63" s="1"/>
  <c r="P61" i="63" s="1"/>
  <c r="P9" i="50"/>
  <c r="W31" i="49"/>
  <c r="V31" i="63" s="1"/>
  <c r="V83" i="63" s="1"/>
  <c r="W31" i="50"/>
  <c r="W34" i="49"/>
  <c r="V34" i="63" s="1"/>
  <c r="V86" i="63" s="1"/>
  <c r="W34" i="50"/>
  <c r="W46" i="49"/>
  <c r="V46" i="63" s="1"/>
  <c r="V98" i="63" s="1"/>
  <c r="W46" i="50"/>
  <c r="W19" i="49"/>
  <c r="V19" i="63" s="1"/>
  <c r="V71" i="63" s="1"/>
  <c r="W19" i="50"/>
  <c r="W17" i="49"/>
  <c r="V17" i="63" s="1"/>
  <c r="V69" i="63" s="1"/>
  <c r="W17" i="50"/>
  <c r="W48" i="49"/>
  <c r="V48" i="63" s="1"/>
  <c r="V100" i="63" s="1"/>
  <c r="W48" i="50"/>
  <c r="M41" i="48"/>
  <c r="U19" i="49"/>
  <c r="T19" i="63" s="1"/>
  <c r="T71" i="63" s="1"/>
  <c r="U19" i="50"/>
  <c r="AB19" i="48"/>
  <c r="U41" i="50"/>
  <c r="AB29" i="48"/>
  <c r="U29" i="50"/>
  <c r="U26" i="50"/>
  <c r="AB12" i="48"/>
  <c r="U12" i="50"/>
  <c r="U44" i="50"/>
  <c r="V31" i="52"/>
  <c r="V23" i="52"/>
  <c r="V7" i="52"/>
  <c r="V16" i="52"/>
  <c r="V8" i="52"/>
  <c r="V11" i="52"/>
  <c r="V9" i="52"/>
  <c r="V28" i="52"/>
  <c r="V20" i="52"/>
  <c r="V21" i="52"/>
  <c r="V13" i="52"/>
  <c r="V5" i="52"/>
  <c r="V29" i="52"/>
  <c r="V22" i="52"/>
  <c r="V14" i="52"/>
  <c r="V6" i="52"/>
  <c r="V10" i="52"/>
  <c r="V15" i="52"/>
  <c r="V27" i="52"/>
  <c r="V32" i="52"/>
  <c r="V42" i="52"/>
  <c r="V17" i="52"/>
  <c r="V40" i="52"/>
  <c r="V18" i="52"/>
  <c r="V30" i="52"/>
  <c r="V38" i="52"/>
  <c r="V25" i="52"/>
  <c r="V37" i="52"/>
  <c r="V41" i="52"/>
  <c r="V36" i="52"/>
  <c r="V12" i="52"/>
  <c r="V19" i="52"/>
  <c r="V33" i="52"/>
  <c r="V35" i="52"/>
  <c r="V34" i="52"/>
  <c r="V26" i="52"/>
  <c r="V39" i="52"/>
  <c r="V24" i="52"/>
  <c r="AI11" i="50"/>
  <c r="AI33" i="50"/>
  <c r="AI6" i="50"/>
  <c r="AI42" i="50"/>
  <c r="AI28" i="50"/>
  <c r="O34" i="50"/>
  <c r="O35" i="50"/>
  <c r="O45" i="50"/>
  <c r="O51" i="50"/>
  <c r="O49" i="50"/>
  <c r="O10" i="50"/>
  <c r="Q17" i="50"/>
  <c r="Q25" i="50"/>
  <c r="Q32" i="50"/>
  <c r="Q22" i="49"/>
  <c r="Q22" i="63" s="1"/>
  <c r="Q74" i="63" s="1"/>
  <c r="Q22" i="50"/>
  <c r="Q18" i="50"/>
  <c r="Q15" i="50"/>
  <c r="M20" i="50"/>
  <c r="X19" i="49"/>
  <c r="W19" i="63" s="1"/>
  <c r="W71" i="63" s="1"/>
  <c r="X19" i="50"/>
  <c r="X51" i="49"/>
  <c r="W51" i="63" s="1"/>
  <c r="W103" i="63" s="1"/>
  <c r="X51" i="50"/>
  <c r="X41" i="49"/>
  <c r="W41" i="63" s="1"/>
  <c r="W93" i="63" s="1"/>
  <c r="X41" i="50"/>
  <c r="X32" i="49"/>
  <c r="W32" i="63" s="1"/>
  <c r="W84" i="63" s="1"/>
  <c r="X32" i="50"/>
  <c r="X22" i="49"/>
  <c r="W22" i="63" s="1"/>
  <c r="W74" i="63" s="1"/>
  <c r="X22" i="50"/>
  <c r="M38" i="50"/>
  <c r="M29" i="50"/>
  <c r="L43" i="49"/>
  <c r="L43" i="63" s="1"/>
  <c r="L95" i="63" s="1"/>
  <c r="L43" i="50"/>
  <c r="L19" i="49"/>
  <c r="L19" i="63" s="1"/>
  <c r="L71" i="63" s="1"/>
  <c r="L19" i="50"/>
  <c r="L44" i="49"/>
  <c r="L44" i="63" s="1"/>
  <c r="L96" i="63" s="1"/>
  <c r="L44" i="50"/>
  <c r="L38" i="49"/>
  <c r="L38" i="63" s="1"/>
  <c r="L90" i="63" s="1"/>
  <c r="L38" i="50"/>
  <c r="L16" i="49"/>
  <c r="L16" i="63" s="1"/>
  <c r="L68" i="63" s="1"/>
  <c r="L16" i="50"/>
  <c r="L29" i="49"/>
  <c r="L29" i="63" s="1"/>
  <c r="L81" i="63" s="1"/>
  <c r="L29" i="50"/>
  <c r="P15" i="53"/>
  <c r="P15" i="64" s="1"/>
  <c r="P58" i="64" s="1"/>
  <c r="P15" i="54"/>
  <c r="P25" i="53"/>
  <c r="P25" i="64" s="1"/>
  <c r="P68" i="64" s="1"/>
  <c r="P25" i="54"/>
  <c r="P23" i="53"/>
  <c r="P23" i="64" s="1"/>
  <c r="P66" i="64" s="1"/>
  <c r="P23" i="54"/>
  <c r="P8" i="53"/>
  <c r="P8" i="64" s="1"/>
  <c r="P51" i="64" s="1"/>
  <c r="P8" i="54"/>
  <c r="P7" i="53"/>
  <c r="P7" i="64" s="1"/>
  <c r="P50" i="64" s="1"/>
  <c r="P7" i="54"/>
  <c r="R34" i="50"/>
  <c r="R45" i="50"/>
  <c r="R14" i="50"/>
  <c r="R5" i="50"/>
  <c r="R53" i="48"/>
  <c r="R21" i="50"/>
  <c r="R19" i="50"/>
  <c r="Y45" i="50"/>
  <c r="Y9" i="50"/>
  <c r="AH35" i="50"/>
  <c r="AH34" i="50"/>
  <c r="AH21" i="50"/>
  <c r="AH20" i="50"/>
  <c r="AH16" i="50"/>
  <c r="AH11" i="49"/>
  <c r="AD11" i="63" s="1"/>
  <c r="AD63" i="63" s="1"/>
  <c r="AH11" i="50"/>
  <c r="AD40" i="48"/>
  <c r="AC40" i="50"/>
  <c r="AD40" i="50" s="1"/>
  <c r="AD43" i="48"/>
  <c r="AC43" i="50"/>
  <c r="AD43" i="50" s="1"/>
  <c r="AD27" i="48"/>
  <c r="AC27" i="49"/>
  <c r="AD27" i="49" s="1"/>
  <c r="AC27" i="50"/>
  <c r="AD27" i="50" s="1"/>
  <c r="AD30" i="48"/>
  <c r="AC30" i="50"/>
  <c r="AD30" i="50" s="1"/>
  <c r="AD13" i="48"/>
  <c r="AC13" i="50"/>
  <c r="AD13" i="50" s="1"/>
  <c r="AD18" i="48"/>
  <c r="AC18" i="49"/>
  <c r="AD18" i="49" s="1"/>
  <c r="AC18" i="50"/>
  <c r="AD18" i="50" s="1"/>
  <c r="P51" i="49"/>
  <c r="P51" i="63" s="1"/>
  <c r="P103" i="63" s="1"/>
  <c r="P51" i="50"/>
  <c r="P8" i="49"/>
  <c r="P8" i="63" s="1"/>
  <c r="P60" i="63" s="1"/>
  <c r="P8" i="50"/>
  <c r="P20" i="50"/>
  <c r="P23" i="49"/>
  <c r="P23" i="50"/>
  <c r="P7" i="49"/>
  <c r="P7" i="63" s="1"/>
  <c r="P59" i="63" s="1"/>
  <c r="P7" i="50"/>
  <c r="M6" i="48"/>
  <c r="M16" i="48"/>
  <c r="M9" i="48"/>
  <c r="M10" i="48"/>
  <c r="M5" i="48"/>
  <c r="M15" i="48"/>
  <c r="W38" i="49"/>
  <c r="V38" i="63" s="1"/>
  <c r="V90" i="63" s="1"/>
  <c r="W38" i="50"/>
  <c r="W33" i="49"/>
  <c r="V33" i="63" s="1"/>
  <c r="V85" i="63" s="1"/>
  <c r="W33" i="50"/>
  <c r="W10" i="49"/>
  <c r="V10" i="63" s="1"/>
  <c r="V62" i="63" s="1"/>
  <c r="W10" i="50"/>
  <c r="W27" i="49"/>
  <c r="V27" i="63" s="1"/>
  <c r="V79" i="63" s="1"/>
  <c r="W27" i="50"/>
  <c r="W25" i="49"/>
  <c r="V25" i="63" s="1"/>
  <c r="V77" i="63" s="1"/>
  <c r="W25" i="50"/>
  <c r="W15" i="49"/>
  <c r="V15" i="63" s="1"/>
  <c r="V67" i="63" s="1"/>
  <c r="W15" i="50"/>
  <c r="M45" i="48"/>
  <c r="U27" i="49"/>
  <c r="T27" i="63" s="1"/>
  <c r="T79" i="63" s="1"/>
  <c r="AB27" i="48"/>
  <c r="U27" i="50"/>
  <c r="U43" i="49"/>
  <c r="T43" i="63" s="1"/>
  <c r="T95" i="63" s="1"/>
  <c r="AB43" i="48"/>
  <c r="U43" i="50"/>
  <c r="U47" i="49"/>
  <c r="T47" i="63" s="1"/>
  <c r="T99" i="63" s="1"/>
  <c r="U47" i="50"/>
  <c r="AB47" i="48"/>
  <c r="AB30" i="48"/>
  <c r="U30" i="49"/>
  <c r="T30" i="63" s="1"/>
  <c r="T82" i="63" s="1"/>
  <c r="U30" i="50"/>
  <c r="U16" i="49"/>
  <c r="T16" i="63" s="1"/>
  <c r="T68" i="63" s="1"/>
  <c r="U16" i="50"/>
  <c r="AB48" i="48"/>
  <c r="U48" i="50"/>
  <c r="D4" i="5"/>
  <c r="N56" i="47" s="1"/>
  <c r="D35" i="5"/>
  <c r="X10" i="65" l="1"/>
  <c r="F9" i="66"/>
  <c r="F15" i="66" s="1"/>
  <c r="F11" i="66"/>
  <c r="F7" i="66"/>
  <c r="AC43" i="49"/>
  <c r="AH20" i="49"/>
  <c r="AD20" i="63" s="1"/>
  <c r="AD72" i="63" s="1"/>
  <c r="AC14" i="49"/>
  <c r="AC22" i="49"/>
  <c r="AH25" i="49"/>
  <c r="AD25" i="63" s="1"/>
  <c r="AD77" i="63" s="1"/>
  <c r="AB28" i="48"/>
  <c r="AB38" i="48"/>
  <c r="AB51" i="48"/>
  <c r="AC38" i="49"/>
  <c r="AH50" i="49"/>
  <c r="AD50" i="63" s="1"/>
  <c r="AD102" i="63" s="1"/>
  <c r="AA27" i="63"/>
  <c r="AA79" i="63" s="1"/>
  <c r="AA29" i="63"/>
  <c r="AA81" i="63" s="1"/>
  <c r="AB23" i="48"/>
  <c r="AC30" i="49"/>
  <c r="AH21" i="49"/>
  <c r="AD21" i="63" s="1"/>
  <c r="AD73" i="63" s="1"/>
  <c r="AI6" i="49"/>
  <c r="AE6" i="63" s="1"/>
  <c r="AE58" i="63" s="1"/>
  <c r="AB36" i="48"/>
  <c r="AB6" i="48"/>
  <c r="AB46" i="48"/>
  <c r="AB37" i="48"/>
  <c r="Q26" i="49"/>
  <c r="Q26" i="63" s="1"/>
  <c r="Q78" i="63" s="1"/>
  <c r="L47" i="49"/>
  <c r="L47" i="63" s="1"/>
  <c r="L99" i="63" s="1"/>
  <c r="AC36" i="49"/>
  <c r="AH5" i="49"/>
  <c r="AD5" i="63" s="1"/>
  <c r="AD57" i="63" s="1"/>
  <c r="AI5" i="49"/>
  <c r="AE5" i="63" s="1"/>
  <c r="AE57" i="63" s="1"/>
  <c r="AB16" i="48"/>
  <c r="AB10" i="48"/>
  <c r="AB31" i="48"/>
  <c r="AH17" i="49"/>
  <c r="AD17" i="63" s="1"/>
  <c r="AD69" i="63" s="1"/>
  <c r="AC35" i="49"/>
  <c r="AC15" i="49"/>
  <c r="W7" i="49"/>
  <c r="V7" i="63" s="1"/>
  <c r="V59" i="63" s="1"/>
  <c r="O9" i="65"/>
  <c r="O15" i="65" s="1"/>
  <c r="O11" i="65"/>
  <c r="O7" i="65"/>
  <c r="O13" i="65" s="1"/>
  <c r="AH34" i="49"/>
  <c r="AD34" i="63" s="1"/>
  <c r="AD86" i="63" s="1"/>
  <c r="AB45" i="48"/>
  <c r="AB18" i="48"/>
  <c r="L33" i="49"/>
  <c r="L33" i="63" s="1"/>
  <c r="L85" i="63" s="1"/>
  <c r="W13" i="49"/>
  <c r="V13" i="63" s="1"/>
  <c r="V65" i="63" s="1"/>
  <c r="AB26" i="48"/>
  <c r="AB49" i="48"/>
  <c r="AA16" i="63"/>
  <c r="AA68" i="63" s="1"/>
  <c r="AH33" i="49"/>
  <c r="AD33" i="63" s="1"/>
  <c r="AD85" i="63" s="1"/>
  <c r="AB40" i="48"/>
  <c r="AB21" i="48"/>
  <c r="AB22" i="48"/>
  <c r="P13" i="65"/>
  <c r="AA18" i="63"/>
  <c r="AA70" i="63" s="1"/>
  <c r="F13" i="66"/>
  <c r="P14" i="65"/>
  <c r="P15" i="65"/>
  <c r="Y30" i="50"/>
  <c r="O25" i="49"/>
  <c r="O25" i="63" s="1"/>
  <c r="O77" i="63" s="1"/>
  <c r="U48" i="49"/>
  <c r="T48" i="63" s="1"/>
  <c r="T100" i="63" s="1"/>
  <c r="P20" i="49"/>
  <c r="P20" i="63" s="1"/>
  <c r="P72" i="63" s="1"/>
  <c r="AH16" i="49"/>
  <c r="AD16" i="63" s="1"/>
  <c r="AD68" i="63" s="1"/>
  <c r="AH35" i="49"/>
  <c r="AD35" i="63" s="1"/>
  <c r="AD87" i="63" s="1"/>
  <c r="Q32" i="49"/>
  <c r="Q32" i="63" s="1"/>
  <c r="Q84" i="63" s="1"/>
  <c r="O49" i="49"/>
  <c r="O49" i="63" s="1"/>
  <c r="O101" i="63" s="1"/>
  <c r="O34" i="49"/>
  <c r="O34" i="63" s="1"/>
  <c r="O86" i="63" s="1"/>
  <c r="AI11" i="49"/>
  <c r="AE11" i="63" s="1"/>
  <c r="AE63" i="63" s="1"/>
  <c r="U44" i="49"/>
  <c r="T44" i="63" s="1"/>
  <c r="T96" i="63" s="1"/>
  <c r="U29" i="49"/>
  <c r="T29" i="63" s="1"/>
  <c r="T81" i="63" s="1"/>
  <c r="Y34" i="50"/>
  <c r="Q10" i="49"/>
  <c r="Q10" i="63" s="1"/>
  <c r="Q62" i="63" s="1"/>
  <c r="Q41" i="49"/>
  <c r="Q41" i="63" s="1"/>
  <c r="Q93" i="63" s="1"/>
  <c r="O31" i="49"/>
  <c r="O31" i="63" s="1"/>
  <c r="O83" i="63" s="1"/>
  <c r="AH24" i="49"/>
  <c r="AD24" i="63" s="1"/>
  <c r="AD76" i="63" s="1"/>
  <c r="AC10" i="49"/>
  <c r="Y25" i="50"/>
  <c r="Q24" i="49"/>
  <c r="Q24" i="63" s="1"/>
  <c r="Q76" i="63" s="1"/>
  <c r="O46" i="49"/>
  <c r="O46" i="63" s="1"/>
  <c r="O98" i="63" s="1"/>
  <c r="AH27" i="49"/>
  <c r="AD27" i="63" s="1"/>
  <c r="AD79" i="63" s="1"/>
  <c r="L17" i="49"/>
  <c r="L22" i="49"/>
  <c r="L22" i="63" s="1"/>
  <c r="L74" i="63" s="1"/>
  <c r="L11" i="49"/>
  <c r="L11" i="63" s="1"/>
  <c r="L63" i="63" s="1"/>
  <c r="O33" i="49"/>
  <c r="O33" i="63" s="1"/>
  <c r="O85" i="63" s="1"/>
  <c r="L37" i="49"/>
  <c r="L37" i="63" s="1"/>
  <c r="L89" i="63" s="1"/>
  <c r="X48" i="49"/>
  <c r="W48" i="63" s="1"/>
  <c r="W100" i="63" s="1"/>
  <c r="X8" i="49"/>
  <c r="W8" i="63" s="1"/>
  <c r="W60" i="63" s="1"/>
  <c r="O14" i="49"/>
  <c r="O14" i="63" s="1"/>
  <c r="O66" i="63" s="1"/>
  <c r="AH48" i="49"/>
  <c r="AD48" i="63" s="1"/>
  <c r="AD100" i="63" s="1"/>
  <c r="L50" i="49"/>
  <c r="L50" i="63" s="1"/>
  <c r="L102" i="63" s="1"/>
  <c r="X34" i="49"/>
  <c r="W34" i="63" s="1"/>
  <c r="W86" i="63" s="1"/>
  <c r="X31" i="49"/>
  <c r="W31" i="63" s="1"/>
  <c r="W83" i="63" s="1"/>
  <c r="W40" i="49"/>
  <c r="V40" i="63" s="1"/>
  <c r="V92" i="63" s="1"/>
  <c r="AH19" i="49"/>
  <c r="AD19" i="63" s="1"/>
  <c r="AD71" i="63" s="1"/>
  <c r="L23" i="49"/>
  <c r="L23" i="63" s="1"/>
  <c r="L75" i="63" s="1"/>
  <c r="L41" i="49"/>
  <c r="L41" i="63" s="1"/>
  <c r="L93" i="63" s="1"/>
  <c r="X30" i="49"/>
  <c r="W30" i="63" s="1"/>
  <c r="W82" i="63" s="1"/>
  <c r="X27" i="49"/>
  <c r="W27" i="63" s="1"/>
  <c r="W79" i="63" s="1"/>
  <c r="L45" i="49"/>
  <c r="L45" i="63" s="1"/>
  <c r="L97" i="63" s="1"/>
  <c r="O18" i="49"/>
  <c r="O18" i="63" s="1"/>
  <c r="O70" i="63" s="1"/>
  <c r="Y6" i="50"/>
  <c r="O12" i="49"/>
  <c r="O12" i="63" s="1"/>
  <c r="O64" i="63" s="1"/>
  <c r="Y18" i="50"/>
  <c r="O42" i="49"/>
  <c r="O42" i="63" s="1"/>
  <c r="O94" i="63" s="1"/>
  <c r="O8" i="49"/>
  <c r="O8" i="63" s="1"/>
  <c r="O60" i="63" s="1"/>
  <c r="O5" i="49"/>
  <c r="O5" i="63" s="1"/>
  <c r="O57" i="63" s="1"/>
  <c r="Q19" i="49"/>
  <c r="Q19" i="63" s="1"/>
  <c r="Q71" i="63" s="1"/>
  <c r="U51" i="49"/>
  <c r="T51" i="63" s="1"/>
  <c r="T103" i="63" s="1"/>
  <c r="AI30" i="49"/>
  <c r="AE30" i="63" s="1"/>
  <c r="AE82" i="63" s="1"/>
  <c r="Y27" i="50"/>
  <c r="Y39" i="50"/>
  <c r="R53" i="50"/>
  <c r="Q15" i="49"/>
  <c r="Q15" i="63" s="1"/>
  <c r="Q67" i="63" s="1"/>
  <c r="Q25" i="49"/>
  <c r="Q25" i="63" s="1"/>
  <c r="Q77" i="63" s="1"/>
  <c r="O51" i="49"/>
  <c r="O51" i="63" s="1"/>
  <c r="O103" i="63" s="1"/>
  <c r="AI28" i="49"/>
  <c r="AE28" i="63" s="1"/>
  <c r="AE80" i="63" s="1"/>
  <c r="AH29" i="49"/>
  <c r="AD29" i="63" s="1"/>
  <c r="AD81" i="63" s="1"/>
  <c r="Q14" i="49"/>
  <c r="Q14" i="63" s="1"/>
  <c r="Q66" i="63" s="1"/>
  <c r="O19" i="49"/>
  <c r="O19" i="63" s="1"/>
  <c r="O71" i="63" s="1"/>
  <c r="O32" i="49"/>
  <c r="O32" i="63" s="1"/>
  <c r="O84" i="63" s="1"/>
  <c r="U33" i="49"/>
  <c r="T33" i="63" s="1"/>
  <c r="T85" i="63" s="1"/>
  <c r="Y21" i="50"/>
  <c r="O11" i="49"/>
  <c r="O11" i="63" s="1"/>
  <c r="O63" i="63" s="1"/>
  <c r="O36" i="49"/>
  <c r="O36" i="63" s="1"/>
  <c r="O88" i="63" s="1"/>
  <c r="Y46" i="50"/>
  <c r="L18" i="49"/>
  <c r="L18" i="63" s="1"/>
  <c r="L70" i="63" s="1"/>
  <c r="L51" i="49"/>
  <c r="L51" i="63" s="1"/>
  <c r="L103" i="63" s="1"/>
  <c r="X45" i="49"/>
  <c r="W45" i="63" s="1"/>
  <c r="W97" i="63" s="1"/>
  <c r="AH31" i="49"/>
  <c r="AD31" i="63" s="1"/>
  <c r="AD83" i="63" s="1"/>
  <c r="L14" i="49"/>
  <c r="L14" i="63" s="1"/>
  <c r="L66" i="63" s="1"/>
  <c r="L35" i="49"/>
  <c r="L35" i="63" s="1"/>
  <c r="L87" i="63" s="1"/>
  <c r="X16" i="49"/>
  <c r="W16" i="63" s="1"/>
  <c r="W68" i="63" s="1"/>
  <c r="L36" i="49"/>
  <c r="L36" i="63" s="1"/>
  <c r="L88" i="63" s="1"/>
  <c r="X44" i="49"/>
  <c r="W44" i="63" s="1"/>
  <c r="W96" i="63" s="1"/>
  <c r="X9" i="49"/>
  <c r="W9" i="63" s="1"/>
  <c r="W61" i="63" s="1"/>
  <c r="AI21" i="49"/>
  <c r="AE21" i="63" s="1"/>
  <c r="AE73" i="63" s="1"/>
  <c r="AC45" i="49"/>
  <c r="L34" i="49"/>
  <c r="L34" i="63" s="1"/>
  <c r="L86" i="63" s="1"/>
  <c r="L7" i="49"/>
  <c r="L7" i="63" s="1"/>
  <c r="L59" i="63" s="1"/>
  <c r="X40" i="49"/>
  <c r="W40" i="63" s="1"/>
  <c r="W92" i="63" s="1"/>
  <c r="X26" i="49"/>
  <c r="W26" i="63" s="1"/>
  <c r="W78" i="63" s="1"/>
  <c r="Y41" i="50"/>
  <c r="U12" i="49"/>
  <c r="T12" i="63" s="1"/>
  <c r="T64" i="63" s="1"/>
  <c r="U41" i="49"/>
  <c r="T41" i="63" s="1"/>
  <c r="T93" i="63" s="1"/>
  <c r="AI18" i="49"/>
  <c r="AE18" i="63" s="1"/>
  <c r="AE70" i="63" s="1"/>
  <c r="O22" i="49"/>
  <c r="O22" i="63" s="1"/>
  <c r="O74" i="63" s="1"/>
  <c r="Y33" i="50"/>
  <c r="L20" i="49"/>
  <c r="L20" i="63" s="1"/>
  <c r="L72" i="63" s="1"/>
  <c r="Q5" i="49"/>
  <c r="Q5" i="63" s="1"/>
  <c r="Q57" i="63" s="1"/>
  <c r="X23" i="49"/>
  <c r="W23" i="63" s="1"/>
  <c r="W75" i="63" s="1"/>
  <c r="P27" i="49"/>
  <c r="Y7" i="50"/>
  <c r="X29" i="49"/>
  <c r="W29" i="63" s="1"/>
  <c r="W81" i="63" s="1"/>
  <c r="O41" i="49"/>
  <c r="O41" i="63" s="1"/>
  <c r="O93" i="63" s="1"/>
  <c r="O6" i="49"/>
  <c r="O6" i="63" s="1"/>
  <c r="O58" i="63" s="1"/>
  <c r="Y22" i="50"/>
  <c r="L8" i="49"/>
  <c r="L8" i="63" s="1"/>
  <c r="L60" i="63" s="1"/>
  <c r="O40" i="49"/>
  <c r="O40" i="63" s="1"/>
  <c r="O92" i="63" s="1"/>
  <c r="Y14" i="50"/>
  <c r="Q18" i="49"/>
  <c r="Q18" i="63" s="1"/>
  <c r="Q70" i="63" s="1"/>
  <c r="Q17" i="49"/>
  <c r="Q17" i="63" s="1"/>
  <c r="Q69" i="63" s="1"/>
  <c r="O45" i="49"/>
  <c r="O45" i="63" s="1"/>
  <c r="O97" i="63" s="1"/>
  <c r="Y5" i="50"/>
  <c r="Q44" i="49"/>
  <c r="Q44" i="63" s="1"/>
  <c r="Q96" i="63" s="1"/>
  <c r="O23" i="49"/>
  <c r="O23" i="63" s="1"/>
  <c r="O75" i="63" s="1"/>
  <c r="O30" i="49"/>
  <c r="O30" i="63" s="1"/>
  <c r="O82" i="63" s="1"/>
  <c r="U40" i="49"/>
  <c r="T40" i="63" s="1"/>
  <c r="T92" i="63" s="1"/>
  <c r="P35" i="49"/>
  <c r="P35" i="63" s="1"/>
  <c r="P87" i="63" s="1"/>
  <c r="O15" i="49"/>
  <c r="O15" i="63" s="1"/>
  <c r="O67" i="63" s="1"/>
  <c r="Y17" i="50"/>
  <c r="U15" i="49"/>
  <c r="T15" i="63" s="1"/>
  <c r="T67" i="63" s="1"/>
  <c r="L10" i="49"/>
  <c r="L10" i="63" s="1"/>
  <c r="L62" i="63" s="1"/>
  <c r="AC11" i="49"/>
  <c r="L42" i="49"/>
  <c r="L42" i="63" s="1"/>
  <c r="L94" i="63" s="1"/>
  <c r="X12" i="49"/>
  <c r="Q13" i="49"/>
  <c r="Q13" i="63" s="1"/>
  <c r="Q65" i="63" s="1"/>
  <c r="L28" i="49"/>
  <c r="L28" i="63" s="1"/>
  <c r="L80" i="63" s="1"/>
  <c r="X49" i="49"/>
  <c r="W49" i="63" s="1"/>
  <c r="W101" i="63" s="1"/>
  <c r="X13" i="49"/>
  <c r="W13" i="63" s="1"/>
  <c r="W65" i="63" s="1"/>
  <c r="Y35" i="50"/>
  <c r="Q7" i="49"/>
  <c r="Q7" i="63" s="1"/>
  <c r="Q59" i="63" s="1"/>
  <c r="Y19" i="50"/>
  <c r="AH9" i="49"/>
  <c r="AD9" i="63" s="1"/>
  <c r="AD61" i="63" s="1"/>
  <c r="AH39" i="49"/>
  <c r="AD39" i="63" s="1"/>
  <c r="AD91" i="63" s="1"/>
  <c r="O21" i="49"/>
  <c r="O21" i="63" s="1"/>
  <c r="O73" i="63" s="1"/>
  <c r="AI44" i="49"/>
  <c r="AE44" i="63" s="1"/>
  <c r="AE96" i="63" s="1"/>
  <c r="AH46" i="49"/>
  <c r="AD46" i="63" s="1"/>
  <c r="AD98" i="63" s="1"/>
  <c r="Y10" i="50"/>
  <c r="O10" i="49"/>
  <c r="O10" i="63" s="1"/>
  <c r="O62" i="63" s="1"/>
  <c r="O35" i="49"/>
  <c r="O35" i="63" s="1"/>
  <c r="O87" i="63" s="1"/>
  <c r="Y32" i="50"/>
  <c r="Q31" i="49"/>
  <c r="Q31" i="63" s="1"/>
  <c r="Q83" i="63" s="1"/>
  <c r="O48" i="49"/>
  <c r="O48" i="63" s="1"/>
  <c r="O100" i="63" s="1"/>
  <c r="AI24" i="49"/>
  <c r="AE24" i="63" s="1"/>
  <c r="AE76" i="63" s="1"/>
  <c r="Y50" i="50"/>
  <c r="Q40" i="49"/>
  <c r="Q40" i="63" s="1"/>
  <c r="Q92" i="63" s="1"/>
  <c r="O26" i="49"/>
  <c r="O26" i="63" s="1"/>
  <c r="O78" i="63" s="1"/>
  <c r="P26" i="49"/>
  <c r="Y13" i="50"/>
  <c r="O50" i="49"/>
  <c r="O50" i="63" s="1"/>
  <c r="O102" i="63" s="1"/>
  <c r="Q36" i="49"/>
  <c r="Q36" i="63" s="1"/>
  <c r="Q88" i="63" s="1"/>
  <c r="L32" i="49"/>
  <c r="L32" i="63" s="1"/>
  <c r="L84" i="63" s="1"/>
  <c r="L5" i="49"/>
  <c r="L5" i="63" s="1"/>
  <c r="L57" i="63" s="1"/>
  <c r="X21" i="49"/>
  <c r="W21" i="63" s="1"/>
  <c r="W73" i="63" s="1"/>
  <c r="L40" i="49"/>
  <c r="L40" i="63" s="1"/>
  <c r="L92" i="63" s="1"/>
  <c r="X17" i="49"/>
  <c r="W17" i="63" s="1"/>
  <c r="W69" i="63" s="1"/>
  <c r="L6" i="49"/>
  <c r="L6" i="63" s="1"/>
  <c r="L58" i="63" s="1"/>
  <c r="Q23" i="49"/>
  <c r="Q23" i="63" s="1"/>
  <c r="Q75" i="63" s="1"/>
  <c r="M9" i="50"/>
  <c r="V22" i="53"/>
  <c r="T22" i="64" s="1"/>
  <c r="T65" i="64" s="1"/>
  <c r="V22" i="54"/>
  <c r="M41" i="50"/>
  <c r="AA22" i="52"/>
  <c r="Z22" i="53"/>
  <c r="AA22" i="53" s="1"/>
  <c r="Z22" i="54"/>
  <c r="AA22" i="54" s="1"/>
  <c r="V41" i="50"/>
  <c r="M14" i="53"/>
  <c r="M14" i="64" s="1"/>
  <c r="M57" i="64" s="1"/>
  <c r="M14" i="54"/>
  <c r="M21" i="50"/>
  <c r="W39" i="52"/>
  <c r="T39" i="53"/>
  <c r="R39" i="64" s="1"/>
  <c r="R82" i="64" s="1"/>
  <c r="T39" i="54"/>
  <c r="R23" i="53"/>
  <c r="S23" i="53" s="1"/>
  <c r="S23" i="52"/>
  <c r="R23" i="54"/>
  <c r="S23" i="54" s="1"/>
  <c r="M36" i="50"/>
  <c r="L53" i="50"/>
  <c r="O35" i="53"/>
  <c r="O35" i="64" s="1"/>
  <c r="O78" i="64" s="1"/>
  <c r="O35" i="54"/>
  <c r="O9" i="53"/>
  <c r="O9" i="64" s="1"/>
  <c r="O52" i="64" s="1"/>
  <c r="O9" i="54"/>
  <c r="O29" i="53"/>
  <c r="O29" i="64" s="1"/>
  <c r="O72" i="64" s="1"/>
  <c r="O29" i="54"/>
  <c r="Y20" i="49"/>
  <c r="M47" i="50"/>
  <c r="Y43" i="49"/>
  <c r="X43" i="63" s="1"/>
  <c r="X95" i="63" s="1"/>
  <c r="F30" i="5"/>
  <c r="M16" i="50"/>
  <c r="P53" i="50"/>
  <c r="AC13" i="49"/>
  <c r="AI42" i="49"/>
  <c r="AE42" i="63" s="1"/>
  <c r="AE94" i="63" s="1"/>
  <c r="V39" i="53"/>
  <c r="T39" i="64" s="1"/>
  <c r="T82" i="64" s="1"/>
  <c r="V39" i="54"/>
  <c r="V41" i="53"/>
  <c r="T41" i="64" s="1"/>
  <c r="T84" i="64" s="1"/>
  <c r="V41" i="54"/>
  <c r="V42" i="53"/>
  <c r="T42" i="64" s="1"/>
  <c r="T85" i="64" s="1"/>
  <c r="V42" i="54"/>
  <c r="V29" i="53"/>
  <c r="T29" i="64" s="1"/>
  <c r="T72" i="64" s="1"/>
  <c r="V29" i="54"/>
  <c r="V8" i="53"/>
  <c r="T8" i="64" s="1"/>
  <c r="T51" i="64" s="1"/>
  <c r="V8" i="54"/>
  <c r="AC26" i="49"/>
  <c r="AH12" i="49"/>
  <c r="AD12" i="63" s="1"/>
  <c r="AD64" i="63" s="1"/>
  <c r="M11" i="50"/>
  <c r="AI32" i="49"/>
  <c r="AE32" i="63" s="1"/>
  <c r="AE84" i="63" s="1"/>
  <c r="AA30" i="52"/>
  <c r="Z30" i="53"/>
  <c r="AA30" i="53" s="1"/>
  <c r="Z30" i="54"/>
  <c r="AA30" i="54" s="1"/>
  <c r="AA12" i="52"/>
  <c r="Z12" i="53"/>
  <c r="AA12" i="53" s="1"/>
  <c r="Z12" i="54"/>
  <c r="AA12" i="54" s="1"/>
  <c r="AA42" i="52"/>
  <c r="Z42" i="53"/>
  <c r="AA42" i="53" s="1"/>
  <c r="Z42" i="54"/>
  <c r="AA42" i="54" s="1"/>
  <c r="AA11" i="52"/>
  <c r="Z11" i="53"/>
  <c r="AA11" i="53" s="1"/>
  <c r="Z11" i="54"/>
  <c r="AA11" i="54" s="1"/>
  <c r="AA17" i="52"/>
  <c r="Z17" i="53"/>
  <c r="AA17" i="53" s="1"/>
  <c r="Z17" i="54"/>
  <c r="AA17" i="54" s="1"/>
  <c r="V24" i="50"/>
  <c r="V32" i="50"/>
  <c r="V18" i="50"/>
  <c r="AB18" i="50" s="1"/>
  <c r="V13" i="50"/>
  <c r="V45" i="50"/>
  <c r="V35" i="50"/>
  <c r="U5" i="49"/>
  <c r="T5" i="63" s="1"/>
  <c r="T57" i="63" s="1"/>
  <c r="M21" i="53"/>
  <c r="M21" i="64" s="1"/>
  <c r="M64" i="64" s="1"/>
  <c r="M21" i="54"/>
  <c r="M24" i="53"/>
  <c r="M24" i="64" s="1"/>
  <c r="M67" i="64" s="1"/>
  <c r="M24" i="54"/>
  <c r="M29" i="53"/>
  <c r="M29" i="64" s="1"/>
  <c r="M72" i="64" s="1"/>
  <c r="M29" i="54"/>
  <c r="M17" i="53"/>
  <c r="M17" i="64" s="1"/>
  <c r="M60" i="64" s="1"/>
  <c r="M17" i="54"/>
  <c r="U11" i="49"/>
  <c r="T11" i="63" s="1"/>
  <c r="T63" i="63" s="1"/>
  <c r="P12" i="49"/>
  <c r="P12" i="63" s="1"/>
  <c r="P64" i="63" s="1"/>
  <c r="AH43" i="49"/>
  <c r="AD43" i="63" s="1"/>
  <c r="AD95" i="63" s="1"/>
  <c r="Y31" i="49"/>
  <c r="X31" i="63" s="1"/>
  <c r="X83" i="63" s="1"/>
  <c r="Y33" i="49"/>
  <c r="X33" i="63" s="1"/>
  <c r="X85" i="63" s="1"/>
  <c r="M28" i="50"/>
  <c r="Q43" i="49"/>
  <c r="Q43" i="63" s="1"/>
  <c r="Q95" i="63" s="1"/>
  <c r="AI40" i="49"/>
  <c r="AE40" i="63" s="1"/>
  <c r="AE92" i="63" s="1"/>
  <c r="AI29" i="49"/>
  <c r="AE29" i="63" s="1"/>
  <c r="AE81" i="63" s="1"/>
  <c r="U14" i="53"/>
  <c r="S14" i="64" s="1"/>
  <c r="S57" i="64" s="1"/>
  <c r="U14" i="54"/>
  <c r="U22" i="53"/>
  <c r="S22" i="64" s="1"/>
  <c r="S65" i="64" s="1"/>
  <c r="U22" i="54"/>
  <c r="U29" i="53"/>
  <c r="S29" i="64" s="1"/>
  <c r="S72" i="64" s="1"/>
  <c r="U29" i="54"/>
  <c r="U26" i="53"/>
  <c r="S26" i="64" s="1"/>
  <c r="S69" i="64" s="1"/>
  <c r="U26" i="54"/>
  <c r="L48" i="51"/>
  <c r="L49" i="51" s="1"/>
  <c r="AC33" i="49"/>
  <c r="Y12" i="50"/>
  <c r="U18" i="49"/>
  <c r="T18" i="63" s="1"/>
  <c r="T70" i="63" s="1"/>
  <c r="U45" i="49"/>
  <c r="T45" i="63" s="1"/>
  <c r="T97" i="63" s="1"/>
  <c r="AH13" i="49"/>
  <c r="AD13" i="63" s="1"/>
  <c r="AD65" i="63" s="1"/>
  <c r="AH23" i="49"/>
  <c r="AD23" i="63" s="1"/>
  <c r="AD75" i="63" s="1"/>
  <c r="Y17" i="49"/>
  <c r="X17" i="63" s="1"/>
  <c r="X69" i="63" s="1"/>
  <c r="Q46" i="49"/>
  <c r="Q46" i="63" s="1"/>
  <c r="Q98" i="63" s="1"/>
  <c r="AI35" i="49"/>
  <c r="AE35" i="63" s="1"/>
  <c r="AE87" i="63" s="1"/>
  <c r="W22" i="52"/>
  <c r="T22" i="53"/>
  <c r="R22" i="64" s="1"/>
  <c r="R65" i="64" s="1"/>
  <c r="T22" i="54"/>
  <c r="W32" i="52"/>
  <c r="T32" i="53"/>
  <c r="R32" i="64" s="1"/>
  <c r="R75" i="64" s="1"/>
  <c r="T32" i="54"/>
  <c r="W38" i="52"/>
  <c r="T38" i="53"/>
  <c r="R38" i="64" s="1"/>
  <c r="R81" i="64" s="1"/>
  <c r="T38" i="54"/>
  <c r="W17" i="52"/>
  <c r="T17" i="53"/>
  <c r="R17" i="64" s="1"/>
  <c r="R60" i="64" s="1"/>
  <c r="T17" i="54"/>
  <c r="W11" i="52"/>
  <c r="T11" i="53"/>
  <c r="R11" i="64" s="1"/>
  <c r="R54" i="64" s="1"/>
  <c r="T11" i="54"/>
  <c r="Y44" i="50"/>
  <c r="AI19" i="49"/>
  <c r="AE19" i="63" s="1"/>
  <c r="AE71" i="63" s="1"/>
  <c r="U46" i="49"/>
  <c r="T46" i="63" s="1"/>
  <c r="T98" i="63" s="1"/>
  <c r="P22" i="49"/>
  <c r="AC28" i="49"/>
  <c r="Y11" i="50"/>
  <c r="R20" i="53"/>
  <c r="S20" i="53" s="1"/>
  <c r="S20" i="52"/>
  <c r="R20" i="54"/>
  <c r="S20" i="54" s="1"/>
  <c r="R13" i="53"/>
  <c r="S13" i="53" s="1"/>
  <c r="S13" i="52"/>
  <c r="R13" i="54"/>
  <c r="S13" i="54" s="1"/>
  <c r="R28" i="53"/>
  <c r="S28" i="53" s="1"/>
  <c r="S28" i="52"/>
  <c r="R28" i="54"/>
  <c r="S28" i="54" s="1"/>
  <c r="R16" i="53"/>
  <c r="S16" i="53" s="1"/>
  <c r="S16" i="52"/>
  <c r="R16" i="54"/>
  <c r="S16" i="54" s="1"/>
  <c r="R5" i="53"/>
  <c r="Q5" i="64" s="1"/>
  <c r="Q48" i="64" s="1"/>
  <c r="S5" i="52"/>
  <c r="R5" i="54"/>
  <c r="R44" i="52"/>
  <c r="M24" i="50"/>
  <c r="Q9" i="49"/>
  <c r="Q9" i="63" s="1"/>
  <c r="Q61" i="63" s="1"/>
  <c r="Q39" i="49"/>
  <c r="Q39" i="63" s="1"/>
  <c r="Q91" i="63" s="1"/>
  <c r="O37" i="49"/>
  <c r="O37" i="63" s="1"/>
  <c r="O89" i="63" s="1"/>
  <c r="AI51" i="49"/>
  <c r="AE51" i="63" s="1"/>
  <c r="AE103" i="63" s="1"/>
  <c r="AI26" i="49"/>
  <c r="AE26" i="63" s="1"/>
  <c r="AE78" i="63" s="1"/>
  <c r="N39" i="53"/>
  <c r="N39" i="64" s="1"/>
  <c r="N82" i="64" s="1"/>
  <c r="N39" i="54"/>
  <c r="N13" i="53"/>
  <c r="N13" i="64" s="1"/>
  <c r="N56" i="64" s="1"/>
  <c r="N13" i="54"/>
  <c r="N21" i="53"/>
  <c r="N21" i="64" s="1"/>
  <c r="N64" i="64" s="1"/>
  <c r="N21" i="54"/>
  <c r="N10" i="53"/>
  <c r="N10" i="64" s="1"/>
  <c r="N53" i="64" s="1"/>
  <c r="N10" i="54"/>
  <c r="Y22" i="49"/>
  <c r="X22" i="63" s="1"/>
  <c r="X74" i="63" s="1"/>
  <c r="U10" i="49"/>
  <c r="T10" i="63" s="1"/>
  <c r="T62" i="63" s="1"/>
  <c r="W44" i="49"/>
  <c r="V44" i="63" s="1"/>
  <c r="V96" i="63" s="1"/>
  <c r="P40" i="49"/>
  <c r="P40" i="63" s="1"/>
  <c r="P92" i="63" s="1"/>
  <c r="P43" i="49"/>
  <c r="P43" i="63" s="1"/>
  <c r="P95" i="63" s="1"/>
  <c r="AC31" i="49"/>
  <c r="M48" i="50"/>
  <c r="Y30" i="49"/>
  <c r="X30" i="63" s="1"/>
  <c r="X82" i="63" s="1"/>
  <c r="M17" i="50"/>
  <c r="O22" i="53"/>
  <c r="O22" i="64" s="1"/>
  <c r="O65" i="64" s="1"/>
  <c r="O22" i="54"/>
  <c r="O32" i="53"/>
  <c r="O32" i="64" s="1"/>
  <c r="O75" i="64" s="1"/>
  <c r="O32" i="54"/>
  <c r="O15" i="53"/>
  <c r="O15" i="64" s="1"/>
  <c r="O58" i="64" s="1"/>
  <c r="O15" i="54"/>
  <c r="O17" i="53"/>
  <c r="O17" i="64" s="1"/>
  <c r="O60" i="64" s="1"/>
  <c r="O17" i="54"/>
  <c r="O37" i="53"/>
  <c r="O37" i="64" s="1"/>
  <c r="O80" i="64" s="1"/>
  <c r="O37" i="54"/>
  <c r="W22" i="49"/>
  <c r="V22" i="63" s="1"/>
  <c r="V74" i="63" s="1"/>
  <c r="P14" i="49"/>
  <c r="P14" i="63" s="1"/>
  <c r="P66" i="63" s="1"/>
  <c r="Y36" i="50"/>
  <c r="Q42" i="49"/>
  <c r="Q42" i="63" s="1"/>
  <c r="Q94" i="63" s="1"/>
  <c r="Q45" i="49"/>
  <c r="Q45" i="63" s="1"/>
  <c r="Q97" i="63" s="1"/>
  <c r="O38" i="49"/>
  <c r="O38" i="63" s="1"/>
  <c r="O90" i="63" s="1"/>
  <c r="W23" i="49"/>
  <c r="V23" i="63" s="1"/>
  <c r="V75" i="63" s="1"/>
  <c r="W26" i="49"/>
  <c r="V26" i="63" s="1"/>
  <c r="V78" i="63" s="1"/>
  <c r="P31" i="49"/>
  <c r="P31" i="63" s="1"/>
  <c r="P83" i="63" s="1"/>
  <c r="AC47" i="49"/>
  <c r="Y16" i="50"/>
  <c r="AA9" i="52"/>
  <c r="Z9" i="53"/>
  <c r="AA9" i="53" s="1"/>
  <c r="Z9" i="54"/>
  <c r="AA9" i="54" s="1"/>
  <c r="V31" i="50"/>
  <c r="M9" i="53"/>
  <c r="M9" i="64" s="1"/>
  <c r="M52" i="64" s="1"/>
  <c r="M9" i="54"/>
  <c r="U33" i="53"/>
  <c r="S33" i="64" s="1"/>
  <c r="S76" i="64" s="1"/>
  <c r="U33" i="54"/>
  <c r="W6" i="52"/>
  <c r="T6" i="53"/>
  <c r="R6" i="64" s="1"/>
  <c r="R49" i="64" s="1"/>
  <c r="T6" i="54"/>
  <c r="Y8" i="49"/>
  <c r="R25" i="53"/>
  <c r="S25" i="53" s="1"/>
  <c r="S25" i="52"/>
  <c r="R25" i="54"/>
  <c r="S25" i="54" s="1"/>
  <c r="N12" i="53"/>
  <c r="N12" i="64" s="1"/>
  <c r="N55" i="64" s="1"/>
  <c r="N12" i="54"/>
  <c r="O42" i="53"/>
  <c r="O42" i="64" s="1"/>
  <c r="O85" i="64" s="1"/>
  <c r="O42" i="54"/>
  <c r="M6" i="50"/>
  <c r="Y14" i="49"/>
  <c r="X14" i="63" s="1"/>
  <c r="X66" i="63" s="1"/>
  <c r="V26" i="53"/>
  <c r="T26" i="64" s="1"/>
  <c r="T69" i="64" s="1"/>
  <c r="V26" i="54"/>
  <c r="V37" i="53"/>
  <c r="T37" i="64" s="1"/>
  <c r="T80" i="64" s="1"/>
  <c r="V37" i="54"/>
  <c r="V32" i="53"/>
  <c r="T32" i="64" s="1"/>
  <c r="T75" i="64" s="1"/>
  <c r="V32" i="54"/>
  <c r="V5" i="53"/>
  <c r="T5" i="64" s="1"/>
  <c r="T48" i="64" s="1"/>
  <c r="V5" i="54"/>
  <c r="V44" i="52"/>
  <c r="V16" i="53"/>
  <c r="T16" i="64" s="1"/>
  <c r="T59" i="64" s="1"/>
  <c r="V16" i="54"/>
  <c r="Y5" i="49"/>
  <c r="X5" i="63" s="1"/>
  <c r="X57" i="63" s="1"/>
  <c r="Y34" i="49"/>
  <c r="X34" i="63" s="1"/>
  <c r="X86" i="63" s="1"/>
  <c r="AA37" i="52"/>
  <c r="Z37" i="53"/>
  <c r="AA37" i="53" s="1"/>
  <c r="Z37" i="54"/>
  <c r="AA37" i="54" s="1"/>
  <c r="AA35" i="52"/>
  <c r="Z35" i="53"/>
  <c r="AA35" i="53" s="1"/>
  <c r="Z35" i="54"/>
  <c r="AA35" i="54" s="1"/>
  <c r="AA29" i="52"/>
  <c r="Z29" i="53"/>
  <c r="AA29" i="53" s="1"/>
  <c r="Z29" i="54"/>
  <c r="AA29" i="54" s="1"/>
  <c r="AA20" i="52"/>
  <c r="Z20" i="53"/>
  <c r="AA20" i="53" s="1"/>
  <c r="Z20" i="54"/>
  <c r="AA20" i="54" s="1"/>
  <c r="AA25" i="52"/>
  <c r="Z25" i="53"/>
  <c r="AA25" i="53" s="1"/>
  <c r="Z25" i="54"/>
  <c r="AA25" i="54" s="1"/>
  <c r="V9" i="50"/>
  <c r="AB9" i="50" s="1"/>
  <c r="V7" i="50"/>
  <c r="V26" i="50"/>
  <c r="V17" i="50"/>
  <c r="AB17" i="50" s="1"/>
  <c r="V49" i="50"/>
  <c r="V39" i="50"/>
  <c r="M37" i="53"/>
  <c r="M37" i="64" s="1"/>
  <c r="M80" i="64" s="1"/>
  <c r="M37" i="54"/>
  <c r="M15" i="53"/>
  <c r="M15" i="64" s="1"/>
  <c r="M58" i="64" s="1"/>
  <c r="M15" i="54"/>
  <c r="M13" i="53"/>
  <c r="M13" i="64" s="1"/>
  <c r="M56" i="64" s="1"/>
  <c r="M13" i="54"/>
  <c r="M35" i="53"/>
  <c r="M35" i="64" s="1"/>
  <c r="M78" i="64" s="1"/>
  <c r="M35" i="54"/>
  <c r="M25" i="53"/>
  <c r="M25" i="64" s="1"/>
  <c r="M68" i="64" s="1"/>
  <c r="M25" i="54"/>
  <c r="AD5" i="50"/>
  <c r="AD53" i="50" s="1"/>
  <c r="AC53" i="50"/>
  <c r="AC41" i="49"/>
  <c r="M12" i="50"/>
  <c r="U39" i="53"/>
  <c r="S39" i="64" s="1"/>
  <c r="S82" i="64" s="1"/>
  <c r="U39" i="54"/>
  <c r="U21" i="53"/>
  <c r="S21" i="64" s="1"/>
  <c r="S64" i="64" s="1"/>
  <c r="U21" i="54"/>
  <c r="U27" i="53"/>
  <c r="S27" i="64" s="1"/>
  <c r="S70" i="64" s="1"/>
  <c r="U27" i="54"/>
  <c r="U20" i="53"/>
  <c r="S20" i="64" s="1"/>
  <c r="S63" i="64" s="1"/>
  <c r="U20" i="54"/>
  <c r="U6" i="53"/>
  <c r="S6" i="64" s="1"/>
  <c r="S49" i="64" s="1"/>
  <c r="U6" i="54"/>
  <c r="P11" i="49"/>
  <c r="P11" i="63" s="1"/>
  <c r="P63" i="63" s="1"/>
  <c r="Y12" i="49"/>
  <c r="X12" i="63" s="1"/>
  <c r="X64" i="63" s="1"/>
  <c r="AI7" i="49"/>
  <c r="AE7" i="63" s="1"/>
  <c r="AE59" i="63" s="1"/>
  <c r="P48" i="49"/>
  <c r="P48" i="63" s="1"/>
  <c r="P100" i="63" s="1"/>
  <c r="P37" i="49"/>
  <c r="P37" i="63" s="1"/>
  <c r="P89" i="63" s="1"/>
  <c r="AC6" i="49"/>
  <c r="W20" i="52"/>
  <c r="T20" i="53"/>
  <c r="R20" i="64" s="1"/>
  <c r="R63" i="64" s="1"/>
  <c r="T20" i="54"/>
  <c r="W27" i="52"/>
  <c r="T27" i="53"/>
  <c r="R27" i="64" s="1"/>
  <c r="R70" i="64" s="1"/>
  <c r="T27" i="54"/>
  <c r="W41" i="52"/>
  <c r="T41" i="53"/>
  <c r="R41" i="64" s="1"/>
  <c r="R84" i="64" s="1"/>
  <c r="T41" i="54"/>
  <c r="W8" i="52"/>
  <c r="T8" i="53"/>
  <c r="R8" i="64" s="1"/>
  <c r="R51" i="64" s="1"/>
  <c r="T8" i="54"/>
  <c r="W5" i="52"/>
  <c r="T5" i="53"/>
  <c r="R5" i="64" s="1"/>
  <c r="R48" i="64" s="1"/>
  <c r="T44" i="52"/>
  <c r="T5" i="54"/>
  <c r="Y44" i="49"/>
  <c r="AB31" i="50"/>
  <c r="AH18" i="49"/>
  <c r="AD18" i="63" s="1"/>
  <c r="AD70" i="63" s="1"/>
  <c r="AH51" i="49"/>
  <c r="AD51" i="63" s="1"/>
  <c r="AD103" i="63" s="1"/>
  <c r="Y11" i="49"/>
  <c r="X11" i="63" s="1"/>
  <c r="X63" i="63" s="1"/>
  <c r="R26" i="53"/>
  <c r="S26" i="53" s="1"/>
  <c r="S26" i="52"/>
  <c r="R26" i="54"/>
  <c r="S26" i="54" s="1"/>
  <c r="S35" i="52"/>
  <c r="R35" i="53"/>
  <c r="S35" i="53" s="1"/>
  <c r="R35" i="54"/>
  <c r="S35" i="54" s="1"/>
  <c r="R24" i="53"/>
  <c r="S24" i="53" s="1"/>
  <c r="S24" i="52"/>
  <c r="R24" i="54"/>
  <c r="S24" i="54" s="1"/>
  <c r="R6" i="53"/>
  <c r="S6" i="53" s="1"/>
  <c r="S6" i="52"/>
  <c r="R6" i="54"/>
  <c r="S6" i="54" s="1"/>
  <c r="R7" i="53"/>
  <c r="S7" i="53" s="1"/>
  <c r="S7" i="52"/>
  <c r="R7" i="54"/>
  <c r="S7" i="54" s="1"/>
  <c r="N26" i="53"/>
  <c r="N26" i="64" s="1"/>
  <c r="N69" i="64" s="1"/>
  <c r="N26" i="54"/>
  <c r="N25" i="53"/>
  <c r="N25" i="64" s="1"/>
  <c r="N68" i="64" s="1"/>
  <c r="N25" i="54"/>
  <c r="N33" i="53"/>
  <c r="N33" i="64" s="1"/>
  <c r="N76" i="64" s="1"/>
  <c r="N33" i="54"/>
  <c r="N34" i="53"/>
  <c r="N34" i="64" s="1"/>
  <c r="N77" i="64" s="1"/>
  <c r="N34" i="54"/>
  <c r="N9" i="53"/>
  <c r="N9" i="64" s="1"/>
  <c r="N52" i="64" s="1"/>
  <c r="N9" i="54"/>
  <c r="AH10" i="49"/>
  <c r="AD10" i="63" s="1"/>
  <c r="AD62" i="63" s="1"/>
  <c r="Y51" i="50"/>
  <c r="Y29" i="50"/>
  <c r="P44" i="54"/>
  <c r="M32" i="50"/>
  <c r="Q38" i="49"/>
  <c r="Q38" i="63" s="1"/>
  <c r="Q90" i="63" s="1"/>
  <c r="Q51" i="49"/>
  <c r="Q51" i="63" s="1"/>
  <c r="Q103" i="63" s="1"/>
  <c r="O24" i="49"/>
  <c r="O24" i="63" s="1"/>
  <c r="O76" i="63" s="1"/>
  <c r="AI17" i="49"/>
  <c r="AE17" i="63" s="1"/>
  <c r="AE69" i="63" s="1"/>
  <c r="O34" i="53"/>
  <c r="O34" i="64" s="1"/>
  <c r="O77" i="64" s="1"/>
  <c r="O34" i="54"/>
  <c r="O14" i="53"/>
  <c r="O14" i="64" s="1"/>
  <c r="O57" i="64" s="1"/>
  <c r="O14" i="54"/>
  <c r="O39" i="53"/>
  <c r="O39" i="64" s="1"/>
  <c r="O82" i="64" s="1"/>
  <c r="O39" i="54"/>
  <c r="O25" i="53"/>
  <c r="O25" i="64" s="1"/>
  <c r="O68" i="64" s="1"/>
  <c r="O25" i="54"/>
  <c r="O10" i="53"/>
  <c r="O10" i="64" s="1"/>
  <c r="O53" i="64" s="1"/>
  <c r="O10" i="54"/>
  <c r="AB9" i="48"/>
  <c r="AB13" i="48"/>
  <c r="AC25" i="49"/>
  <c r="AH44" i="49"/>
  <c r="AD44" i="63" s="1"/>
  <c r="AD96" i="63" s="1"/>
  <c r="AH47" i="49"/>
  <c r="AD47" i="63" s="1"/>
  <c r="AD99" i="63" s="1"/>
  <c r="Y36" i="49"/>
  <c r="X36" i="63" s="1"/>
  <c r="X88" i="63" s="1"/>
  <c r="AI16" i="49"/>
  <c r="AE16" i="63" s="1"/>
  <c r="AE68" i="63" s="1"/>
  <c r="U49" i="49"/>
  <c r="T49" i="63" s="1"/>
  <c r="T101" i="63" s="1"/>
  <c r="Y16" i="49"/>
  <c r="X16" i="63" s="1"/>
  <c r="X68" i="63" s="1"/>
  <c r="Q35" i="49"/>
  <c r="Q35" i="63" s="1"/>
  <c r="Q87" i="63" s="1"/>
  <c r="V17" i="53"/>
  <c r="T17" i="64" s="1"/>
  <c r="T60" i="64" s="1"/>
  <c r="V17" i="54"/>
  <c r="U53" i="50"/>
  <c r="R19" i="53"/>
  <c r="S19" i="53" s="1"/>
  <c r="S19" i="52"/>
  <c r="R19" i="54"/>
  <c r="S19" i="54" s="1"/>
  <c r="N23" i="53"/>
  <c r="N23" i="64" s="1"/>
  <c r="N66" i="64" s="1"/>
  <c r="N23" i="54"/>
  <c r="V34" i="53"/>
  <c r="T34" i="64" s="1"/>
  <c r="T77" i="64" s="1"/>
  <c r="V34" i="54"/>
  <c r="V13" i="53"/>
  <c r="T13" i="64" s="1"/>
  <c r="T56" i="64" s="1"/>
  <c r="V13" i="54"/>
  <c r="AB41" i="48"/>
  <c r="M46" i="50"/>
  <c r="AA27" i="52"/>
  <c r="Z27" i="53"/>
  <c r="AA27" i="53" s="1"/>
  <c r="Z27" i="54"/>
  <c r="AA27" i="54" s="1"/>
  <c r="AA40" i="52"/>
  <c r="Z40" i="53"/>
  <c r="AA40" i="53" s="1"/>
  <c r="Z40" i="54"/>
  <c r="AA40" i="54" s="1"/>
  <c r="AA28" i="52"/>
  <c r="Z28" i="53"/>
  <c r="AA28" i="53" s="1"/>
  <c r="Z28" i="54"/>
  <c r="AA28" i="54" s="1"/>
  <c r="AA6" i="52"/>
  <c r="Z6" i="53"/>
  <c r="AA6" i="53" s="1"/>
  <c r="Z6" i="54"/>
  <c r="AA6" i="54" s="1"/>
  <c r="V40" i="50"/>
  <c r="AB40" i="50" s="1"/>
  <c r="V12" i="50"/>
  <c r="V30" i="50"/>
  <c r="V21" i="50"/>
  <c r="AB21" i="50" s="1"/>
  <c r="V11" i="50"/>
  <c r="V43" i="50"/>
  <c r="AB43" i="50" s="1"/>
  <c r="M31" i="53"/>
  <c r="M31" i="64" s="1"/>
  <c r="M74" i="64" s="1"/>
  <c r="M31" i="54"/>
  <c r="M27" i="53"/>
  <c r="M27" i="64" s="1"/>
  <c r="M70" i="64" s="1"/>
  <c r="M27" i="54"/>
  <c r="M36" i="53"/>
  <c r="M36" i="64" s="1"/>
  <c r="M79" i="64" s="1"/>
  <c r="M36" i="54"/>
  <c r="M23" i="53"/>
  <c r="M23" i="64" s="1"/>
  <c r="M66" i="64" s="1"/>
  <c r="M23" i="54"/>
  <c r="M6" i="53"/>
  <c r="M6" i="64" s="1"/>
  <c r="M49" i="64" s="1"/>
  <c r="M6" i="54"/>
  <c r="AB7" i="50"/>
  <c r="M40" i="50"/>
  <c r="Y25" i="49"/>
  <c r="X25" i="63" s="1"/>
  <c r="X77" i="63" s="1"/>
  <c r="AI37" i="49"/>
  <c r="AE37" i="63" s="1"/>
  <c r="AE89" i="63" s="1"/>
  <c r="U13" i="53"/>
  <c r="S13" i="64" s="1"/>
  <c r="S56" i="64" s="1"/>
  <c r="U13" i="54"/>
  <c r="U32" i="53"/>
  <c r="S32" i="64" s="1"/>
  <c r="S75" i="64" s="1"/>
  <c r="U32" i="54"/>
  <c r="U25" i="53"/>
  <c r="S25" i="64" s="1"/>
  <c r="S68" i="64" s="1"/>
  <c r="U25" i="54"/>
  <c r="U40" i="53"/>
  <c r="S40" i="64" s="1"/>
  <c r="S83" i="64" s="1"/>
  <c r="U40" i="54"/>
  <c r="U8" i="53"/>
  <c r="S8" i="64" s="1"/>
  <c r="S51" i="64" s="1"/>
  <c r="U8" i="54"/>
  <c r="Q53" i="50"/>
  <c r="M23" i="50"/>
  <c r="AC32" i="49"/>
  <c r="AH38" i="49"/>
  <c r="AD38" i="63" s="1"/>
  <c r="AD90" i="63" s="1"/>
  <c r="AH45" i="49"/>
  <c r="AD45" i="63" s="1"/>
  <c r="AD97" i="63" s="1"/>
  <c r="Y19" i="49"/>
  <c r="X19" i="63" s="1"/>
  <c r="X71" i="63" s="1"/>
  <c r="Q29" i="49"/>
  <c r="Q29" i="63" s="1"/>
  <c r="Q81" i="63" s="1"/>
  <c r="Q49" i="49"/>
  <c r="Q49" i="63" s="1"/>
  <c r="Q101" i="63" s="1"/>
  <c r="AI10" i="49"/>
  <c r="AE10" i="63" s="1"/>
  <c r="AE62" i="63" s="1"/>
  <c r="W30" i="52"/>
  <c r="T30" i="53"/>
  <c r="R30" i="64" s="1"/>
  <c r="R73" i="64" s="1"/>
  <c r="T30" i="54"/>
  <c r="W37" i="52"/>
  <c r="T37" i="53"/>
  <c r="R37" i="64" s="1"/>
  <c r="R80" i="64" s="1"/>
  <c r="T37" i="54"/>
  <c r="W13" i="52"/>
  <c r="T13" i="53"/>
  <c r="R13" i="64" s="1"/>
  <c r="R56" i="64" s="1"/>
  <c r="T13" i="54"/>
  <c r="W16" i="52"/>
  <c r="T16" i="53"/>
  <c r="R16" i="64" s="1"/>
  <c r="R59" i="64" s="1"/>
  <c r="T16" i="54"/>
  <c r="W10" i="52"/>
  <c r="T10" i="53"/>
  <c r="R10" i="64" s="1"/>
  <c r="R53" i="64" s="1"/>
  <c r="T10" i="54"/>
  <c r="U31" i="49"/>
  <c r="T31" i="63" s="1"/>
  <c r="T83" i="63" s="1"/>
  <c r="P44" i="49"/>
  <c r="P44" i="63" s="1"/>
  <c r="P96" i="63" s="1"/>
  <c r="P49" i="49"/>
  <c r="P49" i="63" s="1"/>
  <c r="P101" i="63" s="1"/>
  <c r="AC7" i="49"/>
  <c r="Y42" i="50"/>
  <c r="Y38" i="50"/>
  <c r="R21" i="53"/>
  <c r="S21" i="53" s="1"/>
  <c r="S21" i="52"/>
  <c r="R21" i="54"/>
  <c r="S21" i="54" s="1"/>
  <c r="R40" i="53"/>
  <c r="S40" i="53" s="1"/>
  <c r="S40" i="52"/>
  <c r="R40" i="54"/>
  <c r="S40" i="54" s="1"/>
  <c r="S34" i="52"/>
  <c r="R34" i="53"/>
  <c r="S34" i="53" s="1"/>
  <c r="R34" i="54"/>
  <c r="S34" i="54" s="1"/>
  <c r="R22" i="53"/>
  <c r="S22" i="53" s="1"/>
  <c r="S22" i="52"/>
  <c r="R22" i="54"/>
  <c r="S22" i="54" s="1"/>
  <c r="R30" i="53"/>
  <c r="S30" i="53" s="1"/>
  <c r="S30" i="52"/>
  <c r="R30" i="54"/>
  <c r="S30" i="54" s="1"/>
  <c r="Q50" i="49"/>
  <c r="Q50" i="63" s="1"/>
  <c r="Q102" i="63" s="1"/>
  <c r="O39" i="49"/>
  <c r="O39" i="63" s="1"/>
  <c r="O91" i="63" s="1"/>
  <c r="AI43" i="49"/>
  <c r="AE43" i="63" s="1"/>
  <c r="AE95" i="63" s="1"/>
  <c r="N35" i="53"/>
  <c r="N35" i="64" s="1"/>
  <c r="N78" i="64" s="1"/>
  <c r="N35" i="54"/>
  <c r="N30" i="53"/>
  <c r="N30" i="64" s="1"/>
  <c r="N73" i="64" s="1"/>
  <c r="N30" i="54"/>
  <c r="N20" i="53"/>
  <c r="N20" i="64" s="1"/>
  <c r="N63" i="64" s="1"/>
  <c r="N20" i="54"/>
  <c r="N15" i="53"/>
  <c r="N15" i="64" s="1"/>
  <c r="N58" i="64" s="1"/>
  <c r="N15" i="54"/>
  <c r="N11" i="53"/>
  <c r="N11" i="64" s="1"/>
  <c r="N54" i="64" s="1"/>
  <c r="N11" i="54"/>
  <c r="U28" i="49"/>
  <c r="T28" i="63" s="1"/>
  <c r="T80" i="63" s="1"/>
  <c r="U21" i="49"/>
  <c r="T21" i="63" s="1"/>
  <c r="T73" i="63" s="1"/>
  <c r="P16" i="49"/>
  <c r="P16" i="63" s="1"/>
  <c r="P68" i="63" s="1"/>
  <c r="P47" i="49"/>
  <c r="P47" i="63" s="1"/>
  <c r="P99" i="63" s="1"/>
  <c r="AC8" i="49"/>
  <c r="Y51" i="49"/>
  <c r="X51" i="63" s="1"/>
  <c r="X103" i="63" s="1"/>
  <c r="Y29" i="49"/>
  <c r="X29" i="63" s="1"/>
  <c r="X81" i="63" s="1"/>
  <c r="P44" i="53"/>
  <c r="O31" i="53"/>
  <c r="O31" i="64" s="1"/>
  <c r="O74" i="64" s="1"/>
  <c r="O31" i="54"/>
  <c r="O28" i="53"/>
  <c r="O28" i="64" s="1"/>
  <c r="O71" i="64" s="1"/>
  <c r="O28" i="54"/>
  <c r="O27" i="53"/>
  <c r="O27" i="64" s="1"/>
  <c r="O70" i="64" s="1"/>
  <c r="O27" i="54"/>
  <c r="O8" i="53"/>
  <c r="O8" i="64" s="1"/>
  <c r="O51" i="64" s="1"/>
  <c r="O8" i="54"/>
  <c r="AB24" i="48"/>
  <c r="U9" i="49"/>
  <c r="T9" i="63" s="1"/>
  <c r="T61" i="63" s="1"/>
  <c r="AB13" i="50"/>
  <c r="W53" i="50"/>
  <c r="P36" i="49"/>
  <c r="P36" i="63" s="1"/>
  <c r="P88" i="63" s="1"/>
  <c r="P45" i="49"/>
  <c r="P45" i="63" s="1"/>
  <c r="P97" i="63" s="1"/>
  <c r="AC23" i="49"/>
  <c r="Y48" i="50"/>
  <c r="Y24" i="50"/>
  <c r="AB24" i="50" s="1"/>
  <c r="Q20" i="49"/>
  <c r="Q20" i="63" s="1"/>
  <c r="Q72" i="63" s="1"/>
  <c r="O16" i="49"/>
  <c r="O16" i="63" s="1"/>
  <c r="O68" i="63" s="1"/>
  <c r="O47" i="49"/>
  <c r="O47" i="63" s="1"/>
  <c r="O99" i="63" s="1"/>
  <c r="AB35" i="48"/>
  <c r="W32" i="49"/>
  <c r="V32" i="63" s="1"/>
  <c r="V84" i="63" s="1"/>
  <c r="W37" i="49"/>
  <c r="V37" i="63" s="1"/>
  <c r="V89" i="63" s="1"/>
  <c r="AC12" i="49"/>
  <c r="V8" i="50"/>
  <c r="W21" i="52"/>
  <c r="T21" i="53"/>
  <c r="R21" i="64" s="1"/>
  <c r="R64" i="64" s="1"/>
  <c r="T21" i="54"/>
  <c r="N5" i="53"/>
  <c r="N5" i="64" s="1"/>
  <c r="N48" i="64" s="1"/>
  <c r="N5" i="54"/>
  <c r="N44" i="52"/>
  <c r="V25" i="53"/>
  <c r="T25" i="64" s="1"/>
  <c r="T68" i="64" s="1"/>
  <c r="V25" i="54"/>
  <c r="V7" i="53"/>
  <c r="T7" i="64" s="1"/>
  <c r="T50" i="64" s="1"/>
  <c r="V7" i="54"/>
  <c r="AB30" i="50"/>
  <c r="Y9" i="49"/>
  <c r="X9" i="63" s="1"/>
  <c r="X61" i="63" s="1"/>
  <c r="V35" i="53"/>
  <c r="T35" i="64" s="1"/>
  <c r="T78" i="64" s="1"/>
  <c r="V35" i="54"/>
  <c r="V38" i="53"/>
  <c r="T38" i="64" s="1"/>
  <c r="T81" i="64" s="1"/>
  <c r="V38" i="54"/>
  <c r="V15" i="53"/>
  <c r="T15" i="64" s="1"/>
  <c r="T58" i="64" s="1"/>
  <c r="V15" i="54"/>
  <c r="V21" i="53"/>
  <c r="T21" i="64" s="1"/>
  <c r="T64" i="64" s="1"/>
  <c r="V21" i="54"/>
  <c r="V23" i="53"/>
  <c r="T23" i="64" s="1"/>
  <c r="T66" i="64" s="1"/>
  <c r="V23" i="54"/>
  <c r="Y35" i="49"/>
  <c r="X35" i="63" s="1"/>
  <c r="X87" i="63" s="1"/>
  <c r="Y6" i="49"/>
  <c r="X6" i="63" s="1"/>
  <c r="X58" i="63" s="1"/>
  <c r="M19" i="50"/>
  <c r="AA39" i="52"/>
  <c r="Z39" i="53"/>
  <c r="AA39" i="53" s="1"/>
  <c r="Z39" i="54"/>
  <c r="AA39" i="54" s="1"/>
  <c r="AA14" i="52"/>
  <c r="Z14" i="53"/>
  <c r="AA14" i="53" s="1"/>
  <c r="Z14" i="54"/>
  <c r="AA14" i="54" s="1"/>
  <c r="AA33" i="52"/>
  <c r="Z33" i="53"/>
  <c r="AA33" i="53" s="1"/>
  <c r="Z33" i="54"/>
  <c r="AA33" i="54" s="1"/>
  <c r="AA10" i="52"/>
  <c r="Z10" i="53"/>
  <c r="AA10" i="53" s="1"/>
  <c r="Z10" i="54"/>
  <c r="AA10" i="54" s="1"/>
  <c r="AA5" i="52"/>
  <c r="Z5" i="53"/>
  <c r="V5" i="64" s="1"/>
  <c r="V48" i="64" s="1"/>
  <c r="Z5" i="54"/>
  <c r="Z44" i="52"/>
  <c r="V44" i="50"/>
  <c r="V20" i="50"/>
  <c r="V34" i="50"/>
  <c r="AB34" i="50" s="1"/>
  <c r="V25" i="50"/>
  <c r="AB25" i="50" s="1"/>
  <c r="V15" i="50"/>
  <c r="V47" i="50"/>
  <c r="AB47" i="50" s="1"/>
  <c r="M18" i="53"/>
  <c r="M18" i="64" s="1"/>
  <c r="M61" i="64" s="1"/>
  <c r="M18" i="54"/>
  <c r="M32" i="53"/>
  <c r="M32" i="64" s="1"/>
  <c r="M75" i="64" s="1"/>
  <c r="M32" i="54"/>
  <c r="M34" i="53"/>
  <c r="M34" i="64" s="1"/>
  <c r="M77" i="64" s="1"/>
  <c r="M34" i="54"/>
  <c r="M7" i="53"/>
  <c r="M7" i="64" s="1"/>
  <c r="M50" i="64" s="1"/>
  <c r="M7" i="54"/>
  <c r="M8" i="53"/>
  <c r="M8" i="64" s="1"/>
  <c r="M51" i="64" s="1"/>
  <c r="M8" i="54"/>
  <c r="U7" i="49"/>
  <c r="T7" i="63" s="1"/>
  <c r="T59" i="63" s="1"/>
  <c r="AC5" i="49"/>
  <c r="AA5" i="63" s="1"/>
  <c r="AA57" i="63" s="1"/>
  <c r="AH53" i="50"/>
  <c r="U17" i="53"/>
  <c r="W17" i="53" s="1"/>
  <c r="U17" i="54"/>
  <c r="U38" i="53"/>
  <c r="S38" i="64" s="1"/>
  <c r="S81" i="64" s="1"/>
  <c r="U38" i="54"/>
  <c r="U34" i="53"/>
  <c r="S34" i="64" s="1"/>
  <c r="S77" i="64" s="1"/>
  <c r="U34" i="54"/>
  <c r="U9" i="53"/>
  <c r="S9" i="64" s="1"/>
  <c r="S52" i="64" s="1"/>
  <c r="U9" i="54"/>
  <c r="U16" i="53"/>
  <c r="S16" i="64" s="1"/>
  <c r="S59" i="64" s="1"/>
  <c r="U16" i="54"/>
  <c r="P41" i="49"/>
  <c r="P41" i="63" s="1"/>
  <c r="P93" i="63" s="1"/>
  <c r="AH15" i="49"/>
  <c r="AD15" i="63" s="1"/>
  <c r="AD67" i="63" s="1"/>
  <c r="Y18" i="49"/>
  <c r="X18" i="63" s="1"/>
  <c r="X70" i="63" s="1"/>
  <c r="U36" i="49"/>
  <c r="T36" i="63" s="1"/>
  <c r="T88" i="63" s="1"/>
  <c r="U23" i="49"/>
  <c r="T23" i="63" s="1"/>
  <c r="T75" i="63" s="1"/>
  <c r="M27" i="50"/>
  <c r="P24" i="49"/>
  <c r="P38" i="49"/>
  <c r="P38" i="63" s="1"/>
  <c r="P90" i="63" s="1"/>
  <c r="W12" i="52"/>
  <c r="T12" i="53"/>
  <c r="R12" i="64" s="1"/>
  <c r="R55" i="64" s="1"/>
  <c r="T12" i="54"/>
  <c r="W34" i="52"/>
  <c r="T34" i="53"/>
  <c r="R34" i="64" s="1"/>
  <c r="R77" i="64" s="1"/>
  <c r="T34" i="54"/>
  <c r="W36" i="52"/>
  <c r="T36" i="53"/>
  <c r="R36" i="64" s="1"/>
  <c r="R79" i="64" s="1"/>
  <c r="T36" i="54"/>
  <c r="W24" i="52"/>
  <c r="T24" i="53"/>
  <c r="R24" i="64" s="1"/>
  <c r="R67" i="64" s="1"/>
  <c r="T24" i="54"/>
  <c r="W35" i="52"/>
  <c r="T35" i="53"/>
  <c r="R35" i="64" s="1"/>
  <c r="R78" i="64" s="1"/>
  <c r="T35" i="54"/>
  <c r="U14" i="49"/>
  <c r="T14" i="63" s="1"/>
  <c r="T66" i="63" s="1"/>
  <c r="AB39" i="50"/>
  <c r="AC51" i="49"/>
  <c r="AH36" i="49"/>
  <c r="AD36" i="63" s="1"/>
  <c r="AD88" i="63" s="1"/>
  <c r="Y42" i="49"/>
  <c r="X42" i="63" s="1"/>
  <c r="X94" i="63" s="1"/>
  <c r="Y38" i="49"/>
  <c r="X38" i="63" s="1"/>
  <c r="X90" i="63" s="1"/>
  <c r="R33" i="53"/>
  <c r="S33" i="53" s="1"/>
  <c r="S33" i="52"/>
  <c r="R33" i="54"/>
  <c r="S33" i="54" s="1"/>
  <c r="S37" i="52"/>
  <c r="R37" i="53"/>
  <c r="S37" i="53" s="1"/>
  <c r="R37" i="54"/>
  <c r="S37" i="54" s="1"/>
  <c r="R41" i="53"/>
  <c r="S41" i="53" s="1"/>
  <c r="S41" i="52"/>
  <c r="R41" i="54"/>
  <c r="S41" i="54" s="1"/>
  <c r="R10" i="53"/>
  <c r="S10" i="53" s="1"/>
  <c r="S10" i="52"/>
  <c r="R10" i="54"/>
  <c r="S10" i="54" s="1"/>
  <c r="R11" i="53"/>
  <c r="S11" i="53" s="1"/>
  <c r="S11" i="52"/>
  <c r="R11" i="54"/>
  <c r="S11" i="54" s="1"/>
  <c r="N42" i="53"/>
  <c r="N42" i="64" s="1"/>
  <c r="N85" i="64" s="1"/>
  <c r="N42" i="54"/>
  <c r="N19" i="53"/>
  <c r="N19" i="64" s="1"/>
  <c r="N62" i="64" s="1"/>
  <c r="N19" i="54"/>
  <c r="N31" i="53"/>
  <c r="N31" i="64" s="1"/>
  <c r="N74" i="64" s="1"/>
  <c r="N31" i="54"/>
  <c r="N18" i="53"/>
  <c r="N18" i="64" s="1"/>
  <c r="N61" i="64" s="1"/>
  <c r="N18" i="54"/>
  <c r="N8" i="53"/>
  <c r="N8" i="64" s="1"/>
  <c r="N51" i="64" s="1"/>
  <c r="N8" i="54"/>
  <c r="AC44" i="49"/>
  <c r="AH14" i="49"/>
  <c r="AD14" i="63" s="1"/>
  <c r="AD66" i="63" s="1"/>
  <c r="Y28" i="50"/>
  <c r="M44" i="50"/>
  <c r="Q28" i="49"/>
  <c r="Q28" i="63" s="1"/>
  <c r="Q80" i="63" s="1"/>
  <c r="O20" i="49"/>
  <c r="O20" i="63" s="1"/>
  <c r="O72" i="63" s="1"/>
  <c r="O27" i="49"/>
  <c r="O27" i="63" s="1"/>
  <c r="O79" i="63" s="1"/>
  <c r="AI22" i="49"/>
  <c r="AE22" i="63" s="1"/>
  <c r="AE74" i="63" s="1"/>
  <c r="AI47" i="49"/>
  <c r="AE47" i="63" s="1"/>
  <c r="AE99" i="63" s="1"/>
  <c r="O19" i="53"/>
  <c r="O19" i="64" s="1"/>
  <c r="O62" i="64" s="1"/>
  <c r="O19" i="54"/>
  <c r="O18" i="53"/>
  <c r="O18" i="64" s="1"/>
  <c r="O61" i="64" s="1"/>
  <c r="O18" i="54"/>
  <c r="O13" i="53"/>
  <c r="O13" i="64" s="1"/>
  <c r="O56" i="64" s="1"/>
  <c r="O13" i="54"/>
  <c r="O16" i="53"/>
  <c r="O16" i="64" s="1"/>
  <c r="O59" i="64" s="1"/>
  <c r="O16" i="54"/>
  <c r="U13" i="49"/>
  <c r="T13" i="63" s="1"/>
  <c r="T65" i="63" s="1"/>
  <c r="AH7" i="49"/>
  <c r="AD7" i="63" s="1"/>
  <c r="AD59" i="63" s="1"/>
  <c r="Y48" i="49"/>
  <c r="X48" i="63" s="1"/>
  <c r="X100" i="63" s="1"/>
  <c r="Y24" i="49"/>
  <c r="AI13" i="49"/>
  <c r="AE13" i="63" s="1"/>
  <c r="AE65" i="63" s="1"/>
  <c r="AB35" i="50"/>
  <c r="AH30" i="49"/>
  <c r="AD30" i="63" s="1"/>
  <c r="AD82" i="63" s="1"/>
  <c r="O7" i="49"/>
  <c r="O7" i="63" s="1"/>
  <c r="O59" i="63" s="1"/>
  <c r="M45" i="50"/>
  <c r="V24" i="53"/>
  <c r="T24" i="64" s="1"/>
  <c r="T67" i="64" s="1"/>
  <c r="V24" i="54"/>
  <c r="Y40" i="49"/>
  <c r="X40" i="63" s="1"/>
  <c r="X92" i="63" s="1"/>
  <c r="AA23" i="52"/>
  <c r="Z23" i="53"/>
  <c r="AA23" i="53" s="1"/>
  <c r="Z23" i="54"/>
  <c r="AA23" i="54" s="1"/>
  <c r="V10" i="50"/>
  <c r="M30" i="53"/>
  <c r="M30" i="64" s="1"/>
  <c r="M73" i="64" s="1"/>
  <c r="M30" i="54"/>
  <c r="U28" i="53"/>
  <c r="S28" i="64" s="1"/>
  <c r="S71" i="64" s="1"/>
  <c r="U28" i="54"/>
  <c r="AB45" i="50"/>
  <c r="M25" i="50"/>
  <c r="R29" i="53"/>
  <c r="S29" i="53" s="1"/>
  <c r="S29" i="52"/>
  <c r="R29" i="54"/>
  <c r="S29" i="54" s="1"/>
  <c r="AB10" i="50"/>
  <c r="V27" i="53"/>
  <c r="T27" i="64" s="1"/>
  <c r="T70" i="64" s="1"/>
  <c r="V27" i="54"/>
  <c r="AA19" i="52"/>
  <c r="Z19" i="53"/>
  <c r="AA19" i="53" s="1"/>
  <c r="Z19" i="54"/>
  <c r="AA19" i="54" s="1"/>
  <c r="Y45" i="49"/>
  <c r="X45" i="63" s="1"/>
  <c r="X97" i="63" s="1"/>
  <c r="M15" i="50"/>
  <c r="AC40" i="49"/>
  <c r="AI33" i="49"/>
  <c r="AE33" i="63" s="1"/>
  <c r="AE85" i="63" s="1"/>
  <c r="V33" i="53"/>
  <c r="T33" i="64" s="1"/>
  <c r="T76" i="64" s="1"/>
  <c r="V33" i="54"/>
  <c r="V30" i="53"/>
  <c r="T30" i="64" s="1"/>
  <c r="T73" i="64" s="1"/>
  <c r="V30" i="54"/>
  <c r="V10" i="53"/>
  <c r="T10" i="64" s="1"/>
  <c r="T53" i="64" s="1"/>
  <c r="V10" i="54"/>
  <c r="V20" i="53"/>
  <c r="T20" i="64" s="1"/>
  <c r="T63" i="64" s="1"/>
  <c r="V20" i="54"/>
  <c r="V31" i="53"/>
  <c r="T31" i="64" s="1"/>
  <c r="T74" i="64" s="1"/>
  <c r="V31" i="54"/>
  <c r="U26" i="49"/>
  <c r="T26" i="63" s="1"/>
  <c r="T78" i="63" s="1"/>
  <c r="AC9" i="49"/>
  <c r="AH49" i="49"/>
  <c r="AD49" i="63" s="1"/>
  <c r="AD101" i="63" s="1"/>
  <c r="AI36" i="49"/>
  <c r="AE36" i="63" s="1"/>
  <c r="AE88" i="63" s="1"/>
  <c r="AI23" i="49"/>
  <c r="AE23" i="63" s="1"/>
  <c r="AE75" i="63" s="1"/>
  <c r="AA15" i="52"/>
  <c r="Z15" i="53"/>
  <c r="AA15" i="53" s="1"/>
  <c r="Z15" i="54"/>
  <c r="AA15" i="54" s="1"/>
  <c r="AA36" i="52"/>
  <c r="Z36" i="53"/>
  <c r="AA36" i="53" s="1"/>
  <c r="Z36" i="54"/>
  <c r="AA36" i="54" s="1"/>
  <c r="AA34" i="52"/>
  <c r="Z34" i="53"/>
  <c r="AA34" i="53" s="1"/>
  <c r="Z34" i="54"/>
  <c r="AA34" i="54" s="1"/>
  <c r="AA8" i="52"/>
  <c r="Z8" i="53"/>
  <c r="AA8" i="53" s="1"/>
  <c r="Z8" i="54"/>
  <c r="AA8" i="54" s="1"/>
  <c r="AA13" i="52"/>
  <c r="Z13" i="53"/>
  <c r="AA13" i="53" s="1"/>
  <c r="Z13" i="54"/>
  <c r="AA13" i="54" s="1"/>
  <c r="V14" i="50"/>
  <c r="AB14" i="50" s="1"/>
  <c r="V28" i="50"/>
  <c r="V38" i="50"/>
  <c r="AB38" i="50" s="1"/>
  <c r="V29" i="50"/>
  <c r="V19" i="50"/>
  <c r="V51" i="50"/>
  <c r="AB51" i="50" s="1"/>
  <c r="M20" i="53"/>
  <c r="M20" i="64" s="1"/>
  <c r="M63" i="64" s="1"/>
  <c r="M20" i="54"/>
  <c r="M22" i="53"/>
  <c r="M22" i="64" s="1"/>
  <c r="M65" i="64" s="1"/>
  <c r="M22" i="54"/>
  <c r="M28" i="53"/>
  <c r="M28" i="64" s="1"/>
  <c r="M71" i="64" s="1"/>
  <c r="M28" i="54"/>
  <c r="M38" i="53"/>
  <c r="M38" i="64" s="1"/>
  <c r="M81" i="64" s="1"/>
  <c r="M38" i="54"/>
  <c r="M16" i="53"/>
  <c r="M16" i="64" s="1"/>
  <c r="M59" i="64" s="1"/>
  <c r="M16" i="54"/>
  <c r="AB7" i="48"/>
  <c r="AB25" i="48"/>
  <c r="P29" i="49"/>
  <c r="P39" i="49"/>
  <c r="P39" i="63" s="1"/>
  <c r="P91" i="63" s="1"/>
  <c r="AD53" i="48"/>
  <c r="AC39" i="49"/>
  <c r="AH6" i="49"/>
  <c r="AD6" i="63" s="1"/>
  <c r="AD58" i="63" s="1"/>
  <c r="AH42" i="49"/>
  <c r="AD42" i="63" s="1"/>
  <c r="AD94" i="63" s="1"/>
  <c r="Y27" i="49"/>
  <c r="X27" i="63" s="1"/>
  <c r="X79" i="63" s="1"/>
  <c r="Q8" i="49"/>
  <c r="Q8" i="63" s="1"/>
  <c r="Q60" i="63" s="1"/>
  <c r="O53" i="50"/>
  <c r="M8" i="50"/>
  <c r="AI14" i="49"/>
  <c r="AE14" i="63" s="1"/>
  <c r="AE66" i="63" s="1"/>
  <c r="U42" i="53"/>
  <c r="S42" i="64" s="1"/>
  <c r="S85" i="64" s="1"/>
  <c r="U42" i="54"/>
  <c r="U41" i="53"/>
  <c r="W41" i="53" s="1"/>
  <c r="U41" i="54"/>
  <c r="U36" i="53"/>
  <c r="S36" i="64" s="1"/>
  <c r="S79" i="64" s="1"/>
  <c r="U36" i="54"/>
  <c r="U7" i="53"/>
  <c r="S7" i="64" s="1"/>
  <c r="S50" i="64" s="1"/>
  <c r="U7" i="54"/>
  <c r="U5" i="53"/>
  <c r="S5" i="64" s="1"/>
  <c r="S48" i="64" s="1"/>
  <c r="U44" i="52"/>
  <c r="U5" i="54"/>
  <c r="U34" i="49"/>
  <c r="T34" i="63" s="1"/>
  <c r="T86" i="63" s="1"/>
  <c r="M34" i="50"/>
  <c r="AC24" i="49"/>
  <c r="AH32" i="49"/>
  <c r="AD32" i="63" s="1"/>
  <c r="AD84" i="63" s="1"/>
  <c r="Y46" i="49"/>
  <c r="X46" i="63" s="1"/>
  <c r="X98" i="63" s="1"/>
  <c r="Y13" i="49"/>
  <c r="X13" i="63" s="1"/>
  <c r="X65" i="63" s="1"/>
  <c r="M33" i="50"/>
  <c r="Q16" i="49"/>
  <c r="Q16" i="63" s="1"/>
  <c r="Q68" i="63" s="1"/>
  <c r="Q37" i="49"/>
  <c r="Q37" i="63" s="1"/>
  <c r="Q89" i="63" s="1"/>
  <c r="O29" i="49"/>
  <c r="O29" i="63" s="1"/>
  <c r="O81" i="63" s="1"/>
  <c r="AI48" i="49"/>
  <c r="AE48" i="63" s="1"/>
  <c r="AE100" i="63" s="1"/>
  <c r="AI41" i="49"/>
  <c r="AE41" i="63" s="1"/>
  <c r="AE93" i="63" s="1"/>
  <c r="W31" i="52"/>
  <c r="T31" i="53"/>
  <c r="R31" i="64" s="1"/>
  <c r="R74" i="64" s="1"/>
  <c r="T31" i="54"/>
  <c r="W19" i="52"/>
  <c r="T19" i="53"/>
  <c r="R19" i="64" s="1"/>
  <c r="R62" i="64" s="1"/>
  <c r="T19" i="54"/>
  <c r="W14" i="52"/>
  <c r="T14" i="53"/>
  <c r="R14" i="64" s="1"/>
  <c r="R57" i="64" s="1"/>
  <c r="T14" i="54"/>
  <c r="W7" i="52"/>
  <c r="T7" i="53"/>
  <c r="R7" i="64" s="1"/>
  <c r="R50" i="64" s="1"/>
  <c r="T7" i="54"/>
  <c r="W9" i="52"/>
  <c r="T9" i="53"/>
  <c r="R9" i="64" s="1"/>
  <c r="R52" i="64" s="1"/>
  <c r="T9" i="54"/>
  <c r="O28" i="49"/>
  <c r="O28" i="63" s="1"/>
  <c r="O80" i="63" s="1"/>
  <c r="AB14" i="48"/>
  <c r="U39" i="49"/>
  <c r="T39" i="63" s="1"/>
  <c r="T91" i="63" s="1"/>
  <c r="W16" i="49"/>
  <c r="V16" i="63" s="1"/>
  <c r="V68" i="63" s="1"/>
  <c r="P21" i="49"/>
  <c r="P33" i="49"/>
  <c r="P33" i="63" s="1"/>
  <c r="P85" i="63" s="1"/>
  <c r="Y37" i="50"/>
  <c r="Y15" i="50"/>
  <c r="R39" i="53"/>
  <c r="S39" i="53" s="1"/>
  <c r="S39" i="52"/>
  <c r="R39" i="54"/>
  <c r="S39" i="54" s="1"/>
  <c r="R14" i="53"/>
  <c r="S14" i="53" s="1"/>
  <c r="S14" i="52"/>
  <c r="R14" i="54"/>
  <c r="S14" i="54" s="1"/>
  <c r="R12" i="53"/>
  <c r="S12" i="53" s="1"/>
  <c r="S12" i="52"/>
  <c r="R12" i="54"/>
  <c r="S12" i="54" s="1"/>
  <c r="R36" i="53"/>
  <c r="S36" i="53" s="1"/>
  <c r="S36" i="52"/>
  <c r="R36" i="54"/>
  <c r="S36" i="54" s="1"/>
  <c r="M37" i="50"/>
  <c r="Q30" i="49"/>
  <c r="Q30" i="63" s="1"/>
  <c r="Q82" i="63" s="1"/>
  <c r="O9" i="49"/>
  <c r="O9" i="63" s="1"/>
  <c r="O61" i="63" s="1"/>
  <c r="O43" i="49"/>
  <c r="O43" i="63" s="1"/>
  <c r="O95" i="63" s="1"/>
  <c r="AI8" i="49"/>
  <c r="N24" i="53"/>
  <c r="N24" i="64" s="1"/>
  <c r="N67" i="64" s="1"/>
  <c r="N24" i="54"/>
  <c r="N36" i="53"/>
  <c r="N36" i="64" s="1"/>
  <c r="N79" i="64" s="1"/>
  <c r="N36" i="54"/>
  <c r="N29" i="53"/>
  <c r="N29" i="64" s="1"/>
  <c r="N72" i="64" s="1"/>
  <c r="N29" i="54"/>
  <c r="N27" i="53"/>
  <c r="N27" i="64" s="1"/>
  <c r="N70" i="64" s="1"/>
  <c r="N27" i="54"/>
  <c r="N16" i="53"/>
  <c r="N16" i="64" s="1"/>
  <c r="N59" i="64" s="1"/>
  <c r="N16" i="54"/>
  <c r="U6" i="49"/>
  <c r="T6" i="63" s="1"/>
  <c r="T58" i="63" s="1"/>
  <c r="W6" i="49"/>
  <c r="V6" i="63" s="1"/>
  <c r="V58" i="63" s="1"/>
  <c r="W24" i="49"/>
  <c r="V24" i="63" s="1"/>
  <c r="V76" i="63" s="1"/>
  <c r="P50" i="49"/>
  <c r="P50" i="63" s="1"/>
  <c r="P102" i="63" s="1"/>
  <c r="AC20" i="49"/>
  <c r="Y28" i="49"/>
  <c r="X28" i="63" s="1"/>
  <c r="X80" i="63" s="1"/>
  <c r="O36" i="53"/>
  <c r="O36" i="64" s="1"/>
  <c r="O79" i="64" s="1"/>
  <c r="O36" i="54"/>
  <c r="O41" i="53"/>
  <c r="O41" i="64" s="1"/>
  <c r="O84" i="64" s="1"/>
  <c r="O41" i="54"/>
  <c r="O38" i="53"/>
  <c r="O38" i="64" s="1"/>
  <c r="O81" i="64" s="1"/>
  <c r="O38" i="54"/>
  <c r="O7" i="53"/>
  <c r="O7" i="64" s="1"/>
  <c r="O50" i="64" s="1"/>
  <c r="O7" i="54"/>
  <c r="O24" i="53"/>
  <c r="O24" i="64" s="1"/>
  <c r="O67" i="64" s="1"/>
  <c r="O24" i="54"/>
  <c r="U24" i="49"/>
  <c r="T24" i="63" s="1"/>
  <c r="T76" i="63" s="1"/>
  <c r="W5" i="49"/>
  <c r="V5" i="63" s="1"/>
  <c r="V57" i="63" s="1"/>
  <c r="P13" i="49"/>
  <c r="P13" i="63" s="1"/>
  <c r="P65" i="63" s="1"/>
  <c r="P46" i="49"/>
  <c r="P46" i="63" s="1"/>
  <c r="P98" i="63" s="1"/>
  <c r="AC48" i="49"/>
  <c r="AC21" i="49"/>
  <c r="Y47" i="50"/>
  <c r="Y26" i="50"/>
  <c r="M7" i="50"/>
  <c r="Q33" i="49"/>
  <c r="Q33" i="63" s="1"/>
  <c r="Q85" i="63" s="1"/>
  <c r="O13" i="49"/>
  <c r="O13" i="63" s="1"/>
  <c r="O65" i="63" s="1"/>
  <c r="O44" i="49"/>
  <c r="O44" i="63" s="1"/>
  <c r="O96" i="63" s="1"/>
  <c r="U35" i="49"/>
  <c r="T35" i="63" s="1"/>
  <c r="T87" i="63" s="1"/>
  <c r="W35" i="49"/>
  <c r="V35" i="63" s="1"/>
  <c r="V87" i="63" s="1"/>
  <c r="P32" i="49"/>
  <c r="P32" i="63" s="1"/>
  <c r="P84" i="63" s="1"/>
  <c r="Y41" i="49"/>
  <c r="X41" i="63" s="1"/>
  <c r="X93" i="63" s="1"/>
  <c r="V11" i="53"/>
  <c r="T11" i="64" s="1"/>
  <c r="T54" i="64" s="1"/>
  <c r="V11" i="54"/>
  <c r="V16" i="50"/>
  <c r="AB16" i="50" s="1"/>
  <c r="U31" i="53"/>
  <c r="S31" i="64" s="1"/>
  <c r="S74" i="64" s="1"/>
  <c r="U31" i="54"/>
  <c r="W28" i="52"/>
  <c r="T28" i="53"/>
  <c r="W28" i="53" s="1"/>
  <c r="T28" i="54"/>
  <c r="R8" i="53"/>
  <c r="S8" i="53" s="1"/>
  <c r="S8" i="52"/>
  <c r="R8" i="54"/>
  <c r="S8" i="54" s="1"/>
  <c r="N28" i="53"/>
  <c r="N28" i="64" s="1"/>
  <c r="N71" i="64" s="1"/>
  <c r="N28" i="54"/>
  <c r="M53" i="48"/>
  <c r="M58" i="48" s="1"/>
  <c r="M41" i="49" s="1"/>
  <c r="M41" i="63" s="1"/>
  <c r="M93" i="63" s="1"/>
  <c r="M5" i="50"/>
  <c r="Y39" i="49"/>
  <c r="X39" i="63" s="1"/>
  <c r="X91" i="63" s="1"/>
  <c r="Y10" i="49"/>
  <c r="X10" i="63" s="1"/>
  <c r="X62" i="63" s="1"/>
  <c r="V19" i="53"/>
  <c r="T19" i="64" s="1"/>
  <c r="T62" i="64" s="1"/>
  <c r="V19" i="54"/>
  <c r="V18" i="53"/>
  <c r="T18" i="64" s="1"/>
  <c r="T61" i="64" s="1"/>
  <c r="V18" i="54"/>
  <c r="V6" i="53"/>
  <c r="T6" i="64" s="1"/>
  <c r="T49" i="64" s="1"/>
  <c r="V6" i="54"/>
  <c r="V28" i="53"/>
  <c r="T28" i="64" s="1"/>
  <c r="T71" i="64" s="1"/>
  <c r="V28" i="54"/>
  <c r="AB44" i="50"/>
  <c r="AB19" i="50"/>
  <c r="Y32" i="49"/>
  <c r="X32" i="63" s="1"/>
  <c r="X84" i="63" s="1"/>
  <c r="AI46" i="49"/>
  <c r="AE46" i="63" s="1"/>
  <c r="AE98" i="63" s="1"/>
  <c r="AI34" i="49"/>
  <c r="AE34" i="63" s="1"/>
  <c r="AE86" i="63" s="1"/>
  <c r="AI49" i="49"/>
  <c r="AE49" i="63" s="1"/>
  <c r="AE101" i="63" s="1"/>
  <c r="AA24" i="52"/>
  <c r="Z24" i="53"/>
  <c r="AA24" i="53" s="1"/>
  <c r="Z24" i="54"/>
  <c r="AA24" i="54" s="1"/>
  <c r="AA32" i="52"/>
  <c r="Z32" i="53"/>
  <c r="AA32" i="53" s="1"/>
  <c r="Z32" i="54"/>
  <c r="AA32" i="54" s="1"/>
  <c r="AA21" i="52"/>
  <c r="Z21" i="53"/>
  <c r="AA21" i="53" s="1"/>
  <c r="Z21" i="54"/>
  <c r="AA21" i="54" s="1"/>
  <c r="AA16" i="52"/>
  <c r="Z16" i="53"/>
  <c r="AA16" i="53" s="1"/>
  <c r="Z16" i="54"/>
  <c r="AA16" i="54" s="1"/>
  <c r="AA38" i="52"/>
  <c r="Z38" i="53"/>
  <c r="AA38" i="53" s="1"/>
  <c r="Z38" i="54"/>
  <c r="AA38" i="54" s="1"/>
  <c r="V22" i="50"/>
  <c r="AB22" i="50" s="1"/>
  <c r="V48" i="50"/>
  <c r="V42" i="50"/>
  <c r="AB42" i="50" s="1"/>
  <c r="V33" i="50"/>
  <c r="AB33" i="50" s="1"/>
  <c r="V23" i="50"/>
  <c r="AB23" i="50" s="1"/>
  <c r="M42" i="53"/>
  <c r="M42" i="64" s="1"/>
  <c r="M85" i="64" s="1"/>
  <c r="M42" i="54"/>
  <c r="M12" i="53"/>
  <c r="M12" i="64" s="1"/>
  <c r="M55" i="64" s="1"/>
  <c r="M12" i="54"/>
  <c r="M39" i="53"/>
  <c r="M39" i="64" s="1"/>
  <c r="M82" i="64" s="1"/>
  <c r="M39" i="54"/>
  <c r="M10" i="53"/>
  <c r="M10" i="64" s="1"/>
  <c r="M53" i="64" s="1"/>
  <c r="M10" i="54"/>
  <c r="M5" i="53"/>
  <c r="M5" i="64" s="1"/>
  <c r="M48" i="64" s="1"/>
  <c r="M5" i="54"/>
  <c r="M44" i="52"/>
  <c r="U25" i="49"/>
  <c r="T25" i="63" s="1"/>
  <c r="T77" i="63" s="1"/>
  <c r="M43" i="50"/>
  <c r="M18" i="50"/>
  <c r="U35" i="53"/>
  <c r="S35" i="64" s="1"/>
  <c r="S78" i="64" s="1"/>
  <c r="U35" i="54"/>
  <c r="U24" i="53"/>
  <c r="S24" i="64" s="1"/>
  <c r="S67" i="64" s="1"/>
  <c r="U24" i="54"/>
  <c r="U15" i="53"/>
  <c r="S15" i="64" s="1"/>
  <c r="S58" i="64" s="1"/>
  <c r="U15" i="54"/>
  <c r="U10" i="53"/>
  <c r="S10" i="64" s="1"/>
  <c r="S53" i="64" s="1"/>
  <c r="U10" i="54"/>
  <c r="U12" i="53"/>
  <c r="S12" i="64" s="1"/>
  <c r="S55" i="64" s="1"/>
  <c r="U12" i="54"/>
  <c r="AB34" i="48"/>
  <c r="AC17" i="49"/>
  <c r="AH28" i="49"/>
  <c r="AD28" i="63" s="1"/>
  <c r="AD80" i="63" s="1"/>
  <c r="U50" i="49"/>
  <c r="T50" i="63" s="1"/>
  <c r="T102" i="63" s="1"/>
  <c r="AB17" i="48"/>
  <c r="P10" i="49"/>
  <c r="P10" i="63" s="1"/>
  <c r="P62" i="63" s="1"/>
  <c r="AC42" i="49"/>
  <c r="W25" i="52"/>
  <c r="T25" i="53"/>
  <c r="R25" i="64" s="1"/>
  <c r="R68" i="64" s="1"/>
  <c r="T25" i="54"/>
  <c r="W25" i="54" s="1"/>
  <c r="W29" i="52"/>
  <c r="T29" i="53"/>
  <c r="R29" i="64" s="1"/>
  <c r="R72" i="64" s="1"/>
  <c r="T29" i="54"/>
  <c r="W29" i="54" s="1"/>
  <c r="W40" i="52"/>
  <c r="T40" i="53"/>
  <c r="R40" i="64" s="1"/>
  <c r="R83" i="64" s="1"/>
  <c r="T40" i="54"/>
  <c r="W15" i="52"/>
  <c r="T15" i="53"/>
  <c r="T15" i="54"/>
  <c r="U32" i="49"/>
  <c r="T32" i="63" s="1"/>
  <c r="T84" i="63" s="1"/>
  <c r="AB15" i="48"/>
  <c r="AB39" i="48"/>
  <c r="M39" i="50"/>
  <c r="AC50" i="49"/>
  <c r="M30" i="49"/>
  <c r="M30" i="63" s="1"/>
  <c r="M82" i="63" s="1"/>
  <c r="M30" i="50"/>
  <c r="AH22" i="49"/>
  <c r="AD22" i="63" s="1"/>
  <c r="AD74" i="63" s="1"/>
  <c r="Y37" i="49"/>
  <c r="Y15" i="49"/>
  <c r="X15" i="63" s="1"/>
  <c r="X67" i="63" s="1"/>
  <c r="R31" i="53"/>
  <c r="S31" i="53" s="1"/>
  <c r="S31" i="52"/>
  <c r="R31" i="54"/>
  <c r="S31" i="54" s="1"/>
  <c r="R27" i="53"/>
  <c r="S27" i="53" s="1"/>
  <c r="S27" i="52"/>
  <c r="R27" i="54"/>
  <c r="S27" i="54" s="1"/>
  <c r="S42" i="52"/>
  <c r="R42" i="53"/>
  <c r="S42" i="53" s="1"/>
  <c r="R42" i="54"/>
  <c r="S42" i="54" s="1"/>
  <c r="R9" i="53"/>
  <c r="S9" i="53" s="1"/>
  <c r="S9" i="52"/>
  <c r="R9" i="54"/>
  <c r="S9" i="54" s="1"/>
  <c r="N38" i="53"/>
  <c r="N38" i="64" s="1"/>
  <c r="N81" i="64" s="1"/>
  <c r="N38" i="54"/>
  <c r="N22" i="53"/>
  <c r="N22" i="64" s="1"/>
  <c r="N65" i="64" s="1"/>
  <c r="N22" i="54"/>
  <c r="N17" i="53"/>
  <c r="N17" i="64" s="1"/>
  <c r="N60" i="64" s="1"/>
  <c r="N17" i="54"/>
  <c r="N14" i="53"/>
  <c r="N14" i="64" s="1"/>
  <c r="N57" i="64" s="1"/>
  <c r="N14" i="54"/>
  <c r="N40" i="53"/>
  <c r="N40" i="64" s="1"/>
  <c r="N83" i="64" s="1"/>
  <c r="N40" i="54"/>
  <c r="U42" i="49"/>
  <c r="T42" i="63" s="1"/>
  <c r="T94" i="63" s="1"/>
  <c r="AC46" i="49"/>
  <c r="M49" i="49"/>
  <c r="M49" i="63" s="1"/>
  <c r="M101" i="63" s="1"/>
  <c r="M49" i="50"/>
  <c r="AH26" i="49"/>
  <c r="AD26" i="63" s="1"/>
  <c r="AD78" i="63" s="1"/>
  <c r="Y49" i="50"/>
  <c r="AB49" i="50" s="1"/>
  <c r="Q12" i="49"/>
  <c r="Q12" i="63" s="1"/>
  <c r="Q64" i="63" s="1"/>
  <c r="AI20" i="49"/>
  <c r="AE20" i="63" s="1"/>
  <c r="AE72" i="63" s="1"/>
  <c r="O26" i="53"/>
  <c r="O26" i="64" s="1"/>
  <c r="O69" i="64" s="1"/>
  <c r="O26" i="54"/>
  <c r="O40" i="53"/>
  <c r="O40" i="64" s="1"/>
  <c r="O83" i="64" s="1"/>
  <c r="O40" i="54"/>
  <c r="O20" i="53"/>
  <c r="O20" i="64" s="1"/>
  <c r="O63" i="64" s="1"/>
  <c r="O20" i="54"/>
  <c r="O5" i="53"/>
  <c r="O5" i="64" s="1"/>
  <c r="O48" i="64" s="1"/>
  <c r="O5" i="54"/>
  <c r="O44" i="52"/>
  <c r="O6" i="53"/>
  <c r="O6" i="64" s="1"/>
  <c r="O49" i="64" s="1"/>
  <c r="O6" i="54"/>
  <c r="U37" i="49"/>
  <c r="T37" i="63" s="1"/>
  <c r="T89" i="63" s="1"/>
  <c r="AH40" i="49"/>
  <c r="AD40" i="63" s="1"/>
  <c r="AD92" i="63" s="1"/>
  <c r="Y47" i="49"/>
  <c r="X47" i="63" s="1"/>
  <c r="X99" i="63" s="1"/>
  <c r="Y26" i="49"/>
  <c r="X26" i="63" s="1"/>
  <c r="X78" i="63" s="1"/>
  <c r="AI9" i="49"/>
  <c r="AE9" i="63" s="1"/>
  <c r="AE61" i="63" s="1"/>
  <c r="AB20" i="48"/>
  <c r="AC34" i="49"/>
  <c r="AH41" i="49"/>
  <c r="AD41" i="63" s="1"/>
  <c r="AD93" i="63" s="1"/>
  <c r="N54" i="49"/>
  <c r="N54" i="50"/>
  <c r="N54" i="48"/>
  <c r="V36" i="53"/>
  <c r="T36" i="64" s="1"/>
  <c r="T79" i="64" s="1"/>
  <c r="V36" i="54"/>
  <c r="AA41" i="52"/>
  <c r="Z41" i="53"/>
  <c r="AA41" i="53" s="1"/>
  <c r="Z41" i="54"/>
  <c r="AA41" i="54" s="1"/>
  <c r="V50" i="50"/>
  <c r="AB50" i="50" s="1"/>
  <c r="M41" i="53"/>
  <c r="M41" i="64" s="1"/>
  <c r="M84" i="64" s="1"/>
  <c r="M41" i="54"/>
  <c r="U18" i="53"/>
  <c r="S18" i="64" s="1"/>
  <c r="S61" i="64" s="1"/>
  <c r="U18" i="54"/>
  <c r="W42" i="52"/>
  <c r="T42" i="53"/>
  <c r="R42" i="64" s="1"/>
  <c r="R85" i="64" s="1"/>
  <c r="T42" i="54"/>
  <c r="W42" i="54" s="1"/>
  <c r="AB8" i="48"/>
  <c r="O33" i="53"/>
  <c r="O33" i="64" s="1"/>
  <c r="O76" i="64" s="1"/>
  <c r="O33" i="54"/>
  <c r="Q45" i="54"/>
  <c r="Q45" i="53"/>
  <c r="Q45" i="51"/>
  <c r="Q45" i="52"/>
  <c r="M10" i="50"/>
  <c r="S58" i="48"/>
  <c r="R58" i="48"/>
  <c r="V12" i="53"/>
  <c r="T12" i="64" s="1"/>
  <c r="T55" i="64" s="1"/>
  <c r="V12" i="54"/>
  <c r="V40" i="53"/>
  <c r="T40" i="64" s="1"/>
  <c r="T83" i="64" s="1"/>
  <c r="V40" i="54"/>
  <c r="V14" i="53"/>
  <c r="T14" i="64" s="1"/>
  <c r="T57" i="64" s="1"/>
  <c r="V14" i="54"/>
  <c r="V9" i="53"/>
  <c r="T9" i="64" s="1"/>
  <c r="T52" i="64" s="1"/>
  <c r="V9" i="54"/>
  <c r="AB29" i="50"/>
  <c r="AI50" i="49"/>
  <c r="AE50" i="63" s="1"/>
  <c r="AE102" i="63" s="1"/>
  <c r="AI53" i="50"/>
  <c r="AA18" i="52"/>
  <c r="Z18" i="53"/>
  <c r="AA18" i="53" s="1"/>
  <c r="Z18" i="54"/>
  <c r="AA18" i="54" s="1"/>
  <c r="AA26" i="52"/>
  <c r="Z26" i="53"/>
  <c r="AA26" i="53" s="1"/>
  <c r="Z26" i="54"/>
  <c r="AA26" i="54" s="1"/>
  <c r="AA31" i="52"/>
  <c r="Z31" i="53"/>
  <c r="AA31" i="53" s="1"/>
  <c r="Z31" i="54"/>
  <c r="AA31" i="54" s="1"/>
  <c r="AA7" i="52"/>
  <c r="Z7" i="53"/>
  <c r="AA7" i="53" s="1"/>
  <c r="Z7" i="54"/>
  <c r="AA7" i="54" s="1"/>
  <c r="V5" i="50"/>
  <c r="AB5" i="50" s="1"/>
  <c r="V53" i="48"/>
  <c r="V58" i="48" s="1"/>
  <c r="V32" i="49" s="1"/>
  <c r="U32" i="63" s="1"/>
  <c r="U84" i="63" s="1"/>
  <c r="V36" i="50"/>
  <c r="AB36" i="50" s="1"/>
  <c r="V6" i="50"/>
  <c r="AB6" i="50" s="1"/>
  <c r="V46" i="50"/>
  <c r="AB46" i="50" s="1"/>
  <c r="V37" i="50"/>
  <c r="AB37" i="50" s="1"/>
  <c r="V27" i="50"/>
  <c r="AB27" i="50" s="1"/>
  <c r="AB5" i="48"/>
  <c r="M40" i="53"/>
  <c r="M40" i="64" s="1"/>
  <c r="M83" i="64" s="1"/>
  <c r="M40" i="54"/>
  <c r="M19" i="53"/>
  <c r="M19" i="64" s="1"/>
  <c r="M62" i="64" s="1"/>
  <c r="M19" i="54"/>
  <c r="M26" i="53"/>
  <c r="M26" i="64" s="1"/>
  <c r="M69" i="64" s="1"/>
  <c r="M26" i="54"/>
  <c r="M11" i="53"/>
  <c r="M11" i="64" s="1"/>
  <c r="M54" i="64" s="1"/>
  <c r="M11" i="54"/>
  <c r="M33" i="53"/>
  <c r="M33" i="64" s="1"/>
  <c r="M76" i="64" s="1"/>
  <c r="M33" i="54"/>
  <c r="U22" i="49"/>
  <c r="T22" i="63" s="1"/>
  <c r="T74" i="63" s="1"/>
  <c r="AB11" i="50"/>
  <c r="P15" i="49"/>
  <c r="P15" i="63" s="1"/>
  <c r="P67" i="63" s="1"/>
  <c r="AC37" i="49"/>
  <c r="AH8" i="49"/>
  <c r="Y50" i="49"/>
  <c r="X50" i="63" s="1"/>
  <c r="X102" i="63" s="1"/>
  <c r="Y21" i="49"/>
  <c r="X21" i="63" s="1"/>
  <c r="X73" i="63" s="1"/>
  <c r="AI39" i="49"/>
  <c r="AE39" i="63" s="1"/>
  <c r="AE91" i="63" s="1"/>
  <c r="AI15" i="49"/>
  <c r="AE15" i="63" s="1"/>
  <c r="AE67" i="63" s="1"/>
  <c r="U19" i="53"/>
  <c r="S19" i="64" s="1"/>
  <c r="S62" i="64" s="1"/>
  <c r="U19" i="54"/>
  <c r="U30" i="53"/>
  <c r="S30" i="64" s="1"/>
  <c r="S73" i="64" s="1"/>
  <c r="U30" i="54"/>
  <c r="U23" i="53"/>
  <c r="S23" i="64" s="1"/>
  <c r="S66" i="64" s="1"/>
  <c r="U23" i="54"/>
  <c r="U11" i="53"/>
  <c r="S11" i="64" s="1"/>
  <c r="S54" i="64" s="1"/>
  <c r="U11" i="54"/>
  <c r="U37" i="53"/>
  <c r="W37" i="53" s="1"/>
  <c r="U37" i="54"/>
  <c r="AB50" i="48"/>
  <c r="U17" i="49"/>
  <c r="T17" i="63" s="1"/>
  <c r="T69" i="63" s="1"/>
  <c r="AC19" i="49"/>
  <c r="Y7" i="49"/>
  <c r="X7" i="63" s="1"/>
  <c r="X59" i="63" s="1"/>
  <c r="Y23" i="49"/>
  <c r="X23" i="63" s="1"/>
  <c r="X75" i="63" s="1"/>
  <c r="Q6" i="49"/>
  <c r="Q6" i="63" s="1"/>
  <c r="Q58" i="63" s="1"/>
  <c r="AI45" i="49"/>
  <c r="AE45" i="63" s="1"/>
  <c r="AE97" i="63" s="1"/>
  <c r="AI27" i="49"/>
  <c r="AE27" i="63" s="1"/>
  <c r="AE79" i="63" s="1"/>
  <c r="W18" i="52"/>
  <c r="T18" i="53"/>
  <c r="R18" i="64" s="1"/>
  <c r="R61" i="64" s="1"/>
  <c r="T18" i="54"/>
  <c r="W18" i="54" s="1"/>
  <c r="W26" i="52"/>
  <c r="T26" i="53"/>
  <c r="W26" i="53" s="1"/>
  <c r="T26" i="54"/>
  <c r="W26" i="54" s="1"/>
  <c r="W33" i="52"/>
  <c r="T33" i="53"/>
  <c r="R33" i="64" s="1"/>
  <c r="R76" i="64" s="1"/>
  <c r="T33" i="54"/>
  <c r="W23" i="52"/>
  <c r="T23" i="53"/>
  <c r="W23" i="53" s="1"/>
  <c r="T23" i="54"/>
  <c r="AC49" i="49"/>
  <c r="AI38" i="49"/>
  <c r="AE38" i="63" s="1"/>
  <c r="AE90" i="63" s="1"/>
  <c r="AB32" i="48"/>
  <c r="M50" i="49"/>
  <c r="M50" i="63" s="1"/>
  <c r="M102" i="63" s="1"/>
  <c r="M50" i="50"/>
  <c r="P6" i="49"/>
  <c r="Y8" i="50"/>
  <c r="AB8" i="50" s="1"/>
  <c r="R15" i="53"/>
  <c r="S15" i="53" s="1"/>
  <c r="S15" i="52"/>
  <c r="R15" i="54"/>
  <c r="S15" i="54" s="1"/>
  <c r="S38" i="52"/>
  <c r="R38" i="53"/>
  <c r="S38" i="53" s="1"/>
  <c r="R38" i="54"/>
  <c r="S38" i="54" s="1"/>
  <c r="R32" i="53"/>
  <c r="S32" i="53" s="1"/>
  <c r="S32" i="52"/>
  <c r="R32" i="54"/>
  <c r="S32" i="54" s="1"/>
  <c r="R18" i="53"/>
  <c r="S18" i="53" s="1"/>
  <c r="S18" i="52"/>
  <c r="R18" i="54"/>
  <c r="S18" i="54" s="1"/>
  <c r="R17" i="53"/>
  <c r="S17" i="53" s="1"/>
  <c r="S17" i="52"/>
  <c r="R17" i="54"/>
  <c r="S17" i="54" s="1"/>
  <c r="Q21" i="49"/>
  <c r="Q21" i="63" s="1"/>
  <c r="Q73" i="63" s="1"/>
  <c r="Q48" i="49"/>
  <c r="Q48" i="63" s="1"/>
  <c r="Q100" i="63" s="1"/>
  <c r="AI31" i="49"/>
  <c r="AE31" i="63" s="1"/>
  <c r="AE83" i="63" s="1"/>
  <c r="AI25" i="49"/>
  <c r="AE25" i="63" s="1"/>
  <c r="AE77" i="63" s="1"/>
  <c r="N37" i="53"/>
  <c r="N37" i="64" s="1"/>
  <c r="N80" i="64" s="1"/>
  <c r="N37" i="54"/>
  <c r="N41" i="53"/>
  <c r="N41" i="64" s="1"/>
  <c r="N84" i="64" s="1"/>
  <c r="N41" i="54"/>
  <c r="N32" i="53"/>
  <c r="N32" i="64" s="1"/>
  <c r="N75" i="64" s="1"/>
  <c r="N32" i="54"/>
  <c r="N6" i="53"/>
  <c r="N6" i="64" s="1"/>
  <c r="N49" i="64" s="1"/>
  <c r="N6" i="54"/>
  <c r="N7" i="53"/>
  <c r="N7" i="64" s="1"/>
  <c r="N50" i="64" s="1"/>
  <c r="N7" i="54"/>
  <c r="AB42" i="48"/>
  <c r="U8" i="49"/>
  <c r="T8" i="63" s="1"/>
  <c r="T60" i="63" s="1"/>
  <c r="P19" i="49"/>
  <c r="P19" i="63" s="1"/>
  <c r="P71" i="63" s="1"/>
  <c r="X53" i="50"/>
  <c r="O12" i="53"/>
  <c r="O12" i="64" s="1"/>
  <c r="O55" i="64" s="1"/>
  <c r="O12" i="54"/>
  <c r="O23" i="53"/>
  <c r="O23" i="64" s="1"/>
  <c r="O66" i="64" s="1"/>
  <c r="O23" i="54"/>
  <c r="O30" i="53"/>
  <c r="O30" i="64" s="1"/>
  <c r="O73" i="64" s="1"/>
  <c r="O30" i="54"/>
  <c r="O21" i="53"/>
  <c r="O21" i="64" s="1"/>
  <c r="O64" i="64" s="1"/>
  <c r="O21" i="54"/>
  <c r="O11" i="53"/>
  <c r="O11" i="64" s="1"/>
  <c r="O54" i="64" s="1"/>
  <c r="O11" i="54"/>
  <c r="U38" i="49"/>
  <c r="T38" i="63" s="1"/>
  <c r="T90" i="63" s="1"/>
  <c r="W45" i="49"/>
  <c r="V45" i="63" s="1"/>
  <c r="V97" i="63" s="1"/>
  <c r="P28" i="49"/>
  <c r="Y20" i="50"/>
  <c r="AB20" i="50" s="1"/>
  <c r="M42" i="49"/>
  <c r="M42" i="63" s="1"/>
  <c r="M94" i="63" s="1"/>
  <c r="M42" i="50"/>
  <c r="Q27" i="49"/>
  <c r="Q27" i="63" s="1"/>
  <c r="Q79" i="63" s="1"/>
  <c r="E30" i="5"/>
  <c r="E35" i="5" s="1"/>
  <c r="F4" i="5"/>
  <c r="E4" i="5"/>
  <c r="D46" i="5"/>
  <c r="D10" i="5"/>
  <c r="T56" i="47" s="1"/>
  <c r="F14" i="66" l="1"/>
  <c r="O14" i="65"/>
  <c r="I9" i="66"/>
  <c r="I11" i="66"/>
  <c r="D9" i="66"/>
  <c r="D7" i="66"/>
  <c r="D13" i="66" s="1"/>
  <c r="D11" i="66"/>
  <c r="E9" i="66"/>
  <c r="E11" i="66"/>
  <c r="E7" i="66"/>
  <c r="E13" i="66" s="1"/>
  <c r="J9" i="66"/>
  <c r="J11" i="66"/>
  <c r="J7" i="66"/>
  <c r="J13" i="66" s="1"/>
  <c r="C9" i="66"/>
  <c r="C11" i="66"/>
  <c r="C7" i="66"/>
  <c r="C13" i="66" s="1"/>
  <c r="H9" i="66"/>
  <c r="H11" i="66"/>
  <c r="AD49" i="49"/>
  <c r="AA49" i="63"/>
  <c r="AA101" i="63" s="1"/>
  <c r="V6" i="49"/>
  <c r="U6" i="63" s="1"/>
  <c r="U58" i="63" s="1"/>
  <c r="X37" i="63"/>
  <c r="X89" i="63" s="1"/>
  <c r="M43" i="49"/>
  <c r="M43" i="63" s="1"/>
  <c r="M95" i="63" s="1"/>
  <c r="X24" i="63"/>
  <c r="X76" i="63" s="1"/>
  <c r="X44" i="63"/>
  <c r="X96" i="63" s="1"/>
  <c r="AB32" i="50"/>
  <c r="AD13" i="49"/>
  <c r="AA13" i="63"/>
  <c r="AA65" i="63" s="1"/>
  <c r="AB41" i="50"/>
  <c r="Q11" i="64"/>
  <c r="Q54" i="64" s="1"/>
  <c r="R28" i="64"/>
  <c r="R71" i="64" s="1"/>
  <c r="V6" i="64"/>
  <c r="V49" i="64" s="1"/>
  <c r="L9" i="66" s="1"/>
  <c r="R23" i="64"/>
  <c r="R66" i="64" s="1"/>
  <c r="V20" i="64"/>
  <c r="V63" i="64" s="1"/>
  <c r="Q28" i="64"/>
  <c r="Q71" i="64" s="1"/>
  <c r="Q25" i="64"/>
  <c r="Q68" i="64" s="1"/>
  <c r="S41" i="64"/>
  <c r="S84" i="64" s="1"/>
  <c r="AD36" i="49"/>
  <c r="AA36" i="63"/>
  <c r="AA88" i="63" s="1"/>
  <c r="Q12" i="64"/>
  <c r="Q55" i="64" s="1"/>
  <c r="V34" i="64"/>
  <c r="V77" i="64" s="1"/>
  <c r="V39" i="64"/>
  <c r="V82" i="64" s="1"/>
  <c r="V42" i="49"/>
  <c r="U42" i="63" s="1"/>
  <c r="U94" i="63" s="1"/>
  <c r="L9" i="65"/>
  <c r="L11" i="65"/>
  <c r="L7" i="65"/>
  <c r="L13" i="65" s="1"/>
  <c r="V28" i="49"/>
  <c r="U28" i="63" s="1"/>
  <c r="U80" i="63" s="1"/>
  <c r="AD7" i="49"/>
  <c r="AA7" i="63"/>
  <c r="AA59" i="63" s="1"/>
  <c r="AD6" i="49"/>
  <c r="AA6" i="63"/>
  <c r="AA58" i="63" s="1"/>
  <c r="X53" i="49"/>
  <c r="W12" i="63"/>
  <c r="W64" i="63" s="1"/>
  <c r="M9" i="65" s="1"/>
  <c r="Q10" i="64"/>
  <c r="Q53" i="64" s="1"/>
  <c r="V28" i="64"/>
  <c r="V71" i="64" s="1"/>
  <c r="V29" i="64"/>
  <c r="V72" i="64" s="1"/>
  <c r="Q13" i="64"/>
  <c r="Q56" i="64" s="1"/>
  <c r="Q8" i="64"/>
  <c r="Q51" i="64" s="1"/>
  <c r="G7" i="66" s="1"/>
  <c r="G13" i="66" s="1"/>
  <c r="S17" i="64"/>
  <c r="S60" i="64" s="1"/>
  <c r="I7" i="66" s="1"/>
  <c r="I13" i="66" s="1"/>
  <c r="V38" i="64"/>
  <c r="V81" i="64" s="1"/>
  <c r="Q14" i="64"/>
  <c r="Q57" i="64" s="1"/>
  <c r="V36" i="64"/>
  <c r="V79" i="64" s="1"/>
  <c r="AD19" i="49"/>
  <c r="AA19" i="63"/>
  <c r="AA71" i="63" s="1"/>
  <c r="V36" i="49"/>
  <c r="U36" i="63" s="1"/>
  <c r="U88" i="63" s="1"/>
  <c r="W15" i="53"/>
  <c r="AD17" i="49"/>
  <c r="AA17" i="63"/>
  <c r="AA69" i="63" s="1"/>
  <c r="AD40" i="49"/>
  <c r="AA40" i="63"/>
  <c r="AA92" i="63" s="1"/>
  <c r="AD51" i="49"/>
  <c r="AA51" i="63"/>
  <c r="AA103" i="63" s="1"/>
  <c r="AD32" i="49"/>
  <c r="AA32" i="63"/>
  <c r="AA84" i="63" s="1"/>
  <c r="AD41" i="49"/>
  <c r="AA41" i="63"/>
  <c r="AA93" i="63" s="1"/>
  <c r="X8" i="63"/>
  <c r="X60" i="63" s="1"/>
  <c r="Q41" i="64"/>
  <c r="Q84" i="64" s="1"/>
  <c r="Q30" i="64"/>
  <c r="Q73" i="64" s="1"/>
  <c r="V19" i="64"/>
  <c r="V62" i="64" s="1"/>
  <c r="Q7" i="64"/>
  <c r="Q50" i="64" s="1"/>
  <c r="R26" i="64"/>
  <c r="R69" i="64" s="1"/>
  <c r="V35" i="64"/>
  <c r="V78" i="64" s="1"/>
  <c r="Q20" i="64"/>
  <c r="Q63" i="64" s="1"/>
  <c r="V17" i="64"/>
  <c r="V60" i="64" s="1"/>
  <c r="Q29" i="64"/>
  <c r="Q72" i="64" s="1"/>
  <c r="V9" i="64"/>
  <c r="V52" i="64" s="1"/>
  <c r="Q17" i="64"/>
  <c r="Q60" i="64" s="1"/>
  <c r="V7" i="64"/>
  <c r="V50" i="64" s="1"/>
  <c r="L11" i="66" s="1"/>
  <c r="V32" i="64"/>
  <c r="V75" i="64" s="1"/>
  <c r="Q39" i="64"/>
  <c r="Q82" i="64" s="1"/>
  <c r="V15" i="64"/>
  <c r="V58" i="64" s="1"/>
  <c r="AD39" i="49"/>
  <c r="AA39" i="63"/>
  <c r="AA91" i="63" s="1"/>
  <c r="AD12" i="49"/>
  <c r="AA12" i="63"/>
  <c r="AA64" i="63" s="1"/>
  <c r="AD28" i="49"/>
  <c r="AA28" i="63"/>
  <c r="AA80" i="63" s="1"/>
  <c r="J9" i="65"/>
  <c r="J11" i="65"/>
  <c r="J7" i="65"/>
  <c r="J13" i="65" s="1"/>
  <c r="AD11" i="49"/>
  <c r="AA11" i="63"/>
  <c r="AA63" i="63" s="1"/>
  <c r="G9" i="65"/>
  <c r="G7" i="65"/>
  <c r="G13" i="65" s="1"/>
  <c r="G11" i="65"/>
  <c r="Q37" i="64"/>
  <c r="Q80" i="64" s="1"/>
  <c r="Q22" i="64"/>
  <c r="Q65" i="64" s="1"/>
  <c r="V40" i="64"/>
  <c r="V83" i="64" s="1"/>
  <c r="Q6" i="64"/>
  <c r="Q49" i="64" s="1"/>
  <c r="G9" i="66" s="1"/>
  <c r="V37" i="64"/>
  <c r="V80" i="64" s="1"/>
  <c r="R15" i="64"/>
  <c r="R58" i="64" s="1"/>
  <c r="H7" i="66" s="1"/>
  <c r="H13" i="66" s="1"/>
  <c r="V11" i="64"/>
  <c r="V54" i="64" s="1"/>
  <c r="Q23" i="64"/>
  <c r="Q66" i="64" s="1"/>
  <c r="AD35" i="49"/>
  <c r="AA35" i="63"/>
  <c r="AA87" i="63" s="1"/>
  <c r="V22" i="64"/>
  <c r="V65" i="64" s="1"/>
  <c r="Q18" i="64"/>
  <c r="Q61" i="64" s="1"/>
  <c r="V31" i="64"/>
  <c r="V74" i="64" s="1"/>
  <c r="Q9" i="64"/>
  <c r="Q52" i="64" s="1"/>
  <c r="P53" i="49"/>
  <c r="P6" i="63"/>
  <c r="P58" i="63" s="1"/>
  <c r="AH53" i="49"/>
  <c r="AD8" i="63"/>
  <c r="AD60" i="63" s="1"/>
  <c r="AD37" i="49"/>
  <c r="AA37" i="63"/>
  <c r="AA89" i="63" s="1"/>
  <c r="V27" i="49"/>
  <c r="AD50" i="49"/>
  <c r="AA50" i="63"/>
  <c r="AA102" i="63" s="1"/>
  <c r="V51" i="49"/>
  <c r="AB15" i="50"/>
  <c r="AD23" i="49"/>
  <c r="AA23" i="63"/>
  <c r="AA75" i="63" s="1"/>
  <c r="W22" i="54"/>
  <c r="AD26" i="49"/>
  <c r="AA26" i="63"/>
  <c r="AA78" i="63" s="1"/>
  <c r="AD10" i="49"/>
  <c r="AA10" i="63"/>
  <c r="AA62" i="63" s="1"/>
  <c r="Q11" i="65" s="1"/>
  <c r="Q33" i="64"/>
  <c r="Q76" i="64" s="1"/>
  <c r="Q34" i="64"/>
  <c r="Q77" i="64" s="1"/>
  <c r="V27" i="64"/>
  <c r="V70" i="64" s="1"/>
  <c r="Q24" i="64"/>
  <c r="Q67" i="64" s="1"/>
  <c r="S37" i="64"/>
  <c r="S80" i="64" s="1"/>
  <c r="V42" i="64"/>
  <c r="V85" i="64" s="1"/>
  <c r="Q19" i="64"/>
  <c r="Q62" i="64" s="1"/>
  <c r="V41" i="64"/>
  <c r="V84" i="64" s="1"/>
  <c r="Q32" i="64"/>
  <c r="Q75" i="64" s="1"/>
  <c r="V26" i="64"/>
  <c r="V69" i="64" s="1"/>
  <c r="Q42" i="64"/>
  <c r="Q85" i="64" s="1"/>
  <c r="AD42" i="49"/>
  <c r="AA42" i="63"/>
  <c r="AA94" i="63" s="1"/>
  <c r="AD21" i="49"/>
  <c r="AA21" i="63"/>
  <c r="AA73" i="63" s="1"/>
  <c r="AI53" i="49"/>
  <c r="AE8" i="63"/>
  <c r="AE60" i="63" s="1"/>
  <c r="AD9" i="49"/>
  <c r="AA9" i="63"/>
  <c r="AA61" i="63" s="1"/>
  <c r="AD44" i="49"/>
  <c r="AA44" i="63"/>
  <c r="AA96" i="63" s="1"/>
  <c r="AD25" i="49"/>
  <c r="AA25" i="63"/>
  <c r="AA77" i="63" s="1"/>
  <c r="N9" i="65"/>
  <c r="N11" i="65"/>
  <c r="B9" i="65"/>
  <c r="B11" i="65"/>
  <c r="Q40" i="64"/>
  <c r="Q83" i="64" s="1"/>
  <c r="Q35" i="64"/>
  <c r="Q78" i="64" s="1"/>
  <c r="V12" i="64"/>
  <c r="V55" i="64" s="1"/>
  <c r="AD15" i="49"/>
  <c r="AA15" i="63"/>
  <c r="AA67" i="63" s="1"/>
  <c r="V23" i="64"/>
  <c r="V66" i="64" s="1"/>
  <c r="V16" i="64"/>
  <c r="V59" i="64" s="1"/>
  <c r="Q38" i="64"/>
  <c r="Q81" i="64" s="1"/>
  <c r="V18" i="64"/>
  <c r="V61" i="64" s="1"/>
  <c r="AD30" i="49"/>
  <c r="AA30" i="63"/>
  <c r="AA82" i="63" s="1"/>
  <c r="Q27" i="64"/>
  <c r="Q70" i="64" s="1"/>
  <c r="V21" i="64"/>
  <c r="V64" i="64" s="1"/>
  <c r="AD22" i="49"/>
  <c r="AA22" i="63"/>
  <c r="AA74" i="63" s="1"/>
  <c r="AD43" i="49"/>
  <c r="AA43" i="63"/>
  <c r="AA95" i="63" s="1"/>
  <c r="M11" i="65"/>
  <c r="AD48" i="49"/>
  <c r="AA48" i="63"/>
  <c r="AA100" i="63" s="1"/>
  <c r="AD20" i="49"/>
  <c r="AA20" i="63"/>
  <c r="AA72" i="63" s="1"/>
  <c r="AD24" i="49"/>
  <c r="AA24" i="63"/>
  <c r="AA76" i="63" s="1"/>
  <c r="AD8" i="49"/>
  <c r="AA8" i="63"/>
  <c r="AA60" i="63" s="1"/>
  <c r="AD31" i="49"/>
  <c r="AA31" i="63"/>
  <c r="AA83" i="63" s="1"/>
  <c r="X20" i="63"/>
  <c r="X72" i="63" s="1"/>
  <c r="N7" i="65" s="1"/>
  <c r="N13" i="65" s="1"/>
  <c r="E9" i="65"/>
  <c r="E11" i="65"/>
  <c r="E7" i="65"/>
  <c r="E13" i="65" s="1"/>
  <c r="V10" i="64"/>
  <c r="V53" i="64" s="1"/>
  <c r="Q21" i="64"/>
  <c r="Q64" i="64" s="1"/>
  <c r="Q26" i="64"/>
  <c r="Q69" i="64" s="1"/>
  <c r="V30" i="64"/>
  <c r="V73" i="64" s="1"/>
  <c r="U9" i="65"/>
  <c r="U11" i="65"/>
  <c r="U7" i="65"/>
  <c r="U13" i="65" s="1"/>
  <c r="Q15" i="64"/>
  <c r="Q58" i="64" s="1"/>
  <c r="Q31" i="64"/>
  <c r="Q74" i="64" s="1"/>
  <c r="V24" i="64"/>
  <c r="V67" i="64" s="1"/>
  <c r="V13" i="64"/>
  <c r="V56" i="64" s="1"/>
  <c r="AD14" i="49"/>
  <c r="AA14" i="63"/>
  <c r="AA66" i="63" s="1"/>
  <c r="M7" i="65"/>
  <c r="M13" i="65" s="1"/>
  <c r="AD34" i="49"/>
  <c r="AA34" i="63"/>
  <c r="AA86" i="63" s="1"/>
  <c r="AD46" i="49"/>
  <c r="AA46" i="63"/>
  <c r="AA98" i="63" s="1"/>
  <c r="Q9" i="65"/>
  <c r="AD47" i="49"/>
  <c r="AA47" i="63"/>
  <c r="AA99" i="63" s="1"/>
  <c r="AD33" i="49"/>
  <c r="AA33" i="63"/>
  <c r="AA85" i="63" s="1"/>
  <c r="AD45" i="49"/>
  <c r="AA45" i="63"/>
  <c r="AA97" i="63" s="1"/>
  <c r="L53" i="49"/>
  <c r="L17" i="63"/>
  <c r="L69" i="63" s="1"/>
  <c r="B7" i="65" s="1"/>
  <c r="B13" i="65" s="1"/>
  <c r="V14" i="64"/>
  <c r="V57" i="64" s="1"/>
  <c r="V25" i="64"/>
  <c r="V68" i="64" s="1"/>
  <c r="Q16" i="64"/>
  <c r="Q59" i="64" s="1"/>
  <c r="T9" i="65"/>
  <c r="T11" i="65"/>
  <c r="T7" i="65"/>
  <c r="T13" i="65" s="1"/>
  <c r="Q36" i="64"/>
  <c r="Q79" i="64" s="1"/>
  <c r="AD38" i="49"/>
  <c r="AA38" i="63"/>
  <c r="AA90" i="63" s="1"/>
  <c r="V8" i="64"/>
  <c r="V51" i="64" s="1"/>
  <c r="L7" i="66" s="1"/>
  <c r="L13" i="66" s="1"/>
  <c r="V33" i="64"/>
  <c r="V76" i="64" s="1"/>
  <c r="X49" i="63"/>
  <c r="X101" i="63" s="1"/>
  <c r="V50" i="49"/>
  <c r="U50" i="63" s="1"/>
  <c r="U102" i="63" s="1"/>
  <c r="AB48" i="50"/>
  <c r="W14" i="53"/>
  <c r="W25" i="53"/>
  <c r="V37" i="49"/>
  <c r="U37" i="63" s="1"/>
  <c r="U89" i="63" s="1"/>
  <c r="V48" i="49"/>
  <c r="V19" i="49"/>
  <c r="V14" i="49"/>
  <c r="W33" i="54"/>
  <c r="Q53" i="49"/>
  <c r="V5" i="49"/>
  <c r="U5" i="63" s="1"/>
  <c r="U57" i="63" s="1"/>
  <c r="W13" i="53"/>
  <c r="V46" i="49"/>
  <c r="U46" i="63" s="1"/>
  <c r="U98" i="63" s="1"/>
  <c r="V23" i="49"/>
  <c r="U23" i="63" s="1"/>
  <c r="U75" i="63" s="1"/>
  <c r="V22" i="49"/>
  <c r="U22" i="63" s="1"/>
  <c r="U74" i="63" s="1"/>
  <c r="AB26" i="50"/>
  <c r="M37" i="49"/>
  <c r="M37" i="63" s="1"/>
  <c r="M89" i="63" s="1"/>
  <c r="V29" i="49"/>
  <c r="M15" i="49"/>
  <c r="M15" i="63" s="1"/>
  <c r="M67" i="63" s="1"/>
  <c r="W23" i="54"/>
  <c r="W7" i="54"/>
  <c r="W12" i="53"/>
  <c r="W41" i="54"/>
  <c r="AB12" i="50"/>
  <c r="O44" i="53"/>
  <c r="V33" i="49"/>
  <c r="AB28" i="49"/>
  <c r="V38" i="49"/>
  <c r="U38" i="63" s="1"/>
  <c r="U90" i="63" s="1"/>
  <c r="V10" i="49"/>
  <c r="U10" i="63" s="1"/>
  <c r="U62" i="63" s="1"/>
  <c r="O53" i="49"/>
  <c r="AB28" i="50"/>
  <c r="Q46" i="54"/>
  <c r="Q46" i="53"/>
  <c r="Q46" i="52"/>
  <c r="Q46" i="51"/>
  <c r="N58" i="47"/>
  <c r="N56" i="50"/>
  <c r="N56" i="49"/>
  <c r="N56" i="48"/>
  <c r="M10" i="49"/>
  <c r="M10" i="63" s="1"/>
  <c r="M62" i="63" s="1"/>
  <c r="O44" i="54"/>
  <c r="AB42" i="49"/>
  <c r="M18" i="49"/>
  <c r="M18" i="63" s="1"/>
  <c r="M70" i="63" s="1"/>
  <c r="V16" i="49"/>
  <c r="W31" i="53"/>
  <c r="M33" i="49"/>
  <c r="M33" i="63" s="1"/>
  <c r="M85" i="63" s="1"/>
  <c r="M25" i="49"/>
  <c r="M25" i="63" s="1"/>
  <c r="M77" i="63" s="1"/>
  <c r="M45" i="49"/>
  <c r="M45" i="63" s="1"/>
  <c r="M97" i="63" s="1"/>
  <c r="W24" i="53"/>
  <c r="W12" i="54"/>
  <c r="AB36" i="49"/>
  <c r="W9" i="53"/>
  <c r="AC53" i="49"/>
  <c r="AD5" i="49"/>
  <c r="V15" i="49"/>
  <c r="V44" i="49"/>
  <c r="W8" i="54"/>
  <c r="V44" i="54"/>
  <c r="M17" i="49"/>
  <c r="M17" i="63" s="1"/>
  <c r="M69" i="63" s="1"/>
  <c r="AB10" i="49"/>
  <c r="M24" i="49"/>
  <c r="M24" i="63" s="1"/>
  <c r="M76" i="63" s="1"/>
  <c r="W11" i="53"/>
  <c r="W32" i="54"/>
  <c r="L47" i="53"/>
  <c r="L49" i="53" s="1"/>
  <c r="L48" i="53" s="1"/>
  <c r="L47" i="54"/>
  <c r="L47" i="52"/>
  <c r="L47" i="51"/>
  <c r="M21" i="49"/>
  <c r="M21" i="63" s="1"/>
  <c r="M73" i="63" s="1"/>
  <c r="AB32" i="49"/>
  <c r="AB50" i="49"/>
  <c r="M53" i="50"/>
  <c r="W14" i="54"/>
  <c r="M44" i="49"/>
  <c r="M44" i="63" s="1"/>
  <c r="M96" i="63" s="1"/>
  <c r="N44" i="53"/>
  <c r="W16" i="54"/>
  <c r="V21" i="49"/>
  <c r="U21" i="63" s="1"/>
  <c r="U73" i="63" s="1"/>
  <c r="W8" i="53"/>
  <c r="W20" i="54"/>
  <c r="V49" i="49"/>
  <c r="V9" i="49"/>
  <c r="V44" i="53"/>
  <c r="W33" i="53"/>
  <c r="Y53" i="50"/>
  <c r="W32" i="53"/>
  <c r="V45" i="49"/>
  <c r="V24" i="49"/>
  <c r="AB22" i="49"/>
  <c r="W15" i="54"/>
  <c r="M31" i="49"/>
  <c r="M31" i="63" s="1"/>
  <c r="M83" i="63" s="1"/>
  <c r="M26" i="49"/>
  <c r="M26" i="63" s="1"/>
  <c r="M78" i="63" s="1"/>
  <c r="M29" i="49"/>
  <c r="M29" i="63" s="1"/>
  <c r="M81" i="63" s="1"/>
  <c r="M20" i="49"/>
  <c r="M20" i="63" s="1"/>
  <c r="M72" i="63" s="1"/>
  <c r="M35" i="49"/>
  <c r="M35" i="63" s="1"/>
  <c r="M87" i="63" s="1"/>
  <c r="M22" i="49"/>
  <c r="M22" i="63" s="1"/>
  <c r="M74" i="63" s="1"/>
  <c r="M14" i="49"/>
  <c r="M14" i="63" s="1"/>
  <c r="M66" i="63" s="1"/>
  <c r="M51" i="49"/>
  <c r="M51" i="63" s="1"/>
  <c r="M103" i="63" s="1"/>
  <c r="M13" i="49"/>
  <c r="M13" i="63" s="1"/>
  <c r="M65" i="63" s="1"/>
  <c r="M38" i="49"/>
  <c r="M38" i="63" s="1"/>
  <c r="M90" i="63" s="1"/>
  <c r="W28" i="54"/>
  <c r="W36" i="54"/>
  <c r="V25" i="49"/>
  <c r="U25" i="63" s="1"/>
  <c r="U77" i="63" s="1"/>
  <c r="AA5" i="54"/>
  <c r="AA44" i="54" s="1"/>
  <c r="Z44" i="54"/>
  <c r="M19" i="49"/>
  <c r="M19" i="63" s="1"/>
  <c r="M71" i="63" s="1"/>
  <c r="W21" i="54"/>
  <c r="W16" i="53"/>
  <c r="W30" i="54"/>
  <c r="W20" i="53"/>
  <c r="Y53" i="49"/>
  <c r="M6" i="49"/>
  <c r="M6" i="63" s="1"/>
  <c r="M58" i="63" s="1"/>
  <c r="S5" i="54"/>
  <c r="S44" i="54" s="1"/>
  <c r="R44" i="54"/>
  <c r="W17" i="54"/>
  <c r="N58" i="49"/>
  <c r="AB37" i="49"/>
  <c r="AB25" i="49"/>
  <c r="M5" i="49"/>
  <c r="M5" i="63" s="1"/>
  <c r="M57" i="63" s="1"/>
  <c r="W53" i="49"/>
  <c r="W9" i="54"/>
  <c r="W5" i="53"/>
  <c r="U44" i="53"/>
  <c r="W36" i="53"/>
  <c r="AA5" i="53"/>
  <c r="AA44" i="53" s="1"/>
  <c r="Z44" i="53"/>
  <c r="W30" i="53"/>
  <c r="V30" i="49"/>
  <c r="W21" i="53"/>
  <c r="V17" i="49"/>
  <c r="M48" i="49"/>
  <c r="M48" i="63" s="1"/>
  <c r="M100" i="63" s="1"/>
  <c r="S44" i="52"/>
  <c r="V13" i="49"/>
  <c r="M11" i="49"/>
  <c r="M11" i="63" s="1"/>
  <c r="M63" i="63" s="1"/>
  <c r="W39" i="54"/>
  <c r="T54" i="49"/>
  <c r="T54" i="50"/>
  <c r="T54" i="48"/>
  <c r="AB45" i="54"/>
  <c r="AB45" i="53"/>
  <c r="X49" i="53" s="1"/>
  <c r="AB45" i="51"/>
  <c r="AB45" i="52"/>
  <c r="V53" i="50"/>
  <c r="W42" i="53"/>
  <c r="M7" i="49"/>
  <c r="M7" i="63" s="1"/>
  <c r="M59" i="63" s="1"/>
  <c r="AB6" i="49"/>
  <c r="W19" i="54"/>
  <c r="U44" i="54"/>
  <c r="W35" i="54"/>
  <c r="V34" i="49"/>
  <c r="AA44" i="52"/>
  <c r="AB53" i="48"/>
  <c r="W13" i="54"/>
  <c r="W5" i="54"/>
  <c r="T44" i="54"/>
  <c r="S5" i="53"/>
  <c r="S44" i="53" s="1"/>
  <c r="R44" i="53"/>
  <c r="AB46" i="49"/>
  <c r="W22" i="53"/>
  <c r="W29" i="53"/>
  <c r="M47" i="49"/>
  <c r="M47" i="63" s="1"/>
  <c r="M99" i="63" s="1"/>
  <c r="W39" i="53"/>
  <c r="V41" i="49"/>
  <c r="R7" i="49"/>
  <c r="R7" i="63" s="1"/>
  <c r="R59" i="63" s="1"/>
  <c r="R44" i="49"/>
  <c r="R44" i="63" s="1"/>
  <c r="R96" i="63" s="1"/>
  <c r="R37" i="49"/>
  <c r="R37" i="63" s="1"/>
  <c r="R89" i="63" s="1"/>
  <c r="R16" i="49"/>
  <c r="R16" i="63" s="1"/>
  <c r="R68" i="63" s="1"/>
  <c r="R6" i="49"/>
  <c r="R6" i="63" s="1"/>
  <c r="R58" i="63" s="1"/>
  <c r="R22" i="49"/>
  <c r="R46" i="49"/>
  <c r="R46" i="63" s="1"/>
  <c r="R98" i="63" s="1"/>
  <c r="R15" i="49"/>
  <c r="R15" i="63" s="1"/>
  <c r="R67" i="63" s="1"/>
  <c r="R25" i="49"/>
  <c r="R25" i="63" s="1"/>
  <c r="R77" i="63" s="1"/>
  <c r="R9" i="49"/>
  <c r="R9" i="63" s="1"/>
  <c r="R61" i="63" s="1"/>
  <c r="R34" i="49"/>
  <c r="R34" i="63" s="1"/>
  <c r="R86" i="63" s="1"/>
  <c r="R14" i="49"/>
  <c r="R14" i="63" s="1"/>
  <c r="R66" i="63" s="1"/>
  <c r="R51" i="49"/>
  <c r="R51" i="63" s="1"/>
  <c r="R103" i="63" s="1"/>
  <c r="R30" i="49"/>
  <c r="R30" i="63" s="1"/>
  <c r="R82" i="63" s="1"/>
  <c r="R36" i="49"/>
  <c r="R36" i="63" s="1"/>
  <c r="R88" i="63" s="1"/>
  <c r="R29" i="49"/>
  <c r="R50" i="49"/>
  <c r="R50" i="63" s="1"/>
  <c r="R102" i="63" s="1"/>
  <c r="R38" i="49"/>
  <c r="R38" i="63" s="1"/>
  <c r="R90" i="63" s="1"/>
  <c r="R23" i="49"/>
  <c r="R39" i="49"/>
  <c r="R39" i="63" s="1"/>
  <c r="R91" i="63" s="1"/>
  <c r="R20" i="49"/>
  <c r="R20" i="63" s="1"/>
  <c r="R72" i="63" s="1"/>
  <c r="R21" i="49"/>
  <c r="R49" i="49"/>
  <c r="R49" i="63" s="1"/>
  <c r="R101" i="63" s="1"/>
  <c r="R31" i="49"/>
  <c r="R31" i="63" s="1"/>
  <c r="R83" i="63" s="1"/>
  <c r="R11" i="49"/>
  <c r="R11" i="63" s="1"/>
  <c r="R63" i="63" s="1"/>
  <c r="R43" i="49"/>
  <c r="R43" i="63" s="1"/>
  <c r="R95" i="63" s="1"/>
  <c r="R40" i="49"/>
  <c r="R40" i="63" s="1"/>
  <c r="R92" i="63" s="1"/>
  <c r="R17" i="49"/>
  <c r="R17" i="63" s="1"/>
  <c r="R69" i="63" s="1"/>
  <c r="R13" i="49"/>
  <c r="R13" i="63" s="1"/>
  <c r="R65" i="63" s="1"/>
  <c r="R26" i="49"/>
  <c r="R5" i="49"/>
  <c r="R5" i="63" s="1"/>
  <c r="R57" i="63" s="1"/>
  <c r="R28" i="49"/>
  <c r="R32" i="49"/>
  <c r="R32" i="63" s="1"/>
  <c r="R84" i="63" s="1"/>
  <c r="R48" i="49"/>
  <c r="R48" i="63" s="1"/>
  <c r="R100" i="63" s="1"/>
  <c r="R35" i="49"/>
  <c r="R35" i="63" s="1"/>
  <c r="R87" i="63" s="1"/>
  <c r="R41" i="49"/>
  <c r="R41" i="63" s="1"/>
  <c r="R93" i="63" s="1"/>
  <c r="R12" i="49"/>
  <c r="R12" i="63" s="1"/>
  <c r="R64" i="63" s="1"/>
  <c r="R8" i="49"/>
  <c r="R8" i="63" s="1"/>
  <c r="R60" i="63" s="1"/>
  <c r="R45" i="49"/>
  <c r="R45" i="63" s="1"/>
  <c r="R97" i="63" s="1"/>
  <c r="R19" i="49"/>
  <c r="R19" i="63" s="1"/>
  <c r="R71" i="63" s="1"/>
  <c r="R10" i="49"/>
  <c r="R10" i="63" s="1"/>
  <c r="R62" i="63" s="1"/>
  <c r="R42" i="49"/>
  <c r="R42" i="63" s="1"/>
  <c r="R94" i="63" s="1"/>
  <c r="R33" i="49"/>
  <c r="R33" i="63" s="1"/>
  <c r="R85" i="63" s="1"/>
  <c r="R18" i="49"/>
  <c r="R18" i="63" s="1"/>
  <c r="R70" i="63" s="1"/>
  <c r="R27" i="49"/>
  <c r="R47" i="49"/>
  <c r="R47" i="63" s="1"/>
  <c r="R99" i="63" s="1"/>
  <c r="R24" i="49"/>
  <c r="W40" i="54"/>
  <c r="W19" i="53"/>
  <c r="N44" i="54"/>
  <c r="W35" i="53"/>
  <c r="W34" i="54"/>
  <c r="M44" i="54"/>
  <c r="M23" i="49"/>
  <c r="M23" i="63" s="1"/>
  <c r="M75" i="63" s="1"/>
  <c r="V43" i="49"/>
  <c r="V12" i="49"/>
  <c r="M46" i="49"/>
  <c r="M46" i="63" s="1"/>
  <c r="M98" i="63" s="1"/>
  <c r="V26" i="49"/>
  <c r="W6" i="54"/>
  <c r="V31" i="49"/>
  <c r="W38" i="54"/>
  <c r="M28" i="49"/>
  <c r="M28" i="63" s="1"/>
  <c r="M80" i="63" s="1"/>
  <c r="AB5" i="49"/>
  <c r="U53" i="49"/>
  <c r="V18" i="49"/>
  <c r="M16" i="49"/>
  <c r="M16" i="63" s="1"/>
  <c r="M68" i="63" s="1"/>
  <c r="M9" i="49"/>
  <c r="M9" i="63" s="1"/>
  <c r="M61" i="63" s="1"/>
  <c r="N57" i="47"/>
  <c r="N55" i="50"/>
  <c r="N55" i="49"/>
  <c r="N55" i="48"/>
  <c r="L46" i="53"/>
  <c r="L46" i="54"/>
  <c r="L46" i="51"/>
  <c r="L46" i="52"/>
  <c r="L49" i="52" s="1"/>
  <c r="L48" i="52" s="1"/>
  <c r="W18" i="53"/>
  <c r="S49" i="49"/>
  <c r="S10" i="49"/>
  <c r="S28" i="49"/>
  <c r="S34" i="49"/>
  <c r="S14" i="49"/>
  <c r="S44" i="49"/>
  <c r="S15" i="49"/>
  <c r="S30" i="49"/>
  <c r="S36" i="49"/>
  <c r="S29" i="49"/>
  <c r="S50" i="49"/>
  <c r="S38" i="49"/>
  <c r="S23" i="49"/>
  <c r="S37" i="49"/>
  <c r="S16" i="49"/>
  <c r="S6" i="49"/>
  <c r="S22" i="49"/>
  <c r="S21" i="49"/>
  <c r="S25" i="49"/>
  <c r="S9" i="49"/>
  <c r="S11" i="49"/>
  <c r="S43" i="49"/>
  <c r="S17" i="49"/>
  <c r="S7" i="49"/>
  <c r="S46" i="49"/>
  <c r="S26" i="49"/>
  <c r="S39" i="49"/>
  <c r="S20" i="49"/>
  <c r="S45" i="49"/>
  <c r="S31" i="49"/>
  <c r="S41" i="49"/>
  <c r="S12" i="49"/>
  <c r="S8" i="49"/>
  <c r="S40" i="49"/>
  <c r="S42" i="49"/>
  <c r="S33" i="49"/>
  <c r="S18" i="49"/>
  <c r="S27" i="49"/>
  <c r="S47" i="49"/>
  <c r="S5" i="49"/>
  <c r="S24" i="49"/>
  <c r="S32" i="49"/>
  <c r="S48" i="49"/>
  <c r="S35" i="49"/>
  <c r="S51" i="49"/>
  <c r="S13" i="49"/>
  <c r="S19" i="49"/>
  <c r="M39" i="49"/>
  <c r="M39" i="63" s="1"/>
  <c r="M91" i="63" s="1"/>
  <c r="W40" i="53"/>
  <c r="M34" i="49"/>
  <c r="M34" i="63" s="1"/>
  <c r="M86" i="63" s="1"/>
  <c r="M8" i="49"/>
  <c r="M8" i="63" s="1"/>
  <c r="M60" i="63" s="1"/>
  <c r="W34" i="53"/>
  <c r="M27" i="49"/>
  <c r="M27" i="63" s="1"/>
  <c r="M79" i="63" s="1"/>
  <c r="V47" i="49"/>
  <c r="V20" i="49"/>
  <c r="W10" i="54"/>
  <c r="M32" i="49"/>
  <c r="M32" i="63" s="1"/>
  <c r="M84" i="63" s="1"/>
  <c r="T44" i="53"/>
  <c r="W27" i="54"/>
  <c r="W6" i="53"/>
  <c r="W38" i="53"/>
  <c r="M44" i="53"/>
  <c r="W7" i="53"/>
  <c r="W31" i="54"/>
  <c r="W24" i="54"/>
  <c r="AB23" i="49"/>
  <c r="V8" i="49"/>
  <c r="AB21" i="49"/>
  <c r="W10" i="53"/>
  <c r="W37" i="54"/>
  <c r="M40" i="49"/>
  <c r="M40" i="63" s="1"/>
  <c r="M92" i="63" s="1"/>
  <c r="V11" i="49"/>
  <c r="V40" i="49"/>
  <c r="W44" i="52"/>
  <c r="W27" i="53"/>
  <c r="M12" i="49"/>
  <c r="M12" i="63" s="1"/>
  <c r="M64" i="63" s="1"/>
  <c r="V39" i="49"/>
  <c r="V7" i="49"/>
  <c r="W11" i="54"/>
  <c r="L36" i="52"/>
  <c r="L9" i="52"/>
  <c r="L10" i="52"/>
  <c r="L5" i="52"/>
  <c r="L11" i="52"/>
  <c r="L23" i="52"/>
  <c r="L7" i="52"/>
  <c r="L16" i="52"/>
  <c r="L8" i="52"/>
  <c r="L31" i="52"/>
  <c r="L28" i="52"/>
  <c r="L20" i="52"/>
  <c r="L14" i="52"/>
  <c r="L6" i="52"/>
  <c r="L29" i="52"/>
  <c r="L40" i="52"/>
  <c r="L42" i="52"/>
  <c r="L19" i="52"/>
  <c r="L13" i="52"/>
  <c r="L15" i="52"/>
  <c r="L25" i="52"/>
  <c r="L22" i="52"/>
  <c r="L18" i="52"/>
  <c r="L35" i="52"/>
  <c r="L12" i="52"/>
  <c r="L24" i="52"/>
  <c r="L33" i="52"/>
  <c r="L30" i="52"/>
  <c r="L26" i="52"/>
  <c r="L21" i="52"/>
  <c r="L32" i="52"/>
  <c r="L41" i="52"/>
  <c r="L34" i="52"/>
  <c r="L37" i="52"/>
  <c r="L17" i="52"/>
  <c r="L38" i="52"/>
  <c r="L39" i="52"/>
  <c r="L27" i="52"/>
  <c r="V35" i="49"/>
  <c r="M36" i="49"/>
  <c r="M36" i="63" s="1"/>
  <c r="M88" i="63" s="1"/>
  <c r="F35" i="5"/>
  <c r="F10" i="5"/>
  <c r="E10" i="5"/>
  <c r="D47" i="5"/>
  <c r="D29" i="5"/>
  <c r="L15" i="66" l="1"/>
  <c r="L14" i="66"/>
  <c r="G15" i="66"/>
  <c r="G14" i="66"/>
  <c r="M15" i="65"/>
  <c r="M14" i="65"/>
  <c r="AB8" i="49"/>
  <c r="U8" i="63"/>
  <c r="U60" i="63" s="1"/>
  <c r="AB17" i="49"/>
  <c r="U17" i="63"/>
  <c r="U69" i="63" s="1"/>
  <c r="AB49" i="49"/>
  <c r="U49" i="63"/>
  <c r="U101" i="63" s="1"/>
  <c r="AB44" i="49"/>
  <c r="U44" i="63"/>
  <c r="U96" i="63" s="1"/>
  <c r="G11" i="66"/>
  <c r="E15" i="66"/>
  <c r="E14" i="66"/>
  <c r="H11" i="65"/>
  <c r="H9" i="65"/>
  <c r="H7" i="65"/>
  <c r="H13" i="65" s="1"/>
  <c r="AB40" i="49"/>
  <c r="U40" i="63"/>
  <c r="U92" i="63" s="1"/>
  <c r="AB30" i="49"/>
  <c r="U30" i="63"/>
  <c r="U82" i="63" s="1"/>
  <c r="AB24" i="49"/>
  <c r="U24" i="63"/>
  <c r="U76" i="63" s="1"/>
  <c r="AB15" i="49"/>
  <c r="U15" i="63"/>
  <c r="U67" i="63" s="1"/>
  <c r="AB38" i="49"/>
  <c r="AB53" i="50"/>
  <c r="AB14" i="49"/>
  <c r="U14" i="63"/>
  <c r="U66" i="63" s="1"/>
  <c r="T15" i="65"/>
  <c r="T14" i="65"/>
  <c r="G15" i="65"/>
  <c r="G14" i="65"/>
  <c r="AB43" i="49"/>
  <c r="U43" i="63"/>
  <c r="U95" i="63" s="1"/>
  <c r="AB11" i="49"/>
  <c r="U11" i="63"/>
  <c r="U63" i="63" s="1"/>
  <c r="AB31" i="49"/>
  <c r="U31" i="63"/>
  <c r="U83" i="63" s="1"/>
  <c r="C7" i="65"/>
  <c r="C13" i="65" s="1"/>
  <c r="C9" i="65"/>
  <c r="C11" i="65"/>
  <c r="AB45" i="49"/>
  <c r="U45" i="63"/>
  <c r="U97" i="63" s="1"/>
  <c r="AD53" i="49"/>
  <c r="AB19" i="49"/>
  <c r="U19" i="63"/>
  <c r="U71" i="63" s="1"/>
  <c r="AB27" i="49"/>
  <c r="U27" i="63"/>
  <c r="U79" i="63" s="1"/>
  <c r="C15" i="66"/>
  <c r="C14" i="66"/>
  <c r="AB20" i="49"/>
  <c r="U20" i="63"/>
  <c r="U72" i="63" s="1"/>
  <c r="AB34" i="49"/>
  <c r="U34" i="63"/>
  <c r="U86" i="63" s="1"/>
  <c r="AB48" i="49"/>
  <c r="U48" i="63"/>
  <c r="U100" i="63" s="1"/>
  <c r="AB35" i="49"/>
  <c r="U35" i="63"/>
  <c r="U87" i="63" s="1"/>
  <c r="AB7" i="49"/>
  <c r="U7" i="63"/>
  <c r="U59" i="63" s="1"/>
  <c r="K9" i="65" s="1"/>
  <c r="AB47" i="49"/>
  <c r="U47" i="63"/>
  <c r="U99" i="63" s="1"/>
  <c r="AB26" i="49"/>
  <c r="U26" i="63"/>
  <c r="U78" i="63" s="1"/>
  <c r="AB13" i="49"/>
  <c r="U13" i="63"/>
  <c r="U65" i="63" s="1"/>
  <c r="AB16" i="49"/>
  <c r="U16" i="63"/>
  <c r="U68" i="63" s="1"/>
  <c r="E15" i="65"/>
  <c r="E14" i="65"/>
  <c r="B14" i="65"/>
  <c r="B15" i="65"/>
  <c r="D15" i="66"/>
  <c r="D14" i="66"/>
  <c r="L6" i="64"/>
  <c r="L49" i="64" s="1"/>
  <c r="AB39" i="49"/>
  <c r="U39" i="63"/>
  <c r="U91" i="63" s="1"/>
  <c r="AB18" i="49"/>
  <c r="AB53" i="49" s="1"/>
  <c r="U18" i="63"/>
  <c r="U70" i="63" s="1"/>
  <c r="Q7" i="65"/>
  <c r="Q13" i="65" s="1"/>
  <c r="U14" i="65"/>
  <c r="U15" i="65"/>
  <c r="L14" i="65"/>
  <c r="L15" i="65"/>
  <c r="J15" i="66"/>
  <c r="J14" i="66"/>
  <c r="L26" i="64"/>
  <c r="L69" i="64" s="1"/>
  <c r="AB12" i="49"/>
  <c r="U12" i="63"/>
  <c r="U64" i="63" s="1"/>
  <c r="AB41" i="49"/>
  <c r="U41" i="63"/>
  <c r="U93" i="63" s="1"/>
  <c r="K11" i="65"/>
  <c r="J15" i="65"/>
  <c r="J14" i="65"/>
  <c r="AB9" i="49"/>
  <c r="U9" i="63"/>
  <c r="U61" i="63" s="1"/>
  <c r="AB33" i="49"/>
  <c r="U33" i="63"/>
  <c r="U85" i="63" s="1"/>
  <c r="AB29" i="49"/>
  <c r="U29" i="63"/>
  <c r="U81" i="63" s="1"/>
  <c r="Q14" i="65"/>
  <c r="Q15" i="65"/>
  <c r="N15" i="65"/>
  <c r="N14" i="65"/>
  <c r="AB51" i="49"/>
  <c r="U51" i="63"/>
  <c r="U103" i="63" s="1"/>
  <c r="F9" i="65"/>
  <c r="F7" i="65"/>
  <c r="F13" i="65" s="1"/>
  <c r="F11" i="65"/>
  <c r="H15" i="66"/>
  <c r="H14" i="66"/>
  <c r="I15" i="66"/>
  <c r="I14" i="66"/>
  <c r="W44" i="54"/>
  <c r="V53" i="49"/>
  <c r="L21" i="53"/>
  <c r="Q21" i="53" s="1"/>
  <c r="Q21" i="52"/>
  <c r="AB21" i="52" s="1"/>
  <c r="L21" i="54"/>
  <c r="Q21" i="54" s="1"/>
  <c r="L6" i="53"/>
  <c r="Q6" i="53" s="1"/>
  <c r="Q6" i="52"/>
  <c r="AB6" i="52" s="1"/>
  <c r="L6" i="54"/>
  <c r="Q6" i="54" s="1"/>
  <c r="L39" i="53"/>
  <c r="Q39" i="53" s="1"/>
  <c r="Q39" i="52"/>
  <c r="AB39" i="52" s="1"/>
  <c r="L39" i="54"/>
  <c r="Q39" i="54" s="1"/>
  <c r="L26" i="53"/>
  <c r="Q26" i="53" s="1"/>
  <c r="Q26" i="52"/>
  <c r="AB26" i="52" s="1"/>
  <c r="L26" i="54"/>
  <c r="Q26" i="54" s="1"/>
  <c r="L25" i="53"/>
  <c r="Q25" i="53" s="1"/>
  <c r="Q25" i="52"/>
  <c r="AB25" i="52" s="1"/>
  <c r="L25" i="54"/>
  <c r="Q25" i="54" s="1"/>
  <c r="L14" i="53"/>
  <c r="Q14" i="53" s="1"/>
  <c r="Q14" i="52"/>
  <c r="AB14" i="52" s="1"/>
  <c r="L14" i="54"/>
  <c r="Q14" i="54" s="1"/>
  <c r="L11" i="53"/>
  <c r="Q11" i="53" s="1"/>
  <c r="Q11" i="52"/>
  <c r="AB11" i="52" s="1"/>
  <c r="L11" i="54"/>
  <c r="Q11" i="54" s="1"/>
  <c r="W44" i="53"/>
  <c r="L22" i="53"/>
  <c r="Q22" i="53" s="1"/>
  <c r="Q22" i="52"/>
  <c r="AB22" i="52" s="1"/>
  <c r="L22" i="54"/>
  <c r="Q22" i="54" s="1"/>
  <c r="Q47" i="54"/>
  <c r="Q47" i="53"/>
  <c r="Q47" i="52"/>
  <c r="Q47" i="51"/>
  <c r="L38" i="53"/>
  <c r="Q38" i="53" s="1"/>
  <c r="Q38" i="52"/>
  <c r="AB38" i="52" s="1"/>
  <c r="L38" i="54"/>
  <c r="Q38" i="54" s="1"/>
  <c r="L30" i="53"/>
  <c r="Q30" i="53" s="1"/>
  <c r="Q30" i="52"/>
  <c r="AB30" i="52" s="1"/>
  <c r="L30" i="54"/>
  <c r="Q30" i="54" s="1"/>
  <c r="L15" i="53"/>
  <c r="Q15" i="53" s="1"/>
  <c r="Q15" i="52"/>
  <c r="AB15" i="52" s="1"/>
  <c r="L15" i="54"/>
  <c r="Q15" i="54" s="1"/>
  <c r="L20" i="53"/>
  <c r="Q20" i="53" s="1"/>
  <c r="Q20" i="52"/>
  <c r="AB20" i="52" s="1"/>
  <c r="L20" i="54"/>
  <c r="Q20" i="54" s="1"/>
  <c r="L5" i="53"/>
  <c r="L5" i="64" s="1"/>
  <c r="L48" i="64" s="1"/>
  <c r="Q5" i="52"/>
  <c r="L44" i="52"/>
  <c r="L5" i="54"/>
  <c r="L17" i="53"/>
  <c r="Q17" i="53" s="1"/>
  <c r="Q17" i="52"/>
  <c r="AB17" i="52" s="1"/>
  <c r="L17" i="54"/>
  <c r="Q17" i="54" s="1"/>
  <c r="L33" i="53"/>
  <c r="Q33" i="53" s="1"/>
  <c r="Q33" i="52"/>
  <c r="AB33" i="52" s="1"/>
  <c r="L33" i="54"/>
  <c r="Q33" i="54" s="1"/>
  <c r="L13" i="53"/>
  <c r="Q13" i="53" s="1"/>
  <c r="Q13" i="52"/>
  <c r="AB13" i="52" s="1"/>
  <c r="L13" i="54"/>
  <c r="Q13" i="54" s="1"/>
  <c r="L28" i="53"/>
  <c r="Q28" i="53" s="1"/>
  <c r="Q28" i="52"/>
  <c r="AB28" i="52" s="1"/>
  <c r="L28" i="54"/>
  <c r="Q28" i="54" s="1"/>
  <c r="L10" i="53"/>
  <c r="Q10" i="53" s="1"/>
  <c r="Q10" i="52"/>
  <c r="AB10" i="52" s="1"/>
  <c r="L10" i="54"/>
  <c r="Q10" i="54" s="1"/>
  <c r="S53" i="49"/>
  <c r="L27" i="53"/>
  <c r="Q27" i="53" s="1"/>
  <c r="Q27" i="52"/>
  <c r="AB27" i="52" s="1"/>
  <c r="L27" i="54"/>
  <c r="Q27" i="54" s="1"/>
  <c r="L23" i="53"/>
  <c r="Q23" i="53" s="1"/>
  <c r="Q23" i="52"/>
  <c r="AB23" i="52" s="1"/>
  <c r="L23" i="54"/>
  <c r="Q23" i="54" s="1"/>
  <c r="L37" i="53"/>
  <c r="Q37" i="53" s="1"/>
  <c r="Q37" i="52"/>
  <c r="AB37" i="52" s="1"/>
  <c r="L37" i="54"/>
  <c r="Q37" i="54" s="1"/>
  <c r="L24" i="53"/>
  <c r="Q24" i="53" s="1"/>
  <c r="Q24" i="52"/>
  <c r="AB24" i="52" s="1"/>
  <c r="L24" i="54"/>
  <c r="Q24" i="54" s="1"/>
  <c r="L19" i="53"/>
  <c r="Q19" i="53" s="1"/>
  <c r="Q19" i="52"/>
  <c r="AB19" i="52" s="1"/>
  <c r="L19" i="54"/>
  <c r="Q19" i="54" s="1"/>
  <c r="L31" i="53"/>
  <c r="Q31" i="53" s="1"/>
  <c r="Q31" i="52"/>
  <c r="AB31" i="52" s="1"/>
  <c r="L31" i="54"/>
  <c r="Q31" i="54" s="1"/>
  <c r="L9" i="53"/>
  <c r="Q9" i="53" s="1"/>
  <c r="Q9" i="52"/>
  <c r="AB9" i="52" s="1"/>
  <c r="L9" i="54"/>
  <c r="Q9" i="54" s="1"/>
  <c r="R53" i="49"/>
  <c r="S58" i="49" s="1"/>
  <c r="M53" i="49"/>
  <c r="T58" i="47"/>
  <c r="T56" i="50"/>
  <c r="T56" i="49"/>
  <c r="T56" i="48"/>
  <c r="AM56" i="47"/>
  <c r="AM54" i="50"/>
  <c r="AM54" i="48"/>
  <c r="AM54" i="49" s="1"/>
  <c r="L34" i="53"/>
  <c r="Q34" i="53" s="1"/>
  <c r="Q34" i="52"/>
  <c r="AB34" i="52" s="1"/>
  <c r="L34" i="54"/>
  <c r="Q34" i="54" s="1"/>
  <c r="L12" i="53"/>
  <c r="Q12" i="53" s="1"/>
  <c r="Q12" i="52"/>
  <c r="AB12" i="52" s="1"/>
  <c r="L12" i="54"/>
  <c r="Q12" i="54" s="1"/>
  <c r="L42" i="53"/>
  <c r="Q42" i="53" s="1"/>
  <c r="Q42" i="52"/>
  <c r="AB42" i="52" s="1"/>
  <c r="L42" i="54"/>
  <c r="Q42" i="54" s="1"/>
  <c r="L8" i="53"/>
  <c r="Q8" i="53" s="1"/>
  <c r="Q8" i="52"/>
  <c r="AB8" i="52" s="1"/>
  <c r="L8" i="54"/>
  <c r="Q8" i="54" s="1"/>
  <c r="Q36" i="52"/>
  <c r="AB36" i="52" s="1"/>
  <c r="L36" i="53"/>
  <c r="Q36" i="53" s="1"/>
  <c r="L36" i="54"/>
  <c r="Q36" i="54" s="1"/>
  <c r="L41" i="53"/>
  <c r="Q41" i="53" s="1"/>
  <c r="Q41" i="52"/>
  <c r="AB41" i="52" s="1"/>
  <c r="L41" i="54"/>
  <c r="Q41" i="54" s="1"/>
  <c r="L35" i="53"/>
  <c r="Q35" i="53" s="1"/>
  <c r="Q35" i="52"/>
  <c r="AB35" i="52" s="1"/>
  <c r="L35" i="54"/>
  <c r="Q35" i="54" s="1"/>
  <c r="L40" i="53"/>
  <c r="Q40" i="53" s="1"/>
  <c r="Q40" i="52"/>
  <c r="AB40" i="52" s="1"/>
  <c r="L40" i="54"/>
  <c r="Q40" i="54" s="1"/>
  <c r="L16" i="53"/>
  <c r="Q16" i="53" s="1"/>
  <c r="Q16" i="52"/>
  <c r="AB16" i="52" s="1"/>
  <c r="L16" i="54"/>
  <c r="Q16" i="54" s="1"/>
  <c r="T57" i="47"/>
  <c r="T55" i="50"/>
  <c r="T55" i="49"/>
  <c r="T55" i="48"/>
  <c r="L32" i="53"/>
  <c r="Q32" i="53" s="1"/>
  <c r="Q32" i="52"/>
  <c r="AB32" i="52" s="1"/>
  <c r="L32" i="54"/>
  <c r="Q32" i="54" s="1"/>
  <c r="L18" i="53"/>
  <c r="Q18" i="53" s="1"/>
  <c r="Q18" i="52"/>
  <c r="AB18" i="52" s="1"/>
  <c r="L18" i="54"/>
  <c r="Q18" i="54" s="1"/>
  <c r="L29" i="53"/>
  <c r="Q29" i="53" s="1"/>
  <c r="Q29" i="52"/>
  <c r="AB29" i="52" s="1"/>
  <c r="L29" i="54"/>
  <c r="Q29" i="54" s="1"/>
  <c r="L7" i="53"/>
  <c r="Q7" i="53" s="1"/>
  <c r="Q7" i="52"/>
  <c r="AB7" i="52" s="1"/>
  <c r="L7" i="54"/>
  <c r="Q7" i="54" s="1"/>
  <c r="E42" i="5"/>
  <c r="E21" i="5"/>
  <c r="F29" i="5"/>
  <c r="F47" i="5"/>
  <c r="F46" i="5"/>
  <c r="K15" i="65" l="1"/>
  <c r="K14" i="65"/>
  <c r="B9" i="66"/>
  <c r="L23" i="64"/>
  <c r="L66" i="64" s="1"/>
  <c r="L41" i="64"/>
  <c r="L84" i="64" s="1"/>
  <c r="L36" i="64"/>
  <c r="L79" i="64" s="1"/>
  <c r="L9" i="64"/>
  <c r="L52" i="64" s="1"/>
  <c r="H14" i="65"/>
  <c r="H15" i="65"/>
  <c r="L8" i="64"/>
  <c r="L51" i="64" s="1"/>
  <c r="L20" i="64"/>
  <c r="L63" i="64" s="1"/>
  <c r="L31" i="64"/>
  <c r="L74" i="64" s="1"/>
  <c r="L30" i="64"/>
  <c r="L73" i="64" s="1"/>
  <c r="L38" i="64"/>
  <c r="L81" i="64" s="1"/>
  <c r="L11" i="64"/>
  <c r="L54" i="64" s="1"/>
  <c r="L22" i="64"/>
  <c r="L65" i="64" s="1"/>
  <c r="L42" i="64"/>
  <c r="L85" i="64" s="1"/>
  <c r="L19" i="64"/>
  <c r="L62" i="64" s="1"/>
  <c r="L10" i="64"/>
  <c r="L53" i="64" s="1"/>
  <c r="L14" i="64"/>
  <c r="L57" i="64" s="1"/>
  <c r="L21" i="64"/>
  <c r="L64" i="64" s="1"/>
  <c r="L7" i="64"/>
  <c r="L50" i="64" s="1"/>
  <c r="B11" i="66" s="1"/>
  <c r="L12" i="64"/>
  <c r="L55" i="64" s="1"/>
  <c r="L24" i="64"/>
  <c r="L67" i="64" s="1"/>
  <c r="L33" i="64"/>
  <c r="L76" i="64" s="1"/>
  <c r="F14" i="65"/>
  <c r="F15" i="65"/>
  <c r="L25" i="64"/>
  <c r="L68" i="64" s="1"/>
  <c r="L27" i="64"/>
  <c r="L70" i="64" s="1"/>
  <c r="L29" i="64"/>
  <c r="L72" i="64" s="1"/>
  <c r="L34" i="64"/>
  <c r="L77" i="64" s="1"/>
  <c r="L28" i="64"/>
  <c r="L71" i="64" s="1"/>
  <c r="L15" i="64"/>
  <c r="L58" i="64" s="1"/>
  <c r="L18" i="64"/>
  <c r="L61" i="64" s="1"/>
  <c r="L16" i="64"/>
  <c r="L59" i="64" s="1"/>
  <c r="C15" i="65"/>
  <c r="C14" i="65"/>
  <c r="L37" i="64"/>
  <c r="L80" i="64" s="1"/>
  <c r="L13" i="64"/>
  <c r="L56" i="64" s="1"/>
  <c r="K7" i="65"/>
  <c r="K13" i="65" s="1"/>
  <c r="L39" i="64"/>
  <c r="L82" i="64" s="1"/>
  <c r="L32" i="64"/>
  <c r="L75" i="64" s="1"/>
  <c r="L40" i="64"/>
  <c r="L83" i="64" s="1"/>
  <c r="L17" i="64"/>
  <c r="L60" i="64" s="1"/>
  <c r="L35" i="64"/>
  <c r="L78" i="64" s="1"/>
  <c r="X27" i="54"/>
  <c r="X17" i="54"/>
  <c r="X38" i="54"/>
  <c r="X39" i="54"/>
  <c r="X7" i="54"/>
  <c r="X25" i="54"/>
  <c r="X18" i="53"/>
  <c r="Y18" i="53" s="1"/>
  <c r="AB18" i="53" s="1"/>
  <c r="X18" i="54"/>
  <c r="X35" i="54"/>
  <c r="AB47" i="53"/>
  <c r="AB47" i="54"/>
  <c r="AB47" i="51"/>
  <c r="AB47" i="52"/>
  <c r="X8" i="54"/>
  <c r="X31" i="53"/>
  <c r="Y31" i="53" s="1"/>
  <c r="AB31" i="53" s="1"/>
  <c r="X31" i="54"/>
  <c r="AE57" i="47"/>
  <c r="AE55" i="50"/>
  <c r="AE55" i="49"/>
  <c r="AO54" i="49" s="1"/>
  <c r="AE55" i="48"/>
  <c r="X34" i="54"/>
  <c r="AM58" i="47"/>
  <c r="AM56" i="50"/>
  <c r="AM56" i="49"/>
  <c r="AM56" i="48"/>
  <c r="X46" i="54"/>
  <c r="X46" i="51"/>
  <c r="X46" i="53"/>
  <c r="X46" i="52"/>
  <c r="X49" i="52" s="1"/>
  <c r="X7" i="53" s="1"/>
  <c r="Y7" i="53" s="1"/>
  <c r="AB7" i="53" s="1"/>
  <c r="X32" i="53"/>
  <c r="Y32" i="53" s="1"/>
  <c r="AB32" i="53" s="1"/>
  <c r="X32" i="54"/>
  <c r="X41" i="54"/>
  <c r="X6" i="54"/>
  <c r="X16" i="53"/>
  <c r="Y16" i="53" s="1"/>
  <c r="AB16" i="53" s="1"/>
  <c r="X16" i="54"/>
  <c r="X15" i="54"/>
  <c r="X42" i="53"/>
  <c r="Y42" i="53" s="1"/>
  <c r="AB42" i="53" s="1"/>
  <c r="X42" i="54"/>
  <c r="X19" i="54"/>
  <c r="X10" i="54"/>
  <c r="X29" i="53"/>
  <c r="Y29" i="53" s="1"/>
  <c r="X29" i="54"/>
  <c r="X40" i="53"/>
  <c r="Y40" i="53" s="1"/>
  <c r="AB40" i="53" s="1"/>
  <c r="X40" i="54"/>
  <c r="X23" i="54"/>
  <c r="X33" i="53"/>
  <c r="Y33" i="53" s="1"/>
  <c r="AB33" i="53" s="1"/>
  <c r="X33" i="54"/>
  <c r="L44" i="53"/>
  <c r="Q5" i="53"/>
  <c r="X30" i="53"/>
  <c r="Y30" i="53" s="1"/>
  <c r="AB30" i="53" s="1"/>
  <c r="X30" i="54"/>
  <c r="X26" i="54"/>
  <c r="X37" i="53"/>
  <c r="Y37" i="53" s="1"/>
  <c r="AB37" i="53" s="1"/>
  <c r="X37" i="54"/>
  <c r="S42" i="50"/>
  <c r="S42" i="63" s="1"/>
  <c r="S94" i="63" s="1"/>
  <c r="S33" i="50"/>
  <c r="S33" i="63" s="1"/>
  <c r="S85" i="63" s="1"/>
  <c r="S32" i="50"/>
  <c r="S32" i="63" s="1"/>
  <c r="S84" i="63" s="1"/>
  <c r="S35" i="50"/>
  <c r="S35" i="63" s="1"/>
  <c r="S87" i="63" s="1"/>
  <c r="S51" i="50"/>
  <c r="S51" i="63" s="1"/>
  <c r="S103" i="63" s="1"/>
  <c r="S13" i="50"/>
  <c r="S13" i="63" s="1"/>
  <c r="S65" i="63" s="1"/>
  <c r="S47" i="50"/>
  <c r="S47" i="63" s="1"/>
  <c r="S99" i="63" s="1"/>
  <c r="S49" i="50"/>
  <c r="S49" i="63" s="1"/>
  <c r="S101" i="63" s="1"/>
  <c r="S44" i="50"/>
  <c r="S44" i="63" s="1"/>
  <c r="S96" i="63" s="1"/>
  <c r="S10" i="50"/>
  <c r="S10" i="63" s="1"/>
  <c r="S62" i="63" s="1"/>
  <c r="S24" i="50"/>
  <c r="S24" i="63" s="1"/>
  <c r="S76" i="63" s="1"/>
  <c r="S28" i="50"/>
  <c r="S28" i="63" s="1"/>
  <c r="S80" i="63" s="1"/>
  <c r="S15" i="50"/>
  <c r="S15" i="63" s="1"/>
  <c r="S67" i="63" s="1"/>
  <c r="S41" i="50"/>
  <c r="S41" i="63" s="1"/>
  <c r="S93" i="63" s="1"/>
  <c r="S7" i="50"/>
  <c r="S7" i="63" s="1"/>
  <c r="S59" i="63" s="1"/>
  <c r="S16" i="50"/>
  <c r="S16" i="63" s="1"/>
  <c r="S68" i="63" s="1"/>
  <c r="S6" i="50"/>
  <c r="S6" i="63" s="1"/>
  <c r="S58" i="63" s="1"/>
  <c r="S22" i="50"/>
  <c r="S22" i="63" s="1"/>
  <c r="S74" i="63" s="1"/>
  <c r="S46" i="50"/>
  <c r="S46" i="63" s="1"/>
  <c r="S98" i="63" s="1"/>
  <c r="S34" i="50"/>
  <c r="S34" i="63" s="1"/>
  <c r="S86" i="63" s="1"/>
  <c r="S21" i="50"/>
  <c r="S21" i="63" s="1"/>
  <c r="S73" i="63" s="1"/>
  <c r="S48" i="50"/>
  <c r="S48" i="63" s="1"/>
  <c r="S100" i="63" s="1"/>
  <c r="S25" i="50"/>
  <c r="S25" i="63" s="1"/>
  <c r="S77" i="63" s="1"/>
  <c r="S30" i="50"/>
  <c r="S30" i="63" s="1"/>
  <c r="S82" i="63" s="1"/>
  <c r="S36" i="50"/>
  <c r="S36" i="63" s="1"/>
  <c r="S88" i="63" s="1"/>
  <c r="S38" i="50"/>
  <c r="S38" i="63" s="1"/>
  <c r="S90" i="63" s="1"/>
  <c r="S23" i="50"/>
  <c r="S23" i="63" s="1"/>
  <c r="S75" i="63" s="1"/>
  <c r="S37" i="50"/>
  <c r="S37" i="63" s="1"/>
  <c r="S89" i="63" s="1"/>
  <c r="S14" i="50"/>
  <c r="S14" i="63" s="1"/>
  <c r="S66" i="63" s="1"/>
  <c r="S29" i="50"/>
  <c r="S29" i="63" s="1"/>
  <c r="S81" i="63" s="1"/>
  <c r="S50" i="50"/>
  <c r="S50" i="63" s="1"/>
  <c r="S102" i="63" s="1"/>
  <c r="S9" i="50"/>
  <c r="S9" i="63" s="1"/>
  <c r="S61" i="63" s="1"/>
  <c r="S39" i="50"/>
  <c r="S39" i="63" s="1"/>
  <c r="S91" i="63" s="1"/>
  <c r="S20" i="50"/>
  <c r="S20" i="63" s="1"/>
  <c r="S72" i="63" s="1"/>
  <c r="S11" i="50"/>
  <c r="S11" i="63" s="1"/>
  <c r="S63" i="63" s="1"/>
  <c r="S31" i="50"/>
  <c r="S31" i="63" s="1"/>
  <c r="S83" i="63" s="1"/>
  <c r="S43" i="50"/>
  <c r="S43" i="63" s="1"/>
  <c r="S95" i="63" s="1"/>
  <c r="S40" i="50"/>
  <c r="S40" i="63" s="1"/>
  <c r="S92" i="63" s="1"/>
  <c r="S26" i="50"/>
  <c r="S26" i="63" s="1"/>
  <c r="S78" i="63" s="1"/>
  <c r="S8" i="50"/>
  <c r="S8" i="63" s="1"/>
  <c r="S60" i="63" s="1"/>
  <c r="S17" i="50"/>
  <c r="S17" i="63" s="1"/>
  <c r="S69" i="63" s="1"/>
  <c r="S5" i="50"/>
  <c r="S5" i="63" s="1"/>
  <c r="S57" i="63" s="1"/>
  <c r="S18" i="50"/>
  <c r="S18" i="63" s="1"/>
  <c r="S70" i="63" s="1"/>
  <c r="S27" i="50"/>
  <c r="S27" i="63" s="1"/>
  <c r="S79" i="63" s="1"/>
  <c r="S12" i="50"/>
  <c r="S12" i="63" s="1"/>
  <c r="S64" i="63" s="1"/>
  <c r="S45" i="50"/>
  <c r="S45" i="63" s="1"/>
  <c r="S97" i="63" s="1"/>
  <c r="S19" i="50"/>
  <c r="S19" i="63" s="1"/>
  <c r="S71" i="63" s="1"/>
  <c r="Q44" i="52"/>
  <c r="AB5" i="52"/>
  <c r="X11" i="53"/>
  <c r="Y11" i="53" s="1"/>
  <c r="AB11" i="53" s="1"/>
  <c r="X11" i="54"/>
  <c r="AB29" i="53"/>
  <c r="X9" i="54"/>
  <c r="X21" i="53"/>
  <c r="Y21" i="53" s="1"/>
  <c r="AB21" i="53" s="1"/>
  <c r="X21" i="54"/>
  <c r="X13" i="54"/>
  <c r="Q5" i="54"/>
  <c r="L44" i="54"/>
  <c r="X36" i="54"/>
  <c r="X12" i="53"/>
  <c r="Y12" i="53" s="1"/>
  <c r="AB12" i="53" s="1"/>
  <c r="X12" i="54"/>
  <c r="X24" i="53"/>
  <c r="Y24" i="53" s="1"/>
  <c r="AB24" i="53" s="1"/>
  <c r="X24" i="54"/>
  <c r="X28" i="53"/>
  <c r="Y28" i="53" s="1"/>
  <c r="AB28" i="53" s="1"/>
  <c r="X28" i="54"/>
  <c r="X20" i="53"/>
  <c r="Y20" i="53" s="1"/>
  <c r="AB20" i="53" s="1"/>
  <c r="X20" i="54"/>
  <c r="X22" i="53"/>
  <c r="Y22" i="53" s="1"/>
  <c r="AB22" i="53" s="1"/>
  <c r="X22" i="54"/>
  <c r="X14" i="53"/>
  <c r="Y14" i="53" s="1"/>
  <c r="AB14" i="53" s="1"/>
  <c r="X14" i="54"/>
  <c r="E43" i="5"/>
  <c r="E47" i="5" s="1"/>
  <c r="E23" i="5"/>
  <c r="X6" i="53" l="1"/>
  <c r="Y6" i="53" s="1"/>
  <c r="AB6" i="53" s="1"/>
  <c r="X17" i="53"/>
  <c r="Y17" i="53" s="1"/>
  <c r="AB17" i="53" s="1"/>
  <c r="X36" i="53"/>
  <c r="Y36" i="53" s="1"/>
  <c r="AB36" i="53" s="1"/>
  <c r="X9" i="53"/>
  <c r="Y9" i="53" s="1"/>
  <c r="AB9" i="53" s="1"/>
  <c r="X26" i="53"/>
  <c r="Y26" i="53" s="1"/>
  <c r="AB26" i="53" s="1"/>
  <c r="X23" i="53"/>
  <c r="Y23" i="53" s="1"/>
  <c r="AB23" i="53" s="1"/>
  <c r="X19" i="53"/>
  <c r="Y19" i="53" s="1"/>
  <c r="AB19" i="53" s="1"/>
  <c r="B7" i="66"/>
  <c r="B13" i="66" s="1"/>
  <c r="I9" i="65"/>
  <c r="I7" i="65"/>
  <c r="I13" i="65" s="1"/>
  <c r="I11" i="65"/>
  <c r="X13" i="53"/>
  <c r="Y13" i="53" s="1"/>
  <c r="AB13" i="53" s="1"/>
  <c r="B15" i="66"/>
  <c r="B14" i="66"/>
  <c r="Y31" i="54"/>
  <c r="AB31" i="54" s="1"/>
  <c r="S24" i="68" s="1"/>
  <c r="U31" i="64"/>
  <c r="U74" i="64" s="1"/>
  <c r="Y14" i="54"/>
  <c r="AB14" i="54" s="1"/>
  <c r="AA251" i="58" s="1"/>
  <c r="U14" i="64"/>
  <c r="U57" i="64" s="1"/>
  <c r="Y24" i="54"/>
  <c r="AB24" i="54" s="1"/>
  <c r="AA315" i="58" s="1"/>
  <c r="U24" i="64"/>
  <c r="U67" i="64" s="1"/>
  <c r="Y30" i="54"/>
  <c r="AB30" i="54" s="1"/>
  <c r="S23" i="68" s="1"/>
  <c r="U30" i="64"/>
  <c r="U73" i="64" s="1"/>
  <c r="Y42" i="54"/>
  <c r="AB42" i="54" s="1"/>
  <c r="S33" i="68" s="1"/>
  <c r="U42" i="64"/>
  <c r="U85" i="64" s="1"/>
  <c r="Y32" i="54"/>
  <c r="AB32" i="54" s="1"/>
  <c r="U32" i="64"/>
  <c r="U75" i="64" s="1"/>
  <c r="Y40" i="54"/>
  <c r="AB40" i="54" s="1"/>
  <c r="S30" i="68" s="1"/>
  <c r="U40" i="64"/>
  <c r="U83" i="64" s="1"/>
  <c r="Y8" i="54"/>
  <c r="AB8" i="54" s="1"/>
  <c r="AA694" i="57" s="1"/>
  <c r="Y25" i="54"/>
  <c r="AB25" i="54" s="1"/>
  <c r="S17" i="68" s="1"/>
  <c r="Y22" i="54"/>
  <c r="AB22" i="54" s="1"/>
  <c r="S13" i="68" s="1"/>
  <c r="U22" i="64"/>
  <c r="U65" i="64" s="1"/>
  <c r="Y13" i="54"/>
  <c r="AB13" i="54" s="1"/>
  <c r="AA225" i="58" s="1"/>
  <c r="U13" i="64"/>
  <c r="U56" i="64" s="1"/>
  <c r="Y15" i="54"/>
  <c r="AB15" i="54" s="1"/>
  <c r="AA259" i="58" s="1"/>
  <c r="Y34" i="54"/>
  <c r="AB34" i="54" s="1"/>
  <c r="Y7" i="54"/>
  <c r="AB7" i="54" s="1"/>
  <c r="U7" i="64"/>
  <c r="U50" i="64" s="1"/>
  <c r="Y36" i="54"/>
  <c r="AB36" i="54" s="1"/>
  <c r="S27" i="68" s="1"/>
  <c r="Y29" i="54"/>
  <c r="AB29" i="54" s="1"/>
  <c r="S22" i="68" s="1"/>
  <c r="U29" i="64"/>
  <c r="U72" i="64" s="1"/>
  <c r="Y39" i="54"/>
  <c r="AB39" i="54" s="1"/>
  <c r="S31" i="68" s="1"/>
  <c r="Y11" i="54"/>
  <c r="AB11" i="54" s="1"/>
  <c r="S9" i="68" s="1"/>
  <c r="U11" i="64"/>
  <c r="U54" i="64" s="1"/>
  <c r="Y12" i="54"/>
  <c r="AB12" i="54" s="1"/>
  <c r="S11" i="68" s="1"/>
  <c r="U12" i="64"/>
  <c r="U55" i="64" s="1"/>
  <c r="Y16" i="54"/>
  <c r="AB16" i="54" s="1"/>
  <c r="S8" i="68" s="1"/>
  <c r="U16" i="64"/>
  <c r="U59" i="64" s="1"/>
  <c r="Y20" i="54"/>
  <c r="AB20" i="54" s="1"/>
  <c r="U20" i="64"/>
  <c r="U63" i="64" s="1"/>
  <c r="Y21" i="54"/>
  <c r="AB21" i="54" s="1"/>
  <c r="S12" i="68" s="1"/>
  <c r="U21" i="64"/>
  <c r="U64" i="64" s="1"/>
  <c r="Y37" i="54"/>
  <c r="AB37" i="54" s="1"/>
  <c r="S28" i="68" s="1"/>
  <c r="U37" i="64"/>
  <c r="U80" i="64" s="1"/>
  <c r="Y33" i="54"/>
  <c r="AB33" i="54" s="1"/>
  <c r="U33" i="64"/>
  <c r="U76" i="64" s="1"/>
  <c r="Y38" i="54"/>
  <c r="AB38" i="54" s="1"/>
  <c r="S29" i="68" s="1"/>
  <c r="Y10" i="54"/>
  <c r="AB10" i="54" s="1"/>
  <c r="S7" i="68" s="1"/>
  <c r="Y6" i="54"/>
  <c r="AB6" i="54" s="1"/>
  <c r="AA117" i="57" s="1"/>
  <c r="Y17" i="54"/>
  <c r="AB17" i="54" s="1"/>
  <c r="S10" i="68" s="1"/>
  <c r="U17" i="64"/>
  <c r="U60" i="64" s="1"/>
  <c r="Y28" i="54"/>
  <c r="AB28" i="54" s="1"/>
  <c r="U28" i="64"/>
  <c r="U71" i="64" s="1"/>
  <c r="Y9" i="54"/>
  <c r="AB9" i="54" s="1"/>
  <c r="S6" i="68" s="1"/>
  <c r="U9" i="64"/>
  <c r="U52" i="64" s="1"/>
  <c r="Y26" i="54"/>
  <c r="AB26" i="54" s="1"/>
  <c r="S18" i="68" s="1"/>
  <c r="Y23" i="54"/>
  <c r="AB23" i="54" s="1"/>
  <c r="S14" i="68" s="1"/>
  <c r="U23" i="64"/>
  <c r="U66" i="64" s="1"/>
  <c r="Y19" i="54"/>
  <c r="AB19" i="54" s="1"/>
  <c r="Y35" i="54"/>
  <c r="AB35" i="54" s="1"/>
  <c r="Y41" i="54"/>
  <c r="AB41" i="54" s="1"/>
  <c r="S32" i="68" s="1"/>
  <c r="Y18" i="54"/>
  <c r="AB18" i="54" s="1"/>
  <c r="U18" i="64"/>
  <c r="U61" i="64" s="1"/>
  <c r="Y27" i="54"/>
  <c r="AB27" i="54" s="1"/>
  <c r="S19" i="68" s="1"/>
  <c r="AA560" i="57"/>
  <c r="AG560" i="57" s="1"/>
  <c r="AA706" i="57"/>
  <c r="AA704" i="57"/>
  <c r="AA275" i="58"/>
  <c r="AA840" i="57"/>
  <c r="AG840" i="57" s="1"/>
  <c r="AA678" i="57"/>
  <c r="AA689" i="57"/>
  <c r="AA696" i="57"/>
  <c r="AA332" i="57"/>
  <c r="AA241" i="58"/>
  <c r="AA237" i="58"/>
  <c r="AA248" i="58"/>
  <c r="AA236" i="58"/>
  <c r="AA232" i="58"/>
  <c r="AA228" i="58"/>
  <c r="AA804" i="57"/>
  <c r="AG804" i="57" s="1"/>
  <c r="AA795" i="57"/>
  <c r="AG795" i="57" s="1"/>
  <c r="AA802" i="57"/>
  <c r="AG802" i="57" s="1"/>
  <c r="AA808" i="57"/>
  <c r="AG808" i="57" s="1"/>
  <c r="AA815" i="57"/>
  <c r="AG815" i="57" s="1"/>
  <c r="AA799" i="57"/>
  <c r="AG799" i="57" s="1"/>
  <c r="AA668" i="57"/>
  <c r="AA667" i="57"/>
  <c r="AA666" i="57"/>
  <c r="AA671" i="57"/>
  <c r="AA347" i="58"/>
  <c r="AA325" i="58"/>
  <c r="AA297" i="58"/>
  <c r="AA338" i="58"/>
  <c r="AA318" i="58"/>
  <c r="AA910" i="57"/>
  <c r="AG910" i="57" s="1"/>
  <c r="AA909" i="57"/>
  <c r="AG909" i="57" s="1"/>
  <c r="AA908" i="57"/>
  <c r="AG908" i="57" s="1"/>
  <c r="AA875" i="57"/>
  <c r="AG875" i="57" s="1"/>
  <c r="AA866" i="57"/>
  <c r="AG866" i="57" s="1"/>
  <c r="AA865" i="57"/>
  <c r="AG865" i="57" s="1"/>
  <c r="AA895" i="57"/>
  <c r="AG895" i="57" s="1"/>
  <c r="AG57" i="47"/>
  <c r="AG55" i="50"/>
  <c r="AG55" i="49"/>
  <c r="AG55" i="48"/>
  <c r="Y46" i="54"/>
  <c r="Y46" i="53"/>
  <c r="Y46" i="51"/>
  <c r="Y46" i="52"/>
  <c r="X35" i="53"/>
  <c r="Y35" i="53" s="1"/>
  <c r="AB35" i="53" s="1"/>
  <c r="X39" i="53"/>
  <c r="Y39" i="53" s="1"/>
  <c r="AB39" i="53" s="1"/>
  <c r="AA1097" i="57" s="1"/>
  <c r="X27" i="53"/>
  <c r="Y27" i="53" s="1"/>
  <c r="AB27" i="53" s="1"/>
  <c r="Q44" i="53"/>
  <c r="X5" i="53"/>
  <c r="X5" i="54"/>
  <c r="U5" i="64" s="1"/>
  <c r="U48" i="64" s="1"/>
  <c r="AB44" i="52"/>
  <c r="X10" i="53"/>
  <c r="Y10" i="53" s="1"/>
  <c r="AB10" i="53" s="1"/>
  <c r="X15" i="53"/>
  <c r="Y15" i="53" s="1"/>
  <c r="AB15" i="53" s="1"/>
  <c r="X34" i="53"/>
  <c r="Y34" i="53" s="1"/>
  <c r="AB34" i="53" s="1"/>
  <c r="X25" i="53"/>
  <c r="Y25" i="53" s="1"/>
  <c r="AB25" i="53" s="1"/>
  <c r="X38" i="53"/>
  <c r="Y38" i="53" s="1"/>
  <c r="AB38" i="53" s="1"/>
  <c r="Q44" i="54"/>
  <c r="S53" i="50"/>
  <c r="X8" i="53"/>
  <c r="Y8" i="53" s="1"/>
  <c r="AB8" i="53" s="1"/>
  <c r="AA697" i="57" s="1"/>
  <c r="X41" i="53"/>
  <c r="Y41" i="53" s="1"/>
  <c r="AB41" i="53" s="1"/>
  <c r="E29" i="5"/>
  <c r="E46" i="5"/>
  <c r="AA191" i="57" l="1"/>
  <c r="AA34" i="58"/>
  <c r="AA262" i="58"/>
  <c r="AA732" i="57"/>
  <c r="AA280" i="58"/>
  <c r="AA809" i="57"/>
  <c r="AG809" i="57" s="1"/>
  <c r="AA244" i="58"/>
  <c r="AA860" i="57"/>
  <c r="AA219" i="58"/>
  <c r="AA642" i="57"/>
  <c r="AA797" i="57"/>
  <c r="AG797" i="57" s="1"/>
  <c r="AA245" i="58"/>
  <c r="AA853" i="57"/>
  <c r="AA880" i="57"/>
  <c r="AG880" i="57" s="1"/>
  <c r="AA932" i="57"/>
  <c r="AG932" i="57" s="1"/>
  <c r="AA354" i="58"/>
  <c r="AA896" i="57"/>
  <c r="AG896" i="57" s="1"/>
  <c r="AA930" i="57"/>
  <c r="AG930" i="57" s="1"/>
  <c r="AA901" i="57"/>
  <c r="AG901" i="57" s="1"/>
  <c r="AA308" i="58"/>
  <c r="AA356" i="58"/>
  <c r="AA345" i="58"/>
  <c r="AA190" i="57"/>
  <c r="AA856" i="57"/>
  <c r="AA271" i="58"/>
  <c r="AA729" i="57"/>
  <c r="AA849" i="57"/>
  <c r="AA268" i="58"/>
  <c r="AA873" i="57"/>
  <c r="AG873" i="57" s="1"/>
  <c r="AA915" i="57"/>
  <c r="AG915" i="57" s="1"/>
  <c r="AA925" i="57"/>
  <c r="AG925" i="57" s="1"/>
  <c r="AA320" i="58"/>
  <c r="AA299" i="58"/>
  <c r="AA361" i="58"/>
  <c r="AA338" i="57"/>
  <c r="AA290" i="58"/>
  <c r="AA827" i="57"/>
  <c r="AG827" i="57" s="1"/>
  <c r="AA722" i="57"/>
  <c r="AA284" i="58"/>
  <c r="S15" i="68"/>
  <c r="S20" i="68"/>
  <c r="S25" i="68"/>
  <c r="AA1146" i="57"/>
  <c r="AA923" i="57"/>
  <c r="AG923" i="57" s="1"/>
  <c r="AA324" i="58"/>
  <c r="AA363" i="58"/>
  <c r="AA421" i="57"/>
  <c r="AA294" i="58"/>
  <c r="AA820" i="57"/>
  <c r="AG820" i="57" s="1"/>
  <c r="AA711" i="57"/>
  <c r="AA723" i="57"/>
  <c r="AA288" i="58"/>
  <c r="AA684" i="57"/>
  <c r="S5" i="68"/>
  <c r="AA919" i="57"/>
  <c r="AG919" i="57" s="1"/>
  <c r="AA889" i="57"/>
  <c r="AG889" i="57" s="1"/>
  <c r="AA886" i="57"/>
  <c r="AG886" i="57" s="1"/>
  <c r="AA309" i="58"/>
  <c r="AA193" i="57"/>
  <c r="AA863" i="57"/>
  <c r="AG863" i="57" s="1"/>
  <c r="AA929" i="57"/>
  <c r="AG929" i="57" s="1"/>
  <c r="AA868" i="57"/>
  <c r="AG868" i="57" s="1"/>
  <c r="AA894" i="57"/>
  <c r="AG894" i="57" s="1"/>
  <c r="AA334" i="58"/>
  <c r="AA841" i="57"/>
  <c r="AA124" i="57"/>
  <c r="AA326" i="57"/>
  <c r="AA295" i="58"/>
  <c r="AA822" i="57"/>
  <c r="AG822" i="57" s="1"/>
  <c r="AA719" i="57"/>
  <c r="AA708" i="57"/>
  <c r="AA289" i="58"/>
  <c r="S21" i="68"/>
  <c r="S26" i="68"/>
  <c r="S16" i="68"/>
  <c r="AA872" i="57"/>
  <c r="AG872" i="57" s="1"/>
  <c r="AA882" i="57"/>
  <c r="AG882" i="57" s="1"/>
  <c r="AA916" i="57"/>
  <c r="AG916" i="57" s="1"/>
  <c r="AA302" i="58"/>
  <c r="AA350" i="58"/>
  <c r="AA329" i="58"/>
  <c r="AA277" i="58"/>
  <c r="AA973" i="57"/>
  <c r="AA266" i="58"/>
  <c r="AA720" i="57"/>
  <c r="AA718" i="57"/>
  <c r="G6" i="68"/>
  <c r="G11" i="68"/>
  <c r="AA922" i="57"/>
  <c r="AG922" i="57" s="1"/>
  <c r="AA304" i="58"/>
  <c r="AA341" i="58"/>
  <c r="AA323" i="57"/>
  <c r="AA971" i="57"/>
  <c r="AA255" i="58"/>
  <c r="AA736" i="57"/>
  <c r="AA742" i="57"/>
  <c r="AA691" i="57"/>
  <c r="AA786" i="57"/>
  <c r="AG786" i="57" s="1"/>
  <c r="AA927" i="57"/>
  <c r="AG927" i="57" s="1"/>
  <c r="AA881" i="57"/>
  <c r="AG881" i="57" s="1"/>
  <c r="AA867" i="57"/>
  <c r="AG867" i="57" s="1"/>
  <c r="AA924" i="57"/>
  <c r="AG924" i="57" s="1"/>
  <c r="AA902" i="57"/>
  <c r="AG902" i="57" s="1"/>
  <c r="AA322" i="58"/>
  <c r="AA366" i="58"/>
  <c r="AA331" i="58"/>
  <c r="AA843" i="57"/>
  <c r="AA669" i="57"/>
  <c r="AA811" i="57"/>
  <c r="AG811" i="57" s="1"/>
  <c r="AA240" i="58"/>
  <c r="AA249" i="58"/>
  <c r="AA83" i="57"/>
  <c r="AA991" i="57"/>
  <c r="AA291" i="58"/>
  <c r="AA838" i="57"/>
  <c r="AG838" i="57" s="1"/>
  <c r="AA211" i="58"/>
  <c r="AA713" i="57"/>
  <c r="AA717" i="57"/>
  <c r="AA285" i="58"/>
  <c r="AA969" i="57"/>
  <c r="AA747" i="57"/>
  <c r="AG747" i="57" s="1"/>
  <c r="AA940" i="57"/>
  <c r="AA813" i="57"/>
  <c r="AG813" i="57" s="1"/>
  <c r="AA229" i="58"/>
  <c r="AA195" i="58"/>
  <c r="AA888" i="57"/>
  <c r="AG888" i="57" s="1"/>
  <c r="AA874" i="57"/>
  <c r="AG874" i="57" s="1"/>
  <c r="AA931" i="57"/>
  <c r="AG931" i="57" s="1"/>
  <c r="AA917" i="57"/>
  <c r="AG917" i="57" s="1"/>
  <c r="AA306" i="58"/>
  <c r="AA340" i="58"/>
  <c r="AA313" i="58"/>
  <c r="AA357" i="58"/>
  <c r="AA665" i="57"/>
  <c r="AA793" i="57"/>
  <c r="AG793" i="57" s="1"/>
  <c r="AA806" i="57"/>
  <c r="AG806" i="57" s="1"/>
  <c r="AA233" i="58"/>
  <c r="AA203" i="57"/>
  <c r="AA82" i="57"/>
  <c r="AA858" i="57"/>
  <c r="AA202" i="58"/>
  <c r="AA825" i="57"/>
  <c r="AG825" i="57" s="1"/>
  <c r="AA735" i="57"/>
  <c r="AA738" i="57"/>
  <c r="AA851" i="57"/>
  <c r="AA988" i="57"/>
  <c r="AA153" i="57"/>
  <c r="AG153" i="57" s="1"/>
  <c r="AA1144" i="57"/>
  <c r="AA1068" i="57"/>
  <c r="AA1024" i="57"/>
  <c r="AA998" i="57"/>
  <c r="AG998" i="57" s="1"/>
  <c r="AA1047" i="57"/>
  <c r="AA1017" i="57"/>
  <c r="AA1066" i="57"/>
  <c r="AA1035" i="57"/>
  <c r="AA935" i="57"/>
  <c r="AA948" i="57"/>
  <c r="AA655" i="57"/>
  <c r="AA660" i="57"/>
  <c r="AG660" i="57" s="1"/>
  <c r="AA1125" i="57"/>
  <c r="AG1125" i="57" s="1"/>
  <c r="AA352" i="58"/>
  <c r="AA311" i="58"/>
  <c r="AA343" i="58"/>
  <c r="AA1148" i="57"/>
  <c r="AA844" i="57"/>
  <c r="AA673" i="57"/>
  <c r="AG673" i="57" s="1"/>
  <c r="AA670" i="57"/>
  <c r="AA1100" i="57"/>
  <c r="AA1108" i="57"/>
  <c r="AA1088" i="57"/>
  <c r="AA1037" i="57"/>
  <c r="AA1006" i="57"/>
  <c r="AA1094" i="57"/>
  <c r="AA1055" i="57"/>
  <c r="AG1055" i="57" s="1"/>
  <c r="AA1025" i="57"/>
  <c r="AA994" i="57"/>
  <c r="AA1074" i="57"/>
  <c r="AA1043" i="57"/>
  <c r="AA807" i="57"/>
  <c r="AG807" i="57" s="1"/>
  <c r="AA794" i="57"/>
  <c r="AG794" i="57" s="1"/>
  <c r="AA812" i="57"/>
  <c r="AG812" i="57" s="1"/>
  <c r="AA230" i="58"/>
  <c r="AA246" i="58"/>
  <c r="AA239" i="58"/>
  <c r="AA936" i="57"/>
  <c r="AA949" i="57"/>
  <c r="AA115" i="57"/>
  <c r="AA198" i="57"/>
  <c r="AA26" i="57"/>
  <c r="AA663" i="57"/>
  <c r="AG663" i="57" s="1"/>
  <c r="AA650" i="57"/>
  <c r="AA645" i="57"/>
  <c r="AA989" i="57"/>
  <c r="AA857" i="57"/>
  <c r="AA296" i="58"/>
  <c r="AA199" i="58"/>
  <c r="AA699" i="57"/>
  <c r="AA817" i="57"/>
  <c r="AG817" i="57" s="1"/>
  <c r="AA830" i="57"/>
  <c r="AG830" i="57" s="1"/>
  <c r="AA257" i="58"/>
  <c r="AA788" i="57"/>
  <c r="AG788" i="57" s="1"/>
  <c r="AA727" i="57"/>
  <c r="AA705" i="57"/>
  <c r="AA730" i="57"/>
  <c r="AA701" i="57"/>
  <c r="AA850" i="57"/>
  <c r="AG850" i="57" s="1"/>
  <c r="AA283" i="58"/>
  <c r="AA1130" i="57"/>
  <c r="AG1130" i="57" s="1"/>
  <c r="U15" i="64"/>
  <c r="U58" i="64" s="1"/>
  <c r="U8" i="64"/>
  <c r="U51" i="64" s="1"/>
  <c r="AA1008" i="57"/>
  <c r="AA996" i="57"/>
  <c r="AA1014" i="57"/>
  <c r="AA1102" i="57"/>
  <c r="L1102" i="61" s="1"/>
  <c r="O1102" i="61" s="1"/>
  <c r="AA1033" i="57"/>
  <c r="AA1090" i="57"/>
  <c r="AA1051" i="57"/>
  <c r="AA944" i="57"/>
  <c r="AA648" i="57"/>
  <c r="AA388" i="58"/>
  <c r="AA269" i="58"/>
  <c r="AA1142" i="57"/>
  <c r="AA1000" i="57"/>
  <c r="AA1016" i="57"/>
  <c r="AA1053" i="57"/>
  <c r="AA1071" i="57"/>
  <c r="AA1002" i="57"/>
  <c r="AA957" i="57"/>
  <c r="AA658" i="57"/>
  <c r="AG658" i="57" s="1"/>
  <c r="AA653" i="57"/>
  <c r="AA1150" i="57"/>
  <c r="AA282" i="58"/>
  <c r="AA674" i="57"/>
  <c r="AA1032" i="57"/>
  <c r="AA1040" i="57"/>
  <c r="AA1048" i="57"/>
  <c r="AA1028" i="57"/>
  <c r="AG1028" i="57" s="1"/>
  <c r="AA1061" i="57"/>
  <c r="AA1030" i="57"/>
  <c r="AA1110" i="57"/>
  <c r="AA1079" i="57"/>
  <c r="AA1049" i="57"/>
  <c r="AA1010" i="57"/>
  <c r="AA1098" i="57"/>
  <c r="AA1067" i="57"/>
  <c r="L1067" i="61" s="1"/>
  <c r="O1067" i="61" s="1"/>
  <c r="AA800" i="57"/>
  <c r="AG800" i="57" s="1"/>
  <c r="AA810" i="57"/>
  <c r="AG810" i="57" s="1"/>
  <c r="AA805" i="57"/>
  <c r="AG805" i="57" s="1"/>
  <c r="AA234" i="58"/>
  <c r="AA250" i="58"/>
  <c r="AA243" i="58"/>
  <c r="AA945" i="57"/>
  <c r="AA950" i="57"/>
  <c r="AG950" i="57" s="1"/>
  <c r="AA109" i="57"/>
  <c r="AA111" i="57"/>
  <c r="AA399" i="57"/>
  <c r="AA656" i="57"/>
  <c r="AA643" i="57"/>
  <c r="AA661" i="57"/>
  <c r="AA978" i="57"/>
  <c r="AA859" i="57"/>
  <c r="AG859" i="57" s="1"/>
  <c r="AA293" i="58"/>
  <c r="AA679" i="57"/>
  <c r="AA692" i="57"/>
  <c r="AA833" i="57"/>
  <c r="AG833" i="57" s="1"/>
  <c r="AA252" i="58"/>
  <c r="AA261" i="58"/>
  <c r="AA204" i="58"/>
  <c r="AA743" i="57"/>
  <c r="AG743" i="57" s="1"/>
  <c r="AA721" i="57"/>
  <c r="AA715" i="57"/>
  <c r="AA725" i="57"/>
  <c r="AA852" i="57"/>
  <c r="AA287" i="58"/>
  <c r="AA1123" i="57"/>
  <c r="AG1123" i="57" s="1"/>
  <c r="U41" i="64"/>
  <c r="U84" i="64" s="1"/>
  <c r="U26" i="64"/>
  <c r="U69" i="64" s="1"/>
  <c r="U6" i="64"/>
  <c r="U49" i="64" s="1"/>
  <c r="U36" i="64"/>
  <c r="U79" i="64" s="1"/>
  <c r="AA1064" i="57"/>
  <c r="AA1092" i="57"/>
  <c r="AA1038" i="57"/>
  <c r="AA1057" i="57"/>
  <c r="AA646" i="57"/>
  <c r="AA1138" i="57"/>
  <c r="AG1138" i="57" s="1"/>
  <c r="AA1072" i="57"/>
  <c r="AA1080" i="57"/>
  <c r="AA1069" i="57"/>
  <c r="AA1007" i="57"/>
  <c r="AA1087" i="57"/>
  <c r="AA1026" i="57"/>
  <c r="AA1106" i="57"/>
  <c r="AA1075" i="57"/>
  <c r="AG1075" i="57" s="1"/>
  <c r="AA953" i="57"/>
  <c r="AA664" i="57"/>
  <c r="AA651" i="57"/>
  <c r="AA336" i="58"/>
  <c r="AA368" i="58"/>
  <c r="AA327" i="58"/>
  <c r="AA359" i="58"/>
  <c r="AA279" i="58"/>
  <c r="AA675" i="57"/>
  <c r="AA1096" i="57"/>
  <c r="AA1104" i="57"/>
  <c r="AA1020" i="57"/>
  <c r="AA997" i="57"/>
  <c r="AA1085" i="57"/>
  <c r="AA1046" i="57"/>
  <c r="AG1046" i="57" s="1"/>
  <c r="AA1015" i="57"/>
  <c r="AA1103" i="57"/>
  <c r="AA1065" i="57"/>
  <c r="AA1034" i="57"/>
  <c r="AA1003" i="57"/>
  <c r="AA1083" i="57"/>
  <c r="AA816" i="57"/>
  <c r="AG816" i="57" s="1"/>
  <c r="AA803" i="57"/>
  <c r="AG803" i="57" s="1"/>
  <c r="AA798" i="57"/>
  <c r="AG798" i="57" s="1"/>
  <c r="AA238" i="58"/>
  <c r="AA231" i="58"/>
  <c r="AA247" i="58"/>
  <c r="AA954" i="57"/>
  <c r="AA20" i="57"/>
  <c r="AA289" i="57"/>
  <c r="AA80" i="57"/>
  <c r="AG80" i="57" s="1"/>
  <c r="AA37" i="58"/>
  <c r="AA641" i="57"/>
  <c r="AA659" i="57"/>
  <c r="AA654" i="57"/>
  <c r="AA964" i="57"/>
  <c r="AA861" i="57"/>
  <c r="AA744" i="57"/>
  <c r="AG744" i="57" s="1"/>
  <c r="AA681" i="57"/>
  <c r="AG681" i="57" s="1"/>
  <c r="AA686" i="57"/>
  <c r="AA835" i="57"/>
  <c r="AG835" i="57" s="1"/>
  <c r="AA264" i="58"/>
  <c r="AA273" i="58"/>
  <c r="AA227" i="58"/>
  <c r="AA712" i="57"/>
  <c r="AA737" i="57"/>
  <c r="AA731" i="57"/>
  <c r="L731" i="61" s="1"/>
  <c r="O731" i="61" s="1"/>
  <c r="AA734" i="57"/>
  <c r="AA854" i="57"/>
  <c r="AA381" i="58"/>
  <c r="U35" i="64"/>
  <c r="U78" i="64" s="1"/>
  <c r="U10" i="64"/>
  <c r="U53" i="64" s="1"/>
  <c r="AA1004" i="57"/>
  <c r="AA1052" i="57"/>
  <c r="AA1062" i="57"/>
  <c r="AG1062" i="57" s="1"/>
  <c r="AA1081" i="57"/>
  <c r="AA939" i="57"/>
  <c r="AA644" i="57"/>
  <c r="AA384" i="58"/>
  <c r="AA1012" i="57"/>
  <c r="AA1005" i="57"/>
  <c r="AA1093" i="57"/>
  <c r="AG1093" i="57" s="1"/>
  <c r="AA1023" i="57"/>
  <c r="AA1111" i="57"/>
  <c r="AA1042" i="57"/>
  <c r="AA1011" i="57"/>
  <c r="AA1099" i="57"/>
  <c r="AA649" i="57"/>
  <c r="AA662" i="57"/>
  <c r="AA842" i="57"/>
  <c r="AG842" i="57" s="1"/>
  <c r="AA672" i="57"/>
  <c r="AA676" i="57"/>
  <c r="AA1036" i="57"/>
  <c r="AA1044" i="57"/>
  <c r="AA1084" i="57"/>
  <c r="AA1021" i="57"/>
  <c r="AA1101" i="57"/>
  <c r="AA1070" i="57"/>
  <c r="AG1070" i="57" s="1"/>
  <c r="AA1039" i="57"/>
  <c r="AA1001" i="57"/>
  <c r="AA1089" i="57"/>
  <c r="AA1058" i="57"/>
  <c r="AA1019" i="57"/>
  <c r="AA1107" i="57"/>
  <c r="AA801" i="57"/>
  <c r="AG801" i="57" s="1"/>
  <c r="AA796" i="57"/>
  <c r="AG796" i="57" s="1"/>
  <c r="AA814" i="57"/>
  <c r="AG814" i="57" s="1"/>
  <c r="AA242" i="58"/>
  <c r="AA235" i="58"/>
  <c r="AA322" i="57"/>
  <c r="AA62" i="57"/>
  <c r="AA414" i="57"/>
  <c r="AA647" i="57"/>
  <c r="AA657" i="57"/>
  <c r="AG657" i="57" s="1"/>
  <c r="AA652" i="57"/>
  <c r="AA855" i="57"/>
  <c r="AA292" i="58"/>
  <c r="AA756" i="57"/>
  <c r="AG756" i="57" s="1"/>
  <c r="AA839" i="57"/>
  <c r="AG839" i="57" s="1"/>
  <c r="AA828" i="57"/>
  <c r="AG828" i="57" s="1"/>
  <c r="AA783" i="57"/>
  <c r="AG783" i="57" s="1"/>
  <c r="AA703" i="57"/>
  <c r="L703" i="61" s="1"/>
  <c r="O703" i="61" s="1"/>
  <c r="AA728" i="57"/>
  <c r="AA714" i="57"/>
  <c r="AA716" i="57"/>
  <c r="AA848" i="57"/>
  <c r="AA286" i="58"/>
  <c r="AA1127" i="57"/>
  <c r="AG1127" i="57" s="1"/>
  <c r="U27" i="64"/>
  <c r="U70" i="64" s="1"/>
  <c r="U19" i="64"/>
  <c r="U62" i="64" s="1"/>
  <c r="U38" i="64"/>
  <c r="U81" i="64" s="1"/>
  <c r="U39" i="64"/>
  <c r="U82" i="64" s="1"/>
  <c r="U34" i="64"/>
  <c r="U77" i="64" s="1"/>
  <c r="U25" i="64"/>
  <c r="U68" i="64" s="1"/>
  <c r="AA1076" i="57"/>
  <c r="AA1029" i="57"/>
  <c r="AA1078" i="57"/>
  <c r="I15" i="65"/>
  <c r="I14" i="65"/>
  <c r="AA564" i="57"/>
  <c r="AG564" i="57" s="1"/>
  <c r="AA1152" i="57"/>
  <c r="AA1154" i="57"/>
  <c r="AA1060" i="57"/>
  <c r="AA1045" i="57"/>
  <c r="AA1109" i="57"/>
  <c r="AG1109" i="57" s="1"/>
  <c r="AA1054" i="57"/>
  <c r="AA999" i="57"/>
  <c r="AA1063" i="57"/>
  <c r="AA1009" i="57"/>
  <c r="AA1073" i="57"/>
  <c r="AA1018" i="57"/>
  <c r="AA1082" i="57"/>
  <c r="AA1027" i="57"/>
  <c r="AG1027" i="57" s="1"/>
  <c r="AA1091" i="57"/>
  <c r="AA952" i="57"/>
  <c r="AA947" i="57"/>
  <c r="AA934" i="57"/>
  <c r="AA180" i="57"/>
  <c r="AA287" i="57"/>
  <c r="AA333" i="57"/>
  <c r="AA282" i="57"/>
  <c r="AG282" i="57" s="1"/>
  <c r="AA207" i="57"/>
  <c r="AA179" i="57"/>
  <c r="AA286" i="57"/>
  <c r="AA992" i="57"/>
  <c r="AA965" i="57"/>
  <c r="AA751" i="57"/>
  <c r="AG751" i="57" s="1"/>
  <c r="AA194" i="58"/>
  <c r="AA772" i="57"/>
  <c r="AG772" i="57" s="1"/>
  <c r="AA739" i="57"/>
  <c r="AA702" i="57"/>
  <c r="AA377" i="58"/>
  <c r="AA1119" i="57"/>
  <c r="AG1119" i="57" s="1"/>
  <c r="AA517" i="57"/>
  <c r="AG517" i="57" s="1"/>
  <c r="AA1134" i="57"/>
  <c r="AA937" i="57"/>
  <c r="AA955" i="57"/>
  <c r="AG955" i="57" s="1"/>
  <c r="AA942" i="57"/>
  <c r="AA188" i="57"/>
  <c r="AA5" i="57"/>
  <c r="AA393" i="57"/>
  <c r="AA314" i="57"/>
  <c r="AA16" i="57"/>
  <c r="AA113" i="57"/>
  <c r="AA330" i="57"/>
  <c r="AG330" i="57" s="1"/>
  <c r="AA328" i="57"/>
  <c r="AA386" i="58"/>
  <c r="AA385" i="58"/>
  <c r="AA7" i="58"/>
  <c r="AA22" i="57"/>
  <c r="AA27" i="57"/>
  <c r="AA56" i="57"/>
  <c r="AA177" i="57"/>
  <c r="L177" i="61" s="1"/>
  <c r="O177" i="61" s="1"/>
  <c r="AA419" i="57"/>
  <c r="AA396" i="57"/>
  <c r="AA90" i="58"/>
  <c r="AA88" i="58"/>
  <c r="AA1135" i="57"/>
  <c r="AA1056" i="57"/>
  <c r="AA1013" i="57"/>
  <c r="AA1077" i="57"/>
  <c r="AG1077" i="57" s="1"/>
  <c r="AA1022" i="57"/>
  <c r="AA1086" i="57"/>
  <c r="AA1031" i="57"/>
  <c r="AA1095" i="57"/>
  <c r="AA1041" i="57"/>
  <c r="AA1105" i="57"/>
  <c r="AA1050" i="57"/>
  <c r="AA995" i="57"/>
  <c r="AG995" i="57" s="1"/>
  <c r="AA1059" i="57"/>
  <c r="AA943" i="57"/>
  <c r="AA938" i="57"/>
  <c r="AA956" i="57"/>
  <c r="AA4" i="57"/>
  <c r="AA392" i="57"/>
  <c r="AA125" i="57"/>
  <c r="AA78" i="57"/>
  <c r="AG78" i="57" s="1"/>
  <c r="AA7" i="57"/>
  <c r="AA104" i="57"/>
  <c r="AA405" i="57"/>
  <c r="AA417" i="57"/>
  <c r="AA26" i="58"/>
  <c r="AA985" i="57"/>
  <c r="AA749" i="57"/>
  <c r="AG749" i="57" s="1"/>
  <c r="AA208" i="58"/>
  <c r="AA707" i="57"/>
  <c r="AA740" i="57"/>
  <c r="AA178" i="58"/>
  <c r="AA1121" i="57"/>
  <c r="AG1121" i="57" s="1"/>
  <c r="AA1128" i="57"/>
  <c r="AG1128" i="57" s="1"/>
  <c r="AA516" i="57"/>
  <c r="AG516" i="57" s="1"/>
  <c r="AA1140" i="57"/>
  <c r="AG1140" i="57" s="1"/>
  <c r="AA1153" i="57"/>
  <c r="AA951" i="57"/>
  <c r="AA946" i="57"/>
  <c r="AA941" i="57"/>
  <c r="AA12" i="57"/>
  <c r="AA406" i="57"/>
  <c r="AA181" i="57"/>
  <c r="AA86" i="57"/>
  <c r="L86" i="61" s="1"/>
  <c r="O86" i="61" s="1"/>
  <c r="AA87" i="57"/>
  <c r="AA316" i="57"/>
  <c r="AA10" i="57"/>
  <c r="AA500" i="57"/>
  <c r="AG500" i="57" s="1"/>
  <c r="AA30" i="58"/>
  <c r="AA187" i="58"/>
  <c r="AA380" i="58"/>
  <c r="AA379" i="58"/>
  <c r="AA607" i="57"/>
  <c r="AG607" i="57" s="1"/>
  <c r="AA156" i="57"/>
  <c r="AG156" i="57" s="1"/>
  <c r="AA958" i="57"/>
  <c r="AA763" i="57"/>
  <c r="AG763" i="57" s="1"/>
  <c r="AA191" i="58"/>
  <c r="AA198" i="58"/>
  <c r="AA779" i="57"/>
  <c r="AG779" i="57" s="1"/>
  <c r="AA215" i="58"/>
  <c r="AA223" i="58"/>
  <c r="AA160" i="57"/>
  <c r="AG160" i="57" s="1"/>
  <c r="AA5" i="58"/>
  <c r="AA611" i="57"/>
  <c r="AG611" i="57" s="1"/>
  <c r="AA557" i="57"/>
  <c r="AG557" i="57" s="1"/>
  <c r="AA871" i="57"/>
  <c r="AG871" i="57" s="1"/>
  <c r="AA904" i="57"/>
  <c r="AG904" i="57" s="1"/>
  <c r="AA897" i="57"/>
  <c r="AG897" i="57" s="1"/>
  <c r="AA890" i="57"/>
  <c r="AG890" i="57" s="1"/>
  <c r="AA883" i="57"/>
  <c r="AG883" i="57" s="1"/>
  <c r="AA876" i="57"/>
  <c r="AG876" i="57" s="1"/>
  <c r="AA869" i="57"/>
  <c r="AG869" i="57" s="1"/>
  <c r="AA933" i="57"/>
  <c r="AG933" i="57" s="1"/>
  <c r="AA918" i="57"/>
  <c r="AG918" i="57" s="1"/>
  <c r="AA310" i="58"/>
  <c r="AA326" i="58"/>
  <c r="AA342" i="58"/>
  <c r="AA358" i="58"/>
  <c r="AA301" i="58"/>
  <c r="AA317" i="58"/>
  <c r="AA333" i="58"/>
  <c r="AA349" i="58"/>
  <c r="AA365" i="58"/>
  <c r="AA1156" i="57"/>
  <c r="AG1156" i="57" s="1"/>
  <c r="AA1143" i="57"/>
  <c r="AA1139" i="57"/>
  <c r="AG1139" i="57" s="1"/>
  <c r="AA845" i="57"/>
  <c r="AA281" i="58"/>
  <c r="AA60" i="57"/>
  <c r="AA196" i="57"/>
  <c r="AA422" i="57"/>
  <c r="L558" i="61" s="1"/>
  <c r="AA13" i="57"/>
  <c r="AG13" i="57" s="1"/>
  <c r="AA189" i="57"/>
  <c r="AA408" i="57"/>
  <c r="AG408" i="57" s="1"/>
  <c r="AA110" i="57"/>
  <c r="AA324" i="57"/>
  <c r="AG324" i="57" s="1"/>
  <c r="AA15" i="57"/>
  <c r="AA315" i="57"/>
  <c r="AA120" i="57"/>
  <c r="AG120" i="57" s="1"/>
  <c r="AA9" i="57"/>
  <c r="AG9" i="57" s="1"/>
  <c r="AA285" i="57"/>
  <c r="AA114" i="57"/>
  <c r="AG114" i="57" s="1"/>
  <c r="AA415" i="57"/>
  <c r="AA394" i="57"/>
  <c r="AG394" i="57" s="1"/>
  <c r="AA412" i="57"/>
  <c r="AA38" i="58"/>
  <c r="AA974" i="57"/>
  <c r="AA979" i="57"/>
  <c r="AG979" i="57" s="1"/>
  <c r="AA760" i="57"/>
  <c r="AG760" i="57" s="1"/>
  <c r="AA765" i="57"/>
  <c r="AG765" i="57" s="1"/>
  <c r="AA203" i="58"/>
  <c r="AA687" i="57"/>
  <c r="AG687" i="57" s="1"/>
  <c r="AA682" i="57"/>
  <c r="AA700" i="57"/>
  <c r="AA831" i="57"/>
  <c r="AG831" i="57" s="1"/>
  <c r="AA818" i="57"/>
  <c r="AG818" i="57" s="1"/>
  <c r="AA836" i="57"/>
  <c r="AG836" i="57" s="1"/>
  <c r="AA254" i="58"/>
  <c r="AA270" i="58"/>
  <c r="AA263" i="58"/>
  <c r="AA776" i="57"/>
  <c r="AG776" i="57" s="1"/>
  <c r="AA781" i="57"/>
  <c r="AG781" i="57" s="1"/>
  <c r="AA212" i="58"/>
  <c r="AA733" i="57"/>
  <c r="AG733" i="57" s="1"/>
  <c r="AA375" i="58"/>
  <c r="AA1112" i="57"/>
  <c r="AG1112" i="57" s="1"/>
  <c r="AA1126" i="57"/>
  <c r="AG1126" i="57" s="1"/>
  <c r="AA41" i="58"/>
  <c r="AA104" i="58"/>
  <c r="AA154" i="57"/>
  <c r="AG154" i="57" s="1"/>
  <c r="AA879" i="57"/>
  <c r="AG879" i="57" s="1"/>
  <c r="AA912" i="57"/>
  <c r="AG912" i="57" s="1"/>
  <c r="AA905" i="57"/>
  <c r="AG905" i="57" s="1"/>
  <c r="AA898" i="57"/>
  <c r="AG898" i="57" s="1"/>
  <c r="AA891" i="57"/>
  <c r="AG891" i="57" s="1"/>
  <c r="AA884" i="57"/>
  <c r="AG884" i="57" s="1"/>
  <c r="AA877" i="57"/>
  <c r="AG877" i="57" s="1"/>
  <c r="AA862" i="57"/>
  <c r="AG862" i="57" s="1"/>
  <c r="AA926" i="57"/>
  <c r="AG926" i="57" s="1"/>
  <c r="AA312" i="58"/>
  <c r="AA328" i="58"/>
  <c r="AA344" i="58"/>
  <c r="AA360" i="58"/>
  <c r="AA303" i="58"/>
  <c r="AA319" i="58"/>
  <c r="AA335" i="58"/>
  <c r="AA351" i="58"/>
  <c r="AA367" i="58"/>
  <c r="AA1133" i="57"/>
  <c r="AA1151" i="57"/>
  <c r="AA1147" i="57"/>
  <c r="AA846" i="57"/>
  <c r="AA84" i="57"/>
  <c r="AA204" i="57"/>
  <c r="AG204" i="57" s="1"/>
  <c r="AA489" i="57"/>
  <c r="AG489" i="57" s="1"/>
  <c r="AA21" i="57"/>
  <c r="AA197" i="57"/>
  <c r="AG197" i="57" s="1"/>
  <c r="AA491" i="57"/>
  <c r="AG491" i="57" s="1"/>
  <c r="AA118" i="57"/>
  <c r="AG118" i="57" s="1"/>
  <c r="AA395" i="57"/>
  <c r="AA23" i="57"/>
  <c r="AA337" i="57"/>
  <c r="AA176" i="57"/>
  <c r="AG176" i="57" s="1"/>
  <c r="AA25" i="57"/>
  <c r="AA329" i="57"/>
  <c r="AG329" i="57" s="1"/>
  <c r="AA498" i="57"/>
  <c r="AG498" i="57" s="1"/>
  <c r="AA410" i="57"/>
  <c r="AG410" i="57" s="1"/>
  <c r="AA495" i="57"/>
  <c r="AG495" i="57" s="1"/>
  <c r="AA972" i="57"/>
  <c r="AA982" i="57"/>
  <c r="AA987" i="57"/>
  <c r="AG987" i="57" s="1"/>
  <c r="AA745" i="57"/>
  <c r="AG745" i="57" s="1"/>
  <c r="AA758" i="57"/>
  <c r="AG758" i="57" s="1"/>
  <c r="AA182" i="58"/>
  <c r="AA695" i="57"/>
  <c r="AG695" i="57" s="1"/>
  <c r="AA690" i="57"/>
  <c r="AA677" i="57"/>
  <c r="AA823" i="57"/>
  <c r="AG823" i="57" s="1"/>
  <c r="AA826" i="57"/>
  <c r="AG826" i="57" s="1"/>
  <c r="AA821" i="57"/>
  <c r="AG821" i="57" s="1"/>
  <c r="AA256" i="58"/>
  <c r="AA272" i="58"/>
  <c r="AA265" i="58"/>
  <c r="AA792" i="57"/>
  <c r="AG792" i="57" s="1"/>
  <c r="AA774" i="57"/>
  <c r="AG774" i="57" s="1"/>
  <c r="AA216" i="58"/>
  <c r="AA158" i="57"/>
  <c r="AG158" i="57" s="1"/>
  <c r="AA47" i="58"/>
  <c r="AA12" i="58"/>
  <c r="AA554" i="57"/>
  <c r="AG554" i="57" s="1"/>
  <c r="AA903" i="57"/>
  <c r="AG903" i="57" s="1"/>
  <c r="AA887" i="57"/>
  <c r="AG887" i="57" s="1"/>
  <c r="AA920" i="57"/>
  <c r="AG920" i="57" s="1"/>
  <c r="AA913" i="57"/>
  <c r="AG913" i="57" s="1"/>
  <c r="AA906" i="57"/>
  <c r="AG906" i="57" s="1"/>
  <c r="AA899" i="57"/>
  <c r="AG899" i="57" s="1"/>
  <c r="AA892" i="57"/>
  <c r="AG892" i="57" s="1"/>
  <c r="AA885" i="57"/>
  <c r="AG885" i="57" s="1"/>
  <c r="AA870" i="57"/>
  <c r="AG870" i="57" s="1"/>
  <c r="AA298" i="58"/>
  <c r="AA314" i="58"/>
  <c r="AA330" i="58"/>
  <c r="AA346" i="58"/>
  <c r="AA362" i="58"/>
  <c r="AA305" i="58"/>
  <c r="AA321" i="58"/>
  <c r="AA337" i="58"/>
  <c r="AA353" i="58"/>
  <c r="AA1132" i="57"/>
  <c r="AG1132" i="57" s="1"/>
  <c r="AA1141" i="57"/>
  <c r="AG1141" i="57" s="1"/>
  <c r="AA1137" i="57"/>
  <c r="AA1155" i="57"/>
  <c r="AA276" i="58"/>
  <c r="AA11" i="57"/>
  <c r="AA108" i="57"/>
  <c r="AA280" i="57"/>
  <c r="AA19" i="57"/>
  <c r="AA61" i="57"/>
  <c r="AG61" i="57" s="1"/>
  <c r="AA205" i="57"/>
  <c r="AA6" i="57"/>
  <c r="AA126" i="57"/>
  <c r="AA411" i="57"/>
  <c r="AG411" i="57" s="1"/>
  <c r="AA63" i="57"/>
  <c r="AA413" i="57"/>
  <c r="AA192" i="57"/>
  <c r="AA65" i="57"/>
  <c r="AG65" i="57" s="1"/>
  <c r="AA416" i="57"/>
  <c r="AA186" i="57"/>
  <c r="AG186" i="57" s="1"/>
  <c r="AA493" i="57"/>
  <c r="AG493" i="57" s="1"/>
  <c r="AA29" i="58"/>
  <c r="AA976" i="57"/>
  <c r="AA975" i="57"/>
  <c r="AA960" i="57"/>
  <c r="AG960" i="57" s="1"/>
  <c r="AA761" i="57"/>
  <c r="AG761" i="57" s="1"/>
  <c r="AA179" i="58"/>
  <c r="AA186" i="58"/>
  <c r="AA680" i="57"/>
  <c r="AA698" i="57"/>
  <c r="AA685" i="57"/>
  <c r="AA824" i="57"/>
  <c r="AG824" i="57" s="1"/>
  <c r="AA834" i="57"/>
  <c r="AG834" i="57" s="1"/>
  <c r="AA829" i="57"/>
  <c r="AG829" i="57" s="1"/>
  <c r="AA258" i="58"/>
  <c r="AA274" i="58"/>
  <c r="AA267" i="58"/>
  <c r="AA777" i="57"/>
  <c r="AG777" i="57" s="1"/>
  <c r="AA790" i="57"/>
  <c r="AG790" i="57" s="1"/>
  <c r="AA220" i="58"/>
  <c r="AA710" i="57"/>
  <c r="AG710" i="57" s="1"/>
  <c r="AA1116" i="57"/>
  <c r="AG1116" i="57" s="1"/>
  <c r="AA370" i="58"/>
  <c r="AA147" i="58"/>
  <c r="AA142" i="58"/>
  <c r="AA91" i="58"/>
  <c r="AA10" i="58"/>
  <c r="AA911" i="57"/>
  <c r="AG911" i="57" s="1"/>
  <c r="AA864" i="57"/>
  <c r="AG864" i="57" s="1"/>
  <c r="AA928" i="57"/>
  <c r="AG928" i="57" s="1"/>
  <c r="AA921" i="57"/>
  <c r="AG921" i="57" s="1"/>
  <c r="AA914" i="57"/>
  <c r="AG914" i="57" s="1"/>
  <c r="AA907" i="57"/>
  <c r="AG907" i="57" s="1"/>
  <c r="AA900" i="57"/>
  <c r="AG900" i="57" s="1"/>
  <c r="AA893" i="57"/>
  <c r="AG893" i="57" s="1"/>
  <c r="AA878" i="57"/>
  <c r="AG878" i="57" s="1"/>
  <c r="AA300" i="58"/>
  <c r="AA316" i="58"/>
  <c r="AA332" i="58"/>
  <c r="AA348" i="58"/>
  <c r="AA364" i="58"/>
  <c r="AA307" i="58"/>
  <c r="AA323" i="58"/>
  <c r="AA339" i="58"/>
  <c r="AA355" i="58"/>
  <c r="AA1136" i="57"/>
  <c r="AG1136" i="57" s="1"/>
  <c r="AA1149" i="57"/>
  <c r="AA1145" i="57"/>
  <c r="AG1145" i="57" s="1"/>
  <c r="AA847" i="57"/>
  <c r="AA278" i="58"/>
  <c r="AA123" i="57"/>
  <c r="L123" i="61" s="1"/>
  <c r="O123" i="61" s="1"/>
  <c r="AA116" i="57"/>
  <c r="AA288" i="57"/>
  <c r="AG288" i="57" s="1"/>
  <c r="AA59" i="57"/>
  <c r="AG59" i="57" s="1"/>
  <c r="AA85" i="57"/>
  <c r="AA281" i="57"/>
  <c r="AG281" i="57" s="1"/>
  <c r="AA14" i="57"/>
  <c r="AA182" i="57"/>
  <c r="AG182" i="57" s="1"/>
  <c r="AA494" i="57"/>
  <c r="AG494" i="57" s="1"/>
  <c r="AA79" i="57"/>
  <c r="AA195" i="57"/>
  <c r="AG195" i="57" s="1"/>
  <c r="AA208" i="57"/>
  <c r="AG208" i="57" s="1"/>
  <c r="AA89" i="57"/>
  <c r="AA3" i="57"/>
  <c r="AA202" i="57"/>
  <c r="AA401" i="57"/>
  <c r="AG401" i="57" s="1"/>
  <c r="AA33" i="58"/>
  <c r="AA980" i="57"/>
  <c r="AA983" i="57"/>
  <c r="AG983" i="57" s="1"/>
  <c r="AA962" i="57"/>
  <c r="AG962" i="57" s="1"/>
  <c r="AA754" i="57"/>
  <c r="AG754" i="57" s="1"/>
  <c r="AA183" i="58"/>
  <c r="AA190" i="58"/>
  <c r="AA688" i="57"/>
  <c r="AG688" i="57" s="1"/>
  <c r="AA683" i="57"/>
  <c r="AA693" i="57"/>
  <c r="AA832" i="57"/>
  <c r="AG832" i="57" s="1"/>
  <c r="AA819" i="57"/>
  <c r="AG819" i="57" s="1"/>
  <c r="AA837" i="57"/>
  <c r="AG837" i="57" s="1"/>
  <c r="AA260" i="58"/>
  <c r="AA253" i="58"/>
  <c r="AA770" i="57"/>
  <c r="AG770" i="57" s="1"/>
  <c r="AA207" i="58"/>
  <c r="AA224" i="58"/>
  <c r="AA4" i="58"/>
  <c r="AA505" i="57"/>
  <c r="AG505" i="57" s="1"/>
  <c r="AA146" i="58"/>
  <c r="AA54" i="58"/>
  <c r="AA102" i="57"/>
  <c r="AA206" i="57"/>
  <c r="AG206" i="57" s="1"/>
  <c r="AA55" i="57"/>
  <c r="AA183" i="57"/>
  <c r="AA397" i="57"/>
  <c r="AG397" i="57" s="1"/>
  <c r="AA8" i="57"/>
  <c r="AG8" i="57" s="1"/>
  <c r="AA112" i="57"/>
  <c r="AA284" i="57"/>
  <c r="AG284" i="57" s="1"/>
  <c r="AA81" i="57"/>
  <c r="AA185" i="57"/>
  <c r="AG185" i="57" s="1"/>
  <c r="AA499" i="57"/>
  <c r="AG499" i="57" s="1"/>
  <c r="AA2" i="57"/>
  <c r="AA122" i="57"/>
  <c r="AG122" i="57" s="1"/>
  <c r="AA319" i="57"/>
  <c r="AG319" i="57" s="1"/>
  <c r="AA407" i="57"/>
  <c r="AA418" i="57"/>
  <c r="AA320" i="57"/>
  <c r="AA31" i="58"/>
  <c r="AA32" i="58"/>
  <c r="AA984" i="57"/>
  <c r="AA990" i="57"/>
  <c r="AG990" i="57" s="1"/>
  <c r="AA986" i="57"/>
  <c r="AG986" i="57" s="1"/>
  <c r="AA963" i="57"/>
  <c r="AA759" i="57"/>
  <c r="AG759" i="57" s="1"/>
  <c r="AA746" i="57"/>
  <c r="AG746" i="57" s="1"/>
  <c r="AA764" i="57"/>
  <c r="AG764" i="57" s="1"/>
  <c r="AA181" i="58"/>
  <c r="AA197" i="58"/>
  <c r="AA188" i="58"/>
  <c r="AA775" i="57"/>
  <c r="AG775" i="57" s="1"/>
  <c r="AA785" i="57"/>
  <c r="AG785" i="57" s="1"/>
  <c r="AA780" i="57"/>
  <c r="AG780" i="57" s="1"/>
  <c r="AA205" i="58"/>
  <c r="AA206" i="58"/>
  <c r="AA222" i="58"/>
  <c r="AA709" i="57"/>
  <c r="AA726" i="57"/>
  <c r="AG726" i="57" s="1"/>
  <c r="AA369" i="58"/>
  <c r="AA1114" i="57"/>
  <c r="AG1114" i="57" s="1"/>
  <c r="AA373" i="58"/>
  <c r="AA382" i="58"/>
  <c r="AA1118" i="57"/>
  <c r="AG1118" i="57" s="1"/>
  <c r="AA503" i="57"/>
  <c r="AG503" i="57" s="1"/>
  <c r="AA96" i="58"/>
  <c r="AA604" i="57"/>
  <c r="AG604" i="57" s="1"/>
  <c r="AA511" i="57"/>
  <c r="AG511" i="57" s="1"/>
  <c r="AA148" i="58"/>
  <c r="AA615" i="57"/>
  <c r="AG615" i="57" s="1"/>
  <c r="AA506" i="57"/>
  <c r="AG506" i="57" s="1"/>
  <c r="AA95" i="58"/>
  <c r="AA94" i="58"/>
  <c r="AA551" i="57"/>
  <c r="AG551" i="57" s="1"/>
  <c r="AA9" i="58"/>
  <c r="AA162" i="57"/>
  <c r="AG162" i="57" s="1"/>
  <c r="AA605" i="57"/>
  <c r="AG605" i="57" s="1"/>
  <c r="AA161" i="57"/>
  <c r="AG161" i="57" s="1"/>
  <c r="AA553" i="57"/>
  <c r="AG553" i="57" s="1"/>
  <c r="AA145" i="58"/>
  <c r="AA612" i="57"/>
  <c r="AG612" i="57" s="1"/>
  <c r="AA6" i="58"/>
  <c r="AA152" i="58"/>
  <c r="AA558" i="57"/>
  <c r="AG558" i="57" s="1"/>
  <c r="AA514" i="57"/>
  <c r="AG514" i="57" s="1"/>
  <c r="AA150" i="58"/>
  <c r="AA97" i="58"/>
  <c r="AA559" i="57"/>
  <c r="AG559" i="57" s="1"/>
  <c r="AA40" i="58"/>
  <c r="AA504" i="57"/>
  <c r="AG504" i="57" s="1"/>
  <c r="AA2" i="58"/>
  <c r="AA507" i="57"/>
  <c r="AG507" i="57" s="1"/>
  <c r="AA199" i="57"/>
  <c r="AG199" i="57" s="1"/>
  <c r="AA496" i="57"/>
  <c r="AG496" i="57" s="1"/>
  <c r="AA24" i="57"/>
  <c r="AA327" i="57"/>
  <c r="AA331" i="57"/>
  <c r="AA105" i="57"/>
  <c r="AG105" i="57" s="1"/>
  <c r="AA201" i="57"/>
  <c r="AG201" i="57" s="1"/>
  <c r="AA18" i="57"/>
  <c r="AA178" i="57"/>
  <c r="AG178" i="57" s="1"/>
  <c r="AA403" i="57"/>
  <c r="AA490" i="57"/>
  <c r="AG490" i="57" s="1"/>
  <c r="AA409" i="57"/>
  <c r="AA318" i="57"/>
  <c r="AA501" i="57"/>
  <c r="AG501" i="57" s="1"/>
  <c r="AA336" i="57"/>
  <c r="AG336" i="57" s="1"/>
  <c r="AA35" i="58"/>
  <c r="AA36" i="58"/>
  <c r="AA966" i="57"/>
  <c r="AA752" i="57"/>
  <c r="AG752" i="57" s="1"/>
  <c r="AA762" i="57"/>
  <c r="AG762" i="57" s="1"/>
  <c r="AA757" i="57"/>
  <c r="AG757" i="57" s="1"/>
  <c r="AA185" i="58"/>
  <c r="AA201" i="58"/>
  <c r="AA192" i="58"/>
  <c r="AA791" i="57"/>
  <c r="AG791" i="57" s="1"/>
  <c r="AA778" i="57"/>
  <c r="AG778" i="57" s="1"/>
  <c r="AA773" i="57"/>
  <c r="AG773" i="57" s="1"/>
  <c r="AA209" i="58"/>
  <c r="AA210" i="58"/>
  <c r="AA226" i="58"/>
  <c r="AA372" i="58"/>
  <c r="AA378" i="58"/>
  <c r="AA383" i="58"/>
  <c r="AA1120" i="57"/>
  <c r="AG1120" i="57" s="1"/>
  <c r="AA1115" i="57"/>
  <c r="AG1115" i="57" s="1"/>
  <c r="AA98" i="58"/>
  <c r="AA613" i="57"/>
  <c r="AG613" i="57" s="1"/>
  <c r="AA151" i="58"/>
  <c r="AA92" i="58"/>
  <c r="AA13" i="58"/>
  <c r="AA159" i="57"/>
  <c r="AG159" i="57" s="1"/>
  <c r="AA3" i="58"/>
  <c r="AA556" i="57"/>
  <c r="AG556" i="57" s="1"/>
  <c r="AA561" i="57"/>
  <c r="AG561" i="57" s="1"/>
  <c r="AA103" i="58"/>
  <c r="AA567" i="57"/>
  <c r="AG567" i="57" s="1"/>
  <c r="AA48" i="58"/>
  <c r="AA512" i="57"/>
  <c r="AG512" i="57" s="1"/>
  <c r="AA45" i="58"/>
  <c r="AA515" i="57"/>
  <c r="AG515" i="57" s="1"/>
  <c r="K9" i="66"/>
  <c r="AA54" i="57"/>
  <c r="L54" i="61" s="1"/>
  <c r="O54" i="61" s="1"/>
  <c r="AA335" i="57"/>
  <c r="AA187" i="57"/>
  <c r="AG187" i="57" s="1"/>
  <c r="AA103" i="57"/>
  <c r="AG103" i="57" s="1"/>
  <c r="AA283" i="57"/>
  <c r="AA64" i="57"/>
  <c r="AG64" i="57" s="1"/>
  <c r="AA184" i="57"/>
  <c r="AA398" i="57"/>
  <c r="AA17" i="57"/>
  <c r="AA121" i="57"/>
  <c r="AA317" i="57"/>
  <c r="AG317" i="57" s="1"/>
  <c r="AA107" i="57"/>
  <c r="AG107" i="57" s="1"/>
  <c r="AA58" i="57"/>
  <c r="AA194" i="57"/>
  <c r="AG194" i="57" s="1"/>
  <c r="AA502" i="57"/>
  <c r="AG502" i="57" s="1"/>
  <c r="AA492" i="57"/>
  <c r="AG492" i="57" s="1"/>
  <c r="AA334" i="57"/>
  <c r="AA404" i="57"/>
  <c r="AA39" i="58"/>
  <c r="AA970" i="57"/>
  <c r="AG970" i="57" s="1"/>
  <c r="AA981" i="57"/>
  <c r="AA977" i="57"/>
  <c r="AG977" i="57" s="1"/>
  <c r="AA959" i="57"/>
  <c r="AA968" i="57"/>
  <c r="AG968" i="57" s="1"/>
  <c r="AA768" i="57"/>
  <c r="AG768" i="57" s="1"/>
  <c r="AA755" i="57"/>
  <c r="AG755" i="57" s="1"/>
  <c r="AA750" i="57"/>
  <c r="AG750" i="57" s="1"/>
  <c r="AA189" i="58"/>
  <c r="AA180" i="58"/>
  <c r="AA196" i="58"/>
  <c r="AA784" i="57"/>
  <c r="AG784" i="57" s="1"/>
  <c r="AA771" i="57"/>
  <c r="AG771" i="57" s="1"/>
  <c r="AA789" i="57"/>
  <c r="AG789" i="57" s="1"/>
  <c r="AA213" i="58"/>
  <c r="AA214" i="58"/>
  <c r="AA221" i="58"/>
  <c r="AA724" i="57"/>
  <c r="AA741" i="57"/>
  <c r="AA1113" i="57"/>
  <c r="AG1113" i="57" s="1"/>
  <c r="AA387" i="58"/>
  <c r="AA1117" i="57"/>
  <c r="AG1117" i="57" s="1"/>
  <c r="AA1122" i="57"/>
  <c r="AG1122" i="57" s="1"/>
  <c r="AA1131" i="57"/>
  <c r="AG1131" i="57" s="1"/>
  <c r="AA508" i="57"/>
  <c r="AG508" i="57" s="1"/>
  <c r="AA11" i="58"/>
  <c r="AA510" i="57"/>
  <c r="AG510" i="57" s="1"/>
  <c r="AA550" i="57"/>
  <c r="AG550" i="57" s="1"/>
  <c r="AA53" i="58"/>
  <c r="AA513" i="57"/>
  <c r="AG513" i="57" s="1"/>
  <c r="AA46" i="58"/>
  <c r="AA608" i="57"/>
  <c r="AG608" i="57" s="1"/>
  <c r="AA43" i="58"/>
  <c r="AA155" i="57"/>
  <c r="AG155" i="57" s="1"/>
  <c r="AA52" i="58"/>
  <c r="AA143" i="58"/>
  <c r="AA562" i="57"/>
  <c r="AG562" i="57" s="1"/>
  <c r="AA93" i="58"/>
  <c r="AA565" i="57"/>
  <c r="AG565" i="57" s="1"/>
  <c r="AA49" i="58"/>
  <c r="AA42" i="58"/>
  <c r="AA518" i="57"/>
  <c r="AG518" i="57" s="1"/>
  <c r="AA566" i="57"/>
  <c r="AG566" i="57" s="1"/>
  <c r="AA87" i="58"/>
  <c r="AA555" i="57"/>
  <c r="AG555" i="57" s="1"/>
  <c r="AA100" i="58"/>
  <c r="AA8" i="58"/>
  <c r="AA51" i="58"/>
  <c r="AA163" i="57"/>
  <c r="AG163" i="57" s="1"/>
  <c r="AA144" i="58"/>
  <c r="AA149" i="58"/>
  <c r="AA606" i="57"/>
  <c r="AG606" i="57" s="1"/>
  <c r="AA99" i="58"/>
  <c r="AA609" i="57"/>
  <c r="AG609" i="57" s="1"/>
  <c r="K11" i="66"/>
  <c r="M11" i="66" s="1"/>
  <c r="AA119" i="57"/>
  <c r="AG119" i="57" s="1"/>
  <c r="AA325" i="57"/>
  <c r="AA279" i="57"/>
  <c r="AA88" i="57"/>
  <c r="AA200" i="57"/>
  <c r="AA497" i="57"/>
  <c r="AG497" i="57" s="1"/>
  <c r="AA57" i="57"/>
  <c r="AA400" i="57"/>
  <c r="AG400" i="57" s="1"/>
  <c r="AA321" i="57"/>
  <c r="AG321" i="57" s="1"/>
  <c r="AA106" i="57"/>
  <c r="AA278" i="57"/>
  <c r="AA402" i="57"/>
  <c r="AA420" i="57"/>
  <c r="AA27" i="58"/>
  <c r="AA28" i="58"/>
  <c r="AA993" i="57"/>
  <c r="AG993" i="57" s="1"/>
  <c r="AA961" i="57"/>
  <c r="AG961" i="57" s="1"/>
  <c r="AA967" i="57"/>
  <c r="AA767" i="57"/>
  <c r="AG767" i="57" s="1"/>
  <c r="AA753" i="57"/>
  <c r="AG753" i="57" s="1"/>
  <c r="AA748" i="57"/>
  <c r="AG748" i="57" s="1"/>
  <c r="AA766" i="57"/>
  <c r="AG766" i="57" s="1"/>
  <c r="AA193" i="58"/>
  <c r="AA184" i="58"/>
  <c r="AA200" i="58"/>
  <c r="AA769" i="57"/>
  <c r="AG769" i="57" s="1"/>
  <c r="AA787" i="57"/>
  <c r="AG787" i="57" s="1"/>
  <c r="AA782" i="57"/>
  <c r="AG782" i="57" s="1"/>
  <c r="AA217" i="58"/>
  <c r="AA218" i="58"/>
  <c r="AA1129" i="57"/>
  <c r="AG1129" i="57" s="1"/>
  <c r="AA1124" i="57"/>
  <c r="AG1124" i="57" s="1"/>
  <c r="AA374" i="58"/>
  <c r="AA376" i="58"/>
  <c r="AA371" i="58"/>
  <c r="AA89" i="58"/>
  <c r="AA50" i="58"/>
  <c r="AA552" i="57"/>
  <c r="AG552" i="57" s="1"/>
  <c r="AA610" i="57"/>
  <c r="AG610" i="57" s="1"/>
  <c r="AA101" i="58"/>
  <c r="AA563" i="57"/>
  <c r="AG563" i="57" s="1"/>
  <c r="AA141" i="58"/>
  <c r="AA44" i="58"/>
  <c r="AA55" i="58"/>
  <c r="AA509" i="57"/>
  <c r="AG509" i="57" s="1"/>
  <c r="AA157" i="57"/>
  <c r="AG157" i="57" s="1"/>
  <c r="AA152" i="57"/>
  <c r="AG152" i="57" s="1"/>
  <c r="AA614" i="57"/>
  <c r="AG614" i="57" s="1"/>
  <c r="AA102" i="58"/>
  <c r="AG997" i="57"/>
  <c r="L997" i="61"/>
  <c r="O997" i="61" s="1"/>
  <c r="AG1034" i="57"/>
  <c r="L1034" i="61"/>
  <c r="O1034" i="61" s="1"/>
  <c r="AG123" i="57"/>
  <c r="AG54" i="57"/>
  <c r="AG645" i="57"/>
  <c r="L645" i="61"/>
  <c r="O645" i="61" s="1"/>
  <c r="L821" i="61"/>
  <c r="O821" i="61" s="1"/>
  <c r="L789" i="61"/>
  <c r="L810" i="61"/>
  <c r="O810" i="61" s="1"/>
  <c r="L799" i="61"/>
  <c r="O799" i="61" s="1"/>
  <c r="L771" i="61"/>
  <c r="L750" i="61"/>
  <c r="L795" i="61"/>
  <c r="O795" i="61" s="1"/>
  <c r="L800" i="61"/>
  <c r="O800" i="61" s="1"/>
  <c r="L824" i="61"/>
  <c r="O824" i="61" s="1"/>
  <c r="L827" i="61"/>
  <c r="O827" i="61" s="1"/>
  <c r="L760" i="61"/>
  <c r="O760" i="61" s="1"/>
  <c r="L830" i="61"/>
  <c r="O830" i="61" s="1"/>
  <c r="AG1152" i="57"/>
  <c r="L1152" i="61"/>
  <c r="O1152" i="61" s="1"/>
  <c r="AG1135" i="57"/>
  <c r="L1135" i="61"/>
  <c r="O1135" i="61" s="1"/>
  <c r="AG1154" i="57"/>
  <c r="L1154" i="61"/>
  <c r="O1154" i="61" s="1"/>
  <c r="AG844" i="57"/>
  <c r="L844" i="61"/>
  <c r="O844" i="61" s="1"/>
  <c r="AG667" i="57"/>
  <c r="L667" i="61"/>
  <c r="O667" i="61" s="1"/>
  <c r="AG1064" i="57"/>
  <c r="L1064" i="61"/>
  <c r="O1064" i="61" s="1"/>
  <c r="AG1040" i="57"/>
  <c r="L1040" i="61"/>
  <c r="O1040" i="61" s="1"/>
  <c r="AG1048" i="57"/>
  <c r="L1048" i="61"/>
  <c r="O1048" i="61" s="1"/>
  <c r="AG1056" i="57"/>
  <c r="L1056" i="61"/>
  <c r="O1056" i="61" s="1"/>
  <c r="AG1005" i="57"/>
  <c r="L1005" i="61"/>
  <c r="O1005" i="61" s="1"/>
  <c r="AG1069" i="57"/>
  <c r="L1069" i="61"/>
  <c r="O1069" i="61" s="1"/>
  <c r="L1062" i="61"/>
  <c r="O1062" i="61" s="1"/>
  <c r="AG1049" i="57"/>
  <c r="L1049" i="61"/>
  <c r="O1049" i="61" s="1"/>
  <c r="AG1042" i="57"/>
  <c r="L1042" i="61"/>
  <c r="O1042" i="61" s="1"/>
  <c r="AG1106" i="57"/>
  <c r="L1106" i="61"/>
  <c r="O1106" i="61" s="1"/>
  <c r="AG1091" i="57"/>
  <c r="L1091" i="61"/>
  <c r="O1091" i="61" s="1"/>
  <c r="AG951" i="57"/>
  <c r="L951" i="61"/>
  <c r="O951" i="61" s="1"/>
  <c r="AG946" i="57"/>
  <c r="L946" i="61"/>
  <c r="O946" i="61" s="1"/>
  <c r="AG941" i="57"/>
  <c r="L941" i="61"/>
  <c r="O941" i="61" s="1"/>
  <c r="AG421" i="57"/>
  <c r="L421" i="61"/>
  <c r="O421" i="61" s="1"/>
  <c r="AG116" i="57"/>
  <c r="L116" i="61"/>
  <c r="O116" i="61" s="1"/>
  <c r="AG19" i="57"/>
  <c r="L19" i="61"/>
  <c r="O19" i="61" s="1"/>
  <c r="AG189" i="57"/>
  <c r="L189" i="61"/>
  <c r="O189" i="61" s="1"/>
  <c r="AG62" i="57"/>
  <c r="L62" i="61"/>
  <c r="O62" i="61" s="1"/>
  <c r="AG395" i="57"/>
  <c r="L395" i="61"/>
  <c r="O395" i="61" s="1"/>
  <c r="AG7" i="57"/>
  <c r="L7" i="61"/>
  <c r="O7" i="61" s="1"/>
  <c r="AG111" i="57"/>
  <c r="L111" i="61"/>
  <c r="O111" i="61" s="1"/>
  <c r="AG315" i="57"/>
  <c r="L315" i="61"/>
  <c r="O315" i="61" s="1"/>
  <c r="L195" i="61"/>
  <c r="O195" i="61" s="1"/>
  <c r="AG192" i="57"/>
  <c r="L192" i="61"/>
  <c r="O192" i="61" s="1"/>
  <c r="AG414" i="57"/>
  <c r="L414" i="61"/>
  <c r="O414" i="61" s="1"/>
  <c r="AG25" i="57"/>
  <c r="L25" i="61"/>
  <c r="O25" i="61" s="1"/>
  <c r="AG82" i="57"/>
  <c r="L82" i="61"/>
  <c r="O82" i="61" s="1"/>
  <c r="L194" i="61"/>
  <c r="O194" i="61" s="1"/>
  <c r="AG409" i="57"/>
  <c r="L409" i="61"/>
  <c r="O409" i="61" s="1"/>
  <c r="AG320" i="57"/>
  <c r="L320" i="61"/>
  <c r="O320" i="61" s="1"/>
  <c r="AG648" i="57"/>
  <c r="L648" i="61"/>
  <c r="O648" i="61" s="1"/>
  <c r="L658" i="61"/>
  <c r="O658" i="61" s="1"/>
  <c r="AG653" i="57"/>
  <c r="L653" i="61"/>
  <c r="O653" i="61" s="1"/>
  <c r="AG980" i="57"/>
  <c r="L980" i="61"/>
  <c r="O980" i="61" s="1"/>
  <c r="AG982" i="57"/>
  <c r="L982" i="61"/>
  <c r="O982" i="61" s="1"/>
  <c r="AG978" i="57"/>
  <c r="L978" i="61"/>
  <c r="O978" i="61" s="1"/>
  <c r="AG969" i="57"/>
  <c r="L969" i="61"/>
  <c r="O969" i="61" s="1"/>
  <c r="AG689" i="57"/>
  <c r="L689" i="61"/>
  <c r="O689" i="61" s="1"/>
  <c r="AG684" i="57"/>
  <c r="L684" i="61"/>
  <c r="O684" i="61" s="1"/>
  <c r="AG694" i="57"/>
  <c r="L694" i="61"/>
  <c r="O694" i="61" s="1"/>
  <c r="AG712" i="57"/>
  <c r="L712" i="61"/>
  <c r="O712" i="61" s="1"/>
  <c r="AG737" i="57"/>
  <c r="L737" i="61"/>
  <c r="O737" i="61" s="1"/>
  <c r="AG723" i="57"/>
  <c r="L723" i="61"/>
  <c r="O723" i="61" s="1"/>
  <c r="AG701" i="57"/>
  <c r="L930" i="61"/>
  <c r="O930" i="61" s="1"/>
  <c r="L926" i="61"/>
  <c r="L922" i="61"/>
  <c r="O922" i="61" s="1"/>
  <c r="L918" i="61"/>
  <c r="O918" i="61" s="1"/>
  <c r="L914" i="61"/>
  <c r="O914" i="61" s="1"/>
  <c r="L910" i="61"/>
  <c r="O910" i="61" s="1"/>
  <c r="L906" i="61"/>
  <c r="O906" i="61" s="1"/>
  <c r="L921" i="61"/>
  <c r="O921" i="61" s="1"/>
  <c r="L911" i="61"/>
  <c r="O911" i="61" s="1"/>
  <c r="L904" i="61"/>
  <c r="L895" i="61"/>
  <c r="O895" i="61" s="1"/>
  <c r="L893" i="61"/>
  <c r="O893" i="61" s="1"/>
  <c r="L885" i="61"/>
  <c r="O885" i="61" s="1"/>
  <c r="L878" i="61"/>
  <c r="O878" i="61" s="1"/>
  <c r="L871" i="61"/>
  <c r="O871" i="61" s="1"/>
  <c r="L933" i="61"/>
  <c r="O933" i="61" s="1"/>
  <c r="L923" i="61"/>
  <c r="O923" i="61" s="1"/>
  <c r="L916" i="61"/>
  <c r="O916" i="61" s="1"/>
  <c r="L899" i="61"/>
  <c r="L897" i="61"/>
  <c r="L883" i="61"/>
  <c r="O883" i="61" s="1"/>
  <c r="L876" i="61"/>
  <c r="O876" i="61" s="1"/>
  <c r="L868" i="61"/>
  <c r="O868" i="61" s="1"/>
  <c r="L864" i="61"/>
  <c r="L928" i="61"/>
  <c r="L913" i="61"/>
  <c r="L903" i="61"/>
  <c r="O903" i="61" s="1"/>
  <c r="L901" i="61"/>
  <c r="O901" i="61" s="1"/>
  <c r="L881" i="61"/>
  <c r="O881" i="61" s="1"/>
  <c r="L874" i="61"/>
  <c r="O874" i="61" s="1"/>
  <c r="L925" i="61"/>
  <c r="O925" i="61" s="1"/>
  <c r="L915" i="61"/>
  <c r="O915" i="61" s="1"/>
  <c r="L908" i="61"/>
  <c r="O908" i="61" s="1"/>
  <c r="L890" i="61"/>
  <c r="O890" i="61" s="1"/>
  <c r="L888" i="61"/>
  <c r="O888" i="61" s="1"/>
  <c r="L879" i="61"/>
  <c r="L872" i="61"/>
  <c r="O872" i="61" s="1"/>
  <c r="L869" i="61"/>
  <c r="L865" i="61"/>
  <c r="O865" i="61" s="1"/>
  <c r="L927" i="61"/>
  <c r="O927" i="61" s="1"/>
  <c r="L920" i="61"/>
  <c r="O920" i="61" s="1"/>
  <c r="L905" i="61"/>
  <c r="L894" i="61"/>
  <c r="O894" i="61" s="1"/>
  <c r="L892" i="61"/>
  <c r="O892" i="61" s="1"/>
  <c r="L886" i="61"/>
  <c r="O886" i="61" s="1"/>
  <c r="L877" i="61"/>
  <c r="O877" i="61" s="1"/>
  <c r="L932" i="61"/>
  <c r="O932" i="61" s="1"/>
  <c r="L917" i="61"/>
  <c r="O917" i="61" s="1"/>
  <c r="L907" i="61"/>
  <c r="O907" i="61" s="1"/>
  <c r="L898" i="61"/>
  <c r="O898" i="61" s="1"/>
  <c r="L896" i="61"/>
  <c r="O896" i="61" s="1"/>
  <c r="L884" i="61"/>
  <c r="O884" i="61" s="1"/>
  <c r="L875" i="61"/>
  <c r="O875" i="61" s="1"/>
  <c r="L870" i="61"/>
  <c r="O870" i="61" s="1"/>
  <c r="L866" i="61"/>
  <c r="O866" i="61" s="1"/>
  <c r="L862" i="61"/>
  <c r="L929" i="61"/>
  <c r="O929" i="61" s="1"/>
  <c r="L919" i="61"/>
  <c r="O919" i="61" s="1"/>
  <c r="L912" i="61"/>
  <c r="O912" i="61" s="1"/>
  <c r="L902" i="61"/>
  <c r="O902" i="61" s="1"/>
  <c r="L900" i="61"/>
  <c r="O900" i="61" s="1"/>
  <c r="L882" i="61"/>
  <c r="O882" i="61" s="1"/>
  <c r="L873" i="61"/>
  <c r="O873" i="61" s="1"/>
  <c r="L931" i="61"/>
  <c r="O931" i="61" s="1"/>
  <c r="L924" i="61"/>
  <c r="O924" i="61" s="1"/>
  <c r="L909" i="61"/>
  <c r="O909" i="61" s="1"/>
  <c r="L891" i="61"/>
  <c r="L889" i="61"/>
  <c r="O889" i="61" s="1"/>
  <c r="L887" i="61"/>
  <c r="O887" i="61" s="1"/>
  <c r="L880" i="61"/>
  <c r="O880" i="61" s="1"/>
  <c r="L867" i="61"/>
  <c r="O867" i="61" s="1"/>
  <c r="L863" i="61"/>
  <c r="O863" i="61" s="1"/>
  <c r="L701" i="61"/>
  <c r="O701" i="61" s="1"/>
  <c r="AG718" i="57"/>
  <c r="L718" i="61"/>
  <c r="O718" i="61" s="1"/>
  <c r="AG851" i="57"/>
  <c r="L851" i="61"/>
  <c r="O851" i="61" s="1"/>
  <c r="AG674" i="57"/>
  <c r="L674" i="61"/>
  <c r="O674" i="61" s="1"/>
  <c r="AG1111" i="57"/>
  <c r="L1125" i="61"/>
  <c r="O1125" i="61" s="1"/>
  <c r="L1117" i="61"/>
  <c r="O1117" i="61" s="1"/>
  <c r="L1113" i="61"/>
  <c r="O1113" i="61" s="1"/>
  <c r="L1112" i="61"/>
  <c r="O1112" i="61" s="1"/>
  <c r="L1129" i="61"/>
  <c r="O1129" i="61" s="1"/>
  <c r="L1126" i="61"/>
  <c r="O1126" i="61" s="1"/>
  <c r="L1123" i="61"/>
  <c r="O1123" i="61" s="1"/>
  <c r="L1120" i="61"/>
  <c r="O1120" i="61" s="1"/>
  <c r="L1114" i="61"/>
  <c r="O1114" i="61" s="1"/>
  <c r="L1131" i="61"/>
  <c r="L1128" i="61"/>
  <c r="O1128" i="61" s="1"/>
  <c r="L1124" i="61"/>
  <c r="L1115" i="61"/>
  <c r="O1115" i="61" s="1"/>
  <c r="L1119" i="61"/>
  <c r="O1119" i="61" s="1"/>
  <c r="L1118" i="61"/>
  <c r="L1130" i="61"/>
  <c r="O1130" i="61" s="1"/>
  <c r="L1122" i="61"/>
  <c r="L1116" i="61"/>
  <c r="L1121" i="61"/>
  <c r="O1121" i="61" s="1"/>
  <c r="L1127" i="61"/>
  <c r="O1127" i="61" s="1"/>
  <c r="L1111" i="61"/>
  <c r="O1111" i="61" s="1"/>
  <c r="AG938" i="57"/>
  <c r="L938" i="61"/>
  <c r="O938" i="61" s="1"/>
  <c r="AG5" i="57"/>
  <c r="L5" i="61"/>
  <c r="O5" i="61" s="1"/>
  <c r="AG335" i="57"/>
  <c r="L335" i="61"/>
  <c r="O335" i="61" s="1"/>
  <c r="AG184" i="57"/>
  <c r="L184" i="61"/>
  <c r="O184" i="61" s="1"/>
  <c r="AG976" i="57"/>
  <c r="L976" i="61"/>
  <c r="O976" i="61" s="1"/>
  <c r="AG861" i="57"/>
  <c r="L861" i="61"/>
  <c r="O861" i="61" s="1"/>
  <c r="AG686" i="57"/>
  <c r="L686" i="61"/>
  <c r="O686" i="61" s="1"/>
  <c r="AG740" i="57"/>
  <c r="L740" i="61"/>
  <c r="O740" i="61" s="1"/>
  <c r="AG1143" i="57"/>
  <c r="L1143" i="61"/>
  <c r="O1143" i="61" s="1"/>
  <c r="AG845" i="57"/>
  <c r="L845" i="61"/>
  <c r="O845" i="61" s="1"/>
  <c r="AG675" i="57"/>
  <c r="L675" i="61"/>
  <c r="O675" i="61" s="1"/>
  <c r="AG1096" i="57"/>
  <c r="L1096" i="61"/>
  <c r="O1096" i="61" s="1"/>
  <c r="AG1072" i="57"/>
  <c r="L1072" i="61"/>
  <c r="O1072" i="61" s="1"/>
  <c r="AG1080" i="57"/>
  <c r="L1080" i="61"/>
  <c r="O1080" i="61" s="1"/>
  <c r="AG1088" i="57"/>
  <c r="L1088" i="61"/>
  <c r="O1088" i="61" s="1"/>
  <c r="AG1013" i="57"/>
  <c r="L1013" i="61"/>
  <c r="O1013" i="61" s="1"/>
  <c r="AG1006" i="57"/>
  <c r="L1006" i="61"/>
  <c r="O1006" i="61" s="1"/>
  <c r="AG999" i="57"/>
  <c r="L999" i="61"/>
  <c r="O999" i="61" s="1"/>
  <c r="AG1063" i="57"/>
  <c r="L1063" i="61"/>
  <c r="O1063" i="61" s="1"/>
  <c r="AG1057" i="57"/>
  <c r="L1057" i="61"/>
  <c r="O1057" i="61" s="1"/>
  <c r="AG1050" i="57"/>
  <c r="L1050" i="61"/>
  <c r="O1050" i="61" s="1"/>
  <c r="AG1035" i="57"/>
  <c r="L1035" i="61"/>
  <c r="O1035" i="61" s="1"/>
  <c r="AG1099" i="57"/>
  <c r="L1099" i="61"/>
  <c r="O1099" i="61" s="1"/>
  <c r="AG936" i="57"/>
  <c r="L936" i="61"/>
  <c r="O936" i="61" s="1"/>
  <c r="AG954" i="57"/>
  <c r="L954" i="61"/>
  <c r="O954" i="61" s="1"/>
  <c r="AG949" i="57"/>
  <c r="L949" i="61"/>
  <c r="O949" i="61" s="1"/>
  <c r="AG124" i="57"/>
  <c r="L124" i="61"/>
  <c r="O124" i="61" s="1"/>
  <c r="AG322" i="57"/>
  <c r="L322" i="61"/>
  <c r="O322" i="61" s="1"/>
  <c r="AG21" i="57"/>
  <c r="L21" i="61"/>
  <c r="O21" i="61" s="1"/>
  <c r="AG190" i="57"/>
  <c r="L190" i="61"/>
  <c r="O190" i="61" s="1"/>
  <c r="L411" i="61"/>
  <c r="O411" i="61" s="1"/>
  <c r="AG15" i="57"/>
  <c r="L15" i="61"/>
  <c r="O15" i="61" s="1"/>
  <c r="AG325" i="57"/>
  <c r="L325" i="61"/>
  <c r="O325" i="61" s="1"/>
  <c r="AG279" i="57"/>
  <c r="L279" i="61"/>
  <c r="O279" i="61" s="1"/>
  <c r="AG88" i="57"/>
  <c r="L88" i="61"/>
  <c r="O88" i="61" s="1"/>
  <c r="AG200" i="57"/>
  <c r="L200" i="61"/>
  <c r="O200" i="61" s="1"/>
  <c r="AG57" i="57"/>
  <c r="L57" i="61"/>
  <c r="O57" i="61" s="1"/>
  <c r="AG106" i="57"/>
  <c r="L106" i="61"/>
  <c r="O106" i="61" s="1"/>
  <c r="AG202" i="57"/>
  <c r="L202" i="61"/>
  <c r="O202" i="61" s="1"/>
  <c r="AG417" i="57"/>
  <c r="L417" i="61"/>
  <c r="O417" i="61" s="1"/>
  <c r="AG318" i="57"/>
  <c r="L318" i="61"/>
  <c r="O318" i="61" s="1"/>
  <c r="AG328" i="57"/>
  <c r="L328" i="61"/>
  <c r="O328" i="61" s="1"/>
  <c r="AG656" i="57"/>
  <c r="L656" i="61"/>
  <c r="O656" i="61" s="1"/>
  <c r="AG643" i="57"/>
  <c r="L643" i="61"/>
  <c r="O643" i="61" s="1"/>
  <c r="AG661" i="57"/>
  <c r="L661" i="61"/>
  <c r="O661" i="61" s="1"/>
  <c r="AG984" i="57"/>
  <c r="L984" i="61"/>
  <c r="O984" i="61" s="1"/>
  <c r="AG963" i="57"/>
  <c r="L963" i="61"/>
  <c r="O963" i="61" s="1"/>
  <c r="AG855" i="57"/>
  <c r="L855" i="61"/>
  <c r="O855" i="61" s="1"/>
  <c r="AG679" i="57"/>
  <c r="L679" i="61"/>
  <c r="O679" i="61" s="1"/>
  <c r="AG697" i="57"/>
  <c r="L697" i="61"/>
  <c r="O697" i="61" s="1"/>
  <c r="AG692" i="57"/>
  <c r="L692" i="61"/>
  <c r="O692" i="61" s="1"/>
  <c r="AG711" i="57"/>
  <c r="L711" i="61"/>
  <c r="O711" i="61" s="1"/>
  <c r="AG720" i="57"/>
  <c r="L720" i="61"/>
  <c r="O720" i="61" s="1"/>
  <c r="AG706" i="57"/>
  <c r="L706" i="61"/>
  <c r="O706" i="61" s="1"/>
  <c r="AG731" i="57"/>
  <c r="AG709" i="57"/>
  <c r="L709" i="61"/>
  <c r="O709" i="61" s="1"/>
  <c r="AG852" i="57"/>
  <c r="L852" i="61"/>
  <c r="O852" i="61" s="1"/>
  <c r="AG1148" i="57"/>
  <c r="L1148" i="61"/>
  <c r="O1148" i="61" s="1"/>
  <c r="AG1061" i="57"/>
  <c r="L1061" i="61"/>
  <c r="O1061" i="61" s="1"/>
  <c r="AG280" i="57"/>
  <c r="L280" i="61"/>
  <c r="O280" i="61" s="1"/>
  <c r="AG283" i="57"/>
  <c r="L283" i="61"/>
  <c r="O283" i="61" s="1"/>
  <c r="AG58" i="57"/>
  <c r="L58" i="61"/>
  <c r="O58" i="61" s="1"/>
  <c r="AG974" i="57"/>
  <c r="L974" i="61"/>
  <c r="O974" i="61" s="1"/>
  <c r="AG704" i="57"/>
  <c r="L704" i="61"/>
  <c r="O704" i="61" s="1"/>
  <c r="AG1133" i="57"/>
  <c r="L1133" i="61"/>
  <c r="O1133" i="61" s="1"/>
  <c r="AG1151" i="57"/>
  <c r="L1151" i="61"/>
  <c r="O1151" i="61" s="1"/>
  <c r="AG1147" i="57"/>
  <c r="L1147" i="61"/>
  <c r="O1147" i="61" s="1"/>
  <c r="AG846" i="57"/>
  <c r="L846" i="61"/>
  <c r="O846" i="61" s="1"/>
  <c r="AG671" i="57"/>
  <c r="L671" i="61"/>
  <c r="O671" i="61" s="1"/>
  <c r="AG668" i="57"/>
  <c r="L668" i="61"/>
  <c r="O668" i="61" s="1"/>
  <c r="AG1104" i="57"/>
  <c r="L1104" i="61"/>
  <c r="O1104" i="61" s="1"/>
  <c r="AG1021" i="57"/>
  <c r="L1021" i="61"/>
  <c r="O1021" i="61" s="1"/>
  <c r="AG1085" i="57"/>
  <c r="L1085" i="61"/>
  <c r="O1085" i="61" s="1"/>
  <c r="AG1014" i="57"/>
  <c r="L1014" i="61"/>
  <c r="O1014" i="61" s="1"/>
  <c r="AG1078" i="57"/>
  <c r="L1078" i="61"/>
  <c r="O1078" i="61" s="1"/>
  <c r="AG1007" i="57"/>
  <c r="L1007" i="61"/>
  <c r="O1007" i="61" s="1"/>
  <c r="AG1071" i="57"/>
  <c r="L1071" i="61"/>
  <c r="O1071" i="61" s="1"/>
  <c r="AG1001" i="57"/>
  <c r="L1001" i="61"/>
  <c r="O1001" i="61" s="1"/>
  <c r="AG1065" i="57"/>
  <c r="L1065" i="61"/>
  <c r="O1065" i="61" s="1"/>
  <c r="AG994" i="57"/>
  <c r="L994" i="61"/>
  <c r="O994" i="61" s="1"/>
  <c r="AG1058" i="57"/>
  <c r="L1058" i="61"/>
  <c r="O1058" i="61" s="1"/>
  <c r="AG1043" i="57"/>
  <c r="L1043" i="61"/>
  <c r="O1043" i="61" s="1"/>
  <c r="AG1107" i="57"/>
  <c r="L1107" i="61"/>
  <c r="O1107" i="61" s="1"/>
  <c r="AG944" i="57"/>
  <c r="L944" i="61"/>
  <c r="O944" i="61" s="1"/>
  <c r="AG939" i="57"/>
  <c r="L939" i="61"/>
  <c r="O939" i="61" s="1"/>
  <c r="AG957" i="57"/>
  <c r="L957" i="61"/>
  <c r="O957" i="61" s="1"/>
  <c r="AG4" i="57"/>
  <c r="L4" i="61"/>
  <c r="O4" i="61" s="1"/>
  <c r="AG332" i="57"/>
  <c r="L332" i="61"/>
  <c r="O332" i="61" s="1"/>
  <c r="AG115" i="57"/>
  <c r="L115" i="61"/>
  <c r="O115" i="61" s="1"/>
  <c r="AG205" i="57"/>
  <c r="L205" i="61"/>
  <c r="O205" i="61" s="1"/>
  <c r="AG86" i="57"/>
  <c r="AG198" i="57"/>
  <c r="L198" i="61"/>
  <c r="O198" i="61" s="1"/>
  <c r="AG23" i="57"/>
  <c r="L23" i="61"/>
  <c r="O23" i="61" s="1"/>
  <c r="AG337" i="57"/>
  <c r="L337" i="61"/>
  <c r="O337" i="61" s="1"/>
  <c r="AG104" i="57"/>
  <c r="L104" i="61"/>
  <c r="O104" i="61" s="1"/>
  <c r="AG416" i="57"/>
  <c r="L416" i="61"/>
  <c r="O416" i="61" s="1"/>
  <c r="AG405" i="57"/>
  <c r="L405" i="61"/>
  <c r="O405" i="61" s="1"/>
  <c r="AG278" i="57"/>
  <c r="L278" i="61"/>
  <c r="O278" i="61" s="1"/>
  <c r="AG326" i="57"/>
  <c r="L326" i="61"/>
  <c r="O326" i="61" s="1"/>
  <c r="AG664" i="57"/>
  <c r="L664" i="61"/>
  <c r="O664" i="61" s="1"/>
  <c r="AG651" i="57"/>
  <c r="L651" i="61"/>
  <c r="O651" i="61" s="1"/>
  <c r="AG646" i="57"/>
  <c r="L646" i="61"/>
  <c r="O646" i="61" s="1"/>
  <c r="AG988" i="57"/>
  <c r="L988" i="61"/>
  <c r="O988" i="61" s="1"/>
  <c r="AG975" i="57"/>
  <c r="L975" i="61"/>
  <c r="O975" i="61" s="1"/>
  <c r="AG971" i="57"/>
  <c r="L971" i="61"/>
  <c r="O971" i="61" s="1"/>
  <c r="AG964" i="57"/>
  <c r="L964" i="61"/>
  <c r="O964" i="61" s="1"/>
  <c r="AG856" i="57"/>
  <c r="L856" i="61"/>
  <c r="O856" i="61" s="1"/>
  <c r="AG682" i="57"/>
  <c r="L682" i="61"/>
  <c r="O682" i="61" s="1"/>
  <c r="AG700" i="57"/>
  <c r="L700" i="61"/>
  <c r="O700" i="61" s="1"/>
  <c r="AG703" i="57"/>
  <c r="AG728" i="57"/>
  <c r="L728" i="61"/>
  <c r="O728" i="61" s="1"/>
  <c r="AG714" i="57"/>
  <c r="L714" i="61"/>
  <c r="O714" i="61" s="1"/>
  <c r="AG739" i="57"/>
  <c r="L739" i="61"/>
  <c r="O739" i="61" s="1"/>
  <c r="AG717" i="57"/>
  <c r="L717" i="61"/>
  <c r="O717" i="61" s="1"/>
  <c r="AG734" i="57"/>
  <c r="L734" i="61"/>
  <c r="O734" i="61" s="1"/>
  <c r="AG853" i="57"/>
  <c r="L853" i="61"/>
  <c r="O853" i="61" s="1"/>
  <c r="AG1150" i="57"/>
  <c r="L1150" i="61"/>
  <c r="O1150" i="61" s="1"/>
  <c r="AG1008" i="57"/>
  <c r="L1008" i="61"/>
  <c r="O1008" i="61" s="1"/>
  <c r="AG1054" i="57"/>
  <c r="L1054" i="61"/>
  <c r="O1054" i="61" s="1"/>
  <c r="AG1098" i="57"/>
  <c r="L1098" i="61"/>
  <c r="O1098" i="61" s="1"/>
  <c r="AG108" i="57"/>
  <c r="L108" i="61"/>
  <c r="O108" i="61" s="1"/>
  <c r="L187" i="61"/>
  <c r="O187" i="61" s="1"/>
  <c r="AG672" i="57"/>
  <c r="L672" i="61"/>
  <c r="O672" i="61" s="1"/>
  <c r="AG676" i="57"/>
  <c r="L676" i="61"/>
  <c r="O676" i="61" s="1"/>
  <c r="AG1012" i="57"/>
  <c r="L1012" i="61"/>
  <c r="O1012" i="61" s="1"/>
  <c r="AG1020" i="57"/>
  <c r="L1020" i="61"/>
  <c r="O1020" i="61" s="1"/>
  <c r="AG996" i="57"/>
  <c r="L996" i="61"/>
  <c r="O996" i="61" s="1"/>
  <c r="AG1029" i="57"/>
  <c r="L1029" i="61"/>
  <c r="O1029" i="61" s="1"/>
  <c r="AG1022" i="57"/>
  <c r="L1022" i="61"/>
  <c r="O1022" i="61" s="1"/>
  <c r="AG1086" i="57"/>
  <c r="L1086" i="61"/>
  <c r="O1086" i="61" s="1"/>
  <c r="AG1015" i="57"/>
  <c r="L1015" i="61"/>
  <c r="O1015" i="61" s="1"/>
  <c r="AG1079" i="57"/>
  <c r="L1079" i="61"/>
  <c r="O1079" i="61" s="1"/>
  <c r="AG1009" i="57"/>
  <c r="L1009" i="61"/>
  <c r="O1009" i="61" s="1"/>
  <c r="AG1073" i="57"/>
  <c r="L1073" i="61"/>
  <c r="O1073" i="61" s="1"/>
  <c r="AG1002" i="57"/>
  <c r="L1002" i="61"/>
  <c r="O1002" i="61" s="1"/>
  <c r="AG1066" i="57"/>
  <c r="L1066" i="61"/>
  <c r="O1066" i="61" s="1"/>
  <c r="AG1051" i="57"/>
  <c r="L1051" i="61"/>
  <c r="O1051" i="61" s="1"/>
  <c r="AG952" i="57"/>
  <c r="L952" i="61"/>
  <c r="O952" i="61" s="1"/>
  <c r="AG947" i="57"/>
  <c r="L947" i="61"/>
  <c r="O947" i="61" s="1"/>
  <c r="AG934" i="57"/>
  <c r="L934" i="61"/>
  <c r="AG12" i="57"/>
  <c r="L12" i="61"/>
  <c r="O12" i="61" s="1"/>
  <c r="AG180" i="57"/>
  <c r="L180" i="61"/>
  <c r="O180" i="61" s="1"/>
  <c r="AG392" i="57"/>
  <c r="L392" i="61"/>
  <c r="O392" i="61" s="1"/>
  <c r="AG85" i="57"/>
  <c r="L85" i="61"/>
  <c r="O85" i="61" s="1"/>
  <c r="L281" i="61"/>
  <c r="O281" i="61" s="1"/>
  <c r="AG102" i="57"/>
  <c r="L102" i="61"/>
  <c r="O102" i="61" s="1"/>
  <c r="AG55" i="57"/>
  <c r="L55" i="61"/>
  <c r="O55" i="61" s="1"/>
  <c r="AG183" i="57"/>
  <c r="L183" i="61"/>
  <c r="O183" i="61" s="1"/>
  <c r="L397" i="61"/>
  <c r="O397" i="61" s="1"/>
  <c r="AG112" i="57"/>
  <c r="L112" i="61"/>
  <c r="O112" i="61" s="1"/>
  <c r="L284" i="61"/>
  <c r="O284" i="61" s="1"/>
  <c r="AG81" i="57"/>
  <c r="L81" i="61"/>
  <c r="O81" i="61" s="1"/>
  <c r="AG2" i="57"/>
  <c r="L2" i="61"/>
  <c r="AG286" i="57"/>
  <c r="L286" i="61"/>
  <c r="O286" i="61" s="1"/>
  <c r="AG399" i="57"/>
  <c r="L399" i="61"/>
  <c r="O399" i="61" s="1"/>
  <c r="AG334" i="57"/>
  <c r="L334" i="61"/>
  <c r="O334" i="61" s="1"/>
  <c r="AG396" i="57"/>
  <c r="L396" i="61"/>
  <c r="O396" i="61" s="1"/>
  <c r="AG641" i="57"/>
  <c r="L641" i="61"/>
  <c r="AG659" i="57"/>
  <c r="L659" i="61"/>
  <c r="O659" i="61" s="1"/>
  <c r="AG654" i="57"/>
  <c r="L654" i="61"/>
  <c r="O654" i="61" s="1"/>
  <c r="AG992" i="57"/>
  <c r="L992" i="61"/>
  <c r="O992" i="61" s="1"/>
  <c r="L983" i="61"/>
  <c r="O983" i="61" s="1"/>
  <c r="AG966" i="57"/>
  <c r="L966" i="61"/>
  <c r="O966" i="61" s="1"/>
  <c r="AG857" i="57"/>
  <c r="L857" i="61"/>
  <c r="O857" i="61" s="1"/>
  <c r="L695" i="61"/>
  <c r="O695" i="61" s="1"/>
  <c r="AG690" i="57"/>
  <c r="L690" i="61"/>
  <c r="O690" i="61" s="1"/>
  <c r="AG677" i="57"/>
  <c r="L677" i="61"/>
  <c r="O677" i="61" s="1"/>
  <c r="AG719" i="57"/>
  <c r="L719" i="61"/>
  <c r="O719" i="61" s="1"/>
  <c r="AG736" i="57"/>
  <c r="L736" i="61"/>
  <c r="O736" i="61" s="1"/>
  <c r="AG722" i="57"/>
  <c r="L722" i="61"/>
  <c r="O722" i="61" s="1"/>
  <c r="AG708" i="57"/>
  <c r="L708" i="61"/>
  <c r="O708" i="61" s="1"/>
  <c r="AG725" i="57"/>
  <c r="L725" i="61"/>
  <c r="O725" i="61" s="1"/>
  <c r="AG742" i="57"/>
  <c r="L742" i="61"/>
  <c r="O742" i="61" s="1"/>
  <c r="AG854" i="57"/>
  <c r="L854" i="61"/>
  <c r="O854" i="61" s="1"/>
  <c r="AG843" i="57"/>
  <c r="L843" i="61"/>
  <c r="O843" i="61" s="1"/>
  <c r="AG1024" i="57"/>
  <c r="L1024" i="61"/>
  <c r="O1024" i="61" s="1"/>
  <c r="AG1105" i="57"/>
  <c r="L1105" i="61"/>
  <c r="O1105" i="61" s="1"/>
  <c r="AG1083" i="57"/>
  <c r="L1083" i="61"/>
  <c r="O1083" i="61" s="1"/>
  <c r="AG943" i="57"/>
  <c r="L943" i="61"/>
  <c r="O943" i="61" s="1"/>
  <c r="AG181" i="57"/>
  <c r="L181" i="61"/>
  <c r="O181" i="61" s="1"/>
  <c r="AG121" i="57"/>
  <c r="L121" i="61"/>
  <c r="O121" i="61" s="1"/>
  <c r="AG419" i="57"/>
  <c r="L419" i="61"/>
  <c r="O419" i="61" s="1"/>
  <c r="AG418" i="57"/>
  <c r="L418" i="61"/>
  <c r="O418" i="61" s="1"/>
  <c r="L993" i="61"/>
  <c r="O993" i="61" s="1"/>
  <c r="AG729" i="57"/>
  <c r="L729" i="61"/>
  <c r="O729" i="61" s="1"/>
  <c r="AG1155" i="57"/>
  <c r="L1155" i="61"/>
  <c r="O1155" i="61" s="1"/>
  <c r="AG1149" i="57"/>
  <c r="L1149" i="61"/>
  <c r="O1149" i="61" s="1"/>
  <c r="L1145" i="61"/>
  <c r="O1145" i="61" s="1"/>
  <c r="AG847" i="57"/>
  <c r="L847" i="61"/>
  <c r="O847" i="61" s="1"/>
  <c r="AG665" i="57"/>
  <c r="L665" i="61"/>
  <c r="O665" i="61" s="1"/>
  <c r="AG669" i="57"/>
  <c r="L669" i="61"/>
  <c r="O669" i="61" s="1"/>
  <c r="AG1036" i="57"/>
  <c r="L1036" i="61"/>
  <c r="O1036" i="61" s="1"/>
  <c r="AG1044" i="57"/>
  <c r="L1044" i="61"/>
  <c r="O1044" i="61" s="1"/>
  <c r="AG1052" i="57"/>
  <c r="L1052" i="61"/>
  <c r="O1052" i="61" s="1"/>
  <c r="AG1037" i="57"/>
  <c r="L1037" i="61"/>
  <c r="O1037" i="61" s="1"/>
  <c r="AG1101" i="57"/>
  <c r="L1101" i="61"/>
  <c r="O1101" i="61" s="1"/>
  <c r="AG1030" i="57"/>
  <c r="L1030" i="61"/>
  <c r="O1030" i="61" s="1"/>
  <c r="AG1094" i="57"/>
  <c r="L1094" i="61"/>
  <c r="O1094" i="61" s="1"/>
  <c r="AG1023" i="57"/>
  <c r="L1023" i="61"/>
  <c r="O1023" i="61" s="1"/>
  <c r="AG1087" i="57"/>
  <c r="L1087" i="61"/>
  <c r="O1087" i="61" s="1"/>
  <c r="AG1017" i="57"/>
  <c r="L1017" i="61"/>
  <c r="O1017" i="61" s="1"/>
  <c r="AG1081" i="57"/>
  <c r="L1081" i="61"/>
  <c r="O1081" i="61" s="1"/>
  <c r="AG1010" i="57"/>
  <c r="L1010" i="61"/>
  <c r="O1010" i="61" s="1"/>
  <c r="AG1074" i="57"/>
  <c r="L1074" i="61"/>
  <c r="O1074" i="61" s="1"/>
  <c r="L995" i="61"/>
  <c r="O995" i="61" s="1"/>
  <c r="AG1059" i="57"/>
  <c r="L1059" i="61"/>
  <c r="O1059" i="61" s="1"/>
  <c r="AG937" i="57"/>
  <c r="L937" i="61"/>
  <c r="O937" i="61" s="1"/>
  <c r="AG942" i="57"/>
  <c r="L942" i="61"/>
  <c r="O942" i="61" s="1"/>
  <c r="AG20" i="57"/>
  <c r="L20" i="61"/>
  <c r="O20" i="61" s="1"/>
  <c r="AG188" i="57"/>
  <c r="L188" i="61"/>
  <c r="O188" i="61" s="1"/>
  <c r="AG406" i="57"/>
  <c r="L406" i="61"/>
  <c r="O406" i="61" s="1"/>
  <c r="AG203" i="57"/>
  <c r="L203" i="61"/>
  <c r="O203" i="61" s="1"/>
  <c r="AG109" i="57"/>
  <c r="L109" i="61"/>
  <c r="O109" i="61" s="1"/>
  <c r="AG289" i="57"/>
  <c r="L289" i="61"/>
  <c r="O289" i="61" s="1"/>
  <c r="AG6" i="57"/>
  <c r="L6" i="61"/>
  <c r="O6" i="61" s="1"/>
  <c r="AG110" i="57"/>
  <c r="L110" i="61"/>
  <c r="O110" i="61" s="1"/>
  <c r="AG63" i="57"/>
  <c r="L63" i="61"/>
  <c r="O63" i="61" s="1"/>
  <c r="AG191" i="57"/>
  <c r="L191" i="61"/>
  <c r="O191" i="61" s="1"/>
  <c r="AG413" i="57"/>
  <c r="L413" i="61"/>
  <c r="O413" i="61" s="1"/>
  <c r="AG16" i="57"/>
  <c r="L16" i="61"/>
  <c r="O16" i="61" s="1"/>
  <c r="AG316" i="57"/>
  <c r="L316" i="61"/>
  <c r="O316" i="61" s="1"/>
  <c r="AG179" i="57"/>
  <c r="L179" i="61"/>
  <c r="O179" i="61" s="1"/>
  <c r="AG89" i="57"/>
  <c r="L89" i="61"/>
  <c r="O89" i="61" s="1"/>
  <c r="AG193" i="57"/>
  <c r="L193" i="61"/>
  <c r="O193" i="61" s="1"/>
  <c r="AG10" i="57"/>
  <c r="L10" i="61"/>
  <c r="O10" i="61" s="1"/>
  <c r="AG407" i="57"/>
  <c r="L407" i="61"/>
  <c r="O407" i="61" s="1"/>
  <c r="AG404" i="57"/>
  <c r="L404" i="61"/>
  <c r="O404" i="61" s="1"/>
  <c r="AG649" i="57"/>
  <c r="L649" i="61"/>
  <c r="O649" i="61" s="1"/>
  <c r="AG644" i="57"/>
  <c r="L644" i="61"/>
  <c r="O644" i="61" s="1"/>
  <c r="AG662" i="57"/>
  <c r="L662" i="61"/>
  <c r="O662" i="61" s="1"/>
  <c r="AG973" i="57"/>
  <c r="L973" i="61"/>
  <c r="O973" i="61" s="1"/>
  <c r="AG991" i="57"/>
  <c r="L991" i="61"/>
  <c r="O991" i="61" s="1"/>
  <c r="AG958" i="57"/>
  <c r="L958" i="61"/>
  <c r="O958" i="61" s="1"/>
  <c r="AG858" i="57"/>
  <c r="L858" i="61"/>
  <c r="O858" i="61" s="1"/>
  <c r="AG680" i="57"/>
  <c r="L680" i="61"/>
  <c r="O680" i="61" s="1"/>
  <c r="AG698" i="57"/>
  <c r="L698" i="61"/>
  <c r="O698" i="61" s="1"/>
  <c r="AG685" i="57"/>
  <c r="L685" i="61"/>
  <c r="O685" i="61" s="1"/>
  <c r="AG727" i="57"/>
  <c r="L727" i="61"/>
  <c r="O727" i="61" s="1"/>
  <c r="AG705" i="57"/>
  <c r="L705" i="61"/>
  <c r="O705" i="61" s="1"/>
  <c r="AG730" i="57"/>
  <c r="L730" i="61"/>
  <c r="O730" i="61" s="1"/>
  <c r="AG716" i="57"/>
  <c r="L716" i="61"/>
  <c r="O716" i="61" s="1"/>
  <c r="AG1032" i="57"/>
  <c r="L1032" i="61"/>
  <c r="O1032" i="61" s="1"/>
  <c r="AG1041" i="57"/>
  <c r="L1041" i="61"/>
  <c r="O1041" i="61" s="1"/>
  <c r="AG956" i="57"/>
  <c r="L956" i="61"/>
  <c r="O956" i="61" s="1"/>
  <c r="AG393" i="57"/>
  <c r="L393" i="61"/>
  <c r="O393" i="61" s="1"/>
  <c r="AG17" i="57"/>
  <c r="L17" i="61"/>
  <c r="O17" i="61" s="1"/>
  <c r="L186" i="61"/>
  <c r="O186" i="61" s="1"/>
  <c r="AG650" i="57"/>
  <c r="L650" i="61"/>
  <c r="O650" i="61" s="1"/>
  <c r="AG967" i="57"/>
  <c r="L967" i="61"/>
  <c r="O967" i="61" s="1"/>
  <c r="AG699" i="57"/>
  <c r="L699" i="61"/>
  <c r="O699" i="61" s="1"/>
  <c r="AG715" i="57"/>
  <c r="L715" i="61"/>
  <c r="O715" i="61" s="1"/>
  <c r="L1132" i="61"/>
  <c r="AG1137" i="57"/>
  <c r="L1137" i="61"/>
  <c r="O1137" i="61" s="1"/>
  <c r="AG1004" i="57"/>
  <c r="L1004" i="61"/>
  <c r="O1004" i="61" s="1"/>
  <c r="AG1134" i="57"/>
  <c r="L1134" i="61"/>
  <c r="O1134" i="61" s="1"/>
  <c r="AG1153" i="57"/>
  <c r="L1153" i="61"/>
  <c r="O1153" i="61" s="1"/>
  <c r="AG841" i="57"/>
  <c r="L841" i="61"/>
  <c r="AG670" i="57"/>
  <c r="L670" i="61"/>
  <c r="O670" i="61" s="1"/>
  <c r="AG1068" i="57"/>
  <c r="L1068" i="61"/>
  <c r="O1068" i="61" s="1"/>
  <c r="AG1076" i="57"/>
  <c r="L1076" i="61"/>
  <c r="O1076" i="61" s="1"/>
  <c r="AG1084" i="57"/>
  <c r="L1084" i="61"/>
  <c r="O1084" i="61" s="1"/>
  <c r="AG1060" i="57"/>
  <c r="L1060" i="61"/>
  <c r="O1060" i="61" s="1"/>
  <c r="AG1045" i="57"/>
  <c r="L1045" i="61"/>
  <c r="O1045" i="61" s="1"/>
  <c r="AG1038" i="57"/>
  <c r="L1038" i="61"/>
  <c r="O1038" i="61" s="1"/>
  <c r="AG1102" i="57"/>
  <c r="AG1031" i="57"/>
  <c r="L1031" i="61"/>
  <c r="O1031" i="61" s="1"/>
  <c r="AG1095" i="57"/>
  <c r="L1095" i="61"/>
  <c r="O1095" i="61" s="1"/>
  <c r="AG1025" i="57"/>
  <c r="L1025" i="61"/>
  <c r="O1025" i="61" s="1"/>
  <c r="AG1089" i="57"/>
  <c r="L1089" i="61"/>
  <c r="O1089" i="61" s="1"/>
  <c r="AG1018" i="57"/>
  <c r="L1018" i="61"/>
  <c r="O1018" i="61" s="1"/>
  <c r="AG1082" i="57"/>
  <c r="L1082" i="61"/>
  <c r="O1082" i="61" s="1"/>
  <c r="AG1003" i="57"/>
  <c r="L1003" i="61"/>
  <c r="O1003" i="61" s="1"/>
  <c r="AG1067" i="57"/>
  <c r="AG945" i="57"/>
  <c r="L945" i="61"/>
  <c r="O945" i="61" s="1"/>
  <c r="AG940" i="57"/>
  <c r="L940" i="61"/>
  <c r="O940" i="61" s="1"/>
  <c r="AG60" i="57"/>
  <c r="L60" i="61"/>
  <c r="O60" i="61" s="1"/>
  <c r="AG196" i="57"/>
  <c r="L196" i="61"/>
  <c r="O196" i="61" s="1"/>
  <c r="AG422" i="57"/>
  <c r="L614" i="61"/>
  <c r="O614" i="61" s="1"/>
  <c r="L550" i="61"/>
  <c r="O550" i="61" s="1"/>
  <c r="L502" i="61"/>
  <c r="O502" i="61" s="1"/>
  <c r="L494" i="61"/>
  <c r="O494" i="61" s="1"/>
  <c r="L556" i="61"/>
  <c r="O556" i="61" s="1"/>
  <c r="L504" i="61"/>
  <c r="O504" i="61" s="1"/>
  <c r="L501" i="61"/>
  <c r="O501" i="61" s="1"/>
  <c r="L555" i="61"/>
  <c r="O555" i="61" s="1"/>
  <c r="L503" i="61"/>
  <c r="O503" i="61" s="1"/>
  <c r="L500" i="61"/>
  <c r="O500" i="61" s="1"/>
  <c r="L491" i="61"/>
  <c r="O491" i="61" s="1"/>
  <c r="L505" i="61"/>
  <c r="L493" i="61"/>
  <c r="O493" i="61" s="1"/>
  <c r="L604" i="61"/>
  <c r="O604" i="61" s="1"/>
  <c r="L515" i="61"/>
  <c r="O515" i="61" s="1"/>
  <c r="L511" i="61"/>
  <c r="L498" i="61"/>
  <c r="O498" i="61" s="1"/>
  <c r="L557" i="61"/>
  <c r="O557" i="61" s="1"/>
  <c r="L551" i="61"/>
  <c r="O551" i="61" s="1"/>
  <c r="L567" i="61"/>
  <c r="O567" i="61" s="1"/>
  <c r="L499" i="61"/>
  <c r="O499" i="61" s="1"/>
  <c r="L496" i="61"/>
  <c r="O496" i="61" s="1"/>
  <c r="L422" i="61"/>
  <c r="O422" i="61" s="1"/>
  <c r="AG287" i="57"/>
  <c r="L287" i="61"/>
  <c r="O287" i="61" s="1"/>
  <c r="AG117" i="57"/>
  <c r="L117" i="61"/>
  <c r="O117" i="61" s="1"/>
  <c r="AG323" i="57"/>
  <c r="L323" i="61"/>
  <c r="O323" i="61" s="1"/>
  <c r="AG14" i="57"/>
  <c r="L14" i="61"/>
  <c r="O14" i="61" s="1"/>
  <c r="AG314" i="57"/>
  <c r="L314" i="61"/>
  <c r="O314" i="61" s="1"/>
  <c r="AG27" i="57"/>
  <c r="L27" i="61"/>
  <c r="O27" i="61" s="1"/>
  <c r="AG79" i="57"/>
  <c r="L79" i="61"/>
  <c r="O79" i="61" s="1"/>
  <c r="L199" i="61"/>
  <c r="O199" i="61" s="1"/>
  <c r="AG24" i="57"/>
  <c r="L24" i="61"/>
  <c r="O24" i="61" s="1"/>
  <c r="AG327" i="57"/>
  <c r="L327" i="61"/>
  <c r="O327" i="61" s="1"/>
  <c r="AG331" i="57"/>
  <c r="L331" i="61"/>
  <c r="O331" i="61" s="1"/>
  <c r="AG18" i="57"/>
  <c r="L18" i="61"/>
  <c r="O18" i="61" s="1"/>
  <c r="AG415" i="57"/>
  <c r="L415" i="61"/>
  <c r="O415" i="61" s="1"/>
  <c r="AG402" i="57"/>
  <c r="L402" i="61"/>
  <c r="O402" i="61" s="1"/>
  <c r="AG412" i="57"/>
  <c r="L412" i="61"/>
  <c r="O412" i="61" s="1"/>
  <c r="AG647" i="57"/>
  <c r="L647" i="61"/>
  <c r="O647" i="61" s="1"/>
  <c r="AG652" i="57"/>
  <c r="L652" i="61"/>
  <c r="O652" i="61" s="1"/>
  <c r="AG981" i="57"/>
  <c r="L981" i="61"/>
  <c r="O981" i="61" s="1"/>
  <c r="L977" i="61"/>
  <c r="O977" i="61" s="1"/>
  <c r="AG959" i="57"/>
  <c r="L959" i="61"/>
  <c r="O959" i="61" s="1"/>
  <c r="L859" i="61"/>
  <c r="O859" i="61" s="1"/>
  <c r="AG683" i="57"/>
  <c r="L683" i="61"/>
  <c r="O683" i="61" s="1"/>
  <c r="AG693" i="57"/>
  <c r="L693" i="61"/>
  <c r="O693" i="61" s="1"/>
  <c r="AG735" i="57"/>
  <c r="L735" i="61"/>
  <c r="O735" i="61" s="1"/>
  <c r="AG713" i="57"/>
  <c r="L713" i="61"/>
  <c r="O713" i="61" s="1"/>
  <c r="AG738" i="57"/>
  <c r="L738" i="61"/>
  <c r="O738" i="61" s="1"/>
  <c r="AG724" i="57"/>
  <c r="L724" i="61"/>
  <c r="O724" i="61" s="1"/>
  <c r="AG741" i="57"/>
  <c r="L741" i="61"/>
  <c r="O741" i="61" s="1"/>
  <c r="AG848" i="57"/>
  <c r="L848" i="61"/>
  <c r="O848" i="61" s="1"/>
  <c r="AG1146" i="57"/>
  <c r="L1146" i="61"/>
  <c r="O1146" i="61" s="1"/>
  <c r="AG1016" i="57"/>
  <c r="L1016" i="61"/>
  <c r="O1016" i="61" s="1"/>
  <c r="AG1047" i="57"/>
  <c r="L1047" i="61"/>
  <c r="O1047" i="61" s="1"/>
  <c r="AG1019" i="57"/>
  <c r="L1019" i="61"/>
  <c r="O1019" i="61" s="1"/>
  <c r="AG398" i="57"/>
  <c r="L398" i="61"/>
  <c r="O398" i="61" s="1"/>
  <c r="AG1144" i="57"/>
  <c r="L1144" i="61"/>
  <c r="O1144" i="61" s="1"/>
  <c r="AG1142" i="57"/>
  <c r="L1142" i="61"/>
  <c r="O1142" i="61" s="1"/>
  <c r="L1138" i="61"/>
  <c r="O1138" i="61" s="1"/>
  <c r="AG666" i="57"/>
  <c r="L666" i="61"/>
  <c r="O666" i="61" s="1"/>
  <c r="AG1000" i="57"/>
  <c r="L1000" i="61"/>
  <c r="O1000" i="61" s="1"/>
  <c r="AG1100" i="57"/>
  <c r="L1100" i="61"/>
  <c r="O1100" i="61" s="1"/>
  <c r="AG1108" i="57"/>
  <c r="L1108" i="61"/>
  <c r="O1108" i="61" s="1"/>
  <c r="AG1092" i="57"/>
  <c r="L1092" i="61"/>
  <c r="O1092" i="61" s="1"/>
  <c r="AG1053" i="57"/>
  <c r="L1053" i="61"/>
  <c r="O1053" i="61" s="1"/>
  <c r="L1046" i="61"/>
  <c r="O1046" i="61" s="1"/>
  <c r="AG1110" i="57"/>
  <c r="L1110" i="61"/>
  <c r="O1110" i="61" s="1"/>
  <c r="AG1039" i="57"/>
  <c r="L1039" i="61"/>
  <c r="O1039" i="61" s="1"/>
  <c r="AG1103" i="57"/>
  <c r="L1103" i="61"/>
  <c r="O1103" i="61" s="1"/>
  <c r="AG1033" i="57"/>
  <c r="L1033" i="61"/>
  <c r="O1033" i="61" s="1"/>
  <c r="AG1097" i="57"/>
  <c r="L1097" i="61"/>
  <c r="O1097" i="61" s="1"/>
  <c r="AG1026" i="57"/>
  <c r="L1026" i="61"/>
  <c r="O1026" i="61" s="1"/>
  <c r="AG1090" i="57"/>
  <c r="L1090" i="61"/>
  <c r="O1090" i="61" s="1"/>
  <c r="AG1011" i="57"/>
  <c r="L1011" i="61"/>
  <c r="O1011" i="61" s="1"/>
  <c r="AG935" i="57"/>
  <c r="L935" i="61"/>
  <c r="O935" i="61" s="1"/>
  <c r="AG953" i="57"/>
  <c r="L953" i="61"/>
  <c r="O953" i="61" s="1"/>
  <c r="AG948" i="57"/>
  <c r="L948" i="61"/>
  <c r="O948" i="61" s="1"/>
  <c r="AG11" i="57"/>
  <c r="L11" i="61"/>
  <c r="O11" i="61" s="1"/>
  <c r="AG84" i="57"/>
  <c r="L84" i="61"/>
  <c r="O84" i="61" s="1"/>
  <c r="L204" i="61"/>
  <c r="O204" i="61" s="1"/>
  <c r="AG125" i="57"/>
  <c r="L125" i="61"/>
  <c r="O125" i="61" s="1"/>
  <c r="AG333" i="57"/>
  <c r="L333" i="61"/>
  <c r="O333" i="61" s="1"/>
  <c r="AG22" i="57"/>
  <c r="L22" i="61"/>
  <c r="O22" i="61" s="1"/>
  <c r="AG126" i="57"/>
  <c r="L157" i="61"/>
  <c r="O157" i="61" s="1"/>
  <c r="L154" i="61"/>
  <c r="O154" i="61" s="1"/>
  <c r="L163" i="61"/>
  <c r="L160" i="61"/>
  <c r="O160" i="61" s="1"/>
  <c r="L158" i="61"/>
  <c r="L153" i="61"/>
  <c r="O153" i="61" s="1"/>
  <c r="L162" i="61"/>
  <c r="L156" i="61"/>
  <c r="O156" i="61" s="1"/>
  <c r="L159" i="61"/>
  <c r="O159" i="61" s="1"/>
  <c r="L155" i="61"/>
  <c r="O155" i="61" s="1"/>
  <c r="L152" i="61"/>
  <c r="O152" i="61" s="1"/>
  <c r="L161" i="61"/>
  <c r="O161" i="61" s="1"/>
  <c r="L126" i="61"/>
  <c r="O126" i="61" s="1"/>
  <c r="L324" i="61"/>
  <c r="O324" i="61" s="1"/>
  <c r="AG83" i="57"/>
  <c r="L83" i="61"/>
  <c r="O83" i="61" s="1"/>
  <c r="AG87" i="57"/>
  <c r="L87" i="61"/>
  <c r="O87" i="61" s="1"/>
  <c r="AG207" i="57"/>
  <c r="L207" i="61"/>
  <c r="O207" i="61" s="1"/>
  <c r="AG56" i="57"/>
  <c r="L56" i="61"/>
  <c r="O56" i="61" s="1"/>
  <c r="AG338" i="57"/>
  <c r="L338" i="61"/>
  <c r="O338" i="61" s="1"/>
  <c r="AG113" i="57"/>
  <c r="L113" i="61"/>
  <c r="O113" i="61" s="1"/>
  <c r="AG285" i="57"/>
  <c r="L285" i="61"/>
  <c r="O285" i="61" s="1"/>
  <c r="AG3" i="57"/>
  <c r="L3" i="61"/>
  <c r="O3" i="61" s="1"/>
  <c r="AG26" i="57"/>
  <c r="L26" i="61"/>
  <c r="O26" i="61" s="1"/>
  <c r="L178" i="61"/>
  <c r="O178" i="61" s="1"/>
  <c r="AG403" i="57"/>
  <c r="L403" i="61"/>
  <c r="O403" i="61" s="1"/>
  <c r="AG420" i="57"/>
  <c r="L420" i="61"/>
  <c r="O420" i="61" s="1"/>
  <c r="AG655" i="57"/>
  <c r="L655" i="61"/>
  <c r="O655" i="61" s="1"/>
  <c r="AG642" i="57"/>
  <c r="L642" i="61"/>
  <c r="O642" i="61" s="1"/>
  <c r="L660" i="61"/>
  <c r="O660" i="61" s="1"/>
  <c r="AG972" i="57"/>
  <c r="L972" i="61"/>
  <c r="O972" i="61" s="1"/>
  <c r="AG989" i="57"/>
  <c r="L989" i="61"/>
  <c r="O989" i="61" s="1"/>
  <c r="AG985" i="57"/>
  <c r="L985" i="61"/>
  <c r="O985" i="61" s="1"/>
  <c r="AG965" i="57"/>
  <c r="L965" i="61"/>
  <c r="O965" i="61" s="1"/>
  <c r="AG860" i="57"/>
  <c r="L860" i="61"/>
  <c r="O860" i="61" s="1"/>
  <c r="AG696" i="57"/>
  <c r="L696" i="61"/>
  <c r="O696" i="61" s="1"/>
  <c r="AG691" i="57"/>
  <c r="L691" i="61"/>
  <c r="O691" i="61" s="1"/>
  <c r="AG678" i="57"/>
  <c r="L678" i="61"/>
  <c r="O678" i="61" s="1"/>
  <c r="AG721" i="57"/>
  <c r="L721" i="61"/>
  <c r="O721" i="61" s="1"/>
  <c r="AG707" i="57"/>
  <c r="L707" i="61"/>
  <c r="O707" i="61" s="1"/>
  <c r="AG732" i="57"/>
  <c r="L732" i="61"/>
  <c r="O732" i="61" s="1"/>
  <c r="AG702" i="57"/>
  <c r="L702" i="61"/>
  <c r="O702" i="61" s="1"/>
  <c r="AG849" i="57"/>
  <c r="L849" i="61"/>
  <c r="O849" i="61" s="1"/>
  <c r="AB46" i="53"/>
  <c r="AB46" i="54"/>
  <c r="AB46" i="52"/>
  <c r="AB46" i="51"/>
  <c r="Y5" i="54"/>
  <c r="X44" i="54"/>
  <c r="Y5" i="53"/>
  <c r="X44" i="53"/>
  <c r="AM57" i="47"/>
  <c r="AM55" i="50"/>
  <c r="AM55" i="49"/>
  <c r="AM55" i="48"/>
  <c r="L64" i="61" l="1"/>
  <c r="O64" i="61" s="1"/>
  <c r="O1122" i="61"/>
  <c r="L400" i="61"/>
  <c r="O400" i="61" s="1"/>
  <c r="O1124" i="61"/>
  <c r="K7" i="66"/>
  <c r="K13" i="66" s="1"/>
  <c r="L743" i="61"/>
  <c r="O743" i="61" s="1"/>
  <c r="L1075" i="61"/>
  <c r="O1075" i="61" s="1"/>
  <c r="L842" i="61"/>
  <c r="O842" i="61" s="1"/>
  <c r="L282" i="61"/>
  <c r="O282" i="61" s="1"/>
  <c r="L1028" i="61"/>
  <c r="O1028" i="61" s="1"/>
  <c r="L663" i="61"/>
  <c r="O663" i="61" s="1"/>
  <c r="AG177" i="57"/>
  <c r="L119" i="61"/>
  <c r="O119" i="61" s="1"/>
  <c r="L1070" i="61"/>
  <c r="O1070" i="61" s="1"/>
  <c r="L1027" i="61"/>
  <c r="O1027" i="61" s="1"/>
  <c r="L1055" i="61"/>
  <c r="O1055" i="61" s="1"/>
  <c r="L754" i="61"/>
  <c r="O754" i="61" s="1"/>
  <c r="L802" i="61"/>
  <c r="O802" i="61" s="1"/>
  <c r="L752" i="61"/>
  <c r="O752" i="61" s="1"/>
  <c r="L798" i="61"/>
  <c r="O798" i="61" s="1"/>
  <c r="L783" i="61"/>
  <c r="O783" i="61" s="1"/>
  <c r="L765" i="61"/>
  <c r="O765" i="61" s="1"/>
  <c r="L839" i="61"/>
  <c r="O839" i="61" s="1"/>
  <c r="L814" i="61"/>
  <c r="O814" i="61" s="1"/>
  <c r="L835" i="61"/>
  <c r="O835" i="61" s="1"/>
  <c r="L787" i="61"/>
  <c r="O787" i="61" s="1"/>
  <c r="L781" i="61"/>
  <c r="O781" i="61" s="1"/>
  <c r="L813" i="61"/>
  <c r="O813" i="61" s="1"/>
  <c r="O158" i="61"/>
  <c r="L201" i="61"/>
  <c r="O201" i="61" s="1"/>
  <c r="L961" i="61"/>
  <c r="O961" i="61" s="1"/>
  <c r="L767" i="61"/>
  <c r="O767" i="61" s="1"/>
  <c r="L748" i="61"/>
  <c r="O748" i="61" s="1"/>
  <c r="L764" i="61"/>
  <c r="O764" i="61" s="1"/>
  <c r="L807" i="61"/>
  <c r="O807" i="61" s="1"/>
  <c r="L791" i="61"/>
  <c r="O791" i="61" s="1"/>
  <c r="L779" i="61"/>
  <c r="O779" i="61" s="1"/>
  <c r="L745" i="61"/>
  <c r="O745" i="61" s="1"/>
  <c r="L836" i="61"/>
  <c r="O836" i="61" s="1"/>
  <c r="L790" i="61"/>
  <c r="O790" i="61" s="1"/>
  <c r="L796" i="61"/>
  <c r="O796" i="61" s="1"/>
  <c r="L785" i="61"/>
  <c r="O785" i="61" s="1"/>
  <c r="L817" i="61"/>
  <c r="O817" i="61" s="1"/>
  <c r="L657" i="61"/>
  <c r="O657" i="61" s="1"/>
  <c r="L950" i="61"/>
  <c r="O950" i="61" s="1"/>
  <c r="L673" i="61"/>
  <c r="O673" i="61" s="1"/>
  <c r="L1140" i="61"/>
  <c r="O1140" i="61" s="1"/>
  <c r="L1093" i="61"/>
  <c r="O1093" i="61" s="1"/>
  <c r="L80" i="61"/>
  <c r="O80" i="61" s="1"/>
  <c r="L755" i="61"/>
  <c r="O755" i="61" s="1"/>
  <c r="L774" i="61"/>
  <c r="O774" i="61" s="1"/>
  <c r="L756" i="61"/>
  <c r="O756" i="61" s="1"/>
  <c r="L744" i="61"/>
  <c r="O744" i="61" s="1"/>
  <c r="L816" i="61"/>
  <c r="O816" i="61" s="1"/>
  <c r="L811" i="61"/>
  <c r="O811" i="61" s="1"/>
  <c r="L761" i="61"/>
  <c r="L780" i="61"/>
  <c r="O780" i="61" s="1"/>
  <c r="L808" i="61"/>
  <c r="O808" i="61" s="1"/>
  <c r="L819" i="61"/>
  <c r="L793" i="61"/>
  <c r="O793" i="61" s="1"/>
  <c r="L825" i="61"/>
  <c r="O825" i="61" s="1"/>
  <c r="L955" i="61"/>
  <c r="O955" i="61" s="1"/>
  <c r="L1077" i="61"/>
  <c r="O1077" i="61" s="1"/>
  <c r="L998" i="61"/>
  <c r="O998" i="61" s="1"/>
  <c r="L850" i="61"/>
  <c r="O850" i="61" s="1"/>
  <c r="L815" i="61"/>
  <c r="O815" i="61" s="1"/>
  <c r="L788" i="61"/>
  <c r="O788" i="61" s="1"/>
  <c r="L762" i="61"/>
  <c r="L751" i="61"/>
  <c r="O751" i="61" s="1"/>
  <c r="L834" i="61"/>
  <c r="O834" i="61" s="1"/>
  <c r="L838" i="61"/>
  <c r="O838" i="61" s="1"/>
  <c r="L766" i="61"/>
  <c r="O766" i="61" s="1"/>
  <c r="L794" i="61"/>
  <c r="O794" i="61" s="1"/>
  <c r="L822" i="61"/>
  <c r="O822" i="61" s="1"/>
  <c r="L828" i="61"/>
  <c r="O828" i="61" s="1"/>
  <c r="L797" i="61"/>
  <c r="O797" i="61" s="1"/>
  <c r="L829" i="61"/>
  <c r="O829" i="61" s="1"/>
  <c r="AP3" i="57"/>
  <c r="AQ3" i="57" s="1"/>
  <c r="L9" i="61"/>
  <c r="O9" i="61" s="1"/>
  <c r="L330" i="61"/>
  <c r="O330" i="61" s="1"/>
  <c r="L1109" i="61"/>
  <c r="O1109" i="61" s="1"/>
  <c r="L681" i="61"/>
  <c r="O681" i="61" s="1"/>
  <c r="L746" i="61"/>
  <c r="O746" i="61" s="1"/>
  <c r="L749" i="61"/>
  <c r="O749" i="61" s="1"/>
  <c r="L768" i="61"/>
  <c r="O768" i="61" s="1"/>
  <c r="L757" i="61"/>
  <c r="O757" i="61" s="1"/>
  <c r="L747" i="61"/>
  <c r="O747" i="61" s="1"/>
  <c r="L804" i="61"/>
  <c r="O804" i="61" s="1"/>
  <c r="L772" i="61"/>
  <c r="O772" i="61" s="1"/>
  <c r="L803" i="61"/>
  <c r="O803" i="61" s="1"/>
  <c r="L831" i="61"/>
  <c r="O831" i="61" s="1"/>
  <c r="L769" i="61"/>
  <c r="O769" i="61" s="1"/>
  <c r="L801" i="61"/>
  <c r="O801" i="61" s="1"/>
  <c r="L833" i="61"/>
  <c r="O833" i="61" s="1"/>
  <c r="O511" i="61"/>
  <c r="L78" i="61"/>
  <c r="O78" i="61" s="1"/>
  <c r="L818" i="61"/>
  <c r="L758" i="61"/>
  <c r="O758" i="61" s="1"/>
  <c r="L806" i="61"/>
  <c r="O806" i="61" s="1"/>
  <c r="L775" i="61"/>
  <c r="L763" i="61"/>
  <c r="O763" i="61" s="1"/>
  <c r="L753" i="61"/>
  <c r="O753" i="61" s="1"/>
  <c r="L820" i="61"/>
  <c r="O820" i="61" s="1"/>
  <c r="L784" i="61"/>
  <c r="O784" i="61" s="1"/>
  <c r="L812" i="61"/>
  <c r="O812" i="61" s="1"/>
  <c r="L840" i="61"/>
  <c r="O840" i="61" s="1"/>
  <c r="L773" i="61"/>
  <c r="L805" i="61"/>
  <c r="O805" i="61" s="1"/>
  <c r="L837" i="61"/>
  <c r="O837" i="61" s="1"/>
  <c r="L987" i="61"/>
  <c r="O987" i="61" s="1"/>
  <c r="L770" i="61"/>
  <c r="O770" i="61" s="1"/>
  <c r="L786" i="61"/>
  <c r="O786" i="61" s="1"/>
  <c r="L823" i="61"/>
  <c r="L782" i="61"/>
  <c r="O782" i="61" s="1"/>
  <c r="L776" i="61"/>
  <c r="O776" i="61" s="1"/>
  <c r="L759" i="61"/>
  <c r="L832" i="61"/>
  <c r="O832" i="61" s="1"/>
  <c r="L792" i="61"/>
  <c r="O792" i="61" s="1"/>
  <c r="L826" i="61"/>
  <c r="O826" i="61" s="1"/>
  <c r="L778" i="61"/>
  <c r="O778" i="61" s="1"/>
  <c r="L777" i="61"/>
  <c r="O777" i="61" s="1"/>
  <c r="L809" i="61"/>
  <c r="O809" i="61" s="1"/>
  <c r="O789" i="61"/>
  <c r="L317" i="61"/>
  <c r="O317" i="61" s="1"/>
  <c r="AP5" i="57"/>
  <c r="AQ5" i="57" s="1"/>
  <c r="O762" i="61"/>
  <c r="O558" i="61"/>
  <c r="L176" i="61"/>
  <c r="O176" i="61" s="1"/>
  <c r="L733" i="61"/>
  <c r="O733" i="61" s="1"/>
  <c r="L336" i="61"/>
  <c r="O336" i="61" s="1"/>
  <c r="L208" i="61"/>
  <c r="O208" i="61" s="1"/>
  <c r="L968" i="61"/>
  <c r="O968" i="61" s="1"/>
  <c r="L970" i="61"/>
  <c r="O970" i="61" s="1"/>
  <c r="L492" i="61"/>
  <c r="O492" i="61" s="1"/>
  <c r="L564" i="61"/>
  <c r="O564" i="61" s="1"/>
  <c r="L517" i="61"/>
  <c r="O517" i="61" s="1"/>
  <c r="L562" i="61"/>
  <c r="O562" i="61" s="1"/>
  <c r="L394" i="61"/>
  <c r="O394" i="61" s="1"/>
  <c r="L59" i="61"/>
  <c r="O59" i="61" s="1"/>
  <c r="O818" i="61"/>
  <c r="O773" i="61"/>
  <c r="L986" i="61"/>
  <c r="O986" i="61" s="1"/>
  <c r="L962" i="61"/>
  <c r="O962" i="61" s="1"/>
  <c r="O162" i="61"/>
  <c r="L508" i="61"/>
  <c r="O508" i="61" s="1"/>
  <c r="L611" i="61"/>
  <c r="O611" i="61" s="1"/>
  <c r="L612" i="61"/>
  <c r="O612" i="61" s="1"/>
  <c r="L566" i="61"/>
  <c r="O566" i="61" s="1"/>
  <c r="L120" i="61"/>
  <c r="O120" i="61" s="1"/>
  <c r="L710" i="61"/>
  <c r="O710" i="61" s="1"/>
  <c r="L122" i="61"/>
  <c r="O122" i="61" s="1"/>
  <c r="L1141" i="61"/>
  <c r="O1141" i="61" s="1"/>
  <c r="L726" i="61"/>
  <c r="O726" i="61" s="1"/>
  <c r="L990" i="61"/>
  <c r="O990" i="61" s="1"/>
  <c r="L1156" i="61"/>
  <c r="O1156" i="61" s="1"/>
  <c r="O1118" i="61"/>
  <c r="L182" i="61"/>
  <c r="O182" i="61" s="1"/>
  <c r="L13" i="61"/>
  <c r="O13" i="61" s="1"/>
  <c r="O775" i="61"/>
  <c r="L607" i="61"/>
  <c r="O607" i="61" s="1"/>
  <c r="L514" i="61"/>
  <c r="O514" i="61" s="1"/>
  <c r="L495" i="61"/>
  <c r="O495" i="61" s="1"/>
  <c r="L490" i="61"/>
  <c r="O490" i="61" s="1"/>
  <c r="L609" i="61"/>
  <c r="O609" i="61" s="1"/>
  <c r="L615" i="61"/>
  <c r="O615" i="61" s="1"/>
  <c r="L613" i="61"/>
  <c r="O613" i="61" s="1"/>
  <c r="L606" i="61"/>
  <c r="O606" i="61" s="1"/>
  <c r="O869" i="61"/>
  <c r="O823" i="61"/>
  <c r="O759" i="61"/>
  <c r="O879" i="61"/>
  <c r="L960" i="61"/>
  <c r="O960" i="61" s="1"/>
  <c r="L410" i="61"/>
  <c r="O410" i="61" s="1"/>
  <c r="O163" i="61"/>
  <c r="L688" i="61"/>
  <c r="O688" i="61" s="1"/>
  <c r="L105" i="61"/>
  <c r="O105" i="61" s="1"/>
  <c r="L118" i="61"/>
  <c r="O118" i="61" s="1"/>
  <c r="L516" i="61"/>
  <c r="O516" i="61" s="1"/>
  <c r="L563" i="61"/>
  <c r="O563" i="61" s="1"/>
  <c r="L553" i="61"/>
  <c r="O553" i="61" s="1"/>
  <c r="L509" i="61"/>
  <c r="O509" i="61" s="1"/>
  <c r="L506" i="61"/>
  <c r="O506" i="61" s="1"/>
  <c r="L507" i="61"/>
  <c r="O507" i="61" s="1"/>
  <c r="L510" i="61"/>
  <c r="O510" i="61" s="1"/>
  <c r="L103" i="61"/>
  <c r="O103" i="61" s="1"/>
  <c r="L319" i="61"/>
  <c r="O319" i="61" s="1"/>
  <c r="L1136" i="61"/>
  <c r="O1136" i="61" s="1"/>
  <c r="L979" i="61"/>
  <c r="O979" i="61" s="1"/>
  <c r="L185" i="61"/>
  <c r="O185" i="61" s="1"/>
  <c r="L8" i="61"/>
  <c r="O8" i="61" s="1"/>
  <c r="L206" i="61"/>
  <c r="O206" i="61" s="1"/>
  <c r="L107" i="61"/>
  <c r="O107" i="61" s="1"/>
  <c r="L687" i="61"/>
  <c r="O687" i="61" s="1"/>
  <c r="L114" i="61"/>
  <c r="O114" i="61" s="1"/>
  <c r="L65" i="61"/>
  <c r="O65" i="61" s="1"/>
  <c r="L61" i="61"/>
  <c r="O61" i="61" s="1"/>
  <c r="L321" i="61"/>
  <c r="O321" i="61" s="1"/>
  <c r="L197" i="61"/>
  <c r="O197" i="61" s="1"/>
  <c r="L1139" i="61"/>
  <c r="O1139" i="61" s="1"/>
  <c r="O891" i="61"/>
  <c r="O899" i="61"/>
  <c r="L329" i="61"/>
  <c r="O329" i="61" s="1"/>
  <c r="L408" i="61"/>
  <c r="O408" i="61" s="1"/>
  <c r="L288" i="61"/>
  <c r="O288" i="61" s="1"/>
  <c r="O750" i="61"/>
  <c r="O771" i="61"/>
  <c r="L401" i="61"/>
  <c r="O401" i="61" s="1"/>
  <c r="O505" i="61"/>
  <c r="O897" i="61"/>
  <c r="L565" i="61"/>
  <c r="O565" i="61" s="1"/>
  <c r="L605" i="61"/>
  <c r="O605" i="61" s="1"/>
  <c r="L610" i="61"/>
  <c r="O610" i="61" s="1"/>
  <c r="L608" i="61"/>
  <c r="O608" i="61" s="1"/>
  <c r="L552" i="61"/>
  <c r="O552" i="61" s="1"/>
  <c r="L513" i="61"/>
  <c r="O513" i="61" s="1"/>
  <c r="L518" i="61"/>
  <c r="O518" i="61" s="1"/>
  <c r="O1116" i="61"/>
  <c r="O1131" i="61"/>
  <c r="O905" i="61"/>
  <c r="O913" i="61"/>
  <c r="O904" i="61"/>
  <c r="O926" i="61"/>
  <c r="O761" i="61"/>
  <c r="O819" i="61"/>
  <c r="O928" i="61"/>
  <c r="L512" i="61"/>
  <c r="O512" i="61" s="1"/>
  <c r="L489" i="61"/>
  <c r="O489" i="61" s="1"/>
  <c r="L560" i="61"/>
  <c r="O560" i="61" s="1"/>
  <c r="L554" i="61"/>
  <c r="O554" i="61" s="1"/>
  <c r="L497" i="61"/>
  <c r="O497" i="61" s="1"/>
  <c r="L561" i="61"/>
  <c r="O561" i="61" s="1"/>
  <c r="L559" i="61"/>
  <c r="O559" i="61" s="1"/>
  <c r="O862" i="61"/>
  <c r="O864" i="61"/>
  <c r="M7" i="66"/>
  <c r="M13" i="66" s="1"/>
  <c r="M9" i="66"/>
  <c r="K15" i="66"/>
  <c r="K14" i="66"/>
  <c r="T10" i="61"/>
  <c r="O841" i="61"/>
  <c r="O2" i="61"/>
  <c r="O934" i="61"/>
  <c r="AC10" i="61"/>
  <c r="AC11" i="61"/>
  <c r="AP4" i="57"/>
  <c r="AQ4" i="57" s="1"/>
  <c r="O1132" i="61"/>
  <c r="O641" i="61"/>
  <c r="AP6" i="57"/>
  <c r="AQ6" i="57" s="1"/>
  <c r="AC12" i="61"/>
  <c r="AC9" i="61"/>
  <c r="Y44" i="53"/>
  <c r="AB5" i="53"/>
  <c r="AB44" i="53" s="1"/>
  <c r="Y44" i="54"/>
  <c r="AB5" i="54"/>
  <c r="W12" i="61" l="1"/>
  <c r="G5" i="68"/>
  <c r="G10" i="68"/>
  <c r="T12" i="61"/>
  <c r="T9" i="61"/>
  <c r="W11" i="61"/>
  <c r="W9" i="61"/>
  <c r="T11" i="61"/>
  <c r="W10" i="61"/>
  <c r="Z10" i="61" s="1"/>
  <c r="AH10" i="61" s="1"/>
  <c r="M15" i="66"/>
  <c r="M14" i="66"/>
  <c r="AP8" i="57"/>
  <c r="AQ8" i="57" s="1"/>
  <c r="AA639" i="57"/>
  <c r="AG639" i="57" s="1"/>
  <c r="AA631" i="57"/>
  <c r="AG631" i="57" s="1"/>
  <c r="AA601" i="57"/>
  <c r="AG601" i="57" s="1"/>
  <c r="AA593" i="57"/>
  <c r="AG593" i="57" s="1"/>
  <c r="AA549" i="57"/>
  <c r="AG549" i="57" s="1"/>
  <c r="AA541" i="57"/>
  <c r="AG541" i="57" s="1"/>
  <c r="AA174" i="58"/>
  <c r="AA170" i="57"/>
  <c r="AG170" i="57" s="1"/>
  <c r="AA140" i="58"/>
  <c r="AA136" i="58"/>
  <c r="AA128" i="58"/>
  <c r="AA79" i="58"/>
  <c r="AA73" i="58"/>
  <c r="AA165" i="57"/>
  <c r="AG165" i="57" s="1"/>
  <c r="AA636" i="57"/>
  <c r="AG636" i="57" s="1"/>
  <c r="AA598" i="57"/>
  <c r="AG598" i="57" s="1"/>
  <c r="AA590" i="57"/>
  <c r="AG590" i="57" s="1"/>
  <c r="AA546" i="57"/>
  <c r="AG546" i="57" s="1"/>
  <c r="AA538" i="57"/>
  <c r="AG538" i="57" s="1"/>
  <c r="AA176" i="58"/>
  <c r="AA173" i="58"/>
  <c r="AA169" i="57"/>
  <c r="AG169" i="57" s="1"/>
  <c r="AA167" i="58"/>
  <c r="AA131" i="58"/>
  <c r="AA123" i="58"/>
  <c r="AA82" i="58"/>
  <c r="AA76" i="58"/>
  <c r="AA21" i="58"/>
  <c r="AA19" i="58"/>
  <c r="AA14" i="58"/>
  <c r="AA633" i="57"/>
  <c r="AG633" i="57" s="1"/>
  <c r="AA603" i="57"/>
  <c r="AG603" i="57" s="1"/>
  <c r="AA595" i="57"/>
  <c r="AG595" i="57" s="1"/>
  <c r="AA587" i="57"/>
  <c r="AG587" i="57" s="1"/>
  <c r="AA543" i="57"/>
  <c r="AA535" i="57"/>
  <c r="AG535" i="57" s="1"/>
  <c r="AA175" i="57"/>
  <c r="AG175" i="57" s="1"/>
  <c r="AA172" i="58"/>
  <c r="AA168" i="57"/>
  <c r="AG168" i="57" s="1"/>
  <c r="AA166" i="58"/>
  <c r="AA137" i="58"/>
  <c r="AA134" i="58"/>
  <c r="AA126" i="58"/>
  <c r="AA85" i="58"/>
  <c r="AA71" i="58"/>
  <c r="AA24" i="58"/>
  <c r="AA17" i="58"/>
  <c r="AA86" i="58"/>
  <c r="AA77" i="58"/>
  <c r="AA640" i="57"/>
  <c r="AG640" i="57" s="1"/>
  <c r="AA586" i="57"/>
  <c r="AA542" i="57"/>
  <c r="AG542" i="57" s="1"/>
  <c r="AA172" i="57"/>
  <c r="AG172" i="57" s="1"/>
  <c r="AA20" i="58"/>
  <c r="AA638" i="57"/>
  <c r="AA630" i="57"/>
  <c r="AG630" i="57" s="1"/>
  <c r="AA600" i="57"/>
  <c r="AG600" i="57" s="1"/>
  <c r="AA592" i="57"/>
  <c r="AG592" i="57" s="1"/>
  <c r="AA548" i="57"/>
  <c r="AA540" i="57"/>
  <c r="AG540" i="57" s="1"/>
  <c r="AA174" i="57"/>
  <c r="AG174" i="57" s="1"/>
  <c r="AA171" i="58"/>
  <c r="AA164" i="57"/>
  <c r="AG164" i="57" s="1"/>
  <c r="AA129" i="58"/>
  <c r="AA80" i="58"/>
  <c r="AA74" i="58"/>
  <c r="AA589" i="57"/>
  <c r="AA545" i="57"/>
  <c r="AG545" i="57" s="1"/>
  <c r="AA167" i="57"/>
  <c r="AG167" i="57" s="1"/>
  <c r="AA138" i="58"/>
  <c r="AA124" i="58"/>
  <c r="AA15" i="58"/>
  <c r="AA534" i="57"/>
  <c r="AG534" i="57" s="1"/>
  <c r="AA127" i="58"/>
  <c r="AA72" i="58"/>
  <c r="AA637" i="57"/>
  <c r="AG637" i="57" s="1"/>
  <c r="AA629" i="57"/>
  <c r="AG629" i="57" s="1"/>
  <c r="AA599" i="57"/>
  <c r="AG599" i="57" s="1"/>
  <c r="AA591" i="57"/>
  <c r="AG591" i="57" s="1"/>
  <c r="AA547" i="57"/>
  <c r="AG547" i="57" s="1"/>
  <c r="AA539" i="57"/>
  <c r="AG539" i="57" s="1"/>
  <c r="AA171" i="57"/>
  <c r="AG171" i="57" s="1"/>
  <c r="AA169" i="58"/>
  <c r="AA139" i="58"/>
  <c r="AA130" i="58"/>
  <c r="AA81" i="58"/>
  <c r="AA78" i="58"/>
  <c r="AA75" i="58"/>
  <c r="AA635" i="57"/>
  <c r="AG635" i="57" s="1"/>
  <c r="AA597" i="57"/>
  <c r="AG597" i="57" s="1"/>
  <c r="AA537" i="57"/>
  <c r="AG537" i="57" s="1"/>
  <c r="AA173" i="57"/>
  <c r="AG173" i="57" s="1"/>
  <c r="AA132" i="58"/>
  <c r="AA83" i="58"/>
  <c r="AA594" i="57"/>
  <c r="AG594" i="57" s="1"/>
  <c r="AA170" i="58"/>
  <c r="AA135" i="58"/>
  <c r="AA18" i="58"/>
  <c r="AA634" i="57"/>
  <c r="AG634" i="57" s="1"/>
  <c r="AA596" i="57"/>
  <c r="AG596" i="57" s="1"/>
  <c r="AA588" i="57"/>
  <c r="AG588" i="57" s="1"/>
  <c r="AA544" i="57"/>
  <c r="AG544" i="57" s="1"/>
  <c r="AA536" i="57"/>
  <c r="AG536" i="57" s="1"/>
  <c r="AA175" i="58"/>
  <c r="AA168" i="58"/>
  <c r="AA133" i="58"/>
  <c r="AA125" i="58"/>
  <c r="AA84" i="58"/>
  <c r="AA23" i="58"/>
  <c r="AA16" i="58"/>
  <c r="AA177" i="58"/>
  <c r="AA22" i="58"/>
  <c r="AA632" i="57"/>
  <c r="AG632" i="57" s="1"/>
  <c r="AA602" i="57"/>
  <c r="AG602" i="57" s="1"/>
  <c r="AA166" i="57"/>
  <c r="AA25" i="58"/>
  <c r="AB44" i="54"/>
  <c r="AG638" i="57"/>
  <c r="AA487" i="57"/>
  <c r="AA479" i="57"/>
  <c r="AA471" i="57"/>
  <c r="AA463" i="57"/>
  <c r="AA388" i="57"/>
  <c r="AA380" i="57"/>
  <c r="AA372" i="57"/>
  <c r="AA312" i="57"/>
  <c r="AA304" i="57"/>
  <c r="AG548" i="57"/>
  <c r="AA485" i="57"/>
  <c r="AA477" i="57"/>
  <c r="AA469" i="57"/>
  <c r="AA461" i="57"/>
  <c r="AA386" i="57"/>
  <c r="AA378" i="57"/>
  <c r="AA370" i="57"/>
  <c r="AA310" i="57"/>
  <c r="AA302" i="57"/>
  <c r="AG589" i="57"/>
  <c r="AA484" i="57"/>
  <c r="AA476" i="57"/>
  <c r="AA468" i="57"/>
  <c r="AA460" i="57"/>
  <c r="AA482" i="57"/>
  <c r="AA474" i="57"/>
  <c r="AA466" i="57"/>
  <c r="AA458" i="57"/>
  <c r="AA486" i="57"/>
  <c r="AA470" i="57"/>
  <c r="AA390" i="57"/>
  <c r="AA379" i="57"/>
  <c r="AA368" i="57"/>
  <c r="AA308" i="57"/>
  <c r="AA270" i="57"/>
  <c r="AA262" i="57"/>
  <c r="AA254" i="57"/>
  <c r="AA246" i="57"/>
  <c r="AA146" i="57"/>
  <c r="AA138" i="57"/>
  <c r="AA130" i="57"/>
  <c r="AA98" i="57"/>
  <c r="AA90" i="57"/>
  <c r="AA74" i="57"/>
  <c r="AA66" i="57"/>
  <c r="AA50" i="57"/>
  <c r="AA42" i="57"/>
  <c r="AA34" i="57"/>
  <c r="AA255" i="57"/>
  <c r="AA75" i="57"/>
  <c r="AA43" i="57"/>
  <c r="AA483" i="57"/>
  <c r="AA467" i="57"/>
  <c r="AA389" i="57"/>
  <c r="AA377" i="57"/>
  <c r="AA367" i="57"/>
  <c r="AA307" i="57"/>
  <c r="AA277" i="57"/>
  <c r="AA269" i="57"/>
  <c r="AA261" i="57"/>
  <c r="AA253" i="57"/>
  <c r="AA245" i="57"/>
  <c r="AA145" i="57"/>
  <c r="AA137" i="57"/>
  <c r="AA129" i="57"/>
  <c r="AA97" i="57"/>
  <c r="AA73" i="57"/>
  <c r="AA49" i="57"/>
  <c r="AA41" i="57"/>
  <c r="AA33" i="57"/>
  <c r="AA472" i="57"/>
  <c r="AA263" i="57"/>
  <c r="AA139" i="57"/>
  <c r="AA99" i="57"/>
  <c r="AA51" i="57"/>
  <c r="AA481" i="57"/>
  <c r="AA465" i="57"/>
  <c r="AA387" i="57"/>
  <c r="AA376" i="57"/>
  <c r="AA306" i="57"/>
  <c r="AA276" i="57"/>
  <c r="AA268" i="57"/>
  <c r="AA260" i="57"/>
  <c r="AA252" i="57"/>
  <c r="AA144" i="57"/>
  <c r="AA136" i="57"/>
  <c r="AA128" i="57"/>
  <c r="AA96" i="57"/>
  <c r="AA72" i="57"/>
  <c r="AA48" i="57"/>
  <c r="AA40" i="57"/>
  <c r="AA32" i="57"/>
  <c r="AA391" i="57"/>
  <c r="AA147" i="57"/>
  <c r="AA91" i="57"/>
  <c r="AA35" i="57"/>
  <c r="AG543" i="57"/>
  <c r="AA480" i="57"/>
  <c r="AA464" i="57"/>
  <c r="AA385" i="57"/>
  <c r="AA375" i="57"/>
  <c r="AA305" i="57"/>
  <c r="AA275" i="57"/>
  <c r="AA267" i="57"/>
  <c r="AA259" i="57"/>
  <c r="AA251" i="57"/>
  <c r="AA151" i="57"/>
  <c r="AA143" i="57"/>
  <c r="AA135" i="57"/>
  <c r="AA127" i="57"/>
  <c r="AA95" i="57"/>
  <c r="AA71" i="57"/>
  <c r="AA47" i="57"/>
  <c r="AA39" i="57"/>
  <c r="AA31" i="57"/>
  <c r="AA488" i="57"/>
  <c r="AA369" i="57"/>
  <c r="AA271" i="57"/>
  <c r="AA131" i="57"/>
  <c r="AA478" i="57"/>
  <c r="AA462" i="57"/>
  <c r="AA384" i="57"/>
  <c r="AA374" i="57"/>
  <c r="AA303" i="57"/>
  <c r="AA274" i="57"/>
  <c r="AA266" i="57"/>
  <c r="AA258" i="57"/>
  <c r="AA250" i="57"/>
  <c r="AG166" i="57"/>
  <c r="AA150" i="57"/>
  <c r="AA142" i="57"/>
  <c r="AA134" i="57"/>
  <c r="AA94" i="57"/>
  <c r="AA70" i="57"/>
  <c r="AA46" i="57"/>
  <c r="AA38" i="57"/>
  <c r="AA30" i="57"/>
  <c r="AA475" i="57"/>
  <c r="AA459" i="57"/>
  <c r="AA383" i="57"/>
  <c r="AA373" i="57"/>
  <c r="AA313" i="57"/>
  <c r="AA273" i="57"/>
  <c r="AA265" i="57"/>
  <c r="AA257" i="57"/>
  <c r="AA249" i="57"/>
  <c r="AA149" i="57"/>
  <c r="AA141" i="57"/>
  <c r="AA133" i="57"/>
  <c r="AA101" i="57"/>
  <c r="AA93" i="57"/>
  <c r="AA77" i="57"/>
  <c r="AA69" i="57"/>
  <c r="AA53" i="57"/>
  <c r="AA45" i="57"/>
  <c r="AA37" i="57"/>
  <c r="AA29" i="57"/>
  <c r="AA381" i="57"/>
  <c r="AG586" i="57"/>
  <c r="AA473" i="57"/>
  <c r="AA382" i="57"/>
  <c r="AA371" i="57"/>
  <c r="AA311" i="57"/>
  <c r="AA272" i="57"/>
  <c r="AA264" i="57"/>
  <c r="AA256" i="57"/>
  <c r="AA248" i="57"/>
  <c r="AA148" i="57"/>
  <c r="AA140" i="57"/>
  <c r="AA132" i="57"/>
  <c r="AA100" i="57"/>
  <c r="AA92" i="57"/>
  <c r="AA76" i="57"/>
  <c r="AA68" i="57"/>
  <c r="AA52" i="57"/>
  <c r="AA44" i="57"/>
  <c r="AA36" i="57"/>
  <c r="AA28" i="57"/>
  <c r="AA309" i="57"/>
  <c r="AA247" i="57"/>
  <c r="AA67" i="57"/>
  <c r="Z9" i="61" l="1"/>
  <c r="AH9" i="61" s="1"/>
  <c r="Z12" i="61"/>
  <c r="AH12" i="61" s="1"/>
  <c r="Z11" i="61"/>
  <c r="AH11" i="61" s="1"/>
  <c r="AG30" i="57"/>
  <c r="L30" i="61"/>
  <c r="O30" i="61" s="1"/>
  <c r="AG371" i="57"/>
  <c r="L371" i="61"/>
  <c r="O371" i="61" s="1"/>
  <c r="AG131" i="57"/>
  <c r="L131" i="61"/>
  <c r="O131" i="61" s="1"/>
  <c r="AG48" i="57"/>
  <c r="L48" i="61"/>
  <c r="O48" i="61" s="1"/>
  <c r="AG467" i="57"/>
  <c r="L467" i="61"/>
  <c r="O467" i="61" s="1"/>
  <c r="AG470" i="57"/>
  <c r="L470" i="61"/>
  <c r="O470" i="61" s="1"/>
  <c r="AG386" i="57"/>
  <c r="L386" i="61"/>
  <c r="O386" i="61" s="1"/>
  <c r="AG67" i="57"/>
  <c r="L67" i="61"/>
  <c r="O67" i="61" s="1"/>
  <c r="AG76" i="57"/>
  <c r="L76" i="61"/>
  <c r="O76" i="61" s="1"/>
  <c r="AG248" i="57"/>
  <c r="L248" i="61"/>
  <c r="O248" i="61" s="1"/>
  <c r="AG77" i="57"/>
  <c r="L77" i="61"/>
  <c r="O77" i="61" s="1"/>
  <c r="AG249" i="57"/>
  <c r="L249" i="61"/>
  <c r="O249" i="61" s="1"/>
  <c r="AG475" i="57"/>
  <c r="L475" i="61"/>
  <c r="O475" i="61" s="1"/>
  <c r="AG134" i="57"/>
  <c r="L134" i="61"/>
  <c r="O134" i="61" s="1"/>
  <c r="AG274" i="57"/>
  <c r="L274" i="61"/>
  <c r="O274" i="61" s="1"/>
  <c r="AG271" i="57"/>
  <c r="L271" i="61"/>
  <c r="O271" i="61" s="1"/>
  <c r="AG127" i="57"/>
  <c r="L127" i="61"/>
  <c r="O127" i="61" s="1"/>
  <c r="AG267" i="57"/>
  <c r="L267" i="61"/>
  <c r="O267" i="61" s="1"/>
  <c r="AG72" i="57"/>
  <c r="L72" i="61"/>
  <c r="O72" i="61" s="1"/>
  <c r="AG268" i="57"/>
  <c r="L268" i="61"/>
  <c r="O268" i="61" s="1"/>
  <c r="AG51" i="57"/>
  <c r="L51" i="61"/>
  <c r="O51" i="61" s="1"/>
  <c r="AG49" i="57"/>
  <c r="L49" i="61"/>
  <c r="O49" i="61" s="1"/>
  <c r="AG261" i="57"/>
  <c r="L261" i="61"/>
  <c r="O261" i="61" s="1"/>
  <c r="AG483" i="57"/>
  <c r="L483" i="61"/>
  <c r="O483" i="61" s="1"/>
  <c r="AG66" i="57"/>
  <c r="L66" i="61"/>
  <c r="O66" i="61" s="1"/>
  <c r="AG254" i="57"/>
  <c r="L254" i="61"/>
  <c r="O254" i="61" s="1"/>
  <c r="AG486" i="57"/>
  <c r="L486" i="61"/>
  <c r="O486" i="61" s="1"/>
  <c r="AG461" i="57"/>
  <c r="L461" i="61"/>
  <c r="O461" i="61" s="1"/>
  <c r="AG463" i="57"/>
  <c r="L463" i="61"/>
  <c r="O463" i="61" s="1"/>
  <c r="AG28" i="57"/>
  <c r="L28" i="61"/>
  <c r="AG69" i="57"/>
  <c r="L69" i="61"/>
  <c r="O69" i="61" s="1"/>
  <c r="AG94" i="57"/>
  <c r="L94" i="61"/>
  <c r="O94" i="61" s="1"/>
  <c r="AG259" i="57"/>
  <c r="L259" i="61"/>
  <c r="O259" i="61" s="1"/>
  <c r="AG260" i="57"/>
  <c r="L260" i="61"/>
  <c r="O260" i="61" s="1"/>
  <c r="AG253" i="57"/>
  <c r="L253" i="61"/>
  <c r="O253" i="61" s="1"/>
  <c r="AG246" i="57"/>
  <c r="L246" i="61"/>
  <c r="O246" i="61" s="1"/>
  <c r="AG247" i="57"/>
  <c r="L247" i="61"/>
  <c r="O247" i="61" s="1"/>
  <c r="AG92" i="57"/>
  <c r="L92" i="61"/>
  <c r="O92" i="61" s="1"/>
  <c r="AG256" i="57"/>
  <c r="L256" i="61"/>
  <c r="O256" i="61" s="1"/>
  <c r="AG93" i="57"/>
  <c r="L93" i="61"/>
  <c r="O93" i="61" s="1"/>
  <c r="AG257" i="57"/>
  <c r="L257" i="61"/>
  <c r="O257" i="61" s="1"/>
  <c r="AG142" i="57"/>
  <c r="L142" i="61"/>
  <c r="O142" i="61" s="1"/>
  <c r="AG303" i="57"/>
  <c r="L303" i="61"/>
  <c r="O303" i="61" s="1"/>
  <c r="AG369" i="57"/>
  <c r="L369" i="61"/>
  <c r="O369" i="61" s="1"/>
  <c r="AG135" i="57"/>
  <c r="L135" i="61"/>
  <c r="O135" i="61" s="1"/>
  <c r="AG275" i="57"/>
  <c r="L275" i="61"/>
  <c r="O275" i="61" s="1"/>
  <c r="AG35" i="57"/>
  <c r="L35" i="61"/>
  <c r="O35" i="61" s="1"/>
  <c r="AG96" i="57"/>
  <c r="L96" i="61"/>
  <c r="O96" i="61" s="1"/>
  <c r="AG276" i="57"/>
  <c r="L276" i="61"/>
  <c r="O276" i="61" s="1"/>
  <c r="AG99" i="57"/>
  <c r="L99" i="61"/>
  <c r="O99" i="61" s="1"/>
  <c r="AG73" i="57"/>
  <c r="L73" i="61"/>
  <c r="O73" i="61" s="1"/>
  <c r="AG269" i="57"/>
  <c r="L269" i="61"/>
  <c r="O269" i="61" s="1"/>
  <c r="AG43" i="57"/>
  <c r="L43" i="61"/>
  <c r="O43" i="61" s="1"/>
  <c r="AG74" i="57"/>
  <c r="L74" i="61"/>
  <c r="O74" i="61" s="1"/>
  <c r="AG262" i="57"/>
  <c r="L262" i="61"/>
  <c r="O262" i="61" s="1"/>
  <c r="AG469" i="57"/>
  <c r="L469" i="61"/>
  <c r="O469" i="61" s="1"/>
  <c r="AG471" i="57"/>
  <c r="L471" i="61"/>
  <c r="O471" i="61" s="1"/>
  <c r="AG29" i="57"/>
  <c r="L29" i="61"/>
  <c r="O29" i="61" s="1"/>
  <c r="AG148" i="57"/>
  <c r="L148" i="61"/>
  <c r="O148" i="61" s="1"/>
  <c r="AG45" i="57"/>
  <c r="L45" i="61"/>
  <c r="O45" i="61" s="1"/>
  <c r="AG473" i="57"/>
  <c r="L473" i="61"/>
  <c r="O473" i="61" s="1"/>
  <c r="AG459" i="57"/>
  <c r="L459" i="61"/>
  <c r="O459" i="61" s="1"/>
  <c r="AG95" i="57"/>
  <c r="L95" i="61"/>
  <c r="O95" i="61" s="1"/>
  <c r="AG50" i="57"/>
  <c r="L50" i="61"/>
  <c r="O50" i="61" s="1"/>
  <c r="AG484" i="57"/>
  <c r="L484" i="61"/>
  <c r="O484" i="61" s="1"/>
  <c r="AG388" i="57"/>
  <c r="L388" i="61"/>
  <c r="O388" i="61" s="1"/>
  <c r="AG309" i="57"/>
  <c r="L309" i="61"/>
  <c r="O309" i="61" s="1"/>
  <c r="AG100" i="57"/>
  <c r="L100" i="61"/>
  <c r="O100" i="61" s="1"/>
  <c r="AG264" i="57"/>
  <c r="L264" i="61"/>
  <c r="O264" i="61" s="1"/>
  <c r="AG381" i="57"/>
  <c r="L381" i="61"/>
  <c r="O381" i="61" s="1"/>
  <c r="AG101" i="57"/>
  <c r="L101" i="61"/>
  <c r="O101" i="61" s="1"/>
  <c r="AG265" i="57"/>
  <c r="L265" i="61"/>
  <c r="O265" i="61" s="1"/>
  <c r="AG150" i="57"/>
  <c r="L150" i="61"/>
  <c r="O150" i="61" s="1"/>
  <c r="AG374" i="57"/>
  <c r="L374" i="61"/>
  <c r="O374" i="61" s="1"/>
  <c r="AG488" i="57"/>
  <c r="L638" i="61"/>
  <c r="O638" i="61" s="1"/>
  <c r="L630" i="61"/>
  <c r="O630" i="61" s="1"/>
  <c r="L598" i="61"/>
  <c r="O598" i="61" s="1"/>
  <c r="L590" i="61"/>
  <c r="O590" i="61" s="1"/>
  <c r="L542" i="61"/>
  <c r="O542" i="61" s="1"/>
  <c r="L534" i="61"/>
  <c r="O534" i="61" s="1"/>
  <c r="L639" i="61"/>
  <c r="O639" i="61" s="1"/>
  <c r="L636" i="61"/>
  <c r="O636" i="61" s="1"/>
  <c r="L593" i="61"/>
  <c r="O593" i="61" s="1"/>
  <c r="L587" i="61"/>
  <c r="O587" i="61" s="1"/>
  <c r="L635" i="61"/>
  <c r="O635" i="61" s="1"/>
  <c r="L632" i="61"/>
  <c r="O632" i="61" s="1"/>
  <c r="L629" i="61"/>
  <c r="O629" i="61" s="1"/>
  <c r="L586" i="61"/>
  <c r="O586" i="61" s="1"/>
  <c r="L549" i="61"/>
  <c r="O549" i="61" s="1"/>
  <c r="L603" i="61"/>
  <c r="O603" i="61" s="1"/>
  <c r="L600" i="61"/>
  <c r="O600" i="61" s="1"/>
  <c r="L597" i="61"/>
  <c r="O597" i="61" s="1"/>
  <c r="L546" i="61"/>
  <c r="O546" i="61" s="1"/>
  <c r="L543" i="61"/>
  <c r="O543" i="61" s="1"/>
  <c r="L540" i="61"/>
  <c r="O540" i="61" s="1"/>
  <c r="L640" i="61"/>
  <c r="O640" i="61" s="1"/>
  <c r="L637" i="61"/>
  <c r="O637" i="61" s="1"/>
  <c r="L594" i="61"/>
  <c r="O594" i="61" s="1"/>
  <c r="L591" i="61"/>
  <c r="O591" i="61" s="1"/>
  <c r="L588" i="61"/>
  <c r="O588" i="61" s="1"/>
  <c r="L601" i="61"/>
  <c r="O601" i="61" s="1"/>
  <c r="L596" i="61"/>
  <c r="O596" i="61" s="1"/>
  <c r="L547" i="61"/>
  <c r="O547" i="61" s="1"/>
  <c r="L633" i="61"/>
  <c r="O633" i="61" s="1"/>
  <c r="L595" i="61"/>
  <c r="O595" i="61" s="1"/>
  <c r="L589" i="61"/>
  <c r="O589" i="61" s="1"/>
  <c r="L631" i="61"/>
  <c r="O631" i="61" s="1"/>
  <c r="L548" i="61"/>
  <c r="O548" i="61" s="1"/>
  <c r="L545" i="61"/>
  <c r="O545" i="61" s="1"/>
  <c r="L538" i="61"/>
  <c r="O538" i="61" s="1"/>
  <c r="L599" i="61"/>
  <c r="O599" i="61" s="1"/>
  <c r="L592" i="61"/>
  <c r="O592" i="61" s="1"/>
  <c r="L536" i="61"/>
  <c r="O536" i="61" s="1"/>
  <c r="L634" i="61"/>
  <c r="O634" i="61" s="1"/>
  <c r="L539" i="61"/>
  <c r="O539" i="61" s="1"/>
  <c r="L602" i="61"/>
  <c r="O602" i="61" s="1"/>
  <c r="L544" i="61"/>
  <c r="O544" i="61" s="1"/>
  <c r="L537" i="61"/>
  <c r="O537" i="61" s="1"/>
  <c r="L535" i="61"/>
  <c r="O535" i="61" s="1"/>
  <c r="L541" i="61"/>
  <c r="O541" i="61" s="1"/>
  <c r="L488" i="61"/>
  <c r="O488" i="61" s="1"/>
  <c r="AG143" i="57"/>
  <c r="L143" i="61"/>
  <c r="O143" i="61" s="1"/>
  <c r="AG305" i="57"/>
  <c r="L305" i="61"/>
  <c r="O305" i="61" s="1"/>
  <c r="AG91" i="57"/>
  <c r="L91" i="61"/>
  <c r="O91" i="61" s="1"/>
  <c r="AG128" i="57"/>
  <c r="L128" i="61"/>
  <c r="O128" i="61" s="1"/>
  <c r="AG306" i="57"/>
  <c r="L306" i="61"/>
  <c r="O306" i="61" s="1"/>
  <c r="AG139" i="57"/>
  <c r="L139" i="61"/>
  <c r="O139" i="61" s="1"/>
  <c r="AG97" i="57"/>
  <c r="L97" i="61"/>
  <c r="O97" i="61" s="1"/>
  <c r="AG277" i="57"/>
  <c r="L277" i="61"/>
  <c r="O277" i="61" s="1"/>
  <c r="AG75" i="57"/>
  <c r="L75" i="61"/>
  <c r="O75" i="61" s="1"/>
  <c r="AG90" i="57"/>
  <c r="L90" i="61"/>
  <c r="O90" i="61" s="1"/>
  <c r="AG270" i="57"/>
  <c r="L270" i="61"/>
  <c r="O270" i="61" s="1"/>
  <c r="AG477" i="57"/>
  <c r="L477" i="61"/>
  <c r="O477" i="61" s="1"/>
  <c r="AG479" i="57"/>
  <c r="L479" i="61"/>
  <c r="O479" i="61" s="1"/>
  <c r="AG272" i="57"/>
  <c r="L272" i="61"/>
  <c r="O272" i="61" s="1"/>
  <c r="AG384" i="57"/>
  <c r="L384" i="61"/>
  <c r="O384" i="61" s="1"/>
  <c r="AG151" i="57"/>
  <c r="L173" i="61"/>
  <c r="O173" i="61" s="1"/>
  <c r="L165" i="61"/>
  <c r="O165" i="61" s="1"/>
  <c r="L175" i="61"/>
  <c r="O175" i="61" s="1"/>
  <c r="L172" i="61"/>
  <c r="O172" i="61" s="1"/>
  <c r="L169" i="61"/>
  <c r="O169" i="61" s="1"/>
  <c r="L166" i="61"/>
  <c r="O166" i="61" s="1"/>
  <c r="L168" i="61"/>
  <c r="O168" i="61" s="1"/>
  <c r="L170" i="61"/>
  <c r="O170" i="61" s="1"/>
  <c r="L167" i="61"/>
  <c r="O167" i="61" s="1"/>
  <c r="L164" i="61"/>
  <c r="O164" i="61" s="1"/>
  <c r="L171" i="61"/>
  <c r="O171" i="61" s="1"/>
  <c r="L174" i="61"/>
  <c r="O174" i="61" s="1"/>
  <c r="L151" i="61"/>
  <c r="O151" i="61" s="1"/>
  <c r="AG147" i="57"/>
  <c r="L147" i="61"/>
  <c r="O147" i="61" s="1"/>
  <c r="AG376" i="57"/>
  <c r="L376" i="61"/>
  <c r="O376" i="61" s="1"/>
  <c r="AG129" i="57"/>
  <c r="L129" i="61"/>
  <c r="O129" i="61" s="1"/>
  <c r="AG255" i="57"/>
  <c r="L255" i="61"/>
  <c r="O255" i="61" s="1"/>
  <c r="AG308" i="57"/>
  <c r="L308" i="61"/>
  <c r="O308" i="61" s="1"/>
  <c r="AG302" i="57"/>
  <c r="L302" i="61"/>
  <c r="O302" i="61" s="1"/>
  <c r="AG304" i="57"/>
  <c r="L304" i="61"/>
  <c r="O304" i="61" s="1"/>
  <c r="AG273" i="57"/>
  <c r="L273" i="61"/>
  <c r="O273" i="61" s="1"/>
  <c r="AG31" i="57"/>
  <c r="L31" i="61"/>
  <c r="O31" i="61" s="1"/>
  <c r="AG375" i="57"/>
  <c r="L375" i="61"/>
  <c r="O375" i="61" s="1"/>
  <c r="AG136" i="57"/>
  <c r="L136" i="61"/>
  <c r="O136" i="61" s="1"/>
  <c r="AG263" i="57"/>
  <c r="L263" i="61"/>
  <c r="O263" i="61" s="1"/>
  <c r="AG307" i="57"/>
  <c r="L307" i="61"/>
  <c r="O307" i="61" s="1"/>
  <c r="AG98" i="57"/>
  <c r="L98" i="61"/>
  <c r="O98" i="61" s="1"/>
  <c r="AG458" i="57"/>
  <c r="L458" i="61"/>
  <c r="O458" i="61" s="1"/>
  <c r="AG485" i="57"/>
  <c r="L485" i="61"/>
  <c r="O485" i="61" s="1"/>
  <c r="AG487" i="57"/>
  <c r="L487" i="61"/>
  <c r="O487" i="61" s="1"/>
  <c r="AG36" i="57"/>
  <c r="L36" i="61"/>
  <c r="O36" i="61" s="1"/>
  <c r="AG140" i="57"/>
  <c r="L140" i="61"/>
  <c r="O140" i="61" s="1"/>
  <c r="AG311" i="57"/>
  <c r="L311" i="61"/>
  <c r="O311" i="61" s="1"/>
  <c r="AG37" i="57"/>
  <c r="L37" i="61"/>
  <c r="O37" i="61" s="1"/>
  <c r="AG141" i="57"/>
  <c r="L141" i="61"/>
  <c r="O141" i="61" s="1"/>
  <c r="AG313" i="57"/>
  <c r="L313" i="61"/>
  <c r="O313" i="61" s="1"/>
  <c r="AG38" i="57"/>
  <c r="L38" i="61"/>
  <c r="O38" i="61" s="1"/>
  <c r="AG462" i="57"/>
  <c r="L462" i="61"/>
  <c r="O462" i="61" s="1"/>
  <c r="AG39" i="57"/>
  <c r="L39" i="61"/>
  <c r="O39" i="61" s="1"/>
  <c r="AG385" i="57"/>
  <c r="L385" i="61"/>
  <c r="O385" i="61" s="1"/>
  <c r="AG391" i="57"/>
  <c r="L391" i="61"/>
  <c r="O391" i="61" s="1"/>
  <c r="AG144" i="57"/>
  <c r="L144" i="61"/>
  <c r="O144" i="61" s="1"/>
  <c r="AG387" i="57"/>
  <c r="L387" i="61"/>
  <c r="O387" i="61" s="1"/>
  <c r="AG472" i="57"/>
  <c r="L472" i="61"/>
  <c r="O472" i="61" s="1"/>
  <c r="AG137" i="57"/>
  <c r="L137" i="61"/>
  <c r="O137" i="61" s="1"/>
  <c r="AG367" i="57"/>
  <c r="L367" i="61"/>
  <c r="O367" i="61" s="1"/>
  <c r="AG130" i="57"/>
  <c r="L130" i="61"/>
  <c r="O130" i="61" s="1"/>
  <c r="AG368" i="57"/>
  <c r="L368" i="61"/>
  <c r="O368" i="61" s="1"/>
  <c r="AG466" i="57"/>
  <c r="L466" i="61"/>
  <c r="O466" i="61" s="1"/>
  <c r="AG460" i="57"/>
  <c r="L460" i="61"/>
  <c r="O460" i="61" s="1"/>
  <c r="AG310" i="57"/>
  <c r="L310" i="61"/>
  <c r="O310" i="61" s="1"/>
  <c r="AG312" i="57"/>
  <c r="L312" i="61"/>
  <c r="O312" i="61" s="1"/>
  <c r="AG132" i="57"/>
  <c r="L132" i="61"/>
  <c r="O132" i="61" s="1"/>
  <c r="AG44" i="57"/>
  <c r="L44" i="61"/>
  <c r="O44" i="61" s="1"/>
  <c r="AG149" i="57"/>
  <c r="L149" i="61"/>
  <c r="O149" i="61" s="1"/>
  <c r="AG46" i="57"/>
  <c r="L46" i="61"/>
  <c r="O46" i="61" s="1"/>
  <c r="AG478" i="57"/>
  <c r="L478" i="61"/>
  <c r="O478" i="61" s="1"/>
  <c r="AG464" i="57"/>
  <c r="L464" i="61"/>
  <c r="O464" i="61" s="1"/>
  <c r="AG145" i="57"/>
  <c r="L145" i="61"/>
  <c r="O145" i="61" s="1"/>
  <c r="AG34" i="57"/>
  <c r="L34" i="61"/>
  <c r="O34" i="61" s="1"/>
  <c r="AG138" i="57"/>
  <c r="L138" i="61"/>
  <c r="O138" i="61" s="1"/>
  <c r="AG379" i="57"/>
  <c r="L379" i="61"/>
  <c r="O379" i="61" s="1"/>
  <c r="AG474" i="57"/>
  <c r="L474" i="61"/>
  <c r="O474" i="61" s="1"/>
  <c r="AG468" i="57"/>
  <c r="L468" i="61"/>
  <c r="O468" i="61" s="1"/>
  <c r="AG370" i="57"/>
  <c r="L370" i="61"/>
  <c r="O370" i="61" s="1"/>
  <c r="AG372" i="57"/>
  <c r="L372" i="61"/>
  <c r="O372" i="61" s="1"/>
  <c r="AG133" i="57"/>
  <c r="L133" i="61"/>
  <c r="O133" i="61" s="1"/>
  <c r="AG373" i="57"/>
  <c r="L373" i="61"/>
  <c r="O373" i="61" s="1"/>
  <c r="AG250" i="57"/>
  <c r="L250" i="61"/>
  <c r="O250" i="61" s="1"/>
  <c r="AG47" i="57"/>
  <c r="L47" i="61"/>
  <c r="O47" i="61" s="1"/>
  <c r="AG32" i="57"/>
  <c r="L32" i="61"/>
  <c r="O32" i="61" s="1"/>
  <c r="AG465" i="57"/>
  <c r="L465" i="61"/>
  <c r="O465" i="61" s="1"/>
  <c r="AG377" i="57"/>
  <c r="L377" i="61"/>
  <c r="O377" i="61" s="1"/>
  <c r="AG52" i="57"/>
  <c r="L52" i="61"/>
  <c r="O52" i="61" s="1"/>
  <c r="AG382" i="57"/>
  <c r="L382" i="61"/>
  <c r="O382" i="61" s="1"/>
  <c r="AG53" i="57"/>
  <c r="L53" i="61"/>
  <c r="O53" i="61" s="1"/>
  <c r="AG383" i="57"/>
  <c r="L383" i="61"/>
  <c r="O383" i="61" s="1"/>
  <c r="AG70" i="57"/>
  <c r="L70" i="61"/>
  <c r="O70" i="61" s="1"/>
  <c r="AG258" i="57"/>
  <c r="L258" i="61"/>
  <c r="O258" i="61" s="1"/>
  <c r="AG71" i="57"/>
  <c r="L71" i="61"/>
  <c r="O71" i="61" s="1"/>
  <c r="AG251" i="57"/>
  <c r="L251" i="61"/>
  <c r="O251" i="61" s="1"/>
  <c r="AG480" i="57"/>
  <c r="L480" i="61"/>
  <c r="O480" i="61" s="1"/>
  <c r="AG40" i="57"/>
  <c r="L40" i="61"/>
  <c r="O40" i="61" s="1"/>
  <c r="AG252" i="57"/>
  <c r="L252" i="61"/>
  <c r="O252" i="61" s="1"/>
  <c r="AG481" i="57"/>
  <c r="L481" i="61"/>
  <c r="O481" i="61" s="1"/>
  <c r="AG33" i="57"/>
  <c r="L33" i="61"/>
  <c r="O33" i="61" s="1"/>
  <c r="AG245" i="57"/>
  <c r="L245" i="61"/>
  <c r="O245" i="61" s="1"/>
  <c r="AG389" i="57"/>
  <c r="L389" i="61"/>
  <c r="O389" i="61" s="1"/>
  <c r="AG42" i="57"/>
  <c r="L42" i="61"/>
  <c r="O42" i="61" s="1"/>
  <c r="AG146" i="57"/>
  <c r="L146" i="61"/>
  <c r="O146" i="61" s="1"/>
  <c r="AG390" i="57"/>
  <c r="L390" i="61"/>
  <c r="O390" i="61" s="1"/>
  <c r="AG482" i="57"/>
  <c r="L482" i="61"/>
  <c r="O482" i="61" s="1"/>
  <c r="AG476" i="57"/>
  <c r="L476" i="61"/>
  <c r="O476" i="61" s="1"/>
  <c r="AG378" i="57"/>
  <c r="L378" i="61"/>
  <c r="O378" i="61" s="1"/>
  <c r="AG380" i="57"/>
  <c r="L380" i="61"/>
  <c r="O380" i="61" s="1"/>
  <c r="AG68" i="57"/>
  <c r="L68" i="61"/>
  <c r="O68" i="61" s="1"/>
  <c r="AG266" i="57"/>
  <c r="L266" i="61"/>
  <c r="O266" i="61" s="1"/>
  <c r="AG41" i="57"/>
  <c r="L41" i="61"/>
  <c r="O41" i="61" s="1"/>
  <c r="AP2" i="57" l="1"/>
  <c r="AQ2" i="57" s="1"/>
  <c r="AC7" i="61"/>
  <c r="O28" i="61"/>
  <c r="W7" i="61" s="1"/>
  <c r="T7" i="61"/>
  <c r="Z7" i="61" l="1"/>
  <c r="AH7" i="61" s="1"/>
  <c r="AP7" i="57"/>
  <c r="AP9" i="57" l="1"/>
  <c r="AQ9" i="57" s="1"/>
  <c r="AQ7" i="57"/>
  <c r="J2" i="61"/>
  <c r="K2" i="61"/>
  <c r="M2" i="61"/>
  <c r="N2" i="61"/>
  <c r="J3" i="61"/>
  <c r="K3" i="61"/>
  <c r="M3" i="61"/>
  <c r="N3" i="61"/>
  <c r="J4" i="61"/>
  <c r="K4" i="61"/>
  <c r="M4" i="61"/>
  <c r="N4" i="61"/>
  <c r="J5" i="61"/>
  <c r="K5" i="61"/>
  <c r="M5" i="61"/>
  <c r="N5" i="61"/>
  <c r="J6" i="61"/>
  <c r="K6" i="61"/>
  <c r="M6" i="61"/>
  <c r="N6" i="61"/>
  <c r="J7" i="61"/>
  <c r="K7" i="61"/>
  <c r="M7" i="61"/>
  <c r="N7" i="61"/>
  <c r="R7" i="61"/>
  <c r="S7" i="61"/>
  <c r="U7" i="61"/>
  <c r="V7" i="61"/>
  <c r="X7" i="61"/>
  <c r="Y7" i="61"/>
  <c r="AA7" i="61"/>
  <c r="AB7" i="61"/>
  <c r="AD7" i="61"/>
  <c r="AE7" i="61"/>
  <c r="AF7" i="61"/>
  <c r="AG7" i="61"/>
  <c r="AI7" i="61"/>
  <c r="AJ7" i="61"/>
  <c r="J8" i="61"/>
  <c r="K8" i="61"/>
  <c r="M8" i="61"/>
  <c r="N8" i="61"/>
  <c r="J9" i="61"/>
  <c r="K9" i="61"/>
  <c r="M9" i="61"/>
  <c r="N9" i="61"/>
  <c r="S9" i="61"/>
  <c r="V9" i="61"/>
  <c r="Y9" i="61"/>
  <c r="AB9" i="61"/>
  <c r="AE9" i="61"/>
  <c r="AG9" i="61"/>
  <c r="AJ9" i="61"/>
  <c r="J10" i="61"/>
  <c r="K10" i="61"/>
  <c r="M10" i="61"/>
  <c r="N10" i="61"/>
  <c r="S10" i="61"/>
  <c r="V10" i="61"/>
  <c r="Y10" i="61"/>
  <c r="AB10" i="61"/>
  <c r="AE10" i="61"/>
  <c r="AG10" i="61"/>
  <c r="AJ10" i="61"/>
  <c r="J11" i="61"/>
  <c r="K11" i="61"/>
  <c r="M11" i="61"/>
  <c r="N11" i="61"/>
  <c r="S11" i="61"/>
  <c r="V11" i="61"/>
  <c r="Y11" i="61"/>
  <c r="AB11" i="61"/>
  <c r="AE11" i="61"/>
  <c r="AG11" i="61"/>
  <c r="AJ11" i="61"/>
  <c r="J12" i="61"/>
  <c r="K12" i="61"/>
  <c r="M12" i="61"/>
  <c r="N12" i="61"/>
  <c r="S12" i="61"/>
  <c r="V12" i="61"/>
  <c r="Y12" i="61"/>
  <c r="AB12" i="61"/>
  <c r="AG12" i="61"/>
  <c r="AJ12" i="61"/>
  <c r="J13" i="61"/>
  <c r="K13" i="61"/>
  <c r="M13" i="61"/>
  <c r="N13" i="61"/>
  <c r="J14" i="61"/>
  <c r="K14" i="61"/>
  <c r="M14" i="61"/>
  <c r="N14" i="61"/>
  <c r="J15" i="61"/>
  <c r="K15" i="61"/>
  <c r="M15" i="61"/>
  <c r="N15" i="61"/>
  <c r="J16" i="61"/>
  <c r="K16" i="61"/>
  <c r="M16" i="61"/>
  <c r="N16" i="61"/>
  <c r="J17" i="61"/>
  <c r="K17" i="61"/>
  <c r="M17" i="61"/>
  <c r="N17" i="61"/>
  <c r="J18" i="61"/>
  <c r="K18" i="61"/>
  <c r="M18" i="61"/>
  <c r="N18" i="61"/>
  <c r="J19" i="61"/>
  <c r="K19" i="61"/>
  <c r="M19" i="61"/>
  <c r="N19" i="61"/>
  <c r="J20" i="61"/>
  <c r="K20" i="61"/>
  <c r="M20" i="61"/>
  <c r="N20" i="61"/>
  <c r="J21" i="61"/>
  <c r="K21" i="61"/>
  <c r="M21" i="61"/>
  <c r="N21" i="61"/>
  <c r="J22" i="61"/>
  <c r="K22" i="61"/>
  <c r="M22" i="61"/>
  <c r="N22" i="61"/>
  <c r="J23" i="61"/>
  <c r="K23" i="61"/>
  <c r="M23" i="61"/>
  <c r="N23" i="61"/>
  <c r="J24" i="61"/>
  <c r="K24" i="61"/>
  <c r="M24" i="61"/>
  <c r="N24" i="61"/>
  <c r="J25" i="61"/>
  <c r="K25" i="61"/>
  <c r="M25" i="61"/>
  <c r="N25" i="61"/>
  <c r="J26" i="61"/>
  <c r="K26" i="61"/>
  <c r="M26" i="61"/>
  <c r="N26" i="61"/>
  <c r="J27" i="61"/>
  <c r="K27" i="61"/>
  <c r="M27" i="61"/>
  <c r="N27" i="61"/>
  <c r="J28" i="61"/>
  <c r="K28" i="61"/>
  <c r="M28" i="61"/>
  <c r="N28" i="61"/>
  <c r="J29" i="61"/>
  <c r="K29" i="61"/>
  <c r="M29" i="61"/>
  <c r="N29" i="61"/>
  <c r="J30" i="61"/>
  <c r="K30" i="61"/>
  <c r="M30" i="61"/>
  <c r="N30" i="61"/>
  <c r="J31" i="61"/>
  <c r="K31" i="61"/>
  <c r="M31" i="61"/>
  <c r="N31" i="61"/>
  <c r="J32" i="61"/>
  <c r="K32" i="61"/>
  <c r="M32" i="61"/>
  <c r="N32" i="61"/>
  <c r="J33" i="61"/>
  <c r="K33" i="61"/>
  <c r="M33" i="61"/>
  <c r="N33" i="61"/>
  <c r="J34" i="61"/>
  <c r="K34" i="61"/>
  <c r="M34" i="61"/>
  <c r="N34" i="61"/>
  <c r="J35" i="61"/>
  <c r="K35" i="61"/>
  <c r="M35" i="61"/>
  <c r="N35" i="61"/>
  <c r="J36" i="61"/>
  <c r="K36" i="61"/>
  <c r="M36" i="61"/>
  <c r="N36" i="61"/>
  <c r="J37" i="61"/>
  <c r="K37" i="61"/>
  <c r="M37" i="61"/>
  <c r="N37" i="61"/>
  <c r="J38" i="61"/>
  <c r="K38" i="61"/>
  <c r="M38" i="61"/>
  <c r="N38" i="61"/>
  <c r="J39" i="61"/>
  <c r="K39" i="61"/>
  <c r="M39" i="61"/>
  <c r="N39" i="61"/>
  <c r="J40" i="61"/>
  <c r="K40" i="61"/>
  <c r="M40" i="61"/>
  <c r="N40" i="61"/>
  <c r="J41" i="61"/>
  <c r="K41" i="61"/>
  <c r="M41" i="61"/>
  <c r="N41" i="61"/>
  <c r="J42" i="61"/>
  <c r="K42" i="61"/>
  <c r="M42" i="61"/>
  <c r="N42" i="61"/>
  <c r="J43" i="61"/>
  <c r="K43" i="61"/>
  <c r="M43" i="61"/>
  <c r="N43" i="61"/>
  <c r="J44" i="61"/>
  <c r="K44" i="61"/>
  <c r="M44" i="61"/>
  <c r="N44" i="61"/>
  <c r="J45" i="61"/>
  <c r="K45" i="61"/>
  <c r="M45" i="61"/>
  <c r="N45" i="61"/>
  <c r="J46" i="61"/>
  <c r="K46" i="61"/>
  <c r="M46" i="61"/>
  <c r="N46" i="61"/>
  <c r="J47" i="61"/>
  <c r="K47" i="61"/>
  <c r="M47" i="61"/>
  <c r="N47" i="61"/>
  <c r="J48" i="61"/>
  <c r="K48" i="61"/>
  <c r="M48" i="61"/>
  <c r="N48" i="61"/>
  <c r="J49" i="61"/>
  <c r="K49" i="61"/>
  <c r="M49" i="61"/>
  <c r="N49" i="61"/>
  <c r="J50" i="61"/>
  <c r="K50" i="61"/>
  <c r="M50" i="61"/>
  <c r="N50" i="61"/>
  <c r="J51" i="61"/>
  <c r="K51" i="61"/>
  <c r="M51" i="61"/>
  <c r="N51" i="61"/>
  <c r="J52" i="61"/>
  <c r="K52" i="61"/>
  <c r="M52" i="61"/>
  <c r="N52" i="61"/>
  <c r="J53" i="61"/>
  <c r="K53" i="61"/>
  <c r="M53" i="61"/>
  <c r="N53" i="61"/>
  <c r="J54" i="61"/>
  <c r="K54" i="61"/>
  <c r="M54" i="61"/>
  <c r="N54" i="61"/>
  <c r="J55" i="61"/>
  <c r="K55" i="61"/>
  <c r="M55" i="61"/>
  <c r="N55" i="61"/>
  <c r="J56" i="61"/>
  <c r="K56" i="61"/>
  <c r="M56" i="61"/>
  <c r="N56" i="61"/>
  <c r="J57" i="61"/>
  <c r="K57" i="61"/>
  <c r="M57" i="61"/>
  <c r="N57" i="61"/>
  <c r="J58" i="61"/>
  <c r="K58" i="61"/>
  <c r="M58" i="61"/>
  <c r="N58" i="61"/>
  <c r="J59" i="61"/>
  <c r="K59" i="61"/>
  <c r="M59" i="61"/>
  <c r="N59" i="61"/>
  <c r="J60" i="61"/>
  <c r="K60" i="61"/>
  <c r="M60" i="61"/>
  <c r="N60" i="61"/>
  <c r="J61" i="61"/>
  <c r="K61" i="61"/>
  <c r="M61" i="61"/>
  <c r="N61" i="61"/>
  <c r="J62" i="61"/>
  <c r="K62" i="61"/>
  <c r="M62" i="61"/>
  <c r="N62" i="61"/>
  <c r="J63" i="61"/>
  <c r="K63" i="61"/>
  <c r="M63" i="61"/>
  <c r="N63" i="61"/>
  <c r="J64" i="61"/>
  <c r="K64" i="61"/>
  <c r="M64" i="61"/>
  <c r="N64" i="61"/>
  <c r="J65" i="61"/>
  <c r="K65" i="61"/>
  <c r="M65" i="61"/>
  <c r="N65" i="61"/>
  <c r="J66" i="61"/>
  <c r="K66" i="61"/>
  <c r="M66" i="61"/>
  <c r="N66" i="61"/>
  <c r="J67" i="61"/>
  <c r="K67" i="61"/>
  <c r="M67" i="61"/>
  <c r="N67" i="61"/>
  <c r="J68" i="61"/>
  <c r="K68" i="61"/>
  <c r="M68" i="61"/>
  <c r="N68" i="61"/>
  <c r="J69" i="61"/>
  <c r="K69" i="61"/>
  <c r="M69" i="61"/>
  <c r="N69" i="61"/>
  <c r="J70" i="61"/>
  <c r="K70" i="61"/>
  <c r="M70" i="61"/>
  <c r="N70" i="61"/>
  <c r="J71" i="61"/>
  <c r="K71" i="61"/>
  <c r="M71" i="61"/>
  <c r="N71" i="61"/>
  <c r="J72" i="61"/>
  <c r="K72" i="61"/>
  <c r="M72" i="61"/>
  <c r="N72" i="61"/>
  <c r="J73" i="61"/>
  <c r="K73" i="61"/>
  <c r="M73" i="61"/>
  <c r="N73" i="61"/>
  <c r="J74" i="61"/>
  <c r="K74" i="61"/>
  <c r="M74" i="61"/>
  <c r="N74" i="61"/>
  <c r="J75" i="61"/>
  <c r="K75" i="61"/>
  <c r="M75" i="61"/>
  <c r="N75" i="61"/>
  <c r="J76" i="61"/>
  <c r="K76" i="61"/>
  <c r="M76" i="61"/>
  <c r="N76" i="61"/>
  <c r="J77" i="61"/>
  <c r="K77" i="61"/>
  <c r="M77" i="61"/>
  <c r="N77" i="61"/>
  <c r="J78" i="61"/>
  <c r="K78" i="61"/>
  <c r="M78" i="61"/>
  <c r="N78" i="61"/>
  <c r="J79" i="61"/>
  <c r="K79" i="61"/>
  <c r="M79" i="61"/>
  <c r="N79" i="61"/>
  <c r="J80" i="61"/>
  <c r="K80" i="61"/>
  <c r="M80" i="61"/>
  <c r="N80" i="61"/>
  <c r="J81" i="61"/>
  <c r="K81" i="61"/>
  <c r="M81" i="61"/>
  <c r="N81" i="61"/>
  <c r="J82" i="61"/>
  <c r="K82" i="61"/>
  <c r="M82" i="61"/>
  <c r="N82" i="61"/>
  <c r="J83" i="61"/>
  <c r="K83" i="61"/>
  <c r="M83" i="61"/>
  <c r="N83" i="61"/>
  <c r="J84" i="61"/>
  <c r="K84" i="61"/>
  <c r="M84" i="61"/>
  <c r="N84" i="61"/>
  <c r="J85" i="61"/>
  <c r="K85" i="61"/>
  <c r="M85" i="61"/>
  <c r="N85" i="61"/>
  <c r="J86" i="61"/>
  <c r="K86" i="61"/>
  <c r="M86" i="61"/>
  <c r="N86" i="61"/>
  <c r="J87" i="61"/>
  <c r="K87" i="61"/>
  <c r="M87" i="61"/>
  <c r="N87" i="61"/>
  <c r="J88" i="61"/>
  <c r="K88" i="61"/>
  <c r="M88" i="61"/>
  <c r="N88" i="61"/>
  <c r="J89" i="61"/>
  <c r="K89" i="61"/>
  <c r="M89" i="61"/>
  <c r="N89" i="61"/>
  <c r="J90" i="61"/>
  <c r="K90" i="61"/>
  <c r="M90" i="61"/>
  <c r="N90" i="61"/>
  <c r="J91" i="61"/>
  <c r="K91" i="61"/>
  <c r="M91" i="61"/>
  <c r="N91" i="61"/>
  <c r="J92" i="61"/>
  <c r="K92" i="61"/>
  <c r="M92" i="61"/>
  <c r="N92" i="61"/>
  <c r="J93" i="61"/>
  <c r="K93" i="61"/>
  <c r="M93" i="61"/>
  <c r="N93" i="61"/>
  <c r="J94" i="61"/>
  <c r="K94" i="61"/>
  <c r="M94" i="61"/>
  <c r="N94" i="61"/>
  <c r="J95" i="61"/>
  <c r="K95" i="61"/>
  <c r="M95" i="61"/>
  <c r="N95" i="61"/>
  <c r="J96" i="61"/>
  <c r="K96" i="61"/>
  <c r="M96" i="61"/>
  <c r="N96" i="61"/>
  <c r="J97" i="61"/>
  <c r="K97" i="61"/>
  <c r="M97" i="61"/>
  <c r="N97" i="61"/>
  <c r="J98" i="61"/>
  <c r="K98" i="61"/>
  <c r="M98" i="61"/>
  <c r="N98" i="61"/>
  <c r="J99" i="61"/>
  <c r="K99" i="61"/>
  <c r="M99" i="61"/>
  <c r="N99" i="61"/>
  <c r="J100" i="61"/>
  <c r="K100" i="61"/>
  <c r="M100" i="61"/>
  <c r="N100" i="61"/>
  <c r="J101" i="61"/>
  <c r="K101" i="61"/>
  <c r="M101" i="61"/>
  <c r="N101" i="61"/>
  <c r="J102" i="61"/>
  <c r="K102" i="61"/>
  <c r="M102" i="61"/>
  <c r="N102" i="61"/>
  <c r="J103" i="61"/>
  <c r="K103" i="61"/>
  <c r="M103" i="61"/>
  <c r="N103" i="61"/>
  <c r="J104" i="61"/>
  <c r="K104" i="61"/>
  <c r="M104" i="61"/>
  <c r="N104" i="61"/>
  <c r="J105" i="61"/>
  <c r="K105" i="61"/>
  <c r="M105" i="61"/>
  <c r="N105" i="61"/>
  <c r="J106" i="61"/>
  <c r="K106" i="61"/>
  <c r="M106" i="61"/>
  <c r="N106" i="61"/>
  <c r="J107" i="61"/>
  <c r="K107" i="61"/>
  <c r="M107" i="61"/>
  <c r="N107" i="61"/>
  <c r="J108" i="61"/>
  <c r="K108" i="61"/>
  <c r="M108" i="61"/>
  <c r="N108" i="61"/>
  <c r="J109" i="61"/>
  <c r="K109" i="61"/>
  <c r="M109" i="61"/>
  <c r="N109" i="61"/>
  <c r="J110" i="61"/>
  <c r="K110" i="61"/>
  <c r="M110" i="61"/>
  <c r="N110" i="61"/>
  <c r="J111" i="61"/>
  <c r="K111" i="61"/>
  <c r="M111" i="61"/>
  <c r="N111" i="61"/>
  <c r="J112" i="61"/>
  <c r="K112" i="61"/>
  <c r="M112" i="61"/>
  <c r="N112" i="61"/>
  <c r="J113" i="61"/>
  <c r="K113" i="61"/>
  <c r="M113" i="61"/>
  <c r="N113" i="61"/>
  <c r="J114" i="61"/>
  <c r="K114" i="61"/>
  <c r="M114" i="61"/>
  <c r="N114" i="61"/>
  <c r="J115" i="61"/>
  <c r="K115" i="61"/>
  <c r="M115" i="61"/>
  <c r="N115" i="61"/>
  <c r="J116" i="61"/>
  <c r="K116" i="61"/>
  <c r="M116" i="61"/>
  <c r="N116" i="61"/>
  <c r="J117" i="61"/>
  <c r="K117" i="61"/>
  <c r="M117" i="61"/>
  <c r="N117" i="61"/>
  <c r="J118" i="61"/>
  <c r="K118" i="61"/>
  <c r="M118" i="61"/>
  <c r="N118" i="61"/>
  <c r="J119" i="61"/>
  <c r="K119" i="61"/>
  <c r="M119" i="61"/>
  <c r="N119" i="61"/>
  <c r="J120" i="61"/>
  <c r="K120" i="61"/>
  <c r="M120" i="61"/>
  <c r="N120" i="61"/>
  <c r="J121" i="61"/>
  <c r="K121" i="61"/>
  <c r="M121" i="61"/>
  <c r="N121" i="61"/>
  <c r="J122" i="61"/>
  <c r="K122" i="61"/>
  <c r="M122" i="61"/>
  <c r="N122" i="61"/>
  <c r="J123" i="61"/>
  <c r="K123" i="61"/>
  <c r="M123" i="61"/>
  <c r="N123" i="61"/>
  <c r="J124" i="61"/>
  <c r="K124" i="61"/>
  <c r="M124" i="61"/>
  <c r="N124" i="61"/>
  <c r="J125" i="61"/>
  <c r="K125" i="61"/>
  <c r="M125" i="61"/>
  <c r="N125" i="61"/>
  <c r="J126" i="61"/>
  <c r="K126" i="61"/>
  <c r="M126" i="61"/>
  <c r="N126" i="61"/>
  <c r="J127" i="61"/>
  <c r="K127" i="61"/>
  <c r="M127" i="61"/>
  <c r="N127" i="61"/>
  <c r="J128" i="61"/>
  <c r="K128" i="61"/>
  <c r="M128" i="61"/>
  <c r="N128" i="61"/>
  <c r="J129" i="61"/>
  <c r="K129" i="61"/>
  <c r="M129" i="61"/>
  <c r="N129" i="61"/>
  <c r="J130" i="61"/>
  <c r="K130" i="61"/>
  <c r="M130" i="61"/>
  <c r="N130" i="61"/>
  <c r="J131" i="61"/>
  <c r="K131" i="61"/>
  <c r="M131" i="61"/>
  <c r="N131" i="61"/>
  <c r="J132" i="61"/>
  <c r="K132" i="61"/>
  <c r="M132" i="61"/>
  <c r="N132" i="61"/>
  <c r="J133" i="61"/>
  <c r="K133" i="61"/>
  <c r="M133" i="61"/>
  <c r="N133" i="61"/>
  <c r="J134" i="61"/>
  <c r="K134" i="61"/>
  <c r="M134" i="61"/>
  <c r="N134" i="61"/>
  <c r="J135" i="61"/>
  <c r="K135" i="61"/>
  <c r="M135" i="61"/>
  <c r="N135" i="61"/>
  <c r="J136" i="61"/>
  <c r="K136" i="61"/>
  <c r="M136" i="61"/>
  <c r="N136" i="61"/>
  <c r="J137" i="61"/>
  <c r="K137" i="61"/>
  <c r="M137" i="61"/>
  <c r="N137" i="61"/>
  <c r="J138" i="61"/>
  <c r="K138" i="61"/>
  <c r="M138" i="61"/>
  <c r="N138" i="61"/>
  <c r="J139" i="61"/>
  <c r="K139" i="61"/>
  <c r="M139" i="61"/>
  <c r="N139" i="61"/>
  <c r="J140" i="61"/>
  <c r="K140" i="61"/>
  <c r="M140" i="61"/>
  <c r="N140" i="61"/>
  <c r="J141" i="61"/>
  <c r="K141" i="61"/>
  <c r="M141" i="61"/>
  <c r="N141" i="61"/>
  <c r="J142" i="61"/>
  <c r="K142" i="61"/>
  <c r="M142" i="61"/>
  <c r="N142" i="61"/>
  <c r="J143" i="61"/>
  <c r="K143" i="61"/>
  <c r="M143" i="61"/>
  <c r="N143" i="61"/>
  <c r="J144" i="61"/>
  <c r="K144" i="61"/>
  <c r="M144" i="61"/>
  <c r="N144" i="61"/>
  <c r="J145" i="61"/>
  <c r="K145" i="61"/>
  <c r="M145" i="61"/>
  <c r="N145" i="61"/>
  <c r="J146" i="61"/>
  <c r="K146" i="61"/>
  <c r="M146" i="61"/>
  <c r="N146" i="61"/>
  <c r="J147" i="61"/>
  <c r="K147" i="61"/>
  <c r="M147" i="61"/>
  <c r="N147" i="61"/>
  <c r="J148" i="61"/>
  <c r="K148" i="61"/>
  <c r="M148" i="61"/>
  <c r="N148" i="61"/>
  <c r="J149" i="61"/>
  <c r="K149" i="61"/>
  <c r="M149" i="61"/>
  <c r="N149" i="61"/>
  <c r="J150" i="61"/>
  <c r="K150" i="61"/>
  <c r="M150" i="61"/>
  <c r="N150" i="61"/>
  <c r="J151" i="61"/>
  <c r="K151" i="61"/>
  <c r="M151" i="61"/>
  <c r="N151" i="61"/>
  <c r="J152" i="61"/>
  <c r="K152" i="61"/>
  <c r="M152" i="61"/>
  <c r="N152" i="61"/>
  <c r="J153" i="61"/>
  <c r="K153" i="61"/>
  <c r="M153" i="61"/>
  <c r="N153" i="61"/>
  <c r="J154" i="61"/>
  <c r="K154" i="61"/>
  <c r="M154" i="61"/>
  <c r="N154" i="61"/>
  <c r="J155" i="61"/>
  <c r="K155" i="61"/>
  <c r="M155" i="61"/>
  <c r="N155" i="61"/>
  <c r="J156" i="61"/>
  <c r="K156" i="61"/>
  <c r="M156" i="61"/>
  <c r="N156" i="61"/>
  <c r="J157" i="61"/>
  <c r="K157" i="61"/>
  <c r="M157" i="61"/>
  <c r="N157" i="61"/>
  <c r="J158" i="61"/>
  <c r="K158" i="61"/>
  <c r="M158" i="61"/>
  <c r="N158" i="61"/>
  <c r="J159" i="61"/>
  <c r="K159" i="61"/>
  <c r="M159" i="61"/>
  <c r="N159" i="61"/>
  <c r="J160" i="61"/>
  <c r="K160" i="61"/>
  <c r="M160" i="61"/>
  <c r="N160" i="61"/>
  <c r="J161" i="61"/>
  <c r="K161" i="61"/>
  <c r="M161" i="61"/>
  <c r="N161" i="61"/>
  <c r="J162" i="61"/>
  <c r="K162" i="61"/>
  <c r="M162" i="61"/>
  <c r="N162" i="61"/>
  <c r="J163" i="61"/>
  <c r="K163" i="61"/>
  <c r="M163" i="61"/>
  <c r="N163" i="61"/>
  <c r="J164" i="61"/>
  <c r="K164" i="61"/>
  <c r="M164" i="61"/>
  <c r="N164" i="61"/>
  <c r="J165" i="61"/>
  <c r="K165" i="61"/>
  <c r="M165" i="61"/>
  <c r="N165" i="61"/>
  <c r="J166" i="61"/>
  <c r="K166" i="61"/>
  <c r="M166" i="61"/>
  <c r="N166" i="61"/>
  <c r="J167" i="61"/>
  <c r="K167" i="61"/>
  <c r="M167" i="61"/>
  <c r="N167" i="61"/>
  <c r="J168" i="61"/>
  <c r="K168" i="61"/>
  <c r="M168" i="61"/>
  <c r="N168" i="61"/>
  <c r="J169" i="61"/>
  <c r="K169" i="61"/>
  <c r="M169" i="61"/>
  <c r="N169" i="61"/>
  <c r="J170" i="61"/>
  <c r="K170" i="61"/>
  <c r="M170" i="61"/>
  <c r="N170" i="61"/>
  <c r="J171" i="61"/>
  <c r="K171" i="61"/>
  <c r="M171" i="61"/>
  <c r="N171" i="61"/>
  <c r="J172" i="61"/>
  <c r="K172" i="61"/>
  <c r="M172" i="61"/>
  <c r="N172" i="61"/>
  <c r="J173" i="61"/>
  <c r="K173" i="61"/>
  <c r="M173" i="61"/>
  <c r="N173" i="61"/>
  <c r="J174" i="61"/>
  <c r="K174" i="61"/>
  <c r="M174" i="61"/>
  <c r="N174" i="61"/>
  <c r="J175" i="61"/>
  <c r="K175" i="61"/>
  <c r="M175" i="61"/>
  <c r="N175" i="61"/>
  <c r="K176" i="61"/>
  <c r="N176" i="61"/>
  <c r="K177" i="61"/>
  <c r="N177" i="61"/>
  <c r="K178" i="61"/>
  <c r="N178" i="61"/>
  <c r="K179" i="61"/>
  <c r="N179" i="61"/>
  <c r="K180" i="61"/>
  <c r="N180" i="61"/>
  <c r="K181" i="61"/>
  <c r="N181" i="61"/>
  <c r="K182" i="61"/>
  <c r="N182" i="61"/>
  <c r="K183" i="61"/>
  <c r="N183" i="61"/>
  <c r="K184" i="61"/>
  <c r="N184" i="61"/>
  <c r="K185" i="61"/>
  <c r="N185" i="61"/>
  <c r="K186" i="61"/>
  <c r="N186" i="61"/>
  <c r="K187" i="61"/>
  <c r="N187" i="61"/>
  <c r="K188" i="61"/>
  <c r="N188" i="61"/>
  <c r="K189" i="61"/>
  <c r="N189" i="61"/>
  <c r="K190" i="61"/>
  <c r="N190" i="61"/>
  <c r="K191" i="61"/>
  <c r="N191" i="61"/>
  <c r="K192" i="61"/>
  <c r="N192" i="61"/>
  <c r="K193" i="61"/>
  <c r="N193" i="61"/>
  <c r="K194" i="61"/>
  <c r="N194" i="61"/>
  <c r="K195" i="61"/>
  <c r="N195" i="61"/>
  <c r="K196" i="61"/>
  <c r="N196" i="61"/>
  <c r="K197" i="61"/>
  <c r="N197" i="61"/>
  <c r="K198" i="61"/>
  <c r="N198" i="61"/>
  <c r="K199" i="61"/>
  <c r="N199" i="61"/>
  <c r="K200" i="61"/>
  <c r="N200" i="61"/>
  <c r="K201" i="61"/>
  <c r="N201" i="61"/>
  <c r="K202" i="61"/>
  <c r="N202" i="61"/>
  <c r="K203" i="61"/>
  <c r="N203" i="61"/>
  <c r="K204" i="61"/>
  <c r="N204" i="61"/>
  <c r="K205" i="61"/>
  <c r="N205" i="61"/>
  <c r="K206" i="61"/>
  <c r="N206" i="61"/>
  <c r="K207" i="61"/>
  <c r="N207" i="61"/>
  <c r="K208" i="61"/>
  <c r="N208" i="61"/>
  <c r="J209" i="61"/>
  <c r="M209" i="61"/>
  <c r="J210" i="61"/>
  <c r="M210" i="61"/>
  <c r="J211" i="61"/>
  <c r="M211" i="61"/>
  <c r="J212" i="61"/>
  <c r="M212" i="61"/>
  <c r="J213" i="61"/>
  <c r="M213" i="61"/>
  <c r="J214" i="61"/>
  <c r="M214" i="61"/>
  <c r="J215" i="61"/>
  <c r="M215" i="61"/>
  <c r="J216" i="61"/>
  <c r="M216" i="61"/>
  <c r="J217" i="61"/>
  <c r="M217" i="61"/>
  <c r="J218" i="61"/>
  <c r="M218" i="61"/>
  <c r="J219" i="61"/>
  <c r="M219" i="61"/>
  <c r="J220" i="61"/>
  <c r="M220" i="61"/>
  <c r="J221" i="61"/>
  <c r="M221" i="61"/>
  <c r="J222" i="61"/>
  <c r="M222" i="61"/>
  <c r="J223" i="61"/>
  <c r="M223" i="61"/>
  <c r="J224" i="61"/>
  <c r="M224" i="61"/>
  <c r="J225" i="61"/>
  <c r="M225" i="61"/>
  <c r="J226" i="61"/>
  <c r="M226" i="61"/>
  <c r="J227" i="61"/>
  <c r="M227" i="61"/>
  <c r="J228" i="61"/>
  <c r="M228" i="61"/>
  <c r="J229" i="61"/>
  <c r="M229" i="61"/>
  <c r="J230" i="61"/>
  <c r="M230" i="61"/>
  <c r="J231" i="61"/>
  <c r="M231" i="61"/>
  <c r="J232" i="61"/>
  <c r="M232" i="61"/>
  <c r="J233" i="61"/>
  <c r="M233" i="61"/>
  <c r="J234" i="61"/>
  <c r="M234" i="61"/>
  <c r="J235" i="61"/>
  <c r="M235" i="61"/>
  <c r="J236" i="61"/>
  <c r="M236" i="61"/>
  <c r="J237" i="61"/>
  <c r="M237" i="61"/>
  <c r="J238" i="61"/>
  <c r="M238" i="61"/>
  <c r="J239" i="61"/>
  <c r="M239" i="61"/>
  <c r="J240" i="61"/>
  <c r="M240" i="61"/>
  <c r="J241" i="61"/>
  <c r="M241" i="61"/>
  <c r="J242" i="61"/>
  <c r="M242" i="61"/>
  <c r="J243" i="61"/>
  <c r="M243" i="61"/>
  <c r="J244" i="61"/>
  <c r="M244" i="61"/>
  <c r="K245" i="61"/>
  <c r="N245" i="61"/>
  <c r="K246" i="61"/>
  <c r="N246" i="61"/>
  <c r="K247" i="61"/>
  <c r="N247" i="61"/>
  <c r="K248" i="61"/>
  <c r="N248" i="61"/>
  <c r="K249" i="61"/>
  <c r="N249" i="61"/>
  <c r="K250" i="61"/>
  <c r="N250" i="61"/>
  <c r="K251" i="61"/>
  <c r="N251" i="61"/>
  <c r="K252" i="61"/>
  <c r="N252" i="61"/>
  <c r="K253" i="61"/>
  <c r="N253" i="61"/>
  <c r="K254" i="61"/>
  <c r="N254" i="61"/>
  <c r="K255" i="61"/>
  <c r="N255" i="61"/>
  <c r="K256" i="61"/>
  <c r="N256" i="61"/>
  <c r="K257" i="61"/>
  <c r="N257" i="61"/>
  <c r="K258" i="61"/>
  <c r="N258" i="61"/>
  <c r="K259" i="61"/>
  <c r="N259" i="61"/>
  <c r="K260" i="61"/>
  <c r="N260" i="61"/>
  <c r="K261" i="61"/>
  <c r="N261" i="61"/>
  <c r="K262" i="61"/>
  <c r="N262" i="61"/>
  <c r="K263" i="61"/>
  <c r="N263" i="61"/>
  <c r="K264" i="61"/>
  <c r="N264" i="61"/>
  <c r="K265" i="61"/>
  <c r="N265" i="61"/>
  <c r="K266" i="61"/>
  <c r="N266" i="61"/>
  <c r="K267" i="61"/>
  <c r="N267" i="61"/>
  <c r="K268" i="61"/>
  <c r="N268" i="61"/>
  <c r="K269" i="61"/>
  <c r="N269" i="61"/>
  <c r="K270" i="61"/>
  <c r="N270" i="61"/>
  <c r="K271" i="61"/>
  <c r="N271" i="61"/>
  <c r="K272" i="61"/>
  <c r="N272" i="61"/>
  <c r="K273" i="61"/>
  <c r="N273" i="61"/>
  <c r="K274" i="61"/>
  <c r="N274" i="61"/>
  <c r="K275" i="61"/>
  <c r="N275" i="61"/>
  <c r="K276" i="61"/>
  <c r="N276" i="61"/>
  <c r="K277" i="61"/>
  <c r="N277" i="61"/>
  <c r="K278" i="61"/>
  <c r="N278" i="61"/>
  <c r="K279" i="61"/>
  <c r="N279" i="61"/>
  <c r="K280" i="61"/>
  <c r="N280" i="61"/>
  <c r="K281" i="61"/>
  <c r="N281" i="61"/>
  <c r="K282" i="61"/>
  <c r="N282" i="61"/>
  <c r="K283" i="61"/>
  <c r="N283" i="61"/>
  <c r="K284" i="61"/>
  <c r="N284" i="61"/>
  <c r="K285" i="61"/>
  <c r="N285" i="61"/>
  <c r="K286" i="61"/>
  <c r="N286" i="61"/>
  <c r="K287" i="61"/>
  <c r="N287" i="61"/>
  <c r="K288" i="61"/>
  <c r="N288" i="61"/>
  <c r="K289" i="61"/>
  <c r="N289" i="61"/>
  <c r="J290" i="61"/>
  <c r="M290" i="61"/>
  <c r="J291" i="61"/>
  <c r="M291" i="61"/>
  <c r="J292" i="61"/>
  <c r="M292" i="61"/>
  <c r="J293" i="61"/>
  <c r="M293" i="61"/>
  <c r="J294" i="61"/>
  <c r="M294" i="61"/>
  <c r="J295" i="61"/>
  <c r="M295" i="61"/>
  <c r="J296" i="61"/>
  <c r="M296" i="61"/>
  <c r="J297" i="61"/>
  <c r="M297" i="61"/>
  <c r="J298" i="61"/>
  <c r="M298" i="61"/>
  <c r="J299" i="61"/>
  <c r="M299" i="61"/>
  <c r="J300" i="61"/>
  <c r="M300" i="61"/>
  <c r="J301" i="61"/>
  <c r="M301" i="61"/>
  <c r="K302" i="61"/>
  <c r="N302" i="61"/>
  <c r="K303" i="61"/>
  <c r="N303" i="61"/>
  <c r="K304" i="61"/>
  <c r="N304" i="61"/>
  <c r="K305" i="61"/>
  <c r="N305" i="61"/>
  <c r="K306" i="61"/>
  <c r="N306" i="61"/>
  <c r="K307" i="61"/>
  <c r="N307" i="61"/>
  <c r="K308" i="61"/>
  <c r="N308" i="61"/>
  <c r="K309" i="61"/>
  <c r="N309" i="61"/>
  <c r="K310" i="61"/>
  <c r="N310" i="61"/>
  <c r="K311" i="61"/>
  <c r="N311" i="61"/>
  <c r="K312" i="61"/>
  <c r="N312" i="61"/>
  <c r="K313" i="61"/>
  <c r="N313" i="61"/>
  <c r="K314" i="61"/>
  <c r="N314" i="61"/>
  <c r="K315" i="61"/>
  <c r="N315" i="61"/>
  <c r="K316" i="61"/>
  <c r="N316" i="61"/>
  <c r="K317" i="61"/>
  <c r="N317" i="61"/>
  <c r="K318" i="61"/>
  <c r="N318" i="61"/>
  <c r="K319" i="61"/>
  <c r="N319" i="61"/>
  <c r="K320" i="61"/>
  <c r="N320" i="61"/>
  <c r="K321" i="61"/>
  <c r="N321" i="61"/>
  <c r="K322" i="61"/>
  <c r="N322" i="61"/>
  <c r="K323" i="61"/>
  <c r="N323" i="61"/>
  <c r="K324" i="61"/>
  <c r="N324" i="61"/>
  <c r="K325" i="61"/>
  <c r="N325" i="61"/>
  <c r="K326" i="61"/>
  <c r="N326" i="61"/>
  <c r="K327" i="61"/>
  <c r="N327" i="61"/>
  <c r="K328" i="61"/>
  <c r="N328" i="61"/>
  <c r="K329" i="61"/>
  <c r="N329" i="61"/>
  <c r="K330" i="61"/>
  <c r="N330" i="61"/>
  <c r="K331" i="61"/>
  <c r="N331" i="61"/>
  <c r="K332" i="61"/>
  <c r="N332" i="61"/>
  <c r="K333" i="61"/>
  <c r="N333" i="61"/>
  <c r="K334" i="61"/>
  <c r="N334" i="61"/>
  <c r="K335" i="61"/>
  <c r="N335" i="61"/>
  <c r="K336" i="61"/>
  <c r="N336" i="61"/>
  <c r="K337" i="61"/>
  <c r="N337" i="61"/>
  <c r="K338" i="61"/>
  <c r="N338" i="61"/>
  <c r="J339" i="61"/>
  <c r="M339" i="61"/>
  <c r="J340" i="61"/>
  <c r="M340" i="61"/>
  <c r="J341" i="61"/>
  <c r="M341" i="61"/>
  <c r="J342" i="61"/>
  <c r="M342" i="61"/>
  <c r="J343" i="61"/>
  <c r="M343" i="61"/>
  <c r="J344" i="61"/>
  <c r="M344" i="61"/>
  <c r="J345" i="61"/>
  <c r="M345" i="61"/>
  <c r="J346" i="61"/>
  <c r="M346" i="61"/>
  <c r="J347" i="61"/>
  <c r="M347" i="61"/>
  <c r="J348" i="61"/>
  <c r="M348" i="61"/>
  <c r="J349" i="61"/>
  <c r="M349" i="61"/>
  <c r="J350" i="61"/>
  <c r="M350" i="61"/>
  <c r="J351" i="61"/>
  <c r="M351" i="61"/>
  <c r="J352" i="61"/>
  <c r="M352" i="61"/>
  <c r="J353" i="61"/>
  <c r="M353" i="61"/>
  <c r="J354" i="61"/>
  <c r="M354" i="61"/>
  <c r="J355" i="61"/>
  <c r="M355" i="61"/>
  <c r="J356" i="61"/>
  <c r="M356" i="61"/>
  <c r="J357" i="61"/>
  <c r="M357" i="61"/>
  <c r="J358" i="61"/>
  <c r="M358" i="61"/>
  <c r="J359" i="61"/>
  <c r="M359" i="61"/>
  <c r="J360" i="61"/>
  <c r="M360" i="61"/>
  <c r="J361" i="61"/>
  <c r="M361" i="61"/>
  <c r="J362" i="61"/>
  <c r="M362" i="61"/>
  <c r="J363" i="61"/>
  <c r="M363" i="61"/>
  <c r="J364" i="61"/>
  <c r="M364" i="61"/>
  <c r="J365" i="61"/>
  <c r="M365" i="61"/>
  <c r="J366" i="61"/>
  <c r="M366" i="61"/>
  <c r="K367" i="61"/>
  <c r="N367" i="61"/>
  <c r="K368" i="61"/>
  <c r="N368" i="61"/>
  <c r="K369" i="61"/>
  <c r="N369" i="61"/>
  <c r="K370" i="61"/>
  <c r="N370" i="61"/>
  <c r="K371" i="61"/>
  <c r="N371" i="61"/>
  <c r="K372" i="61"/>
  <c r="N372" i="61"/>
  <c r="K373" i="61"/>
  <c r="N373" i="61"/>
  <c r="K374" i="61"/>
  <c r="N374" i="61"/>
  <c r="K375" i="61"/>
  <c r="N375" i="61"/>
  <c r="K376" i="61"/>
  <c r="N376" i="61"/>
  <c r="K377" i="61"/>
  <c r="N377" i="61"/>
  <c r="K378" i="61"/>
  <c r="N378" i="61"/>
  <c r="K379" i="61"/>
  <c r="N379" i="61"/>
  <c r="K380" i="61"/>
  <c r="N380" i="61"/>
  <c r="K381" i="61"/>
  <c r="N381" i="61"/>
  <c r="K382" i="61"/>
  <c r="N382" i="61"/>
  <c r="K383" i="61"/>
  <c r="N383" i="61"/>
  <c r="K384" i="61"/>
  <c r="N384" i="61"/>
  <c r="K385" i="61"/>
  <c r="N385" i="61"/>
  <c r="K386" i="61"/>
  <c r="N386" i="61"/>
  <c r="K387" i="61"/>
  <c r="N387" i="61"/>
  <c r="K388" i="61"/>
  <c r="N388" i="61"/>
  <c r="K389" i="61"/>
  <c r="N389" i="61"/>
  <c r="K390" i="61"/>
  <c r="N390" i="61"/>
  <c r="K391" i="61"/>
  <c r="N391" i="61"/>
  <c r="K392" i="61"/>
  <c r="N392" i="61"/>
  <c r="K393" i="61"/>
  <c r="N393" i="61"/>
  <c r="K394" i="61"/>
  <c r="N394" i="61"/>
  <c r="K395" i="61"/>
  <c r="N395" i="61"/>
  <c r="K396" i="61"/>
  <c r="N396" i="61"/>
  <c r="K397" i="61"/>
  <c r="N397" i="61"/>
  <c r="K398" i="61"/>
  <c r="N398" i="61"/>
  <c r="K399" i="61"/>
  <c r="N399" i="61"/>
  <c r="K400" i="61"/>
  <c r="N400" i="61"/>
  <c r="K401" i="61"/>
  <c r="N401" i="61"/>
  <c r="K402" i="61"/>
  <c r="N402" i="61"/>
  <c r="K403" i="61"/>
  <c r="N403" i="61"/>
  <c r="K404" i="61"/>
  <c r="N404" i="61"/>
  <c r="K405" i="61"/>
  <c r="N405" i="61"/>
  <c r="K406" i="61"/>
  <c r="N406" i="61"/>
  <c r="K407" i="61"/>
  <c r="N407" i="61"/>
  <c r="K408" i="61"/>
  <c r="N408" i="61"/>
  <c r="K409" i="61"/>
  <c r="N409" i="61"/>
  <c r="K410" i="61"/>
  <c r="N410" i="61"/>
  <c r="K411" i="61"/>
  <c r="N411" i="61"/>
  <c r="K412" i="61"/>
  <c r="N412" i="61"/>
  <c r="K413" i="61"/>
  <c r="N413" i="61"/>
  <c r="K414" i="61"/>
  <c r="N414" i="61"/>
  <c r="K415" i="61"/>
  <c r="N415" i="61"/>
  <c r="K416" i="61"/>
  <c r="N416" i="61"/>
  <c r="K417" i="61"/>
  <c r="N417" i="61"/>
  <c r="K418" i="61"/>
  <c r="N418" i="61"/>
  <c r="K419" i="61"/>
  <c r="N419" i="61"/>
  <c r="K420" i="61"/>
  <c r="N420" i="61"/>
  <c r="K421" i="61"/>
  <c r="N421" i="61"/>
  <c r="K422" i="61"/>
  <c r="N422" i="61"/>
  <c r="J423" i="61"/>
  <c r="M423" i="61"/>
  <c r="J424" i="61"/>
  <c r="M424" i="61"/>
  <c r="J425" i="61"/>
  <c r="M425" i="61"/>
  <c r="J426" i="61"/>
  <c r="M426" i="61"/>
  <c r="J427" i="61"/>
  <c r="M427" i="61"/>
  <c r="J428" i="61"/>
  <c r="M428" i="61"/>
  <c r="J429" i="61"/>
  <c r="M429" i="61"/>
  <c r="J430" i="61"/>
  <c r="M430" i="61"/>
  <c r="J431" i="61"/>
  <c r="M431" i="61"/>
  <c r="J432" i="61"/>
  <c r="M432" i="61"/>
  <c r="J433" i="61"/>
  <c r="M433" i="61"/>
  <c r="J434" i="61"/>
  <c r="M434" i="61"/>
  <c r="J435" i="61"/>
  <c r="M435" i="61"/>
  <c r="J436" i="61"/>
  <c r="M436" i="61"/>
  <c r="J437" i="61"/>
  <c r="M437" i="61"/>
  <c r="J438" i="61"/>
  <c r="M438" i="61"/>
  <c r="J439" i="61"/>
  <c r="M439" i="61"/>
  <c r="J440" i="61"/>
  <c r="M440" i="61"/>
  <c r="J441" i="61"/>
  <c r="M441" i="61"/>
  <c r="J442" i="61"/>
  <c r="M442" i="61"/>
  <c r="J443" i="61"/>
  <c r="M443" i="61"/>
  <c r="J444" i="61"/>
  <c r="M444" i="61"/>
  <c r="J445" i="61"/>
  <c r="M445" i="61"/>
  <c r="J446" i="61"/>
  <c r="M446" i="61"/>
  <c r="J447" i="61"/>
  <c r="M447" i="61"/>
  <c r="J448" i="61"/>
  <c r="M448" i="61"/>
  <c r="J449" i="61"/>
  <c r="M449" i="61"/>
  <c r="J450" i="61"/>
  <c r="M450" i="61"/>
  <c r="J451" i="61"/>
  <c r="M451" i="61"/>
  <c r="J452" i="61"/>
  <c r="M452" i="61"/>
  <c r="J453" i="61"/>
  <c r="M453" i="61"/>
  <c r="J454" i="61"/>
  <c r="M454" i="61"/>
  <c r="J455" i="61"/>
  <c r="M455" i="61"/>
  <c r="J456" i="61"/>
  <c r="M456" i="61"/>
  <c r="J457" i="61"/>
  <c r="M457" i="61"/>
  <c r="K458" i="61"/>
  <c r="N458" i="61"/>
  <c r="K459" i="61"/>
  <c r="N459" i="61"/>
  <c r="K460" i="61"/>
  <c r="N460" i="61"/>
  <c r="K461" i="61"/>
  <c r="N461" i="61"/>
  <c r="K462" i="61"/>
  <c r="N462" i="61"/>
  <c r="K463" i="61"/>
  <c r="N463" i="61"/>
  <c r="K464" i="61"/>
  <c r="N464" i="61"/>
  <c r="K465" i="61"/>
  <c r="N465" i="61"/>
  <c r="K466" i="61"/>
  <c r="N466" i="61"/>
  <c r="K467" i="61"/>
  <c r="N467" i="61"/>
  <c r="K468" i="61"/>
  <c r="N468" i="61"/>
  <c r="K469" i="61"/>
  <c r="N469" i="61"/>
  <c r="K470" i="61"/>
  <c r="N470" i="61"/>
  <c r="K471" i="61"/>
  <c r="N471" i="61"/>
  <c r="K472" i="61"/>
  <c r="N472" i="61"/>
  <c r="K473" i="61"/>
  <c r="N473" i="61"/>
  <c r="K474" i="61"/>
  <c r="N474" i="61"/>
  <c r="K475" i="61"/>
  <c r="N475" i="61"/>
  <c r="K476" i="61"/>
  <c r="N476" i="61"/>
  <c r="K477" i="61"/>
  <c r="N477" i="61"/>
  <c r="K478" i="61"/>
  <c r="N478" i="61"/>
  <c r="K479" i="61"/>
  <c r="N479" i="61"/>
  <c r="K480" i="61"/>
  <c r="N480" i="61"/>
  <c r="K481" i="61"/>
  <c r="N481" i="61"/>
  <c r="K482" i="61"/>
  <c r="N482" i="61"/>
  <c r="K483" i="61"/>
  <c r="N483" i="61"/>
  <c r="K484" i="61"/>
  <c r="N484" i="61"/>
  <c r="K485" i="61"/>
  <c r="N485" i="61"/>
  <c r="K486" i="61"/>
  <c r="N486" i="61"/>
  <c r="K487" i="61"/>
  <c r="N487" i="61"/>
  <c r="K488" i="61"/>
  <c r="N488" i="61"/>
  <c r="K489" i="61"/>
  <c r="N489" i="61"/>
  <c r="K490" i="61"/>
  <c r="N490" i="61"/>
  <c r="K491" i="61"/>
  <c r="N491" i="61"/>
  <c r="K492" i="61"/>
  <c r="N492" i="61"/>
  <c r="K493" i="61"/>
  <c r="N493" i="61"/>
  <c r="K494" i="61"/>
  <c r="N494" i="61"/>
  <c r="K495" i="61"/>
  <c r="N495" i="61"/>
  <c r="K496" i="61"/>
  <c r="N496" i="61"/>
  <c r="K497" i="61"/>
  <c r="N497" i="61"/>
  <c r="K498" i="61"/>
  <c r="N498" i="61"/>
  <c r="K499" i="61"/>
  <c r="N499" i="61"/>
  <c r="K500" i="61"/>
  <c r="N500" i="61"/>
  <c r="K501" i="61"/>
  <c r="N501" i="61"/>
  <c r="K502" i="61"/>
  <c r="N502" i="61"/>
  <c r="K503" i="61"/>
  <c r="N503" i="61"/>
  <c r="K504" i="61"/>
  <c r="N504" i="61"/>
  <c r="K505" i="61"/>
  <c r="N505" i="61"/>
  <c r="K506" i="61"/>
  <c r="N506" i="61"/>
  <c r="K507" i="61"/>
  <c r="N507" i="61"/>
  <c r="K508" i="61"/>
  <c r="N508" i="61"/>
  <c r="K509" i="61"/>
  <c r="N509" i="61"/>
  <c r="K510" i="61"/>
  <c r="N510" i="61"/>
  <c r="K511" i="61"/>
  <c r="N511" i="61"/>
  <c r="K512" i="61"/>
  <c r="N512" i="61"/>
  <c r="K513" i="61"/>
  <c r="N513" i="61"/>
  <c r="K514" i="61"/>
  <c r="N514" i="61"/>
  <c r="K515" i="61"/>
  <c r="N515" i="61"/>
  <c r="K516" i="61"/>
  <c r="N516" i="61"/>
  <c r="K517" i="61"/>
  <c r="N517" i="61"/>
  <c r="K518" i="61"/>
  <c r="N518" i="61"/>
  <c r="J519" i="61"/>
  <c r="M519" i="61"/>
  <c r="J520" i="61"/>
  <c r="M520" i="61"/>
  <c r="J521" i="61"/>
  <c r="M521" i="61"/>
  <c r="J522" i="61"/>
  <c r="M522" i="61"/>
  <c r="J523" i="61"/>
  <c r="M523" i="61"/>
  <c r="J524" i="61"/>
  <c r="M524" i="61"/>
  <c r="J525" i="61"/>
  <c r="M525" i="61"/>
  <c r="J526" i="61"/>
  <c r="M526" i="61"/>
  <c r="J527" i="61"/>
  <c r="M527" i="61"/>
  <c r="J528" i="61"/>
  <c r="M528" i="61"/>
  <c r="J529" i="61"/>
  <c r="M529" i="61"/>
  <c r="J530" i="61"/>
  <c r="M530" i="61"/>
  <c r="J531" i="61"/>
  <c r="M531" i="61"/>
  <c r="J532" i="61"/>
  <c r="M532" i="61"/>
  <c r="J533" i="61"/>
  <c r="M533" i="61"/>
  <c r="K534" i="61"/>
  <c r="N534" i="61"/>
  <c r="K535" i="61"/>
  <c r="N535" i="61"/>
  <c r="K536" i="61"/>
  <c r="N536" i="61"/>
  <c r="K537" i="61"/>
  <c r="N537" i="61"/>
  <c r="K538" i="61"/>
  <c r="N538" i="61"/>
  <c r="K539" i="61"/>
  <c r="N539" i="61"/>
  <c r="K540" i="61"/>
  <c r="N540" i="61"/>
  <c r="K541" i="61"/>
  <c r="N541" i="61"/>
  <c r="K542" i="61"/>
  <c r="N542" i="61"/>
  <c r="K543" i="61"/>
  <c r="N543" i="61"/>
  <c r="K544" i="61"/>
  <c r="N544" i="61"/>
  <c r="K545" i="61"/>
  <c r="N545" i="61"/>
  <c r="K546" i="61"/>
  <c r="N546" i="61"/>
  <c r="K547" i="61"/>
  <c r="N547" i="61"/>
  <c r="K548" i="61"/>
  <c r="N548" i="61"/>
  <c r="K549" i="61"/>
  <c r="N549" i="61"/>
  <c r="K550" i="61"/>
  <c r="N550" i="61"/>
  <c r="K551" i="61"/>
  <c r="N551" i="61"/>
  <c r="K552" i="61"/>
  <c r="N552" i="61"/>
  <c r="K553" i="61"/>
  <c r="N553" i="61"/>
  <c r="K554" i="61"/>
  <c r="N554" i="61"/>
  <c r="K555" i="61"/>
  <c r="N555" i="61"/>
  <c r="K556" i="61"/>
  <c r="N556" i="61"/>
  <c r="K557" i="61"/>
  <c r="N557" i="61"/>
  <c r="K558" i="61"/>
  <c r="N558" i="61"/>
  <c r="K559" i="61"/>
  <c r="N559" i="61"/>
  <c r="K560" i="61"/>
  <c r="N560" i="61"/>
  <c r="K561" i="61"/>
  <c r="N561" i="61"/>
  <c r="K562" i="61"/>
  <c r="N562" i="61"/>
  <c r="K563" i="61"/>
  <c r="N563" i="61"/>
  <c r="K564" i="61"/>
  <c r="N564" i="61"/>
  <c r="K565" i="61"/>
  <c r="N565" i="61"/>
  <c r="K566" i="61"/>
  <c r="N566" i="61"/>
  <c r="K567" i="61"/>
  <c r="N567" i="61"/>
  <c r="J568" i="61"/>
  <c r="M568" i="61"/>
  <c r="J569" i="61"/>
  <c r="M569" i="61"/>
  <c r="J570" i="61"/>
  <c r="M570" i="61"/>
  <c r="J571" i="61"/>
  <c r="M571" i="61"/>
  <c r="J572" i="61"/>
  <c r="M572" i="61"/>
  <c r="J573" i="61"/>
  <c r="M573" i="61"/>
  <c r="J574" i="61"/>
  <c r="M574" i="61"/>
  <c r="J575" i="61"/>
  <c r="M575" i="61"/>
  <c r="J576" i="61"/>
  <c r="M576" i="61"/>
  <c r="J577" i="61"/>
  <c r="M577" i="61"/>
  <c r="J578" i="61"/>
  <c r="M578" i="61"/>
  <c r="J579" i="61"/>
  <c r="M579" i="61"/>
  <c r="J580" i="61"/>
  <c r="M580" i="61"/>
  <c r="J581" i="61"/>
  <c r="M581" i="61"/>
  <c r="J582" i="61"/>
  <c r="M582" i="61"/>
  <c r="J583" i="61"/>
  <c r="M583" i="61"/>
  <c r="J584" i="61"/>
  <c r="M584" i="61"/>
  <c r="J585" i="61"/>
  <c r="M585" i="61"/>
  <c r="K586" i="61"/>
  <c r="N586" i="61"/>
  <c r="K587" i="61"/>
  <c r="N587" i="61"/>
  <c r="K588" i="61"/>
  <c r="N588" i="61"/>
  <c r="K589" i="61"/>
  <c r="N589" i="61"/>
  <c r="K590" i="61"/>
  <c r="N590" i="61"/>
  <c r="K591" i="61"/>
  <c r="N591" i="61"/>
  <c r="K592" i="61"/>
  <c r="N592" i="61"/>
  <c r="K593" i="61"/>
  <c r="N593" i="61"/>
  <c r="K594" i="61"/>
  <c r="N594" i="61"/>
  <c r="K595" i="61"/>
  <c r="N595" i="61"/>
  <c r="K596" i="61"/>
  <c r="N596" i="61"/>
  <c r="K597" i="61"/>
  <c r="N597" i="61"/>
  <c r="K598" i="61"/>
  <c r="N598" i="61"/>
  <c r="K599" i="61"/>
  <c r="N599" i="61"/>
  <c r="K600" i="61"/>
  <c r="N600" i="61"/>
  <c r="K601" i="61"/>
  <c r="N601" i="61"/>
  <c r="K602" i="61"/>
  <c r="N602" i="61"/>
  <c r="K603" i="61"/>
  <c r="N603" i="61"/>
  <c r="K604" i="61"/>
  <c r="N604" i="61"/>
  <c r="K605" i="61"/>
  <c r="N605" i="61"/>
  <c r="K606" i="61"/>
  <c r="N606" i="61"/>
  <c r="K607" i="61"/>
  <c r="N607" i="61"/>
  <c r="K608" i="61"/>
  <c r="N608" i="61"/>
  <c r="K609" i="61"/>
  <c r="N609" i="61"/>
  <c r="K610" i="61"/>
  <c r="N610" i="61"/>
  <c r="K611" i="61"/>
  <c r="N611" i="61"/>
  <c r="K612" i="61"/>
  <c r="N612" i="61"/>
  <c r="K613" i="61"/>
  <c r="N613" i="61"/>
  <c r="K614" i="61"/>
  <c r="N614" i="61"/>
  <c r="K615" i="61"/>
  <c r="N615" i="61"/>
  <c r="J616" i="61"/>
  <c r="M616" i="61"/>
  <c r="J617" i="61"/>
  <c r="M617" i="61"/>
  <c r="J618" i="61"/>
  <c r="M618" i="61"/>
  <c r="J619" i="61"/>
  <c r="M619" i="61"/>
  <c r="J620" i="61"/>
  <c r="M620" i="61"/>
  <c r="J621" i="61"/>
  <c r="M621" i="61"/>
  <c r="J622" i="61"/>
  <c r="M622" i="61"/>
  <c r="J623" i="61"/>
  <c r="M623" i="61"/>
  <c r="J624" i="61"/>
  <c r="M624" i="61"/>
  <c r="J625" i="61"/>
  <c r="M625" i="61"/>
  <c r="J626" i="61"/>
  <c r="M626" i="61"/>
  <c r="J627" i="61"/>
  <c r="M627" i="61"/>
  <c r="J628" i="61"/>
  <c r="M628" i="61"/>
  <c r="K629" i="61"/>
  <c r="N629" i="61"/>
  <c r="K630" i="61"/>
  <c r="N630" i="61"/>
  <c r="K631" i="61"/>
  <c r="N631" i="61"/>
  <c r="K632" i="61"/>
  <c r="N632" i="61"/>
  <c r="K633" i="61"/>
  <c r="N633" i="61"/>
  <c r="K634" i="61"/>
  <c r="N634" i="61"/>
  <c r="K635" i="61"/>
  <c r="N635" i="61"/>
  <c r="K636" i="61"/>
  <c r="N636" i="61"/>
  <c r="K637" i="61"/>
  <c r="N637" i="61"/>
  <c r="K638" i="61"/>
  <c r="N638" i="61"/>
  <c r="K639" i="61"/>
  <c r="N639" i="61"/>
  <c r="K640" i="61"/>
  <c r="N640" i="61"/>
  <c r="K641" i="61"/>
  <c r="N641" i="61"/>
  <c r="K642" i="61"/>
  <c r="N642" i="61"/>
  <c r="K643" i="61"/>
  <c r="N643" i="61"/>
  <c r="K644" i="61"/>
  <c r="N644" i="61"/>
  <c r="K645" i="61"/>
  <c r="N645" i="61"/>
  <c r="K646" i="61"/>
  <c r="N646" i="61"/>
  <c r="K647" i="61"/>
  <c r="N647" i="61"/>
  <c r="K648" i="61"/>
  <c r="N648" i="61"/>
  <c r="K649" i="61"/>
  <c r="N649" i="61"/>
  <c r="K650" i="61"/>
  <c r="N650" i="61"/>
  <c r="K651" i="61"/>
  <c r="N651" i="61"/>
  <c r="K652" i="61"/>
  <c r="N652" i="61"/>
  <c r="K653" i="61"/>
  <c r="N653" i="61"/>
  <c r="K654" i="61"/>
  <c r="N654" i="61"/>
  <c r="K655" i="61"/>
  <c r="N655" i="61"/>
  <c r="K656" i="61"/>
  <c r="N656" i="61"/>
  <c r="K657" i="61"/>
  <c r="N657" i="61"/>
  <c r="K658" i="61"/>
  <c r="N658" i="61"/>
  <c r="K659" i="61"/>
  <c r="N659" i="61"/>
  <c r="K660" i="61"/>
  <c r="N660" i="61"/>
  <c r="K661" i="61"/>
  <c r="N661" i="61"/>
  <c r="K662" i="61"/>
  <c r="N662" i="61"/>
  <c r="K663" i="61"/>
  <c r="N663" i="61"/>
  <c r="K664" i="61"/>
  <c r="N664" i="61"/>
  <c r="K665" i="61"/>
  <c r="N665" i="61"/>
  <c r="K666" i="61"/>
  <c r="N666" i="61"/>
  <c r="K667" i="61"/>
  <c r="N667" i="61"/>
  <c r="K668" i="61"/>
  <c r="N668" i="61"/>
  <c r="K669" i="61"/>
  <c r="N669" i="61"/>
  <c r="K670" i="61"/>
  <c r="N670" i="61"/>
  <c r="K671" i="61"/>
  <c r="N671" i="61"/>
  <c r="K672" i="61"/>
  <c r="N672" i="61"/>
  <c r="K673" i="61"/>
  <c r="N673" i="61"/>
  <c r="K674" i="61"/>
  <c r="N674" i="61"/>
  <c r="K675" i="61"/>
  <c r="N675" i="61"/>
  <c r="K676" i="61"/>
  <c r="N676" i="61"/>
  <c r="K677" i="61"/>
  <c r="N677" i="61"/>
  <c r="K678" i="61"/>
  <c r="N678" i="61"/>
  <c r="K679" i="61"/>
  <c r="N679" i="61"/>
  <c r="K680" i="61"/>
  <c r="N680" i="61"/>
  <c r="K681" i="61"/>
  <c r="N681" i="61"/>
  <c r="K682" i="61"/>
  <c r="N682" i="61"/>
  <c r="K683" i="61"/>
  <c r="N683" i="61"/>
  <c r="K684" i="61"/>
  <c r="N684" i="61"/>
  <c r="K685" i="61"/>
  <c r="N685" i="61"/>
  <c r="K686" i="61"/>
  <c r="N686" i="61"/>
  <c r="K687" i="61"/>
  <c r="N687" i="61"/>
  <c r="K688" i="61"/>
  <c r="N688" i="61"/>
  <c r="K689" i="61"/>
  <c r="N689" i="61"/>
  <c r="K690" i="61"/>
  <c r="N690" i="61"/>
  <c r="K691" i="61"/>
  <c r="N691" i="61"/>
  <c r="K692" i="61"/>
  <c r="N692" i="61"/>
  <c r="K693" i="61"/>
  <c r="N693" i="61"/>
  <c r="K694" i="61"/>
  <c r="N694" i="61"/>
  <c r="K695" i="61"/>
  <c r="N695" i="61"/>
  <c r="K696" i="61"/>
  <c r="N696" i="61"/>
  <c r="K697" i="61"/>
  <c r="N697" i="61"/>
  <c r="K698" i="61"/>
  <c r="N698" i="61"/>
  <c r="K699" i="61"/>
  <c r="N699" i="61"/>
  <c r="K700" i="61"/>
  <c r="N700" i="61"/>
  <c r="K701" i="61"/>
  <c r="N701" i="61"/>
  <c r="K702" i="61"/>
  <c r="N702" i="61"/>
  <c r="K703" i="61"/>
  <c r="N703" i="61"/>
  <c r="K704" i="61"/>
  <c r="N704" i="61"/>
  <c r="K705" i="61"/>
  <c r="N705" i="61"/>
  <c r="K706" i="61"/>
  <c r="N706" i="61"/>
  <c r="K707" i="61"/>
  <c r="N707" i="61"/>
  <c r="K708" i="61"/>
  <c r="N708" i="61"/>
  <c r="K709" i="61"/>
  <c r="N709" i="61"/>
  <c r="K710" i="61"/>
  <c r="N710" i="61"/>
  <c r="K711" i="61"/>
  <c r="N711" i="61"/>
  <c r="K712" i="61"/>
  <c r="N712" i="61"/>
  <c r="K713" i="61"/>
  <c r="N713" i="61"/>
  <c r="K714" i="61"/>
  <c r="N714" i="61"/>
  <c r="K715" i="61"/>
  <c r="N715" i="61"/>
  <c r="K716" i="61"/>
  <c r="N716" i="61"/>
  <c r="K717" i="61"/>
  <c r="N717" i="61"/>
  <c r="K718" i="61"/>
  <c r="N718" i="61"/>
  <c r="K719" i="61"/>
  <c r="N719" i="61"/>
  <c r="K720" i="61"/>
  <c r="N720" i="61"/>
  <c r="K721" i="61"/>
  <c r="N721" i="61"/>
  <c r="K722" i="61"/>
  <c r="N722" i="61"/>
  <c r="K723" i="61"/>
  <c r="N723" i="61"/>
  <c r="K724" i="61"/>
  <c r="N724" i="61"/>
  <c r="K725" i="61"/>
  <c r="N725" i="61"/>
  <c r="K726" i="61"/>
  <c r="N726" i="61"/>
  <c r="K727" i="61"/>
  <c r="N727" i="61"/>
  <c r="K728" i="61"/>
  <c r="N728" i="61"/>
  <c r="K729" i="61"/>
  <c r="N729" i="61"/>
  <c r="K730" i="61"/>
  <c r="N730" i="61"/>
  <c r="K731" i="61"/>
  <c r="N731" i="61"/>
  <c r="K732" i="61"/>
  <c r="N732" i="61"/>
  <c r="K733" i="61"/>
  <c r="N733" i="61"/>
  <c r="K734" i="61"/>
  <c r="N734" i="61"/>
  <c r="K735" i="61"/>
  <c r="N735" i="61"/>
  <c r="K736" i="61"/>
  <c r="N736" i="61"/>
  <c r="K737" i="61"/>
  <c r="N737" i="61"/>
  <c r="K738" i="61"/>
  <c r="N738" i="61"/>
  <c r="K739" i="61"/>
  <c r="N739" i="61"/>
  <c r="K740" i="61"/>
  <c r="N740" i="61"/>
  <c r="K741" i="61"/>
  <c r="N741" i="61"/>
  <c r="K742" i="61"/>
  <c r="N742" i="61"/>
  <c r="K743" i="61"/>
  <c r="N743" i="61"/>
  <c r="K744" i="61"/>
  <c r="N744" i="61"/>
  <c r="K745" i="61"/>
  <c r="N745" i="61"/>
  <c r="K746" i="61"/>
  <c r="N746" i="61"/>
  <c r="K747" i="61"/>
  <c r="N747" i="61"/>
  <c r="K748" i="61"/>
  <c r="N748" i="61"/>
  <c r="K749" i="61"/>
  <c r="N749" i="61"/>
  <c r="K750" i="61"/>
  <c r="N750" i="61"/>
  <c r="K751" i="61"/>
  <c r="N751" i="61"/>
  <c r="K752" i="61"/>
  <c r="N752" i="61"/>
  <c r="K753" i="61"/>
  <c r="N753" i="61"/>
  <c r="K754" i="61"/>
  <c r="N754" i="61"/>
  <c r="K755" i="61"/>
  <c r="N755" i="61"/>
  <c r="K756" i="61"/>
  <c r="N756" i="61"/>
  <c r="K757" i="61"/>
  <c r="N757" i="61"/>
  <c r="K758" i="61"/>
  <c r="N758" i="61"/>
  <c r="K759" i="61"/>
  <c r="N759" i="61"/>
  <c r="K760" i="61"/>
  <c r="N760" i="61"/>
  <c r="K761" i="61"/>
  <c r="N761" i="61"/>
  <c r="K762" i="61"/>
  <c r="N762" i="61"/>
  <c r="K763" i="61"/>
  <c r="N763" i="61"/>
  <c r="K764" i="61"/>
  <c r="N764" i="61"/>
  <c r="K765" i="61"/>
  <c r="N765" i="61"/>
  <c r="K766" i="61"/>
  <c r="N766" i="61"/>
  <c r="K767" i="61"/>
  <c r="N767" i="61"/>
  <c r="K768" i="61"/>
  <c r="N768" i="61"/>
  <c r="K769" i="61"/>
  <c r="N769" i="61"/>
  <c r="K770" i="61"/>
  <c r="N770" i="61"/>
  <c r="K771" i="61"/>
  <c r="N771" i="61"/>
  <c r="K772" i="61"/>
  <c r="N772" i="61"/>
  <c r="K773" i="61"/>
  <c r="N773" i="61"/>
  <c r="K774" i="61"/>
  <c r="N774" i="61"/>
  <c r="K775" i="61"/>
  <c r="N775" i="61"/>
  <c r="K776" i="61"/>
  <c r="N776" i="61"/>
  <c r="K777" i="61"/>
  <c r="N777" i="61"/>
  <c r="K778" i="61"/>
  <c r="N778" i="61"/>
  <c r="K779" i="61"/>
  <c r="N779" i="61"/>
  <c r="K780" i="61"/>
  <c r="N780" i="61"/>
  <c r="K781" i="61"/>
  <c r="N781" i="61"/>
  <c r="K782" i="61"/>
  <c r="N782" i="61"/>
  <c r="K783" i="61"/>
  <c r="N783" i="61"/>
  <c r="K784" i="61"/>
  <c r="N784" i="61"/>
  <c r="K785" i="61"/>
  <c r="N785" i="61"/>
  <c r="K786" i="61"/>
  <c r="N786" i="61"/>
  <c r="K787" i="61"/>
  <c r="N787" i="61"/>
  <c r="K788" i="61"/>
  <c r="N788" i="61"/>
  <c r="K789" i="61"/>
  <c r="N789" i="61"/>
  <c r="K790" i="61"/>
  <c r="N790" i="61"/>
  <c r="K791" i="61"/>
  <c r="N791" i="61"/>
  <c r="K792" i="61"/>
  <c r="N792" i="61"/>
  <c r="K793" i="61"/>
  <c r="N793" i="61"/>
  <c r="K794" i="61"/>
  <c r="N794" i="61"/>
  <c r="K795" i="61"/>
  <c r="N795" i="61"/>
  <c r="K796" i="61"/>
  <c r="N796" i="61"/>
  <c r="K797" i="61"/>
  <c r="N797" i="61"/>
  <c r="K798" i="61"/>
  <c r="N798" i="61"/>
  <c r="K799" i="61"/>
  <c r="N799" i="61"/>
  <c r="K800" i="61"/>
  <c r="N800" i="61"/>
  <c r="K801" i="61"/>
  <c r="N801" i="61"/>
  <c r="K802" i="61"/>
  <c r="N802" i="61"/>
  <c r="K803" i="61"/>
  <c r="N803" i="61"/>
  <c r="K804" i="61"/>
  <c r="N804" i="61"/>
  <c r="K805" i="61"/>
  <c r="N805" i="61"/>
  <c r="K806" i="61"/>
  <c r="N806" i="61"/>
  <c r="K807" i="61"/>
  <c r="N807" i="61"/>
  <c r="K808" i="61"/>
  <c r="N808" i="61"/>
  <c r="K809" i="61"/>
  <c r="N809" i="61"/>
  <c r="K810" i="61"/>
  <c r="N810" i="61"/>
  <c r="K811" i="61"/>
  <c r="N811" i="61"/>
  <c r="K812" i="61"/>
  <c r="N812" i="61"/>
  <c r="K813" i="61"/>
  <c r="N813" i="61"/>
  <c r="K814" i="61"/>
  <c r="N814" i="61"/>
  <c r="K815" i="61"/>
  <c r="N815" i="61"/>
  <c r="K816" i="61"/>
  <c r="N816" i="61"/>
  <c r="K817" i="61"/>
  <c r="N817" i="61"/>
  <c r="K818" i="61"/>
  <c r="N818" i="61"/>
  <c r="K819" i="61"/>
  <c r="N819" i="61"/>
  <c r="K820" i="61"/>
  <c r="N820" i="61"/>
  <c r="K821" i="61"/>
  <c r="N821" i="61"/>
  <c r="K822" i="61"/>
  <c r="N822" i="61"/>
  <c r="K823" i="61"/>
  <c r="N823" i="61"/>
  <c r="K824" i="61"/>
  <c r="N824" i="61"/>
  <c r="K825" i="61"/>
  <c r="N825" i="61"/>
  <c r="K826" i="61"/>
  <c r="N826" i="61"/>
  <c r="K827" i="61"/>
  <c r="N827" i="61"/>
  <c r="K828" i="61"/>
  <c r="N828" i="61"/>
  <c r="K829" i="61"/>
  <c r="N829" i="61"/>
  <c r="K830" i="61"/>
  <c r="N830" i="61"/>
  <c r="K831" i="61"/>
  <c r="N831" i="61"/>
  <c r="K832" i="61"/>
  <c r="N832" i="61"/>
  <c r="K833" i="61"/>
  <c r="N833" i="61"/>
  <c r="K834" i="61"/>
  <c r="N834" i="61"/>
  <c r="K835" i="61"/>
  <c r="N835" i="61"/>
  <c r="K836" i="61"/>
  <c r="N836" i="61"/>
  <c r="K837" i="61"/>
  <c r="N837" i="61"/>
  <c r="K838" i="61"/>
  <c r="N838" i="61"/>
  <c r="K839" i="61"/>
  <c r="N839" i="61"/>
  <c r="K840" i="61"/>
  <c r="N840" i="61"/>
  <c r="K841" i="61"/>
  <c r="N841" i="61"/>
  <c r="K842" i="61"/>
  <c r="N842" i="61"/>
  <c r="K843" i="61"/>
  <c r="N843" i="61"/>
  <c r="K844" i="61"/>
  <c r="N844" i="61"/>
  <c r="K845" i="61"/>
  <c r="N845" i="61"/>
  <c r="K846" i="61"/>
  <c r="N846" i="61"/>
  <c r="K847" i="61"/>
  <c r="N847" i="61"/>
  <c r="K848" i="61"/>
  <c r="N848" i="61"/>
  <c r="K849" i="61"/>
  <c r="N849" i="61"/>
  <c r="K850" i="61"/>
  <c r="N850" i="61"/>
  <c r="K851" i="61"/>
  <c r="N851" i="61"/>
  <c r="K852" i="61"/>
  <c r="N852" i="61"/>
  <c r="K853" i="61"/>
  <c r="N853" i="61"/>
  <c r="K854" i="61"/>
  <c r="N854" i="61"/>
  <c r="K855" i="61"/>
  <c r="N855" i="61"/>
  <c r="K856" i="61"/>
  <c r="N856" i="61"/>
  <c r="K857" i="61"/>
  <c r="N857" i="61"/>
  <c r="K858" i="61"/>
  <c r="N858" i="61"/>
  <c r="K859" i="61"/>
  <c r="N859" i="61"/>
  <c r="K860" i="61"/>
  <c r="N860" i="61"/>
  <c r="K861" i="61"/>
  <c r="N861" i="61"/>
  <c r="K862" i="61"/>
  <c r="N862" i="61"/>
  <c r="K863" i="61"/>
  <c r="N863" i="61"/>
  <c r="K864" i="61"/>
  <c r="N864" i="61"/>
  <c r="K865" i="61"/>
  <c r="N865" i="61"/>
  <c r="K866" i="61"/>
  <c r="N866" i="61"/>
  <c r="K867" i="61"/>
  <c r="N867" i="61"/>
  <c r="K868" i="61"/>
  <c r="N868" i="61"/>
  <c r="K869" i="61"/>
  <c r="N869" i="61"/>
  <c r="K870" i="61"/>
  <c r="N870" i="61"/>
  <c r="K871" i="61"/>
  <c r="N871" i="61"/>
  <c r="K872" i="61"/>
  <c r="N872" i="61"/>
  <c r="K873" i="61"/>
  <c r="N873" i="61"/>
  <c r="K874" i="61"/>
  <c r="N874" i="61"/>
  <c r="K875" i="61"/>
  <c r="N875" i="61"/>
  <c r="K876" i="61"/>
  <c r="N876" i="61"/>
  <c r="K877" i="61"/>
  <c r="N877" i="61"/>
  <c r="K878" i="61"/>
  <c r="N878" i="61"/>
  <c r="K879" i="61"/>
  <c r="N879" i="61"/>
  <c r="K880" i="61"/>
  <c r="N880" i="61"/>
  <c r="K881" i="61"/>
  <c r="N881" i="61"/>
  <c r="K882" i="61"/>
  <c r="N882" i="61"/>
  <c r="K883" i="61"/>
  <c r="N883" i="61"/>
  <c r="K884" i="61"/>
  <c r="N884" i="61"/>
  <c r="K885" i="61"/>
  <c r="N885" i="61"/>
  <c r="K886" i="61"/>
  <c r="N886" i="61"/>
  <c r="K887" i="61"/>
  <c r="N887" i="61"/>
  <c r="K888" i="61"/>
  <c r="N888" i="61"/>
  <c r="K889" i="61"/>
  <c r="N889" i="61"/>
  <c r="K890" i="61"/>
  <c r="N890" i="61"/>
  <c r="K891" i="61"/>
  <c r="N891" i="61"/>
  <c r="K892" i="61"/>
  <c r="N892" i="61"/>
  <c r="K893" i="61"/>
  <c r="N893" i="61"/>
  <c r="K894" i="61"/>
  <c r="N894" i="61"/>
  <c r="K895" i="61"/>
  <c r="N895" i="61"/>
  <c r="K896" i="61"/>
  <c r="N896" i="61"/>
  <c r="K897" i="61"/>
  <c r="N897" i="61"/>
  <c r="K898" i="61"/>
  <c r="N898" i="61"/>
  <c r="K899" i="61"/>
  <c r="N899" i="61"/>
  <c r="K900" i="61"/>
  <c r="N900" i="61"/>
  <c r="K901" i="61"/>
  <c r="N901" i="61"/>
  <c r="K902" i="61"/>
  <c r="N902" i="61"/>
  <c r="K903" i="61"/>
  <c r="N903" i="61"/>
  <c r="K904" i="61"/>
  <c r="N904" i="61"/>
  <c r="K905" i="61"/>
  <c r="N905" i="61"/>
  <c r="K906" i="61"/>
  <c r="N906" i="61"/>
  <c r="K907" i="61"/>
  <c r="N907" i="61"/>
  <c r="K908" i="61"/>
  <c r="N908" i="61"/>
  <c r="K909" i="61"/>
  <c r="N909" i="61"/>
  <c r="K910" i="61"/>
  <c r="N910" i="61"/>
  <c r="K911" i="61"/>
  <c r="N911" i="61"/>
  <c r="K912" i="61"/>
  <c r="N912" i="61"/>
  <c r="K913" i="61"/>
  <c r="N913" i="61"/>
  <c r="K914" i="61"/>
  <c r="N914" i="61"/>
  <c r="K915" i="61"/>
  <c r="N915" i="61"/>
  <c r="K916" i="61"/>
  <c r="N916" i="61"/>
  <c r="K917" i="61"/>
  <c r="N917" i="61"/>
  <c r="K918" i="61"/>
  <c r="N918" i="61"/>
  <c r="K919" i="61"/>
  <c r="N919" i="61"/>
  <c r="K920" i="61"/>
  <c r="N920" i="61"/>
  <c r="K921" i="61"/>
  <c r="N921" i="61"/>
  <c r="K922" i="61"/>
  <c r="N922" i="61"/>
  <c r="K923" i="61"/>
  <c r="N923" i="61"/>
  <c r="K924" i="61"/>
  <c r="N924" i="61"/>
  <c r="K925" i="61"/>
  <c r="N925" i="61"/>
  <c r="K926" i="61"/>
  <c r="N926" i="61"/>
  <c r="K927" i="61"/>
  <c r="N927" i="61"/>
  <c r="K928" i="61"/>
  <c r="N928" i="61"/>
  <c r="K929" i="61"/>
  <c r="N929" i="61"/>
  <c r="K930" i="61"/>
  <c r="N930" i="61"/>
  <c r="K931" i="61"/>
  <c r="N931" i="61"/>
  <c r="K932" i="61"/>
  <c r="N932" i="61"/>
  <c r="K933" i="61"/>
  <c r="N933" i="61"/>
  <c r="K934" i="61"/>
  <c r="N934" i="61"/>
  <c r="K935" i="61"/>
  <c r="N935" i="61"/>
  <c r="K936" i="61"/>
  <c r="N936" i="61"/>
  <c r="K937" i="61"/>
  <c r="N937" i="61"/>
  <c r="K938" i="61"/>
  <c r="N938" i="61"/>
  <c r="K939" i="61"/>
  <c r="N939" i="61"/>
  <c r="K940" i="61"/>
  <c r="N940" i="61"/>
  <c r="K941" i="61"/>
  <c r="N941" i="61"/>
  <c r="K942" i="61"/>
  <c r="N942" i="61"/>
  <c r="K943" i="61"/>
  <c r="N943" i="61"/>
  <c r="K944" i="61"/>
  <c r="N944" i="61"/>
  <c r="K945" i="61"/>
  <c r="N945" i="61"/>
  <c r="K946" i="61"/>
  <c r="N946" i="61"/>
  <c r="K947" i="61"/>
  <c r="N947" i="61"/>
  <c r="K948" i="61"/>
  <c r="N948" i="61"/>
  <c r="K949" i="61"/>
  <c r="N949" i="61"/>
  <c r="K950" i="61"/>
  <c r="N950" i="61"/>
  <c r="K951" i="61"/>
  <c r="N951" i="61"/>
  <c r="K952" i="61"/>
  <c r="N952" i="61"/>
  <c r="K953" i="61"/>
  <c r="N953" i="61"/>
  <c r="K954" i="61"/>
  <c r="N954" i="61"/>
  <c r="K955" i="61"/>
  <c r="N955" i="61"/>
  <c r="K956" i="61"/>
  <c r="N956" i="61"/>
  <c r="K957" i="61"/>
  <c r="N957" i="61"/>
  <c r="K958" i="61"/>
  <c r="N958" i="61"/>
  <c r="K959" i="61"/>
  <c r="N959" i="61"/>
  <c r="K960" i="61"/>
  <c r="N960" i="61"/>
  <c r="K961" i="61"/>
  <c r="N961" i="61"/>
  <c r="K962" i="61"/>
  <c r="N962" i="61"/>
  <c r="K963" i="61"/>
  <c r="N963" i="61"/>
  <c r="K964" i="61"/>
  <c r="N964" i="61"/>
  <c r="K965" i="61"/>
  <c r="N965" i="61"/>
  <c r="K966" i="61"/>
  <c r="N966" i="61"/>
  <c r="K967" i="61"/>
  <c r="N967" i="61"/>
  <c r="K968" i="61"/>
  <c r="N968" i="61"/>
  <c r="K969" i="61"/>
  <c r="N969" i="61"/>
  <c r="K970" i="61"/>
  <c r="N970" i="61"/>
  <c r="K971" i="61"/>
  <c r="N971" i="61"/>
  <c r="K972" i="61"/>
  <c r="N972" i="61"/>
  <c r="K973" i="61"/>
  <c r="N973" i="61"/>
  <c r="K974" i="61"/>
  <c r="N974" i="61"/>
  <c r="K975" i="61"/>
  <c r="N975" i="61"/>
  <c r="K976" i="61"/>
  <c r="N976" i="61"/>
  <c r="K977" i="61"/>
  <c r="N977" i="61"/>
  <c r="K978" i="61"/>
  <c r="N978" i="61"/>
  <c r="K979" i="61"/>
  <c r="N979" i="61"/>
  <c r="K980" i="61"/>
  <c r="N980" i="61"/>
  <c r="K981" i="61"/>
  <c r="N981" i="61"/>
  <c r="K982" i="61"/>
  <c r="N982" i="61"/>
  <c r="K983" i="61"/>
  <c r="N983" i="61"/>
  <c r="K984" i="61"/>
  <c r="N984" i="61"/>
  <c r="K985" i="61"/>
  <c r="N985" i="61"/>
  <c r="K986" i="61"/>
  <c r="N986" i="61"/>
  <c r="K987" i="61"/>
  <c r="N987" i="61"/>
  <c r="K988" i="61"/>
  <c r="N988" i="61"/>
  <c r="K989" i="61"/>
  <c r="N989" i="61"/>
  <c r="K990" i="61"/>
  <c r="N990" i="61"/>
  <c r="K991" i="61"/>
  <c r="N991" i="61"/>
  <c r="K992" i="61"/>
  <c r="N992" i="61"/>
  <c r="K993" i="61"/>
  <c r="N993" i="61"/>
  <c r="K994" i="61"/>
  <c r="N994" i="61"/>
  <c r="K995" i="61"/>
  <c r="N995" i="61"/>
  <c r="K996" i="61"/>
  <c r="N996" i="61"/>
  <c r="K997" i="61"/>
  <c r="N997" i="61"/>
  <c r="K998" i="61"/>
  <c r="N998" i="61"/>
  <c r="K999" i="61"/>
  <c r="N999" i="61"/>
  <c r="K1000" i="61"/>
  <c r="N1000" i="61"/>
  <c r="K1001" i="61"/>
  <c r="N1001" i="61"/>
  <c r="K1002" i="61"/>
  <c r="N1002" i="61"/>
  <c r="K1003" i="61"/>
  <c r="N1003" i="61"/>
  <c r="K1004" i="61"/>
  <c r="N1004" i="61"/>
  <c r="K1005" i="61"/>
  <c r="N1005" i="61"/>
  <c r="K1006" i="61"/>
  <c r="N1006" i="61"/>
  <c r="K1007" i="61"/>
  <c r="N1007" i="61"/>
  <c r="K1008" i="61"/>
  <c r="N1008" i="61"/>
  <c r="K1009" i="61"/>
  <c r="N1009" i="61"/>
  <c r="K1010" i="61"/>
  <c r="N1010" i="61"/>
  <c r="K1011" i="61"/>
  <c r="N1011" i="61"/>
  <c r="K1012" i="61"/>
  <c r="N1012" i="61"/>
  <c r="K1013" i="61"/>
  <c r="N1013" i="61"/>
  <c r="K1014" i="61"/>
  <c r="N1014" i="61"/>
  <c r="K1015" i="61"/>
  <c r="N1015" i="61"/>
  <c r="K1016" i="61"/>
  <c r="N1016" i="61"/>
  <c r="K1017" i="61"/>
  <c r="N1017" i="61"/>
  <c r="K1018" i="61"/>
  <c r="N1018" i="61"/>
  <c r="K1019" i="61"/>
  <c r="N1019" i="61"/>
  <c r="K1020" i="61"/>
  <c r="N1020" i="61"/>
  <c r="K1021" i="61"/>
  <c r="N1021" i="61"/>
  <c r="K1022" i="61"/>
  <c r="N1022" i="61"/>
  <c r="K1023" i="61"/>
  <c r="N1023" i="61"/>
  <c r="K1024" i="61"/>
  <c r="N1024" i="61"/>
  <c r="K1025" i="61"/>
  <c r="N1025" i="61"/>
  <c r="K1026" i="61"/>
  <c r="N1026" i="61"/>
  <c r="K1027" i="61"/>
  <c r="N1027" i="61"/>
  <c r="K1028" i="61"/>
  <c r="N1028" i="61"/>
  <c r="K1029" i="61"/>
  <c r="N1029" i="61"/>
  <c r="K1030" i="61"/>
  <c r="N1030" i="61"/>
  <c r="K1031" i="61"/>
  <c r="N1031" i="61"/>
  <c r="K1032" i="61"/>
  <c r="N1032" i="61"/>
  <c r="K1033" i="61"/>
  <c r="N1033" i="61"/>
  <c r="K1034" i="61"/>
  <c r="N1034" i="61"/>
  <c r="K1035" i="61"/>
  <c r="N1035" i="61"/>
  <c r="K1036" i="61"/>
  <c r="N1036" i="61"/>
  <c r="K1037" i="61"/>
  <c r="N1037" i="61"/>
  <c r="K1038" i="61"/>
  <c r="N1038" i="61"/>
  <c r="K1039" i="61"/>
  <c r="N1039" i="61"/>
  <c r="K1040" i="61"/>
  <c r="N1040" i="61"/>
  <c r="K1041" i="61"/>
  <c r="N1041" i="61"/>
  <c r="K1042" i="61"/>
  <c r="N1042" i="61"/>
  <c r="K1043" i="61"/>
  <c r="N1043" i="61"/>
  <c r="K1044" i="61"/>
  <c r="N1044" i="61"/>
  <c r="K1045" i="61"/>
  <c r="N1045" i="61"/>
  <c r="K1046" i="61"/>
  <c r="N1046" i="61"/>
  <c r="K1047" i="61"/>
  <c r="N1047" i="61"/>
  <c r="K1048" i="61"/>
  <c r="N1048" i="61"/>
  <c r="K1049" i="61"/>
  <c r="N1049" i="61"/>
  <c r="K1050" i="61"/>
  <c r="N1050" i="61"/>
  <c r="K1051" i="61"/>
  <c r="N1051" i="61"/>
  <c r="K1052" i="61"/>
  <c r="N1052" i="61"/>
  <c r="K1053" i="61"/>
  <c r="N1053" i="61"/>
  <c r="K1054" i="61"/>
  <c r="N1054" i="61"/>
  <c r="K1055" i="61"/>
  <c r="N1055" i="61"/>
  <c r="K1056" i="61"/>
  <c r="N1056" i="61"/>
  <c r="K1057" i="61"/>
  <c r="N1057" i="61"/>
  <c r="K1058" i="61"/>
  <c r="N1058" i="61"/>
  <c r="K1059" i="61"/>
  <c r="N1059" i="61"/>
  <c r="K1060" i="61"/>
  <c r="N1060" i="61"/>
  <c r="K1061" i="61"/>
  <c r="N1061" i="61"/>
  <c r="K1062" i="61"/>
  <c r="N1062" i="61"/>
  <c r="K1063" i="61"/>
  <c r="N1063" i="61"/>
  <c r="K1064" i="61"/>
  <c r="N1064" i="61"/>
  <c r="K1065" i="61"/>
  <c r="N1065" i="61"/>
  <c r="K1066" i="61"/>
  <c r="N1066" i="61"/>
  <c r="K1067" i="61"/>
  <c r="N1067" i="61"/>
  <c r="K1068" i="61"/>
  <c r="N1068" i="61"/>
  <c r="K1069" i="61"/>
  <c r="N1069" i="61"/>
  <c r="K1070" i="61"/>
  <c r="N1070" i="61"/>
  <c r="K1071" i="61"/>
  <c r="N1071" i="61"/>
  <c r="K1072" i="61"/>
  <c r="N1072" i="61"/>
  <c r="K1073" i="61"/>
  <c r="N1073" i="61"/>
  <c r="K1074" i="61"/>
  <c r="N1074" i="61"/>
  <c r="K1075" i="61"/>
  <c r="N1075" i="61"/>
  <c r="K1076" i="61"/>
  <c r="N1076" i="61"/>
  <c r="K1077" i="61"/>
  <c r="N1077" i="61"/>
  <c r="K1078" i="61"/>
  <c r="N1078" i="61"/>
  <c r="K1079" i="61"/>
  <c r="N1079" i="61"/>
  <c r="K1080" i="61"/>
  <c r="N1080" i="61"/>
  <c r="K1081" i="61"/>
  <c r="N1081" i="61"/>
  <c r="K1082" i="61"/>
  <c r="N1082" i="61"/>
  <c r="K1083" i="61"/>
  <c r="N1083" i="61"/>
  <c r="K1084" i="61"/>
  <c r="N1084" i="61"/>
  <c r="K1085" i="61"/>
  <c r="N1085" i="61"/>
  <c r="K1086" i="61"/>
  <c r="N1086" i="61"/>
  <c r="K1087" i="61"/>
  <c r="N1087" i="61"/>
  <c r="K1088" i="61"/>
  <c r="N1088" i="61"/>
  <c r="K1089" i="61"/>
  <c r="N1089" i="61"/>
  <c r="K1090" i="61"/>
  <c r="N1090" i="61"/>
  <c r="K1091" i="61"/>
  <c r="N1091" i="61"/>
  <c r="K1092" i="61"/>
  <c r="N1092" i="61"/>
  <c r="K1093" i="61"/>
  <c r="N1093" i="61"/>
  <c r="K1094" i="61"/>
  <c r="N1094" i="61"/>
  <c r="K1095" i="61"/>
  <c r="N1095" i="61"/>
  <c r="K1096" i="61"/>
  <c r="N1096" i="61"/>
  <c r="K1097" i="61"/>
  <c r="N1097" i="61"/>
  <c r="K1098" i="61"/>
  <c r="N1098" i="61"/>
  <c r="K1099" i="61"/>
  <c r="N1099" i="61"/>
  <c r="K1100" i="61"/>
  <c r="N1100" i="61"/>
  <c r="K1101" i="61"/>
  <c r="N1101" i="61"/>
  <c r="K1102" i="61"/>
  <c r="N1102" i="61"/>
  <c r="K1103" i="61"/>
  <c r="N1103" i="61"/>
  <c r="K1104" i="61"/>
  <c r="N1104" i="61"/>
  <c r="K1105" i="61"/>
  <c r="N1105" i="61"/>
  <c r="K1106" i="61"/>
  <c r="N1106" i="61"/>
  <c r="K1107" i="61"/>
  <c r="N1107" i="61"/>
  <c r="K1108" i="61"/>
  <c r="N1108" i="61"/>
  <c r="K1109" i="61"/>
  <c r="N1109" i="61"/>
  <c r="K1110" i="61"/>
  <c r="N1110" i="61"/>
  <c r="K1111" i="61"/>
  <c r="N1111" i="61"/>
  <c r="K1112" i="61"/>
  <c r="N1112" i="61"/>
  <c r="K1113" i="61"/>
  <c r="N1113" i="61"/>
  <c r="K1114" i="61"/>
  <c r="N1114" i="61"/>
  <c r="K1115" i="61"/>
  <c r="N1115" i="61"/>
  <c r="K1116" i="61"/>
  <c r="N1116" i="61"/>
  <c r="K1117" i="61"/>
  <c r="N1117" i="61"/>
  <c r="K1118" i="61"/>
  <c r="N1118" i="61"/>
  <c r="K1119" i="61"/>
  <c r="N1119" i="61"/>
  <c r="K1120" i="61"/>
  <c r="N1120" i="61"/>
  <c r="K1121" i="61"/>
  <c r="N1121" i="61"/>
  <c r="K1122" i="61"/>
  <c r="N1122" i="61"/>
  <c r="K1123" i="61"/>
  <c r="N1123" i="61"/>
  <c r="K1124" i="61"/>
  <c r="N1124" i="61"/>
  <c r="K1125" i="61"/>
  <c r="N1125" i="61"/>
  <c r="K1126" i="61"/>
  <c r="N1126" i="61"/>
  <c r="K1127" i="61"/>
  <c r="N1127" i="61"/>
  <c r="K1128" i="61"/>
  <c r="N1128" i="61"/>
  <c r="K1129" i="61"/>
  <c r="N1129" i="61"/>
  <c r="K1130" i="61"/>
  <c r="N1130" i="61"/>
  <c r="K1131" i="61"/>
  <c r="N1131" i="61"/>
  <c r="K1132" i="61"/>
  <c r="N1132" i="61"/>
  <c r="K1133" i="61"/>
  <c r="N1133" i="61"/>
  <c r="K1134" i="61"/>
  <c r="N1134" i="61"/>
  <c r="K1135" i="61"/>
  <c r="N1135" i="61"/>
  <c r="K1136" i="61"/>
  <c r="N1136" i="61"/>
  <c r="K1137" i="61"/>
  <c r="N1137" i="61"/>
  <c r="K1138" i="61"/>
  <c r="N1138" i="61"/>
  <c r="K1139" i="61"/>
  <c r="N1139" i="61"/>
  <c r="K1140" i="61"/>
  <c r="N1140" i="61"/>
  <c r="K1141" i="61"/>
  <c r="N1141" i="61"/>
  <c r="K1142" i="61"/>
  <c r="N1142" i="61"/>
  <c r="K1143" i="61"/>
  <c r="N1143" i="61"/>
  <c r="K1144" i="61"/>
  <c r="N1144" i="61"/>
  <c r="K1145" i="61"/>
  <c r="N1145" i="61"/>
  <c r="K1146" i="61"/>
  <c r="N1146" i="61"/>
  <c r="K1147" i="61"/>
  <c r="N1147" i="61"/>
  <c r="K1148" i="61"/>
  <c r="N1148" i="61"/>
  <c r="K1149" i="61"/>
  <c r="N1149" i="61"/>
  <c r="K1150" i="61"/>
  <c r="N1150" i="61"/>
  <c r="K1151" i="61"/>
  <c r="N1151" i="61"/>
  <c r="K1152" i="61"/>
  <c r="N1152" i="61"/>
  <c r="K1153" i="61"/>
  <c r="N1153" i="61"/>
  <c r="K1154" i="61"/>
  <c r="N1154" i="61"/>
  <c r="K1155" i="61"/>
  <c r="N1155" i="61"/>
  <c r="K1156" i="61"/>
  <c r="N1156" i="61"/>
  <c r="D48" i="5"/>
  <c r="E48" i="5"/>
  <c r="F48" i="5"/>
  <c r="D49" i="5"/>
  <c r="E49" i="5"/>
  <c r="F49" i="5"/>
  <c r="D51" i="5"/>
  <c r="D52" i="5"/>
  <c r="Y2" i="57"/>
  <c r="Z2" i="57"/>
  <c r="AE2" i="57"/>
  <c r="AF2" i="57"/>
  <c r="AK2" i="57"/>
  <c r="AL2" i="57"/>
  <c r="AU2" i="57"/>
  <c r="AV2" i="57"/>
  <c r="Y3" i="57"/>
  <c r="Z3" i="57"/>
  <c r="AE3" i="57"/>
  <c r="AF3" i="57"/>
  <c r="AK3" i="57"/>
  <c r="AL3" i="57"/>
  <c r="AU3" i="57"/>
  <c r="AV3" i="57"/>
  <c r="Y4" i="57"/>
  <c r="Z4" i="57"/>
  <c r="AE4" i="57"/>
  <c r="AF4" i="57"/>
  <c r="AK4" i="57"/>
  <c r="AL4" i="57"/>
  <c r="AU4" i="57"/>
  <c r="AV4" i="57"/>
  <c r="Y5" i="57"/>
  <c r="Z5" i="57"/>
  <c r="AE5" i="57"/>
  <c r="AF5" i="57"/>
  <c r="AK5" i="57"/>
  <c r="AL5" i="57"/>
  <c r="AU5" i="57"/>
  <c r="AV5" i="57"/>
  <c r="Y6" i="57"/>
  <c r="Z6" i="57"/>
  <c r="AE6" i="57"/>
  <c r="AF6" i="57"/>
  <c r="AK6" i="57"/>
  <c r="AL6" i="57"/>
  <c r="AU6" i="57"/>
  <c r="AV6" i="57"/>
  <c r="Y7" i="57"/>
  <c r="Z7" i="57"/>
  <c r="AE7" i="57"/>
  <c r="AF7" i="57"/>
  <c r="AK7" i="57"/>
  <c r="AL7" i="57"/>
  <c r="AU7" i="57"/>
  <c r="AV7" i="57"/>
  <c r="Y8" i="57"/>
  <c r="Z8" i="57"/>
  <c r="AE8" i="57"/>
  <c r="AF8" i="57"/>
  <c r="AK8" i="57"/>
  <c r="AL8" i="57"/>
  <c r="AU8" i="57"/>
  <c r="AV8" i="57"/>
  <c r="Y9" i="57"/>
  <c r="Z9" i="57"/>
  <c r="AE9" i="57"/>
  <c r="AF9" i="57"/>
  <c r="AK9" i="57"/>
  <c r="AL9" i="57"/>
  <c r="AU9" i="57"/>
  <c r="AV9" i="57"/>
  <c r="Y10" i="57"/>
  <c r="Z10" i="57"/>
  <c r="AE10" i="57"/>
  <c r="AF10" i="57"/>
  <c r="Y11" i="57"/>
  <c r="Z11" i="57"/>
  <c r="AE11" i="57"/>
  <c r="AF11" i="57"/>
  <c r="Y12" i="57"/>
  <c r="Z12" i="57"/>
  <c r="AE12" i="57"/>
  <c r="AF12" i="57"/>
  <c r="Y13" i="57"/>
  <c r="Z13" i="57"/>
  <c r="AE13" i="57"/>
  <c r="AF13" i="57"/>
  <c r="Y14" i="57"/>
  <c r="Z14" i="57"/>
  <c r="AE14" i="57"/>
  <c r="AF14" i="57"/>
  <c r="Y15" i="57"/>
  <c r="Z15" i="57"/>
  <c r="AE15" i="57"/>
  <c r="AF15" i="57"/>
  <c r="Y16" i="57"/>
  <c r="Z16" i="57"/>
  <c r="AE16" i="57"/>
  <c r="AF16" i="57"/>
  <c r="Y17" i="57"/>
  <c r="Z17" i="57"/>
  <c r="AE17" i="57"/>
  <c r="AF17" i="57"/>
  <c r="Y18" i="57"/>
  <c r="Z18" i="57"/>
  <c r="AE18" i="57"/>
  <c r="AF18" i="57"/>
  <c r="Y19" i="57"/>
  <c r="Z19" i="57"/>
  <c r="AE19" i="57"/>
  <c r="AF19" i="57"/>
  <c r="Y20" i="57"/>
  <c r="Z20" i="57"/>
  <c r="AE20" i="57"/>
  <c r="AF20" i="57"/>
  <c r="Y21" i="57"/>
  <c r="Z21" i="57"/>
  <c r="AE21" i="57"/>
  <c r="AF21" i="57"/>
  <c r="Y22" i="57"/>
  <c r="Z22" i="57"/>
  <c r="AE22" i="57"/>
  <c r="AF22" i="57"/>
  <c r="Y23" i="57"/>
  <c r="Z23" i="57"/>
  <c r="AE23" i="57"/>
  <c r="AF23" i="57"/>
  <c r="Y24" i="57"/>
  <c r="Z24" i="57"/>
  <c r="AE24" i="57"/>
  <c r="AF24" i="57"/>
  <c r="Y25" i="57"/>
  <c r="Z25" i="57"/>
  <c r="AE25" i="57"/>
  <c r="AF25" i="57"/>
  <c r="Y26" i="57"/>
  <c r="Z26" i="57"/>
  <c r="AE26" i="57"/>
  <c r="AF26" i="57"/>
  <c r="Y27" i="57"/>
  <c r="Z27" i="57"/>
  <c r="AE27" i="57"/>
  <c r="AF27" i="57"/>
  <c r="Y28" i="57"/>
  <c r="Z28" i="57"/>
  <c r="AE28" i="57"/>
  <c r="AF28" i="57"/>
  <c r="Y29" i="57"/>
  <c r="Z29" i="57"/>
  <c r="AE29" i="57"/>
  <c r="AF29" i="57"/>
  <c r="Y30" i="57"/>
  <c r="Z30" i="57"/>
  <c r="AE30" i="57"/>
  <c r="AF30" i="57"/>
  <c r="Y31" i="57"/>
  <c r="Z31" i="57"/>
  <c r="AE31" i="57"/>
  <c r="AF31" i="57"/>
  <c r="Y32" i="57"/>
  <c r="Z32" i="57"/>
  <c r="AE32" i="57"/>
  <c r="AF32" i="57"/>
  <c r="Y33" i="57"/>
  <c r="Z33" i="57"/>
  <c r="AE33" i="57"/>
  <c r="AF33" i="57"/>
  <c r="Y34" i="57"/>
  <c r="Z34" i="57"/>
  <c r="AE34" i="57"/>
  <c r="AF34" i="57"/>
  <c r="Y35" i="57"/>
  <c r="Z35" i="57"/>
  <c r="AE35" i="57"/>
  <c r="AF35" i="57"/>
  <c r="Y36" i="57"/>
  <c r="Z36" i="57"/>
  <c r="AE36" i="57"/>
  <c r="AF36" i="57"/>
  <c r="Y37" i="57"/>
  <c r="Z37" i="57"/>
  <c r="AE37" i="57"/>
  <c r="AF37" i="57"/>
  <c r="Y38" i="57"/>
  <c r="Z38" i="57"/>
  <c r="AE38" i="57"/>
  <c r="AF38" i="57"/>
  <c r="Y39" i="57"/>
  <c r="Z39" i="57"/>
  <c r="AE39" i="57"/>
  <c r="AF39" i="57"/>
  <c r="Y40" i="57"/>
  <c r="Z40" i="57"/>
  <c r="AE40" i="57"/>
  <c r="AF40" i="57"/>
  <c r="Y41" i="57"/>
  <c r="Z41" i="57"/>
  <c r="AE41" i="57"/>
  <c r="AF41" i="57"/>
  <c r="Y42" i="57"/>
  <c r="Z42" i="57"/>
  <c r="AE42" i="57"/>
  <c r="AF42" i="57"/>
  <c r="Y43" i="57"/>
  <c r="Z43" i="57"/>
  <c r="AE43" i="57"/>
  <c r="AF43" i="57"/>
  <c r="Y44" i="57"/>
  <c r="Z44" i="57"/>
  <c r="AE44" i="57"/>
  <c r="AF44" i="57"/>
  <c r="Y45" i="57"/>
  <c r="Z45" i="57"/>
  <c r="AE45" i="57"/>
  <c r="AF45" i="57"/>
  <c r="Y46" i="57"/>
  <c r="Z46" i="57"/>
  <c r="AE46" i="57"/>
  <c r="AF46" i="57"/>
  <c r="Y47" i="57"/>
  <c r="Z47" i="57"/>
  <c r="AE47" i="57"/>
  <c r="AF47" i="57"/>
  <c r="Y48" i="57"/>
  <c r="Z48" i="57"/>
  <c r="AE48" i="57"/>
  <c r="AF48" i="57"/>
  <c r="Y49" i="57"/>
  <c r="Z49" i="57"/>
  <c r="AE49" i="57"/>
  <c r="AF49" i="57"/>
  <c r="Y50" i="57"/>
  <c r="Z50" i="57"/>
  <c r="AE50" i="57"/>
  <c r="AF50" i="57"/>
  <c r="Y51" i="57"/>
  <c r="Z51" i="57"/>
  <c r="AE51" i="57"/>
  <c r="AF51" i="57"/>
  <c r="Y52" i="57"/>
  <c r="Z52" i="57"/>
  <c r="AE52" i="57"/>
  <c r="AF52" i="57"/>
  <c r="Y53" i="57"/>
  <c r="Z53" i="57"/>
  <c r="AE53" i="57"/>
  <c r="AF53" i="57"/>
  <c r="Y54" i="57"/>
  <c r="Z54" i="57"/>
  <c r="AE54" i="57"/>
  <c r="AF54" i="57"/>
  <c r="Y55" i="57"/>
  <c r="Z55" i="57"/>
  <c r="AE55" i="57"/>
  <c r="AF55" i="57"/>
  <c r="Y56" i="57"/>
  <c r="Z56" i="57"/>
  <c r="AE56" i="57"/>
  <c r="AF56" i="57"/>
  <c r="Y57" i="57"/>
  <c r="Z57" i="57"/>
  <c r="AE57" i="57"/>
  <c r="AF57" i="57"/>
  <c r="Y58" i="57"/>
  <c r="Z58" i="57"/>
  <c r="AE58" i="57"/>
  <c r="AF58" i="57"/>
  <c r="Y59" i="57"/>
  <c r="Z59" i="57"/>
  <c r="AE59" i="57"/>
  <c r="AF59" i="57"/>
  <c r="Y60" i="57"/>
  <c r="Z60" i="57"/>
  <c r="AE60" i="57"/>
  <c r="AF60" i="57"/>
  <c r="Y61" i="57"/>
  <c r="Z61" i="57"/>
  <c r="AE61" i="57"/>
  <c r="AF61" i="57"/>
  <c r="Y62" i="57"/>
  <c r="Z62" i="57"/>
  <c r="AE62" i="57"/>
  <c r="AF62" i="57"/>
  <c r="Y63" i="57"/>
  <c r="Z63" i="57"/>
  <c r="AE63" i="57"/>
  <c r="AF63" i="57"/>
  <c r="Y64" i="57"/>
  <c r="Z64" i="57"/>
  <c r="AE64" i="57"/>
  <c r="AF64" i="57"/>
  <c r="Y65" i="57"/>
  <c r="Z65" i="57"/>
  <c r="AE65" i="57"/>
  <c r="AF65" i="57"/>
  <c r="Y66" i="57"/>
  <c r="Z66" i="57"/>
  <c r="AE66" i="57"/>
  <c r="AF66" i="57"/>
  <c r="Y67" i="57"/>
  <c r="Z67" i="57"/>
  <c r="AE67" i="57"/>
  <c r="AF67" i="57"/>
  <c r="Y68" i="57"/>
  <c r="Z68" i="57"/>
  <c r="AE68" i="57"/>
  <c r="AF68" i="57"/>
  <c r="Y69" i="57"/>
  <c r="Z69" i="57"/>
  <c r="AE69" i="57"/>
  <c r="AF69" i="57"/>
  <c r="Y70" i="57"/>
  <c r="Z70" i="57"/>
  <c r="AE70" i="57"/>
  <c r="AF70" i="57"/>
  <c r="Y71" i="57"/>
  <c r="Z71" i="57"/>
  <c r="AE71" i="57"/>
  <c r="AF71" i="57"/>
  <c r="Y72" i="57"/>
  <c r="Z72" i="57"/>
  <c r="AE72" i="57"/>
  <c r="AF72" i="57"/>
  <c r="Y73" i="57"/>
  <c r="Z73" i="57"/>
  <c r="AE73" i="57"/>
  <c r="AF73" i="57"/>
  <c r="Y74" i="57"/>
  <c r="Z74" i="57"/>
  <c r="AE74" i="57"/>
  <c r="AF74" i="57"/>
  <c r="Y75" i="57"/>
  <c r="Z75" i="57"/>
  <c r="AE75" i="57"/>
  <c r="AF75" i="57"/>
  <c r="Y76" i="57"/>
  <c r="Z76" i="57"/>
  <c r="AE76" i="57"/>
  <c r="AF76" i="57"/>
  <c r="Y77" i="57"/>
  <c r="Z77" i="57"/>
  <c r="AE77" i="57"/>
  <c r="AF77" i="57"/>
  <c r="Y78" i="57"/>
  <c r="Z78" i="57"/>
  <c r="AE78" i="57"/>
  <c r="AF78" i="57"/>
  <c r="Y79" i="57"/>
  <c r="Z79" i="57"/>
  <c r="AE79" i="57"/>
  <c r="AF79" i="57"/>
  <c r="Y80" i="57"/>
  <c r="Z80" i="57"/>
  <c r="AE80" i="57"/>
  <c r="AF80" i="57"/>
  <c r="Y81" i="57"/>
  <c r="Z81" i="57"/>
  <c r="AE81" i="57"/>
  <c r="AF81" i="57"/>
  <c r="Y82" i="57"/>
  <c r="Z82" i="57"/>
  <c r="AE82" i="57"/>
  <c r="AF82" i="57"/>
  <c r="Y83" i="57"/>
  <c r="Z83" i="57"/>
  <c r="AE83" i="57"/>
  <c r="AF83" i="57"/>
  <c r="Y84" i="57"/>
  <c r="Z84" i="57"/>
  <c r="AE84" i="57"/>
  <c r="AF84" i="57"/>
  <c r="Y85" i="57"/>
  <c r="Z85" i="57"/>
  <c r="AE85" i="57"/>
  <c r="AF85" i="57"/>
  <c r="Y86" i="57"/>
  <c r="Z86" i="57"/>
  <c r="AE86" i="57"/>
  <c r="AF86" i="57"/>
  <c r="Y87" i="57"/>
  <c r="Z87" i="57"/>
  <c r="AE87" i="57"/>
  <c r="AF87" i="57"/>
  <c r="Y88" i="57"/>
  <c r="Z88" i="57"/>
  <c r="AE88" i="57"/>
  <c r="AF88" i="57"/>
  <c r="Y89" i="57"/>
  <c r="Z89" i="57"/>
  <c r="AE89" i="57"/>
  <c r="AF89" i="57"/>
  <c r="Y90" i="57"/>
  <c r="Z90" i="57"/>
  <c r="AE90" i="57"/>
  <c r="AF90" i="57"/>
  <c r="Y91" i="57"/>
  <c r="Z91" i="57"/>
  <c r="AE91" i="57"/>
  <c r="AF91" i="57"/>
  <c r="Y92" i="57"/>
  <c r="Z92" i="57"/>
  <c r="AE92" i="57"/>
  <c r="AF92" i="57"/>
  <c r="Y93" i="57"/>
  <c r="Z93" i="57"/>
  <c r="AE93" i="57"/>
  <c r="AF93" i="57"/>
  <c r="Y94" i="57"/>
  <c r="Z94" i="57"/>
  <c r="AE94" i="57"/>
  <c r="AF94" i="57"/>
  <c r="Y95" i="57"/>
  <c r="Z95" i="57"/>
  <c r="AE95" i="57"/>
  <c r="AF95" i="57"/>
  <c r="Y96" i="57"/>
  <c r="Z96" i="57"/>
  <c r="AE96" i="57"/>
  <c r="AF96" i="57"/>
  <c r="Y97" i="57"/>
  <c r="Z97" i="57"/>
  <c r="AE97" i="57"/>
  <c r="AF97" i="57"/>
  <c r="Y98" i="57"/>
  <c r="Z98" i="57"/>
  <c r="AE98" i="57"/>
  <c r="AF98" i="57"/>
  <c r="Y99" i="57"/>
  <c r="Z99" i="57"/>
  <c r="AE99" i="57"/>
  <c r="AF99" i="57"/>
  <c r="Y100" i="57"/>
  <c r="Z100" i="57"/>
  <c r="AE100" i="57"/>
  <c r="AF100" i="57"/>
  <c r="Y101" i="57"/>
  <c r="Z101" i="57"/>
  <c r="AE101" i="57"/>
  <c r="AF101" i="57"/>
  <c r="Y102" i="57"/>
  <c r="Z102" i="57"/>
  <c r="AE102" i="57"/>
  <c r="AF102" i="57"/>
  <c r="Y103" i="57"/>
  <c r="Z103" i="57"/>
  <c r="AE103" i="57"/>
  <c r="AF103" i="57"/>
  <c r="Y104" i="57"/>
  <c r="Z104" i="57"/>
  <c r="AE104" i="57"/>
  <c r="AF104" i="57"/>
  <c r="Y105" i="57"/>
  <c r="Z105" i="57"/>
  <c r="AE105" i="57"/>
  <c r="AF105" i="57"/>
  <c r="Y106" i="57"/>
  <c r="Z106" i="57"/>
  <c r="AE106" i="57"/>
  <c r="AF106" i="57"/>
  <c r="Y107" i="57"/>
  <c r="Z107" i="57"/>
  <c r="AE107" i="57"/>
  <c r="AF107" i="57"/>
  <c r="Y108" i="57"/>
  <c r="Z108" i="57"/>
  <c r="AE108" i="57"/>
  <c r="AF108" i="57"/>
  <c r="Y109" i="57"/>
  <c r="Z109" i="57"/>
  <c r="AE109" i="57"/>
  <c r="AF109" i="57"/>
  <c r="Y110" i="57"/>
  <c r="Z110" i="57"/>
  <c r="AE110" i="57"/>
  <c r="AF110" i="57"/>
  <c r="Y111" i="57"/>
  <c r="Z111" i="57"/>
  <c r="AE111" i="57"/>
  <c r="AF111" i="57"/>
  <c r="Y112" i="57"/>
  <c r="Z112" i="57"/>
  <c r="AE112" i="57"/>
  <c r="AF112" i="57"/>
  <c r="Y113" i="57"/>
  <c r="Z113" i="57"/>
  <c r="AE113" i="57"/>
  <c r="AF113" i="57"/>
  <c r="Y114" i="57"/>
  <c r="Z114" i="57"/>
  <c r="AE114" i="57"/>
  <c r="AF114" i="57"/>
  <c r="Y115" i="57"/>
  <c r="Z115" i="57"/>
  <c r="AE115" i="57"/>
  <c r="AF115" i="57"/>
  <c r="Y116" i="57"/>
  <c r="Z116" i="57"/>
  <c r="AE116" i="57"/>
  <c r="AF116" i="57"/>
  <c r="Y117" i="57"/>
  <c r="Z117" i="57"/>
  <c r="AE117" i="57"/>
  <c r="AF117" i="57"/>
  <c r="Y118" i="57"/>
  <c r="Z118" i="57"/>
  <c r="AE118" i="57"/>
  <c r="AF118" i="57"/>
  <c r="Y119" i="57"/>
  <c r="Z119" i="57"/>
  <c r="AE119" i="57"/>
  <c r="AF119" i="57"/>
  <c r="Y120" i="57"/>
  <c r="Z120" i="57"/>
  <c r="AE120" i="57"/>
  <c r="AF120" i="57"/>
  <c r="Y121" i="57"/>
  <c r="Z121" i="57"/>
  <c r="AE121" i="57"/>
  <c r="AF121" i="57"/>
  <c r="Y122" i="57"/>
  <c r="Z122" i="57"/>
  <c r="AE122" i="57"/>
  <c r="AF122" i="57"/>
  <c r="Y123" i="57"/>
  <c r="Z123" i="57"/>
  <c r="AE123" i="57"/>
  <c r="AF123" i="57"/>
  <c r="Y124" i="57"/>
  <c r="Z124" i="57"/>
  <c r="AE124" i="57"/>
  <c r="AF124" i="57"/>
  <c r="Y125" i="57"/>
  <c r="Z125" i="57"/>
  <c r="AE125" i="57"/>
  <c r="AF125" i="57"/>
  <c r="Y126" i="57"/>
  <c r="Z126" i="57"/>
  <c r="AE126" i="57"/>
  <c r="AF126" i="57"/>
  <c r="Y127" i="57"/>
  <c r="Z127" i="57"/>
  <c r="AE127" i="57"/>
  <c r="AF127" i="57"/>
  <c r="Y128" i="57"/>
  <c r="Z128" i="57"/>
  <c r="AE128" i="57"/>
  <c r="AF128" i="57"/>
  <c r="Y129" i="57"/>
  <c r="Z129" i="57"/>
  <c r="AE129" i="57"/>
  <c r="AF129" i="57"/>
  <c r="Y130" i="57"/>
  <c r="Z130" i="57"/>
  <c r="AE130" i="57"/>
  <c r="AF130" i="57"/>
  <c r="Y131" i="57"/>
  <c r="Z131" i="57"/>
  <c r="AE131" i="57"/>
  <c r="AF131" i="57"/>
  <c r="Y132" i="57"/>
  <c r="Z132" i="57"/>
  <c r="AE132" i="57"/>
  <c r="AF132" i="57"/>
  <c r="Y133" i="57"/>
  <c r="Z133" i="57"/>
  <c r="AE133" i="57"/>
  <c r="AF133" i="57"/>
  <c r="Y134" i="57"/>
  <c r="Z134" i="57"/>
  <c r="AE134" i="57"/>
  <c r="AF134" i="57"/>
  <c r="Y135" i="57"/>
  <c r="Z135" i="57"/>
  <c r="AE135" i="57"/>
  <c r="AF135" i="57"/>
  <c r="Y136" i="57"/>
  <c r="Z136" i="57"/>
  <c r="AE136" i="57"/>
  <c r="AF136" i="57"/>
  <c r="Y137" i="57"/>
  <c r="Z137" i="57"/>
  <c r="AE137" i="57"/>
  <c r="AF137" i="57"/>
  <c r="Y138" i="57"/>
  <c r="Z138" i="57"/>
  <c r="AE138" i="57"/>
  <c r="AF138" i="57"/>
  <c r="Y139" i="57"/>
  <c r="Z139" i="57"/>
  <c r="AE139" i="57"/>
  <c r="AF139" i="57"/>
  <c r="Y140" i="57"/>
  <c r="Z140" i="57"/>
  <c r="AE140" i="57"/>
  <c r="AF140" i="57"/>
  <c r="Y141" i="57"/>
  <c r="Z141" i="57"/>
  <c r="AE141" i="57"/>
  <c r="AF141" i="57"/>
  <c r="Y142" i="57"/>
  <c r="Z142" i="57"/>
  <c r="AE142" i="57"/>
  <c r="AF142" i="57"/>
  <c r="Y143" i="57"/>
  <c r="Z143" i="57"/>
  <c r="AE143" i="57"/>
  <c r="AF143" i="57"/>
  <c r="Y144" i="57"/>
  <c r="Z144" i="57"/>
  <c r="AE144" i="57"/>
  <c r="AF144" i="57"/>
  <c r="Y145" i="57"/>
  <c r="Z145" i="57"/>
  <c r="AE145" i="57"/>
  <c r="AF145" i="57"/>
  <c r="Y146" i="57"/>
  <c r="Z146" i="57"/>
  <c r="AE146" i="57"/>
  <c r="AF146" i="57"/>
  <c r="Y147" i="57"/>
  <c r="Z147" i="57"/>
  <c r="AE147" i="57"/>
  <c r="AF147" i="57"/>
  <c r="Y148" i="57"/>
  <c r="Z148" i="57"/>
  <c r="AE148" i="57"/>
  <c r="AF148" i="57"/>
  <c r="Y149" i="57"/>
  <c r="Z149" i="57"/>
  <c r="AE149" i="57"/>
  <c r="AF149" i="57"/>
  <c r="Y150" i="57"/>
  <c r="Z150" i="57"/>
  <c r="AE150" i="57"/>
  <c r="AF150" i="57"/>
  <c r="Y151" i="57"/>
  <c r="Z151" i="57"/>
  <c r="AE151" i="57"/>
  <c r="AF151" i="57"/>
  <c r="Y152" i="57"/>
  <c r="Z152" i="57"/>
  <c r="AE152" i="57"/>
  <c r="AF152" i="57"/>
  <c r="Y153" i="57"/>
  <c r="Z153" i="57"/>
  <c r="AE153" i="57"/>
  <c r="AF153" i="57"/>
  <c r="Y154" i="57"/>
  <c r="Z154" i="57"/>
  <c r="AE154" i="57"/>
  <c r="AF154" i="57"/>
  <c r="Y155" i="57"/>
  <c r="Z155" i="57"/>
  <c r="AE155" i="57"/>
  <c r="AF155" i="57"/>
  <c r="Y156" i="57"/>
  <c r="Z156" i="57"/>
  <c r="AE156" i="57"/>
  <c r="AF156" i="57"/>
  <c r="Y157" i="57"/>
  <c r="Z157" i="57"/>
  <c r="AE157" i="57"/>
  <c r="AF157" i="57"/>
  <c r="Y158" i="57"/>
  <c r="Z158" i="57"/>
  <c r="AE158" i="57"/>
  <c r="AF158" i="57"/>
  <c r="Y159" i="57"/>
  <c r="Z159" i="57"/>
  <c r="AE159" i="57"/>
  <c r="AF159" i="57"/>
  <c r="Y160" i="57"/>
  <c r="Z160" i="57"/>
  <c r="AE160" i="57"/>
  <c r="AF160" i="57"/>
  <c r="Y161" i="57"/>
  <c r="Z161" i="57"/>
  <c r="AE161" i="57"/>
  <c r="AF161" i="57"/>
  <c r="Y162" i="57"/>
  <c r="Z162" i="57"/>
  <c r="AE162" i="57"/>
  <c r="AF162" i="57"/>
  <c r="Y163" i="57"/>
  <c r="Z163" i="57"/>
  <c r="AE163" i="57"/>
  <c r="AF163" i="57"/>
  <c r="Y164" i="57"/>
  <c r="Z164" i="57"/>
  <c r="AE164" i="57"/>
  <c r="AF164" i="57"/>
  <c r="Y165" i="57"/>
  <c r="Z165" i="57"/>
  <c r="AE165" i="57"/>
  <c r="AF165" i="57"/>
  <c r="Y166" i="57"/>
  <c r="Z166" i="57"/>
  <c r="AE166" i="57"/>
  <c r="AF166" i="57"/>
  <c r="Y167" i="57"/>
  <c r="Z167" i="57"/>
  <c r="AE167" i="57"/>
  <c r="AF167" i="57"/>
  <c r="Y168" i="57"/>
  <c r="Z168" i="57"/>
  <c r="AE168" i="57"/>
  <c r="AF168" i="57"/>
  <c r="Y169" i="57"/>
  <c r="Z169" i="57"/>
  <c r="AE169" i="57"/>
  <c r="AF169" i="57"/>
  <c r="Y170" i="57"/>
  <c r="Z170" i="57"/>
  <c r="AE170" i="57"/>
  <c r="AF170" i="57"/>
  <c r="Y171" i="57"/>
  <c r="Z171" i="57"/>
  <c r="AE171" i="57"/>
  <c r="AF171" i="57"/>
  <c r="Y172" i="57"/>
  <c r="Z172" i="57"/>
  <c r="AE172" i="57"/>
  <c r="AF172" i="57"/>
  <c r="Y173" i="57"/>
  <c r="Z173" i="57"/>
  <c r="AE173" i="57"/>
  <c r="AF173" i="57"/>
  <c r="Y174" i="57"/>
  <c r="Z174" i="57"/>
  <c r="AE174" i="57"/>
  <c r="AF174" i="57"/>
  <c r="Y175" i="57"/>
  <c r="Z175" i="57"/>
  <c r="AE175" i="57"/>
  <c r="AF175" i="57"/>
  <c r="Z176" i="57"/>
  <c r="AF176" i="57"/>
  <c r="Z177" i="57"/>
  <c r="AF177" i="57"/>
  <c r="Z178" i="57"/>
  <c r="AF178" i="57"/>
  <c r="Z179" i="57"/>
  <c r="AF179" i="57"/>
  <c r="Z180" i="57"/>
  <c r="AF180" i="57"/>
  <c r="Z181" i="57"/>
  <c r="AF181" i="57"/>
  <c r="Z182" i="57"/>
  <c r="AF182" i="57"/>
  <c r="Z183" i="57"/>
  <c r="AF183" i="57"/>
  <c r="Z184" i="57"/>
  <c r="AF184" i="57"/>
  <c r="Z185" i="57"/>
  <c r="AF185" i="57"/>
  <c r="Z186" i="57"/>
  <c r="AF186" i="57"/>
  <c r="Z187" i="57"/>
  <c r="AF187" i="57"/>
  <c r="Z188" i="57"/>
  <c r="AF188" i="57"/>
  <c r="Z189" i="57"/>
  <c r="AF189" i="57"/>
  <c r="Z190" i="57"/>
  <c r="AF190" i="57"/>
  <c r="Z191" i="57"/>
  <c r="AF191" i="57"/>
  <c r="Z192" i="57"/>
  <c r="AF192" i="57"/>
  <c r="Z193" i="57"/>
  <c r="AF193" i="57"/>
  <c r="Z194" i="57"/>
  <c r="AF194" i="57"/>
  <c r="Z195" i="57"/>
  <c r="AF195" i="57"/>
  <c r="Z196" i="57"/>
  <c r="AF196" i="57"/>
  <c r="Z197" i="57"/>
  <c r="AF197" i="57"/>
  <c r="Z198" i="57"/>
  <c r="AF198" i="57"/>
  <c r="Z199" i="57"/>
  <c r="AF199" i="57"/>
  <c r="Z200" i="57"/>
  <c r="AF200" i="57"/>
  <c r="Z201" i="57"/>
  <c r="AF201" i="57"/>
  <c r="Z202" i="57"/>
  <c r="AF202" i="57"/>
  <c r="Z203" i="57"/>
  <c r="AF203" i="57"/>
  <c r="Z204" i="57"/>
  <c r="AF204" i="57"/>
  <c r="Z205" i="57"/>
  <c r="AF205" i="57"/>
  <c r="Z206" i="57"/>
  <c r="AF206" i="57"/>
  <c r="Z207" i="57"/>
  <c r="AF207" i="57"/>
  <c r="Z208" i="57"/>
  <c r="AF208" i="57"/>
  <c r="Y209" i="57"/>
  <c r="AE209" i="57"/>
  <c r="Y210" i="57"/>
  <c r="AE210" i="57"/>
  <c r="Y211" i="57"/>
  <c r="AE211" i="57"/>
  <c r="Y212" i="57"/>
  <c r="AE212" i="57"/>
  <c r="Y213" i="57"/>
  <c r="AE213" i="57"/>
  <c r="Y214" i="57"/>
  <c r="AE214" i="57"/>
  <c r="Y215" i="57"/>
  <c r="AE215" i="57"/>
  <c r="Y216" i="57"/>
  <c r="AE216" i="57"/>
  <c r="Y217" i="57"/>
  <c r="AE217" i="57"/>
  <c r="Y218" i="57"/>
  <c r="AE218" i="57"/>
  <c r="Y219" i="57"/>
  <c r="AE219" i="57"/>
  <c r="Y220" i="57"/>
  <c r="AE220" i="57"/>
  <c r="Y221" i="57"/>
  <c r="AE221" i="57"/>
  <c r="Y222" i="57"/>
  <c r="AE222" i="57"/>
  <c r="Y223" i="57"/>
  <c r="AE223" i="57"/>
  <c r="Y224" i="57"/>
  <c r="AE224" i="57"/>
  <c r="Y225" i="57"/>
  <c r="AE225" i="57"/>
  <c r="Y226" i="57"/>
  <c r="AE226" i="57"/>
  <c r="Y227" i="57"/>
  <c r="AE227" i="57"/>
  <c r="Y228" i="57"/>
  <c r="AE228" i="57"/>
  <c r="Y229" i="57"/>
  <c r="AE229" i="57"/>
  <c r="Y230" i="57"/>
  <c r="AE230" i="57"/>
  <c r="Y231" i="57"/>
  <c r="AE231" i="57"/>
  <c r="Y232" i="57"/>
  <c r="AE232" i="57"/>
  <c r="Y233" i="57"/>
  <c r="AE233" i="57"/>
  <c r="Y234" i="57"/>
  <c r="AE234" i="57"/>
  <c r="Y235" i="57"/>
  <c r="AE235" i="57"/>
  <c r="Y236" i="57"/>
  <c r="AE236" i="57"/>
  <c r="Y237" i="57"/>
  <c r="AE237" i="57"/>
  <c r="Y238" i="57"/>
  <c r="AE238" i="57"/>
  <c r="Y239" i="57"/>
  <c r="AE239" i="57"/>
  <c r="Y240" i="57"/>
  <c r="AE240" i="57"/>
  <c r="Y241" i="57"/>
  <c r="AE241" i="57"/>
  <c r="Y242" i="57"/>
  <c r="AE242" i="57"/>
  <c r="Y243" i="57"/>
  <c r="AE243" i="57"/>
  <c r="Y244" i="57"/>
  <c r="AE244" i="57"/>
  <c r="Z245" i="57"/>
  <c r="AF245" i="57"/>
  <c r="Z246" i="57"/>
  <c r="AF246" i="57"/>
  <c r="Z247" i="57"/>
  <c r="AF247" i="57"/>
  <c r="Z248" i="57"/>
  <c r="AF248" i="57"/>
  <c r="Z249" i="57"/>
  <c r="AF249" i="57"/>
  <c r="Z250" i="57"/>
  <c r="AF250" i="57"/>
  <c r="Z251" i="57"/>
  <c r="AF251" i="57"/>
  <c r="Z252" i="57"/>
  <c r="AF252" i="57"/>
  <c r="Z253" i="57"/>
  <c r="AF253" i="57"/>
  <c r="Z254" i="57"/>
  <c r="AF254" i="57"/>
  <c r="Z255" i="57"/>
  <c r="AF255" i="57"/>
  <c r="Z256" i="57"/>
  <c r="AF256" i="57"/>
  <c r="Z257" i="57"/>
  <c r="AF257" i="57"/>
  <c r="Z258" i="57"/>
  <c r="AF258" i="57"/>
  <c r="Z259" i="57"/>
  <c r="AF259" i="57"/>
  <c r="Z260" i="57"/>
  <c r="AF260" i="57"/>
  <c r="Z261" i="57"/>
  <c r="AF261" i="57"/>
  <c r="Z262" i="57"/>
  <c r="AF262" i="57"/>
  <c r="Z263" i="57"/>
  <c r="AF263" i="57"/>
  <c r="Z264" i="57"/>
  <c r="AF264" i="57"/>
  <c r="Z265" i="57"/>
  <c r="AF265" i="57"/>
  <c r="Z266" i="57"/>
  <c r="AF266" i="57"/>
  <c r="Z267" i="57"/>
  <c r="AF267" i="57"/>
  <c r="Z268" i="57"/>
  <c r="AF268" i="57"/>
  <c r="Z269" i="57"/>
  <c r="AF269" i="57"/>
  <c r="Z270" i="57"/>
  <c r="AF270" i="57"/>
  <c r="Z271" i="57"/>
  <c r="AF271" i="57"/>
  <c r="Z272" i="57"/>
  <c r="AF272" i="57"/>
  <c r="Z273" i="57"/>
  <c r="AF273" i="57"/>
  <c r="Z274" i="57"/>
  <c r="AF274" i="57"/>
  <c r="Z275" i="57"/>
  <c r="AF275" i="57"/>
  <c r="Z276" i="57"/>
  <c r="AF276" i="57"/>
  <c r="Z277" i="57"/>
  <c r="AF277" i="57"/>
  <c r="Z278" i="57"/>
  <c r="AF278" i="57"/>
  <c r="Z279" i="57"/>
  <c r="AF279" i="57"/>
  <c r="Z280" i="57"/>
  <c r="AF280" i="57"/>
  <c r="Z281" i="57"/>
  <c r="AF281" i="57"/>
  <c r="Z282" i="57"/>
  <c r="AF282" i="57"/>
  <c r="Z283" i="57"/>
  <c r="AF283" i="57"/>
  <c r="Z284" i="57"/>
  <c r="AF284" i="57"/>
  <c r="Z285" i="57"/>
  <c r="AF285" i="57"/>
  <c r="Z286" i="57"/>
  <c r="AF286" i="57"/>
  <c r="Z287" i="57"/>
  <c r="AF287" i="57"/>
  <c r="Z288" i="57"/>
  <c r="AF288" i="57"/>
  <c r="Z289" i="57"/>
  <c r="AF289" i="57"/>
  <c r="Y290" i="57"/>
  <c r="AE290" i="57"/>
  <c r="Y291" i="57"/>
  <c r="AE291" i="57"/>
  <c r="Y292" i="57"/>
  <c r="AE292" i="57"/>
  <c r="Y293" i="57"/>
  <c r="AE293" i="57"/>
  <c r="Y294" i="57"/>
  <c r="AE294" i="57"/>
  <c r="Y295" i="57"/>
  <c r="AE295" i="57"/>
  <c r="Y296" i="57"/>
  <c r="AE296" i="57"/>
  <c r="Y297" i="57"/>
  <c r="AE297" i="57"/>
  <c r="Y298" i="57"/>
  <c r="AE298" i="57"/>
  <c r="Y299" i="57"/>
  <c r="AE299" i="57"/>
  <c r="Y300" i="57"/>
  <c r="AE300" i="57"/>
  <c r="Y301" i="57"/>
  <c r="AE301" i="57"/>
  <c r="Z302" i="57"/>
  <c r="AF302" i="57"/>
  <c r="Z303" i="57"/>
  <c r="AF303" i="57"/>
  <c r="Z304" i="57"/>
  <c r="AF304" i="57"/>
  <c r="Z305" i="57"/>
  <c r="AF305" i="57"/>
  <c r="Z306" i="57"/>
  <c r="AF306" i="57"/>
  <c r="Z307" i="57"/>
  <c r="AF307" i="57"/>
  <c r="Z308" i="57"/>
  <c r="AF308" i="57"/>
  <c r="Z309" i="57"/>
  <c r="AF309" i="57"/>
  <c r="Z310" i="57"/>
  <c r="AF310" i="57"/>
  <c r="Z311" i="57"/>
  <c r="AF311" i="57"/>
  <c r="Z312" i="57"/>
  <c r="AF312" i="57"/>
  <c r="Z313" i="57"/>
  <c r="AF313" i="57"/>
  <c r="Z314" i="57"/>
  <c r="AF314" i="57"/>
  <c r="Z315" i="57"/>
  <c r="AF315" i="57"/>
  <c r="Z316" i="57"/>
  <c r="AF316" i="57"/>
  <c r="Z317" i="57"/>
  <c r="AF317" i="57"/>
  <c r="Z318" i="57"/>
  <c r="AF318" i="57"/>
  <c r="Z319" i="57"/>
  <c r="AF319" i="57"/>
  <c r="Z320" i="57"/>
  <c r="AF320" i="57"/>
  <c r="Z321" i="57"/>
  <c r="AF321" i="57"/>
  <c r="Z322" i="57"/>
  <c r="AF322" i="57"/>
  <c r="Z323" i="57"/>
  <c r="AF323" i="57"/>
  <c r="Z324" i="57"/>
  <c r="AF324" i="57"/>
  <c r="Z325" i="57"/>
  <c r="AF325" i="57"/>
  <c r="Z326" i="57"/>
  <c r="AF326" i="57"/>
  <c r="Z327" i="57"/>
  <c r="AF327" i="57"/>
  <c r="Z328" i="57"/>
  <c r="AF328" i="57"/>
  <c r="Z329" i="57"/>
  <c r="AF329" i="57"/>
  <c r="Z330" i="57"/>
  <c r="AF330" i="57"/>
  <c r="Z331" i="57"/>
  <c r="AF331" i="57"/>
  <c r="Z332" i="57"/>
  <c r="AF332" i="57"/>
  <c r="Z333" i="57"/>
  <c r="AF333" i="57"/>
  <c r="Z334" i="57"/>
  <c r="AF334" i="57"/>
  <c r="Z335" i="57"/>
  <c r="AF335" i="57"/>
  <c r="Z336" i="57"/>
  <c r="AF336" i="57"/>
  <c r="Z337" i="57"/>
  <c r="AF337" i="57"/>
  <c r="Z338" i="57"/>
  <c r="AF338" i="57"/>
  <c r="Y339" i="57"/>
  <c r="AE339" i="57"/>
  <c r="Y340" i="57"/>
  <c r="AE340" i="57"/>
  <c r="Y341" i="57"/>
  <c r="AE341" i="57"/>
  <c r="Y342" i="57"/>
  <c r="AE342" i="57"/>
  <c r="Y343" i="57"/>
  <c r="AE343" i="57"/>
  <c r="Y344" i="57"/>
  <c r="AE344" i="57"/>
  <c r="Y345" i="57"/>
  <c r="AE345" i="57"/>
  <c r="Y346" i="57"/>
  <c r="AE346" i="57"/>
  <c r="Y347" i="57"/>
  <c r="AE347" i="57"/>
  <c r="Y348" i="57"/>
  <c r="AE348" i="57"/>
  <c r="Y349" i="57"/>
  <c r="AE349" i="57"/>
  <c r="Y350" i="57"/>
  <c r="AE350" i="57"/>
  <c r="Y351" i="57"/>
  <c r="AE351" i="57"/>
  <c r="Y352" i="57"/>
  <c r="AE352" i="57"/>
  <c r="Y353" i="57"/>
  <c r="AE353" i="57"/>
  <c r="Y354" i="57"/>
  <c r="AE354" i="57"/>
  <c r="Y355" i="57"/>
  <c r="AE355" i="57"/>
  <c r="Y356" i="57"/>
  <c r="AE356" i="57"/>
  <c r="Y357" i="57"/>
  <c r="AE357" i="57"/>
  <c r="Y358" i="57"/>
  <c r="AE358" i="57"/>
  <c r="Y359" i="57"/>
  <c r="AE359" i="57"/>
  <c r="Y360" i="57"/>
  <c r="AE360" i="57"/>
  <c r="Y361" i="57"/>
  <c r="AE361" i="57"/>
  <c r="Y362" i="57"/>
  <c r="AE362" i="57"/>
  <c r="Y363" i="57"/>
  <c r="AE363" i="57"/>
  <c r="Y364" i="57"/>
  <c r="AE364" i="57"/>
  <c r="Y365" i="57"/>
  <c r="AE365" i="57"/>
  <c r="Y366" i="57"/>
  <c r="AE366" i="57"/>
  <c r="Z367" i="57"/>
  <c r="AF367" i="57"/>
  <c r="Z368" i="57"/>
  <c r="AF368" i="57"/>
  <c r="Z369" i="57"/>
  <c r="AF369" i="57"/>
  <c r="Z370" i="57"/>
  <c r="AF370" i="57"/>
  <c r="Z371" i="57"/>
  <c r="AF371" i="57"/>
  <c r="Z372" i="57"/>
  <c r="AF372" i="57"/>
  <c r="Z373" i="57"/>
  <c r="AF373" i="57"/>
  <c r="Z374" i="57"/>
  <c r="AF374" i="57"/>
  <c r="Z375" i="57"/>
  <c r="AF375" i="57"/>
  <c r="Z376" i="57"/>
  <c r="AF376" i="57"/>
  <c r="Z377" i="57"/>
  <c r="AF377" i="57"/>
  <c r="Z378" i="57"/>
  <c r="AF378" i="57"/>
  <c r="Z379" i="57"/>
  <c r="AF379" i="57"/>
  <c r="Z380" i="57"/>
  <c r="AF380" i="57"/>
  <c r="Z381" i="57"/>
  <c r="AF381" i="57"/>
  <c r="Z382" i="57"/>
  <c r="AF382" i="57"/>
  <c r="Z383" i="57"/>
  <c r="AF383" i="57"/>
  <c r="Z384" i="57"/>
  <c r="AF384" i="57"/>
  <c r="Z385" i="57"/>
  <c r="AF385" i="57"/>
  <c r="Z386" i="57"/>
  <c r="AF386" i="57"/>
  <c r="Z387" i="57"/>
  <c r="AF387" i="57"/>
  <c r="Z388" i="57"/>
  <c r="AF388" i="57"/>
  <c r="Z389" i="57"/>
  <c r="AF389" i="57"/>
  <c r="Z390" i="57"/>
  <c r="AF390" i="57"/>
  <c r="Z391" i="57"/>
  <c r="AF391" i="57"/>
  <c r="Z392" i="57"/>
  <c r="AF392" i="57"/>
  <c r="Z393" i="57"/>
  <c r="AF393" i="57"/>
  <c r="Z394" i="57"/>
  <c r="AF394" i="57"/>
  <c r="Z395" i="57"/>
  <c r="AF395" i="57"/>
  <c r="Z396" i="57"/>
  <c r="AF396" i="57"/>
  <c r="Z397" i="57"/>
  <c r="AF397" i="57"/>
  <c r="Z398" i="57"/>
  <c r="AF398" i="57"/>
  <c r="Z399" i="57"/>
  <c r="AF399" i="57"/>
  <c r="Z400" i="57"/>
  <c r="AF400" i="57"/>
  <c r="Z401" i="57"/>
  <c r="AF401" i="57"/>
  <c r="Z402" i="57"/>
  <c r="AF402" i="57"/>
  <c r="Z403" i="57"/>
  <c r="AF403" i="57"/>
  <c r="Z404" i="57"/>
  <c r="AF404" i="57"/>
  <c r="Z405" i="57"/>
  <c r="AF405" i="57"/>
  <c r="Z406" i="57"/>
  <c r="AF406" i="57"/>
  <c r="Z407" i="57"/>
  <c r="AF407" i="57"/>
  <c r="Z408" i="57"/>
  <c r="AF408" i="57"/>
  <c r="Z409" i="57"/>
  <c r="AF409" i="57"/>
  <c r="Z410" i="57"/>
  <c r="AF410" i="57"/>
  <c r="Z411" i="57"/>
  <c r="AF411" i="57"/>
  <c r="Z412" i="57"/>
  <c r="AF412" i="57"/>
  <c r="Z413" i="57"/>
  <c r="AF413" i="57"/>
  <c r="Z414" i="57"/>
  <c r="AF414" i="57"/>
  <c r="Z415" i="57"/>
  <c r="AF415" i="57"/>
  <c r="Z416" i="57"/>
  <c r="AF416" i="57"/>
  <c r="Z417" i="57"/>
  <c r="AF417" i="57"/>
  <c r="Z418" i="57"/>
  <c r="AF418" i="57"/>
  <c r="Z419" i="57"/>
  <c r="AF419" i="57"/>
  <c r="Z420" i="57"/>
  <c r="AF420" i="57"/>
  <c r="Z421" i="57"/>
  <c r="AF421" i="57"/>
  <c r="Z422" i="57"/>
  <c r="AF422" i="57"/>
  <c r="Y423" i="57"/>
  <c r="AE423" i="57"/>
  <c r="Y424" i="57"/>
  <c r="AE424" i="57"/>
  <c r="Y425" i="57"/>
  <c r="AE425" i="57"/>
  <c r="Y426" i="57"/>
  <c r="AE426" i="57"/>
  <c r="Y427" i="57"/>
  <c r="AE427" i="57"/>
  <c r="Y428" i="57"/>
  <c r="AE428" i="57"/>
  <c r="Y429" i="57"/>
  <c r="AE429" i="57"/>
  <c r="Y430" i="57"/>
  <c r="AE430" i="57"/>
  <c r="Y431" i="57"/>
  <c r="AE431" i="57"/>
  <c r="Y432" i="57"/>
  <c r="AE432" i="57"/>
  <c r="Y433" i="57"/>
  <c r="AE433" i="57"/>
  <c r="Y434" i="57"/>
  <c r="AE434" i="57"/>
  <c r="Y435" i="57"/>
  <c r="AE435" i="57"/>
  <c r="Y436" i="57"/>
  <c r="AE436" i="57"/>
  <c r="Y437" i="57"/>
  <c r="AE437" i="57"/>
  <c r="Y438" i="57"/>
  <c r="AE438" i="57"/>
  <c r="Y439" i="57"/>
  <c r="AE439" i="57"/>
  <c r="Y440" i="57"/>
  <c r="AE440" i="57"/>
  <c r="Y441" i="57"/>
  <c r="AE441" i="57"/>
  <c r="Y442" i="57"/>
  <c r="AE442" i="57"/>
  <c r="Y443" i="57"/>
  <c r="AE443" i="57"/>
  <c r="Y444" i="57"/>
  <c r="AE444" i="57"/>
  <c r="Y445" i="57"/>
  <c r="AE445" i="57"/>
  <c r="Y446" i="57"/>
  <c r="AE446" i="57"/>
  <c r="Y447" i="57"/>
  <c r="AE447" i="57"/>
  <c r="Y448" i="57"/>
  <c r="AE448" i="57"/>
  <c r="Y449" i="57"/>
  <c r="AE449" i="57"/>
  <c r="Y450" i="57"/>
  <c r="AE450" i="57"/>
  <c r="Y451" i="57"/>
  <c r="AE451" i="57"/>
  <c r="Y452" i="57"/>
  <c r="AE452" i="57"/>
  <c r="Y453" i="57"/>
  <c r="AE453" i="57"/>
  <c r="Y454" i="57"/>
  <c r="AE454" i="57"/>
  <c r="Y455" i="57"/>
  <c r="AE455" i="57"/>
  <c r="Y456" i="57"/>
  <c r="AE456" i="57"/>
  <c r="Y457" i="57"/>
  <c r="AE457" i="57"/>
  <c r="Z458" i="57"/>
  <c r="AF458" i="57"/>
  <c r="Z459" i="57"/>
  <c r="AF459" i="57"/>
  <c r="Z460" i="57"/>
  <c r="AF460" i="57"/>
  <c r="Z461" i="57"/>
  <c r="AF461" i="57"/>
  <c r="Z462" i="57"/>
  <c r="AF462" i="57"/>
  <c r="Z463" i="57"/>
  <c r="AF463" i="57"/>
  <c r="Z464" i="57"/>
  <c r="AF464" i="57"/>
  <c r="Z465" i="57"/>
  <c r="AF465" i="57"/>
  <c r="Z466" i="57"/>
  <c r="AF466" i="57"/>
  <c r="Z467" i="57"/>
  <c r="AF467" i="57"/>
  <c r="Z468" i="57"/>
  <c r="AF468" i="57"/>
  <c r="Z469" i="57"/>
  <c r="AF469" i="57"/>
  <c r="Z470" i="57"/>
  <c r="AF470" i="57"/>
  <c r="Z471" i="57"/>
  <c r="AF471" i="57"/>
  <c r="Z472" i="57"/>
  <c r="AF472" i="57"/>
  <c r="Z473" i="57"/>
  <c r="AF473" i="57"/>
  <c r="Z474" i="57"/>
  <c r="AF474" i="57"/>
  <c r="Z475" i="57"/>
  <c r="AF475" i="57"/>
  <c r="Z476" i="57"/>
  <c r="AF476" i="57"/>
  <c r="Z477" i="57"/>
  <c r="AF477" i="57"/>
  <c r="Z478" i="57"/>
  <c r="AF478" i="57"/>
  <c r="Z479" i="57"/>
  <c r="AF479" i="57"/>
  <c r="Z480" i="57"/>
  <c r="AF480" i="57"/>
  <c r="Z481" i="57"/>
  <c r="AF481" i="57"/>
  <c r="Z482" i="57"/>
  <c r="AF482" i="57"/>
  <c r="Z483" i="57"/>
  <c r="AF483" i="57"/>
  <c r="Z484" i="57"/>
  <c r="AF484" i="57"/>
  <c r="Z485" i="57"/>
  <c r="AF485" i="57"/>
  <c r="Z486" i="57"/>
  <c r="AF486" i="57"/>
  <c r="Z487" i="57"/>
  <c r="AF487" i="57"/>
  <c r="Z488" i="57"/>
  <c r="AF488" i="57"/>
  <c r="Z489" i="57"/>
  <c r="AF489" i="57"/>
  <c r="Z490" i="57"/>
  <c r="AF490" i="57"/>
  <c r="Z491" i="57"/>
  <c r="AF491" i="57"/>
  <c r="Z492" i="57"/>
  <c r="AF492" i="57"/>
  <c r="Z493" i="57"/>
  <c r="AF493" i="57"/>
  <c r="Z494" i="57"/>
  <c r="AF494" i="57"/>
  <c r="Z495" i="57"/>
  <c r="AF495" i="57"/>
  <c r="Z496" i="57"/>
  <c r="AF496" i="57"/>
  <c r="Z497" i="57"/>
  <c r="AF497" i="57"/>
  <c r="Z498" i="57"/>
  <c r="AF498" i="57"/>
  <c r="Z499" i="57"/>
  <c r="AF499" i="57"/>
  <c r="Z500" i="57"/>
  <c r="AF500" i="57"/>
  <c r="Z501" i="57"/>
  <c r="AF501" i="57"/>
  <c r="Z502" i="57"/>
  <c r="AF502" i="57"/>
  <c r="Z503" i="57"/>
  <c r="AF503" i="57"/>
  <c r="Z504" i="57"/>
  <c r="AF504" i="57"/>
  <c r="Z505" i="57"/>
  <c r="AF505" i="57"/>
  <c r="Z506" i="57"/>
  <c r="AF506" i="57"/>
  <c r="Z507" i="57"/>
  <c r="AF507" i="57"/>
  <c r="Z508" i="57"/>
  <c r="AF508" i="57"/>
  <c r="Z509" i="57"/>
  <c r="AF509" i="57"/>
  <c r="Z510" i="57"/>
  <c r="AF510" i="57"/>
  <c r="Z511" i="57"/>
  <c r="AF511" i="57"/>
  <c r="Z512" i="57"/>
  <c r="AF512" i="57"/>
  <c r="Z513" i="57"/>
  <c r="AF513" i="57"/>
  <c r="Z514" i="57"/>
  <c r="AF514" i="57"/>
  <c r="Z515" i="57"/>
  <c r="AF515" i="57"/>
  <c r="Z516" i="57"/>
  <c r="AF516" i="57"/>
  <c r="Z517" i="57"/>
  <c r="AF517" i="57"/>
  <c r="Z518" i="57"/>
  <c r="AF518" i="57"/>
  <c r="Y519" i="57"/>
  <c r="AE519" i="57"/>
  <c r="Y520" i="57"/>
  <c r="AE520" i="57"/>
  <c r="Y521" i="57"/>
  <c r="AE521" i="57"/>
  <c r="Y522" i="57"/>
  <c r="AE522" i="57"/>
  <c r="Y523" i="57"/>
  <c r="AE523" i="57"/>
  <c r="Y524" i="57"/>
  <c r="AE524" i="57"/>
  <c r="Y525" i="57"/>
  <c r="AE525" i="57"/>
  <c r="Y526" i="57"/>
  <c r="AE526" i="57"/>
  <c r="Y527" i="57"/>
  <c r="AE527" i="57"/>
  <c r="Y528" i="57"/>
  <c r="AE528" i="57"/>
  <c r="Y529" i="57"/>
  <c r="AE529" i="57"/>
  <c r="Y530" i="57"/>
  <c r="AE530" i="57"/>
  <c r="Y531" i="57"/>
  <c r="AE531" i="57"/>
  <c r="Y532" i="57"/>
  <c r="AE532" i="57"/>
  <c r="Y533" i="57"/>
  <c r="AE533" i="57"/>
  <c r="Z534" i="57"/>
  <c r="AF534" i="57"/>
  <c r="Z535" i="57"/>
  <c r="AF535" i="57"/>
  <c r="Z536" i="57"/>
  <c r="AF536" i="57"/>
  <c r="Z537" i="57"/>
  <c r="AF537" i="57"/>
  <c r="Z538" i="57"/>
  <c r="AF538" i="57"/>
  <c r="Z539" i="57"/>
  <c r="AF539" i="57"/>
  <c r="Z540" i="57"/>
  <c r="AF540" i="57"/>
  <c r="Z541" i="57"/>
  <c r="AF541" i="57"/>
  <c r="Z542" i="57"/>
  <c r="AF542" i="57"/>
  <c r="Z543" i="57"/>
  <c r="AF543" i="57"/>
  <c r="Z544" i="57"/>
  <c r="AF544" i="57"/>
  <c r="Z545" i="57"/>
  <c r="AF545" i="57"/>
  <c r="Z546" i="57"/>
  <c r="AF546" i="57"/>
  <c r="Z547" i="57"/>
  <c r="AF547" i="57"/>
  <c r="Z548" i="57"/>
  <c r="AF548" i="57"/>
  <c r="Z549" i="57"/>
  <c r="AF549" i="57"/>
  <c r="Z550" i="57"/>
  <c r="AF550" i="57"/>
  <c r="Z551" i="57"/>
  <c r="AF551" i="57"/>
  <c r="Z552" i="57"/>
  <c r="AF552" i="57"/>
  <c r="Z553" i="57"/>
  <c r="AF553" i="57"/>
  <c r="Z554" i="57"/>
  <c r="AF554" i="57"/>
  <c r="Z555" i="57"/>
  <c r="AF555" i="57"/>
  <c r="Z556" i="57"/>
  <c r="AF556" i="57"/>
  <c r="Z557" i="57"/>
  <c r="AF557" i="57"/>
  <c r="Z558" i="57"/>
  <c r="AF558" i="57"/>
  <c r="Z559" i="57"/>
  <c r="AF559" i="57"/>
  <c r="Z560" i="57"/>
  <c r="AF560" i="57"/>
  <c r="Z561" i="57"/>
  <c r="AF561" i="57"/>
  <c r="Z562" i="57"/>
  <c r="AF562" i="57"/>
  <c r="Z563" i="57"/>
  <c r="AF563" i="57"/>
  <c r="Z564" i="57"/>
  <c r="AF564" i="57"/>
  <c r="Z565" i="57"/>
  <c r="AF565" i="57"/>
  <c r="Z566" i="57"/>
  <c r="AF566" i="57"/>
  <c r="Z567" i="57"/>
  <c r="AF567" i="57"/>
  <c r="Y568" i="57"/>
  <c r="AE568" i="57"/>
  <c r="Y569" i="57"/>
  <c r="AE569" i="57"/>
  <c r="Y570" i="57"/>
  <c r="AE570" i="57"/>
  <c r="Y571" i="57"/>
  <c r="AE571" i="57"/>
  <c r="Y572" i="57"/>
  <c r="AE572" i="57"/>
  <c r="Y573" i="57"/>
  <c r="AE573" i="57"/>
  <c r="Y574" i="57"/>
  <c r="AE574" i="57"/>
  <c r="Y575" i="57"/>
  <c r="AE575" i="57"/>
  <c r="Y576" i="57"/>
  <c r="AE576" i="57"/>
  <c r="Y577" i="57"/>
  <c r="AE577" i="57"/>
  <c r="Y578" i="57"/>
  <c r="AE578" i="57"/>
  <c r="Y579" i="57"/>
  <c r="AE579" i="57"/>
  <c r="Y580" i="57"/>
  <c r="AE580" i="57"/>
  <c r="Y581" i="57"/>
  <c r="AE581" i="57"/>
  <c r="Y582" i="57"/>
  <c r="AE582" i="57"/>
  <c r="Y583" i="57"/>
  <c r="AE583" i="57"/>
  <c r="Y584" i="57"/>
  <c r="AE584" i="57"/>
  <c r="Y585" i="57"/>
  <c r="AE585" i="57"/>
  <c r="Z586" i="57"/>
  <c r="AF586" i="57"/>
  <c r="Z587" i="57"/>
  <c r="AF587" i="57"/>
  <c r="Z588" i="57"/>
  <c r="AF588" i="57"/>
  <c r="Z589" i="57"/>
  <c r="AF589" i="57"/>
  <c r="Z590" i="57"/>
  <c r="AF590" i="57"/>
  <c r="Z591" i="57"/>
  <c r="AF591" i="57"/>
  <c r="Z592" i="57"/>
  <c r="AF592" i="57"/>
  <c r="Z593" i="57"/>
  <c r="AF593" i="57"/>
  <c r="Z594" i="57"/>
  <c r="AF594" i="57"/>
  <c r="Z595" i="57"/>
  <c r="AF595" i="57"/>
  <c r="Z596" i="57"/>
  <c r="AF596" i="57"/>
  <c r="Z597" i="57"/>
  <c r="AF597" i="57"/>
  <c r="Z598" i="57"/>
  <c r="AF598" i="57"/>
  <c r="Z599" i="57"/>
  <c r="AF599" i="57"/>
  <c r="Z600" i="57"/>
  <c r="AF600" i="57"/>
  <c r="Z601" i="57"/>
  <c r="AF601" i="57"/>
  <c r="Z602" i="57"/>
  <c r="AF602" i="57"/>
  <c r="Z603" i="57"/>
  <c r="AF603" i="57"/>
  <c r="Z604" i="57"/>
  <c r="AF604" i="57"/>
  <c r="Z605" i="57"/>
  <c r="AF605" i="57"/>
  <c r="Z606" i="57"/>
  <c r="AF606" i="57"/>
  <c r="Z607" i="57"/>
  <c r="AF607" i="57"/>
  <c r="Z608" i="57"/>
  <c r="AF608" i="57"/>
  <c r="Z609" i="57"/>
  <c r="AF609" i="57"/>
  <c r="Z610" i="57"/>
  <c r="AF610" i="57"/>
  <c r="Z611" i="57"/>
  <c r="AF611" i="57"/>
  <c r="Z612" i="57"/>
  <c r="AF612" i="57"/>
  <c r="Z613" i="57"/>
  <c r="AF613" i="57"/>
  <c r="Z614" i="57"/>
  <c r="AF614" i="57"/>
  <c r="Z615" i="57"/>
  <c r="AF615" i="57"/>
  <c r="Y616" i="57"/>
  <c r="AE616" i="57"/>
  <c r="Y617" i="57"/>
  <c r="AE617" i="57"/>
  <c r="Y618" i="57"/>
  <c r="AE618" i="57"/>
  <c r="Y619" i="57"/>
  <c r="AE619" i="57"/>
  <c r="Y620" i="57"/>
  <c r="AE620" i="57"/>
  <c r="Y621" i="57"/>
  <c r="AE621" i="57"/>
  <c r="Y622" i="57"/>
  <c r="AE622" i="57"/>
  <c r="Y623" i="57"/>
  <c r="AE623" i="57"/>
  <c r="Y624" i="57"/>
  <c r="AE624" i="57"/>
  <c r="Y625" i="57"/>
  <c r="AE625" i="57"/>
  <c r="Y626" i="57"/>
  <c r="AE626" i="57"/>
  <c r="Y627" i="57"/>
  <c r="AE627" i="57"/>
  <c r="Y628" i="57"/>
  <c r="AE628" i="57"/>
  <c r="Z629" i="57"/>
  <c r="AF629" i="57"/>
  <c r="Z630" i="57"/>
  <c r="AF630" i="57"/>
  <c r="Z631" i="57"/>
  <c r="AF631" i="57"/>
  <c r="Z632" i="57"/>
  <c r="AF632" i="57"/>
  <c r="Z633" i="57"/>
  <c r="AF633" i="57"/>
  <c r="Z634" i="57"/>
  <c r="AF634" i="57"/>
  <c r="Z635" i="57"/>
  <c r="AF635" i="57"/>
  <c r="Z636" i="57"/>
  <c r="AF636" i="57"/>
  <c r="Z637" i="57"/>
  <c r="AF637" i="57"/>
  <c r="Z638" i="57"/>
  <c r="AF638" i="57"/>
  <c r="Z639" i="57"/>
  <c r="AF639" i="57"/>
  <c r="Z640" i="57"/>
  <c r="AF640" i="57"/>
  <c r="Z641" i="57"/>
  <c r="AF641" i="57"/>
  <c r="Z642" i="57"/>
  <c r="AF642" i="57"/>
  <c r="Z643" i="57"/>
  <c r="AF643" i="57"/>
  <c r="Z644" i="57"/>
  <c r="AF644" i="57"/>
  <c r="Z645" i="57"/>
  <c r="AF645" i="57"/>
  <c r="Z646" i="57"/>
  <c r="AF646" i="57"/>
  <c r="Z647" i="57"/>
  <c r="AF647" i="57"/>
  <c r="Z648" i="57"/>
  <c r="AF648" i="57"/>
  <c r="Z649" i="57"/>
  <c r="AF649" i="57"/>
  <c r="Z650" i="57"/>
  <c r="AF650" i="57"/>
  <c r="Z651" i="57"/>
  <c r="AF651" i="57"/>
  <c r="Z652" i="57"/>
  <c r="AF652" i="57"/>
  <c r="Z653" i="57"/>
  <c r="AF653" i="57"/>
  <c r="Z654" i="57"/>
  <c r="AF654" i="57"/>
  <c r="Z655" i="57"/>
  <c r="AF655" i="57"/>
  <c r="Z656" i="57"/>
  <c r="AF656" i="57"/>
  <c r="Z657" i="57"/>
  <c r="AF657" i="57"/>
  <c r="Z658" i="57"/>
  <c r="AF658" i="57"/>
  <c r="Z659" i="57"/>
  <c r="AF659" i="57"/>
  <c r="Z660" i="57"/>
  <c r="AF660" i="57"/>
  <c r="Z661" i="57"/>
  <c r="AF661" i="57"/>
  <c r="Z662" i="57"/>
  <c r="AF662" i="57"/>
  <c r="Z663" i="57"/>
  <c r="AF663" i="57"/>
  <c r="Z664" i="57"/>
  <c r="AF664" i="57"/>
  <c r="Z665" i="57"/>
  <c r="AF665" i="57"/>
  <c r="Z666" i="57"/>
  <c r="AF666" i="57"/>
  <c r="Z667" i="57"/>
  <c r="AF667" i="57"/>
  <c r="Z668" i="57"/>
  <c r="AF668" i="57"/>
  <c r="Z669" i="57"/>
  <c r="AF669" i="57"/>
  <c r="Z670" i="57"/>
  <c r="AF670" i="57"/>
  <c r="Z671" i="57"/>
  <c r="AF671" i="57"/>
  <c r="Z672" i="57"/>
  <c r="AF672" i="57"/>
  <c r="Z673" i="57"/>
  <c r="AF673" i="57"/>
  <c r="Z674" i="57"/>
  <c r="AF674" i="57"/>
  <c r="Z675" i="57"/>
  <c r="AF675" i="57"/>
  <c r="Z676" i="57"/>
  <c r="AF676" i="57"/>
  <c r="Z677" i="57"/>
  <c r="AF677" i="57"/>
  <c r="Z678" i="57"/>
  <c r="AF678" i="57"/>
  <c r="Z679" i="57"/>
  <c r="AF679" i="57"/>
  <c r="Z680" i="57"/>
  <c r="AF680" i="57"/>
  <c r="Z681" i="57"/>
  <c r="AF681" i="57"/>
  <c r="Z682" i="57"/>
  <c r="AF682" i="57"/>
  <c r="Z683" i="57"/>
  <c r="AF683" i="57"/>
  <c r="Z684" i="57"/>
  <c r="AF684" i="57"/>
  <c r="Z685" i="57"/>
  <c r="AF685" i="57"/>
  <c r="Z686" i="57"/>
  <c r="AF686" i="57"/>
  <c r="Z687" i="57"/>
  <c r="AF687" i="57"/>
  <c r="Z688" i="57"/>
  <c r="AF688" i="57"/>
  <c r="Z689" i="57"/>
  <c r="AF689" i="57"/>
  <c r="Z690" i="57"/>
  <c r="AF690" i="57"/>
  <c r="Z691" i="57"/>
  <c r="AF691" i="57"/>
  <c r="Z692" i="57"/>
  <c r="AF692" i="57"/>
  <c r="Z693" i="57"/>
  <c r="AF693" i="57"/>
  <c r="Z694" i="57"/>
  <c r="AF694" i="57"/>
  <c r="Z695" i="57"/>
  <c r="AF695" i="57"/>
  <c r="Z696" i="57"/>
  <c r="AF696" i="57"/>
  <c r="Z697" i="57"/>
  <c r="AF697" i="57"/>
  <c r="Z698" i="57"/>
  <c r="AF698" i="57"/>
  <c r="Z699" i="57"/>
  <c r="AF699" i="57"/>
  <c r="Z700" i="57"/>
  <c r="AF700" i="57"/>
  <c r="Z701" i="57"/>
  <c r="AF701" i="57"/>
  <c r="Z702" i="57"/>
  <c r="AF702" i="57"/>
  <c r="Z703" i="57"/>
  <c r="AF703" i="57"/>
  <c r="Z704" i="57"/>
  <c r="AF704" i="57"/>
  <c r="Z705" i="57"/>
  <c r="AF705" i="57"/>
  <c r="Z706" i="57"/>
  <c r="AF706" i="57"/>
  <c r="Z707" i="57"/>
  <c r="AF707" i="57"/>
  <c r="Z708" i="57"/>
  <c r="AF708" i="57"/>
  <c r="Z709" i="57"/>
  <c r="AF709" i="57"/>
  <c r="Z710" i="57"/>
  <c r="AF710" i="57"/>
  <c r="Z711" i="57"/>
  <c r="AF711" i="57"/>
  <c r="Z712" i="57"/>
  <c r="AF712" i="57"/>
  <c r="Z713" i="57"/>
  <c r="AF713" i="57"/>
  <c r="Z714" i="57"/>
  <c r="AF714" i="57"/>
  <c r="Z715" i="57"/>
  <c r="AF715" i="57"/>
  <c r="Z716" i="57"/>
  <c r="AF716" i="57"/>
  <c r="Z717" i="57"/>
  <c r="AF717" i="57"/>
  <c r="Z718" i="57"/>
  <c r="AF718" i="57"/>
  <c r="Z719" i="57"/>
  <c r="AF719" i="57"/>
  <c r="Z720" i="57"/>
  <c r="AF720" i="57"/>
  <c r="Z721" i="57"/>
  <c r="AF721" i="57"/>
  <c r="Z722" i="57"/>
  <c r="AF722" i="57"/>
  <c r="Z723" i="57"/>
  <c r="AF723" i="57"/>
  <c r="Z724" i="57"/>
  <c r="AF724" i="57"/>
  <c r="Z725" i="57"/>
  <c r="AF725" i="57"/>
  <c r="Z726" i="57"/>
  <c r="AF726" i="57"/>
  <c r="Z727" i="57"/>
  <c r="AF727" i="57"/>
  <c r="Z728" i="57"/>
  <c r="AF728" i="57"/>
  <c r="Z729" i="57"/>
  <c r="AF729" i="57"/>
  <c r="Z730" i="57"/>
  <c r="AF730" i="57"/>
  <c r="Z731" i="57"/>
  <c r="AF731" i="57"/>
  <c r="Z732" i="57"/>
  <c r="AF732" i="57"/>
  <c r="Z733" i="57"/>
  <c r="AF733" i="57"/>
  <c r="Z734" i="57"/>
  <c r="AF734" i="57"/>
  <c r="Z735" i="57"/>
  <c r="AF735" i="57"/>
  <c r="Z736" i="57"/>
  <c r="AF736" i="57"/>
  <c r="Z737" i="57"/>
  <c r="AF737" i="57"/>
  <c r="Z738" i="57"/>
  <c r="AF738" i="57"/>
  <c r="Z739" i="57"/>
  <c r="AF739" i="57"/>
  <c r="Z740" i="57"/>
  <c r="AF740" i="57"/>
  <c r="Z741" i="57"/>
  <c r="AF741" i="57"/>
  <c r="Z742" i="57"/>
  <c r="AF742" i="57"/>
  <c r="Z743" i="57"/>
  <c r="AF743" i="57"/>
  <c r="Z744" i="57"/>
  <c r="AF744" i="57"/>
  <c r="Z745" i="57"/>
  <c r="AF745" i="57"/>
  <c r="Z746" i="57"/>
  <c r="AF746" i="57"/>
  <c r="Z747" i="57"/>
  <c r="AF747" i="57"/>
  <c r="Z748" i="57"/>
  <c r="AF748" i="57"/>
  <c r="Z749" i="57"/>
  <c r="AF749" i="57"/>
  <c r="Z750" i="57"/>
  <c r="AF750" i="57"/>
  <c r="Z751" i="57"/>
  <c r="AF751" i="57"/>
  <c r="Z752" i="57"/>
  <c r="AF752" i="57"/>
  <c r="Z753" i="57"/>
  <c r="AF753" i="57"/>
  <c r="Z754" i="57"/>
  <c r="AF754" i="57"/>
  <c r="Z755" i="57"/>
  <c r="AF755" i="57"/>
  <c r="Z756" i="57"/>
  <c r="AF756" i="57"/>
  <c r="Z757" i="57"/>
  <c r="AF757" i="57"/>
  <c r="Z758" i="57"/>
  <c r="AF758" i="57"/>
  <c r="Z759" i="57"/>
  <c r="AF759" i="57"/>
  <c r="Z760" i="57"/>
  <c r="AF760" i="57"/>
  <c r="Z761" i="57"/>
  <c r="AF761" i="57"/>
  <c r="Z762" i="57"/>
  <c r="AF762" i="57"/>
  <c r="Z763" i="57"/>
  <c r="AF763" i="57"/>
  <c r="Z764" i="57"/>
  <c r="AF764" i="57"/>
  <c r="Z765" i="57"/>
  <c r="AF765" i="57"/>
  <c r="Z766" i="57"/>
  <c r="AF766" i="57"/>
  <c r="Z767" i="57"/>
  <c r="AF767" i="57"/>
  <c r="Z768" i="57"/>
  <c r="AF768" i="57"/>
  <c r="Z769" i="57"/>
  <c r="AF769" i="57"/>
  <c r="Z770" i="57"/>
  <c r="AF770" i="57"/>
  <c r="Z771" i="57"/>
  <c r="AF771" i="57"/>
  <c r="Z772" i="57"/>
  <c r="AF772" i="57"/>
  <c r="Z773" i="57"/>
  <c r="AF773" i="57"/>
  <c r="Z774" i="57"/>
  <c r="AF774" i="57"/>
  <c r="Z775" i="57"/>
  <c r="AF775" i="57"/>
  <c r="Z776" i="57"/>
  <c r="AF776" i="57"/>
  <c r="Z777" i="57"/>
  <c r="AF777" i="57"/>
  <c r="Z778" i="57"/>
  <c r="AF778" i="57"/>
  <c r="Z779" i="57"/>
  <c r="AF779" i="57"/>
  <c r="Z780" i="57"/>
  <c r="AF780" i="57"/>
  <c r="Z781" i="57"/>
  <c r="AF781" i="57"/>
  <c r="Z782" i="57"/>
  <c r="AF782" i="57"/>
  <c r="Z783" i="57"/>
  <c r="AF783" i="57"/>
  <c r="Z784" i="57"/>
  <c r="AF784" i="57"/>
  <c r="Z785" i="57"/>
  <c r="AF785" i="57"/>
  <c r="Z786" i="57"/>
  <c r="AF786" i="57"/>
  <c r="Z787" i="57"/>
  <c r="AF787" i="57"/>
  <c r="Z788" i="57"/>
  <c r="AF788" i="57"/>
  <c r="Z789" i="57"/>
  <c r="AF789" i="57"/>
  <c r="Z790" i="57"/>
  <c r="AF790" i="57"/>
  <c r="Z791" i="57"/>
  <c r="AF791" i="57"/>
  <c r="Z792" i="57"/>
  <c r="AF792" i="57"/>
  <c r="Z793" i="57"/>
  <c r="AF793" i="57"/>
  <c r="Z794" i="57"/>
  <c r="AF794" i="57"/>
  <c r="Z795" i="57"/>
  <c r="AF795" i="57"/>
  <c r="Z796" i="57"/>
  <c r="AF796" i="57"/>
  <c r="Z797" i="57"/>
  <c r="AF797" i="57"/>
  <c r="Z798" i="57"/>
  <c r="AF798" i="57"/>
  <c r="Z799" i="57"/>
  <c r="AF799" i="57"/>
  <c r="Z800" i="57"/>
  <c r="AF800" i="57"/>
  <c r="Z801" i="57"/>
  <c r="AF801" i="57"/>
  <c r="Z802" i="57"/>
  <c r="AF802" i="57"/>
  <c r="Z803" i="57"/>
  <c r="AF803" i="57"/>
  <c r="Z804" i="57"/>
  <c r="AF804" i="57"/>
  <c r="Z805" i="57"/>
  <c r="AF805" i="57"/>
  <c r="Z806" i="57"/>
  <c r="AF806" i="57"/>
  <c r="Z807" i="57"/>
  <c r="AF807" i="57"/>
  <c r="Z808" i="57"/>
  <c r="AF808" i="57"/>
  <c r="Z809" i="57"/>
  <c r="AF809" i="57"/>
  <c r="Z810" i="57"/>
  <c r="AF810" i="57"/>
  <c r="Z811" i="57"/>
  <c r="AF811" i="57"/>
  <c r="Z812" i="57"/>
  <c r="AF812" i="57"/>
  <c r="Z813" i="57"/>
  <c r="AF813" i="57"/>
  <c r="Z814" i="57"/>
  <c r="AF814" i="57"/>
  <c r="Z815" i="57"/>
  <c r="AF815" i="57"/>
  <c r="Z816" i="57"/>
  <c r="AF816" i="57"/>
  <c r="Z817" i="57"/>
  <c r="AF817" i="57"/>
  <c r="Z818" i="57"/>
  <c r="AF818" i="57"/>
  <c r="Z819" i="57"/>
  <c r="AF819" i="57"/>
  <c r="Z820" i="57"/>
  <c r="AF820" i="57"/>
  <c r="Z821" i="57"/>
  <c r="AF821" i="57"/>
  <c r="Z822" i="57"/>
  <c r="AF822" i="57"/>
  <c r="Z823" i="57"/>
  <c r="AF823" i="57"/>
  <c r="Z824" i="57"/>
  <c r="AF824" i="57"/>
  <c r="Z825" i="57"/>
  <c r="AF825" i="57"/>
  <c r="Z826" i="57"/>
  <c r="AF826" i="57"/>
  <c r="Z827" i="57"/>
  <c r="AF827" i="57"/>
  <c r="Z828" i="57"/>
  <c r="AF828" i="57"/>
  <c r="Z829" i="57"/>
  <c r="AF829" i="57"/>
  <c r="Z830" i="57"/>
  <c r="AF830" i="57"/>
  <c r="Z831" i="57"/>
  <c r="AF831" i="57"/>
  <c r="Z832" i="57"/>
  <c r="AF832" i="57"/>
  <c r="Z833" i="57"/>
  <c r="AF833" i="57"/>
  <c r="Z834" i="57"/>
  <c r="AF834" i="57"/>
  <c r="Z835" i="57"/>
  <c r="AF835" i="57"/>
  <c r="Z836" i="57"/>
  <c r="AF836" i="57"/>
  <c r="Z837" i="57"/>
  <c r="AF837" i="57"/>
  <c r="Z838" i="57"/>
  <c r="AF838" i="57"/>
  <c r="Z839" i="57"/>
  <c r="AF839" i="57"/>
  <c r="Z840" i="57"/>
  <c r="AF840" i="57"/>
  <c r="Z841" i="57"/>
  <c r="AF841" i="57"/>
  <c r="Z842" i="57"/>
  <c r="AF842" i="57"/>
  <c r="Z843" i="57"/>
  <c r="AF843" i="57"/>
  <c r="Z844" i="57"/>
  <c r="AF844" i="57"/>
  <c r="Z845" i="57"/>
  <c r="AF845" i="57"/>
  <c r="Z846" i="57"/>
  <c r="AF846" i="57"/>
  <c r="Z847" i="57"/>
  <c r="AF847" i="57"/>
  <c r="Z848" i="57"/>
  <c r="AF848" i="57"/>
  <c r="Z849" i="57"/>
  <c r="AF849" i="57"/>
  <c r="Z850" i="57"/>
  <c r="AF850" i="57"/>
  <c r="Z851" i="57"/>
  <c r="AF851" i="57"/>
  <c r="Z852" i="57"/>
  <c r="AF852" i="57"/>
  <c r="Z853" i="57"/>
  <c r="AF853" i="57"/>
  <c r="Z854" i="57"/>
  <c r="AF854" i="57"/>
  <c r="Z855" i="57"/>
  <c r="AF855" i="57"/>
  <c r="Z856" i="57"/>
  <c r="AF856" i="57"/>
  <c r="Z857" i="57"/>
  <c r="AF857" i="57"/>
  <c r="Z858" i="57"/>
  <c r="AF858" i="57"/>
  <c r="Z859" i="57"/>
  <c r="AF859" i="57"/>
  <c r="Z860" i="57"/>
  <c r="AF860" i="57"/>
  <c r="Z861" i="57"/>
  <c r="AF861" i="57"/>
  <c r="Z862" i="57"/>
  <c r="AF862" i="57"/>
  <c r="Z863" i="57"/>
  <c r="AF863" i="57"/>
  <c r="Z864" i="57"/>
  <c r="AF864" i="57"/>
  <c r="Z865" i="57"/>
  <c r="AF865" i="57"/>
  <c r="Z866" i="57"/>
  <c r="AF866" i="57"/>
  <c r="Z867" i="57"/>
  <c r="AF867" i="57"/>
  <c r="Z868" i="57"/>
  <c r="AF868" i="57"/>
  <c r="Z869" i="57"/>
  <c r="AF869" i="57"/>
  <c r="Z870" i="57"/>
  <c r="AF870" i="57"/>
  <c r="Z871" i="57"/>
  <c r="AF871" i="57"/>
  <c r="Z872" i="57"/>
  <c r="AF872" i="57"/>
  <c r="Z873" i="57"/>
  <c r="AF873" i="57"/>
  <c r="Z874" i="57"/>
  <c r="AF874" i="57"/>
  <c r="Z875" i="57"/>
  <c r="AF875" i="57"/>
  <c r="Z876" i="57"/>
  <c r="AF876" i="57"/>
  <c r="Z877" i="57"/>
  <c r="AF877" i="57"/>
  <c r="Z878" i="57"/>
  <c r="AF878" i="57"/>
  <c r="Z879" i="57"/>
  <c r="AF879" i="57"/>
  <c r="Z880" i="57"/>
  <c r="AF880" i="57"/>
  <c r="Z881" i="57"/>
  <c r="AF881" i="57"/>
  <c r="Z882" i="57"/>
  <c r="AF882" i="57"/>
  <c r="Z883" i="57"/>
  <c r="AF883" i="57"/>
  <c r="Z884" i="57"/>
  <c r="AF884" i="57"/>
  <c r="Z885" i="57"/>
  <c r="AF885" i="57"/>
  <c r="Z886" i="57"/>
  <c r="AF886" i="57"/>
  <c r="Z887" i="57"/>
  <c r="AF887" i="57"/>
  <c r="Z888" i="57"/>
  <c r="AF888" i="57"/>
  <c r="Z889" i="57"/>
  <c r="AF889" i="57"/>
  <c r="Z890" i="57"/>
  <c r="AF890" i="57"/>
  <c r="Z891" i="57"/>
  <c r="AF891" i="57"/>
  <c r="Z892" i="57"/>
  <c r="AF892" i="57"/>
  <c r="Z893" i="57"/>
  <c r="AF893" i="57"/>
  <c r="Z894" i="57"/>
  <c r="AF894" i="57"/>
  <c r="Z895" i="57"/>
  <c r="AF895" i="57"/>
  <c r="Z896" i="57"/>
  <c r="AF896" i="57"/>
  <c r="Z897" i="57"/>
  <c r="AF897" i="57"/>
  <c r="Z898" i="57"/>
  <c r="AF898" i="57"/>
  <c r="Z899" i="57"/>
  <c r="AF899" i="57"/>
  <c r="Z900" i="57"/>
  <c r="AF900" i="57"/>
  <c r="Z901" i="57"/>
  <c r="AF901" i="57"/>
  <c r="Z902" i="57"/>
  <c r="AF902" i="57"/>
  <c r="Z903" i="57"/>
  <c r="AF903" i="57"/>
  <c r="Z904" i="57"/>
  <c r="AF904" i="57"/>
  <c r="Z905" i="57"/>
  <c r="AF905" i="57"/>
  <c r="Z906" i="57"/>
  <c r="AF906" i="57"/>
  <c r="Z907" i="57"/>
  <c r="AF907" i="57"/>
  <c r="Z908" i="57"/>
  <c r="AF908" i="57"/>
  <c r="Z909" i="57"/>
  <c r="AF909" i="57"/>
  <c r="Z910" i="57"/>
  <c r="AF910" i="57"/>
  <c r="Z911" i="57"/>
  <c r="AF911" i="57"/>
  <c r="Z912" i="57"/>
  <c r="AF912" i="57"/>
  <c r="Z913" i="57"/>
  <c r="AF913" i="57"/>
  <c r="Z914" i="57"/>
  <c r="AF914" i="57"/>
  <c r="Z915" i="57"/>
  <c r="AF915" i="57"/>
  <c r="Z916" i="57"/>
  <c r="AF916" i="57"/>
  <c r="Z917" i="57"/>
  <c r="AF917" i="57"/>
  <c r="Z918" i="57"/>
  <c r="AF918" i="57"/>
  <c r="Z919" i="57"/>
  <c r="AF919" i="57"/>
  <c r="Z920" i="57"/>
  <c r="AF920" i="57"/>
  <c r="Z921" i="57"/>
  <c r="AF921" i="57"/>
  <c r="Z922" i="57"/>
  <c r="AF922" i="57"/>
  <c r="Z923" i="57"/>
  <c r="AF923" i="57"/>
  <c r="Z924" i="57"/>
  <c r="AF924" i="57"/>
  <c r="Z925" i="57"/>
  <c r="AF925" i="57"/>
  <c r="Z926" i="57"/>
  <c r="AF926" i="57"/>
  <c r="Z927" i="57"/>
  <c r="AF927" i="57"/>
  <c r="Z928" i="57"/>
  <c r="AF928" i="57"/>
  <c r="Z929" i="57"/>
  <c r="AF929" i="57"/>
  <c r="Z930" i="57"/>
  <c r="AF930" i="57"/>
  <c r="Z931" i="57"/>
  <c r="AF931" i="57"/>
  <c r="Z932" i="57"/>
  <c r="AF932" i="57"/>
  <c r="Z933" i="57"/>
  <c r="AF933" i="57"/>
  <c r="Z934" i="57"/>
  <c r="AF934" i="57"/>
  <c r="Z935" i="57"/>
  <c r="AF935" i="57"/>
  <c r="Z936" i="57"/>
  <c r="AF936" i="57"/>
  <c r="Z937" i="57"/>
  <c r="AF937" i="57"/>
  <c r="Z938" i="57"/>
  <c r="AF938" i="57"/>
  <c r="Z939" i="57"/>
  <c r="AF939" i="57"/>
  <c r="Z940" i="57"/>
  <c r="AF940" i="57"/>
  <c r="Z941" i="57"/>
  <c r="AF941" i="57"/>
  <c r="Z942" i="57"/>
  <c r="AF942" i="57"/>
  <c r="Z943" i="57"/>
  <c r="AF943" i="57"/>
  <c r="Z944" i="57"/>
  <c r="AF944" i="57"/>
  <c r="Z945" i="57"/>
  <c r="AF945" i="57"/>
  <c r="Z946" i="57"/>
  <c r="AF946" i="57"/>
  <c r="Z947" i="57"/>
  <c r="AF947" i="57"/>
  <c r="Z948" i="57"/>
  <c r="AF948" i="57"/>
  <c r="Z949" i="57"/>
  <c r="AF949" i="57"/>
  <c r="Z950" i="57"/>
  <c r="AF950" i="57"/>
  <c r="Z951" i="57"/>
  <c r="AF951" i="57"/>
  <c r="Z952" i="57"/>
  <c r="AF952" i="57"/>
  <c r="Z953" i="57"/>
  <c r="AF953" i="57"/>
  <c r="Z954" i="57"/>
  <c r="AF954" i="57"/>
  <c r="Z955" i="57"/>
  <c r="AF955" i="57"/>
  <c r="Z956" i="57"/>
  <c r="AF956" i="57"/>
  <c r="Z957" i="57"/>
  <c r="AF957" i="57"/>
  <c r="Z958" i="57"/>
  <c r="AF958" i="57"/>
  <c r="Z959" i="57"/>
  <c r="AF959" i="57"/>
  <c r="Z960" i="57"/>
  <c r="AF960" i="57"/>
  <c r="Z961" i="57"/>
  <c r="AF961" i="57"/>
  <c r="Z962" i="57"/>
  <c r="AF962" i="57"/>
  <c r="Z963" i="57"/>
  <c r="AF963" i="57"/>
  <c r="Z964" i="57"/>
  <c r="AF964" i="57"/>
  <c r="Z965" i="57"/>
  <c r="AF965" i="57"/>
  <c r="Z966" i="57"/>
  <c r="AF966" i="57"/>
  <c r="Z967" i="57"/>
  <c r="AF967" i="57"/>
  <c r="Z968" i="57"/>
  <c r="AF968" i="57"/>
  <c r="Z969" i="57"/>
  <c r="AF969" i="57"/>
  <c r="Z970" i="57"/>
  <c r="AF970" i="57"/>
  <c r="Z971" i="57"/>
  <c r="AF971" i="57"/>
  <c r="Z972" i="57"/>
  <c r="AF972" i="57"/>
  <c r="Z973" i="57"/>
  <c r="AF973" i="57"/>
  <c r="Z974" i="57"/>
  <c r="AF974" i="57"/>
  <c r="Z975" i="57"/>
  <c r="AF975" i="57"/>
  <c r="Z976" i="57"/>
  <c r="AF976" i="57"/>
  <c r="Z977" i="57"/>
  <c r="AF977" i="57"/>
  <c r="Z978" i="57"/>
  <c r="AF978" i="57"/>
  <c r="Z979" i="57"/>
  <c r="AF979" i="57"/>
  <c r="Z980" i="57"/>
  <c r="AF980" i="57"/>
  <c r="Z981" i="57"/>
  <c r="AF981" i="57"/>
  <c r="Z982" i="57"/>
  <c r="AF982" i="57"/>
  <c r="Z983" i="57"/>
  <c r="AF983" i="57"/>
  <c r="Z984" i="57"/>
  <c r="AF984" i="57"/>
  <c r="Z985" i="57"/>
  <c r="AF985" i="57"/>
  <c r="Z986" i="57"/>
  <c r="AF986" i="57"/>
  <c r="Z987" i="57"/>
  <c r="AF987" i="57"/>
  <c r="Z988" i="57"/>
  <c r="AF988" i="57"/>
  <c r="Z989" i="57"/>
  <c r="AF989" i="57"/>
  <c r="Z990" i="57"/>
  <c r="AF990" i="57"/>
  <c r="Z991" i="57"/>
  <c r="AF991" i="57"/>
  <c r="Z992" i="57"/>
  <c r="AF992" i="57"/>
  <c r="Z993" i="57"/>
  <c r="AF993" i="57"/>
  <c r="Z994" i="57"/>
  <c r="AF994" i="57"/>
  <c r="Z995" i="57"/>
  <c r="AF995" i="57"/>
  <c r="Z996" i="57"/>
  <c r="AF996" i="57"/>
  <c r="Z997" i="57"/>
  <c r="AF997" i="57"/>
  <c r="Z998" i="57"/>
  <c r="AF998" i="57"/>
  <c r="Z999" i="57"/>
  <c r="AF999" i="57"/>
  <c r="Z1000" i="57"/>
  <c r="AF1000" i="57"/>
  <c r="Z1001" i="57"/>
  <c r="AF1001" i="57"/>
  <c r="Z1002" i="57"/>
  <c r="AF1002" i="57"/>
  <c r="Z1003" i="57"/>
  <c r="AF1003" i="57"/>
  <c r="Z1004" i="57"/>
  <c r="AF1004" i="57"/>
  <c r="Z1005" i="57"/>
  <c r="AF1005" i="57"/>
  <c r="Z1006" i="57"/>
  <c r="AF1006" i="57"/>
  <c r="Z1007" i="57"/>
  <c r="AF1007" i="57"/>
  <c r="Z1008" i="57"/>
  <c r="AF1008" i="57"/>
  <c r="Z1009" i="57"/>
  <c r="AF1009" i="57"/>
  <c r="Z1010" i="57"/>
  <c r="AF1010" i="57"/>
  <c r="Z1011" i="57"/>
  <c r="AF1011" i="57"/>
  <c r="Z1012" i="57"/>
  <c r="AF1012" i="57"/>
  <c r="Z1013" i="57"/>
  <c r="AF1013" i="57"/>
  <c r="Z1014" i="57"/>
  <c r="AF1014" i="57"/>
  <c r="Z1015" i="57"/>
  <c r="AF1015" i="57"/>
  <c r="Z1016" i="57"/>
  <c r="AF1016" i="57"/>
  <c r="Z1017" i="57"/>
  <c r="AF1017" i="57"/>
  <c r="Z1018" i="57"/>
  <c r="AF1018" i="57"/>
  <c r="Z1019" i="57"/>
  <c r="AF1019" i="57"/>
  <c r="Z1020" i="57"/>
  <c r="AF1020" i="57"/>
  <c r="Z1021" i="57"/>
  <c r="AF1021" i="57"/>
  <c r="Z1022" i="57"/>
  <c r="AF1022" i="57"/>
  <c r="Z1023" i="57"/>
  <c r="AF1023" i="57"/>
  <c r="Z1024" i="57"/>
  <c r="AF1024" i="57"/>
  <c r="Z1025" i="57"/>
  <c r="AF1025" i="57"/>
  <c r="Z1026" i="57"/>
  <c r="AF1026" i="57"/>
  <c r="Z1027" i="57"/>
  <c r="AF1027" i="57"/>
  <c r="Z1028" i="57"/>
  <c r="AF1028" i="57"/>
  <c r="Z1029" i="57"/>
  <c r="AF1029" i="57"/>
  <c r="Z1030" i="57"/>
  <c r="AF1030" i="57"/>
  <c r="Z1031" i="57"/>
  <c r="AF1031" i="57"/>
  <c r="Z1032" i="57"/>
  <c r="AF1032" i="57"/>
  <c r="Z1033" i="57"/>
  <c r="AF1033" i="57"/>
  <c r="Z1034" i="57"/>
  <c r="AF1034" i="57"/>
  <c r="Z1035" i="57"/>
  <c r="AF1035" i="57"/>
  <c r="Z1036" i="57"/>
  <c r="AF1036" i="57"/>
  <c r="Z1037" i="57"/>
  <c r="AF1037" i="57"/>
  <c r="Z1038" i="57"/>
  <c r="AF1038" i="57"/>
  <c r="Z1039" i="57"/>
  <c r="AF1039" i="57"/>
  <c r="Z1040" i="57"/>
  <c r="AF1040" i="57"/>
  <c r="Z1041" i="57"/>
  <c r="AF1041" i="57"/>
  <c r="Z1042" i="57"/>
  <c r="AF1042" i="57"/>
  <c r="Z1043" i="57"/>
  <c r="AF1043" i="57"/>
  <c r="Z1044" i="57"/>
  <c r="AF1044" i="57"/>
  <c r="Z1045" i="57"/>
  <c r="AF1045" i="57"/>
  <c r="Z1046" i="57"/>
  <c r="AF1046" i="57"/>
  <c r="Z1047" i="57"/>
  <c r="AF1047" i="57"/>
  <c r="Z1048" i="57"/>
  <c r="AF1048" i="57"/>
  <c r="Z1049" i="57"/>
  <c r="AF1049" i="57"/>
  <c r="Z1050" i="57"/>
  <c r="AF1050" i="57"/>
  <c r="Z1051" i="57"/>
  <c r="AF1051" i="57"/>
  <c r="Z1052" i="57"/>
  <c r="AF1052" i="57"/>
  <c r="Z1053" i="57"/>
  <c r="AF1053" i="57"/>
  <c r="Z1054" i="57"/>
  <c r="AF1054" i="57"/>
  <c r="Z1055" i="57"/>
  <c r="AF1055" i="57"/>
  <c r="Z1056" i="57"/>
  <c r="AF1056" i="57"/>
  <c r="Z1057" i="57"/>
  <c r="AF1057" i="57"/>
  <c r="Z1058" i="57"/>
  <c r="AF1058" i="57"/>
  <c r="Z1059" i="57"/>
  <c r="AF1059" i="57"/>
  <c r="Z1060" i="57"/>
  <c r="AF1060" i="57"/>
  <c r="Z1061" i="57"/>
  <c r="AF1061" i="57"/>
  <c r="Z1062" i="57"/>
  <c r="AF1062" i="57"/>
  <c r="Z1063" i="57"/>
  <c r="AF1063" i="57"/>
  <c r="Z1064" i="57"/>
  <c r="AF1064" i="57"/>
  <c r="Z1065" i="57"/>
  <c r="AF1065" i="57"/>
  <c r="Z1066" i="57"/>
  <c r="AF1066" i="57"/>
  <c r="Z1067" i="57"/>
  <c r="AF1067" i="57"/>
  <c r="Z1068" i="57"/>
  <c r="AF1068" i="57"/>
  <c r="Z1069" i="57"/>
  <c r="AF1069" i="57"/>
  <c r="Z1070" i="57"/>
  <c r="AF1070" i="57"/>
  <c r="Z1071" i="57"/>
  <c r="AF1071" i="57"/>
  <c r="Z1072" i="57"/>
  <c r="AF1072" i="57"/>
  <c r="Z1073" i="57"/>
  <c r="AF1073" i="57"/>
  <c r="Z1074" i="57"/>
  <c r="AF1074" i="57"/>
  <c r="Z1075" i="57"/>
  <c r="AF1075" i="57"/>
  <c r="Z1076" i="57"/>
  <c r="AF1076" i="57"/>
  <c r="Z1077" i="57"/>
  <c r="AF1077" i="57"/>
  <c r="Z1078" i="57"/>
  <c r="AF1078" i="57"/>
  <c r="Z1079" i="57"/>
  <c r="AF1079" i="57"/>
  <c r="Z1080" i="57"/>
  <c r="AF1080" i="57"/>
  <c r="Z1081" i="57"/>
  <c r="AF1081" i="57"/>
  <c r="Z1082" i="57"/>
  <c r="AF1082" i="57"/>
  <c r="Z1083" i="57"/>
  <c r="AF1083" i="57"/>
  <c r="Z1084" i="57"/>
  <c r="AF1084" i="57"/>
  <c r="Z1085" i="57"/>
  <c r="AF1085" i="57"/>
  <c r="Z1086" i="57"/>
  <c r="AF1086" i="57"/>
  <c r="Z1087" i="57"/>
  <c r="AF1087" i="57"/>
  <c r="Z1088" i="57"/>
  <c r="AF1088" i="57"/>
  <c r="Z1089" i="57"/>
  <c r="AF1089" i="57"/>
  <c r="Z1090" i="57"/>
  <c r="AF1090" i="57"/>
  <c r="Z1091" i="57"/>
  <c r="AF1091" i="57"/>
  <c r="Z1092" i="57"/>
  <c r="AF1092" i="57"/>
  <c r="Z1093" i="57"/>
  <c r="AF1093" i="57"/>
  <c r="Z1094" i="57"/>
  <c r="AF1094" i="57"/>
  <c r="Z1095" i="57"/>
  <c r="AF1095" i="57"/>
  <c r="Z1096" i="57"/>
  <c r="AF1096" i="57"/>
  <c r="Z1097" i="57"/>
  <c r="AF1097" i="57"/>
  <c r="Z1098" i="57"/>
  <c r="AF1098" i="57"/>
  <c r="Z1099" i="57"/>
  <c r="AF1099" i="57"/>
  <c r="Z1100" i="57"/>
  <c r="AF1100" i="57"/>
  <c r="Z1101" i="57"/>
  <c r="AF1101" i="57"/>
  <c r="Z1102" i="57"/>
  <c r="AF1102" i="57"/>
  <c r="Z1103" i="57"/>
  <c r="AF1103" i="57"/>
  <c r="Z1104" i="57"/>
  <c r="AF1104" i="57"/>
  <c r="Z1105" i="57"/>
  <c r="AF1105" i="57"/>
  <c r="Z1106" i="57"/>
  <c r="AF1106" i="57"/>
  <c r="Z1107" i="57"/>
  <c r="AF1107" i="57"/>
  <c r="Z1108" i="57"/>
  <c r="AF1108" i="57"/>
  <c r="Z1109" i="57"/>
  <c r="AF1109" i="57"/>
  <c r="Z1110" i="57"/>
  <c r="AF1110" i="57"/>
  <c r="Z1111" i="57"/>
  <c r="AF1111" i="57"/>
  <c r="Z1112" i="57"/>
  <c r="AF1112" i="57"/>
  <c r="Z1113" i="57"/>
  <c r="AF1113" i="57"/>
  <c r="Z1114" i="57"/>
  <c r="AF1114" i="57"/>
  <c r="Z1115" i="57"/>
  <c r="AF1115" i="57"/>
  <c r="Z1116" i="57"/>
  <c r="AF1116" i="57"/>
  <c r="Z1117" i="57"/>
  <c r="AF1117" i="57"/>
  <c r="Z1118" i="57"/>
  <c r="AF1118" i="57"/>
  <c r="Z1119" i="57"/>
  <c r="AF1119" i="57"/>
  <c r="Z1120" i="57"/>
  <c r="AF1120" i="57"/>
  <c r="Z1121" i="57"/>
  <c r="AF1121" i="57"/>
  <c r="Z1122" i="57"/>
  <c r="AF1122" i="57"/>
  <c r="Z1123" i="57"/>
  <c r="AF1123" i="57"/>
  <c r="Z1124" i="57"/>
  <c r="AF1124" i="57"/>
  <c r="Z1125" i="57"/>
  <c r="AF1125" i="57"/>
  <c r="Z1126" i="57"/>
  <c r="AF1126" i="57"/>
  <c r="Z1127" i="57"/>
  <c r="AF1127" i="57"/>
  <c r="Z1128" i="57"/>
  <c r="AF1128" i="57"/>
  <c r="Z1129" i="57"/>
  <c r="AF1129" i="57"/>
  <c r="Z1130" i="57"/>
  <c r="AF1130" i="57"/>
  <c r="Z1131" i="57"/>
  <c r="AF1131" i="57"/>
  <c r="Z1132" i="57"/>
  <c r="AF1132" i="57"/>
  <c r="Z1133" i="57"/>
  <c r="AF1133" i="57"/>
  <c r="Z1134" i="57"/>
  <c r="AF1134" i="57"/>
  <c r="Z1135" i="57"/>
  <c r="AF1135" i="57"/>
  <c r="Z1136" i="57"/>
  <c r="AF1136" i="57"/>
  <c r="Z1137" i="57"/>
  <c r="AF1137" i="57"/>
  <c r="Z1138" i="57"/>
  <c r="AF1138" i="57"/>
  <c r="Z1139" i="57"/>
  <c r="AF1139" i="57"/>
  <c r="Z1140" i="57"/>
  <c r="AF1140" i="57"/>
  <c r="Z1141" i="57"/>
  <c r="AF1141" i="57"/>
  <c r="Z1142" i="57"/>
  <c r="AF1142" i="57"/>
  <c r="Z1143" i="57"/>
  <c r="AF1143" i="57"/>
  <c r="Z1144" i="57"/>
  <c r="AF1144" i="57"/>
  <c r="Z1145" i="57"/>
  <c r="AF1145" i="57"/>
  <c r="Z1146" i="57"/>
  <c r="AF1146" i="57"/>
  <c r="Z1147" i="57"/>
  <c r="AF1147" i="57"/>
  <c r="Z1148" i="57"/>
  <c r="AF1148" i="57"/>
  <c r="Z1149" i="57"/>
  <c r="AF1149" i="57"/>
  <c r="Z1150" i="57"/>
  <c r="AF1150" i="57"/>
  <c r="Z1151" i="57"/>
  <c r="AF1151" i="57"/>
  <c r="Z1152" i="57"/>
  <c r="AF1152" i="57"/>
  <c r="Z1153" i="57"/>
  <c r="AF1153" i="57"/>
  <c r="Z1154" i="57"/>
  <c r="AF1154" i="57"/>
  <c r="Z1155" i="57"/>
  <c r="AF1155" i="57"/>
  <c r="Z1156" i="57"/>
  <c r="AF1156" i="57"/>
  <c r="D7" i="65"/>
  <c r="R7" i="65"/>
  <c r="S7" i="65"/>
  <c r="V7" i="65"/>
  <c r="W7" i="65"/>
  <c r="X7" i="65"/>
  <c r="D9" i="65"/>
  <c r="R9" i="65"/>
  <c r="S9" i="65"/>
  <c r="V9" i="65"/>
  <c r="W9" i="65"/>
  <c r="X9" i="65"/>
  <c r="D11" i="65"/>
  <c r="R11" i="65"/>
  <c r="S11" i="65"/>
  <c r="V11" i="65"/>
  <c r="W11" i="65"/>
  <c r="X11" i="65"/>
  <c r="D13" i="65"/>
  <c r="R13" i="65"/>
  <c r="S13" i="65"/>
  <c r="V13" i="65"/>
  <c r="W13" i="65"/>
  <c r="X13" i="65"/>
  <c r="D14" i="65"/>
  <c r="R14" i="65"/>
  <c r="S14" i="65"/>
  <c r="V14" i="65"/>
  <c r="W14" i="65"/>
  <c r="X14" i="65"/>
  <c r="D15" i="65"/>
  <c r="R15" i="65"/>
  <c r="S15" i="65"/>
  <c r="V15" i="65"/>
  <c r="W15" i="65"/>
  <c r="X15" i="65"/>
  <c r="Y2" i="58"/>
  <c r="Z2" i="58"/>
  <c r="AD2" i="58"/>
  <c r="AE2" i="58"/>
  <c r="Y3" i="58"/>
  <c r="Z3" i="58"/>
  <c r="AD3" i="58"/>
  <c r="AE3" i="58"/>
  <c r="Y4" i="58"/>
  <c r="Z4" i="58"/>
  <c r="AD4" i="58"/>
  <c r="AE4" i="58"/>
  <c r="Y5" i="58"/>
  <c r="Z5" i="58"/>
  <c r="AD5" i="58"/>
  <c r="AE5" i="58"/>
  <c r="AJ5" i="58"/>
  <c r="Y6" i="58"/>
  <c r="Z6" i="58"/>
  <c r="AD6" i="58"/>
  <c r="AE6" i="58"/>
  <c r="AJ6" i="58"/>
  <c r="Y7" i="58"/>
  <c r="Z7" i="58"/>
  <c r="AD7" i="58"/>
  <c r="AE7" i="58"/>
  <c r="AJ7" i="58"/>
  <c r="Y8" i="58"/>
  <c r="Z8" i="58"/>
  <c r="AD8" i="58"/>
  <c r="AE8" i="58"/>
  <c r="AJ8" i="58"/>
  <c r="Y9" i="58"/>
  <c r="Z9" i="58"/>
  <c r="AD9" i="58"/>
  <c r="AE9" i="58"/>
  <c r="Y10" i="58"/>
  <c r="Z10" i="58"/>
  <c r="AD10" i="58"/>
  <c r="AE10" i="58"/>
  <c r="Y11" i="58"/>
  <c r="Z11" i="58"/>
  <c r="AD11" i="58"/>
  <c r="AE11" i="58"/>
  <c r="Y12" i="58"/>
  <c r="Z12" i="58"/>
  <c r="AD12" i="58"/>
  <c r="AE12" i="58"/>
  <c r="Y13" i="58"/>
  <c r="Z13" i="58"/>
  <c r="AD13" i="58"/>
  <c r="AE13" i="58"/>
  <c r="Y14" i="58"/>
  <c r="Z14" i="58"/>
  <c r="AD14" i="58"/>
  <c r="AE14" i="58"/>
  <c r="Y15" i="58"/>
  <c r="Z15" i="58"/>
  <c r="AD15" i="58"/>
  <c r="AE15" i="58"/>
  <c r="Y16" i="58"/>
  <c r="Z16" i="58"/>
  <c r="AD16" i="58"/>
  <c r="AE16" i="58"/>
  <c r="Y17" i="58"/>
  <c r="Z17" i="58"/>
  <c r="AD17" i="58"/>
  <c r="AE17" i="58"/>
  <c r="Y18" i="58"/>
  <c r="Z18" i="58"/>
  <c r="AD18" i="58"/>
  <c r="AE18" i="58"/>
  <c r="Y19" i="58"/>
  <c r="Z19" i="58"/>
  <c r="AD19" i="58"/>
  <c r="AE19" i="58"/>
  <c r="Y20" i="58"/>
  <c r="Z20" i="58"/>
  <c r="AD20" i="58"/>
  <c r="AE20" i="58"/>
  <c r="Y21" i="58"/>
  <c r="Z21" i="58"/>
  <c r="AD21" i="58"/>
  <c r="AE21" i="58"/>
  <c r="Y22" i="58"/>
  <c r="Z22" i="58"/>
  <c r="AD22" i="58"/>
  <c r="AE22" i="58"/>
  <c r="Y23" i="58"/>
  <c r="Z23" i="58"/>
  <c r="AD23" i="58"/>
  <c r="AE23" i="58"/>
  <c r="Y24" i="58"/>
  <c r="Z24" i="58"/>
  <c r="AD24" i="58"/>
  <c r="AE24" i="58"/>
  <c r="Y25" i="58"/>
  <c r="Z25" i="58"/>
  <c r="AD25" i="58"/>
  <c r="AE25" i="58"/>
  <c r="Z26" i="58"/>
  <c r="AE26" i="58"/>
  <c r="Z27" i="58"/>
  <c r="AE27" i="58"/>
  <c r="Z28" i="58"/>
  <c r="AE28" i="58"/>
  <c r="Z29" i="58"/>
  <c r="AE29" i="58"/>
  <c r="Z30" i="58"/>
  <c r="AE30" i="58"/>
  <c r="Z31" i="58"/>
  <c r="AE31" i="58"/>
  <c r="Z32" i="58"/>
  <c r="AE32" i="58"/>
  <c r="Z33" i="58"/>
  <c r="AE33" i="58"/>
  <c r="Z34" i="58"/>
  <c r="AE34" i="58"/>
  <c r="Z35" i="58"/>
  <c r="AE35" i="58"/>
  <c r="Z36" i="58"/>
  <c r="AE36" i="58"/>
  <c r="Z37" i="58"/>
  <c r="AE37" i="58"/>
  <c r="Z38" i="58"/>
  <c r="AE38" i="58"/>
  <c r="Z39" i="58"/>
  <c r="AE39" i="58"/>
  <c r="Z40" i="58"/>
  <c r="AE40" i="58"/>
  <c r="Z41" i="58"/>
  <c r="AE41" i="58"/>
  <c r="Z42" i="58"/>
  <c r="AE42" i="58"/>
  <c r="Z43" i="58"/>
  <c r="AE43" i="58"/>
  <c r="Z44" i="58"/>
  <c r="AE44" i="58"/>
  <c r="Z45" i="58"/>
  <c r="AE45" i="58"/>
  <c r="Z46" i="58"/>
  <c r="AE46" i="58"/>
  <c r="Z47" i="58"/>
  <c r="AE47" i="58"/>
  <c r="Z48" i="58"/>
  <c r="AE48" i="58"/>
  <c r="Z49" i="58"/>
  <c r="AE49" i="58"/>
  <c r="Z50" i="58"/>
  <c r="AE50" i="58"/>
  <c r="Z51" i="58"/>
  <c r="AE51" i="58"/>
  <c r="Z52" i="58"/>
  <c r="AE52" i="58"/>
  <c r="Z53" i="58"/>
  <c r="AE53" i="58"/>
  <c r="Z54" i="58"/>
  <c r="AE54" i="58"/>
  <c r="Z55" i="58"/>
  <c r="AE55" i="58"/>
  <c r="Y56" i="58"/>
  <c r="AD56" i="58"/>
  <c r="Y57" i="58"/>
  <c r="AD57" i="58"/>
  <c r="Y58" i="58"/>
  <c r="AD58" i="58"/>
  <c r="Y59" i="58"/>
  <c r="AD59" i="58"/>
  <c r="Y60" i="58"/>
  <c r="AD60" i="58"/>
  <c r="Y61" i="58"/>
  <c r="AD61" i="58"/>
  <c r="Y62" i="58"/>
  <c r="AD62" i="58"/>
  <c r="Y63" i="58"/>
  <c r="AD63" i="58"/>
  <c r="Y64" i="58"/>
  <c r="AD64" i="58"/>
  <c r="Y65" i="58"/>
  <c r="AD65" i="58"/>
  <c r="Y66" i="58"/>
  <c r="AD66" i="58"/>
  <c r="Y67" i="58"/>
  <c r="AD67" i="58"/>
  <c r="Y68" i="58"/>
  <c r="AD68" i="58"/>
  <c r="Y69" i="58"/>
  <c r="AD69" i="58"/>
  <c r="Y70" i="58"/>
  <c r="AD70" i="58"/>
  <c r="Z71" i="58"/>
  <c r="AE71" i="58"/>
  <c r="Z72" i="58"/>
  <c r="AE72" i="58"/>
  <c r="Z73" i="58"/>
  <c r="AE73" i="58"/>
  <c r="Z74" i="58"/>
  <c r="AE74" i="58"/>
  <c r="Z75" i="58"/>
  <c r="AE75" i="58"/>
  <c r="Z76" i="58"/>
  <c r="AE76" i="58"/>
  <c r="Z77" i="58"/>
  <c r="AE77" i="58"/>
  <c r="Z78" i="58"/>
  <c r="AE78" i="58"/>
  <c r="Z79" i="58"/>
  <c r="AE79" i="58"/>
  <c r="Z80" i="58"/>
  <c r="AE80" i="58"/>
  <c r="Z81" i="58"/>
  <c r="AE81" i="58"/>
  <c r="Z82" i="58"/>
  <c r="AE82" i="58"/>
  <c r="Z83" i="58"/>
  <c r="AE83" i="58"/>
  <c r="Z84" i="58"/>
  <c r="AE84" i="58"/>
  <c r="Z85" i="58"/>
  <c r="AE85" i="58"/>
  <c r="Z86" i="58"/>
  <c r="AE86" i="58"/>
  <c r="Z87" i="58"/>
  <c r="AE87" i="58"/>
  <c r="Z88" i="58"/>
  <c r="AE88" i="58"/>
  <c r="Z89" i="58"/>
  <c r="AE89" i="58"/>
  <c r="Z90" i="58"/>
  <c r="AE90" i="58"/>
  <c r="Z91" i="58"/>
  <c r="AE91" i="58"/>
  <c r="Z92" i="58"/>
  <c r="AE92" i="58"/>
  <c r="Z93" i="58"/>
  <c r="AE93" i="58"/>
  <c r="Z94" i="58"/>
  <c r="AE94" i="58"/>
  <c r="Z95" i="58"/>
  <c r="AE95" i="58"/>
  <c r="Z96" i="58"/>
  <c r="AE96" i="58"/>
  <c r="Z97" i="58"/>
  <c r="AE97" i="58"/>
  <c r="Z98" i="58"/>
  <c r="AE98" i="58"/>
  <c r="Z99" i="58"/>
  <c r="AE99" i="58"/>
  <c r="Z100" i="58"/>
  <c r="AE100" i="58"/>
  <c r="Z101" i="58"/>
  <c r="AE101" i="58"/>
  <c r="Z102" i="58"/>
  <c r="AE102" i="58"/>
  <c r="Z103" i="58"/>
  <c r="AE103" i="58"/>
  <c r="Z104" i="58"/>
  <c r="AE104" i="58"/>
  <c r="Y105" i="58"/>
  <c r="AD105" i="58"/>
  <c r="Y106" i="58"/>
  <c r="AD106" i="58"/>
  <c r="Y107" i="58"/>
  <c r="AD107" i="58"/>
  <c r="Y108" i="58"/>
  <c r="AD108" i="58"/>
  <c r="Y109" i="58"/>
  <c r="AD109" i="58"/>
  <c r="Y110" i="58"/>
  <c r="AD110" i="58"/>
  <c r="Y111" i="58"/>
  <c r="AD111" i="58"/>
  <c r="Y112" i="58"/>
  <c r="AD112" i="58"/>
  <c r="Y113" i="58"/>
  <c r="AD113" i="58"/>
  <c r="Y114" i="58"/>
  <c r="AD114" i="58"/>
  <c r="Y115" i="58"/>
  <c r="AD115" i="58"/>
  <c r="Y116" i="58"/>
  <c r="AD116" i="58"/>
  <c r="Y117" i="58"/>
  <c r="AD117" i="58"/>
  <c r="Y118" i="58"/>
  <c r="AD118" i="58"/>
  <c r="Y119" i="58"/>
  <c r="AD119" i="58"/>
  <c r="Y120" i="58"/>
  <c r="AD120" i="58"/>
  <c r="Y121" i="58"/>
  <c r="AD121" i="58"/>
  <c r="Y122" i="58"/>
  <c r="AD122" i="58"/>
  <c r="Z123" i="58"/>
  <c r="AE123" i="58"/>
  <c r="Z124" i="58"/>
  <c r="AE124" i="58"/>
  <c r="Z125" i="58"/>
  <c r="AE125" i="58"/>
  <c r="Z126" i="58"/>
  <c r="AE126" i="58"/>
  <c r="Z127" i="58"/>
  <c r="AE127" i="58"/>
  <c r="Z128" i="58"/>
  <c r="AE128" i="58"/>
  <c r="Z129" i="58"/>
  <c r="AE129" i="58"/>
  <c r="Z130" i="58"/>
  <c r="AE130" i="58"/>
  <c r="Z131" i="58"/>
  <c r="AE131" i="58"/>
  <c r="Z132" i="58"/>
  <c r="AE132" i="58"/>
  <c r="Z133" i="58"/>
  <c r="AE133" i="58"/>
  <c r="Z134" i="58"/>
  <c r="AE134" i="58"/>
  <c r="Z135" i="58"/>
  <c r="AE135" i="58"/>
  <c r="Z136" i="58"/>
  <c r="AE136" i="58"/>
  <c r="Z137" i="58"/>
  <c r="AE137" i="58"/>
  <c r="Z138" i="58"/>
  <c r="AE138" i="58"/>
  <c r="Z139" i="58"/>
  <c r="AE139" i="58"/>
  <c r="Z140" i="58"/>
  <c r="AE140" i="58"/>
  <c r="Z141" i="58"/>
  <c r="AE141" i="58"/>
  <c r="Z142" i="58"/>
  <c r="AE142" i="58"/>
  <c r="Z143" i="58"/>
  <c r="AE143" i="58"/>
  <c r="Z144" i="58"/>
  <c r="AE144" i="58"/>
  <c r="Z145" i="58"/>
  <c r="AE145" i="58"/>
  <c r="Z146" i="58"/>
  <c r="AE146" i="58"/>
  <c r="Z147" i="58"/>
  <c r="AE147" i="58"/>
  <c r="Z148" i="58"/>
  <c r="AE148" i="58"/>
  <c r="Z149" i="58"/>
  <c r="AE149" i="58"/>
  <c r="Z150" i="58"/>
  <c r="AE150" i="58"/>
  <c r="Z151" i="58"/>
  <c r="AE151" i="58"/>
  <c r="Z152" i="58"/>
  <c r="AE152" i="58"/>
  <c r="Y153" i="58"/>
  <c r="AD153" i="58"/>
  <c r="Y154" i="58"/>
  <c r="AD154" i="58"/>
  <c r="Y155" i="58"/>
  <c r="AD155" i="58"/>
  <c r="Y156" i="58"/>
  <c r="AD156" i="58"/>
  <c r="Y157" i="58"/>
  <c r="AD157" i="58"/>
  <c r="Y158" i="58"/>
  <c r="AD158" i="58"/>
  <c r="Y159" i="58"/>
  <c r="AD159" i="58"/>
  <c r="Y160" i="58"/>
  <c r="AD160" i="58"/>
  <c r="Y161" i="58"/>
  <c r="AD161" i="58"/>
  <c r="Y162" i="58"/>
  <c r="AD162" i="58"/>
  <c r="Y163" i="58"/>
  <c r="AD163" i="58"/>
  <c r="Y164" i="58"/>
  <c r="AD164" i="58"/>
  <c r="Y165" i="58"/>
  <c r="AD165" i="58"/>
  <c r="Z166" i="58"/>
  <c r="AE166" i="58"/>
  <c r="Z167" i="58"/>
  <c r="AE167" i="58"/>
  <c r="Z168" i="58"/>
  <c r="AE168" i="58"/>
  <c r="Z169" i="58"/>
  <c r="AE169" i="58"/>
  <c r="Z170" i="58"/>
  <c r="AE170" i="58"/>
  <c r="Z171" i="58"/>
  <c r="AE171" i="58"/>
  <c r="Z172" i="58"/>
  <c r="AE172" i="58"/>
  <c r="Z173" i="58"/>
  <c r="AE173" i="58"/>
  <c r="Z174" i="58"/>
  <c r="AE174" i="58"/>
  <c r="Z175" i="58"/>
  <c r="AE175" i="58"/>
  <c r="Z176" i="58"/>
  <c r="AE176" i="58"/>
  <c r="Z177" i="58"/>
  <c r="AE177" i="58"/>
  <c r="Z178" i="58"/>
  <c r="AE178" i="58"/>
  <c r="Z179" i="58"/>
  <c r="AE179" i="58"/>
  <c r="Z180" i="58"/>
  <c r="AE180" i="58"/>
  <c r="Z181" i="58"/>
  <c r="AE181" i="58"/>
  <c r="Z182" i="58"/>
  <c r="AE182" i="58"/>
  <c r="Z183" i="58"/>
  <c r="AE183" i="58"/>
  <c r="Z184" i="58"/>
  <c r="AE184" i="58"/>
  <c r="Z185" i="58"/>
  <c r="AE185" i="58"/>
  <c r="Z186" i="58"/>
  <c r="AE186" i="58"/>
  <c r="Z187" i="58"/>
  <c r="AE187" i="58"/>
  <c r="Z188" i="58"/>
  <c r="AE188" i="58"/>
  <c r="Z189" i="58"/>
  <c r="AE189" i="58"/>
  <c r="Z190" i="58"/>
  <c r="AE190" i="58"/>
  <c r="Z191" i="58"/>
  <c r="AE191" i="58"/>
  <c r="Z192" i="58"/>
  <c r="AE192" i="58"/>
  <c r="Z193" i="58"/>
  <c r="AE193" i="58"/>
  <c r="Z194" i="58"/>
  <c r="AE194" i="58"/>
  <c r="Z195" i="58"/>
  <c r="AE195" i="58"/>
  <c r="Z196" i="58"/>
  <c r="AE196" i="58"/>
  <c r="Z197" i="58"/>
  <c r="AE197" i="58"/>
  <c r="Z198" i="58"/>
  <c r="AE198" i="58"/>
  <c r="Z199" i="58"/>
  <c r="AE199" i="58"/>
  <c r="Z200" i="58"/>
  <c r="AE200" i="58"/>
  <c r="Z201" i="58"/>
  <c r="AE201" i="58"/>
  <c r="Z202" i="58"/>
  <c r="AE202" i="58"/>
  <c r="Z203" i="58"/>
  <c r="AE203" i="58"/>
  <c r="Z204" i="58"/>
  <c r="AE204" i="58"/>
  <c r="Z205" i="58"/>
  <c r="AE205" i="58"/>
  <c r="Z206" i="58"/>
  <c r="AE206" i="58"/>
  <c r="Z207" i="58"/>
  <c r="AE207" i="58"/>
  <c r="Z208" i="58"/>
  <c r="AE208" i="58"/>
  <c r="Z209" i="58"/>
  <c r="AE209" i="58"/>
  <c r="Z210" i="58"/>
  <c r="AE210" i="58"/>
  <c r="Z211" i="58"/>
  <c r="AE211" i="58"/>
  <c r="Z212" i="58"/>
  <c r="AE212" i="58"/>
  <c r="Z213" i="58"/>
  <c r="AE213" i="58"/>
  <c r="Z214" i="58"/>
  <c r="AE214" i="58"/>
  <c r="Z215" i="58"/>
  <c r="AE215" i="58"/>
  <c r="Z216" i="58"/>
  <c r="AE216" i="58"/>
  <c r="Z217" i="58"/>
  <c r="AE217" i="58"/>
  <c r="Z218" i="58"/>
  <c r="AE218" i="58"/>
  <c r="Z219" i="58"/>
  <c r="AE219" i="58"/>
  <c r="Z220" i="58"/>
  <c r="AE220" i="58"/>
  <c r="Z221" i="58"/>
  <c r="AE221" i="58"/>
  <c r="Z222" i="58"/>
  <c r="AE222" i="58"/>
  <c r="Z223" i="58"/>
  <c r="AE223" i="58"/>
  <c r="Z224" i="58"/>
  <c r="AE224" i="58"/>
  <c r="Z225" i="58"/>
  <c r="AE225" i="58"/>
  <c r="Z226" i="58"/>
  <c r="AE226" i="58"/>
  <c r="Z227" i="58"/>
  <c r="AE227" i="58"/>
  <c r="Z228" i="58"/>
  <c r="AE228" i="58"/>
  <c r="Z229" i="58"/>
  <c r="AE229" i="58"/>
  <c r="Z230" i="58"/>
  <c r="AE230" i="58"/>
  <c r="Z231" i="58"/>
  <c r="AE231" i="58"/>
  <c r="Z232" i="58"/>
  <c r="AE232" i="58"/>
  <c r="Z233" i="58"/>
  <c r="AE233" i="58"/>
  <c r="Z234" i="58"/>
  <c r="AE234" i="58"/>
  <c r="Z235" i="58"/>
  <c r="AE235" i="58"/>
  <c r="Z236" i="58"/>
  <c r="AE236" i="58"/>
  <c r="Z237" i="58"/>
  <c r="AE237" i="58"/>
  <c r="Z238" i="58"/>
  <c r="AE238" i="58"/>
  <c r="Z239" i="58"/>
  <c r="AE239" i="58"/>
  <c r="Z240" i="58"/>
  <c r="AE240" i="58"/>
  <c r="Z241" i="58"/>
  <c r="AE241" i="58"/>
  <c r="Z242" i="58"/>
  <c r="AE242" i="58"/>
  <c r="Z243" i="58"/>
  <c r="AE243" i="58"/>
  <c r="Z244" i="58"/>
  <c r="AE244" i="58"/>
  <c r="Z245" i="58"/>
  <c r="AE245" i="58"/>
  <c r="Z246" i="58"/>
  <c r="AE246" i="58"/>
  <c r="Z247" i="58"/>
  <c r="AE247" i="58"/>
  <c r="Z248" i="58"/>
  <c r="AE248" i="58"/>
  <c r="Z249" i="58"/>
  <c r="AE249" i="58"/>
  <c r="Z250" i="58"/>
  <c r="AE250" i="58"/>
  <c r="Z251" i="58"/>
  <c r="AE251" i="58"/>
  <c r="Z252" i="58"/>
  <c r="AE252" i="58"/>
  <c r="Z253" i="58"/>
  <c r="AE253" i="58"/>
  <c r="Z254" i="58"/>
  <c r="AE254" i="58"/>
  <c r="Z255" i="58"/>
  <c r="AE255" i="58"/>
  <c r="Z256" i="58"/>
  <c r="AE256" i="58"/>
  <c r="Z257" i="58"/>
  <c r="AE257" i="58"/>
  <c r="Z258" i="58"/>
  <c r="AE258" i="58"/>
  <c r="Z259" i="58"/>
  <c r="AE259" i="58"/>
  <c r="Z260" i="58"/>
  <c r="AE260" i="58"/>
  <c r="Z261" i="58"/>
  <c r="AE261" i="58"/>
  <c r="Z262" i="58"/>
  <c r="AE262" i="58"/>
  <c r="Z263" i="58"/>
  <c r="AE263" i="58"/>
  <c r="Z264" i="58"/>
  <c r="AE264" i="58"/>
  <c r="Z265" i="58"/>
  <c r="AE265" i="58"/>
  <c r="Z266" i="58"/>
  <c r="AE266" i="58"/>
  <c r="Z267" i="58"/>
  <c r="AE267" i="58"/>
  <c r="Z268" i="58"/>
  <c r="AE268" i="58"/>
  <c r="Z269" i="58"/>
  <c r="AE269" i="58"/>
  <c r="Z270" i="58"/>
  <c r="AE270" i="58"/>
  <c r="Z271" i="58"/>
  <c r="AE271" i="58"/>
  <c r="Z272" i="58"/>
  <c r="AE272" i="58"/>
  <c r="Z273" i="58"/>
  <c r="AE273" i="58"/>
  <c r="Z274" i="58"/>
  <c r="AE274" i="58"/>
  <c r="Z275" i="58"/>
  <c r="AE275" i="58"/>
  <c r="Z276" i="58"/>
  <c r="AE276" i="58"/>
  <c r="Z277" i="58"/>
  <c r="AE277" i="58"/>
  <c r="Z278" i="58"/>
  <c r="AE278" i="58"/>
  <c r="Z279" i="58"/>
  <c r="AE279" i="58"/>
  <c r="Z280" i="58"/>
  <c r="AE280" i="58"/>
  <c r="Z281" i="58"/>
  <c r="AE281" i="58"/>
  <c r="Z282" i="58"/>
  <c r="AE282" i="58"/>
  <c r="Z283" i="58"/>
  <c r="AE283" i="58"/>
  <c r="Z284" i="58"/>
  <c r="AE284" i="58"/>
  <c r="Z285" i="58"/>
  <c r="AE285" i="58"/>
  <c r="Z286" i="58"/>
  <c r="AE286" i="58"/>
  <c r="Z287" i="58"/>
  <c r="AE287" i="58"/>
  <c r="Z288" i="58"/>
  <c r="AE288" i="58"/>
  <c r="Z289" i="58"/>
  <c r="AE289" i="58"/>
  <c r="Z290" i="58"/>
  <c r="AE290" i="58"/>
  <c r="Z291" i="58"/>
  <c r="AE291" i="58"/>
  <c r="Z292" i="58"/>
  <c r="AE292" i="58"/>
  <c r="Z293" i="58"/>
  <c r="AE293" i="58"/>
  <c r="Z294" i="58"/>
  <c r="AE294" i="58"/>
  <c r="Z295" i="58"/>
  <c r="AE295" i="58"/>
  <c r="Z296" i="58"/>
  <c r="AE296" i="58"/>
  <c r="Z297" i="58"/>
  <c r="AE297" i="58"/>
  <c r="Z298" i="58"/>
  <c r="AE298" i="58"/>
  <c r="Z299" i="58"/>
  <c r="AE299" i="58"/>
  <c r="Z300" i="58"/>
  <c r="AE300" i="58"/>
  <c r="Z301" i="58"/>
  <c r="AE301" i="58"/>
  <c r="Z302" i="58"/>
  <c r="AE302" i="58"/>
  <c r="Z303" i="58"/>
  <c r="AE303" i="58"/>
  <c r="Z304" i="58"/>
  <c r="AE304" i="58"/>
  <c r="Z305" i="58"/>
  <c r="AE305" i="58"/>
  <c r="Z306" i="58"/>
  <c r="AE306" i="58"/>
  <c r="Z307" i="58"/>
  <c r="AE307" i="58"/>
  <c r="Z308" i="58"/>
  <c r="AE308" i="58"/>
  <c r="Z309" i="58"/>
  <c r="AE309" i="58"/>
  <c r="Z310" i="58"/>
  <c r="AE310" i="58"/>
  <c r="Z311" i="58"/>
  <c r="AE311" i="58"/>
  <c r="Z312" i="58"/>
  <c r="AE312" i="58"/>
  <c r="Z313" i="58"/>
  <c r="AE313" i="58"/>
  <c r="Z314" i="58"/>
  <c r="AE314" i="58"/>
  <c r="Z315" i="58"/>
  <c r="AE315" i="58"/>
  <c r="Z316" i="58"/>
  <c r="AE316" i="58"/>
  <c r="Z317" i="58"/>
  <c r="AE317" i="58"/>
  <c r="Z318" i="58"/>
  <c r="AE318" i="58"/>
  <c r="Z319" i="58"/>
  <c r="AE319" i="58"/>
  <c r="Z320" i="58"/>
  <c r="AE320" i="58"/>
  <c r="Z321" i="58"/>
  <c r="AE321" i="58"/>
  <c r="Z322" i="58"/>
  <c r="AE322" i="58"/>
  <c r="Z323" i="58"/>
  <c r="AE323" i="58"/>
  <c r="Z324" i="58"/>
  <c r="AE324" i="58"/>
  <c r="Z325" i="58"/>
  <c r="AE325" i="58"/>
  <c r="Z326" i="58"/>
  <c r="AE326" i="58"/>
  <c r="Z327" i="58"/>
  <c r="AE327" i="58"/>
  <c r="Z328" i="58"/>
  <c r="AE328" i="58"/>
  <c r="Z329" i="58"/>
  <c r="AE329" i="58"/>
  <c r="Z330" i="58"/>
  <c r="AE330" i="58"/>
  <c r="Z331" i="58"/>
  <c r="AE331" i="58"/>
  <c r="Z332" i="58"/>
  <c r="AE332" i="58"/>
  <c r="Z333" i="58"/>
  <c r="AE333" i="58"/>
  <c r="Z334" i="58"/>
  <c r="AE334" i="58"/>
  <c r="Z335" i="58"/>
  <c r="AE335" i="58"/>
  <c r="Z336" i="58"/>
  <c r="AE336" i="58"/>
  <c r="Z337" i="58"/>
  <c r="AE337" i="58"/>
  <c r="Z338" i="58"/>
  <c r="AE338" i="58"/>
  <c r="Z339" i="58"/>
  <c r="AE339" i="58"/>
  <c r="Z340" i="58"/>
  <c r="AE340" i="58"/>
  <c r="Z341" i="58"/>
  <c r="AE341" i="58"/>
  <c r="Z342" i="58"/>
  <c r="AE342" i="58"/>
  <c r="Z343" i="58"/>
  <c r="AE343" i="58"/>
  <c r="Z344" i="58"/>
  <c r="AE344" i="58"/>
  <c r="Z345" i="58"/>
  <c r="AE345" i="58"/>
  <c r="Z346" i="58"/>
  <c r="AE346" i="58"/>
  <c r="Z347" i="58"/>
  <c r="AE347" i="58"/>
  <c r="Z348" i="58"/>
  <c r="AE348" i="58"/>
  <c r="Z349" i="58"/>
  <c r="AE349" i="58"/>
  <c r="Z350" i="58"/>
  <c r="AE350" i="58"/>
  <c r="Z351" i="58"/>
  <c r="AE351" i="58"/>
  <c r="Z352" i="58"/>
  <c r="AE352" i="58"/>
  <c r="Z353" i="58"/>
  <c r="AE353" i="58"/>
  <c r="Z354" i="58"/>
  <c r="AE354" i="58"/>
  <c r="Z355" i="58"/>
  <c r="AE355" i="58"/>
  <c r="Z356" i="58"/>
  <c r="AE356" i="58"/>
  <c r="Z357" i="58"/>
  <c r="AE357" i="58"/>
  <c r="Z358" i="58"/>
  <c r="AE358" i="58"/>
  <c r="Z359" i="58"/>
  <c r="AE359" i="58"/>
  <c r="Z360" i="58"/>
  <c r="AE360" i="58"/>
  <c r="Z361" i="58"/>
  <c r="AE361" i="58"/>
  <c r="Z362" i="58"/>
  <c r="AE362" i="58"/>
  <c r="Z363" i="58"/>
  <c r="AE363" i="58"/>
  <c r="Z364" i="58"/>
  <c r="AE364" i="58"/>
  <c r="Z365" i="58"/>
  <c r="AE365" i="58"/>
  <c r="Z366" i="58"/>
  <c r="AE366" i="58"/>
  <c r="Z367" i="58"/>
  <c r="AE367" i="58"/>
  <c r="Z368" i="58"/>
  <c r="AE368" i="58"/>
  <c r="Z369" i="58"/>
  <c r="AE369" i="58"/>
  <c r="Z370" i="58"/>
  <c r="AE370" i="58"/>
  <c r="Z371" i="58"/>
  <c r="AE371" i="58"/>
  <c r="Z372" i="58"/>
  <c r="AE372" i="58"/>
  <c r="Z373" i="58"/>
  <c r="AE373" i="58"/>
  <c r="Z374" i="58"/>
  <c r="AE374" i="58"/>
  <c r="Z375" i="58"/>
  <c r="AE375" i="58"/>
  <c r="Z376" i="58"/>
  <c r="AE376" i="58"/>
  <c r="Z377" i="58"/>
  <c r="AE377" i="58"/>
  <c r="Z378" i="58"/>
  <c r="AE378" i="58"/>
  <c r="Z379" i="58"/>
  <c r="AE379" i="58"/>
  <c r="Z380" i="58"/>
  <c r="AE380" i="58"/>
  <c r="Z381" i="58"/>
  <c r="AE381" i="58"/>
  <c r="Z382" i="58"/>
  <c r="AE382" i="58"/>
  <c r="Z383" i="58"/>
  <c r="AE383" i="58"/>
  <c r="Z384" i="58"/>
  <c r="AE384" i="58"/>
  <c r="Z385" i="58"/>
  <c r="AE385" i="58"/>
  <c r="Z386" i="58"/>
  <c r="AE386" i="58"/>
  <c r="Z387" i="58"/>
  <c r="AE387" i="58"/>
  <c r="Z388" i="58"/>
  <c r="AE388" i="58"/>
  <c r="E5" i="68"/>
  <c r="F5" i="68"/>
  <c r="H5" i="68"/>
  <c r="I5" i="68"/>
  <c r="R5" i="68"/>
  <c r="U5" i="68"/>
  <c r="E6" i="68"/>
  <c r="F6" i="68"/>
  <c r="H6" i="68"/>
  <c r="I6" i="68"/>
  <c r="R6" i="68"/>
  <c r="U6" i="68"/>
  <c r="E7" i="68"/>
  <c r="F7" i="68"/>
  <c r="H7" i="68"/>
  <c r="I7" i="68"/>
  <c r="R7" i="68"/>
  <c r="U7" i="68"/>
  <c r="E8" i="68"/>
  <c r="F8" i="68"/>
  <c r="H8" i="68"/>
  <c r="I8" i="68"/>
  <c r="R8" i="68"/>
  <c r="U8" i="68"/>
  <c r="E9" i="68"/>
  <c r="H9" i="68"/>
  <c r="R9" i="68"/>
  <c r="U9" i="68"/>
  <c r="F10" i="68"/>
  <c r="I10" i="68"/>
  <c r="R10" i="68"/>
  <c r="U10" i="68"/>
  <c r="F11" i="68"/>
  <c r="I11" i="68"/>
  <c r="R11" i="68"/>
  <c r="U11" i="68"/>
  <c r="E12" i="68"/>
  <c r="H12" i="68"/>
  <c r="R12" i="68"/>
  <c r="U12" i="68"/>
  <c r="F13" i="68"/>
  <c r="I13" i="68"/>
  <c r="R13" i="68"/>
  <c r="U13" i="68"/>
  <c r="F14" i="68"/>
  <c r="I14" i="68"/>
  <c r="R14" i="68"/>
  <c r="U14" i="68"/>
  <c r="E15" i="68"/>
  <c r="H15" i="68"/>
  <c r="R15" i="68"/>
  <c r="U15" i="68"/>
  <c r="R16" i="68"/>
  <c r="U16" i="68"/>
  <c r="R17" i="68"/>
  <c r="U17" i="68"/>
  <c r="R18" i="68"/>
  <c r="U18" i="68"/>
  <c r="R19" i="68"/>
  <c r="U19" i="68"/>
  <c r="R20" i="68"/>
  <c r="U20" i="68"/>
  <c r="R21" i="68"/>
  <c r="U21" i="68"/>
  <c r="R22" i="68"/>
  <c r="U22" i="68"/>
  <c r="R23" i="68"/>
  <c r="U23" i="68"/>
  <c r="R24" i="68"/>
  <c r="U24" i="68"/>
  <c r="R25" i="68"/>
  <c r="U25" i="68"/>
  <c r="R26" i="68"/>
  <c r="U26" i="68"/>
  <c r="R27" i="68"/>
  <c r="U27" i="68"/>
  <c r="R28" i="68"/>
  <c r="U28" i="68"/>
  <c r="R29" i="68"/>
  <c r="U29" i="68"/>
  <c r="R30" i="68"/>
  <c r="U30" i="68"/>
  <c r="R31" i="68"/>
  <c r="U31" i="68"/>
  <c r="R32" i="68"/>
  <c r="U32" i="68"/>
  <c r="R33" i="68"/>
  <c r="U33" i="68"/>
  <c r="Q34" i="68"/>
  <c r="T34" i="68"/>
  <c r="Q35" i="68"/>
  <c r="T35" i="68"/>
  <c r="N7" i="47"/>
  <c r="AJ7" i="47"/>
  <c r="AK7" i="47"/>
  <c r="N8" i="47"/>
  <c r="AJ8" i="47"/>
  <c r="AK8" i="47"/>
  <c r="N11" i="47"/>
  <c r="AJ11" i="47"/>
  <c r="AK11" i="47"/>
  <c r="N12" i="47"/>
  <c r="AJ12" i="47"/>
  <c r="AK12" i="47"/>
  <c r="N13" i="47"/>
  <c r="AJ13" i="47"/>
  <c r="AK13" i="47"/>
  <c r="N14" i="47"/>
  <c r="AJ14" i="47"/>
  <c r="AK14" i="47"/>
  <c r="N17" i="47"/>
  <c r="AJ17" i="47"/>
  <c r="AK17" i="47"/>
  <c r="N18" i="47"/>
  <c r="AJ18" i="47"/>
  <c r="AK18" i="47"/>
  <c r="N19" i="47"/>
  <c r="AJ19" i="47"/>
  <c r="AK19" i="47"/>
  <c r="N20" i="47"/>
  <c r="AJ20" i="47"/>
  <c r="AK20" i="47"/>
  <c r="N21" i="47"/>
  <c r="AJ21" i="47"/>
  <c r="AK21" i="47"/>
  <c r="N22" i="47"/>
  <c r="AJ22" i="47"/>
  <c r="AK22" i="47"/>
  <c r="N23" i="47"/>
  <c r="AJ23" i="47"/>
  <c r="AK23" i="47"/>
  <c r="N24" i="47"/>
  <c r="AJ24" i="47"/>
  <c r="AK24" i="47"/>
  <c r="N25" i="47"/>
  <c r="AJ25" i="47"/>
  <c r="AK25" i="47"/>
  <c r="N26" i="47"/>
  <c r="AJ26" i="47"/>
  <c r="AK26" i="47"/>
  <c r="N27" i="47"/>
  <c r="AJ27" i="47"/>
  <c r="AK27" i="47"/>
  <c r="N28" i="47"/>
  <c r="AJ28" i="47"/>
  <c r="AK28" i="47"/>
  <c r="N29" i="47"/>
  <c r="AJ29" i="47"/>
  <c r="AK29" i="47"/>
  <c r="N30" i="47"/>
  <c r="AJ30" i="47"/>
  <c r="AK30" i="47"/>
  <c r="N31" i="47"/>
  <c r="AJ31" i="47"/>
  <c r="AK31" i="47"/>
  <c r="N32" i="47"/>
  <c r="AJ32" i="47"/>
  <c r="AK32" i="47"/>
  <c r="N33" i="47"/>
  <c r="AJ33" i="47"/>
  <c r="AK33" i="47"/>
  <c r="N34" i="47"/>
  <c r="AJ34" i="47"/>
  <c r="AK34" i="47"/>
  <c r="N35" i="47"/>
  <c r="AJ35" i="47"/>
  <c r="AK35" i="47"/>
  <c r="N36" i="47"/>
  <c r="AJ36" i="47"/>
  <c r="AK36" i="47"/>
  <c r="N37" i="47"/>
  <c r="AJ37" i="47"/>
  <c r="AK37" i="47"/>
  <c r="N38" i="47"/>
  <c r="AJ38" i="47"/>
  <c r="AK38" i="47"/>
  <c r="N39" i="47"/>
  <c r="AJ39" i="47"/>
  <c r="AK39" i="47"/>
  <c r="N40" i="47"/>
  <c r="AJ40" i="47"/>
  <c r="AK40" i="47"/>
  <c r="N41" i="47"/>
  <c r="AJ41" i="47"/>
  <c r="AK41" i="47"/>
  <c r="N42" i="47"/>
  <c r="AJ42" i="47"/>
  <c r="AK42" i="47"/>
  <c r="N43" i="47"/>
  <c r="AJ43" i="47"/>
  <c r="AK43" i="47"/>
  <c r="N44" i="47"/>
  <c r="AJ44" i="47"/>
  <c r="AK44" i="47"/>
  <c r="N45" i="47"/>
  <c r="AJ45" i="47"/>
  <c r="AK45" i="47"/>
  <c r="N46" i="47"/>
  <c r="AJ46" i="47"/>
  <c r="AK46" i="47"/>
  <c r="N47" i="47"/>
  <c r="AJ47" i="47"/>
  <c r="AK47" i="47"/>
  <c r="N48" i="47"/>
  <c r="AJ48" i="47"/>
  <c r="AK48" i="47"/>
  <c r="N49" i="47"/>
  <c r="AJ49" i="47"/>
  <c r="AK49" i="47"/>
  <c r="N50" i="47"/>
  <c r="AJ50" i="47"/>
  <c r="AK50" i="47"/>
  <c r="N51" i="47"/>
  <c r="AJ51" i="47"/>
  <c r="AK51" i="47"/>
  <c r="N55" i="47"/>
  <c r="AJ55" i="47"/>
  <c r="AK55" i="47"/>
  <c r="N60" i="47"/>
  <c r="AJ60" i="47"/>
  <c r="AK60" i="47"/>
  <c r="L63" i="47"/>
  <c r="N63" i="47"/>
  <c r="L64" i="47"/>
  <c r="N64" i="47"/>
  <c r="N65" i="47"/>
  <c r="L66" i="47"/>
  <c r="L67" i="47"/>
  <c r="L68" i="47"/>
  <c r="L69" i="47"/>
  <c r="L70" i="47"/>
  <c r="N5" i="63"/>
  <c r="AB5" i="63"/>
  <c r="AC5" i="63"/>
  <c r="AF5" i="63"/>
  <c r="AG5" i="63"/>
  <c r="N6" i="63"/>
  <c r="AB6" i="63"/>
  <c r="AC6" i="63"/>
  <c r="AF6" i="63"/>
  <c r="AG6" i="63"/>
  <c r="N7" i="63"/>
  <c r="AB7" i="63"/>
  <c r="AC7" i="63"/>
  <c r="AF7" i="63"/>
  <c r="AG7" i="63"/>
  <c r="N8" i="63"/>
  <c r="AB8" i="63"/>
  <c r="AC8" i="63"/>
  <c r="AF8" i="63"/>
  <c r="AG8" i="63"/>
  <c r="N9" i="63"/>
  <c r="AB9" i="63"/>
  <c r="AC9" i="63"/>
  <c r="AF9" i="63"/>
  <c r="AG9" i="63"/>
  <c r="N10" i="63"/>
  <c r="AB10" i="63"/>
  <c r="AC10" i="63"/>
  <c r="AF10" i="63"/>
  <c r="AG10" i="63"/>
  <c r="N11" i="63"/>
  <c r="AB11" i="63"/>
  <c r="AC11" i="63"/>
  <c r="AF11" i="63"/>
  <c r="AG11" i="63"/>
  <c r="N12" i="63"/>
  <c r="AB12" i="63"/>
  <c r="AC12" i="63"/>
  <c r="AF12" i="63"/>
  <c r="AG12" i="63"/>
  <c r="N13" i="63"/>
  <c r="AB13" i="63"/>
  <c r="AC13" i="63"/>
  <c r="AF13" i="63"/>
  <c r="AG13" i="63"/>
  <c r="N14" i="63"/>
  <c r="AB14" i="63"/>
  <c r="AC14" i="63"/>
  <c r="AF14" i="63"/>
  <c r="AG14" i="63"/>
  <c r="N15" i="63"/>
  <c r="AB15" i="63"/>
  <c r="AC15" i="63"/>
  <c r="AF15" i="63"/>
  <c r="AG15" i="63"/>
  <c r="N16" i="63"/>
  <c r="AB16" i="63"/>
  <c r="AC16" i="63"/>
  <c r="AF16" i="63"/>
  <c r="AG16" i="63"/>
  <c r="N17" i="63"/>
  <c r="AB17" i="63"/>
  <c r="AC17" i="63"/>
  <c r="AF17" i="63"/>
  <c r="AG17" i="63"/>
  <c r="N18" i="63"/>
  <c r="AB18" i="63"/>
  <c r="AC18" i="63"/>
  <c r="AF18" i="63"/>
  <c r="AG18" i="63"/>
  <c r="N19" i="63"/>
  <c r="AB19" i="63"/>
  <c r="AC19" i="63"/>
  <c r="AF19" i="63"/>
  <c r="AG19" i="63"/>
  <c r="N20" i="63"/>
  <c r="AB20" i="63"/>
  <c r="AC20" i="63"/>
  <c r="AF20" i="63"/>
  <c r="AG20" i="63"/>
  <c r="N21" i="63"/>
  <c r="AB21" i="63"/>
  <c r="AC21" i="63"/>
  <c r="AF21" i="63"/>
  <c r="AG21" i="63"/>
  <c r="N22" i="63"/>
  <c r="AB22" i="63"/>
  <c r="AC22" i="63"/>
  <c r="AF22" i="63"/>
  <c r="AG22" i="63"/>
  <c r="N23" i="63"/>
  <c r="AB23" i="63"/>
  <c r="AC23" i="63"/>
  <c r="AF23" i="63"/>
  <c r="AG23" i="63"/>
  <c r="N24" i="63"/>
  <c r="AB24" i="63"/>
  <c r="AC24" i="63"/>
  <c r="AF24" i="63"/>
  <c r="AG24" i="63"/>
  <c r="N25" i="63"/>
  <c r="AB25" i="63"/>
  <c r="AC25" i="63"/>
  <c r="AF25" i="63"/>
  <c r="AG25" i="63"/>
  <c r="N26" i="63"/>
  <c r="AB26" i="63"/>
  <c r="AC26" i="63"/>
  <c r="AF26" i="63"/>
  <c r="AG26" i="63"/>
  <c r="N27" i="63"/>
  <c r="AB27" i="63"/>
  <c r="AC27" i="63"/>
  <c r="AF27" i="63"/>
  <c r="AG27" i="63"/>
  <c r="N28" i="63"/>
  <c r="AB28" i="63"/>
  <c r="AC28" i="63"/>
  <c r="AF28" i="63"/>
  <c r="AG28" i="63"/>
  <c r="N29" i="63"/>
  <c r="AB29" i="63"/>
  <c r="AC29" i="63"/>
  <c r="AF29" i="63"/>
  <c r="AG29" i="63"/>
  <c r="N30" i="63"/>
  <c r="AB30" i="63"/>
  <c r="AC30" i="63"/>
  <c r="AF30" i="63"/>
  <c r="AG30" i="63"/>
  <c r="N31" i="63"/>
  <c r="AB31" i="63"/>
  <c r="AC31" i="63"/>
  <c r="AF31" i="63"/>
  <c r="AG31" i="63"/>
  <c r="N32" i="63"/>
  <c r="AB32" i="63"/>
  <c r="AC32" i="63"/>
  <c r="AF32" i="63"/>
  <c r="AG32" i="63"/>
  <c r="N33" i="63"/>
  <c r="AB33" i="63"/>
  <c r="AC33" i="63"/>
  <c r="AF33" i="63"/>
  <c r="AG33" i="63"/>
  <c r="N34" i="63"/>
  <c r="AB34" i="63"/>
  <c r="AC34" i="63"/>
  <c r="AF34" i="63"/>
  <c r="AG34" i="63"/>
  <c r="N35" i="63"/>
  <c r="AB35" i="63"/>
  <c r="AC35" i="63"/>
  <c r="AF35" i="63"/>
  <c r="AG35" i="63"/>
  <c r="N36" i="63"/>
  <c r="AB36" i="63"/>
  <c r="AC36" i="63"/>
  <c r="AF36" i="63"/>
  <c r="AG36" i="63"/>
  <c r="N37" i="63"/>
  <c r="AB37" i="63"/>
  <c r="AC37" i="63"/>
  <c r="AF37" i="63"/>
  <c r="AG37" i="63"/>
  <c r="N38" i="63"/>
  <c r="AB38" i="63"/>
  <c r="AC38" i="63"/>
  <c r="AF38" i="63"/>
  <c r="AG38" i="63"/>
  <c r="N39" i="63"/>
  <c r="AB39" i="63"/>
  <c r="AC39" i="63"/>
  <c r="AF39" i="63"/>
  <c r="AG39" i="63"/>
  <c r="N40" i="63"/>
  <c r="AB40" i="63"/>
  <c r="AC40" i="63"/>
  <c r="AF40" i="63"/>
  <c r="AG40" i="63"/>
  <c r="N41" i="63"/>
  <c r="AB41" i="63"/>
  <c r="AC41" i="63"/>
  <c r="AF41" i="63"/>
  <c r="AG41" i="63"/>
  <c r="N42" i="63"/>
  <c r="AB42" i="63"/>
  <c r="AC42" i="63"/>
  <c r="AF42" i="63"/>
  <c r="AG42" i="63"/>
  <c r="N43" i="63"/>
  <c r="AB43" i="63"/>
  <c r="AC43" i="63"/>
  <c r="AF43" i="63"/>
  <c r="AG43" i="63"/>
  <c r="N44" i="63"/>
  <c r="AB44" i="63"/>
  <c r="AC44" i="63"/>
  <c r="AF44" i="63"/>
  <c r="AG44" i="63"/>
  <c r="N45" i="63"/>
  <c r="AB45" i="63"/>
  <c r="AC45" i="63"/>
  <c r="AF45" i="63"/>
  <c r="AG45" i="63"/>
  <c r="N46" i="63"/>
  <c r="AB46" i="63"/>
  <c r="AC46" i="63"/>
  <c r="AF46" i="63"/>
  <c r="AG46" i="63"/>
  <c r="N47" i="63"/>
  <c r="AB47" i="63"/>
  <c r="AC47" i="63"/>
  <c r="AF47" i="63"/>
  <c r="AG47" i="63"/>
  <c r="N48" i="63"/>
  <c r="AB48" i="63"/>
  <c r="AC48" i="63"/>
  <c r="AF48" i="63"/>
  <c r="AG48" i="63"/>
  <c r="N49" i="63"/>
  <c r="AB49" i="63"/>
  <c r="AC49" i="63"/>
  <c r="AF49" i="63"/>
  <c r="AG49" i="63"/>
  <c r="N50" i="63"/>
  <c r="AB50" i="63"/>
  <c r="AC50" i="63"/>
  <c r="AF50" i="63"/>
  <c r="AG50" i="63"/>
  <c r="N51" i="63"/>
  <c r="AB51" i="63"/>
  <c r="AC51" i="63"/>
  <c r="AF51" i="63"/>
  <c r="AG51" i="63"/>
  <c r="N57" i="63"/>
  <c r="AB57" i="63"/>
  <c r="AC57" i="63"/>
  <c r="AF57" i="63"/>
  <c r="AG57" i="63"/>
  <c r="N58" i="63"/>
  <c r="AB58" i="63"/>
  <c r="AC58" i="63"/>
  <c r="AF58" i="63"/>
  <c r="AG58" i="63"/>
  <c r="N59" i="63"/>
  <c r="AB59" i="63"/>
  <c r="AC59" i="63"/>
  <c r="AF59" i="63"/>
  <c r="AG59" i="63"/>
  <c r="N60" i="63"/>
  <c r="AB60" i="63"/>
  <c r="AC60" i="63"/>
  <c r="AF60" i="63"/>
  <c r="AG60" i="63"/>
  <c r="N61" i="63"/>
  <c r="AB61" i="63"/>
  <c r="AC61" i="63"/>
  <c r="AF61" i="63"/>
  <c r="AG61" i="63"/>
  <c r="N62" i="63"/>
  <c r="AB62" i="63"/>
  <c r="AC62" i="63"/>
  <c r="AF62" i="63"/>
  <c r="AG62" i="63"/>
  <c r="N63" i="63"/>
  <c r="AB63" i="63"/>
  <c r="AC63" i="63"/>
  <c r="AF63" i="63"/>
  <c r="AG63" i="63"/>
  <c r="N64" i="63"/>
  <c r="AB64" i="63"/>
  <c r="AC64" i="63"/>
  <c r="AF64" i="63"/>
  <c r="AG64" i="63"/>
  <c r="N65" i="63"/>
  <c r="AB65" i="63"/>
  <c r="AC65" i="63"/>
  <c r="AF65" i="63"/>
  <c r="AG65" i="63"/>
  <c r="N66" i="63"/>
  <c r="AB66" i="63"/>
  <c r="AC66" i="63"/>
  <c r="AF66" i="63"/>
  <c r="AG66" i="63"/>
  <c r="N67" i="63"/>
  <c r="AB67" i="63"/>
  <c r="AC67" i="63"/>
  <c r="AF67" i="63"/>
  <c r="AG67" i="63"/>
  <c r="N68" i="63"/>
  <c r="AB68" i="63"/>
  <c r="AC68" i="63"/>
  <c r="AF68" i="63"/>
  <c r="AG68" i="63"/>
  <c r="N69" i="63"/>
  <c r="AB69" i="63"/>
  <c r="AC69" i="63"/>
  <c r="AF69" i="63"/>
  <c r="AG69" i="63"/>
  <c r="N70" i="63"/>
  <c r="AB70" i="63"/>
  <c r="AC70" i="63"/>
  <c r="AF70" i="63"/>
  <c r="AG70" i="63"/>
  <c r="N71" i="63"/>
  <c r="AB71" i="63"/>
  <c r="AC71" i="63"/>
  <c r="AF71" i="63"/>
  <c r="AG71" i="63"/>
  <c r="N72" i="63"/>
  <c r="AB72" i="63"/>
  <c r="AC72" i="63"/>
  <c r="AF72" i="63"/>
  <c r="AG72" i="63"/>
  <c r="N73" i="63"/>
  <c r="AB73" i="63"/>
  <c r="AC73" i="63"/>
  <c r="AF73" i="63"/>
  <c r="AG73" i="63"/>
  <c r="N74" i="63"/>
  <c r="AB74" i="63"/>
  <c r="AC74" i="63"/>
  <c r="AF74" i="63"/>
  <c r="AG74" i="63"/>
  <c r="N75" i="63"/>
  <c r="AB75" i="63"/>
  <c r="AC75" i="63"/>
  <c r="AF75" i="63"/>
  <c r="AG75" i="63"/>
  <c r="N76" i="63"/>
  <c r="AB76" i="63"/>
  <c r="AC76" i="63"/>
  <c r="AF76" i="63"/>
  <c r="AG76" i="63"/>
  <c r="N77" i="63"/>
  <c r="AB77" i="63"/>
  <c r="AC77" i="63"/>
  <c r="AF77" i="63"/>
  <c r="AG77" i="63"/>
  <c r="N78" i="63"/>
  <c r="AB78" i="63"/>
  <c r="AC78" i="63"/>
  <c r="AF78" i="63"/>
  <c r="AG78" i="63"/>
  <c r="N79" i="63"/>
  <c r="AB79" i="63"/>
  <c r="AC79" i="63"/>
  <c r="AF79" i="63"/>
  <c r="AG79" i="63"/>
  <c r="N80" i="63"/>
  <c r="AB80" i="63"/>
  <c r="AC80" i="63"/>
  <c r="AF80" i="63"/>
  <c r="AG80" i="63"/>
  <c r="N81" i="63"/>
  <c r="AB81" i="63"/>
  <c r="AC81" i="63"/>
  <c r="AF81" i="63"/>
  <c r="AG81" i="63"/>
  <c r="N82" i="63"/>
  <c r="AB82" i="63"/>
  <c r="AC82" i="63"/>
  <c r="AF82" i="63"/>
  <c r="AG82" i="63"/>
  <c r="N83" i="63"/>
  <c r="AB83" i="63"/>
  <c r="AC83" i="63"/>
  <c r="AF83" i="63"/>
  <c r="AG83" i="63"/>
  <c r="N84" i="63"/>
  <c r="AB84" i="63"/>
  <c r="AC84" i="63"/>
  <c r="AF84" i="63"/>
  <c r="AG84" i="63"/>
  <c r="N85" i="63"/>
  <c r="AB85" i="63"/>
  <c r="AC85" i="63"/>
  <c r="AF85" i="63"/>
  <c r="AG85" i="63"/>
  <c r="N86" i="63"/>
  <c r="AB86" i="63"/>
  <c r="AC86" i="63"/>
  <c r="AF86" i="63"/>
  <c r="AG86" i="63"/>
  <c r="N87" i="63"/>
  <c r="AB87" i="63"/>
  <c r="AC87" i="63"/>
  <c r="AF87" i="63"/>
  <c r="AG87" i="63"/>
  <c r="N88" i="63"/>
  <c r="AB88" i="63"/>
  <c r="AC88" i="63"/>
  <c r="AF88" i="63"/>
  <c r="AG88" i="63"/>
  <c r="N89" i="63"/>
  <c r="AB89" i="63"/>
  <c r="AC89" i="63"/>
  <c r="AF89" i="63"/>
  <c r="AG89" i="63"/>
  <c r="N90" i="63"/>
  <c r="AB90" i="63"/>
  <c r="AC90" i="63"/>
  <c r="AF90" i="63"/>
  <c r="AG90" i="63"/>
  <c r="N91" i="63"/>
  <c r="AB91" i="63"/>
  <c r="AC91" i="63"/>
  <c r="AF91" i="63"/>
  <c r="AG91" i="63"/>
  <c r="N92" i="63"/>
  <c r="AB92" i="63"/>
  <c r="AC92" i="63"/>
  <c r="AF92" i="63"/>
  <c r="AG92" i="63"/>
  <c r="N93" i="63"/>
  <c r="AB93" i="63"/>
  <c r="AC93" i="63"/>
  <c r="AF93" i="63"/>
  <c r="AG93" i="63"/>
  <c r="N94" i="63"/>
  <c r="AB94" i="63"/>
  <c r="AC94" i="63"/>
  <c r="AF94" i="63"/>
  <c r="AG94" i="63"/>
  <c r="N95" i="63"/>
  <c r="AB95" i="63"/>
  <c r="AC95" i="63"/>
  <c r="AF95" i="63"/>
  <c r="AG95" i="63"/>
  <c r="N96" i="63"/>
  <c r="AB96" i="63"/>
  <c r="AC96" i="63"/>
  <c r="AF96" i="63"/>
  <c r="AG96" i="63"/>
  <c r="N97" i="63"/>
  <c r="AB97" i="63"/>
  <c r="AC97" i="63"/>
  <c r="AF97" i="63"/>
  <c r="AG97" i="63"/>
  <c r="N98" i="63"/>
  <c r="AB98" i="63"/>
  <c r="AC98" i="63"/>
  <c r="AF98" i="63"/>
  <c r="AG98" i="63"/>
  <c r="N99" i="63"/>
  <c r="AB99" i="63"/>
  <c r="AC99" i="63"/>
  <c r="AF99" i="63"/>
  <c r="AG99" i="63"/>
  <c r="N100" i="63"/>
  <c r="AB100" i="63"/>
  <c r="AC100" i="63"/>
  <c r="AF100" i="63"/>
  <c r="AG100" i="63"/>
  <c r="N101" i="63"/>
  <c r="AB101" i="63"/>
  <c r="AC101" i="63"/>
  <c r="AF101" i="63"/>
  <c r="AG101" i="63"/>
  <c r="N102" i="63"/>
  <c r="AB102" i="63"/>
  <c r="AC102" i="63"/>
  <c r="AF102" i="63"/>
  <c r="AG102" i="63"/>
  <c r="N103" i="63"/>
  <c r="AB103" i="63"/>
  <c r="AC103" i="63"/>
  <c r="AF103" i="63"/>
  <c r="AG103" i="63"/>
  <c r="N5" i="48"/>
  <c r="T5" i="48"/>
  <c r="AJ5" i="48"/>
  <c r="AK5" i="48"/>
  <c r="AL5" i="48"/>
  <c r="AM5" i="48"/>
  <c r="N6" i="48"/>
  <c r="T6" i="48"/>
  <c r="AJ6" i="48"/>
  <c r="AK6" i="48"/>
  <c r="AL6" i="48"/>
  <c r="AM6" i="48"/>
  <c r="N7" i="48"/>
  <c r="T7" i="48"/>
  <c r="AJ7" i="48"/>
  <c r="AK7" i="48"/>
  <c r="AL7" i="48"/>
  <c r="AM7" i="48"/>
  <c r="N8" i="48"/>
  <c r="T8" i="48"/>
  <c r="AJ8" i="48"/>
  <c r="AK8" i="48"/>
  <c r="AL8" i="48"/>
  <c r="AM8" i="48"/>
  <c r="N9" i="48"/>
  <c r="T9" i="48"/>
  <c r="AJ9" i="48"/>
  <c r="AK9" i="48"/>
  <c r="AL9" i="48"/>
  <c r="AM9" i="48"/>
  <c r="N10" i="48"/>
  <c r="T10" i="48"/>
  <c r="AJ10" i="48"/>
  <c r="AK10" i="48"/>
  <c r="AL10" i="48"/>
  <c r="AM10" i="48"/>
  <c r="N11" i="48"/>
  <c r="T11" i="48"/>
  <c r="AJ11" i="48"/>
  <c r="AK11" i="48"/>
  <c r="AL11" i="48"/>
  <c r="AM11" i="48"/>
  <c r="N12" i="48"/>
  <c r="T12" i="48"/>
  <c r="AJ12" i="48"/>
  <c r="AK12" i="48"/>
  <c r="AL12" i="48"/>
  <c r="AM12" i="48"/>
  <c r="N13" i="48"/>
  <c r="T13" i="48"/>
  <c r="AJ13" i="48"/>
  <c r="AK13" i="48"/>
  <c r="AL13" i="48"/>
  <c r="AM13" i="48"/>
  <c r="N14" i="48"/>
  <c r="T14" i="48"/>
  <c r="AJ14" i="48"/>
  <c r="AK14" i="48"/>
  <c r="AL14" i="48"/>
  <c r="AM14" i="48"/>
  <c r="N15" i="48"/>
  <c r="T15" i="48"/>
  <c r="AJ15" i="48"/>
  <c r="AK15" i="48"/>
  <c r="AL15" i="48"/>
  <c r="AM15" i="48"/>
  <c r="N16" i="48"/>
  <c r="T16" i="48"/>
  <c r="AJ16" i="48"/>
  <c r="AK16" i="48"/>
  <c r="AL16" i="48"/>
  <c r="AM16" i="48"/>
  <c r="N17" i="48"/>
  <c r="T17" i="48"/>
  <c r="AJ17" i="48"/>
  <c r="AK17" i="48"/>
  <c r="AL17" i="48"/>
  <c r="AM17" i="48"/>
  <c r="N18" i="48"/>
  <c r="T18" i="48"/>
  <c r="AJ18" i="48"/>
  <c r="AK18" i="48"/>
  <c r="AL18" i="48"/>
  <c r="AM18" i="48"/>
  <c r="N19" i="48"/>
  <c r="T19" i="48"/>
  <c r="AJ19" i="48"/>
  <c r="AK19" i="48"/>
  <c r="AL19" i="48"/>
  <c r="AM19" i="48"/>
  <c r="N20" i="48"/>
  <c r="T20" i="48"/>
  <c r="AJ20" i="48"/>
  <c r="AK20" i="48"/>
  <c r="AL20" i="48"/>
  <c r="AM20" i="48"/>
  <c r="N21" i="48"/>
  <c r="T21" i="48"/>
  <c r="AJ21" i="48"/>
  <c r="AK21" i="48"/>
  <c r="AL21" i="48"/>
  <c r="AM21" i="48"/>
  <c r="N22" i="48"/>
  <c r="T22" i="48"/>
  <c r="AJ22" i="48"/>
  <c r="AK22" i="48"/>
  <c r="AL22" i="48"/>
  <c r="AM22" i="48"/>
  <c r="N23" i="48"/>
  <c r="T23" i="48"/>
  <c r="AJ23" i="48"/>
  <c r="AK23" i="48"/>
  <c r="AL23" i="48"/>
  <c r="AM23" i="48"/>
  <c r="N24" i="48"/>
  <c r="T24" i="48"/>
  <c r="AJ24" i="48"/>
  <c r="AK24" i="48"/>
  <c r="AL24" i="48"/>
  <c r="AM24" i="48"/>
  <c r="N25" i="48"/>
  <c r="T25" i="48"/>
  <c r="AJ25" i="48"/>
  <c r="AK25" i="48"/>
  <c r="AL25" i="48"/>
  <c r="AM25" i="48"/>
  <c r="N26" i="48"/>
  <c r="T26" i="48"/>
  <c r="AJ26" i="48"/>
  <c r="AK26" i="48"/>
  <c r="AL26" i="48"/>
  <c r="AM26" i="48"/>
  <c r="N27" i="48"/>
  <c r="T27" i="48"/>
  <c r="AJ27" i="48"/>
  <c r="AK27" i="48"/>
  <c r="AL27" i="48"/>
  <c r="AM27" i="48"/>
  <c r="N28" i="48"/>
  <c r="T28" i="48"/>
  <c r="AJ28" i="48"/>
  <c r="AK28" i="48"/>
  <c r="AL28" i="48"/>
  <c r="AM28" i="48"/>
  <c r="N29" i="48"/>
  <c r="T29" i="48"/>
  <c r="AJ29" i="48"/>
  <c r="AK29" i="48"/>
  <c r="AL29" i="48"/>
  <c r="AM29" i="48"/>
  <c r="N30" i="48"/>
  <c r="T30" i="48"/>
  <c r="AJ30" i="48"/>
  <c r="AK30" i="48"/>
  <c r="AL30" i="48"/>
  <c r="AM30" i="48"/>
  <c r="N31" i="48"/>
  <c r="T31" i="48"/>
  <c r="AJ31" i="48"/>
  <c r="AK31" i="48"/>
  <c r="AL31" i="48"/>
  <c r="AM31" i="48"/>
  <c r="N32" i="48"/>
  <c r="T32" i="48"/>
  <c r="AJ32" i="48"/>
  <c r="AK32" i="48"/>
  <c r="AL32" i="48"/>
  <c r="AM32" i="48"/>
  <c r="N33" i="48"/>
  <c r="T33" i="48"/>
  <c r="AJ33" i="48"/>
  <c r="AK33" i="48"/>
  <c r="AL33" i="48"/>
  <c r="AM33" i="48"/>
  <c r="N34" i="48"/>
  <c r="T34" i="48"/>
  <c r="AJ34" i="48"/>
  <c r="AK34" i="48"/>
  <c r="AL34" i="48"/>
  <c r="AM34" i="48"/>
  <c r="N35" i="48"/>
  <c r="T35" i="48"/>
  <c r="AJ35" i="48"/>
  <c r="AK35" i="48"/>
  <c r="AL35" i="48"/>
  <c r="AM35" i="48"/>
  <c r="N36" i="48"/>
  <c r="T36" i="48"/>
  <c r="AJ36" i="48"/>
  <c r="AK36" i="48"/>
  <c r="AL36" i="48"/>
  <c r="AM36" i="48"/>
  <c r="N37" i="48"/>
  <c r="T37" i="48"/>
  <c r="AJ37" i="48"/>
  <c r="AK37" i="48"/>
  <c r="AL37" i="48"/>
  <c r="AM37" i="48"/>
  <c r="N38" i="48"/>
  <c r="T38" i="48"/>
  <c r="AJ38" i="48"/>
  <c r="AK38" i="48"/>
  <c r="AL38" i="48"/>
  <c r="AM38" i="48"/>
  <c r="N39" i="48"/>
  <c r="T39" i="48"/>
  <c r="AJ39" i="48"/>
  <c r="AK39" i="48"/>
  <c r="AL39" i="48"/>
  <c r="AM39" i="48"/>
  <c r="N40" i="48"/>
  <c r="T40" i="48"/>
  <c r="AJ40" i="48"/>
  <c r="AK40" i="48"/>
  <c r="AL40" i="48"/>
  <c r="AM40" i="48"/>
  <c r="N41" i="48"/>
  <c r="T41" i="48"/>
  <c r="AJ41" i="48"/>
  <c r="AK41" i="48"/>
  <c r="AL41" i="48"/>
  <c r="AM41" i="48"/>
  <c r="N42" i="48"/>
  <c r="T42" i="48"/>
  <c r="AJ42" i="48"/>
  <c r="AK42" i="48"/>
  <c r="AL42" i="48"/>
  <c r="AM42" i="48"/>
  <c r="N43" i="48"/>
  <c r="T43" i="48"/>
  <c r="AJ43" i="48"/>
  <c r="AK43" i="48"/>
  <c r="AL43" i="48"/>
  <c r="AM43" i="48"/>
  <c r="N44" i="48"/>
  <c r="T44" i="48"/>
  <c r="AJ44" i="48"/>
  <c r="AK44" i="48"/>
  <c r="AL44" i="48"/>
  <c r="AM44" i="48"/>
  <c r="N45" i="48"/>
  <c r="T45" i="48"/>
  <c r="AJ45" i="48"/>
  <c r="AK45" i="48"/>
  <c r="AL45" i="48"/>
  <c r="AM45" i="48"/>
  <c r="N46" i="48"/>
  <c r="T46" i="48"/>
  <c r="AJ46" i="48"/>
  <c r="AK46" i="48"/>
  <c r="AL46" i="48"/>
  <c r="AM46" i="48"/>
  <c r="N47" i="48"/>
  <c r="T47" i="48"/>
  <c r="AJ47" i="48"/>
  <c r="AK47" i="48"/>
  <c r="AL47" i="48"/>
  <c r="AM47" i="48"/>
  <c r="N48" i="48"/>
  <c r="T48" i="48"/>
  <c r="AJ48" i="48"/>
  <c r="AK48" i="48"/>
  <c r="AL48" i="48"/>
  <c r="AM48" i="48"/>
  <c r="N49" i="48"/>
  <c r="T49" i="48"/>
  <c r="AJ49" i="48"/>
  <c r="AK49" i="48"/>
  <c r="AL49" i="48"/>
  <c r="AM49" i="48"/>
  <c r="N50" i="48"/>
  <c r="T50" i="48"/>
  <c r="AJ50" i="48"/>
  <c r="AK50" i="48"/>
  <c r="AL50" i="48"/>
  <c r="AM50" i="48"/>
  <c r="N51" i="48"/>
  <c r="T51" i="48"/>
  <c r="AJ51" i="48"/>
  <c r="AK51" i="48"/>
  <c r="AL51" i="48"/>
  <c r="AM51" i="48"/>
  <c r="N53" i="48"/>
  <c r="T53" i="48"/>
  <c r="AJ53" i="48"/>
  <c r="AK53" i="48"/>
  <c r="AL53" i="48"/>
  <c r="AM53" i="48"/>
  <c r="N58" i="48"/>
  <c r="AE58" i="48"/>
  <c r="AF58" i="48"/>
  <c r="AJ58" i="48"/>
  <c r="AK58" i="48"/>
  <c r="N5" i="49"/>
  <c r="T5" i="49"/>
  <c r="AE5" i="49"/>
  <c r="AF5" i="49"/>
  <c r="AG5" i="49"/>
  <c r="AJ5" i="49"/>
  <c r="AK5" i="49"/>
  <c r="AL5" i="49"/>
  <c r="AM5" i="49"/>
  <c r="AO5" i="49"/>
  <c r="AP5" i="49"/>
  <c r="N6" i="49"/>
  <c r="T6" i="49"/>
  <c r="AE6" i="49"/>
  <c r="AF6" i="49"/>
  <c r="AG6" i="49"/>
  <c r="AJ6" i="49"/>
  <c r="AK6" i="49"/>
  <c r="AL6" i="49"/>
  <c r="AM6" i="49"/>
  <c r="AO6" i="49"/>
  <c r="AP6" i="49"/>
  <c r="N7" i="49"/>
  <c r="T7" i="49"/>
  <c r="AE7" i="49"/>
  <c r="AF7" i="49"/>
  <c r="AG7" i="49"/>
  <c r="AJ7" i="49"/>
  <c r="AK7" i="49"/>
  <c r="AL7" i="49"/>
  <c r="AM7" i="49"/>
  <c r="AO7" i="49"/>
  <c r="AP7" i="49"/>
  <c r="N8" i="49"/>
  <c r="T8" i="49"/>
  <c r="AE8" i="49"/>
  <c r="AF8" i="49"/>
  <c r="AG8" i="49"/>
  <c r="AJ8" i="49"/>
  <c r="AK8" i="49"/>
  <c r="AL8" i="49"/>
  <c r="AM8" i="49"/>
  <c r="AO8" i="49"/>
  <c r="AP8" i="49"/>
  <c r="N9" i="49"/>
  <c r="T9" i="49"/>
  <c r="AE9" i="49"/>
  <c r="AF9" i="49"/>
  <c r="AG9" i="49"/>
  <c r="AJ9" i="49"/>
  <c r="AK9" i="49"/>
  <c r="AL9" i="49"/>
  <c r="AM9" i="49"/>
  <c r="AO9" i="49"/>
  <c r="AP9" i="49"/>
  <c r="N10" i="49"/>
  <c r="T10" i="49"/>
  <c r="AE10" i="49"/>
  <c r="AF10" i="49"/>
  <c r="AG10" i="49"/>
  <c r="AJ10" i="49"/>
  <c r="AK10" i="49"/>
  <c r="AL10" i="49"/>
  <c r="AM10" i="49"/>
  <c r="AO10" i="49"/>
  <c r="AP10" i="49"/>
  <c r="N11" i="49"/>
  <c r="T11" i="49"/>
  <c r="AE11" i="49"/>
  <c r="AF11" i="49"/>
  <c r="AG11" i="49"/>
  <c r="AJ11" i="49"/>
  <c r="AK11" i="49"/>
  <c r="AL11" i="49"/>
  <c r="AM11" i="49"/>
  <c r="AO11" i="49"/>
  <c r="AP11" i="49"/>
  <c r="N12" i="49"/>
  <c r="T12" i="49"/>
  <c r="AE12" i="49"/>
  <c r="AF12" i="49"/>
  <c r="AG12" i="49"/>
  <c r="AJ12" i="49"/>
  <c r="AK12" i="49"/>
  <c r="AL12" i="49"/>
  <c r="AM12" i="49"/>
  <c r="AO12" i="49"/>
  <c r="AP12" i="49"/>
  <c r="N13" i="49"/>
  <c r="T13" i="49"/>
  <c r="AE13" i="49"/>
  <c r="AF13" i="49"/>
  <c r="AG13" i="49"/>
  <c r="AJ13" i="49"/>
  <c r="AK13" i="49"/>
  <c r="AL13" i="49"/>
  <c r="AM13" i="49"/>
  <c r="AO13" i="49"/>
  <c r="AP13" i="49"/>
  <c r="N14" i="49"/>
  <c r="T14" i="49"/>
  <c r="AE14" i="49"/>
  <c r="AF14" i="49"/>
  <c r="AG14" i="49"/>
  <c r="AJ14" i="49"/>
  <c r="AK14" i="49"/>
  <c r="AL14" i="49"/>
  <c r="AM14" i="49"/>
  <c r="AO14" i="49"/>
  <c r="AP14" i="49"/>
  <c r="N15" i="49"/>
  <c r="T15" i="49"/>
  <c r="AE15" i="49"/>
  <c r="AF15" i="49"/>
  <c r="AG15" i="49"/>
  <c r="AJ15" i="49"/>
  <c r="AK15" i="49"/>
  <c r="AL15" i="49"/>
  <c r="AM15" i="49"/>
  <c r="AO15" i="49"/>
  <c r="AP15" i="49"/>
  <c r="N16" i="49"/>
  <c r="T16" i="49"/>
  <c r="AE16" i="49"/>
  <c r="AF16" i="49"/>
  <c r="AG16" i="49"/>
  <c r="AJ16" i="49"/>
  <c r="AK16" i="49"/>
  <c r="AL16" i="49"/>
  <c r="AM16" i="49"/>
  <c r="AO16" i="49"/>
  <c r="AP16" i="49"/>
  <c r="N17" i="49"/>
  <c r="T17" i="49"/>
  <c r="AE17" i="49"/>
  <c r="AF17" i="49"/>
  <c r="AG17" i="49"/>
  <c r="AJ17" i="49"/>
  <c r="AK17" i="49"/>
  <c r="AL17" i="49"/>
  <c r="AM17" i="49"/>
  <c r="AO17" i="49"/>
  <c r="AP17" i="49"/>
  <c r="N18" i="49"/>
  <c r="T18" i="49"/>
  <c r="AE18" i="49"/>
  <c r="AF18" i="49"/>
  <c r="AG18" i="49"/>
  <c r="AJ18" i="49"/>
  <c r="AK18" i="49"/>
  <c r="AL18" i="49"/>
  <c r="AM18" i="49"/>
  <c r="AO18" i="49"/>
  <c r="AP18" i="49"/>
  <c r="N19" i="49"/>
  <c r="T19" i="49"/>
  <c r="AE19" i="49"/>
  <c r="AF19" i="49"/>
  <c r="AG19" i="49"/>
  <c r="AJ19" i="49"/>
  <c r="AK19" i="49"/>
  <c r="AL19" i="49"/>
  <c r="AM19" i="49"/>
  <c r="AO19" i="49"/>
  <c r="AP19" i="49"/>
  <c r="N20" i="49"/>
  <c r="T20" i="49"/>
  <c r="AE20" i="49"/>
  <c r="AF20" i="49"/>
  <c r="AG20" i="49"/>
  <c r="AJ20" i="49"/>
  <c r="AK20" i="49"/>
  <c r="AL20" i="49"/>
  <c r="AM20" i="49"/>
  <c r="AO20" i="49"/>
  <c r="AP20" i="49"/>
  <c r="N21" i="49"/>
  <c r="T21" i="49"/>
  <c r="AE21" i="49"/>
  <c r="AF21" i="49"/>
  <c r="AG21" i="49"/>
  <c r="AJ21" i="49"/>
  <c r="AK21" i="49"/>
  <c r="AL21" i="49"/>
  <c r="AM21" i="49"/>
  <c r="AO21" i="49"/>
  <c r="AP21" i="49"/>
  <c r="N22" i="49"/>
  <c r="T22" i="49"/>
  <c r="AE22" i="49"/>
  <c r="AF22" i="49"/>
  <c r="AG22" i="49"/>
  <c r="AJ22" i="49"/>
  <c r="AK22" i="49"/>
  <c r="AL22" i="49"/>
  <c r="AM22" i="49"/>
  <c r="AO22" i="49"/>
  <c r="AP22" i="49"/>
  <c r="N23" i="49"/>
  <c r="T23" i="49"/>
  <c r="AE23" i="49"/>
  <c r="AF23" i="49"/>
  <c r="AG23" i="49"/>
  <c r="AJ23" i="49"/>
  <c r="AK23" i="49"/>
  <c r="AL23" i="49"/>
  <c r="AM23" i="49"/>
  <c r="AO23" i="49"/>
  <c r="AP23" i="49"/>
  <c r="N24" i="49"/>
  <c r="T24" i="49"/>
  <c r="AE24" i="49"/>
  <c r="AF24" i="49"/>
  <c r="AG24" i="49"/>
  <c r="AJ24" i="49"/>
  <c r="AK24" i="49"/>
  <c r="AL24" i="49"/>
  <c r="AM24" i="49"/>
  <c r="AO24" i="49"/>
  <c r="AP24" i="49"/>
  <c r="N25" i="49"/>
  <c r="T25" i="49"/>
  <c r="AE25" i="49"/>
  <c r="AF25" i="49"/>
  <c r="AG25" i="49"/>
  <c r="AJ25" i="49"/>
  <c r="AK25" i="49"/>
  <c r="AL25" i="49"/>
  <c r="AM25" i="49"/>
  <c r="AO25" i="49"/>
  <c r="AP25" i="49"/>
  <c r="N26" i="49"/>
  <c r="T26" i="49"/>
  <c r="AE26" i="49"/>
  <c r="AF26" i="49"/>
  <c r="AG26" i="49"/>
  <c r="AJ26" i="49"/>
  <c r="AK26" i="49"/>
  <c r="AL26" i="49"/>
  <c r="AM26" i="49"/>
  <c r="AO26" i="49"/>
  <c r="AP26" i="49"/>
  <c r="N27" i="49"/>
  <c r="T27" i="49"/>
  <c r="AE27" i="49"/>
  <c r="AF27" i="49"/>
  <c r="AG27" i="49"/>
  <c r="AJ27" i="49"/>
  <c r="AK27" i="49"/>
  <c r="AL27" i="49"/>
  <c r="AM27" i="49"/>
  <c r="AO27" i="49"/>
  <c r="AP27" i="49"/>
  <c r="N28" i="49"/>
  <c r="T28" i="49"/>
  <c r="AE28" i="49"/>
  <c r="AF28" i="49"/>
  <c r="AG28" i="49"/>
  <c r="AJ28" i="49"/>
  <c r="AK28" i="49"/>
  <c r="AL28" i="49"/>
  <c r="AM28" i="49"/>
  <c r="AO28" i="49"/>
  <c r="AP28" i="49"/>
  <c r="N29" i="49"/>
  <c r="T29" i="49"/>
  <c r="AE29" i="49"/>
  <c r="AF29" i="49"/>
  <c r="AG29" i="49"/>
  <c r="AJ29" i="49"/>
  <c r="AK29" i="49"/>
  <c r="AL29" i="49"/>
  <c r="AM29" i="49"/>
  <c r="AO29" i="49"/>
  <c r="AP29" i="49"/>
  <c r="N30" i="49"/>
  <c r="T30" i="49"/>
  <c r="AE30" i="49"/>
  <c r="AF30" i="49"/>
  <c r="AG30" i="49"/>
  <c r="AJ30" i="49"/>
  <c r="AK30" i="49"/>
  <c r="AL30" i="49"/>
  <c r="AM30" i="49"/>
  <c r="AO30" i="49"/>
  <c r="AP30" i="49"/>
  <c r="N31" i="49"/>
  <c r="T31" i="49"/>
  <c r="AE31" i="49"/>
  <c r="AF31" i="49"/>
  <c r="AG31" i="49"/>
  <c r="AJ31" i="49"/>
  <c r="AK31" i="49"/>
  <c r="AL31" i="49"/>
  <c r="AM31" i="49"/>
  <c r="AO31" i="49"/>
  <c r="AP31" i="49"/>
  <c r="N32" i="49"/>
  <c r="T32" i="49"/>
  <c r="AE32" i="49"/>
  <c r="AF32" i="49"/>
  <c r="AG32" i="49"/>
  <c r="AJ32" i="49"/>
  <c r="AK32" i="49"/>
  <c r="AL32" i="49"/>
  <c r="AM32" i="49"/>
  <c r="AO32" i="49"/>
  <c r="AP32" i="49"/>
  <c r="N33" i="49"/>
  <c r="T33" i="49"/>
  <c r="AE33" i="49"/>
  <c r="AF33" i="49"/>
  <c r="AG33" i="49"/>
  <c r="AJ33" i="49"/>
  <c r="AK33" i="49"/>
  <c r="AL33" i="49"/>
  <c r="AM33" i="49"/>
  <c r="AO33" i="49"/>
  <c r="AP33" i="49"/>
  <c r="N34" i="49"/>
  <c r="T34" i="49"/>
  <c r="AE34" i="49"/>
  <c r="AF34" i="49"/>
  <c r="AG34" i="49"/>
  <c r="AJ34" i="49"/>
  <c r="AK34" i="49"/>
  <c r="AL34" i="49"/>
  <c r="AM34" i="49"/>
  <c r="AO34" i="49"/>
  <c r="AP34" i="49"/>
  <c r="N35" i="49"/>
  <c r="T35" i="49"/>
  <c r="AE35" i="49"/>
  <c r="AF35" i="49"/>
  <c r="AG35" i="49"/>
  <c r="AJ35" i="49"/>
  <c r="AK35" i="49"/>
  <c r="AL35" i="49"/>
  <c r="AM35" i="49"/>
  <c r="AO35" i="49"/>
  <c r="AP35" i="49"/>
  <c r="N36" i="49"/>
  <c r="T36" i="49"/>
  <c r="AE36" i="49"/>
  <c r="AF36" i="49"/>
  <c r="AG36" i="49"/>
  <c r="AJ36" i="49"/>
  <c r="AK36" i="49"/>
  <c r="AL36" i="49"/>
  <c r="AM36" i="49"/>
  <c r="AO36" i="49"/>
  <c r="AP36" i="49"/>
  <c r="N37" i="49"/>
  <c r="T37" i="49"/>
  <c r="AE37" i="49"/>
  <c r="AF37" i="49"/>
  <c r="AG37" i="49"/>
  <c r="AJ37" i="49"/>
  <c r="AK37" i="49"/>
  <c r="AL37" i="49"/>
  <c r="AM37" i="49"/>
  <c r="AO37" i="49"/>
  <c r="AP37" i="49"/>
  <c r="N38" i="49"/>
  <c r="T38" i="49"/>
  <c r="AE38" i="49"/>
  <c r="AF38" i="49"/>
  <c r="AG38" i="49"/>
  <c r="AJ38" i="49"/>
  <c r="AK38" i="49"/>
  <c r="AL38" i="49"/>
  <c r="AM38" i="49"/>
  <c r="AO38" i="49"/>
  <c r="AP38" i="49"/>
  <c r="N39" i="49"/>
  <c r="T39" i="49"/>
  <c r="AE39" i="49"/>
  <c r="AF39" i="49"/>
  <c r="AG39" i="49"/>
  <c r="AJ39" i="49"/>
  <c r="AK39" i="49"/>
  <c r="AL39" i="49"/>
  <c r="AM39" i="49"/>
  <c r="AO39" i="49"/>
  <c r="AP39" i="49"/>
  <c r="N40" i="49"/>
  <c r="T40" i="49"/>
  <c r="AE40" i="49"/>
  <c r="AF40" i="49"/>
  <c r="AG40" i="49"/>
  <c r="AJ40" i="49"/>
  <c r="AK40" i="49"/>
  <c r="AL40" i="49"/>
  <c r="AM40" i="49"/>
  <c r="AO40" i="49"/>
  <c r="AP40" i="49"/>
  <c r="N41" i="49"/>
  <c r="T41" i="49"/>
  <c r="AE41" i="49"/>
  <c r="AF41" i="49"/>
  <c r="AG41" i="49"/>
  <c r="AJ41" i="49"/>
  <c r="AK41" i="49"/>
  <c r="AL41" i="49"/>
  <c r="AM41" i="49"/>
  <c r="AO41" i="49"/>
  <c r="AP41" i="49"/>
  <c r="N42" i="49"/>
  <c r="T42" i="49"/>
  <c r="AE42" i="49"/>
  <c r="AF42" i="49"/>
  <c r="AG42" i="49"/>
  <c r="AJ42" i="49"/>
  <c r="AK42" i="49"/>
  <c r="AL42" i="49"/>
  <c r="AM42" i="49"/>
  <c r="AO42" i="49"/>
  <c r="AP42" i="49"/>
  <c r="N43" i="49"/>
  <c r="T43" i="49"/>
  <c r="AE43" i="49"/>
  <c r="AF43" i="49"/>
  <c r="AG43" i="49"/>
  <c r="AJ43" i="49"/>
  <c r="AK43" i="49"/>
  <c r="AL43" i="49"/>
  <c r="AM43" i="49"/>
  <c r="AO43" i="49"/>
  <c r="AP43" i="49"/>
  <c r="N44" i="49"/>
  <c r="T44" i="49"/>
  <c r="AE44" i="49"/>
  <c r="AF44" i="49"/>
  <c r="AG44" i="49"/>
  <c r="AJ44" i="49"/>
  <c r="AK44" i="49"/>
  <c r="AL44" i="49"/>
  <c r="AM44" i="49"/>
  <c r="AO44" i="49"/>
  <c r="AP44" i="49"/>
  <c r="N45" i="49"/>
  <c r="T45" i="49"/>
  <c r="AE45" i="49"/>
  <c r="AF45" i="49"/>
  <c r="AG45" i="49"/>
  <c r="AJ45" i="49"/>
  <c r="AK45" i="49"/>
  <c r="AL45" i="49"/>
  <c r="AM45" i="49"/>
  <c r="AO45" i="49"/>
  <c r="AP45" i="49"/>
  <c r="N46" i="49"/>
  <c r="T46" i="49"/>
  <c r="AE46" i="49"/>
  <c r="AF46" i="49"/>
  <c r="AG46" i="49"/>
  <c r="AJ46" i="49"/>
  <c r="AK46" i="49"/>
  <c r="AL46" i="49"/>
  <c r="AM46" i="49"/>
  <c r="AO46" i="49"/>
  <c r="AP46" i="49"/>
  <c r="N47" i="49"/>
  <c r="T47" i="49"/>
  <c r="AE47" i="49"/>
  <c r="AF47" i="49"/>
  <c r="AG47" i="49"/>
  <c r="AJ47" i="49"/>
  <c r="AK47" i="49"/>
  <c r="AL47" i="49"/>
  <c r="AM47" i="49"/>
  <c r="AO47" i="49"/>
  <c r="AP47" i="49"/>
  <c r="N48" i="49"/>
  <c r="T48" i="49"/>
  <c r="AE48" i="49"/>
  <c r="AF48" i="49"/>
  <c r="AG48" i="49"/>
  <c r="AJ48" i="49"/>
  <c r="AK48" i="49"/>
  <c r="AL48" i="49"/>
  <c r="AM48" i="49"/>
  <c r="AO48" i="49"/>
  <c r="AP48" i="49"/>
  <c r="N49" i="49"/>
  <c r="T49" i="49"/>
  <c r="AE49" i="49"/>
  <c r="AF49" i="49"/>
  <c r="AG49" i="49"/>
  <c r="AJ49" i="49"/>
  <c r="AK49" i="49"/>
  <c r="AL49" i="49"/>
  <c r="AM49" i="49"/>
  <c r="AO49" i="49"/>
  <c r="AP49" i="49"/>
  <c r="N50" i="49"/>
  <c r="T50" i="49"/>
  <c r="AE50" i="49"/>
  <c r="AF50" i="49"/>
  <c r="AG50" i="49"/>
  <c r="AJ50" i="49"/>
  <c r="AK50" i="49"/>
  <c r="AL50" i="49"/>
  <c r="AM50" i="49"/>
  <c r="AO50" i="49"/>
  <c r="AP50" i="49"/>
  <c r="N51" i="49"/>
  <c r="T51" i="49"/>
  <c r="AE51" i="49"/>
  <c r="AF51" i="49"/>
  <c r="AG51" i="49"/>
  <c r="AJ51" i="49"/>
  <c r="AK51" i="49"/>
  <c r="AL51" i="49"/>
  <c r="AM51" i="49"/>
  <c r="AO51" i="49"/>
  <c r="AP51" i="49"/>
  <c r="N53" i="49"/>
  <c r="T53" i="49"/>
  <c r="AE53" i="49"/>
  <c r="AF53" i="49"/>
  <c r="AG53" i="49"/>
  <c r="AJ53" i="49"/>
  <c r="AK53" i="49"/>
  <c r="AL53" i="49"/>
  <c r="AM53" i="49"/>
  <c r="AO53" i="49"/>
  <c r="AP53" i="49"/>
  <c r="AO55" i="49"/>
  <c r="AP55" i="49"/>
  <c r="AE58" i="49"/>
  <c r="AF58" i="49"/>
  <c r="N5" i="50"/>
  <c r="T5" i="50"/>
  <c r="AE5" i="50"/>
  <c r="AF5" i="50"/>
  <c r="AG5" i="50"/>
  <c r="AJ5" i="50"/>
  <c r="AK5" i="50"/>
  <c r="AL5" i="50"/>
  <c r="AM5" i="50"/>
  <c r="AO5" i="50"/>
  <c r="AP5" i="50"/>
  <c r="N6" i="50"/>
  <c r="T6" i="50"/>
  <c r="AE6" i="50"/>
  <c r="AF6" i="50"/>
  <c r="AG6" i="50"/>
  <c r="AJ6" i="50"/>
  <c r="AK6" i="50"/>
  <c r="AL6" i="50"/>
  <c r="AM6" i="50"/>
  <c r="AO6" i="50"/>
  <c r="AP6" i="50"/>
  <c r="N7" i="50"/>
  <c r="T7" i="50"/>
  <c r="AE7" i="50"/>
  <c r="AF7" i="50"/>
  <c r="AG7" i="50"/>
  <c r="AJ7" i="50"/>
  <c r="AK7" i="50"/>
  <c r="AL7" i="50"/>
  <c r="AM7" i="50"/>
  <c r="AO7" i="50"/>
  <c r="AP7" i="50"/>
  <c r="N8" i="50"/>
  <c r="T8" i="50"/>
  <c r="AE8" i="50"/>
  <c r="AF8" i="50"/>
  <c r="AG8" i="50"/>
  <c r="AJ8" i="50"/>
  <c r="AK8" i="50"/>
  <c r="AL8" i="50"/>
  <c r="AM8" i="50"/>
  <c r="AO8" i="50"/>
  <c r="AP8" i="50"/>
  <c r="N9" i="50"/>
  <c r="T9" i="50"/>
  <c r="AE9" i="50"/>
  <c r="AF9" i="50"/>
  <c r="AG9" i="50"/>
  <c r="AJ9" i="50"/>
  <c r="AK9" i="50"/>
  <c r="AL9" i="50"/>
  <c r="AM9" i="50"/>
  <c r="AO9" i="50"/>
  <c r="AP9" i="50"/>
  <c r="N10" i="50"/>
  <c r="T10" i="50"/>
  <c r="AE10" i="50"/>
  <c r="AF10" i="50"/>
  <c r="AG10" i="50"/>
  <c r="AJ10" i="50"/>
  <c r="AK10" i="50"/>
  <c r="AL10" i="50"/>
  <c r="AM10" i="50"/>
  <c r="AO10" i="50"/>
  <c r="AP10" i="50"/>
  <c r="N11" i="50"/>
  <c r="T11" i="50"/>
  <c r="AE11" i="50"/>
  <c r="AF11" i="50"/>
  <c r="AG11" i="50"/>
  <c r="AJ11" i="50"/>
  <c r="AK11" i="50"/>
  <c r="AL11" i="50"/>
  <c r="AM11" i="50"/>
  <c r="AO11" i="50"/>
  <c r="AP11" i="50"/>
  <c r="N12" i="50"/>
  <c r="T12" i="50"/>
  <c r="AE12" i="50"/>
  <c r="AF12" i="50"/>
  <c r="AG12" i="50"/>
  <c r="AJ12" i="50"/>
  <c r="AK12" i="50"/>
  <c r="AL12" i="50"/>
  <c r="AM12" i="50"/>
  <c r="AO12" i="50"/>
  <c r="AP12" i="50"/>
  <c r="N13" i="50"/>
  <c r="T13" i="50"/>
  <c r="AE13" i="50"/>
  <c r="AF13" i="50"/>
  <c r="AG13" i="50"/>
  <c r="AJ13" i="50"/>
  <c r="AK13" i="50"/>
  <c r="AL13" i="50"/>
  <c r="AM13" i="50"/>
  <c r="AO13" i="50"/>
  <c r="AP13" i="50"/>
  <c r="N14" i="50"/>
  <c r="T14" i="50"/>
  <c r="AE14" i="50"/>
  <c r="AF14" i="50"/>
  <c r="AG14" i="50"/>
  <c r="AJ14" i="50"/>
  <c r="AK14" i="50"/>
  <c r="AL14" i="50"/>
  <c r="AM14" i="50"/>
  <c r="AO14" i="50"/>
  <c r="AP14" i="50"/>
  <c r="N15" i="50"/>
  <c r="T15" i="50"/>
  <c r="AE15" i="50"/>
  <c r="AF15" i="50"/>
  <c r="AG15" i="50"/>
  <c r="AJ15" i="50"/>
  <c r="AK15" i="50"/>
  <c r="AL15" i="50"/>
  <c r="AM15" i="50"/>
  <c r="AO15" i="50"/>
  <c r="AP15" i="50"/>
  <c r="N16" i="50"/>
  <c r="T16" i="50"/>
  <c r="AE16" i="50"/>
  <c r="AF16" i="50"/>
  <c r="AG16" i="50"/>
  <c r="AJ16" i="50"/>
  <c r="AK16" i="50"/>
  <c r="AL16" i="50"/>
  <c r="AM16" i="50"/>
  <c r="AO16" i="50"/>
  <c r="AP16" i="50"/>
  <c r="N17" i="50"/>
  <c r="T17" i="50"/>
  <c r="AE17" i="50"/>
  <c r="AF17" i="50"/>
  <c r="AG17" i="50"/>
  <c r="AJ17" i="50"/>
  <c r="AK17" i="50"/>
  <c r="AL17" i="50"/>
  <c r="AM17" i="50"/>
  <c r="AO17" i="50"/>
  <c r="AP17" i="50"/>
  <c r="N18" i="50"/>
  <c r="T18" i="50"/>
  <c r="AE18" i="50"/>
  <c r="AF18" i="50"/>
  <c r="AG18" i="50"/>
  <c r="AJ18" i="50"/>
  <c r="AK18" i="50"/>
  <c r="AL18" i="50"/>
  <c r="AM18" i="50"/>
  <c r="AO18" i="50"/>
  <c r="AP18" i="50"/>
  <c r="N19" i="50"/>
  <c r="T19" i="50"/>
  <c r="AE19" i="50"/>
  <c r="AF19" i="50"/>
  <c r="AG19" i="50"/>
  <c r="AJ19" i="50"/>
  <c r="AK19" i="50"/>
  <c r="AL19" i="50"/>
  <c r="AM19" i="50"/>
  <c r="AO19" i="50"/>
  <c r="AP19" i="50"/>
  <c r="N20" i="50"/>
  <c r="T20" i="50"/>
  <c r="AE20" i="50"/>
  <c r="AF20" i="50"/>
  <c r="AG20" i="50"/>
  <c r="AJ20" i="50"/>
  <c r="AK20" i="50"/>
  <c r="AL20" i="50"/>
  <c r="AM20" i="50"/>
  <c r="AO20" i="50"/>
  <c r="AP20" i="50"/>
  <c r="N21" i="50"/>
  <c r="T21" i="50"/>
  <c r="AE21" i="50"/>
  <c r="AF21" i="50"/>
  <c r="AG21" i="50"/>
  <c r="AJ21" i="50"/>
  <c r="AK21" i="50"/>
  <c r="AL21" i="50"/>
  <c r="AM21" i="50"/>
  <c r="AO21" i="50"/>
  <c r="AP21" i="50"/>
  <c r="N22" i="50"/>
  <c r="T22" i="50"/>
  <c r="AE22" i="50"/>
  <c r="AF22" i="50"/>
  <c r="AG22" i="50"/>
  <c r="AJ22" i="50"/>
  <c r="AK22" i="50"/>
  <c r="AL22" i="50"/>
  <c r="AM22" i="50"/>
  <c r="AO22" i="50"/>
  <c r="AP22" i="50"/>
  <c r="N23" i="50"/>
  <c r="T23" i="50"/>
  <c r="AE23" i="50"/>
  <c r="AF23" i="50"/>
  <c r="AG23" i="50"/>
  <c r="AJ23" i="50"/>
  <c r="AK23" i="50"/>
  <c r="AL23" i="50"/>
  <c r="AM23" i="50"/>
  <c r="AO23" i="50"/>
  <c r="AP23" i="50"/>
  <c r="N24" i="50"/>
  <c r="T24" i="50"/>
  <c r="AE24" i="50"/>
  <c r="AF24" i="50"/>
  <c r="AG24" i="50"/>
  <c r="AJ24" i="50"/>
  <c r="AK24" i="50"/>
  <c r="AL24" i="50"/>
  <c r="AM24" i="50"/>
  <c r="AO24" i="50"/>
  <c r="AP24" i="50"/>
  <c r="N25" i="50"/>
  <c r="T25" i="50"/>
  <c r="AE25" i="50"/>
  <c r="AF25" i="50"/>
  <c r="AG25" i="50"/>
  <c r="AJ25" i="50"/>
  <c r="AK25" i="50"/>
  <c r="AL25" i="50"/>
  <c r="AM25" i="50"/>
  <c r="AO25" i="50"/>
  <c r="AP25" i="50"/>
  <c r="N26" i="50"/>
  <c r="T26" i="50"/>
  <c r="AE26" i="50"/>
  <c r="AF26" i="50"/>
  <c r="AG26" i="50"/>
  <c r="AJ26" i="50"/>
  <c r="AK26" i="50"/>
  <c r="AL26" i="50"/>
  <c r="AM26" i="50"/>
  <c r="AO26" i="50"/>
  <c r="AP26" i="50"/>
  <c r="N27" i="50"/>
  <c r="T27" i="50"/>
  <c r="AE27" i="50"/>
  <c r="AF27" i="50"/>
  <c r="AG27" i="50"/>
  <c r="AJ27" i="50"/>
  <c r="AK27" i="50"/>
  <c r="AL27" i="50"/>
  <c r="AM27" i="50"/>
  <c r="AO27" i="50"/>
  <c r="AP27" i="50"/>
  <c r="N28" i="50"/>
  <c r="T28" i="50"/>
  <c r="AE28" i="50"/>
  <c r="AF28" i="50"/>
  <c r="AG28" i="50"/>
  <c r="AJ28" i="50"/>
  <c r="AK28" i="50"/>
  <c r="AL28" i="50"/>
  <c r="AM28" i="50"/>
  <c r="AO28" i="50"/>
  <c r="AP28" i="50"/>
  <c r="N29" i="50"/>
  <c r="T29" i="50"/>
  <c r="AE29" i="50"/>
  <c r="AF29" i="50"/>
  <c r="AG29" i="50"/>
  <c r="AJ29" i="50"/>
  <c r="AK29" i="50"/>
  <c r="AL29" i="50"/>
  <c r="AM29" i="50"/>
  <c r="AO29" i="50"/>
  <c r="AP29" i="50"/>
  <c r="N30" i="50"/>
  <c r="T30" i="50"/>
  <c r="AE30" i="50"/>
  <c r="AF30" i="50"/>
  <c r="AG30" i="50"/>
  <c r="AJ30" i="50"/>
  <c r="AK30" i="50"/>
  <c r="AL30" i="50"/>
  <c r="AM30" i="50"/>
  <c r="AO30" i="50"/>
  <c r="AP30" i="50"/>
  <c r="N31" i="50"/>
  <c r="T31" i="50"/>
  <c r="AE31" i="50"/>
  <c r="AF31" i="50"/>
  <c r="AG31" i="50"/>
  <c r="AJ31" i="50"/>
  <c r="AK31" i="50"/>
  <c r="AL31" i="50"/>
  <c r="AM31" i="50"/>
  <c r="AO31" i="50"/>
  <c r="AP31" i="50"/>
  <c r="N32" i="50"/>
  <c r="T32" i="50"/>
  <c r="AE32" i="50"/>
  <c r="AF32" i="50"/>
  <c r="AG32" i="50"/>
  <c r="AJ32" i="50"/>
  <c r="AK32" i="50"/>
  <c r="AL32" i="50"/>
  <c r="AM32" i="50"/>
  <c r="AO32" i="50"/>
  <c r="AP32" i="50"/>
  <c r="N33" i="50"/>
  <c r="T33" i="50"/>
  <c r="AE33" i="50"/>
  <c r="AF33" i="50"/>
  <c r="AG33" i="50"/>
  <c r="AJ33" i="50"/>
  <c r="AK33" i="50"/>
  <c r="AL33" i="50"/>
  <c r="AM33" i="50"/>
  <c r="AO33" i="50"/>
  <c r="AP33" i="50"/>
  <c r="N34" i="50"/>
  <c r="T34" i="50"/>
  <c r="AE34" i="50"/>
  <c r="AF34" i="50"/>
  <c r="AG34" i="50"/>
  <c r="AJ34" i="50"/>
  <c r="AK34" i="50"/>
  <c r="AL34" i="50"/>
  <c r="AM34" i="50"/>
  <c r="AO34" i="50"/>
  <c r="AP34" i="50"/>
  <c r="N35" i="50"/>
  <c r="T35" i="50"/>
  <c r="AE35" i="50"/>
  <c r="AF35" i="50"/>
  <c r="AG35" i="50"/>
  <c r="AJ35" i="50"/>
  <c r="AK35" i="50"/>
  <c r="AL35" i="50"/>
  <c r="AM35" i="50"/>
  <c r="AO35" i="50"/>
  <c r="AP35" i="50"/>
  <c r="N36" i="50"/>
  <c r="T36" i="50"/>
  <c r="AE36" i="50"/>
  <c r="AF36" i="50"/>
  <c r="AG36" i="50"/>
  <c r="AJ36" i="50"/>
  <c r="AK36" i="50"/>
  <c r="AL36" i="50"/>
  <c r="AM36" i="50"/>
  <c r="AO36" i="50"/>
  <c r="AP36" i="50"/>
  <c r="N37" i="50"/>
  <c r="T37" i="50"/>
  <c r="AE37" i="50"/>
  <c r="AF37" i="50"/>
  <c r="AG37" i="50"/>
  <c r="AJ37" i="50"/>
  <c r="AK37" i="50"/>
  <c r="AL37" i="50"/>
  <c r="AM37" i="50"/>
  <c r="AO37" i="50"/>
  <c r="AP37" i="50"/>
  <c r="N38" i="50"/>
  <c r="T38" i="50"/>
  <c r="AE38" i="50"/>
  <c r="AF38" i="50"/>
  <c r="AG38" i="50"/>
  <c r="AJ38" i="50"/>
  <c r="AK38" i="50"/>
  <c r="AL38" i="50"/>
  <c r="AM38" i="50"/>
  <c r="AO38" i="50"/>
  <c r="AP38" i="50"/>
  <c r="N39" i="50"/>
  <c r="T39" i="50"/>
  <c r="AE39" i="50"/>
  <c r="AF39" i="50"/>
  <c r="AG39" i="50"/>
  <c r="AJ39" i="50"/>
  <c r="AK39" i="50"/>
  <c r="AL39" i="50"/>
  <c r="AM39" i="50"/>
  <c r="AO39" i="50"/>
  <c r="AP39" i="50"/>
  <c r="N40" i="50"/>
  <c r="T40" i="50"/>
  <c r="AE40" i="50"/>
  <c r="AF40" i="50"/>
  <c r="AG40" i="50"/>
  <c r="AJ40" i="50"/>
  <c r="AK40" i="50"/>
  <c r="AL40" i="50"/>
  <c r="AM40" i="50"/>
  <c r="AO40" i="50"/>
  <c r="AP40" i="50"/>
  <c r="N41" i="50"/>
  <c r="T41" i="50"/>
  <c r="AE41" i="50"/>
  <c r="AF41" i="50"/>
  <c r="AG41" i="50"/>
  <c r="AJ41" i="50"/>
  <c r="AK41" i="50"/>
  <c r="AL41" i="50"/>
  <c r="AM41" i="50"/>
  <c r="AO41" i="50"/>
  <c r="AP41" i="50"/>
  <c r="N42" i="50"/>
  <c r="T42" i="50"/>
  <c r="AE42" i="50"/>
  <c r="AF42" i="50"/>
  <c r="AG42" i="50"/>
  <c r="AJ42" i="50"/>
  <c r="AK42" i="50"/>
  <c r="AL42" i="50"/>
  <c r="AM42" i="50"/>
  <c r="AO42" i="50"/>
  <c r="AP42" i="50"/>
  <c r="N43" i="50"/>
  <c r="T43" i="50"/>
  <c r="AE43" i="50"/>
  <c r="AF43" i="50"/>
  <c r="AG43" i="50"/>
  <c r="AJ43" i="50"/>
  <c r="AK43" i="50"/>
  <c r="AL43" i="50"/>
  <c r="AM43" i="50"/>
  <c r="AO43" i="50"/>
  <c r="AP43" i="50"/>
  <c r="N44" i="50"/>
  <c r="T44" i="50"/>
  <c r="AE44" i="50"/>
  <c r="AF44" i="50"/>
  <c r="AG44" i="50"/>
  <c r="AJ44" i="50"/>
  <c r="AK44" i="50"/>
  <c r="AL44" i="50"/>
  <c r="AM44" i="50"/>
  <c r="AO44" i="50"/>
  <c r="AP44" i="50"/>
  <c r="N45" i="50"/>
  <c r="T45" i="50"/>
  <c r="AE45" i="50"/>
  <c r="AF45" i="50"/>
  <c r="AG45" i="50"/>
  <c r="AJ45" i="50"/>
  <c r="AK45" i="50"/>
  <c r="AL45" i="50"/>
  <c r="AM45" i="50"/>
  <c r="AO45" i="50"/>
  <c r="AP45" i="50"/>
  <c r="N46" i="50"/>
  <c r="T46" i="50"/>
  <c r="AE46" i="50"/>
  <c r="AF46" i="50"/>
  <c r="AG46" i="50"/>
  <c r="AJ46" i="50"/>
  <c r="AK46" i="50"/>
  <c r="AL46" i="50"/>
  <c r="AM46" i="50"/>
  <c r="AO46" i="50"/>
  <c r="AP46" i="50"/>
  <c r="N47" i="50"/>
  <c r="T47" i="50"/>
  <c r="AE47" i="50"/>
  <c r="AF47" i="50"/>
  <c r="AG47" i="50"/>
  <c r="AJ47" i="50"/>
  <c r="AK47" i="50"/>
  <c r="AL47" i="50"/>
  <c r="AM47" i="50"/>
  <c r="AO47" i="50"/>
  <c r="AP47" i="50"/>
  <c r="N48" i="50"/>
  <c r="T48" i="50"/>
  <c r="AE48" i="50"/>
  <c r="AF48" i="50"/>
  <c r="AG48" i="50"/>
  <c r="AJ48" i="50"/>
  <c r="AK48" i="50"/>
  <c r="AL48" i="50"/>
  <c r="AM48" i="50"/>
  <c r="AO48" i="50"/>
  <c r="AP48" i="50"/>
  <c r="N49" i="50"/>
  <c r="T49" i="50"/>
  <c r="AE49" i="50"/>
  <c r="AF49" i="50"/>
  <c r="AG49" i="50"/>
  <c r="AJ49" i="50"/>
  <c r="AK49" i="50"/>
  <c r="AL49" i="50"/>
  <c r="AM49" i="50"/>
  <c r="AO49" i="50"/>
  <c r="AP49" i="50"/>
  <c r="N50" i="50"/>
  <c r="T50" i="50"/>
  <c r="AE50" i="50"/>
  <c r="AF50" i="50"/>
  <c r="AG50" i="50"/>
  <c r="AJ50" i="50"/>
  <c r="AK50" i="50"/>
  <c r="AL50" i="50"/>
  <c r="AM50" i="50"/>
  <c r="AO50" i="50"/>
  <c r="AP50" i="50"/>
  <c r="N51" i="50"/>
  <c r="T51" i="50"/>
  <c r="AE51" i="50"/>
  <c r="AF51" i="50"/>
  <c r="AG51" i="50"/>
  <c r="AJ51" i="50"/>
  <c r="AK51" i="50"/>
  <c r="AL51" i="50"/>
  <c r="AM51" i="50"/>
  <c r="AO51" i="50"/>
  <c r="AP51" i="50"/>
  <c r="N53" i="50"/>
  <c r="T53" i="50"/>
  <c r="AE53" i="50"/>
  <c r="AF53" i="50"/>
  <c r="AG53" i="50"/>
  <c r="AJ53" i="50"/>
  <c r="AK53" i="50"/>
  <c r="AL53" i="50"/>
  <c r="AM53" i="50"/>
  <c r="AO53" i="50"/>
  <c r="AP53" i="50"/>
  <c r="AO55" i="50"/>
  <c r="AP55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DADFFCE6-444E-4351-9C30-FC87C648C2ED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6E3301-0404-41C8-A0F4-294F6B7FC03F}" name="Conexão" type="7" refreshedVersion="8" background="1" saveData="1"/>
  <connection id="2" xr16:uid="{36091E43-ABE5-4C33-A7FE-355F9BF31405}" name="Conexão1" type="7" refreshedVersion="8" background="1" saveData="1"/>
  <connection id="3" xr16:uid="{43543C1C-AE84-434F-99DD-D74BEB72DF0F}" name="Conexão2" type="7" refreshedVersion="8" background="1" saveData="1"/>
</connections>
</file>

<file path=xl/sharedStrings.xml><?xml version="1.0" encoding="utf-8"?>
<sst xmlns="http://schemas.openxmlformats.org/spreadsheetml/2006/main" count="44063" uniqueCount="1243">
  <si>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</si>
  <si>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</si>
  <si>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</si>
  <si>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</si>
  <si>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</si>
  <si>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</si>
  <si>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</si>
  <si>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</si>
  <si>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</si>
  <si>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</si>
  <si>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</si>
  <si>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</si>
  <si>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</si>
  <si>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</si>
  <si>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</si>
  <si>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</si>
  <si>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</si>
  <si>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</si>
  <si>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</si>
  <si>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</si>
  <si>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</si>
  <si>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Sistema Isolado - Regular</t>
  </si>
  <si>
    <t>B1</t>
  </si>
  <si>
    <t>Convencional</t>
  </si>
  <si>
    <t>Residencial</t>
  </si>
  <si>
    <t>Não se aplica</t>
  </si>
  <si>
    <t>CATIVO</t>
  </si>
  <si>
    <t>Sistema Isolado - Refaturamento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</si>
  <si>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</si>
  <si>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</si>
  <si>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</si>
  <si>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</si>
  <si>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</si>
  <si>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</si>
  <si>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</si>
  <si>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</si>
  <si>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</si>
  <si>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</si>
  <si>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</si>
  <si>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</si>
  <si>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</si>
  <si>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</si>
  <si>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</si>
  <si>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</si>
  <si>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</si>
  <si>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</si>
  <si>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</si>
  <si>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</si>
  <si>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</si>
  <si>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</si>
  <si>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</si>
  <si>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</si>
  <si>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</si>
  <si>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</si>
  <si>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</si>
  <si>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</si>
  <si>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</si>
  <si>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</si>
  <si>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</si>
  <si>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</si>
  <si>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</si>
  <si>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</si>
  <si>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</si>
  <si>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</si>
  <si>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</si>
  <si>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</si>
  <si>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</si>
  <si>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</si>
  <si>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</si>
  <si>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</si>
  <si>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</si>
  <si>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</si>
  <si>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</si>
  <si>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</si>
  <si>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</si>
  <si>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</si>
  <si>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</si>
  <si>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</si>
  <si>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</si>
  <si>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</si>
  <si>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</si>
  <si>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</si>
  <si>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</si>
  <si>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</si>
  <si>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</si>
  <si>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</si>
  <si>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</si>
  <si>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</si>
  <si>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</si>
  <si>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</si>
  <si>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</si>
  <si>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</si>
  <si>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</si>
  <si>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</si>
  <si>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</si>
  <si>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</si>
  <si>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</si>
  <si>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</si>
  <si>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</si>
  <si>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</si>
  <si>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</si>
  <si>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</si>
  <si>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44805A4AzulNão se aplicaNão se aplicaNão se aplicaNão se aplicaFora ponta</t>
  </si>
  <si>
    <t>44835A4AzulNão se aplicaNão se aplicaNão se aplicaNão se aplicaFora 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</si>
  <si>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</si>
  <si>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</si>
  <si>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</si>
  <si>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</si>
  <si>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</si>
  <si>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</si>
  <si>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</si>
  <si>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</si>
  <si>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</si>
  <si>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</si>
  <si>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44805A4AzulNão se aplicaNão se aplicaNão se aplicaNão se aplicaPonta</t>
  </si>
  <si>
    <t>44835A4AzulNão se aplicaNão se aplicaNão se aplicaNão se aplicaPonta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</si>
  <si>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</si>
  <si>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</si>
  <si>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</si>
  <si>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</si>
  <si>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</si>
  <si>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</si>
  <si>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</si>
  <si>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</si>
  <si>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</si>
  <si>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</si>
  <si>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44805A4VerdeNão se aplicaNão se aplicaNão se aplicaNão se aplicaFora ponta</t>
  </si>
  <si>
    <t>44835A4VerdeNão se aplicaNão se aplicaNão se aplicaNão se aplicaFora ponta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</si>
  <si>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</si>
  <si>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</si>
  <si>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</si>
  <si>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</si>
  <si>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</si>
  <si>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</si>
  <si>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</si>
  <si>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</si>
  <si>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</si>
  <si>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</si>
  <si>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44805A4VerdeNão se aplicaNão se aplicaNão se aplicaNão se aplicaNão se aplica</t>
  </si>
  <si>
    <t>44835A4VerdeNão se aplicaNão se aplicaNão se aplicaNão se aplicaNão se aplica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</si>
  <si>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</si>
  <si>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</si>
  <si>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</si>
  <si>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</si>
  <si>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</si>
  <si>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</si>
  <si>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</si>
  <si>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</si>
  <si>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</si>
  <si>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</si>
  <si>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44805A4VerdeNão se aplicaNão se aplicaNão se aplicaNão se aplicaPonta</t>
  </si>
  <si>
    <t>44835A4VerdeNão se aplicaNão se aplicaNão se aplicaNão se aplicaPonta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</si>
  <si>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</si>
  <si>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</si>
  <si>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</si>
  <si>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</si>
  <si>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</si>
  <si>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</si>
  <si>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</si>
  <si>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</si>
  <si>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</si>
  <si>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</si>
  <si>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44805B1BrancaResidencialResidencialNão se aplicaNão se aplicaFora ponta</t>
  </si>
  <si>
    <t>44835B1BrancaResidencialResidencialNão se aplicaNão se aplicaFora ponta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</si>
  <si>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</si>
  <si>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</si>
  <si>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</si>
  <si>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</si>
  <si>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</si>
  <si>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</si>
  <si>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</si>
  <si>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</si>
  <si>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</si>
  <si>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</si>
  <si>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44805B1BrancaResidencialResidencialNão se aplicaNão se aplicaIntermediário</t>
  </si>
  <si>
    <t>44835B1BrancaResidencialResidencialNão se aplicaNão se aplicaIntermediário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</si>
  <si>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</si>
  <si>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</si>
  <si>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</si>
  <si>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</si>
  <si>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</si>
  <si>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</si>
  <si>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</si>
  <si>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</si>
  <si>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</si>
  <si>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</si>
  <si>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44805B1BrancaResidencialResidencialNão se aplicaNão se aplicaPonta</t>
  </si>
  <si>
    <t>44835B1BrancaResidencialResidencialNão se aplicaNão se aplicaPonta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</si>
  <si>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</si>
  <si>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</si>
  <si>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</si>
  <si>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</si>
  <si>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</si>
  <si>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</si>
  <si>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</si>
  <si>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</si>
  <si>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</si>
  <si>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</si>
  <si>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44805B1ConvencionalResidencialResidencialNão se aplicaNão se aplicaNão se aplica</t>
  </si>
  <si>
    <t>44835B1ConvencionalResidencialResidencialNão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</si>
  <si>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</si>
  <si>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</si>
  <si>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</si>
  <si>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</si>
  <si>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</si>
  <si>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</si>
  <si>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</si>
  <si>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</si>
  <si>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</si>
  <si>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</si>
  <si>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44805B1ConvencionalResidencialResidencial baixa renda – faixa 01Não se aplicaNão se aplicaNão se aplica</t>
  </si>
  <si>
    <t>44835B1ConvencionalResidencialResidencial baixa renda – faixa 01Não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</si>
  <si>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</si>
  <si>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</si>
  <si>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</si>
  <si>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</si>
  <si>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</si>
  <si>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</si>
  <si>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</si>
  <si>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</si>
  <si>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</si>
  <si>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</si>
  <si>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44805B1ConvencionalResidencialResidencial baixa renda – faixa 02Não se aplicaNão se aplicaNão se aplica</t>
  </si>
  <si>
    <t>44835B1ConvencionalResidencialResidencial baixa renda – faixa 02Não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</si>
  <si>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</si>
  <si>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</si>
  <si>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</si>
  <si>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</si>
  <si>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</si>
  <si>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</si>
  <si>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</si>
  <si>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</si>
  <si>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</si>
  <si>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</si>
  <si>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44805B1ConvencionalResidencialResidencial baixa renda – faixa 03Não se aplicaNão se aplicaNão se aplica</t>
  </si>
  <si>
    <t>44835B1ConvencionalResidencialResidencial baixa renda – faixa 03Não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</si>
  <si>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</si>
  <si>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</si>
  <si>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</si>
  <si>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</si>
  <si>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</si>
  <si>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</si>
  <si>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</si>
  <si>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</si>
  <si>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</si>
  <si>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</si>
  <si>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44805B1ConvencionalResidencialResidencial baixa renda – faixa 04Não se aplicaNão se aplicaNão se aplica</t>
  </si>
  <si>
    <t>44835B1ConvencionalResidencialResidencial baixa renda – faixa 04Não se aplicaNão se aplicaNão se aplica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</si>
  <si>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</si>
  <si>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</si>
  <si>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</si>
  <si>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</si>
  <si>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</si>
  <si>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</si>
  <si>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</si>
  <si>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</si>
  <si>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</si>
  <si>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</si>
  <si>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</si>
  <si>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</si>
  <si>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</si>
  <si>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</si>
  <si>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</si>
  <si>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</si>
  <si>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</si>
  <si>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</si>
  <si>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</si>
  <si>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</si>
  <si>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</si>
  <si>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</si>
  <si>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</si>
  <si>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</si>
  <si>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</si>
  <si>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</si>
  <si>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</si>
  <si>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</si>
  <si>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</si>
  <si>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</si>
  <si>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</si>
  <si>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44805B2ConvencionalRuralNão se aplicaNão se aplicaNão se aplicaNão se aplica</t>
  </si>
  <si>
    <t>44835B2ConvencionalRuralNão se aplicaNão se aplicaNão se aplicaNão se aplica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</si>
  <si>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</si>
  <si>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</si>
  <si>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</si>
  <si>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</si>
  <si>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</si>
  <si>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</si>
  <si>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</si>
  <si>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</si>
  <si>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</si>
  <si>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</si>
  <si>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44805B3BrancaNão se aplicaNão se aplicaNão se aplicaNão se aplicaFora ponta</t>
  </si>
  <si>
    <t>44835B3BrancaNão se aplicaNão se aplicaNão se aplicaNão se aplicaFora ponta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</si>
  <si>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</si>
  <si>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</si>
  <si>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</si>
  <si>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</si>
  <si>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</si>
  <si>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</si>
  <si>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</si>
  <si>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</si>
  <si>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</si>
  <si>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</si>
  <si>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44805B3BrancaNão se aplicaNão se aplicaNão se aplicaNão se aplicaIntermediário</t>
  </si>
  <si>
    <t>44835B3BrancaNão se aplicaNão se aplicaNão se aplicaNão se aplicaIntermediário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</si>
  <si>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</si>
  <si>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</si>
  <si>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</si>
  <si>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</si>
  <si>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</si>
  <si>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</si>
  <si>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</si>
  <si>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</si>
  <si>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</si>
  <si>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</si>
  <si>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44805B3BrancaNão se aplicaNão se aplicaNão se aplicaNão se aplicaPonta</t>
  </si>
  <si>
    <t>44835B3BrancaNão se aplicaNão se aplicaNão se aplicaNão se aplicaPonta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</si>
  <si>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</si>
  <si>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</si>
  <si>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</si>
  <si>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</si>
  <si>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</si>
  <si>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</si>
  <si>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</si>
  <si>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</si>
  <si>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</si>
  <si>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</si>
  <si>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44805B3ConvencionalNão se aplicaNão se aplicaNão se aplicaNão se aplicaNão se aplica</t>
  </si>
  <si>
    <t>44835B3ConvencionalNão se aplicaNão se aplicaNão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</si>
  <si>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</si>
  <si>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</si>
  <si>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</si>
  <si>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</si>
  <si>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</si>
  <si>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</si>
  <si>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</si>
  <si>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</si>
  <si>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</si>
  <si>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</si>
  <si>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44805B4ConvencionalIluminação públicaIluminação pública – B4aNão se aplicaNão se aplicaNão se aplica</t>
  </si>
  <si>
    <t>44835B4ConvencionalIluminação públicaIluminação pública – B4aNão se aplicaNão se aplicaNão se aplica</t>
  </si>
  <si>
    <t>CHAVE TE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</si>
  <si>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</si>
  <si>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</si>
  <si>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</si>
  <si>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</si>
  <si>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</si>
  <si>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</si>
  <si>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</si>
  <si>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</si>
  <si>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</si>
  <si>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</si>
  <si>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44805A4Energia horáriaNão se aplicaNão se aplicaNão se aplicaNão se aplicaFora ponta</t>
  </si>
  <si>
    <t>44835A4Energia horáriaNão se aplicaNão se aplicaNão se aplicaNão se aplicaFora 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</si>
  <si>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</si>
  <si>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</si>
  <si>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</si>
  <si>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</si>
  <si>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</si>
  <si>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</si>
  <si>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</si>
  <si>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</si>
  <si>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</si>
  <si>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</si>
  <si>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44805A4Energia horáriaNão se aplicaNão se aplicaNão se aplicaNão se aplicaPonta</t>
  </si>
  <si>
    <t>44835A4Energia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</si>
  <si>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</si>
  <si>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</si>
  <si>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</si>
  <si>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</si>
  <si>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</si>
  <si>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</si>
  <si>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</si>
  <si>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</si>
  <si>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</si>
  <si>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</si>
  <si>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</si>
  <si>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</si>
  <si>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</si>
  <si>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</si>
  <si>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44805B1Energia horáriaResidencialResidencialNão se aplicaNão se aplicaFora ponta</t>
  </si>
  <si>
    <t>44835B1Energia horáriaResidencialResidencialNão se aplicaNão se aplicaFora ponta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</si>
  <si>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</si>
  <si>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</si>
  <si>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</si>
  <si>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</si>
  <si>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</si>
  <si>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</si>
  <si>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</si>
  <si>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</si>
  <si>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</si>
  <si>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</si>
  <si>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44805B1Energia horáriaResidencialResidencialNão se aplicaNão se aplicaIntermediário</t>
  </si>
  <si>
    <t>44835B1Energia horáriaResidencialResidencialNão se aplicaNão se aplicaIntermediário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</si>
  <si>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</si>
  <si>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</si>
  <si>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</si>
  <si>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</si>
  <si>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</si>
  <si>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</si>
  <si>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</si>
  <si>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</si>
  <si>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</si>
  <si>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</si>
  <si>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44805B1Energia horáriaResidencialResidencialNão se aplicaNão se aplicaPonta</t>
  </si>
  <si>
    <t>44835B1Energia horáriaResidencialResidencialNão se aplicaNão se aplicaPonta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</si>
  <si>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</si>
  <si>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</si>
  <si>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</si>
  <si>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</si>
  <si>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</si>
  <si>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</si>
  <si>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</si>
  <si>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</si>
  <si>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</si>
  <si>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</si>
  <si>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44805B1Energia convencionalResidencialResidencialNão se aplicaNão se aplicaNão se aplica</t>
  </si>
  <si>
    <t>44835B1Energia convencionalResidencialResidencialNão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</si>
  <si>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</si>
  <si>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</si>
  <si>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</si>
  <si>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</si>
  <si>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</si>
  <si>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</si>
  <si>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</si>
  <si>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</si>
  <si>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</si>
  <si>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</si>
  <si>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44805B1Energia convencionalResidencialResidencial baixa renda – faixa 01Não se aplicaNão se aplicaNão se aplica</t>
  </si>
  <si>
    <t>44835B1Energia convencionalResidencialResidencial baixa renda – faixa 01Não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</si>
  <si>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</si>
  <si>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</si>
  <si>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</si>
  <si>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</si>
  <si>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</si>
  <si>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</si>
  <si>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</si>
  <si>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</si>
  <si>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</si>
  <si>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</si>
  <si>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44805B1Energia convencionalResidencialResidencial baixa renda – faixa 02Não se aplicaNão se aplicaNão se aplica</t>
  </si>
  <si>
    <t>44835B1Energia convencionalResidencialResidencial baixa renda – faixa 02Não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</si>
  <si>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</si>
  <si>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</si>
  <si>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</si>
  <si>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</si>
  <si>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</si>
  <si>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</si>
  <si>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</si>
  <si>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</si>
  <si>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</si>
  <si>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</si>
  <si>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44805B1Energia convencionalResidencialResidencial baixa renda – faixa 03Não se aplicaNão se aplicaNão se aplica</t>
  </si>
  <si>
    <t>44835B1Energia convencionalResidencialResidencial baixa renda – faixa 03Não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</si>
  <si>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</si>
  <si>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</si>
  <si>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</si>
  <si>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</si>
  <si>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</si>
  <si>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</si>
  <si>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</si>
  <si>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</si>
  <si>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</si>
  <si>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</si>
  <si>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44805B1Energia convencionalResidencialResidencial baixa renda – faixa 04Não se aplicaNão se aplicaNão se aplica</t>
  </si>
  <si>
    <t>44835B1Energia convencionalResidencialResidencial baixa renda – faixa 04Não se aplicaNão se aplicaNão se aplica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</si>
  <si>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</si>
  <si>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</si>
  <si>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</si>
  <si>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</si>
  <si>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</si>
  <si>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</si>
  <si>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</si>
  <si>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</si>
  <si>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</si>
  <si>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</si>
  <si>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</si>
  <si>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</si>
  <si>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</si>
  <si>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</si>
  <si>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</si>
  <si>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</si>
  <si>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</si>
  <si>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</si>
  <si>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</si>
  <si>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</si>
  <si>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</si>
  <si>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</si>
  <si>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</si>
  <si>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</si>
  <si>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</si>
  <si>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</si>
  <si>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</si>
  <si>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</si>
  <si>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</si>
  <si>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</si>
  <si>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</si>
  <si>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44805B2Energia convencionalRuralNão se aplicaNão se aplicaNão se aplicaNão se aplica</t>
  </si>
  <si>
    <t>44835B2Energia convencionalRuralNão se aplicaNão se aplicaNão se aplicaNão se aplica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</si>
  <si>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</si>
  <si>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</si>
  <si>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</si>
  <si>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</si>
  <si>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</si>
  <si>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</si>
  <si>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</si>
  <si>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</si>
  <si>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</si>
  <si>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</si>
  <si>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44805B3Energia horáriaNão se aplicaNão se aplicaNão se aplicaNão se aplicaFora ponta</t>
  </si>
  <si>
    <t>44835B3Energia horáriaNão se aplicaNão se aplicaNão se aplicaNão se aplicaFora ponta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</si>
  <si>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</si>
  <si>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</si>
  <si>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</si>
  <si>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</si>
  <si>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</si>
  <si>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</si>
  <si>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</si>
  <si>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</si>
  <si>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</si>
  <si>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</si>
  <si>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44805B3Energia horáriaNão se aplicaNão se aplicaNão se aplicaNão se aplicaIntermediário</t>
  </si>
  <si>
    <t>44835B3Energia horáriaNão se aplicaNão se aplicaNão se aplicaNão se aplicaIntermediário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</si>
  <si>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</si>
  <si>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</si>
  <si>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</si>
  <si>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</si>
  <si>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</si>
  <si>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</si>
  <si>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</si>
  <si>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</si>
  <si>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</si>
  <si>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</si>
  <si>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44805B3Energia horáriaNão se aplicaNão se aplicaNão se aplicaNão se aplicaPonta</t>
  </si>
  <si>
    <t>44835B3Energia horáriaNão se aplicaNão se aplicaNão se aplicaNão se aplicaPonta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</si>
  <si>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</si>
  <si>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</si>
  <si>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</si>
  <si>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</si>
  <si>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</si>
  <si>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</si>
  <si>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</si>
  <si>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</si>
  <si>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</si>
  <si>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</si>
  <si>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44805B3Energia convencionalNão se aplicaNão se aplicaNão se aplicaNão se aplicaNão se aplica</t>
  </si>
  <si>
    <t>44835B3Energia convencionalNão se aplicaNão se aplicaNão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</si>
  <si>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</si>
  <si>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</si>
  <si>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</si>
  <si>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</si>
  <si>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</si>
  <si>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</si>
  <si>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</si>
  <si>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</si>
  <si>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</si>
  <si>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</si>
  <si>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44805B4Energia convencionalIluminação públicaIluminação pública – B4aNão se aplicaNão se aplicaNão se aplica</t>
  </si>
  <si>
    <t>44835B4Energia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</si>
  <si>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</si>
  <si>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</si>
  <si>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</si>
  <si>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</si>
  <si>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</si>
  <si>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</si>
  <si>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</si>
  <si>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</si>
  <si>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</si>
  <si>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</si>
  <si>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</si>
  <si>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</si>
  <si>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</si>
  <si>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</si>
  <si>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</si>
  <si>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</si>
  <si>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</si>
  <si>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</si>
  <si>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</si>
  <si>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</si>
  <si>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</si>
  <si>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</si>
  <si>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</si>
  <si>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</si>
  <si>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</si>
  <si>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</si>
  <si>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</si>
  <si>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</si>
  <si>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</si>
  <si>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</si>
  <si>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</si>
  <si>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</si>
  <si>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</si>
  <si>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</si>
  <si>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</si>
  <si>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</si>
  <si>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</si>
  <si>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</si>
  <si>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</si>
  <si>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</si>
  <si>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</si>
  <si>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</si>
  <si>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</si>
  <si>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</si>
  <si>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</si>
  <si>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</si>
  <si>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</si>
  <si>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</si>
  <si>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</si>
  <si>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</si>
  <si>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</si>
  <si>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</si>
  <si>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</si>
  <si>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</si>
  <si>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</si>
  <si>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</si>
  <si>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</si>
  <si>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</si>
  <si>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</si>
  <si>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</si>
  <si>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</si>
  <si>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</si>
  <si>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</si>
  <si>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</si>
  <si>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</si>
  <si>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</si>
  <si>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</si>
  <si>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</si>
  <si>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</si>
  <si>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</si>
  <si>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</si>
  <si>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</si>
  <si>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</si>
  <si>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</si>
  <si>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</si>
  <si>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</si>
  <si>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</si>
  <si>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</si>
  <si>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</si>
  <si>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</si>
  <si>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</si>
  <si>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</si>
  <si>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</si>
  <si>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</si>
  <si>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</si>
  <si>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</si>
  <si>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</si>
  <si>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</si>
  <si>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</si>
  <si>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</si>
  <si>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</si>
  <si>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</si>
  <si>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</si>
  <si>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</si>
  <si>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</si>
  <si>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</si>
  <si>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</si>
  <si>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</si>
  <si>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</si>
  <si>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</si>
  <si>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</si>
  <si>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2.968, DE 26 DE OUTUBRO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</si>
  <si>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</si>
  <si>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</si>
  <si>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</si>
  <si>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</si>
  <si>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</si>
  <si>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</si>
  <si>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</si>
  <si>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</si>
  <si>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</si>
  <si>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</si>
  <si>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</si>
  <si>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</si>
  <si>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</si>
  <si>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</si>
  <si>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</si>
  <si>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</si>
  <si>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</si>
  <si>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</si>
  <si>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</si>
  <si>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</si>
  <si>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</si>
  <si>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</si>
  <si>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</si>
  <si>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</si>
  <si>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</si>
  <si>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</si>
  <si>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</si>
  <si>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</si>
  <si>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</si>
  <si>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</si>
  <si>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</si>
  <si>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</si>
  <si>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</si>
  <si>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</si>
  <si>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</si>
  <si>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</si>
  <si>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</si>
  <si>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</si>
  <si>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</si>
  <si>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</si>
  <si>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</si>
  <si>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</si>
  <si>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</si>
  <si>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</si>
  <si>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</si>
  <si>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</si>
  <si>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</si>
  <si>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</si>
  <si>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</si>
  <si>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</si>
  <si>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</si>
  <si>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</si>
  <si>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</si>
  <si>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</si>
  <si>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</si>
  <si>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</si>
  <si>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</si>
  <si>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</si>
  <si>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</si>
  <si>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</si>
  <si>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</si>
  <si>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</si>
  <si>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</si>
  <si>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</si>
  <si>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</si>
  <si>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</si>
  <si>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</si>
  <si>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</si>
  <si>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</si>
  <si>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</si>
  <si>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</si>
  <si>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</si>
  <si>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</si>
  <si>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</si>
  <si>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</si>
  <si>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</si>
  <si>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</si>
  <si>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</si>
  <si>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</si>
  <si>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</si>
  <si>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</si>
  <si>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</si>
  <si>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</si>
  <si>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</si>
  <si>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</si>
  <si>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</si>
  <si>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</si>
  <si>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</si>
  <si>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</si>
  <si>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</si>
  <si>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</si>
  <si>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RURAL</t>
  </si>
  <si>
    <t>SUBSIDIO IRRIGANTE/AQUICULTOR</t>
  </si>
  <si>
    <t>SUBSIDIO BAIXA RENDA</t>
  </si>
  <si>
    <t>R$ (TV)</t>
  </si>
  <si>
    <t>R$ (TN)</t>
  </si>
  <si>
    <t>SUBSIDIO CARGA FONTE INCENTIVADA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</si>
  <si>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</si>
  <si>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</si>
  <si>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</si>
  <si>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</si>
  <si>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</si>
  <si>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</si>
  <si>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</si>
  <si>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</si>
  <si>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</si>
  <si>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</si>
  <si>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</si>
  <si>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</si>
  <si>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Planilha CUSTO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</si>
  <si>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</si>
  <si>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</si>
  <si>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</si>
  <si>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 1Serviço públicoÁgua, esgoto e saneamentoPlanilha CUSTOB3</t>
  </si>
  <si>
    <t xml:space="preserve">Branca </t>
  </si>
  <si>
    <t>Convencional1RuralCooperativa de eletrificação ruralPlanilha CUSTOB2</t>
  </si>
  <si>
    <t>Branca1RuralCooperativa de eletrificação ruralPlanilha CUSTOB2</t>
  </si>
  <si>
    <t>Azul1RuralNão se aplicaPlanilha CustoA4</t>
  </si>
  <si>
    <t>Planilha Custo</t>
  </si>
  <si>
    <t>Verde1RuralNão se aplicaPlanilha CustoA4</t>
  </si>
  <si>
    <t>Convencional 1RuralNão se aplicaPlanilha CustoA4</t>
  </si>
  <si>
    <t xml:space="preserve">Convencional </t>
  </si>
  <si>
    <t>Convencional1RuralNão se aplicaRuralB2</t>
  </si>
  <si>
    <t>Branca 1RuralNão se aplicaRuralB2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</si>
  <si>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</si>
  <si>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</si>
  <si>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</si>
  <si>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</si>
  <si>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</si>
  <si>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</si>
  <si>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</si>
  <si>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</si>
  <si>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</si>
  <si>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</si>
  <si>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</si>
  <si>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</si>
  <si>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</si>
  <si>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</si>
  <si>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</si>
  <si>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</si>
  <si>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</si>
  <si>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</si>
  <si>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</si>
  <si>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</si>
  <si>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</si>
  <si>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</si>
  <si>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</si>
  <si>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</si>
  <si>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</si>
  <si>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</si>
  <si>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</si>
  <si>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</si>
  <si>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</si>
  <si>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</si>
  <si>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</si>
  <si>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</si>
  <si>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</si>
  <si>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</si>
  <si>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</si>
  <si>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</si>
  <si>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</si>
  <si>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</si>
  <si>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</si>
  <si>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</si>
  <si>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</si>
  <si>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</si>
  <si>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</si>
  <si>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</si>
  <si>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</si>
  <si>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</si>
  <si>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</si>
  <si>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</si>
  <si>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</si>
  <si>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</si>
  <si>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</si>
  <si>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</si>
  <si>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</si>
  <si>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</si>
  <si>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</si>
  <si>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</si>
  <si>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</si>
  <si>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</si>
  <si>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</si>
  <si>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</si>
  <si>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</si>
  <si>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</si>
  <si>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</si>
  <si>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</si>
  <si>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</si>
  <si>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</si>
  <si>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</si>
  <si>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</si>
  <si>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</si>
  <si>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</si>
  <si>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</si>
  <si>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</si>
  <si>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</si>
  <si>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</si>
  <si>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</si>
  <si>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</si>
  <si>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</si>
  <si>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</si>
  <si>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</si>
  <si>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</si>
  <si>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</si>
  <si>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</si>
  <si>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</si>
  <si>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</si>
  <si>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</si>
  <si>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</si>
  <si>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</si>
  <si>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</si>
  <si>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</si>
  <si>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</si>
  <si>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</si>
  <si>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</si>
  <si>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</si>
  <si>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</si>
  <si>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</si>
  <si>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</si>
  <si>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</si>
  <si>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</si>
  <si>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</si>
  <si>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</si>
  <si>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</si>
  <si>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</si>
  <si>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</si>
  <si>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</si>
  <si>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</si>
  <si>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</si>
  <si>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</si>
  <si>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</si>
  <si>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</si>
  <si>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</si>
  <si>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</si>
  <si>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</si>
  <si>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</si>
  <si>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</si>
  <si>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</si>
  <si>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</si>
  <si>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</si>
  <si>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</si>
  <si>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</si>
  <si>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</si>
  <si>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</si>
  <si>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</si>
  <si>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</si>
  <si>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</si>
  <si>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</si>
  <si>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</si>
  <si>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</si>
  <si>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</si>
  <si>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</si>
  <si>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</si>
  <si>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</si>
  <si>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</si>
  <si>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</si>
  <si>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</si>
  <si>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</si>
  <si>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</si>
  <si>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</si>
  <si>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</si>
  <si>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</si>
  <si>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</si>
  <si>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</si>
  <si>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</si>
  <si>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</si>
  <si>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</si>
  <si>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</si>
  <si>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</si>
  <si>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</si>
  <si>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</si>
  <si>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</si>
  <si>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</si>
  <si>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</si>
  <si>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</si>
  <si>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</si>
  <si>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</si>
  <si>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</si>
  <si>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</si>
  <si>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</si>
  <si>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</si>
  <si>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</si>
  <si>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</si>
  <si>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</si>
  <si>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</si>
  <si>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</si>
  <si>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</si>
  <si>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</si>
  <si>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</si>
  <si>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</si>
  <si>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</si>
  <si>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</si>
  <si>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</si>
  <si>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</si>
  <si>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</si>
  <si>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</si>
  <si>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</si>
  <si>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</si>
  <si>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</si>
  <si>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</si>
  <si>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</si>
  <si>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</si>
  <si>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</si>
  <si>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</si>
  <si>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</si>
  <si>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</si>
  <si>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</si>
  <si>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</si>
  <si>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</si>
  <si>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</si>
  <si>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</si>
  <si>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</si>
  <si>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</si>
  <si>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</si>
  <si>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</si>
  <si>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</si>
  <si>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</si>
  <si>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</si>
  <si>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</si>
  <si>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</si>
  <si>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</si>
  <si>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</si>
  <si>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</si>
  <si>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</si>
  <si>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</si>
  <si>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</si>
  <si>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</si>
  <si>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</si>
  <si>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</si>
  <si>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</si>
  <si>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</si>
  <si>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</si>
  <si>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</si>
  <si>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</si>
  <si>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</si>
  <si>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</si>
  <si>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</si>
  <si>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</si>
  <si>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</si>
  <si>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</si>
  <si>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</si>
  <si>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</si>
  <si>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</si>
  <si>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</si>
  <si>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</si>
  <si>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</si>
  <si>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</si>
  <si>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</si>
  <si>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</si>
  <si>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</si>
  <si>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</si>
  <si>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</si>
  <si>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</si>
  <si>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</si>
  <si>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</si>
  <si>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</si>
  <si>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</si>
  <si>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</si>
  <si>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</si>
  <si>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</si>
  <si>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</si>
  <si>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</si>
  <si>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</si>
  <si>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</si>
  <si>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</si>
  <si>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</si>
  <si>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</si>
  <si>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</si>
  <si>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</si>
  <si>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</si>
  <si>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</si>
  <si>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</si>
  <si>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</si>
  <si>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</si>
  <si>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</si>
  <si>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</si>
  <si>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</si>
  <si>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</si>
  <si>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</si>
  <si>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</si>
  <si>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</si>
  <si>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</si>
  <si>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</si>
  <si>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</si>
  <si>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</si>
  <si>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</si>
  <si>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</si>
  <si>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</si>
  <si>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</si>
  <si>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</si>
  <si>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</si>
  <si>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</si>
  <si>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</si>
  <si>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</si>
  <si>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</si>
  <si>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</si>
  <si>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</si>
  <si>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</si>
  <si>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</si>
  <si>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</si>
  <si>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</si>
  <si>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</si>
  <si>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</si>
  <si>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</si>
  <si>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</si>
  <si>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</si>
  <si>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</si>
  <si>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</si>
  <si>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</si>
  <si>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</si>
  <si>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</si>
  <si>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</si>
  <si>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</si>
  <si>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</si>
  <si>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</si>
  <si>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</si>
  <si>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</si>
  <si>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</si>
  <si>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</si>
  <si>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</si>
  <si>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</si>
  <si>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</si>
  <si>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</si>
  <si>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</si>
  <si>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</si>
  <si>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</si>
  <si>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</si>
  <si>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</si>
  <si>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</si>
  <si>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</si>
  <si>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</si>
  <si>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</si>
  <si>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</si>
  <si>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</si>
  <si>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</si>
  <si>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</si>
  <si>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</si>
  <si>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</si>
  <si>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</si>
  <si>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</si>
  <si>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</si>
  <si>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</si>
  <si>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</si>
  <si>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</si>
  <si>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</si>
  <si>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</si>
  <si>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</si>
  <si>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</si>
  <si>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</si>
  <si>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</si>
  <si>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</si>
  <si>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</si>
  <si>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</si>
  <si>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</si>
  <si>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</si>
  <si>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</si>
  <si>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</si>
  <si>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</si>
  <si>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</si>
  <si>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</si>
  <si>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</si>
  <si>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</si>
  <si>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</si>
  <si>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</si>
  <si>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</si>
  <si>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</si>
  <si>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</si>
  <si>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</si>
  <si>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</si>
  <si>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</si>
  <si>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</si>
  <si>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</si>
  <si>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</si>
  <si>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</si>
  <si>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</si>
  <si>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</si>
  <si>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</si>
  <si>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</si>
  <si>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</si>
  <si>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</si>
  <si>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</si>
  <si>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</si>
  <si>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</si>
  <si>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</si>
  <si>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</si>
  <si>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</si>
  <si>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</si>
  <si>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</si>
  <si>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</si>
  <si>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</si>
  <si>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</si>
  <si>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</si>
  <si>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</si>
  <si>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</si>
  <si>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</si>
  <si>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</si>
  <si>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</si>
  <si>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</si>
  <si>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</si>
  <si>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</si>
  <si>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</si>
  <si>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</si>
  <si>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</si>
  <si>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</si>
  <si>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</si>
  <si>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</si>
  <si>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</si>
  <si>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</si>
  <si>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</si>
  <si>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</si>
  <si>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</si>
  <si>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</si>
  <si>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</si>
  <si>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</si>
  <si>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</si>
  <si>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</si>
  <si>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</si>
  <si>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</si>
  <si>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</si>
  <si>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</si>
  <si>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(SUB)GRUPO</t>
  </si>
  <si>
    <t>TUSD (R$)</t>
  </si>
  <si>
    <t>TUSD (MWh)</t>
  </si>
  <si>
    <t>PNT (R$/MWh)</t>
  </si>
  <si>
    <t>VAR. AX01</t>
  </si>
  <si>
    <t>VAR. AX02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</si>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</sst>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/>
    <xf numFmtId="40" fontId="3" fillId="0" borderId="9" xfId="0" applyNumberFormat="1" applyFont="1" applyBorder="1"/>
    <xf numFmtId="0" fontId="3" fillId="0" borderId="9" xfId="0" applyFont="1" applyBorder="1" applyAlignment="1">
      <alignment vertical="center"/>
    </xf>
    <xf numFmtId="164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 indent="1"/>
    </xf>
    <xf numFmtId="40" fontId="3" fillId="0" borderId="9" xfId="0" quotePrefix="1" applyNumberFormat="1" applyFont="1" applyBorder="1" applyAlignment="1">
      <alignment horizontal="left" vertical="center" indent="1"/>
    </xf>
    <xf numFmtId="40" fontId="3" fillId="0" borderId="10" xfId="0" applyNumberFormat="1" applyFont="1" applyBorder="1" applyAlignment="1">
      <alignment horizontal="left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1" xfId="0" applyNumberFormat="1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left" vertical="center"/>
    </xf>
    <xf numFmtId="40" fontId="3" fillId="0" borderId="15" xfId="0" applyNumberFormat="1" applyFont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167" fontId="3" fillId="0" borderId="15" xfId="0" applyNumberFormat="1" applyFont="1" applyBorder="1" applyAlignment="1">
      <alignment horizontal="center"/>
    </xf>
    <xf numFmtId="40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0" fontId="4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2" xfId="0" applyBorder="1"/>
    <xf numFmtId="0" fontId="0" fillId="0" borderId="15" xfId="0" applyBorder="1"/>
    <xf numFmtId="0" fontId="2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40" fontId="1" fillId="0" borderId="15" xfId="0" applyNumberFormat="1" applyFont="1" applyBorder="1" applyAlignment="1">
      <alignment horizontal="center" vertical="center"/>
    </xf>
    <xf numFmtId="165" fontId="1" fillId="0" borderId="15" xfId="0" applyNumberFormat="1" applyFont="1" applyBorder="1" applyAlignment="1">
      <alignment horizontal="center" vertical="center"/>
    </xf>
    <xf numFmtId="0" fontId="3" fillId="0" borderId="15" xfId="0" applyFont="1" applyBorder="1"/>
    <xf numFmtId="0" fontId="4" fillId="0" borderId="15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5" xfId="0" applyNumberFormat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/>
    <xf numFmtId="40" fontId="2" fillId="0" borderId="15" xfId="0" applyNumberFormat="1" applyFont="1" applyBorder="1" applyAlignment="1">
      <alignment horizontal="center" vertical="center"/>
    </xf>
    <xf numFmtId="167" fontId="3" fillId="0" borderId="0" xfId="0" applyNumberFormat="1" applyFont="1"/>
    <xf numFmtId="10" fontId="3" fillId="0" borderId="0" xfId="0" applyNumberFormat="1" applyFont="1"/>
    <xf numFmtId="2" fontId="8" fillId="3" borderId="16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7" xfId="0" applyFont="1" applyFill="1" applyBorder="1" applyAlignment="1">
      <alignment horizontal="center" vertical="center"/>
    </xf>
    <xf numFmtId="40" fontId="8" fillId="3" borderId="16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" fontId="11" fillId="6" borderId="19" xfId="0" applyNumberFormat="1" applyFont="1" applyFill="1" applyBorder="1"/>
    <xf numFmtId="4" fontId="11" fillId="6" borderId="14" xfId="0" applyNumberFormat="1" applyFont="1" applyFill="1" applyBorder="1"/>
    <xf numFmtId="4" fontId="11" fillId="6" borderId="20" xfId="0" applyNumberFormat="1" applyFont="1" applyFill="1" applyBorder="1"/>
    <xf numFmtId="4" fontId="11" fillId="6" borderId="6" xfId="0" applyNumberFormat="1" applyFont="1" applyFill="1" applyBorder="1"/>
    <xf numFmtId="4" fontId="11" fillId="6" borderId="15" xfId="0" applyNumberFormat="1" applyFont="1" applyFill="1" applyBorder="1"/>
    <xf numFmtId="4" fontId="11" fillId="6" borderId="5" xfId="0" applyNumberFormat="1" applyFont="1" applyFill="1" applyBorder="1"/>
    <xf numFmtId="4" fontId="11" fillId="6" borderId="21" xfId="0" applyNumberFormat="1" applyFont="1" applyFill="1" applyBorder="1"/>
    <xf numFmtId="4" fontId="11" fillId="6" borderId="12" xfId="0" applyNumberFormat="1" applyFont="1" applyFill="1" applyBorder="1"/>
    <xf numFmtId="4" fontId="11" fillId="6" borderId="18" xfId="0" applyNumberFormat="1" applyFont="1" applyFill="1" applyBorder="1"/>
    <xf numFmtId="4" fontId="11" fillId="6" borderId="14" xfId="0" applyNumberFormat="1" applyFont="1" applyFill="1" applyBorder="1" applyAlignment="1">
      <alignment horizontal="center"/>
    </xf>
    <xf numFmtId="4" fontId="11" fillId="6" borderId="20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3" fillId="0" borderId="15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10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4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6" fillId="0" borderId="14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1" fillId="6" borderId="15" xfId="0" applyNumberFormat="1" applyFont="1" applyFill="1" applyBorder="1" applyAlignment="1">
      <alignment horizontal="center"/>
    </xf>
    <xf numFmtId="4" fontId="11" fillId="6" borderId="14" xfId="0" applyNumberFormat="1" applyFont="1" applyFill="1" applyBorder="1" applyAlignment="1">
      <alignment horizontal="center"/>
    </xf>
    <xf numFmtId="4" fontId="11" fillId="6" borderId="20" xfId="0" applyNumberFormat="1" applyFont="1" applyFill="1" applyBorder="1" applyAlignment="1">
      <alignment horizontal="center"/>
    </xf>
  </cellXfs>
  <cellStyles count="1">
    <cellStyle name="Normal" xfId="0" builtinId="0"/>
  </cellStyles>
  <dxfs count="1136"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-3.0666199490173979E-2</c:v>
                </c:pt>
                <c:pt idx="1">
                  <c:v>-3.92031231148316E-3</c:v>
                </c:pt>
                <c:pt idx="2">
                  <c:v>1.697943503918604E-3</c:v>
                </c:pt>
                <c:pt idx="3">
                  <c:v>0</c:v>
                </c:pt>
                <c:pt idx="4">
                  <c:v>0</c:v>
                </c:pt>
                <c:pt idx="5">
                  <c:v>8.304887955421808E-2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-1.0250641685386632E-2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0.19863171614104116</c:v>
                </c:pt>
                <c:pt idx="16">
                  <c:v>0</c:v>
                </c:pt>
                <c:pt idx="17">
                  <c:v>0</c:v>
                </c:pt>
                <c:pt idx="18">
                  <c:v>2.1028901960855731E-2</c:v>
                </c:pt>
                <c:pt idx="19">
                  <c:v>0</c:v>
                </c:pt>
                <c:pt idx="20">
                  <c:v>1.9157280711977497E-2</c:v>
                </c:pt>
                <c:pt idx="21">
                  <c:v>5.5239155382693734E-3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4-4E72-B0B6-13C4746C9984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-3.6620922710898729E-2</c:v>
                </c:pt>
                <c:pt idx="1">
                  <c:v>-3.9614937192647926E-3</c:v>
                </c:pt>
                <c:pt idx="2">
                  <c:v>1.1329032890882329E-3</c:v>
                </c:pt>
                <c:pt idx="3">
                  <c:v>0</c:v>
                </c:pt>
                <c:pt idx="4">
                  <c:v>0</c:v>
                </c:pt>
                <c:pt idx="5">
                  <c:v>9.0206329493751819E-2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-9.2723936615939362E-3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0.20064403762382632</c:v>
                </c:pt>
                <c:pt idx="16">
                  <c:v>0</c:v>
                </c:pt>
                <c:pt idx="17">
                  <c:v>0</c:v>
                </c:pt>
                <c:pt idx="18">
                  <c:v>1.3363468599580606E-2</c:v>
                </c:pt>
                <c:pt idx="19">
                  <c:v>0</c:v>
                </c:pt>
                <c:pt idx="20">
                  <c:v>1.9021203355437853E-2</c:v>
                </c:pt>
                <c:pt idx="21">
                  <c:v>5.5632794873323402E-3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4-4E72-B0B6-13C4746C9984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-3.6620922710898729E-2</c:v>
                </c:pt>
                <c:pt idx="1">
                  <c:v>-3.9614937192647926E-3</c:v>
                </c:pt>
                <c:pt idx="2">
                  <c:v>1.1329032890882329E-3</c:v>
                </c:pt>
                <c:pt idx="3">
                  <c:v>0</c:v>
                </c:pt>
                <c:pt idx="4">
                  <c:v>0</c:v>
                </c:pt>
                <c:pt idx="5">
                  <c:v>9.0206329493751819E-2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-9.2723936615939362E-3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0.20064403762382632</c:v>
                </c:pt>
                <c:pt idx="16">
                  <c:v>0</c:v>
                </c:pt>
                <c:pt idx="17">
                  <c:v>0</c:v>
                </c:pt>
                <c:pt idx="18">
                  <c:v>1.3363468599580606E-2</c:v>
                </c:pt>
                <c:pt idx="19">
                  <c:v>0</c:v>
                </c:pt>
                <c:pt idx="20">
                  <c:v>1.9021203355437853E-2</c:v>
                </c:pt>
                <c:pt idx="21">
                  <c:v>5.5632794873323402E-3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4-4E72-B0B6-13C4746C9984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E354-4E72-B0B6-13C4746C9984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E354-4E72-B0B6-13C4746C9984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E354-4E72-B0B6-13C4746C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030832"/>
        <c:axId val="984037392"/>
      </c:radarChart>
      <c:catAx>
        <c:axId val="9840308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84037392"/>
        <c:crosses val="autoZero"/>
        <c:auto val="1"/>
        <c:lblAlgn val="ctr"/>
        <c:lblOffset val="100"/>
        <c:noMultiLvlLbl val="0"/>
      </c:catAx>
      <c:valAx>
        <c:axId val="98403739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8403083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3.247025452901149E-3</c:v>
                </c:pt>
                <c:pt idx="1">
                  <c:v>0</c:v>
                </c:pt>
                <c:pt idx="2">
                  <c:v>0</c:v>
                </c:pt>
                <c:pt idx="3">
                  <c:v>3.4066967521053475E-3</c:v>
                </c:pt>
                <c:pt idx="4">
                  <c:v>0</c:v>
                </c:pt>
                <c:pt idx="5">
                  <c:v>0.25477007875908408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3-48E9-ADDE-DAC492A6A0B2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3.2337847374089785E-3</c:v>
                </c:pt>
                <c:pt idx="1">
                  <c:v>0</c:v>
                </c:pt>
                <c:pt idx="2">
                  <c:v>0</c:v>
                </c:pt>
                <c:pt idx="3">
                  <c:v>3.4219210928304036E-3</c:v>
                </c:pt>
                <c:pt idx="4">
                  <c:v>0</c:v>
                </c:pt>
                <c:pt idx="5">
                  <c:v>0.25107110689402007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3-48E9-ADDE-DAC492A6A0B2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3.2337847374089785E-3</c:v>
                </c:pt>
                <c:pt idx="1">
                  <c:v>0</c:v>
                </c:pt>
                <c:pt idx="2">
                  <c:v>0</c:v>
                </c:pt>
                <c:pt idx="3">
                  <c:v>3.4219210928304036E-3</c:v>
                </c:pt>
                <c:pt idx="4">
                  <c:v>0</c:v>
                </c:pt>
                <c:pt idx="5">
                  <c:v>0.25107110689402007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63-48E9-ADDE-DAC492A6A0B2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A263-48E9-ADDE-DAC492A6A0B2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A263-48E9-ADDE-DAC492A6A0B2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A263-48E9-ADDE-DAC492A6A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84568"/>
        <c:axId val="987577024"/>
      </c:radarChart>
      <c:catAx>
        <c:axId val="9875845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87577024"/>
        <c:crosses val="autoZero"/>
        <c:auto val="1"/>
        <c:lblAlgn val="ctr"/>
        <c:lblOffset val="100"/>
        <c:noMultiLvlLbl val="0"/>
      </c:catAx>
      <c:valAx>
        <c:axId val="98757702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8758456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76201</xdr:colOff>
      <xdr:row>16</xdr:row>
      <xdr:rowOff>0</xdr:rowOff>
    </xdr:from>
    <xdr:to>
      <xdr:col>14</xdr:col>
      <xdr:colOff>409576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2E961D-EC79-706A-C830-424039AE7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200026</xdr:colOff>
      <xdr:row>16</xdr:row>
      <xdr:rowOff>0</xdr:rowOff>
    </xdr:from>
    <xdr:to>
      <xdr:col>13</xdr:col>
      <xdr:colOff>485776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F34AA0-7031-35F4-4ADD-E12DAD1F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60.82495451389" createdVersion="5" refreshedVersion="8" minRefreshableVersion="3" recordCount="1155" xr:uid="{9FE8DC3F-393A-480D-B9B9-0917735F305B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Branca"/>
        <s v="Convencional"/>
      </sharedItems>
    </cacheField>
    <cacheField name="Classe" numFmtId="0">
      <sharedItems count="8">
        <s v="Comercial"/>
        <s v="Consumo próprio"/>
        <s v="Industrial"/>
        <s v="Poder público"/>
        <s v="Serviço público"/>
        <s v="Rural"/>
        <s v="Residencial"/>
        <s v="Iluminação pública"/>
      </sharedItems>
    </cacheField>
    <cacheField name="Subclasse" numFmtId="0">
      <sharedItems count="9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-3682" maxValue="52100"/>
    </cacheField>
    <cacheField name="Daj" numFmtId="40">
      <sharedItems containsSemiMixedTypes="0" containsString="0" containsNumber="1" minValue="-3682" maxValue="52100"/>
    </cacheField>
    <cacheField name="TUSD_E" numFmtId="40">
      <sharedItems containsSemiMixedTypes="0" containsString="0" containsNumber="1" minValue="-1002.128" maxValue="49041.118999999999"/>
    </cacheField>
    <cacheField name="TUSD_Eaj" numFmtId="40">
      <sharedItems containsSemiMixedTypes="0" containsString="0" containsNumber="1" minValue="-1002.128" maxValue="49041.118999999999"/>
    </cacheField>
    <cacheField name="TE_E" numFmtId="40">
      <sharedItems containsSemiMixedTypes="0" containsString="0" containsNumber="1" minValue="-1002.128" maxValue="49041.118999999999"/>
    </cacheField>
    <cacheField name="TE_Eaj" numFmtId="40">
      <sharedItems containsSemiMixedTypes="0" containsString="0" containsNumber="1" minValue="-1002.128" maxValue="49041.118999999999"/>
    </cacheField>
    <cacheField name="UC" numFmtId="40">
      <sharedItems containsSemiMixedTypes="0" containsString="0" containsNumber="1" containsInteger="1" minValue="-272" maxValue="127280"/>
    </cacheField>
    <cacheField name="OPÇÃO" numFmtId="0">
      <sharedItems count="1"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34"/>
    </cacheField>
    <cacheField name="CóD. AUX. TUSD R$/MWh" numFmtId="40">
      <sharedItems containsSemiMixedTypes="0" containsString="0" containsNumber="1" containsInteger="1" minValue="0" maxValue="70"/>
    </cacheField>
    <cacheField name="CóD. AUX. TE R$/MWh" numFmtId="40">
      <sharedItems containsSemiMixedTypes="0" containsString="0" containsNumber="1" containsInteger="1" minValue="0" maxValue="87"/>
    </cacheField>
    <cacheField name="TUSD (R$/kW)" numFmtId="40">
      <sharedItems containsSemiMixedTypes="0" containsString="0" containsNumber="1" minValue="0" maxValue="44"/>
    </cacheField>
    <cacheField name="TUSD (R$/MWh)" numFmtId="40">
      <sharedItems containsSemiMixedTypes="0" containsString="0" containsNumber="1" minValue="0" maxValue="1155.51"/>
    </cacheField>
    <cacheField name="TE (R$/MWh)" numFmtId="40">
      <sharedItems containsSemiMixedTypes="0" containsString="0" containsNumber="1" minValue="0" maxValue="433.77"/>
    </cacheField>
    <cacheField name="TUSD (R$/kW) NOVA" numFmtId="40">
      <sharedItems containsString="0" containsBlank="1" containsNumber="1" minValue="19.024476785546895" maxValue="57.091253741473494"/>
    </cacheField>
    <cacheField name="TUSD (R$/MWh) NOVA" numFmtId="40">
      <sharedItems containsString="0" containsBlank="1" containsNumber="1" minValue="67.376989053363516" maxValue="1456.3363071141353"/>
    </cacheField>
    <cacheField name="TE (R$/MWh) NOVA" numFmtId="40">
      <sharedItems containsString="0" containsBlank="1" containsNumber="1" minValue="117.66142824392278" maxValue="542.84414704984056"/>
    </cacheField>
    <cacheField name="RA0 ou RV - TUSD (kW)" numFmtId="40">
      <sharedItems containsSemiMixedTypes="0" containsString="0" containsNumber="1" minValue="-53904.480000000003" maxValue="762744"/>
    </cacheField>
    <cacheField name="RA0 ou RV - TUSD (MWh)" numFmtId="40">
      <sharedItems containsSemiMixedTypes="0" containsString="0" containsNumber="1" minValue="-269913.15551999997" maxValue="15265519.522319999"/>
    </cacheField>
    <cacheField name="RA0 ou RV - TE (MWh)" numFmtId="40">
      <sharedItems containsSemiMixedTypes="0" containsString="0" containsNumber="1" minValue="-269462.19792000001" maxValue="13186666.487909999"/>
    </cacheField>
    <cacheField name="RA1 ou RRD - TUSD (kW)" numFmtId="40">
      <sharedItems containsSemiMixedTypes="0" containsString="0" containsNumber="1" minValue="-70048.123524383671" maxValue="991175.24052699318"/>
    </cacheField>
    <cacheField name="RA1 ou RRD - TUSD (MWh)" numFmtId="40">
      <sharedItems containsSemiMixedTypes="0" containsString="0" containsNumber="1" minValue="-289608.59558480175" maxValue="17071439.863024931"/>
    </cacheField>
    <cacheField name="RA1 ou RRD - TE (MWh)" numFmtId="40">
      <sharedItems containsSemiMixedTypes="0" containsString="0" containsNumber="1" minValue="-336890.8907520739" maxValue="16486423.15491479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60.825133449071" createdVersion="5" refreshedVersion="8" minRefreshableVersion="3" recordCount="387" xr:uid="{4CB95239-C432-4C1E-800D-03ED43CEBBC7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3">
        <s v="Serviço público"/>
        <s v="Rural"/>
        <s v="Residencial"/>
      </sharedItems>
    </cacheField>
    <cacheField name="Subclasse" numFmtId="0">
      <sharedItems count="8">
        <s v="Água, esgoto e saneamento"/>
        <s v="Agropecuária rural"/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-420" maxValue="4028"/>
    </cacheField>
    <cacheField name="Daj" numFmtId="40">
      <sharedItems containsSemiMixedTypes="0" containsString="0" containsNumber="1" minValue="-357" maxValue="3423.7999999999997"/>
    </cacheField>
    <cacheField name="TUSD_E" numFmtId="40">
      <sharedItems containsSemiMixedTypes="0" containsString="0" containsNumber="1" minValue="-1002.128" maxValue="49041.118999999999"/>
    </cacheField>
    <cacheField name="TUSD_Eaj" numFmtId="40">
      <sharedItems containsSemiMixedTypes="0" containsString="0" containsNumber="1" minValue="-1002.128" maxValue="49041.118999999999"/>
    </cacheField>
    <cacheField name="TE_E" numFmtId="40">
      <sharedItems containsSemiMixedTypes="0" containsString="0" containsNumber="1" minValue="-1002.128" maxValue="49041.118999999999"/>
    </cacheField>
    <cacheField name="TE_Eaj" numFmtId="40">
      <sharedItems containsSemiMixedTypes="0" containsString="0" containsNumber="1" minValue="-1002.128" maxValue="49041.118999999999"/>
    </cacheField>
    <cacheField name="UC" numFmtId="40">
      <sharedItems containsSemiMixedTypes="0" containsString="0" containsNumber="1" containsInteger="1" minValue="-141" maxValue="124757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34"/>
    </cacheField>
    <cacheField name="CóD. AUX. TUSD R$/MWh" numFmtId="0">
      <sharedItems containsSemiMixedTypes="0" containsString="0" containsNumber="1" containsInteger="1" minValue="0" maxValue="70"/>
    </cacheField>
    <cacheField name="CóD. AUX. TE R$/MWh" numFmtId="0">
      <sharedItems containsSemiMixedTypes="0" containsString="0" containsNumber="1" containsInteger="1" minValue="0" maxValue="87"/>
    </cacheField>
    <cacheField name="TUSD (R$/kW)" numFmtId="40">
      <sharedItems containsSemiMixedTypes="0" containsString="0" containsNumber="1" minValue="0" maxValue="44"/>
    </cacheField>
    <cacheField name="TUSD (R$/MWh)" numFmtId="40">
      <sharedItems containsSemiMixedTypes="0" containsString="0" containsNumber="1" minValue="0" maxValue="1155.51"/>
    </cacheField>
    <cacheField name="TE (R$/MWh)" numFmtId="40">
      <sharedItems containsSemiMixedTypes="0" containsString="0" containsNumber="1" minValue="0" maxValue="433.77"/>
    </cacheField>
    <cacheField name="TUSD (R$/kW) NOVA" numFmtId="40">
      <sharedItems containsString="0" containsBlank="1" containsNumber="1" minValue="19.024476785546895" maxValue="57.091253741473494"/>
    </cacheField>
    <cacheField name="TUSD (R$/MWh) NOVA" numFmtId="40">
      <sharedItems containsString="0" containsBlank="1" containsNumber="1" minValue="67.376989053363516" maxValue="1456.3363071141353"/>
    </cacheField>
    <cacheField name="TE (R$/MWh) NOVA" numFmtId="40">
      <sharedItems containsString="0" containsBlank="1" containsNumber="1" minValue="117.66142824392278" maxValue="542.84414704984056"/>
    </cacheField>
    <cacheField name="SUBSIDIO kW - TV" numFmtId="40">
      <sharedItems containsSemiMixedTypes="0" containsString="0" containsNumber="1" minValue="-922.32" maxValue="14249.400000000005"/>
    </cacheField>
    <cacheField name="SUBSIDIO MWh - TV" numFmtId="40">
      <sharedItems containsSemiMixedTypes="0" containsString="0" containsNumber="1" minValue="-9961.6574959999998" maxValue="399968.06615999999"/>
    </cacheField>
    <cacheField name="SUBSIDIO kW - TN" numFmtId="40">
      <sharedItems containsSemiMixedTypes="0" containsString="0" containsNumber="1" minValue="-1198.5420374894543" maxValue="18489.002524176198"/>
    </cacheField>
    <cacheField name="SUBSIDIO MWh - TN" numFmtId="40">
      <sharedItems containsSemiMixedTypes="0" containsString="0" containsNumber="1" minValue="-11219.423268808167" maxValue="464599.93779909244"/>
    </cacheField>
    <cacheField name="TIPO" numFmtId="0">
      <sharedItems containsBlank="1" count="5">
        <s v="SUBSIDIO ÁGUA, ESGOTO E SANEAMENTO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Sistema Isolado - Regular"/>
    <x v="0"/>
    <x v="0"/>
    <x v="0"/>
    <x v="0"/>
    <x v="0"/>
    <x v="0"/>
    <x v="0"/>
    <x v="0"/>
    <n v="6851"/>
    <n v="6851"/>
    <n v="2162.8110000000001"/>
    <n v="2162.8110000000001"/>
    <n v="2162.8110000000001"/>
    <n v="2162.8110000000001"/>
    <n v="0"/>
    <x v="0"/>
    <n v="0"/>
    <n v="27"/>
    <n v="23"/>
    <n v="59"/>
    <n v="14.64"/>
    <n v="87.73"/>
    <n v="253.9"/>
    <n v="19.024476785546895"/>
    <n v="67.376989053363516"/>
    <n v="317.3874512882154"/>
    <n v="100298.64"/>
    <n v="189743.40903000001"/>
    <n v="549137.71290000004"/>
    <n v="130336.69045778178"/>
    <n v="145723.6930714942"/>
    <n v="686449.07090811653"/>
  </r>
  <r>
    <s v="Sistema de Compensação"/>
    <x v="0"/>
    <x v="0"/>
    <x v="0"/>
    <x v="0"/>
    <x v="0"/>
    <x v="0"/>
    <x v="0"/>
    <x v="0"/>
    <n v="45"/>
    <n v="45"/>
    <n v="4.9859999999999998"/>
    <n v="4.9859999999999998"/>
    <n v="4.9859999999999998"/>
    <n v="4.9859999999999998"/>
    <n v="0"/>
    <x v="0"/>
    <n v="0"/>
    <n v="27"/>
    <n v="23"/>
    <n v="59"/>
    <n v="14.64"/>
    <n v="87.73"/>
    <n v="253.9"/>
    <n v="19.024476785546895"/>
    <n v="67.376989053363516"/>
    <n v="317.3874512882154"/>
    <n v="658.80000000000007"/>
    <n v="437.42178000000001"/>
    <n v="1265.9454000000001"/>
    <n v="856.10145534961032"/>
    <n v="335.94166742007047"/>
    <n v="1582.493832123042"/>
  </r>
  <r>
    <s v="Sistema Isolado - Regular"/>
    <x v="0"/>
    <x v="0"/>
    <x v="0"/>
    <x v="0"/>
    <x v="0"/>
    <x v="0"/>
    <x v="0"/>
    <x v="1"/>
    <n v="6503"/>
    <n v="6503"/>
    <n v="2177.9250000000002"/>
    <n v="2177.9250000000002"/>
    <n v="2177.9250000000002"/>
    <n v="2177.9250000000002"/>
    <n v="0"/>
    <x v="0"/>
    <n v="0"/>
    <n v="27"/>
    <n v="23"/>
    <n v="59"/>
    <n v="14.64"/>
    <n v="87.73"/>
    <n v="253.9"/>
    <n v="19.024476785546895"/>
    <n v="67.376989053363516"/>
    <n v="317.3874512882154"/>
    <n v="95203.92"/>
    <n v="191069.36025000003"/>
    <n v="552975.15750000009"/>
    <n v="123716.17253641145"/>
    <n v="146742.02888404674"/>
    <n v="691246.06484688655"/>
  </r>
  <r>
    <s v="Sistema Isolado - Refaturamento"/>
    <x v="0"/>
    <x v="0"/>
    <x v="0"/>
    <x v="0"/>
    <x v="0"/>
    <x v="0"/>
    <x v="0"/>
    <x v="1"/>
    <n v="-300"/>
    <n v="-300"/>
    <n v="-4.2889999999999997"/>
    <n v="-4.2889999999999997"/>
    <n v="-4.2889999999999997"/>
    <n v="-4.2889999999999997"/>
    <n v="0"/>
    <x v="0"/>
    <n v="0"/>
    <n v="27"/>
    <n v="23"/>
    <n v="59"/>
    <n v="14.64"/>
    <n v="87.73"/>
    <n v="253.9"/>
    <n v="19.024476785546895"/>
    <n v="67.376989053363516"/>
    <n v="317.3874512882154"/>
    <n v="-4392"/>
    <n v="-376.27396999999996"/>
    <n v="-1088.9770999999998"/>
    <n v="-5707.3430356640683"/>
    <n v="-288.97990604987609"/>
    <n v="-1361.2747785751558"/>
  </r>
  <r>
    <s v="Sistema de Compensação"/>
    <x v="0"/>
    <x v="0"/>
    <x v="0"/>
    <x v="0"/>
    <x v="0"/>
    <x v="0"/>
    <x v="0"/>
    <x v="1"/>
    <n v="45"/>
    <n v="45"/>
    <n v="3.9359999999999999"/>
    <n v="3.9359999999999999"/>
    <n v="3.9359999999999999"/>
    <n v="3.9359999999999999"/>
    <n v="0"/>
    <x v="0"/>
    <n v="0"/>
    <n v="27"/>
    <n v="23"/>
    <n v="59"/>
    <n v="14.64"/>
    <n v="87.73"/>
    <n v="253.9"/>
    <n v="19.024476785546895"/>
    <n v="67.376989053363516"/>
    <n v="317.3874512882154"/>
    <n v="658.80000000000007"/>
    <n v="345.30528000000004"/>
    <n v="999.35040000000004"/>
    <n v="856.10145534961032"/>
    <n v="265.19582891403877"/>
    <n v="1249.2370082704158"/>
  </r>
  <r>
    <s v="Sistema Isolado - Regular"/>
    <x v="0"/>
    <x v="0"/>
    <x v="0"/>
    <x v="0"/>
    <x v="0"/>
    <x v="0"/>
    <x v="0"/>
    <x v="2"/>
    <n v="6464"/>
    <n v="6464"/>
    <n v="2135.6469999999999"/>
    <n v="2135.6469999999999"/>
    <n v="2135.6469999999999"/>
    <n v="2135.6469999999999"/>
    <n v="0"/>
    <x v="0"/>
    <n v="0"/>
    <n v="27"/>
    <n v="23"/>
    <n v="59"/>
    <n v="14.64"/>
    <n v="87.73"/>
    <n v="253.9"/>
    <n v="19.024476785546895"/>
    <n v="67.376989053363516"/>
    <n v="317.3874512882154"/>
    <n v="94632.960000000006"/>
    <n v="187360.31130999999"/>
    <n v="542240.7733"/>
    <n v="122974.21794177513"/>
    <n v="143893.46454084862"/>
    <n v="677827.55818132334"/>
  </r>
  <r>
    <s v="Sistema de Compensação"/>
    <x v="0"/>
    <x v="0"/>
    <x v="0"/>
    <x v="0"/>
    <x v="0"/>
    <x v="0"/>
    <x v="0"/>
    <x v="2"/>
    <n v="45"/>
    <n v="45"/>
    <n v="3.8570000000000002"/>
    <n v="3.8570000000000002"/>
    <n v="3.8570000000000002"/>
    <n v="3.8570000000000002"/>
    <n v="0"/>
    <x v="0"/>
    <n v="0"/>
    <n v="27"/>
    <n v="23"/>
    <n v="59"/>
    <n v="14.64"/>
    <n v="87.73"/>
    <n v="253.9"/>
    <n v="19.024476785546895"/>
    <n v="67.376989053363516"/>
    <n v="317.3874512882154"/>
    <n v="658.80000000000007"/>
    <n v="338.37461000000002"/>
    <n v="979.29230000000007"/>
    <n v="856.10145534961032"/>
    <n v="259.8730467788231"/>
    <n v="1224.163399618647"/>
  </r>
  <r>
    <s v="Sistema Isolado - Regular"/>
    <x v="0"/>
    <x v="0"/>
    <x v="0"/>
    <x v="0"/>
    <x v="0"/>
    <x v="0"/>
    <x v="0"/>
    <x v="3"/>
    <n v="6207"/>
    <n v="6207"/>
    <n v="1806.096"/>
    <n v="1806.096"/>
    <n v="1806.096"/>
    <n v="1806.096"/>
    <n v="0"/>
    <x v="0"/>
    <n v="0"/>
    <n v="27"/>
    <n v="23"/>
    <n v="59"/>
    <n v="14.64"/>
    <n v="87.73"/>
    <n v="253.9"/>
    <n v="19.024476785546895"/>
    <n v="67.376989053363516"/>
    <n v="317.3874512882154"/>
    <n v="90870.48000000001"/>
    <n v="158448.80207999999"/>
    <n v="458567.77439999999"/>
    <n v="118084.92740788958"/>
    <n v="121689.31042132364"/>
    <n v="573232.20622184069"/>
  </r>
  <r>
    <s v="Sistema de Compensação"/>
    <x v="0"/>
    <x v="0"/>
    <x v="0"/>
    <x v="0"/>
    <x v="0"/>
    <x v="0"/>
    <x v="0"/>
    <x v="3"/>
    <n v="454"/>
    <n v="454"/>
    <n v="180.262"/>
    <n v="180.262"/>
    <n v="180.262"/>
    <n v="180.262"/>
    <n v="0"/>
    <x v="0"/>
    <n v="0"/>
    <n v="27"/>
    <n v="23"/>
    <n v="59"/>
    <n v="14.64"/>
    <n v="87.73"/>
    <n v="253.9"/>
    <n v="19.024476785546895"/>
    <n v="67.376989053363516"/>
    <n v="317.3874512882154"/>
    <n v="6646.56"/>
    <n v="15814.385260000001"/>
    <n v="45768.521800000002"/>
    <n v="8637.1124606382909"/>
    <n v="12145.510800737415"/>
    <n v="57212.896744116282"/>
  </r>
  <r>
    <s v="Sistema Isolado - Regular"/>
    <x v="0"/>
    <x v="0"/>
    <x v="0"/>
    <x v="0"/>
    <x v="0"/>
    <x v="0"/>
    <x v="0"/>
    <x v="4"/>
    <n v="6130"/>
    <n v="6130"/>
    <n v="1925.5060000000001"/>
    <n v="1925.5060000000001"/>
    <n v="1925.5060000000001"/>
    <n v="1925.5060000000001"/>
    <n v="0"/>
    <x v="0"/>
    <n v="0"/>
    <n v="27"/>
    <n v="23"/>
    <n v="59"/>
    <n v="14.64"/>
    <n v="87.73"/>
    <n v="253.9"/>
    <n v="19.024476785546895"/>
    <n v="67.376989053363516"/>
    <n v="317.3874512882154"/>
    <n v="89743.2"/>
    <n v="168924.64138000002"/>
    <n v="488885.97340000002"/>
    <n v="116620.04269540247"/>
    <n v="129734.79668418577"/>
    <n v="611131.44178016647"/>
  </r>
  <r>
    <s v="Sistema de Compensação"/>
    <x v="0"/>
    <x v="0"/>
    <x v="0"/>
    <x v="0"/>
    <x v="0"/>
    <x v="0"/>
    <x v="0"/>
    <x v="4"/>
    <n v="447"/>
    <n v="447"/>
    <n v="192.25299999999999"/>
    <n v="192.25299999999999"/>
    <n v="192.25299999999999"/>
    <n v="192.25299999999999"/>
    <n v="0"/>
    <x v="0"/>
    <n v="0"/>
    <n v="27"/>
    <n v="23"/>
    <n v="59"/>
    <n v="14.64"/>
    <n v="87.73"/>
    <n v="253.9"/>
    <n v="19.024476785546895"/>
    <n v="67.376989053363516"/>
    <n v="317.3874512882154"/>
    <n v="6544.08"/>
    <n v="16866.35569"/>
    <n v="48813.036699999997"/>
    <n v="8503.9411231394624"/>
    <n v="12953.428276476296"/>
    <n v="61018.689672513268"/>
  </r>
  <r>
    <s v="Sistema Isolado - Regular"/>
    <x v="0"/>
    <x v="0"/>
    <x v="0"/>
    <x v="0"/>
    <x v="0"/>
    <x v="0"/>
    <x v="0"/>
    <x v="5"/>
    <n v="6130"/>
    <n v="6130"/>
    <n v="1925.5060000000001"/>
    <n v="1925.5060000000001"/>
    <n v="1925.5060000000001"/>
    <n v="1925.5060000000001"/>
    <n v="0"/>
    <x v="0"/>
    <n v="0"/>
    <n v="27"/>
    <n v="23"/>
    <n v="59"/>
    <n v="14.64"/>
    <n v="87.73"/>
    <n v="253.9"/>
    <n v="19.024476785546895"/>
    <n v="67.376989053363516"/>
    <n v="317.3874512882154"/>
    <n v="89743.2"/>
    <n v="168924.64138000002"/>
    <n v="488885.97340000002"/>
    <n v="116620.04269540247"/>
    <n v="129734.79668418577"/>
    <n v="611131.44178016647"/>
  </r>
  <r>
    <s v="Sistema de Compensação"/>
    <x v="0"/>
    <x v="0"/>
    <x v="0"/>
    <x v="0"/>
    <x v="0"/>
    <x v="0"/>
    <x v="0"/>
    <x v="5"/>
    <n v="447"/>
    <n v="447"/>
    <n v="192.25299999999999"/>
    <n v="192.25299999999999"/>
    <n v="192.25299999999999"/>
    <n v="192.25299999999999"/>
    <n v="0"/>
    <x v="0"/>
    <n v="0"/>
    <n v="27"/>
    <n v="23"/>
    <n v="59"/>
    <n v="14.64"/>
    <n v="87.73"/>
    <n v="253.9"/>
    <n v="19.024476785546895"/>
    <n v="67.376989053363516"/>
    <n v="317.3874512882154"/>
    <n v="6544.08"/>
    <n v="16866.35569"/>
    <n v="48813.036699999997"/>
    <n v="8503.9411231394624"/>
    <n v="12953.428276476296"/>
    <n v="61018.689672513268"/>
  </r>
  <r>
    <s v="Sistema Isolado - Regular"/>
    <x v="0"/>
    <x v="0"/>
    <x v="0"/>
    <x v="0"/>
    <x v="0"/>
    <x v="0"/>
    <x v="0"/>
    <x v="6"/>
    <n v="6101"/>
    <n v="6101"/>
    <n v="1845.6110000000001"/>
    <n v="1845.6110000000001"/>
    <n v="1845.6110000000001"/>
    <n v="1845.6110000000001"/>
    <n v="0"/>
    <x v="0"/>
    <n v="0"/>
    <n v="27"/>
    <n v="23"/>
    <n v="59"/>
    <n v="14.64"/>
    <n v="87.73"/>
    <n v="253.9"/>
    <n v="19.024476785546895"/>
    <n v="67.376989053363516"/>
    <n v="317.3874512882154"/>
    <n v="89318.64"/>
    <n v="161915.45303"/>
    <n v="468600.63290000003"/>
    <n v="116068.33286862161"/>
    <n v="124351.7121437673"/>
    <n v="585773.77135949454"/>
  </r>
  <r>
    <s v="Sistema de Compensação"/>
    <x v="0"/>
    <x v="0"/>
    <x v="0"/>
    <x v="0"/>
    <x v="0"/>
    <x v="0"/>
    <x v="0"/>
    <x v="6"/>
    <n v="1820"/>
    <n v="1820"/>
    <n v="752.96400000000006"/>
    <n v="752.96400000000006"/>
    <n v="752.96400000000006"/>
    <n v="752.96400000000006"/>
    <n v="0"/>
    <x v="0"/>
    <n v="0"/>
    <n v="27"/>
    <n v="23"/>
    <n v="59"/>
    <n v="14.64"/>
    <n v="87.73"/>
    <n v="253.9"/>
    <n v="19.024476785546895"/>
    <n v="67.376989053363516"/>
    <n v="317.3874512882154"/>
    <n v="26644.799999999999"/>
    <n v="66057.531720000014"/>
    <n v="191177.55960000001"/>
    <n v="34624.547749695346"/>
    <n v="50732.447185576813"/>
    <n v="238981.32487177983"/>
  </r>
  <r>
    <s v="Sistema Isolado - Regular"/>
    <x v="0"/>
    <x v="0"/>
    <x v="0"/>
    <x v="0"/>
    <x v="0"/>
    <x v="0"/>
    <x v="0"/>
    <x v="7"/>
    <n v="6024"/>
    <n v="6024"/>
    <n v="1795.8879999999999"/>
    <n v="1795.8879999999999"/>
    <n v="1795.8879999999999"/>
    <n v="1795.8879999999999"/>
    <n v="0"/>
    <x v="0"/>
    <n v="0"/>
    <n v="27"/>
    <n v="23"/>
    <n v="59"/>
    <n v="14.64"/>
    <n v="87.73"/>
    <n v="253.9"/>
    <n v="19.024476785546895"/>
    <n v="67.376989053363516"/>
    <n v="317.3874512882154"/>
    <n v="88191.360000000001"/>
    <n v="157553.25424000001"/>
    <n v="455975.9632"/>
    <n v="114603.4481561345"/>
    <n v="121001.5261170669"/>
    <n v="569992.31511909061"/>
  </r>
  <r>
    <s v="Sistema de Compensação"/>
    <x v="0"/>
    <x v="0"/>
    <x v="0"/>
    <x v="0"/>
    <x v="0"/>
    <x v="0"/>
    <x v="0"/>
    <x v="7"/>
    <n v="445"/>
    <n v="445"/>
    <n v="181.529"/>
    <n v="181.529"/>
    <n v="181.529"/>
    <n v="181.529"/>
    <n v="0"/>
    <x v="0"/>
    <n v="0"/>
    <n v="27"/>
    <n v="23"/>
    <n v="59"/>
    <n v="14.64"/>
    <n v="87.73"/>
    <n v="253.9"/>
    <n v="19.024476785546895"/>
    <n v="67.376989053363516"/>
    <n v="317.3874512882154"/>
    <n v="6514.8"/>
    <n v="15925.53917"/>
    <n v="46090.213100000001"/>
    <n v="8465.8921695683675"/>
    <n v="12230.877445868025"/>
    <n v="57615.026644898455"/>
  </r>
  <r>
    <s v="Sistema Isolado - Regular"/>
    <x v="0"/>
    <x v="0"/>
    <x v="0"/>
    <x v="0"/>
    <x v="0"/>
    <x v="0"/>
    <x v="0"/>
    <x v="8"/>
    <n v="6086"/>
    <n v="6086"/>
    <n v="1875.912"/>
    <n v="1875.912"/>
    <n v="1875.912"/>
    <n v="1875.912"/>
    <n v="0"/>
    <x v="0"/>
    <n v="0"/>
    <n v="27"/>
    <n v="23"/>
    <n v="59"/>
    <n v="14.64"/>
    <n v="87.73"/>
    <n v="253.9"/>
    <n v="19.024476785546895"/>
    <n v="67.376989053363516"/>
    <n v="317.3874512882154"/>
    <n v="89099.040000000008"/>
    <n v="164573.75976000002"/>
    <n v="476294.05680000002"/>
    <n v="115782.9657168384"/>
    <n v="126393.30228907327"/>
    <n v="595390.92852097878"/>
  </r>
  <r>
    <s v="Sistema de Compensação"/>
    <x v="0"/>
    <x v="0"/>
    <x v="0"/>
    <x v="0"/>
    <x v="0"/>
    <x v="0"/>
    <x v="0"/>
    <x v="8"/>
    <n v="460"/>
    <n v="460"/>
    <n v="190.63900000000001"/>
    <n v="190.63900000000001"/>
    <n v="190.63900000000001"/>
    <n v="190.63900000000001"/>
    <n v="0"/>
    <x v="0"/>
    <n v="0"/>
    <n v="27"/>
    <n v="23"/>
    <n v="59"/>
    <n v="14.64"/>
    <n v="87.73"/>
    <n v="253.9"/>
    <n v="19.024476785546895"/>
    <n v="67.376989053363516"/>
    <n v="317.3874512882154"/>
    <n v="6734.4000000000005"/>
    <n v="16724.759470000001"/>
    <n v="48403.242100000003"/>
    <n v="8751.259321351572"/>
    <n v="12844.681816144168"/>
    <n v="60506.426326134097"/>
  </r>
  <r>
    <s v="Sistema Isolado - Regular"/>
    <x v="0"/>
    <x v="0"/>
    <x v="0"/>
    <x v="0"/>
    <x v="0"/>
    <x v="0"/>
    <x v="0"/>
    <x v="9"/>
    <n v="6289"/>
    <n v="6289"/>
    <n v="1967.2159999999999"/>
    <n v="1967.2159999999999"/>
    <n v="1967.2159999999999"/>
    <n v="1967.2159999999999"/>
    <n v="0"/>
    <x v="0"/>
    <n v="0"/>
    <n v="27"/>
    <n v="23"/>
    <n v="59"/>
    <n v="14.64"/>
    <n v="87.73"/>
    <n v="253.9"/>
    <n v="19.024476785546895"/>
    <n v="67.376989053363516"/>
    <n v="317.3874512882154"/>
    <n v="92070.96"/>
    <n v="172583.85967999999"/>
    <n v="499476.14240000001"/>
    <n v="119644.93450430442"/>
    <n v="132545.09089760156"/>
    <n v="624369.67237339797"/>
  </r>
  <r>
    <s v="Sistema Isolado - Refaturamento"/>
    <x v="0"/>
    <x v="0"/>
    <x v="0"/>
    <x v="0"/>
    <x v="0"/>
    <x v="0"/>
    <x v="0"/>
    <x v="9"/>
    <n v="88"/>
    <n v="88"/>
    <n v="39.893000000000001"/>
    <n v="39.893000000000001"/>
    <n v="39.893000000000001"/>
    <n v="39.893000000000001"/>
    <n v="0"/>
    <x v="0"/>
    <n v="0"/>
    <n v="27"/>
    <n v="23"/>
    <n v="59"/>
    <n v="14.64"/>
    <n v="87.73"/>
    <n v="253.9"/>
    <n v="19.024476785546895"/>
    <n v="67.376989053363516"/>
    <n v="317.3874512882154"/>
    <n v="1288.3200000000002"/>
    <n v="3499.8128900000002"/>
    <n v="10128.832700000001"/>
    <n v="1674.1539571281269"/>
    <n v="2687.870224305831"/>
    <n v="12661.537594240777"/>
  </r>
  <r>
    <s v="Sistema de Compensação"/>
    <x v="0"/>
    <x v="0"/>
    <x v="0"/>
    <x v="0"/>
    <x v="0"/>
    <x v="0"/>
    <x v="0"/>
    <x v="9"/>
    <n v="453"/>
    <n v="453"/>
    <n v="193.75800000000001"/>
    <n v="193.75800000000001"/>
    <n v="193.75800000000001"/>
    <n v="193.75800000000001"/>
    <n v="0"/>
    <x v="0"/>
    <n v="0"/>
    <n v="27"/>
    <n v="23"/>
    <n v="59"/>
    <n v="14.64"/>
    <n v="87.73"/>
    <n v="253.9"/>
    <n v="19.024476785546895"/>
    <n v="67.376989053363516"/>
    <n v="317.3874512882154"/>
    <n v="6631.92"/>
    <n v="16998.389340000002"/>
    <n v="49195.156200000005"/>
    <n v="8618.0879838527435"/>
    <n v="13054.830645001608"/>
    <n v="61496.357786702043"/>
  </r>
  <r>
    <s v="Sistema Isolado - Regular"/>
    <x v="0"/>
    <x v="0"/>
    <x v="0"/>
    <x v="0"/>
    <x v="0"/>
    <x v="0"/>
    <x v="0"/>
    <x v="10"/>
    <n v="6404"/>
    <n v="6404"/>
    <n v="2043.204"/>
    <n v="2043.204"/>
    <n v="2043.204"/>
    <n v="2043.204"/>
    <n v="0"/>
    <x v="0"/>
    <n v="0"/>
    <n v="27"/>
    <n v="23"/>
    <n v="59"/>
    <n v="14.64"/>
    <n v="87.73"/>
    <n v="253.9"/>
    <n v="19.024476785546895"/>
    <n v="67.376989053363516"/>
    <n v="317.3874512882154"/>
    <n v="93754.559999999998"/>
    <n v="179250.28692000001"/>
    <n v="518769.49560000002"/>
    <n v="121832.74933464231"/>
    <n v="137664.93354178854"/>
    <n v="648487.31002188683"/>
  </r>
  <r>
    <s v="Sistema de Compensação"/>
    <x v="0"/>
    <x v="0"/>
    <x v="0"/>
    <x v="0"/>
    <x v="0"/>
    <x v="0"/>
    <x v="0"/>
    <x v="10"/>
    <n v="302"/>
    <n v="302"/>
    <n v="125.75"/>
    <n v="125.75"/>
    <n v="125.75"/>
    <n v="125.75"/>
    <n v="0"/>
    <x v="0"/>
    <n v="0"/>
    <n v="27"/>
    <n v="23"/>
    <n v="59"/>
    <n v="14.64"/>
    <n v="87.73"/>
    <n v="253.9"/>
    <n v="19.024476785546895"/>
    <n v="67.376989053363516"/>
    <n v="317.3874512882154"/>
    <n v="4421.28"/>
    <n v="11032.047500000001"/>
    <n v="31927.924999999999"/>
    <n v="5745.3919892351623"/>
    <n v="8472.6563734604624"/>
    <n v="39911.471999493086"/>
  </r>
  <r>
    <s v="PROJETADO"/>
    <x v="0"/>
    <x v="0"/>
    <x v="0"/>
    <x v="0"/>
    <x v="0"/>
    <x v="0"/>
    <x v="0"/>
    <x v="11"/>
    <n v="6404"/>
    <n v="6404"/>
    <n v="2043.204"/>
    <n v="2043.204"/>
    <n v="2043.204"/>
    <n v="2043.204"/>
    <n v="0"/>
    <x v="0"/>
    <n v="0"/>
    <n v="27"/>
    <n v="23"/>
    <n v="59"/>
    <n v="14.64"/>
    <n v="87.73"/>
    <n v="253.9"/>
    <n v="19.024476785546895"/>
    <n v="67.376989053363516"/>
    <n v="317.3874512882154"/>
    <n v="93754.559999999998"/>
    <n v="179250.28692000001"/>
    <n v="518769.49560000002"/>
    <n v="121832.74933464231"/>
    <n v="137664.93354178854"/>
    <n v="648487.31002188683"/>
  </r>
  <r>
    <s v="PROJETADO"/>
    <x v="0"/>
    <x v="0"/>
    <x v="0"/>
    <x v="0"/>
    <x v="0"/>
    <x v="0"/>
    <x v="0"/>
    <x v="11"/>
    <n v="302"/>
    <n v="302"/>
    <n v="125.75"/>
    <n v="125.75"/>
    <n v="125.75"/>
    <n v="125.75"/>
    <n v="0"/>
    <x v="0"/>
    <n v="0"/>
    <n v="27"/>
    <n v="23"/>
    <n v="59"/>
    <n v="14.64"/>
    <n v="87.73"/>
    <n v="253.9"/>
    <n v="19.024476785546895"/>
    <n v="67.376989053363516"/>
    <n v="317.3874512882154"/>
    <n v="4421.28"/>
    <n v="11032.047500000001"/>
    <n v="31927.924999999999"/>
    <n v="5745.3919892351623"/>
    <n v="8472.6563734604624"/>
    <n v="39911.471999493086"/>
  </r>
  <r>
    <s v="Sistema Isolado - Regular"/>
    <x v="0"/>
    <x v="0"/>
    <x v="0"/>
    <x v="0"/>
    <x v="0"/>
    <x v="0"/>
    <x v="1"/>
    <x v="0"/>
    <n v="5925"/>
    <n v="5925"/>
    <n v="191.62899999999999"/>
    <n v="191.62899999999999"/>
    <n v="191.62899999999999"/>
    <n v="191.62899999999999"/>
    <n v="0"/>
    <x v="0"/>
    <n v="0"/>
    <n v="34"/>
    <n v="23"/>
    <n v="71"/>
    <n v="44"/>
    <n v="87.73"/>
    <n v="433.77"/>
    <n v="57.091253741473494"/>
    <n v="67.376989053363516"/>
    <n v="542.84414704984056"/>
    <n v="260700"/>
    <n v="16811.61217"/>
    <n v="83122.911329999988"/>
    <n v="338265.67841823044"/>
    <n v="12911.385035306997"/>
    <n v="104024.68105501389"/>
  </r>
  <r>
    <s v="Sistema de Compensação"/>
    <x v="0"/>
    <x v="0"/>
    <x v="0"/>
    <x v="0"/>
    <x v="0"/>
    <x v="0"/>
    <x v="1"/>
    <x v="0"/>
    <n v="20"/>
    <n v="20"/>
    <n v="0.81"/>
    <n v="0.81"/>
    <n v="0.81"/>
    <n v="0.81"/>
    <n v="0"/>
    <x v="0"/>
    <n v="0"/>
    <n v="34"/>
    <n v="23"/>
    <n v="71"/>
    <n v="44"/>
    <n v="87.73"/>
    <n v="433.77"/>
    <n v="57.091253741473494"/>
    <n v="67.376989053363516"/>
    <n v="542.84414704984056"/>
    <n v="880"/>
    <n v="71.061300000000003"/>
    <n v="351.3537"/>
    <n v="1141.8250748294699"/>
    <n v="54.575361133224455"/>
    <n v="439.70375911037087"/>
  </r>
  <r>
    <s v="Sistema Isolado - Regular"/>
    <x v="0"/>
    <x v="0"/>
    <x v="0"/>
    <x v="0"/>
    <x v="0"/>
    <x v="0"/>
    <x v="1"/>
    <x v="1"/>
    <n v="5468"/>
    <n v="5468"/>
    <n v="221.39"/>
    <n v="221.39"/>
    <n v="221.39"/>
    <n v="221.39"/>
    <n v="0"/>
    <x v="0"/>
    <n v="0"/>
    <n v="34"/>
    <n v="23"/>
    <n v="71"/>
    <n v="44"/>
    <n v="87.73"/>
    <n v="433.77"/>
    <n v="57.091253741473494"/>
    <n v="67.376989053363516"/>
    <n v="542.84414704984056"/>
    <n v="240592"/>
    <n v="19422.544699999999"/>
    <n v="96032.340299999996"/>
    <n v="312174.97545837704"/>
    <n v="14916.591606524147"/>
    <n v="120180.26571536419"/>
  </r>
  <r>
    <s v="Sistema Isolado - Refaturamento"/>
    <x v="0"/>
    <x v="0"/>
    <x v="0"/>
    <x v="0"/>
    <x v="0"/>
    <x v="0"/>
    <x v="1"/>
    <x v="1"/>
    <n v="-456"/>
    <n v="-456"/>
    <n v="-0.129"/>
    <n v="-0.129"/>
    <n v="-0.129"/>
    <n v="-0.129"/>
    <n v="0"/>
    <x v="0"/>
    <n v="0"/>
    <n v="34"/>
    <n v="23"/>
    <n v="71"/>
    <n v="44"/>
    <n v="87.73"/>
    <n v="433.77"/>
    <n v="57.091253741473494"/>
    <n v="67.376989053363516"/>
    <n v="542.84414704984056"/>
    <n v="-20064"/>
    <n v="-11.317170000000001"/>
    <n v="-55.956330000000001"/>
    <n v="-26033.611706111915"/>
    <n v="-8.6916315878838937"/>
    <n v="-70.026894969429435"/>
  </r>
  <r>
    <s v="Sistema de Compensação"/>
    <x v="0"/>
    <x v="0"/>
    <x v="0"/>
    <x v="0"/>
    <x v="0"/>
    <x v="0"/>
    <x v="1"/>
    <x v="1"/>
    <n v="20"/>
    <n v="20"/>
    <n v="0.91600000000000004"/>
    <n v="0.91600000000000004"/>
    <n v="0.91600000000000004"/>
    <n v="0.91600000000000004"/>
    <n v="0"/>
    <x v="0"/>
    <n v="0"/>
    <n v="34"/>
    <n v="23"/>
    <n v="71"/>
    <n v="44"/>
    <n v="87.73"/>
    <n v="433.77"/>
    <n v="57.091253741473494"/>
    <n v="67.376989053363516"/>
    <n v="542.84414704984056"/>
    <n v="880"/>
    <n v="80.360680000000002"/>
    <n v="397.33332000000001"/>
    <n v="1141.8250748294699"/>
    <n v="61.717321972880981"/>
    <n v="497.24523869765397"/>
  </r>
  <r>
    <s v="Sistema Isolado - Regular"/>
    <x v="0"/>
    <x v="0"/>
    <x v="0"/>
    <x v="0"/>
    <x v="0"/>
    <x v="0"/>
    <x v="1"/>
    <x v="2"/>
    <n v="5432"/>
    <n v="5432"/>
    <n v="199.643"/>
    <n v="199.643"/>
    <n v="199.643"/>
    <n v="199.643"/>
    <n v="0"/>
    <x v="0"/>
    <n v="0"/>
    <n v="34"/>
    <n v="23"/>
    <n v="71"/>
    <n v="44"/>
    <n v="87.73"/>
    <n v="433.77"/>
    <n v="57.091253741473494"/>
    <n v="67.376989053363516"/>
    <n v="542.84414704984056"/>
    <n v="239008"/>
    <n v="17514.680390000001"/>
    <n v="86599.144109999994"/>
    <n v="310119.69032368402"/>
    <n v="13451.344225580653"/>
    <n v="108375.03404947132"/>
  </r>
  <r>
    <s v="Sistema de Compensação"/>
    <x v="0"/>
    <x v="0"/>
    <x v="0"/>
    <x v="0"/>
    <x v="0"/>
    <x v="0"/>
    <x v="1"/>
    <x v="2"/>
    <n v="20"/>
    <n v="20"/>
    <n v="0.83299999999999996"/>
    <n v="0.83299999999999996"/>
    <n v="0.83299999999999996"/>
    <n v="0.83299999999999996"/>
    <n v="0"/>
    <x v="0"/>
    <n v="0"/>
    <n v="34"/>
    <n v="23"/>
    <n v="71"/>
    <n v="44"/>
    <n v="87.73"/>
    <n v="433.77"/>
    <n v="57.091253741473494"/>
    <n v="67.376989053363516"/>
    <n v="542.84414704984056"/>
    <n v="880"/>
    <n v="73.079089999999994"/>
    <n v="361.33040999999997"/>
    <n v="1141.8250748294699"/>
    <n v="56.125031881451804"/>
    <n v="452.18917449251717"/>
  </r>
  <r>
    <s v="Sistema Isolado - Regular"/>
    <x v="0"/>
    <x v="0"/>
    <x v="0"/>
    <x v="0"/>
    <x v="0"/>
    <x v="0"/>
    <x v="1"/>
    <x v="3"/>
    <n v="5201"/>
    <n v="5201"/>
    <n v="175.922"/>
    <n v="175.922"/>
    <n v="175.922"/>
    <n v="175.922"/>
    <n v="0"/>
    <x v="0"/>
    <n v="0"/>
    <n v="34"/>
    <n v="23"/>
    <n v="71"/>
    <n v="44"/>
    <n v="87.73"/>
    <n v="433.77"/>
    <n v="57.091253741473494"/>
    <n v="67.376989053363516"/>
    <n v="542.84414704984056"/>
    <n v="228844"/>
    <n v="15433.637060000001"/>
    <n v="76309.685939999996"/>
    <n v="296931.61070940364"/>
    <n v="11853.094668245816"/>
    <n v="95498.228037302048"/>
  </r>
  <r>
    <s v="Sistema de Compensação"/>
    <x v="0"/>
    <x v="0"/>
    <x v="0"/>
    <x v="0"/>
    <x v="0"/>
    <x v="0"/>
    <x v="1"/>
    <x v="3"/>
    <n v="376"/>
    <n v="376"/>
    <n v="17.963999999999999"/>
    <n v="17.963999999999999"/>
    <n v="17.963999999999999"/>
    <n v="17.963999999999999"/>
    <n v="0"/>
    <x v="0"/>
    <n v="0"/>
    <n v="34"/>
    <n v="23"/>
    <n v="71"/>
    <n v="44"/>
    <n v="87.73"/>
    <n v="433.77"/>
    <n v="57.091253741473494"/>
    <n v="67.376989053363516"/>
    <n v="542.84414704984056"/>
    <n v="16544"/>
    <n v="1575.98172"/>
    <n v="7792.244279999999"/>
    <n v="21466.311406794033"/>
    <n v="1210.3602313546221"/>
    <n v="9751.6522576033349"/>
  </r>
  <r>
    <s v="Sistema Isolado - Regular"/>
    <x v="0"/>
    <x v="0"/>
    <x v="0"/>
    <x v="0"/>
    <x v="0"/>
    <x v="0"/>
    <x v="1"/>
    <x v="4"/>
    <n v="5243"/>
    <n v="5243"/>
    <n v="187.71299999999999"/>
    <n v="187.71299999999999"/>
    <n v="187.71299999999999"/>
    <n v="187.71299999999999"/>
    <n v="0"/>
    <x v="0"/>
    <n v="0"/>
    <n v="34"/>
    <n v="23"/>
    <n v="71"/>
    <n v="44"/>
    <n v="87.73"/>
    <n v="433.77"/>
    <n v="57.091253741473494"/>
    <n v="67.376989053363516"/>
    <n v="542.84414704984056"/>
    <n v="230692"/>
    <n v="16468.06149"/>
    <n v="81424.26801"/>
    <n v="299329.44336654554"/>
    <n v="12647.536746174026"/>
    <n v="101898.90337516672"/>
  </r>
  <r>
    <s v="Sistema de Compensação"/>
    <x v="0"/>
    <x v="0"/>
    <x v="0"/>
    <x v="0"/>
    <x v="0"/>
    <x v="0"/>
    <x v="1"/>
    <x v="4"/>
    <n v="361"/>
    <n v="361"/>
    <n v="19.593"/>
    <n v="19.593"/>
    <n v="19.593"/>
    <n v="19.593"/>
    <n v="0"/>
    <x v="0"/>
    <n v="0"/>
    <n v="34"/>
    <n v="23"/>
    <n v="71"/>
    <n v="44"/>
    <n v="87.73"/>
    <n v="433.77"/>
    <n v="57.091253741473494"/>
    <n v="67.376989053363516"/>
    <n v="542.84414704984056"/>
    <n v="15884"/>
    <n v="1718.8938900000001"/>
    <n v="8498.8556100000005"/>
    <n v="20609.942600671933"/>
    <n v="1320.1173465225513"/>
    <n v="10635.945373147526"/>
  </r>
  <r>
    <s v="Sistema Isolado - Regular"/>
    <x v="0"/>
    <x v="0"/>
    <x v="0"/>
    <x v="0"/>
    <x v="0"/>
    <x v="0"/>
    <x v="1"/>
    <x v="5"/>
    <n v="5243"/>
    <n v="5243"/>
    <n v="187.71299999999999"/>
    <n v="187.71299999999999"/>
    <n v="187.71299999999999"/>
    <n v="187.71299999999999"/>
    <n v="0"/>
    <x v="0"/>
    <n v="0"/>
    <n v="34"/>
    <n v="23"/>
    <n v="71"/>
    <n v="44"/>
    <n v="87.73"/>
    <n v="433.77"/>
    <n v="57.091253741473494"/>
    <n v="67.376989053363516"/>
    <n v="542.84414704984056"/>
    <n v="230692"/>
    <n v="16468.06149"/>
    <n v="81424.26801"/>
    <n v="299329.44336654554"/>
    <n v="12647.536746174026"/>
    <n v="101898.90337516672"/>
  </r>
  <r>
    <s v="Sistema de Compensação"/>
    <x v="0"/>
    <x v="0"/>
    <x v="0"/>
    <x v="0"/>
    <x v="0"/>
    <x v="0"/>
    <x v="1"/>
    <x v="5"/>
    <n v="361"/>
    <n v="361"/>
    <n v="19.593"/>
    <n v="19.593"/>
    <n v="19.593"/>
    <n v="19.593"/>
    <n v="0"/>
    <x v="0"/>
    <n v="0"/>
    <n v="34"/>
    <n v="23"/>
    <n v="71"/>
    <n v="44"/>
    <n v="87.73"/>
    <n v="433.77"/>
    <n v="57.091253741473494"/>
    <n v="67.376989053363516"/>
    <n v="542.84414704984056"/>
    <n v="15884"/>
    <n v="1718.8938900000001"/>
    <n v="8498.8556100000005"/>
    <n v="20609.942600671933"/>
    <n v="1320.1173465225513"/>
    <n v="10635.945373147526"/>
  </r>
  <r>
    <s v="Sistema Isolado - Regular"/>
    <x v="0"/>
    <x v="0"/>
    <x v="0"/>
    <x v="0"/>
    <x v="0"/>
    <x v="0"/>
    <x v="1"/>
    <x v="6"/>
    <n v="5251"/>
    <n v="5251"/>
    <n v="182.58799999999999"/>
    <n v="182.58799999999999"/>
    <n v="182.58799999999999"/>
    <n v="182.58799999999999"/>
    <n v="0"/>
    <x v="0"/>
    <n v="0"/>
    <n v="34"/>
    <n v="23"/>
    <n v="71"/>
    <n v="44"/>
    <n v="87.73"/>
    <n v="433.77"/>
    <n v="57.091253741473494"/>
    <n v="67.376989053363516"/>
    <n v="542.84414704984056"/>
    <n v="231044"/>
    <n v="16018.445240000001"/>
    <n v="79201.196759999992"/>
    <n v="299786.1733964773"/>
    <n v="12302.229677275538"/>
    <n v="99116.827121536291"/>
  </r>
  <r>
    <s v="Sistema de Compensação"/>
    <x v="0"/>
    <x v="0"/>
    <x v="0"/>
    <x v="0"/>
    <x v="0"/>
    <x v="0"/>
    <x v="1"/>
    <x v="6"/>
    <n v="1480"/>
    <n v="1480"/>
    <n v="73.14"/>
    <n v="73.14"/>
    <n v="73.14"/>
    <n v="73.14"/>
    <n v="0"/>
    <x v="0"/>
    <n v="0"/>
    <n v="34"/>
    <n v="23"/>
    <n v="71"/>
    <n v="44"/>
    <n v="87.73"/>
    <n v="433.77"/>
    <n v="57.091253741473494"/>
    <n v="67.376989053363516"/>
    <n v="542.84414704984056"/>
    <n v="65120"/>
    <n v="6416.5722000000005"/>
    <n v="31725.9378"/>
    <n v="84495.055537380773"/>
    <n v="4927.9529793630072"/>
    <n v="39703.620915225336"/>
  </r>
  <r>
    <s v="Sistema Isolado - Regular"/>
    <x v="0"/>
    <x v="0"/>
    <x v="0"/>
    <x v="0"/>
    <x v="0"/>
    <x v="0"/>
    <x v="1"/>
    <x v="7"/>
    <n v="5256"/>
    <n v="5256"/>
    <n v="175.76"/>
    <n v="175.76"/>
    <n v="175.76"/>
    <n v="175.76"/>
    <n v="0"/>
    <x v="0"/>
    <n v="0"/>
    <n v="34"/>
    <n v="23"/>
    <n v="71"/>
    <n v="44"/>
    <n v="87.73"/>
    <n v="433.77"/>
    <n v="57.091253741473494"/>
    <n v="67.376989053363516"/>
    <n v="542.84414704984056"/>
    <n v="231264"/>
    <n v="15419.424800000001"/>
    <n v="76239.415199999989"/>
    <n v="300071.62966518471"/>
    <n v="11842.17959601917"/>
    <n v="95410.287285479964"/>
  </r>
  <r>
    <s v="Sistema de Compensação"/>
    <x v="0"/>
    <x v="0"/>
    <x v="0"/>
    <x v="0"/>
    <x v="0"/>
    <x v="0"/>
    <x v="1"/>
    <x v="7"/>
    <n v="390"/>
    <n v="390"/>
    <n v="18.045000000000002"/>
    <n v="18.045000000000002"/>
    <n v="18.045000000000002"/>
    <n v="18.045000000000002"/>
    <n v="0"/>
    <x v="0"/>
    <n v="0"/>
    <n v="34"/>
    <n v="23"/>
    <n v="71"/>
    <n v="44"/>
    <n v="87.73"/>
    <n v="433.77"/>
    <n v="57.091253741473494"/>
    <n v="67.376989053363516"/>
    <n v="542.84414704984056"/>
    <n v="17160"/>
    <n v="1583.0878500000001"/>
    <n v="7827.3796500000008"/>
    <n v="22265.588959174664"/>
    <n v="1215.8177674679448"/>
    <n v="9795.6226335143747"/>
  </r>
  <r>
    <s v="Sistema Isolado - Regular"/>
    <x v="0"/>
    <x v="0"/>
    <x v="0"/>
    <x v="0"/>
    <x v="0"/>
    <x v="0"/>
    <x v="1"/>
    <x v="8"/>
    <n v="5248"/>
    <n v="5248"/>
    <n v="175.38200000000001"/>
    <n v="175.38200000000001"/>
    <n v="175.38200000000001"/>
    <n v="175.38200000000001"/>
    <n v="0"/>
    <x v="0"/>
    <n v="0"/>
    <n v="34"/>
    <n v="23"/>
    <n v="71"/>
    <n v="44"/>
    <n v="87.73"/>
    <n v="433.77"/>
    <n v="57.091253741473494"/>
    <n v="67.376989053363516"/>
    <n v="542.84414704984056"/>
    <n v="230912"/>
    <n v="15386.262860000001"/>
    <n v="76075.450140000001"/>
    <n v="299614.89963525289"/>
    <n v="11816.711094157001"/>
    <n v="95205.092197895137"/>
  </r>
  <r>
    <s v="Sistema de Compensação"/>
    <x v="0"/>
    <x v="0"/>
    <x v="0"/>
    <x v="0"/>
    <x v="0"/>
    <x v="0"/>
    <x v="1"/>
    <x v="8"/>
    <n v="359"/>
    <n v="359"/>
    <n v="17.533999999999999"/>
    <n v="17.533999999999999"/>
    <n v="17.533999999999999"/>
    <n v="17.533999999999999"/>
    <n v="0"/>
    <x v="0"/>
    <n v="0"/>
    <n v="34"/>
    <n v="23"/>
    <n v="71"/>
    <n v="44"/>
    <n v="87.73"/>
    <n v="433.77"/>
    <n v="57.091253741473494"/>
    <n v="67.376989053363516"/>
    <n v="542.84414704984056"/>
    <n v="15796"/>
    <n v="1538.25782"/>
    <n v="7605.723179999999"/>
    <n v="20495.760093188983"/>
    <n v="1181.3881260616758"/>
    <n v="9518.2292743719045"/>
  </r>
  <r>
    <s v="Sistema Isolado - Regular"/>
    <x v="0"/>
    <x v="0"/>
    <x v="0"/>
    <x v="0"/>
    <x v="0"/>
    <x v="0"/>
    <x v="1"/>
    <x v="9"/>
    <n v="5369"/>
    <n v="5369"/>
    <n v="203.72800000000001"/>
    <n v="203.72800000000001"/>
    <n v="203.72800000000001"/>
    <n v="203.72800000000001"/>
    <n v="0"/>
    <x v="0"/>
    <n v="0"/>
    <n v="34"/>
    <n v="23"/>
    <n v="71"/>
    <n v="44"/>
    <n v="87.73"/>
    <n v="433.77"/>
    <n v="57.091253741473494"/>
    <n v="67.376989053363516"/>
    <n v="542.84414704984056"/>
    <n v="236236"/>
    <n v="17873.05744"/>
    <n v="88371.094559999998"/>
    <n v="306522.94133797119"/>
    <n v="13726.579225863643"/>
    <n v="110592.55239016992"/>
  </r>
  <r>
    <s v="Sistema Isolado - Refaturamento"/>
    <x v="0"/>
    <x v="0"/>
    <x v="0"/>
    <x v="0"/>
    <x v="0"/>
    <x v="0"/>
    <x v="1"/>
    <x v="9"/>
    <n v="72"/>
    <n v="72"/>
    <n v="3.5289999999999999"/>
    <n v="3.5289999999999999"/>
    <n v="3.5289999999999999"/>
    <n v="3.5289999999999999"/>
    <n v="0"/>
    <x v="0"/>
    <n v="0"/>
    <n v="34"/>
    <n v="23"/>
    <n v="71"/>
    <n v="44"/>
    <n v="87.73"/>
    <n v="433.77"/>
    <n v="57.091253741473494"/>
    <n v="67.376989053363516"/>
    <n v="542.84414704984056"/>
    <n v="3168"/>
    <n v="309.59917000000002"/>
    <n v="1530.77433"/>
    <n v="4110.5702693860912"/>
    <n v="237.77339436931985"/>
    <n v="1915.6969949388872"/>
  </r>
  <r>
    <s v="Sistema de Compensação"/>
    <x v="0"/>
    <x v="0"/>
    <x v="0"/>
    <x v="0"/>
    <x v="0"/>
    <x v="0"/>
    <x v="1"/>
    <x v="9"/>
    <n v="377"/>
    <n v="377"/>
    <n v="19.803000000000001"/>
    <n v="19.803000000000001"/>
    <n v="19.803000000000001"/>
    <n v="19.803000000000001"/>
    <n v="0"/>
    <x v="0"/>
    <n v="0"/>
    <n v="34"/>
    <n v="23"/>
    <n v="71"/>
    <n v="44"/>
    <n v="87.73"/>
    <n v="433.77"/>
    <n v="57.091253741473494"/>
    <n v="67.376989053363516"/>
    <n v="542.84414704984056"/>
    <n v="16588"/>
    <n v="1737.3171900000002"/>
    <n v="8589.9473099999996"/>
    <n v="21523.402660535507"/>
    <n v="1334.2665142237577"/>
    <n v="10749.942644027993"/>
  </r>
  <r>
    <s v="Sistema Isolado - Regular"/>
    <x v="0"/>
    <x v="0"/>
    <x v="0"/>
    <x v="0"/>
    <x v="0"/>
    <x v="0"/>
    <x v="1"/>
    <x v="10"/>
    <n v="5449"/>
    <n v="5449"/>
    <n v="201.02199999999999"/>
    <n v="201.02199999999999"/>
    <n v="201.02199999999999"/>
    <n v="201.02199999999999"/>
    <n v="0"/>
    <x v="0"/>
    <n v="0"/>
    <n v="34"/>
    <n v="23"/>
    <n v="71"/>
    <n v="44"/>
    <n v="87.73"/>
    <n v="433.77"/>
    <n v="57.091253741473494"/>
    <n v="67.376989053363516"/>
    <n v="542.84414704984056"/>
    <n v="239756"/>
    <n v="17635.660059999998"/>
    <n v="87197.312939999989"/>
    <n v="311090.24163728906"/>
    <n v="13544.257093485241"/>
    <n v="109123.61612825304"/>
  </r>
  <r>
    <s v="Sistema de Compensação"/>
    <x v="0"/>
    <x v="0"/>
    <x v="0"/>
    <x v="0"/>
    <x v="0"/>
    <x v="0"/>
    <x v="1"/>
    <x v="10"/>
    <n v="239"/>
    <n v="239"/>
    <n v="12.212999999999999"/>
    <n v="12.212999999999999"/>
    <n v="12.212999999999999"/>
    <n v="12.212999999999999"/>
    <n v="0"/>
    <x v="0"/>
    <n v="0"/>
    <n v="34"/>
    <n v="23"/>
    <n v="71"/>
    <n v="44"/>
    <n v="87.73"/>
    <n v="433.77"/>
    <n v="57.091253741473494"/>
    <n v="67.376989053363516"/>
    <n v="542.84414704984056"/>
    <n v="10516"/>
    <n v="1071.44649"/>
    <n v="5297.6330099999996"/>
    <n v="13644.809644212166"/>
    <n v="822.87516730872858"/>
    <n v="6629.7555679197021"/>
  </r>
  <r>
    <s v="PROJETADO"/>
    <x v="0"/>
    <x v="0"/>
    <x v="0"/>
    <x v="0"/>
    <x v="0"/>
    <x v="0"/>
    <x v="1"/>
    <x v="11"/>
    <n v="5449"/>
    <n v="5449"/>
    <n v="201.02199999999999"/>
    <n v="201.02199999999999"/>
    <n v="201.02199999999999"/>
    <n v="201.02199999999999"/>
    <n v="0"/>
    <x v="0"/>
    <n v="0"/>
    <n v="34"/>
    <n v="23"/>
    <n v="71"/>
    <n v="44"/>
    <n v="87.73"/>
    <n v="433.77"/>
    <n v="57.091253741473494"/>
    <n v="67.376989053363516"/>
    <n v="542.84414704984056"/>
    <n v="239756"/>
    <n v="17635.660059999998"/>
    <n v="87197.312939999989"/>
    <n v="311090.24163728906"/>
    <n v="13544.257093485241"/>
    <n v="109123.61612825304"/>
  </r>
  <r>
    <s v="PROJETADO"/>
    <x v="0"/>
    <x v="0"/>
    <x v="0"/>
    <x v="0"/>
    <x v="0"/>
    <x v="0"/>
    <x v="1"/>
    <x v="11"/>
    <n v="239"/>
    <n v="239"/>
    <n v="12.212999999999999"/>
    <n v="12.212999999999999"/>
    <n v="12.212999999999999"/>
    <n v="12.212999999999999"/>
    <n v="0"/>
    <x v="0"/>
    <n v="0"/>
    <n v="34"/>
    <n v="23"/>
    <n v="71"/>
    <n v="44"/>
    <n v="87.73"/>
    <n v="433.77"/>
    <n v="57.091253741473494"/>
    <n v="67.376989053363516"/>
    <n v="542.84414704984056"/>
    <n v="10516"/>
    <n v="1071.44649"/>
    <n v="5297.6330099999996"/>
    <n v="13644.809644212166"/>
    <n v="822.87516730872858"/>
    <n v="6629.7555679197021"/>
  </r>
  <r>
    <s v="Sistema Isolado - Regular"/>
    <x v="0"/>
    <x v="0"/>
    <x v="1"/>
    <x v="0"/>
    <x v="0"/>
    <x v="0"/>
    <x v="0"/>
    <x v="0"/>
    <n v="50"/>
    <n v="50"/>
    <n v="7.6890000000000001"/>
    <n v="7.6890000000000001"/>
    <n v="7.6890000000000001"/>
    <n v="7.6890000000000001"/>
    <n v="0"/>
    <x v="0"/>
    <n v="0"/>
    <n v="27"/>
    <n v="23"/>
    <n v="59"/>
    <n v="14.64"/>
    <n v="87.73"/>
    <n v="253.9"/>
    <n v="19.024476785546895"/>
    <n v="67.376989053363516"/>
    <n v="317.3874512882154"/>
    <n v="732"/>
    <n v="674.55597"/>
    <n v="1952.2371000000001"/>
    <n v="951.22383927734472"/>
    <n v="518.06166883131209"/>
    <n v="2440.3921129550881"/>
  </r>
  <r>
    <s v="Sistema Isolado - Regular"/>
    <x v="0"/>
    <x v="0"/>
    <x v="1"/>
    <x v="0"/>
    <x v="0"/>
    <x v="0"/>
    <x v="0"/>
    <x v="1"/>
    <n v="47"/>
    <n v="47"/>
    <n v="8.0129999999999999"/>
    <n v="8.0129999999999999"/>
    <n v="8.0129999999999999"/>
    <n v="8.0129999999999999"/>
    <n v="0"/>
    <x v="0"/>
    <n v="0"/>
    <n v="27"/>
    <n v="23"/>
    <n v="59"/>
    <n v="14.64"/>
    <n v="87.73"/>
    <n v="253.9"/>
    <n v="19.024476785546895"/>
    <n v="67.376989053363516"/>
    <n v="317.3874512882154"/>
    <n v="688.08"/>
    <n v="702.98049000000003"/>
    <n v="2034.5007000000001"/>
    <n v="894.15040892070408"/>
    <n v="539.89181328460188"/>
    <n v="2543.22564717247"/>
  </r>
  <r>
    <s v="Sistema Isolado - Regular"/>
    <x v="0"/>
    <x v="0"/>
    <x v="1"/>
    <x v="0"/>
    <x v="0"/>
    <x v="0"/>
    <x v="0"/>
    <x v="2"/>
    <n v="46"/>
    <n v="46"/>
    <n v="8.6379999999999999"/>
    <n v="8.6379999999999999"/>
    <n v="8.6379999999999999"/>
    <n v="8.6379999999999999"/>
    <n v="0"/>
    <x v="0"/>
    <n v="0"/>
    <n v="27"/>
    <n v="23"/>
    <n v="59"/>
    <n v="14.64"/>
    <n v="87.73"/>
    <n v="253.9"/>
    <n v="19.024476785546895"/>
    <n v="67.376989053363516"/>
    <n v="317.3874512882154"/>
    <n v="673.44"/>
    <n v="757.81173999999999"/>
    <n v="2193.1882000000001"/>
    <n v="875.1259321351572"/>
    <n v="582.00243144295405"/>
    <n v="2741.5928042276046"/>
  </r>
  <r>
    <s v="Sistema Isolado - Regular"/>
    <x v="0"/>
    <x v="0"/>
    <x v="1"/>
    <x v="0"/>
    <x v="0"/>
    <x v="0"/>
    <x v="0"/>
    <x v="3"/>
    <n v="49"/>
    <n v="49"/>
    <n v="8.4809999999999999"/>
    <n v="8.4809999999999999"/>
    <n v="8.4809999999999999"/>
    <n v="8.4809999999999999"/>
    <n v="0"/>
    <x v="0"/>
    <n v="0"/>
    <n v="27"/>
    <n v="23"/>
    <n v="59"/>
    <n v="14.64"/>
    <n v="87.73"/>
    <n v="253.9"/>
    <n v="19.024476785546895"/>
    <n v="67.376989053363516"/>
    <n v="317.3874512882154"/>
    <n v="717.36"/>
    <n v="744.03813000000002"/>
    <n v="2153.3258999999998"/>
    <n v="932.19936249179784"/>
    <n v="571.42424416157598"/>
    <n v="2691.7629743753546"/>
  </r>
  <r>
    <s v="Sistema Isolado - Regular"/>
    <x v="0"/>
    <x v="0"/>
    <x v="1"/>
    <x v="0"/>
    <x v="0"/>
    <x v="0"/>
    <x v="0"/>
    <x v="4"/>
    <n v="47"/>
    <n v="47"/>
    <n v="8.6129999999999995"/>
    <n v="8.6129999999999995"/>
    <n v="8.6129999999999995"/>
    <n v="8.6129999999999995"/>
    <n v="0"/>
    <x v="0"/>
    <n v="0"/>
    <n v="27"/>
    <n v="23"/>
    <n v="59"/>
    <n v="14.64"/>
    <n v="87.73"/>
    <n v="253.9"/>
    <n v="19.024476785546895"/>
    <n v="67.376989053363516"/>
    <n v="317.3874512882154"/>
    <n v="688.08"/>
    <n v="755.61848999999995"/>
    <n v="2186.8406999999997"/>
    <n v="894.15040892070408"/>
    <n v="580.31800671661995"/>
    <n v="2733.6581179453992"/>
  </r>
  <r>
    <s v="Sistema Isolado - Regular"/>
    <x v="0"/>
    <x v="0"/>
    <x v="1"/>
    <x v="0"/>
    <x v="0"/>
    <x v="0"/>
    <x v="0"/>
    <x v="5"/>
    <n v="47"/>
    <n v="47"/>
    <n v="8.6129999999999995"/>
    <n v="8.6129999999999995"/>
    <n v="8.6129999999999995"/>
    <n v="8.6129999999999995"/>
    <n v="0"/>
    <x v="0"/>
    <n v="0"/>
    <n v="27"/>
    <n v="23"/>
    <n v="59"/>
    <n v="14.64"/>
    <n v="87.73"/>
    <n v="253.9"/>
    <n v="19.024476785546895"/>
    <n v="67.376989053363516"/>
    <n v="317.3874512882154"/>
    <n v="688.08"/>
    <n v="755.61848999999995"/>
    <n v="2186.8406999999997"/>
    <n v="894.15040892070408"/>
    <n v="580.31800671661995"/>
    <n v="2733.6581179453992"/>
  </r>
  <r>
    <s v="Sistema Isolado - Regular"/>
    <x v="0"/>
    <x v="0"/>
    <x v="1"/>
    <x v="0"/>
    <x v="0"/>
    <x v="0"/>
    <x v="0"/>
    <x v="6"/>
    <n v="42"/>
    <n v="42"/>
    <n v="7.6230000000000002"/>
    <n v="7.6230000000000002"/>
    <n v="7.6230000000000002"/>
    <n v="7.6230000000000002"/>
    <n v="0"/>
    <x v="0"/>
    <n v="0"/>
    <n v="27"/>
    <n v="23"/>
    <n v="59"/>
    <n v="14.64"/>
    <n v="87.73"/>
    <n v="253.9"/>
    <n v="19.024476785546895"/>
    <n v="67.376989053363516"/>
    <n v="317.3874512882154"/>
    <n v="614.88"/>
    <n v="668.76579000000004"/>
    <n v="1935.4797000000001"/>
    <n v="799.02802499296956"/>
    <n v="513.61478755379005"/>
    <n v="2419.4445411700663"/>
  </r>
  <r>
    <s v="Sistema Isolado - Regular"/>
    <x v="0"/>
    <x v="0"/>
    <x v="1"/>
    <x v="0"/>
    <x v="0"/>
    <x v="0"/>
    <x v="0"/>
    <x v="7"/>
    <n v="38"/>
    <n v="38"/>
    <n v="6.5430000000000001"/>
    <n v="6.5430000000000001"/>
    <n v="6.5430000000000001"/>
    <n v="6.5430000000000001"/>
    <n v="0"/>
    <x v="0"/>
    <n v="0"/>
    <n v="27"/>
    <n v="23"/>
    <n v="59"/>
    <n v="14.64"/>
    <n v="87.73"/>
    <n v="253.9"/>
    <n v="19.024476785546895"/>
    <n v="67.376989053363516"/>
    <n v="317.3874512882154"/>
    <n v="556.32000000000005"/>
    <n v="574.01739000000009"/>
    <n v="1661.2677000000001"/>
    <n v="722.93011785078204"/>
    <n v="440.84763937615747"/>
    <n v="2076.6660937787933"/>
  </r>
  <r>
    <s v="Sistema Isolado - Regular"/>
    <x v="0"/>
    <x v="0"/>
    <x v="1"/>
    <x v="0"/>
    <x v="0"/>
    <x v="0"/>
    <x v="0"/>
    <x v="8"/>
    <n v="42"/>
    <n v="42"/>
    <n v="7.8470000000000004"/>
    <n v="7.8470000000000004"/>
    <n v="7.8470000000000004"/>
    <n v="7.8470000000000004"/>
    <n v="0"/>
    <x v="0"/>
    <n v="0"/>
    <n v="27"/>
    <n v="23"/>
    <n v="59"/>
    <n v="14.64"/>
    <n v="87.73"/>
    <n v="253.9"/>
    <n v="19.024476785546895"/>
    <n v="67.376989053363516"/>
    <n v="317.3874512882154"/>
    <n v="614.88"/>
    <n v="688.41731000000004"/>
    <n v="1992.3533000000002"/>
    <n v="799.02802499296956"/>
    <n v="528.70723310174355"/>
    <n v="2490.5393302586263"/>
  </r>
  <r>
    <s v="Sistema Isolado - Regular"/>
    <x v="0"/>
    <x v="0"/>
    <x v="1"/>
    <x v="0"/>
    <x v="0"/>
    <x v="0"/>
    <x v="0"/>
    <x v="9"/>
    <n v="49"/>
    <n v="49"/>
    <n v="8.9969999999999999"/>
    <n v="8.9969999999999999"/>
    <n v="8.9969999999999999"/>
    <n v="8.9969999999999999"/>
    <n v="0"/>
    <x v="0"/>
    <n v="0"/>
    <n v="27"/>
    <n v="23"/>
    <n v="59"/>
    <n v="14.64"/>
    <n v="87.73"/>
    <n v="253.9"/>
    <n v="19.024476785546895"/>
    <n v="67.376989053363516"/>
    <n v="317.3874512882154"/>
    <n v="717.36"/>
    <n v="789.30681000000004"/>
    <n v="2284.3382999999999"/>
    <n v="932.19936249179784"/>
    <n v="606.1907705131116"/>
    <n v="2855.5348992400741"/>
  </r>
  <r>
    <s v="Sistema Isolado - Regular"/>
    <x v="0"/>
    <x v="0"/>
    <x v="1"/>
    <x v="0"/>
    <x v="0"/>
    <x v="0"/>
    <x v="0"/>
    <x v="10"/>
    <n v="51"/>
    <n v="51"/>
    <n v="9.1839999999999993"/>
    <n v="9.1839999999999993"/>
    <n v="9.1839999999999993"/>
    <n v="9.1839999999999993"/>
    <n v="0"/>
    <x v="0"/>
    <n v="0"/>
    <n v="27"/>
    <n v="23"/>
    <n v="59"/>
    <n v="14.64"/>
    <n v="87.73"/>
    <n v="253.9"/>
    <n v="19.024476785546895"/>
    <n v="67.376989053363516"/>
    <n v="317.3874512882154"/>
    <n v="746.64"/>
    <n v="805.71231999999998"/>
    <n v="2331.8175999999999"/>
    <n v="970.2483160628916"/>
    <n v="618.79026746609054"/>
    <n v="2914.8863526309701"/>
  </r>
  <r>
    <s v="PROJETADO"/>
    <x v="0"/>
    <x v="0"/>
    <x v="1"/>
    <x v="0"/>
    <x v="0"/>
    <x v="0"/>
    <x v="0"/>
    <x v="11"/>
    <n v="51"/>
    <n v="51"/>
    <n v="9.1839999999999993"/>
    <n v="9.1839999999999993"/>
    <n v="9.1839999999999993"/>
    <n v="9.1839999999999993"/>
    <n v="0"/>
    <x v="0"/>
    <n v="0"/>
    <n v="27"/>
    <n v="23"/>
    <n v="59"/>
    <n v="14.64"/>
    <n v="87.73"/>
    <n v="253.9"/>
    <n v="19.024476785546895"/>
    <n v="67.376989053363516"/>
    <n v="317.3874512882154"/>
    <n v="746.64"/>
    <n v="805.71231999999998"/>
    <n v="2331.8175999999999"/>
    <n v="970.2483160628916"/>
    <n v="618.79026746609054"/>
    <n v="2914.8863526309701"/>
  </r>
  <r>
    <s v="Sistema Isolado - Regular"/>
    <x v="0"/>
    <x v="0"/>
    <x v="1"/>
    <x v="0"/>
    <x v="0"/>
    <x v="0"/>
    <x v="1"/>
    <x v="0"/>
    <n v="5"/>
    <n v="5"/>
    <n v="0.30399999999999999"/>
    <n v="0.30399999999999999"/>
    <n v="0.30399999999999999"/>
    <n v="0.30399999999999999"/>
    <n v="0"/>
    <x v="0"/>
    <n v="0"/>
    <n v="34"/>
    <n v="23"/>
    <n v="71"/>
    <n v="44"/>
    <n v="87.73"/>
    <n v="433.77"/>
    <n v="57.091253741473494"/>
    <n v="67.376989053363516"/>
    <n v="542.84414704984056"/>
    <n v="220"/>
    <n v="26.669920000000001"/>
    <n v="131.86607999999998"/>
    <n v="285.45626870736749"/>
    <n v="20.482604672222507"/>
    <n v="165.02462070315153"/>
  </r>
  <r>
    <s v="Sistema Isolado - Regular"/>
    <x v="0"/>
    <x v="0"/>
    <x v="1"/>
    <x v="0"/>
    <x v="0"/>
    <x v="0"/>
    <x v="1"/>
    <x v="1"/>
    <n v="6"/>
    <n v="6"/>
    <n v="0.34300000000000003"/>
    <n v="0.34300000000000003"/>
    <n v="0.34300000000000003"/>
    <n v="0.34300000000000003"/>
    <n v="0"/>
    <x v="0"/>
    <n v="0"/>
    <n v="34"/>
    <n v="23"/>
    <n v="71"/>
    <n v="44"/>
    <n v="87.73"/>
    <n v="433.77"/>
    <n v="57.091253741473494"/>
    <n v="67.376989053363516"/>
    <n v="542.84414704984056"/>
    <n v="264"/>
    <n v="30.091390000000004"/>
    <n v="148.78310999999999"/>
    <n v="342.54752244884094"/>
    <n v="23.110307245303687"/>
    <n v="186.19554243809532"/>
  </r>
  <r>
    <s v="Sistema Isolado - Regular"/>
    <x v="0"/>
    <x v="0"/>
    <x v="1"/>
    <x v="0"/>
    <x v="0"/>
    <x v="0"/>
    <x v="1"/>
    <x v="2"/>
    <n v="8"/>
    <n v="8"/>
    <n v="0.34200000000000003"/>
    <n v="0.34200000000000003"/>
    <n v="0.34200000000000003"/>
    <n v="0.34200000000000003"/>
    <n v="0"/>
    <x v="0"/>
    <n v="0"/>
    <n v="34"/>
    <n v="23"/>
    <n v="71"/>
    <n v="44"/>
    <n v="87.73"/>
    <n v="433.77"/>
    <n v="57.091253741473494"/>
    <n v="67.376989053363516"/>
    <n v="542.84414704984056"/>
    <n v="352"/>
    <n v="30.003660000000004"/>
    <n v="148.34934000000001"/>
    <n v="456.73002993178795"/>
    <n v="23.042930256250326"/>
    <n v="185.65269829104548"/>
  </r>
  <r>
    <s v="Sistema Isolado - Regular"/>
    <x v="0"/>
    <x v="0"/>
    <x v="1"/>
    <x v="0"/>
    <x v="0"/>
    <x v="0"/>
    <x v="1"/>
    <x v="3"/>
    <n v="10"/>
    <n v="10"/>
    <n v="0.36"/>
    <n v="0.36"/>
    <n v="0.36"/>
    <n v="0.36"/>
    <n v="0"/>
    <x v="0"/>
    <n v="0"/>
    <n v="34"/>
    <n v="23"/>
    <n v="71"/>
    <n v="44"/>
    <n v="87.73"/>
    <n v="433.77"/>
    <n v="57.091253741473494"/>
    <n v="67.376989053363516"/>
    <n v="542.84414704984056"/>
    <n v="440"/>
    <n v="31.582799999999999"/>
    <n v="156.15719999999999"/>
    <n v="570.91253741473497"/>
    <n v="24.255716059210865"/>
    <n v="195.42389293794258"/>
  </r>
  <r>
    <s v="Sistema Isolado - Regular"/>
    <x v="0"/>
    <x v="0"/>
    <x v="1"/>
    <x v="0"/>
    <x v="0"/>
    <x v="0"/>
    <x v="1"/>
    <x v="4"/>
    <n v="14"/>
    <n v="14"/>
    <n v="0.40600000000000003"/>
    <n v="0.40600000000000003"/>
    <n v="0.40600000000000003"/>
    <n v="0.40600000000000003"/>
    <n v="0"/>
    <x v="0"/>
    <n v="0"/>
    <n v="34"/>
    <n v="23"/>
    <n v="71"/>
    <n v="44"/>
    <n v="87.73"/>
    <n v="433.77"/>
    <n v="57.091253741473494"/>
    <n v="67.376989053363516"/>
    <n v="542.84414704984056"/>
    <n v="616"/>
    <n v="35.618380000000002"/>
    <n v="176.11062000000001"/>
    <n v="799.27755238062889"/>
    <n v="27.355057555665589"/>
    <n v="220.39472370223527"/>
  </r>
  <r>
    <s v="Sistema Isolado - Regular"/>
    <x v="0"/>
    <x v="0"/>
    <x v="1"/>
    <x v="0"/>
    <x v="0"/>
    <x v="0"/>
    <x v="1"/>
    <x v="5"/>
    <n v="14"/>
    <n v="14"/>
    <n v="0.40600000000000003"/>
    <n v="0.40600000000000003"/>
    <n v="0.40600000000000003"/>
    <n v="0.40600000000000003"/>
    <n v="0"/>
    <x v="0"/>
    <n v="0"/>
    <n v="34"/>
    <n v="23"/>
    <n v="71"/>
    <n v="44"/>
    <n v="87.73"/>
    <n v="433.77"/>
    <n v="57.091253741473494"/>
    <n v="67.376989053363516"/>
    <n v="542.84414704984056"/>
    <n v="616"/>
    <n v="35.618380000000002"/>
    <n v="176.11062000000001"/>
    <n v="799.27755238062889"/>
    <n v="27.355057555665589"/>
    <n v="220.39472370223527"/>
  </r>
  <r>
    <s v="Sistema Isolado - Regular"/>
    <x v="0"/>
    <x v="0"/>
    <x v="1"/>
    <x v="0"/>
    <x v="0"/>
    <x v="0"/>
    <x v="1"/>
    <x v="6"/>
    <n v="8"/>
    <n v="8"/>
    <n v="0.312"/>
    <n v="0.312"/>
    <n v="0.312"/>
    <n v="0.312"/>
    <n v="0"/>
    <x v="0"/>
    <n v="0"/>
    <n v="34"/>
    <n v="23"/>
    <n v="71"/>
    <n v="44"/>
    <n v="87.73"/>
    <n v="433.77"/>
    <n v="57.091253741473494"/>
    <n v="67.376989053363516"/>
    <n v="542.84414704984056"/>
    <n v="352"/>
    <n v="27.371760000000002"/>
    <n v="135.33624"/>
    <n v="456.73002993178795"/>
    <n v="21.021620584649416"/>
    <n v="169.36737387955026"/>
  </r>
  <r>
    <s v="Sistema Isolado - Regular"/>
    <x v="0"/>
    <x v="0"/>
    <x v="1"/>
    <x v="0"/>
    <x v="0"/>
    <x v="0"/>
    <x v="1"/>
    <x v="7"/>
    <n v="8"/>
    <n v="8"/>
    <n v="0.29299999999999998"/>
    <n v="0.29299999999999998"/>
    <n v="0.29299999999999998"/>
    <n v="0.29299999999999998"/>
    <n v="0"/>
    <x v="0"/>
    <n v="0"/>
    <n v="34"/>
    <n v="23"/>
    <n v="71"/>
    <n v="44"/>
    <n v="87.73"/>
    <n v="433.77"/>
    <n v="57.091253741473494"/>
    <n v="67.376989053363516"/>
    <n v="542.84414704984056"/>
    <n v="352"/>
    <n v="25.704889999999999"/>
    <n v="127.09460999999999"/>
    <n v="456.73002993178795"/>
    <n v="19.741457792635508"/>
    <n v="159.05333508560327"/>
  </r>
  <r>
    <s v="Sistema Isolado - Regular"/>
    <x v="0"/>
    <x v="0"/>
    <x v="1"/>
    <x v="0"/>
    <x v="0"/>
    <x v="0"/>
    <x v="1"/>
    <x v="8"/>
    <n v="7"/>
    <n v="7"/>
    <n v="0.29799999999999999"/>
    <n v="0.29799999999999999"/>
    <n v="0.29799999999999999"/>
    <n v="0.29799999999999999"/>
    <n v="0"/>
    <x v="0"/>
    <n v="0"/>
    <n v="34"/>
    <n v="23"/>
    <n v="71"/>
    <n v="44"/>
    <n v="87.73"/>
    <n v="433.77"/>
    <n v="57.091253741473494"/>
    <n v="67.376989053363516"/>
    <n v="542.84414704984056"/>
    <n v="308"/>
    <n v="26.143540000000002"/>
    <n v="129.26345999999998"/>
    <n v="399.63877619031445"/>
    <n v="20.078342737902329"/>
    <n v="161.76755582085249"/>
  </r>
  <r>
    <s v="Sistema Isolado - Regular"/>
    <x v="0"/>
    <x v="0"/>
    <x v="1"/>
    <x v="0"/>
    <x v="0"/>
    <x v="0"/>
    <x v="1"/>
    <x v="9"/>
    <n v="7"/>
    <n v="7"/>
    <n v="0.35099999999999998"/>
    <n v="0.35099999999999998"/>
    <n v="0.35099999999999998"/>
    <n v="0.35099999999999998"/>
    <n v="0"/>
    <x v="0"/>
    <n v="0"/>
    <n v="34"/>
    <n v="23"/>
    <n v="71"/>
    <n v="44"/>
    <n v="87.73"/>
    <n v="433.77"/>
    <n v="57.091253741473494"/>
    <n v="67.376989053363516"/>
    <n v="542.84414704984056"/>
    <n v="308"/>
    <n v="30.793230000000001"/>
    <n v="152.25326999999999"/>
    <n v="399.63877619031445"/>
    <n v="23.649323157730592"/>
    <n v="190.53829561449402"/>
  </r>
  <r>
    <s v="Sistema Isolado - Regular"/>
    <x v="0"/>
    <x v="0"/>
    <x v="1"/>
    <x v="0"/>
    <x v="0"/>
    <x v="0"/>
    <x v="1"/>
    <x v="10"/>
    <n v="9"/>
    <n v="9"/>
    <n v="0.34399999999999997"/>
    <n v="0.34399999999999997"/>
    <n v="0.34399999999999997"/>
    <n v="0.34399999999999997"/>
    <n v="0"/>
    <x v="0"/>
    <n v="0"/>
    <n v="34"/>
    <n v="23"/>
    <n v="71"/>
    <n v="44"/>
    <n v="87.73"/>
    <n v="433.77"/>
    <n v="57.091253741473494"/>
    <n v="67.376989053363516"/>
    <n v="542.84414704984056"/>
    <n v="396"/>
    <n v="30.179119999999998"/>
    <n v="149.21687999999997"/>
    <n v="513.82128367326141"/>
    <n v="23.177684234357049"/>
    <n v="186.73838658514515"/>
  </r>
  <r>
    <s v="PROJETADO"/>
    <x v="0"/>
    <x v="0"/>
    <x v="1"/>
    <x v="0"/>
    <x v="0"/>
    <x v="0"/>
    <x v="1"/>
    <x v="11"/>
    <n v="9"/>
    <n v="9"/>
    <n v="0.34399999999999997"/>
    <n v="0.34399999999999997"/>
    <n v="0.34399999999999997"/>
    <n v="0.34399999999999997"/>
    <n v="0"/>
    <x v="0"/>
    <n v="0"/>
    <n v="34"/>
    <n v="23"/>
    <n v="71"/>
    <n v="44"/>
    <n v="87.73"/>
    <n v="433.77"/>
    <n v="57.091253741473494"/>
    <n v="67.376989053363516"/>
    <n v="542.84414704984056"/>
    <n v="396"/>
    <n v="30.179119999999998"/>
    <n v="149.21687999999997"/>
    <n v="513.82128367326141"/>
    <n v="23.177684234357049"/>
    <n v="186.73838658514515"/>
  </r>
  <r>
    <s v="Sistema Isolado - Regular"/>
    <x v="0"/>
    <x v="0"/>
    <x v="2"/>
    <x v="0"/>
    <x v="0"/>
    <x v="0"/>
    <x v="0"/>
    <x v="0"/>
    <n v="249"/>
    <n v="249"/>
    <n v="131.51499999999999"/>
    <n v="131.51499999999999"/>
    <n v="131.51499999999999"/>
    <n v="131.51499999999999"/>
    <n v="0"/>
    <x v="0"/>
    <n v="0"/>
    <n v="27"/>
    <n v="23"/>
    <n v="59"/>
    <n v="14.64"/>
    <n v="87.73"/>
    <n v="253.9"/>
    <n v="19.024476785546895"/>
    <n v="67.376989053363516"/>
    <n v="317.3874512882154"/>
    <n v="3645.36"/>
    <n v="11537.810949999999"/>
    <n v="33391.658499999998"/>
    <n v="4737.0947196011766"/>
    <n v="8861.0847153531013"/>
    <n v="41741.210656169642"/>
  </r>
  <r>
    <s v="Sistema Isolado - Regular"/>
    <x v="0"/>
    <x v="0"/>
    <x v="2"/>
    <x v="0"/>
    <x v="0"/>
    <x v="0"/>
    <x v="0"/>
    <x v="1"/>
    <n v="290"/>
    <n v="290"/>
    <n v="143.375"/>
    <n v="143.375"/>
    <n v="143.375"/>
    <n v="143.375"/>
    <n v="0"/>
    <x v="0"/>
    <n v="0"/>
    <n v="27"/>
    <n v="23"/>
    <n v="59"/>
    <n v="14.64"/>
    <n v="87.73"/>
    <n v="253.9"/>
    <n v="19.024476785546895"/>
    <n v="67.376989053363516"/>
    <n v="317.3874512882154"/>
    <n v="4245.6000000000004"/>
    <n v="12578.28875"/>
    <n v="36402.912499999999"/>
    <n v="5517.0982678085993"/>
    <n v="9660.1758055259943"/>
    <n v="45505.425828447886"/>
  </r>
  <r>
    <s v="Sistema Isolado - Regular"/>
    <x v="0"/>
    <x v="0"/>
    <x v="2"/>
    <x v="0"/>
    <x v="0"/>
    <x v="0"/>
    <x v="0"/>
    <x v="2"/>
    <n v="295"/>
    <n v="295"/>
    <n v="135.095"/>
    <n v="135.095"/>
    <n v="135.095"/>
    <n v="135.095"/>
    <n v="0"/>
    <x v="0"/>
    <n v="0"/>
    <n v="27"/>
    <n v="23"/>
    <n v="59"/>
    <n v="14.64"/>
    <n v="87.73"/>
    <n v="253.9"/>
    <n v="19.024476785546895"/>
    <n v="67.376989053363516"/>
    <n v="317.3874512882154"/>
    <n v="4318.8"/>
    <n v="11851.88435"/>
    <n v="34300.620499999997"/>
    <n v="5612.2206517363338"/>
    <n v="9102.2943361641446"/>
    <n v="42877.457731781462"/>
  </r>
  <r>
    <s v="Sistema Isolado - Regular"/>
    <x v="0"/>
    <x v="0"/>
    <x v="2"/>
    <x v="0"/>
    <x v="0"/>
    <x v="0"/>
    <x v="0"/>
    <x v="3"/>
    <n v="276"/>
    <n v="276"/>
    <n v="109.083"/>
    <n v="109.083"/>
    <n v="109.083"/>
    <n v="109.083"/>
    <n v="0"/>
    <x v="0"/>
    <n v="0"/>
    <n v="27"/>
    <n v="23"/>
    <n v="59"/>
    <n v="14.64"/>
    <n v="87.73"/>
    <n v="253.9"/>
    <n v="19.024476785546895"/>
    <n v="67.376989053363516"/>
    <n v="317.3874512882154"/>
    <n v="4040.6400000000003"/>
    <n v="9569.8515900000002"/>
    <n v="27696.173699999999"/>
    <n v="5250.7555928109432"/>
    <n v="7349.6840969080522"/>
    <n v="34621.5753488724"/>
  </r>
  <r>
    <s v="Sistema Isolado - Regular"/>
    <x v="0"/>
    <x v="0"/>
    <x v="2"/>
    <x v="0"/>
    <x v="0"/>
    <x v="0"/>
    <x v="0"/>
    <x v="4"/>
    <n v="247"/>
    <n v="247"/>
    <n v="115.306"/>
    <n v="115.306"/>
    <n v="115.306"/>
    <n v="115.306"/>
    <n v="0"/>
    <x v="0"/>
    <n v="0"/>
    <n v="27"/>
    <n v="23"/>
    <n v="59"/>
    <n v="14.64"/>
    <n v="87.73"/>
    <n v="253.9"/>
    <n v="19.024476785546895"/>
    <n v="67.376989053363516"/>
    <n v="317.3874512882154"/>
    <n v="3616.08"/>
    <n v="10115.79538"/>
    <n v="29276.1934"/>
    <n v="4699.0457660300826"/>
    <n v="7768.9710997871334"/>
    <n v="36596.677458238963"/>
  </r>
  <r>
    <s v="Sistema Isolado - Regular"/>
    <x v="0"/>
    <x v="0"/>
    <x v="2"/>
    <x v="0"/>
    <x v="0"/>
    <x v="0"/>
    <x v="0"/>
    <x v="5"/>
    <n v="247"/>
    <n v="247"/>
    <n v="115.306"/>
    <n v="115.306"/>
    <n v="115.306"/>
    <n v="115.306"/>
    <n v="0"/>
    <x v="0"/>
    <n v="0"/>
    <n v="27"/>
    <n v="23"/>
    <n v="59"/>
    <n v="14.64"/>
    <n v="87.73"/>
    <n v="253.9"/>
    <n v="19.024476785546895"/>
    <n v="67.376989053363516"/>
    <n v="317.3874512882154"/>
    <n v="3616.08"/>
    <n v="10115.79538"/>
    <n v="29276.1934"/>
    <n v="4699.0457660300826"/>
    <n v="7768.9710997871334"/>
    <n v="36596.677458238963"/>
  </r>
  <r>
    <s v="Sistema Isolado - Regular"/>
    <x v="0"/>
    <x v="0"/>
    <x v="2"/>
    <x v="0"/>
    <x v="0"/>
    <x v="0"/>
    <x v="0"/>
    <x v="6"/>
    <n v="229"/>
    <n v="229"/>
    <n v="111.71299999999999"/>
    <n v="111.71299999999999"/>
    <n v="111.71299999999999"/>
    <n v="111.71299999999999"/>
    <n v="0"/>
    <x v="0"/>
    <n v="0"/>
    <n v="27"/>
    <n v="23"/>
    <n v="59"/>
    <n v="14.64"/>
    <n v="87.73"/>
    <n v="253.9"/>
    <n v="19.024476785546895"/>
    <n v="67.376989053363516"/>
    <n v="317.3874512882154"/>
    <n v="3352.56"/>
    <n v="9800.5814900000005"/>
    <n v="28363.930700000001"/>
    <n v="4356.6051838902385"/>
    <n v="7526.8855781183984"/>
    <n v="35456.304345760407"/>
  </r>
  <r>
    <s v="Sistema Isolado - Regular"/>
    <x v="0"/>
    <x v="0"/>
    <x v="2"/>
    <x v="0"/>
    <x v="0"/>
    <x v="0"/>
    <x v="0"/>
    <x v="7"/>
    <n v="238"/>
    <n v="238"/>
    <n v="110.291"/>
    <n v="110.291"/>
    <n v="110.291"/>
    <n v="110.291"/>
    <n v="0"/>
    <x v="0"/>
    <n v="0"/>
    <n v="27"/>
    <n v="23"/>
    <n v="59"/>
    <n v="14.64"/>
    <n v="87.73"/>
    <n v="253.9"/>
    <n v="19.024476785546895"/>
    <n v="67.376989053363516"/>
    <n v="317.3874512882154"/>
    <n v="3484.32"/>
    <n v="9675.8294299999998"/>
    <n v="28002.884900000001"/>
    <n v="4527.825474960161"/>
    <n v="7431.0754996845153"/>
    <n v="35004.979390028566"/>
  </r>
  <r>
    <s v="Sistema Isolado - Regular"/>
    <x v="0"/>
    <x v="0"/>
    <x v="2"/>
    <x v="0"/>
    <x v="0"/>
    <x v="0"/>
    <x v="0"/>
    <x v="8"/>
    <n v="226"/>
    <n v="226"/>
    <n v="109.681"/>
    <n v="109.681"/>
    <n v="109.681"/>
    <n v="109.681"/>
    <n v="0"/>
    <x v="0"/>
    <n v="0"/>
    <n v="27"/>
    <n v="23"/>
    <n v="59"/>
    <n v="14.64"/>
    <n v="87.73"/>
    <n v="253.9"/>
    <n v="19.024476785546895"/>
    <n v="67.376989053363516"/>
    <n v="317.3874512882154"/>
    <n v="3308.6400000000003"/>
    <n v="9622.3141300000007"/>
    <n v="27848.0059"/>
    <n v="4299.531753533598"/>
    <n v="7389.9755363619633"/>
    <n v="34811.373044742752"/>
  </r>
  <r>
    <s v="Sistema Isolado - Regular"/>
    <x v="0"/>
    <x v="0"/>
    <x v="2"/>
    <x v="0"/>
    <x v="0"/>
    <x v="0"/>
    <x v="0"/>
    <x v="9"/>
    <n v="218"/>
    <n v="218"/>
    <n v="99.186000000000007"/>
    <n v="99.186000000000007"/>
    <n v="99.186000000000007"/>
    <n v="99.186000000000007"/>
    <n v="0"/>
    <x v="0"/>
    <n v="0"/>
    <n v="27"/>
    <n v="23"/>
    <n v="59"/>
    <n v="14.64"/>
    <n v="87.73"/>
    <n v="253.9"/>
    <n v="19.024476785546895"/>
    <n v="67.376989053363516"/>
    <n v="317.3874512882154"/>
    <n v="3191.52"/>
    <n v="8701.5877800000017"/>
    <n v="25183.325400000002"/>
    <n v="4147.335939249223"/>
    <n v="6682.8540362469139"/>
    <n v="31480.391743472934"/>
  </r>
  <r>
    <s v="Sistema Isolado - Regular"/>
    <x v="0"/>
    <x v="0"/>
    <x v="2"/>
    <x v="0"/>
    <x v="0"/>
    <x v="0"/>
    <x v="0"/>
    <x v="10"/>
    <n v="223"/>
    <n v="223"/>
    <n v="90.992999999999995"/>
    <n v="90.992999999999995"/>
    <n v="90.992999999999995"/>
    <n v="90.992999999999995"/>
    <n v="0"/>
    <x v="0"/>
    <n v="0"/>
    <n v="27"/>
    <n v="23"/>
    <n v="59"/>
    <n v="14.64"/>
    <n v="87.73"/>
    <n v="253.9"/>
    <n v="19.024476785546895"/>
    <n v="67.376989053363516"/>
    <n v="317.3874512882154"/>
    <n v="3264.7200000000003"/>
    <n v="7982.8158899999999"/>
    <n v="23103.1227"/>
    <n v="4242.4583231769575"/>
    <n v="6130.8343649327062"/>
    <n v="28880.036355068583"/>
  </r>
  <r>
    <s v="PROJETADO"/>
    <x v="0"/>
    <x v="0"/>
    <x v="2"/>
    <x v="0"/>
    <x v="0"/>
    <x v="0"/>
    <x v="0"/>
    <x v="11"/>
    <n v="223"/>
    <n v="223"/>
    <n v="90.992999999999995"/>
    <n v="90.992999999999995"/>
    <n v="90.992999999999995"/>
    <n v="90.992999999999995"/>
    <n v="0"/>
    <x v="0"/>
    <n v="0"/>
    <n v="27"/>
    <n v="23"/>
    <n v="59"/>
    <n v="14.64"/>
    <n v="87.73"/>
    <n v="253.9"/>
    <n v="19.024476785546895"/>
    <n v="67.376989053363516"/>
    <n v="317.3874512882154"/>
    <n v="3264.7200000000003"/>
    <n v="7982.8158899999999"/>
    <n v="23103.1227"/>
    <n v="4242.4583231769575"/>
    <n v="6130.8343649327062"/>
    <n v="28880.036355068583"/>
  </r>
  <r>
    <s v="Sistema Isolado - Regular"/>
    <x v="0"/>
    <x v="0"/>
    <x v="2"/>
    <x v="0"/>
    <x v="0"/>
    <x v="0"/>
    <x v="1"/>
    <x v="0"/>
    <n v="251"/>
    <n v="251"/>
    <n v="12.065"/>
    <n v="12.065"/>
    <n v="12.065"/>
    <n v="12.065"/>
    <n v="0"/>
    <x v="0"/>
    <n v="0"/>
    <n v="34"/>
    <n v="23"/>
    <n v="71"/>
    <n v="44"/>
    <n v="87.73"/>
    <n v="433.77"/>
    <n v="57.091253741473494"/>
    <n v="67.376989053363516"/>
    <n v="542.84414704984056"/>
    <n v="11044"/>
    <n v="1058.46245"/>
    <n v="5233.4350499999991"/>
    <n v="14329.904689109848"/>
    <n v="812.90337292883078"/>
    <n v="6549.4146341563264"/>
  </r>
  <r>
    <s v="Sistema Isolado - Regular"/>
    <x v="0"/>
    <x v="0"/>
    <x v="2"/>
    <x v="0"/>
    <x v="0"/>
    <x v="0"/>
    <x v="1"/>
    <x v="1"/>
    <n v="278"/>
    <n v="278"/>
    <n v="14.382"/>
    <n v="14.382"/>
    <n v="14.382"/>
    <n v="14.382"/>
    <n v="0"/>
    <x v="0"/>
    <n v="0"/>
    <n v="34"/>
    <n v="23"/>
    <n v="71"/>
    <n v="44"/>
    <n v="87.73"/>
    <n v="433.77"/>
    <n v="57.091253741473494"/>
    <n v="67.376989053363516"/>
    <n v="542.84414704984056"/>
    <n v="12232"/>
    <n v="1261.7328600000001"/>
    <n v="6238.4801399999997"/>
    <n v="15871.368540129632"/>
    <n v="969.01585656547411"/>
    <n v="7807.1845228708071"/>
  </r>
  <r>
    <s v="Sistema Isolado - Regular"/>
    <x v="0"/>
    <x v="0"/>
    <x v="2"/>
    <x v="0"/>
    <x v="0"/>
    <x v="0"/>
    <x v="1"/>
    <x v="2"/>
    <n v="251"/>
    <n v="251"/>
    <n v="12.278"/>
    <n v="12.278"/>
    <n v="12.278"/>
    <n v="12.278"/>
    <n v="0"/>
    <x v="0"/>
    <n v="0"/>
    <n v="34"/>
    <n v="23"/>
    <n v="71"/>
    <n v="44"/>
    <n v="87.73"/>
    <n v="433.77"/>
    <n v="57.091253741473494"/>
    <n v="67.376989053363516"/>
    <n v="542.84414704984056"/>
    <n v="11044"/>
    <n v="1077.14894"/>
    <n v="5325.8280599999998"/>
    <n v="14329.904689109848"/>
    <n v="827.25467159719733"/>
    <n v="6665.0404374779428"/>
  </r>
  <r>
    <s v="Sistema Isolado - Regular"/>
    <x v="0"/>
    <x v="0"/>
    <x v="2"/>
    <x v="0"/>
    <x v="0"/>
    <x v="0"/>
    <x v="1"/>
    <x v="3"/>
    <n v="246"/>
    <n v="246"/>
    <n v="11.004"/>
    <n v="11.004"/>
    <n v="11.004"/>
    <n v="11.004"/>
    <n v="0"/>
    <x v="0"/>
    <n v="0"/>
    <n v="34"/>
    <n v="23"/>
    <n v="71"/>
    <n v="44"/>
    <n v="87.73"/>
    <n v="433.77"/>
    <n v="57.091253741473494"/>
    <n v="67.376989053363516"/>
    <n v="542.84414704984056"/>
    <n v="10824"/>
    <n v="965.38092000000006"/>
    <n v="4773.2050799999997"/>
    <n v="14044.448420402479"/>
    <n v="741.41638754321207"/>
    <n v="5973.4569941364452"/>
  </r>
  <r>
    <s v="Sistema Isolado - Regular"/>
    <x v="0"/>
    <x v="0"/>
    <x v="2"/>
    <x v="0"/>
    <x v="0"/>
    <x v="0"/>
    <x v="1"/>
    <x v="4"/>
    <n v="243"/>
    <n v="243"/>
    <n v="11.874000000000001"/>
    <n v="11.874000000000001"/>
    <n v="11.874000000000001"/>
    <n v="11.874000000000001"/>
    <n v="0"/>
    <x v="0"/>
    <n v="0"/>
    <n v="34"/>
    <n v="23"/>
    <n v="71"/>
    <n v="44"/>
    <n v="87.73"/>
    <n v="433.77"/>
    <n v="57.091253741473494"/>
    <n v="67.376989053363516"/>
    <n v="542.84414704984056"/>
    <n v="10692"/>
    <n v="1041.7060200000001"/>
    <n v="5150.5849799999996"/>
    <n v="13873.174659178059"/>
    <n v="800.03436801963846"/>
    <n v="6445.7314020698068"/>
  </r>
  <r>
    <s v="Sistema Isolado - Regular"/>
    <x v="0"/>
    <x v="0"/>
    <x v="2"/>
    <x v="0"/>
    <x v="0"/>
    <x v="0"/>
    <x v="1"/>
    <x v="5"/>
    <n v="243"/>
    <n v="243"/>
    <n v="11.874000000000001"/>
    <n v="11.874000000000001"/>
    <n v="11.874000000000001"/>
    <n v="11.874000000000001"/>
    <n v="0"/>
    <x v="0"/>
    <n v="0"/>
    <n v="34"/>
    <n v="23"/>
    <n v="71"/>
    <n v="44"/>
    <n v="87.73"/>
    <n v="433.77"/>
    <n v="57.091253741473494"/>
    <n v="67.376989053363516"/>
    <n v="542.84414704984056"/>
    <n v="10692"/>
    <n v="1041.7060200000001"/>
    <n v="5150.5849799999996"/>
    <n v="13873.174659178059"/>
    <n v="800.03436801963846"/>
    <n v="6445.7314020698068"/>
  </r>
  <r>
    <s v="Sistema Isolado - Regular"/>
    <x v="0"/>
    <x v="0"/>
    <x v="2"/>
    <x v="0"/>
    <x v="0"/>
    <x v="0"/>
    <x v="1"/>
    <x v="6"/>
    <n v="243"/>
    <n v="243"/>
    <n v="9.1669999999999998"/>
    <n v="9.1669999999999998"/>
    <n v="9.1669999999999998"/>
    <n v="9.1669999999999998"/>
    <n v="0"/>
    <x v="0"/>
    <n v="0"/>
    <n v="34"/>
    <n v="23"/>
    <n v="71"/>
    <n v="44"/>
    <n v="87.73"/>
    <n v="433.77"/>
    <n v="57.091253741473494"/>
    <n v="67.376989053363516"/>
    <n v="542.84414704984056"/>
    <n v="10692"/>
    <n v="804.22091"/>
    <n v="3976.3695899999998"/>
    <n v="13873.174659178059"/>
    <n v="617.6448586521833"/>
    <n v="4976.2522960058886"/>
  </r>
  <r>
    <s v="Sistema Isolado - Regular"/>
    <x v="0"/>
    <x v="0"/>
    <x v="2"/>
    <x v="0"/>
    <x v="0"/>
    <x v="0"/>
    <x v="1"/>
    <x v="7"/>
    <n v="243"/>
    <n v="243"/>
    <n v="8.3049999999999997"/>
    <n v="8.3049999999999997"/>
    <n v="8.3049999999999997"/>
    <n v="8.3049999999999997"/>
    <n v="0"/>
    <x v="0"/>
    <n v="0"/>
    <n v="34"/>
    <n v="23"/>
    <n v="71"/>
    <n v="44"/>
    <n v="87.73"/>
    <n v="433.77"/>
    <n v="57.091253741473494"/>
    <n v="67.376989053363516"/>
    <n v="542.84414704984056"/>
    <n v="10692"/>
    <n v="728.59765000000004"/>
    <n v="3602.4598499999997"/>
    <n v="13873.174659178059"/>
    <n v="559.565894088184"/>
    <n v="4508.3206412489253"/>
  </r>
  <r>
    <s v="Sistema Isolado - Regular"/>
    <x v="0"/>
    <x v="0"/>
    <x v="2"/>
    <x v="0"/>
    <x v="0"/>
    <x v="0"/>
    <x v="1"/>
    <x v="8"/>
    <n v="243"/>
    <n v="243"/>
    <n v="8.298"/>
    <n v="8.298"/>
    <n v="8.298"/>
    <n v="8.298"/>
    <n v="0"/>
    <x v="0"/>
    <n v="0"/>
    <n v="34"/>
    <n v="23"/>
    <n v="71"/>
    <n v="44"/>
    <n v="87.73"/>
    <n v="433.77"/>
    <n v="57.091253741473494"/>
    <n v="67.376989053363516"/>
    <n v="542.84414704984056"/>
    <n v="10692"/>
    <n v="727.98354000000006"/>
    <n v="3599.42346"/>
    <n v="13873.174659178059"/>
    <n v="559.09425516481042"/>
    <n v="4504.5207322195765"/>
  </r>
  <r>
    <s v="Sistema Isolado - Regular"/>
    <x v="0"/>
    <x v="0"/>
    <x v="2"/>
    <x v="0"/>
    <x v="0"/>
    <x v="0"/>
    <x v="1"/>
    <x v="9"/>
    <n v="243"/>
    <n v="243"/>
    <n v="9.4909999999999997"/>
    <n v="9.4909999999999997"/>
    <n v="9.4909999999999997"/>
    <n v="9.4909999999999997"/>
    <n v="0"/>
    <x v="0"/>
    <n v="0"/>
    <n v="34"/>
    <n v="23"/>
    <n v="71"/>
    <n v="44"/>
    <n v="87.73"/>
    <n v="433.77"/>
    <n v="57.091253741473494"/>
    <n v="67.376989053363516"/>
    <n v="542.84414704984056"/>
    <n v="10692"/>
    <n v="832.64543000000003"/>
    <n v="4116.9110700000001"/>
    <n v="13873.174659178059"/>
    <n v="639.47500310547309"/>
    <n v="5152.133799650037"/>
  </r>
  <r>
    <s v="Sistema Isolado - Regular"/>
    <x v="0"/>
    <x v="0"/>
    <x v="2"/>
    <x v="0"/>
    <x v="0"/>
    <x v="0"/>
    <x v="1"/>
    <x v="10"/>
    <n v="243"/>
    <n v="243"/>
    <n v="8.7590000000000003"/>
    <n v="8.7590000000000003"/>
    <n v="8.7590000000000003"/>
    <n v="8.7590000000000003"/>
    <n v="0"/>
    <x v="0"/>
    <n v="0"/>
    <n v="34"/>
    <n v="23"/>
    <n v="71"/>
    <n v="44"/>
    <n v="87.73"/>
    <n v="433.77"/>
    <n v="57.091253741473494"/>
    <n v="67.376989053363516"/>
    <n v="542.84414704984056"/>
    <n v="10692"/>
    <n v="768.42707000000007"/>
    <n v="3799.3914300000001"/>
    <n v="13873.174659178059"/>
    <n v="590.15504711841106"/>
    <n v="4754.771884009554"/>
  </r>
  <r>
    <s v="PROJETADO"/>
    <x v="0"/>
    <x v="0"/>
    <x v="2"/>
    <x v="0"/>
    <x v="0"/>
    <x v="0"/>
    <x v="1"/>
    <x v="11"/>
    <n v="243"/>
    <n v="243"/>
    <n v="8.7590000000000003"/>
    <n v="8.7590000000000003"/>
    <n v="8.7590000000000003"/>
    <n v="8.7590000000000003"/>
    <n v="0"/>
    <x v="0"/>
    <n v="0"/>
    <n v="34"/>
    <n v="23"/>
    <n v="71"/>
    <n v="44"/>
    <n v="87.73"/>
    <n v="433.77"/>
    <n v="57.091253741473494"/>
    <n v="67.376989053363516"/>
    <n v="542.84414704984056"/>
    <n v="10692"/>
    <n v="768.42707000000007"/>
    <n v="3799.3914300000001"/>
    <n v="13873.174659178059"/>
    <n v="590.15504711841106"/>
    <n v="4754.771884009554"/>
  </r>
  <r>
    <s v="Sistema Isolado - Regular"/>
    <x v="0"/>
    <x v="0"/>
    <x v="3"/>
    <x v="0"/>
    <x v="0"/>
    <x v="0"/>
    <x v="0"/>
    <x v="0"/>
    <n v="4059"/>
    <n v="4059"/>
    <n v="882.37900000000002"/>
    <n v="882.37900000000002"/>
    <n v="882.37900000000002"/>
    <n v="882.37900000000002"/>
    <n v="0"/>
    <x v="0"/>
    <n v="0"/>
    <n v="27"/>
    <n v="23"/>
    <n v="59"/>
    <n v="14.64"/>
    <n v="87.73"/>
    <n v="253.9"/>
    <n v="19.024476785546895"/>
    <n v="67.376989053363516"/>
    <n v="317.3874512882154"/>
    <n v="59423.76"/>
    <n v="77411.109670000005"/>
    <n v="224036.0281"/>
    <n v="77220.351272534841"/>
    <n v="59452.040223917844"/>
    <n v="280056.0218802442"/>
  </r>
  <r>
    <s v="Sistema Isolado - Refaturamento"/>
    <x v="0"/>
    <x v="0"/>
    <x v="3"/>
    <x v="0"/>
    <x v="0"/>
    <x v="0"/>
    <x v="0"/>
    <x v="0"/>
    <n v="-989"/>
    <n v="-989"/>
    <n v="0"/>
    <n v="0"/>
    <n v="0"/>
    <n v="0"/>
    <n v="0"/>
    <x v="0"/>
    <n v="0"/>
    <n v="27"/>
    <n v="0"/>
    <n v="0"/>
    <n v="14.64"/>
    <n v="0"/>
    <n v="0"/>
    <n v="19.024476785546895"/>
    <n v="67.376989053363516"/>
    <n v="317.3874512882154"/>
    <n v="-14478.960000000001"/>
    <n v="0"/>
    <n v="0"/>
    <n v="-18815.207540905878"/>
    <n v="0"/>
    <n v="0"/>
  </r>
  <r>
    <s v="Sistema de Compensação"/>
    <x v="0"/>
    <x v="0"/>
    <x v="3"/>
    <x v="0"/>
    <x v="0"/>
    <x v="0"/>
    <x v="0"/>
    <x v="0"/>
    <n v="722"/>
    <n v="722"/>
    <n v="195.66"/>
    <n v="195.66"/>
    <n v="195.66"/>
    <n v="195.66"/>
    <n v="0"/>
    <x v="0"/>
    <n v="0"/>
    <n v="27"/>
    <n v="23"/>
    <n v="59"/>
    <n v="14.64"/>
    <n v="87.73"/>
    <n v="253.9"/>
    <n v="19.024476785546895"/>
    <n v="67.376989053363516"/>
    <n v="317.3874512882154"/>
    <n v="10570.08"/>
    <n v="17165.251800000002"/>
    <n v="49678.074000000001"/>
    <n v="13735.672239164858"/>
    <n v="13182.981678181106"/>
    <n v="62100.028719052221"/>
  </r>
  <r>
    <s v="Sistema Isolado - Regular"/>
    <x v="0"/>
    <x v="0"/>
    <x v="3"/>
    <x v="0"/>
    <x v="0"/>
    <x v="0"/>
    <x v="0"/>
    <x v="1"/>
    <n v="4059"/>
    <n v="4059"/>
    <n v="812.61699999999996"/>
    <n v="812.61699999999996"/>
    <n v="812.61699999999996"/>
    <n v="812.61699999999996"/>
    <n v="0"/>
    <x v="0"/>
    <n v="0"/>
    <n v="27"/>
    <n v="23"/>
    <n v="59"/>
    <n v="14.64"/>
    <n v="87.73"/>
    <n v="253.9"/>
    <n v="19.024476785546895"/>
    <n v="67.376989053363516"/>
    <n v="317.3874512882154"/>
    <n v="59423.76"/>
    <n v="71290.889410000003"/>
    <n v="206323.45629999999"/>
    <n v="77220.351272534841"/>
    <n v="54751.686713577095"/>
    <n v="257914.43850347571"/>
  </r>
  <r>
    <s v="Sistema de Compensação"/>
    <x v="0"/>
    <x v="0"/>
    <x v="3"/>
    <x v="0"/>
    <x v="0"/>
    <x v="0"/>
    <x v="0"/>
    <x v="1"/>
    <n v="711"/>
    <n v="711"/>
    <n v="192.5"/>
    <n v="192.5"/>
    <n v="192.5"/>
    <n v="192.5"/>
    <n v="0"/>
    <x v="0"/>
    <n v="0"/>
    <n v="27"/>
    <n v="23"/>
    <n v="59"/>
    <n v="14.64"/>
    <n v="87.73"/>
    <n v="253.9"/>
    <n v="19.024476785546895"/>
    <n v="67.376989053363516"/>
    <n v="317.3874512882154"/>
    <n v="10409.040000000001"/>
    <n v="16888.025000000001"/>
    <n v="48875.75"/>
    <n v="13526.402994523842"/>
    <n v="12970.070392772477"/>
    <n v="61097.084372981466"/>
  </r>
  <r>
    <s v="Sistema Isolado - Regular"/>
    <x v="0"/>
    <x v="0"/>
    <x v="3"/>
    <x v="0"/>
    <x v="0"/>
    <x v="0"/>
    <x v="0"/>
    <x v="2"/>
    <n v="4733"/>
    <n v="4733"/>
    <n v="842.40899999999999"/>
    <n v="842.40899999999999"/>
    <n v="842.40899999999999"/>
    <n v="842.40899999999999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73904.541570000001"/>
    <n v="213887.64509999999"/>
    <n v="90042.848625993458"/>
    <n v="56758.981971454908"/>
    <n v="267370.04545225424"/>
  </r>
  <r>
    <s v="Sistema de Compensação"/>
    <x v="0"/>
    <x v="0"/>
    <x v="3"/>
    <x v="0"/>
    <x v="0"/>
    <x v="0"/>
    <x v="0"/>
    <x v="2"/>
    <n v="743"/>
    <n v="743"/>
    <n v="197.21100000000001"/>
    <n v="197.21100000000001"/>
    <n v="197.21100000000001"/>
    <n v="197.21100000000001"/>
    <n v="0"/>
    <x v="0"/>
    <n v="0"/>
    <n v="27"/>
    <n v="23"/>
    <n v="59"/>
    <n v="14.64"/>
    <n v="87.73"/>
    <n v="253.9"/>
    <n v="19.024476785546895"/>
    <n v="67.376989053363516"/>
    <n v="317.3874512882154"/>
    <n v="10877.52"/>
    <n v="17301.321030000003"/>
    <n v="50071.872900000002"/>
    <n v="14135.186251661344"/>
    <n v="13287.483388202872"/>
    <n v="62592.296656000253"/>
  </r>
  <r>
    <s v="Sistema Isolado - Regular"/>
    <x v="0"/>
    <x v="0"/>
    <x v="3"/>
    <x v="0"/>
    <x v="0"/>
    <x v="0"/>
    <x v="0"/>
    <x v="3"/>
    <n v="4735"/>
    <n v="4735"/>
    <n v="871.904"/>
    <n v="871.904"/>
    <n v="871.904"/>
    <n v="871.904"/>
    <n v="0"/>
    <x v="0"/>
    <n v="0"/>
    <n v="27"/>
    <n v="23"/>
    <n v="59"/>
    <n v="14.64"/>
    <n v="87.73"/>
    <n v="253.9"/>
    <n v="19.024476785546895"/>
    <n v="67.376989053363516"/>
    <n v="317.3874512882154"/>
    <n v="69320.400000000009"/>
    <n v="76492.137920000008"/>
    <n v="221376.42560000002"/>
    <n v="90080.897579564553"/>
    <n v="58746.266263583864"/>
    <n v="276731.38832800015"/>
  </r>
  <r>
    <s v="Sistema de Compensação"/>
    <x v="0"/>
    <x v="0"/>
    <x v="3"/>
    <x v="0"/>
    <x v="0"/>
    <x v="0"/>
    <x v="0"/>
    <x v="3"/>
    <n v="766"/>
    <n v="766"/>
    <n v="181.23599999999999"/>
    <n v="181.23599999999999"/>
    <n v="181.23599999999999"/>
    <n v="181.23599999999999"/>
    <n v="0"/>
    <x v="0"/>
    <n v="0"/>
    <n v="27"/>
    <n v="23"/>
    <n v="59"/>
    <n v="14.64"/>
    <n v="87.73"/>
    <n v="253.9"/>
    <n v="19.024476785546895"/>
    <n v="67.376989053363516"/>
    <n v="317.3874512882154"/>
    <n v="11214.24"/>
    <n v="15899.834279999999"/>
    <n v="46015.820399999997"/>
    <n v="14572.749217728922"/>
    <n v="12211.13598807539"/>
    <n v="57522.032121671"/>
  </r>
  <r>
    <s v="Sistema Isolado - Regular"/>
    <x v="0"/>
    <x v="0"/>
    <x v="3"/>
    <x v="0"/>
    <x v="0"/>
    <x v="0"/>
    <x v="0"/>
    <x v="4"/>
    <n v="4733"/>
    <n v="4733"/>
    <n v="954.505"/>
    <n v="954.505"/>
    <n v="954.505"/>
    <n v="954.505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83738.72365"/>
    <n v="242348.81950000001"/>
    <n v="90042.848625993458"/>
    <n v="64311.672936380746"/>
    <n v="302947.90919185802"/>
  </r>
  <r>
    <s v="Sistema de Compensação"/>
    <x v="0"/>
    <x v="0"/>
    <x v="3"/>
    <x v="0"/>
    <x v="0"/>
    <x v="0"/>
    <x v="0"/>
    <x v="4"/>
    <n v="722"/>
    <n v="722"/>
    <n v="189.297"/>
    <n v="189.297"/>
    <n v="189.297"/>
    <n v="189.297"/>
    <n v="0"/>
    <x v="0"/>
    <n v="0"/>
    <n v="27"/>
    <n v="23"/>
    <n v="59"/>
    <n v="14.64"/>
    <n v="87.73"/>
    <n v="253.9"/>
    <n v="19.024476785546895"/>
    <n v="67.376989053363516"/>
    <n v="317.3874512882154"/>
    <n v="10570.08"/>
    <n v="16607.025809999999"/>
    <n v="48062.508300000001"/>
    <n v="13735.672239164858"/>
    <n v="12754.261896834554"/>
    <n v="60080.492366505307"/>
  </r>
  <r>
    <s v="Sistema Isolado - Regular"/>
    <x v="0"/>
    <x v="0"/>
    <x v="3"/>
    <x v="0"/>
    <x v="0"/>
    <x v="0"/>
    <x v="0"/>
    <x v="5"/>
    <n v="4733"/>
    <n v="4733"/>
    <n v="954.505"/>
    <n v="954.505"/>
    <n v="954.505"/>
    <n v="954.505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83738.72365"/>
    <n v="242348.81950000001"/>
    <n v="90042.848625993458"/>
    <n v="64311.672936380746"/>
    <n v="302947.90919185802"/>
  </r>
  <r>
    <s v="Sistema de Compensação"/>
    <x v="0"/>
    <x v="0"/>
    <x v="3"/>
    <x v="0"/>
    <x v="0"/>
    <x v="0"/>
    <x v="0"/>
    <x v="5"/>
    <n v="722"/>
    <n v="722"/>
    <n v="189.297"/>
    <n v="189.297"/>
    <n v="189.297"/>
    <n v="189.297"/>
    <n v="0"/>
    <x v="0"/>
    <n v="0"/>
    <n v="27"/>
    <n v="23"/>
    <n v="59"/>
    <n v="14.64"/>
    <n v="87.73"/>
    <n v="253.9"/>
    <n v="19.024476785546895"/>
    <n v="67.376989053363516"/>
    <n v="317.3874512882154"/>
    <n v="10570.08"/>
    <n v="16607.025809999999"/>
    <n v="48062.508300000001"/>
    <n v="13735.672239164858"/>
    <n v="12754.261896834554"/>
    <n v="60080.492366505307"/>
  </r>
  <r>
    <s v="Sistema Isolado - Regular"/>
    <x v="0"/>
    <x v="0"/>
    <x v="3"/>
    <x v="0"/>
    <x v="0"/>
    <x v="0"/>
    <x v="0"/>
    <x v="6"/>
    <n v="4733"/>
    <n v="4733"/>
    <n v="822.01"/>
    <n v="822.01"/>
    <n v="822.01"/>
    <n v="822.01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72114.937300000005"/>
    <n v="208708.33900000001"/>
    <n v="90042.848625993458"/>
    <n v="55384.558771755343"/>
    <n v="260895.65883342593"/>
  </r>
  <r>
    <s v="Sistema de Compensação"/>
    <x v="0"/>
    <x v="0"/>
    <x v="3"/>
    <x v="0"/>
    <x v="0"/>
    <x v="0"/>
    <x v="0"/>
    <x v="6"/>
    <n v="948"/>
    <n v="948"/>
    <n v="64.331999999999994"/>
    <n v="64.331999999999994"/>
    <n v="64.331999999999994"/>
    <n v="64.331999999999994"/>
    <n v="0"/>
    <x v="0"/>
    <n v="0"/>
    <n v="27"/>
    <n v="23"/>
    <n v="59"/>
    <n v="14.64"/>
    <n v="87.73"/>
    <n v="253.9"/>
    <n v="19.024476785546895"/>
    <n v="67.376989053363516"/>
    <n v="317.3874512882154"/>
    <n v="13878.720000000001"/>
    <n v="5643.8463599999995"/>
    <n v="16333.894799999998"/>
    <n v="18035.203992698458"/>
    <n v="4334.4964597809812"/>
    <n v="20418.169516273472"/>
  </r>
  <r>
    <s v="Sistema Isolado - Regular"/>
    <x v="0"/>
    <x v="0"/>
    <x v="3"/>
    <x v="0"/>
    <x v="0"/>
    <x v="0"/>
    <x v="0"/>
    <x v="7"/>
    <n v="4733"/>
    <n v="4733"/>
    <n v="802.68799999999999"/>
    <n v="802.68799999999999"/>
    <n v="802.68799999999999"/>
    <n v="802.68799999999999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70419.818240000008"/>
    <n v="203802.48319999999"/>
    <n v="90042.848625993458"/>
    <n v="54082.700589266256"/>
    <n v="254763.09849963503"/>
  </r>
  <r>
    <s v="Sistema de Compensação"/>
    <x v="0"/>
    <x v="0"/>
    <x v="3"/>
    <x v="0"/>
    <x v="0"/>
    <x v="0"/>
    <x v="0"/>
    <x v="7"/>
    <n v="237"/>
    <n v="237"/>
    <n v="15.904999999999999"/>
    <n v="15.904999999999999"/>
    <n v="15.904999999999999"/>
    <n v="15.904999999999999"/>
    <n v="0"/>
    <x v="0"/>
    <n v="0"/>
    <n v="27"/>
    <n v="23"/>
    <n v="59"/>
    <n v="14.64"/>
    <n v="87.73"/>
    <n v="253.9"/>
    <n v="19.024476785546895"/>
    <n v="67.376989053363516"/>
    <n v="317.3874512882154"/>
    <n v="3469.6800000000003"/>
    <n v="1395.34565"/>
    <n v="4038.2795000000001"/>
    <n v="4508.8009981746145"/>
    <n v="1071.6310108937466"/>
    <n v="5048.0474127390662"/>
  </r>
  <r>
    <s v="Sistema Isolado - Regular"/>
    <x v="0"/>
    <x v="0"/>
    <x v="3"/>
    <x v="0"/>
    <x v="0"/>
    <x v="0"/>
    <x v="0"/>
    <x v="8"/>
    <n v="4733"/>
    <n v="4733"/>
    <n v="921.52200000000005"/>
    <n v="921.52200000000005"/>
    <n v="921.52200000000005"/>
    <n v="921.52200000000005"/>
    <n v="0"/>
    <x v="0"/>
    <n v="0"/>
    <n v="27"/>
    <n v="23"/>
    <n v="59"/>
    <n v="14.64"/>
    <n v="87.73"/>
    <n v="253.9"/>
    <n v="19.024476785546895"/>
    <n v="67.376989053363516"/>
    <n v="317.3874512882154"/>
    <n v="69291.12000000001"/>
    <n v="80845.125060000006"/>
    <n v="233974.43580000001"/>
    <n v="90042.848625993458"/>
    <n v="62089.377706433661"/>
    <n v="292479.51888601884"/>
  </r>
  <r>
    <s v="Sistema de Compensação"/>
    <x v="0"/>
    <x v="0"/>
    <x v="3"/>
    <x v="0"/>
    <x v="0"/>
    <x v="0"/>
    <x v="0"/>
    <x v="8"/>
    <n v="237"/>
    <n v="237"/>
    <n v="17.039000000000001"/>
    <n v="17.039000000000001"/>
    <n v="17.039000000000001"/>
    <n v="17.039000000000001"/>
    <n v="0"/>
    <x v="0"/>
    <n v="0"/>
    <n v="27"/>
    <n v="23"/>
    <n v="59"/>
    <n v="14.64"/>
    <n v="87.73"/>
    <n v="253.9"/>
    <n v="19.024476785546895"/>
    <n v="67.376989053363516"/>
    <n v="317.3874512882154"/>
    <n v="3469.6800000000003"/>
    <n v="1494.8314700000003"/>
    <n v="4326.2021000000004"/>
    <n v="4508.8009981746145"/>
    <n v="1148.0365164802611"/>
    <n v="5407.9647824999029"/>
  </r>
  <r>
    <s v="Sistema Isolado - Regular"/>
    <x v="0"/>
    <x v="0"/>
    <x v="3"/>
    <x v="0"/>
    <x v="0"/>
    <x v="0"/>
    <x v="0"/>
    <x v="9"/>
    <n v="4741"/>
    <n v="4741"/>
    <n v="996.81"/>
    <n v="996.81"/>
    <n v="996.81"/>
    <n v="996.81"/>
    <n v="0"/>
    <x v="0"/>
    <n v="0"/>
    <n v="27"/>
    <n v="23"/>
    <n v="59"/>
    <n v="14.64"/>
    <n v="87.73"/>
    <n v="253.9"/>
    <n v="19.024476785546895"/>
    <n v="67.376989053363516"/>
    <n v="317.3874512882154"/>
    <n v="69408.240000000005"/>
    <n v="87450.141300000003"/>
    <n v="253090.05899999998"/>
    <n v="90195.044440277823"/>
    <n v="67162.056458283289"/>
    <n v="316374.98531860596"/>
  </r>
  <r>
    <s v="Sistema de Compensação"/>
    <x v="0"/>
    <x v="0"/>
    <x v="3"/>
    <x v="0"/>
    <x v="0"/>
    <x v="0"/>
    <x v="0"/>
    <x v="9"/>
    <n v="237"/>
    <n v="237"/>
    <n v="18.137"/>
    <n v="18.137"/>
    <n v="18.137"/>
    <n v="18.137"/>
    <n v="0"/>
    <x v="0"/>
    <n v="0"/>
    <n v="27"/>
    <n v="23"/>
    <n v="59"/>
    <n v="14.64"/>
    <n v="87.73"/>
    <n v="253.9"/>
    <n v="19.024476785546895"/>
    <n v="67.376989053363516"/>
    <n v="317.3874512882154"/>
    <n v="3469.6800000000003"/>
    <n v="1591.1590100000001"/>
    <n v="4604.9843000000001"/>
    <n v="4508.8009981746145"/>
    <n v="1222.0164504608542"/>
    <n v="5756.4562040143628"/>
  </r>
  <r>
    <s v="Sistema Isolado - Regular"/>
    <x v="0"/>
    <x v="0"/>
    <x v="3"/>
    <x v="0"/>
    <x v="0"/>
    <x v="0"/>
    <x v="0"/>
    <x v="10"/>
    <n v="4742"/>
    <n v="4742"/>
    <n v="1045.837"/>
    <n v="1045.837"/>
    <n v="1045.837"/>
    <n v="1045.837"/>
    <n v="0"/>
    <x v="0"/>
    <n v="0"/>
    <n v="27"/>
    <n v="23"/>
    <n v="59"/>
    <n v="14.64"/>
    <n v="87.73"/>
    <n v="253.9"/>
    <n v="19.024476785546895"/>
    <n v="67.376989053363516"/>
    <n v="317.3874512882154"/>
    <n v="69422.880000000005"/>
    <n v="91751.280010000002"/>
    <n v="265538.01429999998"/>
    <n v="90214.06891706337"/>
    <n v="70465.348100602539"/>
    <n v="331935.53989291331"/>
  </r>
  <r>
    <s v="Sistema de Compensação"/>
    <x v="0"/>
    <x v="0"/>
    <x v="3"/>
    <x v="0"/>
    <x v="0"/>
    <x v="0"/>
    <x v="0"/>
    <x v="10"/>
    <n v="237"/>
    <n v="237"/>
    <n v="16.814"/>
    <n v="16.814"/>
    <n v="16.814"/>
    <n v="16.814"/>
    <n v="0"/>
    <x v="0"/>
    <n v="0"/>
    <n v="27"/>
    <n v="23"/>
    <n v="59"/>
    <n v="14.64"/>
    <n v="87.73"/>
    <n v="253.9"/>
    <n v="19.024476785546895"/>
    <n v="67.376989053363516"/>
    <n v="317.3874512882154"/>
    <n v="3469.6800000000003"/>
    <n v="1475.09222"/>
    <n v="4269.0745999999999"/>
    <n v="4508.8009981746145"/>
    <n v="1132.8766939432542"/>
    <n v="5336.5526059600534"/>
  </r>
  <r>
    <s v="PROJETADO"/>
    <x v="0"/>
    <x v="0"/>
    <x v="3"/>
    <x v="0"/>
    <x v="0"/>
    <x v="0"/>
    <x v="0"/>
    <x v="11"/>
    <n v="4742"/>
    <n v="4742"/>
    <n v="1045.837"/>
    <n v="1045.837"/>
    <n v="1045.837"/>
    <n v="1045.837"/>
    <n v="0"/>
    <x v="0"/>
    <n v="0"/>
    <n v="27"/>
    <n v="23"/>
    <n v="59"/>
    <n v="14.64"/>
    <n v="87.73"/>
    <n v="253.9"/>
    <n v="19.024476785546895"/>
    <n v="67.376989053363516"/>
    <n v="317.3874512882154"/>
    <n v="69422.880000000005"/>
    <n v="91751.280010000002"/>
    <n v="265538.01429999998"/>
    <n v="90214.06891706337"/>
    <n v="70465.348100602539"/>
    <n v="331935.53989291331"/>
  </r>
  <r>
    <s v="PROJETADO"/>
    <x v="0"/>
    <x v="0"/>
    <x v="3"/>
    <x v="0"/>
    <x v="0"/>
    <x v="0"/>
    <x v="0"/>
    <x v="11"/>
    <n v="237"/>
    <n v="237"/>
    <n v="16.814"/>
    <n v="16.814"/>
    <n v="16.814"/>
    <n v="16.814"/>
    <n v="0"/>
    <x v="0"/>
    <n v="0"/>
    <n v="27"/>
    <n v="23"/>
    <n v="59"/>
    <n v="14.64"/>
    <n v="87.73"/>
    <n v="253.9"/>
    <n v="19.024476785546895"/>
    <n v="67.376989053363516"/>
    <n v="317.3874512882154"/>
    <n v="3469.6800000000003"/>
    <n v="1475.09222"/>
    <n v="4269.0745999999999"/>
    <n v="4508.8009981746145"/>
    <n v="1132.8766939432542"/>
    <n v="5336.5526059600534"/>
  </r>
  <r>
    <s v="Sistema Isolado - Regular"/>
    <x v="0"/>
    <x v="0"/>
    <x v="3"/>
    <x v="0"/>
    <x v="0"/>
    <x v="0"/>
    <x v="1"/>
    <x v="0"/>
    <n v="2338"/>
    <n v="2338"/>
    <n v="71.968999999999994"/>
    <n v="71.968999999999994"/>
    <n v="71.968999999999994"/>
    <n v="71.968999999999994"/>
    <n v="0"/>
    <x v="0"/>
    <n v="0"/>
    <n v="34"/>
    <n v="23"/>
    <n v="71"/>
    <n v="44"/>
    <n v="87.73"/>
    <n v="433.77"/>
    <n v="57.091253741473494"/>
    <n v="67.376989053363516"/>
    <n v="542.84414704984056"/>
    <n v="102872"/>
    <n v="6313.8403699999999"/>
    <n v="31217.993129999995"/>
    <n v="133479.35124756504"/>
    <n v="4849.0545251815183"/>
    <n v="39067.95041902997"/>
  </r>
  <r>
    <s v="Sistema Isolado - Refaturamento"/>
    <x v="0"/>
    <x v="0"/>
    <x v="3"/>
    <x v="0"/>
    <x v="0"/>
    <x v="0"/>
    <x v="1"/>
    <x v="0"/>
    <n v="-1113"/>
    <n v="-1113"/>
    <n v="0"/>
    <n v="0"/>
    <n v="0"/>
    <n v="0"/>
    <n v="0"/>
    <x v="0"/>
    <n v="0"/>
    <n v="34"/>
    <n v="0"/>
    <n v="0"/>
    <n v="44"/>
    <n v="0"/>
    <n v="0"/>
    <n v="57.091253741473494"/>
    <n v="67.376989053363516"/>
    <n v="542.84414704984056"/>
    <n v="-48972"/>
    <n v="0"/>
    <n v="0"/>
    <n v="-63542.565414259996"/>
    <n v="0"/>
    <n v="0"/>
  </r>
  <r>
    <s v="Sistema de Compensação"/>
    <x v="0"/>
    <x v="0"/>
    <x v="3"/>
    <x v="0"/>
    <x v="0"/>
    <x v="0"/>
    <x v="1"/>
    <x v="0"/>
    <n v="402"/>
    <n v="402"/>
    <n v="17.434000000000001"/>
    <n v="17.434000000000001"/>
    <n v="17.434000000000001"/>
    <n v="17.434000000000001"/>
    <n v="0"/>
    <x v="0"/>
    <n v="0"/>
    <n v="34"/>
    <n v="23"/>
    <n v="71"/>
    <n v="44"/>
    <n v="87.73"/>
    <n v="433.77"/>
    <n v="57.091253741473494"/>
    <n v="67.376989053363516"/>
    <n v="542.84414704984056"/>
    <n v="17688"/>
    <n v="1529.4848200000001"/>
    <n v="7562.3461800000005"/>
    <n v="22950.684004072344"/>
    <n v="1174.6504271563397"/>
    <n v="9463.9448596669208"/>
  </r>
  <r>
    <s v="Sistema Isolado - Regular"/>
    <x v="0"/>
    <x v="0"/>
    <x v="3"/>
    <x v="0"/>
    <x v="0"/>
    <x v="0"/>
    <x v="1"/>
    <x v="1"/>
    <n v="2305"/>
    <n v="2305"/>
    <n v="75.283000000000001"/>
    <n v="75.283000000000001"/>
    <n v="75.283000000000001"/>
    <n v="75.283000000000001"/>
    <n v="0"/>
    <x v="0"/>
    <n v="0"/>
    <n v="34"/>
    <n v="23"/>
    <n v="71"/>
    <n v="44"/>
    <n v="87.73"/>
    <n v="433.77"/>
    <n v="57.091253741473494"/>
    <n v="67.376989053363516"/>
    <n v="542.84414704984056"/>
    <n v="101420"/>
    <n v="6604.5775900000008"/>
    <n v="32655.50691"/>
    <n v="131595.33987409642"/>
    <n v="5072.3418669043658"/>
    <n v="40866.93592235315"/>
  </r>
  <r>
    <s v="Sistema de Compensação"/>
    <x v="0"/>
    <x v="0"/>
    <x v="3"/>
    <x v="0"/>
    <x v="0"/>
    <x v="0"/>
    <x v="1"/>
    <x v="1"/>
    <n v="408"/>
    <n v="408"/>
    <n v="19.268000000000001"/>
    <n v="19.268000000000001"/>
    <n v="19.268000000000001"/>
    <n v="19.268000000000001"/>
    <n v="0"/>
    <x v="0"/>
    <n v="0"/>
    <n v="34"/>
    <n v="23"/>
    <n v="71"/>
    <n v="44"/>
    <n v="87.73"/>
    <n v="433.77"/>
    <n v="57.091253741473494"/>
    <n v="67.376989053363516"/>
    <n v="542.84414704984056"/>
    <n v="17952"/>
    <n v="1690.3816400000001"/>
    <n v="8357.8803599999992"/>
    <n v="23293.231526521187"/>
    <n v="1298.2198250802082"/>
    <n v="10459.521025356329"/>
  </r>
  <r>
    <s v="Sistema Isolado - Regular"/>
    <x v="0"/>
    <x v="0"/>
    <x v="3"/>
    <x v="0"/>
    <x v="0"/>
    <x v="0"/>
    <x v="1"/>
    <x v="2"/>
    <n v="3158"/>
    <n v="3158"/>
    <n v="74.051000000000002"/>
    <n v="74.051000000000002"/>
    <n v="74.051000000000002"/>
    <n v="74.051000000000002"/>
    <n v="0"/>
    <x v="0"/>
    <n v="0"/>
    <n v="34"/>
    <n v="23"/>
    <n v="71"/>
    <n v="44"/>
    <n v="87.73"/>
    <n v="433.77"/>
    <n v="57.091253741473494"/>
    <n v="67.376989053363516"/>
    <n v="542.84414704984056"/>
    <n v="138952"/>
    <n v="6496.4942300000002"/>
    <n v="32121.102269999999"/>
    <n v="180294.1793155733"/>
    <n v="4989.333416390622"/>
    <n v="40198.151933187743"/>
  </r>
  <r>
    <s v="Sistema de Compensação"/>
    <x v="0"/>
    <x v="0"/>
    <x v="3"/>
    <x v="0"/>
    <x v="0"/>
    <x v="0"/>
    <x v="1"/>
    <x v="2"/>
    <n v="433"/>
    <n v="433"/>
    <n v="18.643000000000001"/>
    <n v="18.643000000000001"/>
    <n v="18.643000000000001"/>
    <n v="18.643000000000001"/>
    <n v="0"/>
    <x v="0"/>
    <n v="0"/>
    <n v="34"/>
    <n v="23"/>
    <n v="71"/>
    <n v="44"/>
    <n v="87.73"/>
    <n v="433.77"/>
    <n v="57.091253741473494"/>
    <n v="67.376989053363516"/>
    <n v="542.84414704984056"/>
    <n v="19052"/>
    <n v="1635.5503900000001"/>
    <n v="8086.7741100000003"/>
    <n v="24720.512870058024"/>
    <n v="1256.1092069218562"/>
    <n v="10120.243433450178"/>
  </r>
  <r>
    <s v="Sistema Isolado - Regular"/>
    <x v="0"/>
    <x v="0"/>
    <x v="3"/>
    <x v="0"/>
    <x v="0"/>
    <x v="0"/>
    <x v="1"/>
    <x v="3"/>
    <n v="3157"/>
    <n v="3157"/>
    <n v="77.923000000000002"/>
    <n v="77.923000000000002"/>
    <n v="77.923000000000002"/>
    <n v="77.923000000000002"/>
    <n v="0"/>
    <x v="0"/>
    <n v="0"/>
    <n v="34"/>
    <n v="23"/>
    <n v="71"/>
    <n v="44"/>
    <n v="87.73"/>
    <n v="433.77"/>
    <n v="57.091253741473494"/>
    <n v="67.376989053363516"/>
    <n v="542.84414704984056"/>
    <n v="138908"/>
    <n v="6836.1847900000002"/>
    <n v="33800.65971"/>
    <n v="180237.08806183183"/>
    <n v="5250.2171180052455"/>
    <n v="42300.044470564724"/>
  </r>
  <r>
    <s v="Sistema de Compensação"/>
    <x v="0"/>
    <x v="0"/>
    <x v="3"/>
    <x v="0"/>
    <x v="0"/>
    <x v="0"/>
    <x v="1"/>
    <x v="3"/>
    <n v="439"/>
    <n v="439"/>
    <n v="17.885999999999999"/>
    <n v="17.885999999999999"/>
    <n v="17.885999999999999"/>
    <n v="17.885999999999999"/>
    <n v="0"/>
    <x v="0"/>
    <n v="0"/>
    <n v="34"/>
    <n v="23"/>
    <n v="71"/>
    <n v="44"/>
    <n v="87.73"/>
    <n v="433.77"/>
    <n v="57.091253741473494"/>
    <n v="67.376989053363516"/>
    <n v="542.84414704984056"/>
    <n v="19316"/>
    <n v="1569.13878"/>
    <n v="7758.4102199999998"/>
    <n v="25063.060392506864"/>
    <n v="1205.1048262084598"/>
    <n v="9709.3104141334479"/>
  </r>
  <r>
    <s v="Sistema Isolado - Regular"/>
    <x v="0"/>
    <x v="0"/>
    <x v="3"/>
    <x v="0"/>
    <x v="0"/>
    <x v="0"/>
    <x v="1"/>
    <x v="4"/>
    <n v="3156"/>
    <n v="3156"/>
    <n v="85.768000000000001"/>
    <n v="85.768000000000001"/>
    <n v="85.768000000000001"/>
    <n v="85.768000000000001"/>
    <n v="0"/>
    <x v="0"/>
    <n v="0"/>
    <n v="34"/>
    <n v="23"/>
    <n v="71"/>
    <n v="44"/>
    <n v="87.73"/>
    <n v="433.77"/>
    <n v="57.091253741473494"/>
    <n v="67.376989053363516"/>
    <n v="542.84414704984056"/>
    <n v="138864"/>
    <n v="7524.4266400000006"/>
    <n v="37203.585359999997"/>
    <n v="180179.99680809033"/>
    <n v="5778.7895971288817"/>
    <n v="46558.656804170729"/>
  </r>
  <r>
    <s v="Sistema de Compensação"/>
    <x v="0"/>
    <x v="0"/>
    <x v="3"/>
    <x v="0"/>
    <x v="0"/>
    <x v="0"/>
    <x v="1"/>
    <x v="4"/>
    <n v="425"/>
    <n v="425"/>
    <n v="18.375"/>
    <n v="18.375"/>
    <n v="18.375"/>
    <n v="18.375"/>
    <n v="0"/>
    <x v="0"/>
    <n v="0"/>
    <n v="34"/>
    <n v="23"/>
    <n v="71"/>
    <n v="44"/>
    <n v="87.73"/>
    <n v="433.77"/>
    <n v="57.091253741473494"/>
    <n v="67.376989053363516"/>
    <n v="542.84414704984056"/>
    <n v="18700"/>
    <n v="1612.0387500000002"/>
    <n v="7970.5237499999994"/>
    <n v="24263.782840126234"/>
    <n v="1238.0521738555547"/>
    <n v="9974.7612020408196"/>
  </r>
  <r>
    <s v="Sistema Isolado - Regular"/>
    <x v="0"/>
    <x v="0"/>
    <x v="3"/>
    <x v="0"/>
    <x v="0"/>
    <x v="0"/>
    <x v="1"/>
    <x v="5"/>
    <n v="3156"/>
    <n v="3156"/>
    <n v="85.768000000000001"/>
    <n v="85.768000000000001"/>
    <n v="85.768000000000001"/>
    <n v="85.768000000000001"/>
    <n v="0"/>
    <x v="0"/>
    <n v="0"/>
    <n v="34"/>
    <n v="23"/>
    <n v="71"/>
    <n v="44"/>
    <n v="87.73"/>
    <n v="433.77"/>
    <n v="57.091253741473494"/>
    <n v="67.376989053363516"/>
    <n v="542.84414704984056"/>
    <n v="138864"/>
    <n v="7524.4266400000006"/>
    <n v="37203.585359999997"/>
    <n v="180179.99680809033"/>
    <n v="5778.7895971288817"/>
    <n v="46558.656804170729"/>
  </r>
  <r>
    <s v="Sistema de Compensação"/>
    <x v="0"/>
    <x v="0"/>
    <x v="3"/>
    <x v="0"/>
    <x v="0"/>
    <x v="0"/>
    <x v="1"/>
    <x v="5"/>
    <n v="425"/>
    <n v="425"/>
    <n v="18.375"/>
    <n v="18.375"/>
    <n v="18.375"/>
    <n v="18.375"/>
    <n v="0"/>
    <x v="0"/>
    <n v="0"/>
    <n v="34"/>
    <n v="23"/>
    <n v="71"/>
    <n v="44"/>
    <n v="87.73"/>
    <n v="433.77"/>
    <n v="57.091253741473494"/>
    <n v="67.376989053363516"/>
    <n v="542.84414704984056"/>
    <n v="18700"/>
    <n v="1612.0387500000002"/>
    <n v="7970.5237499999994"/>
    <n v="24263.782840126234"/>
    <n v="1238.0521738555547"/>
    <n v="9974.7612020408196"/>
  </r>
  <r>
    <s v="Sistema Isolado - Regular"/>
    <x v="0"/>
    <x v="0"/>
    <x v="3"/>
    <x v="0"/>
    <x v="0"/>
    <x v="0"/>
    <x v="1"/>
    <x v="6"/>
    <n v="3089"/>
    <n v="3089"/>
    <n v="73.552000000000007"/>
    <n v="73.552000000000007"/>
    <n v="73.552000000000007"/>
    <n v="73.552000000000007"/>
    <n v="0"/>
    <x v="0"/>
    <n v="0"/>
    <n v="34"/>
    <n v="23"/>
    <n v="71"/>
    <n v="44"/>
    <n v="87.73"/>
    <n v="433.77"/>
    <n v="57.091253741473494"/>
    <n v="67.376989053363516"/>
    <n v="542.84414704984056"/>
    <n v="135916"/>
    <n v="6452.7169600000007"/>
    <n v="31904.651040000001"/>
    <n v="176354.88280741163"/>
    <n v="4955.7122988529936"/>
    <n v="39927.272703809875"/>
  </r>
  <r>
    <s v="Sistema de Compensação"/>
    <x v="0"/>
    <x v="0"/>
    <x v="3"/>
    <x v="0"/>
    <x v="0"/>
    <x v="0"/>
    <x v="1"/>
    <x v="6"/>
    <n v="208"/>
    <n v="208"/>
    <n v="6.7119999999999997"/>
    <n v="6.7119999999999997"/>
    <n v="6.7119999999999997"/>
    <n v="6.7119999999999997"/>
    <n v="0"/>
    <x v="0"/>
    <n v="0"/>
    <n v="34"/>
    <n v="23"/>
    <n v="71"/>
    <n v="44"/>
    <n v="87.73"/>
    <n v="433.77"/>
    <n v="57.091253741473494"/>
    <n v="67.376989053363516"/>
    <n v="542.84414704984056"/>
    <n v="9152"/>
    <n v="588.84375999999997"/>
    <n v="2911.4642399999998"/>
    <n v="11874.980778226487"/>
    <n v="452.23435052617589"/>
    <n v="3643.5699149985298"/>
  </r>
  <r>
    <s v="Sistema Isolado - Regular"/>
    <x v="0"/>
    <x v="0"/>
    <x v="3"/>
    <x v="0"/>
    <x v="0"/>
    <x v="0"/>
    <x v="1"/>
    <x v="7"/>
    <n v="3076"/>
    <n v="3076"/>
    <n v="70.945999999999998"/>
    <n v="70.945999999999998"/>
    <n v="70.945999999999998"/>
    <n v="70.945999999999998"/>
    <n v="0"/>
    <x v="0"/>
    <n v="0"/>
    <n v="34"/>
    <n v="23"/>
    <n v="71"/>
    <n v="44"/>
    <n v="87.73"/>
    <n v="433.77"/>
    <n v="57.091253741473494"/>
    <n v="67.376989053363516"/>
    <n v="542.84414704984056"/>
    <n v="135344"/>
    <n v="6224.0925800000005"/>
    <n v="30774.246419999999"/>
    <n v="175612.69650877247"/>
    <n v="4780.1278653799282"/>
    <n v="38512.62085659799"/>
  </r>
  <r>
    <s v="Sistema de Compensação"/>
    <x v="0"/>
    <x v="0"/>
    <x v="3"/>
    <x v="0"/>
    <x v="0"/>
    <x v="0"/>
    <x v="1"/>
    <x v="7"/>
    <n v="53"/>
    <n v="53"/>
    <n v="1.643"/>
    <n v="1.643"/>
    <n v="1.643"/>
    <n v="1.643"/>
    <n v="0"/>
    <x v="0"/>
    <n v="0"/>
    <n v="34"/>
    <n v="23"/>
    <n v="71"/>
    <n v="44"/>
    <n v="87.73"/>
    <n v="433.77"/>
    <n v="57.091253741473494"/>
    <n v="67.376989053363516"/>
    <n v="542.84414704984056"/>
    <n v="2332"/>
    <n v="144.14039"/>
    <n v="712.68411000000003"/>
    <n v="3025.8364482980951"/>
    <n v="110.70039301467625"/>
    <n v="891.89293360288809"/>
  </r>
  <r>
    <s v="Sistema Isolado - Regular"/>
    <x v="0"/>
    <x v="0"/>
    <x v="3"/>
    <x v="0"/>
    <x v="0"/>
    <x v="0"/>
    <x v="1"/>
    <x v="8"/>
    <n v="3100"/>
    <n v="3100"/>
    <n v="78.704999999999998"/>
    <n v="78.704999999999998"/>
    <n v="78.704999999999998"/>
    <n v="78.704999999999998"/>
    <n v="0"/>
    <x v="0"/>
    <n v="0"/>
    <n v="34"/>
    <n v="23"/>
    <n v="71"/>
    <n v="44"/>
    <n v="87.73"/>
    <n v="433.77"/>
    <n v="57.091253741473494"/>
    <n v="67.376989053363516"/>
    <n v="542.84414704984056"/>
    <n v="136400"/>
    <n v="6904.7896499999997"/>
    <n v="34139.867849999995"/>
    <n v="176982.88659856783"/>
    <n v="5302.9059234449751"/>
    <n v="42724.548593557702"/>
  </r>
  <r>
    <s v="Sistema de Compensação"/>
    <x v="0"/>
    <x v="0"/>
    <x v="3"/>
    <x v="0"/>
    <x v="0"/>
    <x v="0"/>
    <x v="1"/>
    <x v="8"/>
    <n v="53"/>
    <n v="53"/>
    <n v="1.6970000000000001"/>
    <n v="1.6970000000000001"/>
    <n v="1.6970000000000001"/>
    <n v="1.6970000000000001"/>
    <n v="0"/>
    <x v="0"/>
    <n v="0"/>
    <n v="34"/>
    <n v="23"/>
    <n v="71"/>
    <n v="44"/>
    <n v="87.73"/>
    <n v="433.77"/>
    <n v="57.091253741473494"/>
    <n v="67.376989053363516"/>
    <n v="542.84414704984056"/>
    <n v="2332"/>
    <n v="148.87781000000001"/>
    <n v="736.10769000000005"/>
    <n v="3025.8364482980951"/>
    <n v="114.3387504235579"/>
    <n v="921.20651754357948"/>
  </r>
  <r>
    <s v="Sistema Isolado - Regular"/>
    <x v="0"/>
    <x v="0"/>
    <x v="3"/>
    <x v="0"/>
    <x v="0"/>
    <x v="0"/>
    <x v="1"/>
    <x v="9"/>
    <n v="3120"/>
    <n v="3120"/>
    <n v="93.415000000000006"/>
    <n v="93.415000000000006"/>
    <n v="93.415000000000006"/>
    <n v="93.415000000000006"/>
    <n v="0"/>
    <x v="0"/>
    <n v="0"/>
    <n v="34"/>
    <n v="23"/>
    <n v="71"/>
    <n v="44"/>
    <n v="87.73"/>
    <n v="433.77"/>
    <n v="57.091253741473494"/>
    <n v="67.376989053363516"/>
    <n v="542.84414704984056"/>
    <n v="137280"/>
    <n v="8195.2979500000001"/>
    <n v="40520.62455"/>
    <n v="178124.71167339731"/>
    <n v="6294.0214324199533"/>
    <n v="50709.785996660859"/>
  </r>
  <r>
    <s v="Sistema de Compensação"/>
    <x v="0"/>
    <x v="0"/>
    <x v="3"/>
    <x v="0"/>
    <x v="0"/>
    <x v="0"/>
    <x v="1"/>
    <x v="9"/>
    <n v="54"/>
    <n v="54"/>
    <n v="1.8480000000000001"/>
    <n v="1.8480000000000001"/>
    <n v="1.8480000000000001"/>
    <n v="1.8480000000000001"/>
    <n v="0"/>
    <x v="0"/>
    <n v="0"/>
    <n v="34"/>
    <n v="23"/>
    <n v="71"/>
    <n v="44"/>
    <n v="87.73"/>
    <n v="433.77"/>
    <n v="57.091253741473494"/>
    <n v="67.376989053363516"/>
    <n v="542.84414704984056"/>
    <n v="2376"/>
    <n v="162.12504000000001"/>
    <n v="801.60695999999996"/>
    <n v="3082.9277020395689"/>
    <n v="124.51267577061579"/>
    <n v="1003.1759837481054"/>
  </r>
  <r>
    <s v="Sistema Isolado - Regular"/>
    <x v="0"/>
    <x v="0"/>
    <x v="3"/>
    <x v="0"/>
    <x v="0"/>
    <x v="0"/>
    <x v="1"/>
    <x v="10"/>
    <n v="3192"/>
    <n v="3192"/>
    <n v="94.150999999999996"/>
    <n v="94.150999999999996"/>
    <n v="94.150999999999996"/>
    <n v="94.150999999999996"/>
    <n v="0"/>
    <x v="0"/>
    <n v="0"/>
    <n v="34"/>
    <n v="23"/>
    <n v="71"/>
    <n v="44"/>
    <n v="87.73"/>
    <n v="433.77"/>
    <n v="57.091253741473494"/>
    <n v="67.376989053363516"/>
    <n v="542.84414704984056"/>
    <n v="140448"/>
    <n v="8259.8672299999998"/>
    <n v="40839.879269999998"/>
    <n v="182235.28194278339"/>
    <n v="6343.6108963632278"/>
    <n v="51109.319288889536"/>
  </r>
  <r>
    <s v="Sistema de Compensação"/>
    <x v="0"/>
    <x v="0"/>
    <x v="3"/>
    <x v="0"/>
    <x v="0"/>
    <x v="0"/>
    <x v="1"/>
    <x v="10"/>
    <n v="52"/>
    <n v="52"/>
    <n v="1.6319999999999999"/>
    <n v="1.6319999999999999"/>
    <n v="1.6319999999999999"/>
    <n v="1.6319999999999999"/>
    <n v="0"/>
    <x v="0"/>
    <n v="0"/>
    <n v="34"/>
    <n v="23"/>
    <n v="71"/>
    <n v="44"/>
    <n v="87.73"/>
    <n v="433.77"/>
    <n v="57.091253741473494"/>
    <n v="67.376989053363516"/>
    <n v="542.84414704984056"/>
    <n v="2288"/>
    <n v="143.17535999999998"/>
    <n v="707.9126399999999"/>
    <n v="2968.7451945566218"/>
    <n v="109.95924613508924"/>
    <n v="885.92164798533975"/>
  </r>
  <r>
    <s v="PROJETADO"/>
    <x v="0"/>
    <x v="0"/>
    <x v="3"/>
    <x v="0"/>
    <x v="0"/>
    <x v="0"/>
    <x v="1"/>
    <x v="11"/>
    <n v="3192"/>
    <n v="3192"/>
    <n v="94.150999999999996"/>
    <n v="94.150999999999996"/>
    <n v="94.150999999999996"/>
    <n v="94.150999999999996"/>
    <n v="0"/>
    <x v="0"/>
    <n v="0"/>
    <n v="34"/>
    <n v="23"/>
    <n v="71"/>
    <n v="44"/>
    <n v="87.73"/>
    <n v="433.77"/>
    <n v="57.091253741473494"/>
    <n v="67.376989053363516"/>
    <n v="542.84414704984056"/>
    <n v="140448"/>
    <n v="8259.8672299999998"/>
    <n v="40839.879269999998"/>
    <n v="182235.28194278339"/>
    <n v="6343.6108963632278"/>
    <n v="51109.319288889536"/>
  </r>
  <r>
    <s v="PROJETADO"/>
    <x v="0"/>
    <x v="0"/>
    <x v="3"/>
    <x v="0"/>
    <x v="0"/>
    <x v="0"/>
    <x v="1"/>
    <x v="11"/>
    <n v="52"/>
    <n v="52"/>
    <n v="1.6319999999999999"/>
    <n v="1.6319999999999999"/>
    <n v="1.6319999999999999"/>
    <n v="1.6319999999999999"/>
    <n v="0"/>
    <x v="0"/>
    <n v="0"/>
    <n v="34"/>
    <n v="23"/>
    <n v="71"/>
    <n v="44"/>
    <n v="87.73"/>
    <n v="433.77"/>
    <n v="57.091253741473494"/>
    <n v="67.376989053363516"/>
    <n v="542.84414704984056"/>
    <n v="2288"/>
    <n v="143.17535999999998"/>
    <n v="707.9126399999999"/>
    <n v="2968.7451945566218"/>
    <n v="109.95924613508924"/>
    <n v="885.92164798533975"/>
  </r>
  <r>
    <s v="Sistema Isolado - Regular"/>
    <x v="0"/>
    <x v="0"/>
    <x v="4"/>
    <x v="1"/>
    <x v="0"/>
    <x v="0"/>
    <x v="0"/>
    <x v="0"/>
    <n v="2202"/>
    <n v="1871.7"/>
    <n v="1090.395"/>
    <n v="1024.9712999999999"/>
    <n v="1090.395"/>
    <n v="1024.9712999999999"/>
    <n v="0"/>
    <x v="0"/>
    <n v="0"/>
    <n v="27"/>
    <n v="23"/>
    <n v="59"/>
    <n v="14.64"/>
    <n v="87.73"/>
    <n v="253.9"/>
    <n v="19.024476785546895"/>
    <n v="67.376989053363516"/>
    <n v="317.3874512882154"/>
    <n v="27401.688000000002"/>
    <n v="89920.732149000003"/>
    <n v="260240.21307"/>
    <n v="35608.113199508123"/>
    <n v="69059.480060111775"/>
    <n v="325313.02855056879"/>
  </r>
  <r>
    <s v="Sistema Isolado - Regular"/>
    <x v="0"/>
    <x v="0"/>
    <x v="4"/>
    <x v="1"/>
    <x v="0"/>
    <x v="0"/>
    <x v="0"/>
    <x v="1"/>
    <n v="2253"/>
    <n v="1915.05"/>
    <n v="1100.5360000000001"/>
    <n v="1034.5038400000001"/>
    <n v="1100.5360000000001"/>
    <n v="1034.5038400000001"/>
    <n v="0"/>
    <x v="0"/>
    <n v="0"/>
    <n v="27"/>
    <n v="23"/>
    <n v="59"/>
    <n v="14.64"/>
    <n v="87.73"/>
    <n v="253.9"/>
    <n v="19.024476785546895"/>
    <n v="67.376989053363516"/>
    <n v="317.3874512882154"/>
    <n v="28036.332000000002"/>
    <n v="90757.02188320001"/>
    <n v="262660.52497600002"/>
    <n v="36432.824268161581"/>
    <n v="69701.753903342527"/>
    <n v="328338.5371254718"/>
  </r>
  <r>
    <s v="Sistema Isolado - Regular"/>
    <x v="0"/>
    <x v="0"/>
    <x v="4"/>
    <x v="1"/>
    <x v="0"/>
    <x v="0"/>
    <x v="0"/>
    <x v="2"/>
    <n v="2175"/>
    <n v="1848.75"/>
    <n v="1078.173"/>
    <n v="1013.48262"/>
    <n v="1078.173"/>
    <n v="1013.48262"/>
    <n v="0"/>
    <x v="0"/>
    <n v="0"/>
    <n v="27"/>
    <n v="23"/>
    <n v="59"/>
    <n v="14.64"/>
    <n v="87.73"/>
    <n v="253.9"/>
    <n v="19.024476785546895"/>
    <n v="67.376989053363516"/>
    <n v="317.3874512882154"/>
    <n v="27065.7"/>
    <n v="88912.830252600004"/>
    <n v="257323.23721799999"/>
    <n v="35171.501457279825"/>
    <n v="68285.407393514179"/>
    <n v="321666.66568670294"/>
  </r>
  <r>
    <s v="Sistema Isolado - Regular"/>
    <x v="0"/>
    <x v="0"/>
    <x v="4"/>
    <x v="1"/>
    <x v="0"/>
    <x v="0"/>
    <x v="0"/>
    <x v="3"/>
    <n v="2198"/>
    <n v="1868.3"/>
    <n v="1021.213"/>
    <n v="959.94021999999995"/>
    <n v="1021.213"/>
    <n v="959.94021999999995"/>
    <n v="0"/>
    <x v="0"/>
    <n v="0"/>
    <n v="27"/>
    <n v="23"/>
    <n v="59"/>
    <n v="14.64"/>
    <n v="87.73"/>
    <n v="253.9"/>
    <n v="19.024476785546895"/>
    <n v="67.376989053363516"/>
    <n v="317.3874512882154"/>
    <n v="27351.912"/>
    <n v="84215.555500600007"/>
    <n v="243728.82185799998"/>
    <n v="35543.429978437263"/>
    <n v="64677.881694823365"/>
    <n v="304672.97981484875"/>
  </r>
  <r>
    <s v="Sistema Isolado - Regular"/>
    <x v="0"/>
    <x v="0"/>
    <x v="4"/>
    <x v="1"/>
    <x v="0"/>
    <x v="0"/>
    <x v="0"/>
    <x v="4"/>
    <n v="2223"/>
    <n v="1889.55"/>
    <n v="1125.261"/>
    <n v="1057.7453399999999"/>
    <n v="1125.261"/>
    <n v="1057.7453399999999"/>
    <n v="0"/>
    <x v="0"/>
    <n v="0"/>
    <n v="27"/>
    <n v="23"/>
    <n v="59"/>
    <n v="14.64"/>
    <n v="87.73"/>
    <n v="253.9"/>
    <n v="19.024476785546895"/>
    <n v="67.376989053363516"/>
    <n v="317.3874512882154"/>
    <n v="27663.011999999999"/>
    <n v="92795.998678200005"/>
    <n v="268561.54182599997"/>
    <n v="35947.700110130136"/>
    <n v="71267.696194426273"/>
    <n v="335715.09757458681"/>
  </r>
  <r>
    <s v="Sistema Isolado - Regular"/>
    <x v="0"/>
    <x v="0"/>
    <x v="4"/>
    <x v="1"/>
    <x v="0"/>
    <x v="0"/>
    <x v="0"/>
    <x v="5"/>
    <n v="2223"/>
    <n v="1889.55"/>
    <n v="1125.261"/>
    <n v="1057.7453399999999"/>
    <n v="1125.261"/>
    <n v="1057.7453399999999"/>
    <n v="0"/>
    <x v="0"/>
    <n v="0"/>
    <n v="27"/>
    <n v="23"/>
    <n v="59"/>
    <n v="14.64"/>
    <n v="87.73"/>
    <n v="253.9"/>
    <n v="19.024476785546895"/>
    <n v="67.376989053363516"/>
    <n v="317.3874512882154"/>
    <n v="27663.011999999999"/>
    <n v="92795.998678200005"/>
    <n v="268561.54182599997"/>
    <n v="35947.700110130136"/>
    <n v="71267.696194426273"/>
    <n v="335715.09757458681"/>
  </r>
  <r>
    <s v="Sistema Isolado - Regular"/>
    <x v="0"/>
    <x v="0"/>
    <x v="4"/>
    <x v="1"/>
    <x v="0"/>
    <x v="0"/>
    <x v="0"/>
    <x v="6"/>
    <n v="2164"/>
    <n v="1839.3999999999999"/>
    <n v="1054.4939999999999"/>
    <n v="991.22435999999982"/>
    <n v="1054.4939999999999"/>
    <n v="991.22435999999982"/>
    <n v="0"/>
    <x v="0"/>
    <n v="0"/>
    <n v="27"/>
    <n v="23"/>
    <n v="59"/>
    <n v="14.64"/>
    <n v="87.73"/>
    <n v="253.9"/>
    <n v="19.024476785546895"/>
    <n v="67.376989053363516"/>
    <n v="317.3874512882154"/>
    <n v="26928.815999999999"/>
    <n v="86960.113102799995"/>
    <n v="251671.86500399996"/>
    <n v="34993.622599334958"/>
    <n v="66785.712853147241"/>
    <n v="314602.17327519244"/>
  </r>
  <r>
    <s v="Sistema Isolado - Regular"/>
    <x v="0"/>
    <x v="0"/>
    <x v="4"/>
    <x v="1"/>
    <x v="0"/>
    <x v="0"/>
    <x v="0"/>
    <x v="7"/>
    <n v="2162"/>
    <n v="1837.7"/>
    <n v="1015.821"/>
    <n v="954.87173999999993"/>
    <n v="1015.821"/>
    <n v="954.87173999999993"/>
    <n v="0"/>
    <x v="0"/>
    <n v="0"/>
    <n v="27"/>
    <n v="23"/>
    <n v="59"/>
    <n v="14.64"/>
    <n v="87.73"/>
    <n v="253.9"/>
    <n v="19.024476785546895"/>
    <n v="67.376989053363516"/>
    <n v="317.3874512882154"/>
    <n v="26903.928000000004"/>
    <n v="83770.897750199991"/>
    <n v="242441.934786"/>
    <n v="34961.280988799532"/>
    <n v="64336.382773346166"/>
    <n v="303064.30786574347"/>
  </r>
  <r>
    <s v="Sistema Isolado - Regular"/>
    <x v="0"/>
    <x v="0"/>
    <x v="4"/>
    <x v="1"/>
    <x v="0"/>
    <x v="0"/>
    <x v="0"/>
    <x v="8"/>
    <n v="2199"/>
    <n v="1869.1499999999999"/>
    <n v="998.71199999999999"/>
    <n v="938.78927999999996"/>
    <n v="998.71199999999999"/>
    <n v="938.78927999999996"/>
    <n v="0"/>
    <x v="0"/>
    <n v="0"/>
    <n v="27"/>
    <n v="23"/>
    <n v="59"/>
    <n v="14.64"/>
    <n v="87.73"/>
    <n v="253.9"/>
    <n v="19.024476785546895"/>
    <n v="67.376989053363516"/>
    <n v="317.3874512882154"/>
    <n v="27364.356"/>
    <n v="82359.983534400002"/>
    <n v="238358.598192"/>
    <n v="35559.600783704976"/>
    <n v="63252.795041975012"/>
    <n v="297959.9368758988"/>
  </r>
  <r>
    <s v="Sistema Isolado - Regular"/>
    <x v="0"/>
    <x v="0"/>
    <x v="4"/>
    <x v="1"/>
    <x v="0"/>
    <x v="0"/>
    <x v="0"/>
    <x v="9"/>
    <n v="2176"/>
    <n v="1849.6"/>
    <n v="1021.486"/>
    <n v="960.19683999999995"/>
    <n v="1021.486"/>
    <n v="960.19683999999995"/>
    <n v="0"/>
    <x v="0"/>
    <n v="0"/>
    <n v="27"/>
    <n v="23"/>
    <n v="59"/>
    <n v="14.64"/>
    <n v="87.73"/>
    <n v="253.9"/>
    <n v="19.024476785546895"/>
    <n v="67.376989053363516"/>
    <n v="317.3874512882154"/>
    <n v="27078.144"/>
    <n v="84238.068773199993"/>
    <n v="243793.97767599998"/>
    <n v="35187.672262547538"/>
    <n v="64695.171977754238"/>
    <n v="304754.42778259836"/>
  </r>
  <r>
    <s v="Sistema Isolado - Regular"/>
    <x v="0"/>
    <x v="0"/>
    <x v="4"/>
    <x v="1"/>
    <x v="0"/>
    <x v="0"/>
    <x v="0"/>
    <x v="10"/>
    <n v="2196"/>
    <n v="1866.6"/>
    <n v="1073.4110000000001"/>
    <n v="1009.00634"/>
    <n v="1073.4110000000001"/>
    <n v="1009.00634"/>
    <n v="0"/>
    <x v="0"/>
    <n v="0"/>
    <n v="27"/>
    <n v="23"/>
    <n v="59"/>
    <n v="14.64"/>
    <n v="87.73"/>
    <n v="253.9"/>
    <n v="19.024476785546895"/>
    <n v="67.376989053363516"/>
    <n v="317.3874512882154"/>
    <n v="27327.024000000001"/>
    <n v="88520.126208200003"/>
    <n v="256186.709726"/>
    <n v="35511.08836790183"/>
    <n v="67983.809124954394"/>
    <n v="320245.95058625052"/>
  </r>
  <r>
    <s v="PROJETADO"/>
    <x v="0"/>
    <x v="0"/>
    <x v="4"/>
    <x v="1"/>
    <x v="0"/>
    <x v="0"/>
    <x v="0"/>
    <x v="11"/>
    <n v="2196"/>
    <n v="1866.6"/>
    <n v="1073.4110000000001"/>
    <n v="1009.00634"/>
    <n v="1073.4110000000001"/>
    <n v="1009.00634"/>
    <n v="0"/>
    <x v="0"/>
    <n v="0"/>
    <n v="27"/>
    <n v="23"/>
    <n v="59"/>
    <n v="14.64"/>
    <n v="87.73"/>
    <n v="253.9"/>
    <n v="19.024476785546895"/>
    <n v="67.376989053363516"/>
    <n v="317.3874512882154"/>
    <n v="27327.024000000001"/>
    <n v="88520.126208200003"/>
    <n v="256186.709726"/>
    <n v="35511.08836790183"/>
    <n v="67983.809124954394"/>
    <n v="320245.95058625052"/>
  </r>
  <r>
    <s v="Sistema Isolado - Regular"/>
    <x v="0"/>
    <x v="0"/>
    <x v="4"/>
    <x v="1"/>
    <x v="0"/>
    <x v="0"/>
    <x v="1"/>
    <x v="0"/>
    <n v="2125"/>
    <n v="1806.25"/>
    <n v="102.19199999999999"/>
    <n v="96.060479999999984"/>
    <n v="102.19199999999999"/>
    <n v="96.060479999999984"/>
    <n v="0"/>
    <x v="0"/>
    <n v="0"/>
    <n v="34"/>
    <n v="23"/>
    <n v="71"/>
    <n v="44"/>
    <n v="87.73"/>
    <n v="433.77"/>
    <n v="57.091253741473494"/>
    <n v="67.376989053363516"/>
    <n v="542.84414704984056"/>
    <n v="79475"/>
    <n v="8427.3859103999985"/>
    <n v="41668.154409599993"/>
    <n v="103121.0770705365"/>
    <n v="6472.2659094208439"/>
    <n v="52145.869330798261"/>
  </r>
  <r>
    <s v="Sistema Isolado - Regular"/>
    <x v="0"/>
    <x v="0"/>
    <x v="4"/>
    <x v="1"/>
    <x v="0"/>
    <x v="0"/>
    <x v="1"/>
    <x v="1"/>
    <n v="2097"/>
    <n v="1782.45"/>
    <n v="114.267"/>
    <n v="107.41098"/>
    <n v="114.267"/>
    <n v="107.41098"/>
    <n v="0"/>
    <x v="0"/>
    <n v="0"/>
    <n v="34"/>
    <n v="23"/>
    <n v="71"/>
    <n v="44"/>
    <n v="87.73"/>
    <n v="433.77"/>
    <n v="57.091253741473494"/>
    <n v="67.376989053363516"/>
    <n v="542.84414704984056"/>
    <n v="78427.8"/>
    <n v="9423.1652754000006"/>
    <n v="46591.660794599993"/>
    <n v="101762.30523148943"/>
    <n v="7237.0284236710477"/>
    <n v="58307.421821887481"/>
  </r>
  <r>
    <s v="Sistema Isolado - Regular"/>
    <x v="0"/>
    <x v="0"/>
    <x v="4"/>
    <x v="1"/>
    <x v="0"/>
    <x v="0"/>
    <x v="1"/>
    <x v="2"/>
    <n v="2096"/>
    <n v="1781.6"/>
    <n v="105.336"/>
    <n v="99.015839999999997"/>
    <n v="105.336"/>
    <n v="99.015839999999997"/>
    <n v="0"/>
    <x v="0"/>
    <n v="0"/>
    <n v="34"/>
    <n v="23"/>
    <n v="71"/>
    <n v="44"/>
    <n v="87.73"/>
    <n v="433.77"/>
    <n v="57.091253741473494"/>
    <n v="67.376989053363516"/>
    <n v="542.84414704984056"/>
    <n v="78390.399999999994"/>
    <n v="8686.6596432000006"/>
    <n v="42950.100916799995"/>
    <n v="101713.77766580918"/>
    <n v="6671.3891677895936"/>
    <n v="53750.169209223481"/>
  </r>
  <r>
    <s v="Sistema Isolado - Regular"/>
    <x v="0"/>
    <x v="0"/>
    <x v="4"/>
    <x v="1"/>
    <x v="0"/>
    <x v="0"/>
    <x v="1"/>
    <x v="3"/>
    <n v="2122"/>
    <n v="1803.7"/>
    <n v="102.905"/>
    <n v="96.730699999999999"/>
    <n v="102.905"/>
    <n v="96.730699999999999"/>
    <n v="0"/>
    <x v="0"/>
    <n v="0"/>
    <n v="34"/>
    <n v="23"/>
    <n v="71"/>
    <n v="44"/>
    <n v="87.73"/>
    <n v="433.77"/>
    <n v="57.091253741473494"/>
    <n v="67.376989053363516"/>
    <n v="542.84414704984056"/>
    <n v="79362.8"/>
    <n v="8486.1843110000009"/>
    <n v="41958.875738999996"/>
    <n v="102975.49437349575"/>
    <n v="6517.4233150241898"/>
    <n v="52509.694335034008"/>
  </r>
  <r>
    <s v="Sistema Isolado - Regular"/>
    <x v="0"/>
    <x v="0"/>
    <x v="4"/>
    <x v="1"/>
    <x v="0"/>
    <x v="0"/>
    <x v="1"/>
    <x v="4"/>
    <n v="2159"/>
    <n v="1835.1499999999999"/>
    <n v="112.5"/>
    <n v="105.75"/>
    <n v="112.5"/>
    <n v="105.75"/>
    <n v="0"/>
    <x v="0"/>
    <n v="0"/>
    <n v="34"/>
    <n v="23"/>
    <n v="71"/>
    <n v="44"/>
    <n v="87.73"/>
    <n v="433.77"/>
    <n v="57.091253741473494"/>
    <n v="67.376989053363516"/>
    <n v="542.84414704984056"/>
    <n v="80746.599999999991"/>
    <n v="9277.4475000000002"/>
    <n v="45871.177499999998"/>
    <n v="104771.01430366507"/>
    <n v="7125.1165923931921"/>
    <n v="57405.768550520639"/>
  </r>
  <r>
    <s v="Sistema Isolado - Regular"/>
    <x v="0"/>
    <x v="0"/>
    <x v="4"/>
    <x v="1"/>
    <x v="0"/>
    <x v="0"/>
    <x v="1"/>
    <x v="5"/>
    <n v="2159"/>
    <n v="1835.1499999999999"/>
    <n v="112.5"/>
    <n v="105.75"/>
    <n v="112.5"/>
    <n v="105.75"/>
    <n v="0"/>
    <x v="0"/>
    <n v="0"/>
    <n v="34"/>
    <n v="23"/>
    <n v="71"/>
    <n v="44"/>
    <n v="87.73"/>
    <n v="433.77"/>
    <n v="57.091253741473494"/>
    <n v="67.376989053363516"/>
    <n v="542.84414704984056"/>
    <n v="80746.599999999991"/>
    <n v="9277.4475000000002"/>
    <n v="45871.177499999998"/>
    <n v="104771.01430366507"/>
    <n v="7125.1165923931921"/>
    <n v="57405.768550520639"/>
  </r>
  <r>
    <s v="Sistema Isolado - Regular"/>
    <x v="0"/>
    <x v="0"/>
    <x v="4"/>
    <x v="1"/>
    <x v="0"/>
    <x v="0"/>
    <x v="1"/>
    <x v="6"/>
    <n v="2087"/>
    <n v="1773.95"/>
    <n v="106.291"/>
    <n v="99.913539999999998"/>
    <n v="106.291"/>
    <n v="99.913539999999998"/>
    <n v="0"/>
    <x v="0"/>
    <n v="0"/>
    <n v="34"/>
    <n v="23"/>
    <n v="71"/>
    <n v="44"/>
    <n v="87.73"/>
    <n v="433.77"/>
    <n v="57.091253741473494"/>
    <n v="67.376989053363516"/>
    <n v="542.84414704984056"/>
    <n v="78053.8"/>
    <n v="8765.4148642"/>
    <n v="43339.496245799994"/>
    <n v="101277.02957468691"/>
    <n v="6731.8734908627976"/>
    <n v="54237.480400030123"/>
  </r>
  <r>
    <s v="Sistema Isolado - Regular"/>
    <x v="0"/>
    <x v="0"/>
    <x v="4"/>
    <x v="1"/>
    <x v="0"/>
    <x v="0"/>
    <x v="1"/>
    <x v="7"/>
    <n v="2100"/>
    <n v="1785"/>
    <n v="97.468999999999994"/>
    <n v="91.620859999999993"/>
    <n v="97.468999999999994"/>
    <n v="91.620859999999993"/>
    <n v="0"/>
    <x v="0"/>
    <n v="0"/>
    <n v="34"/>
    <n v="23"/>
    <n v="71"/>
    <n v="44"/>
    <n v="87.73"/>
    <n v="433.77"/>
    <n v="57.091253741473494"/>
    <n v="67.376989053363516"/>
    <n v="542.84414704984056"/>
    <n v="78540"/>
    <n v="8037.8980477999994"/>
    <n v="39742.380442199996"/>
    <n v="101907.88792853018"/>
    <n v="6173.1376812797507"/>
    <n v="49735.847598672852"/>
  </r>
  <r>
    <s v="Sistema Isolado - Regular"/>
    <x v="0"/>
    <x v="0"/>
    <x v="4"/>
    <x v="1"/>
    <x v="0"/>
    <x v="0"/>
    <x v="1"/>
    <x v="8"/>
    <n v="2110"/>
    <n v="1793.5"/>
    <n v="93.695999999999998"/>
    <n v="88.074239999999989"/>
    <n v="93.695999999999998"/>
    <n v="88.074239999999989"/>
    <n v="0"/>
    <x v="0"/>
    <n v="0"/>
    <n v="34"/>
    <n v="23"/>
    <n v="71"/>
    <n v="44"/>
    <n v="87.73"/>
    <n v="433.77"/>
    <n v="57.091253741473494"/>
    <n v="67.376989053363516"/>
    <n v="542.84414704984056"/>
    <n v="78914"/>
    <n v="7726.7530751999993"/>
    <n v="38203.963084799994"/>
    <n v="102393.16358533272"/>
    <n v="5934.1771043633107"/>
    <n v="47810.585689862943"/>
  </r>
  <r>
    <s v="Sistema Isolado - Regular"/>
    <x v="0"/>
    <x v="0"/>
    <x v="4"/>
    <x v="1"/>
    <x v="0"/>
    <x v="0"/>
    <x v="1"/>
    <x v="9"/>
    <n v="2101"/>
    <n v="1785.85"/>
    <n v="105.64"/>
    <n v="99.301599999999993"/>
    <n v="105.64"/>
    <n v="99.301599999999993"/>
    <n v="0"/>
    <x v="0"/>
    <n v="0"/>
    <n v="34"/>
    <n v="23"/>
    <n v="71"/>
    <n v="44"/>
    <n v="87.73"/>
    <n v="433.77"/>
    <n v="57.091253741473494"/>
    <n v="67.376989053363516"/>
    <n v="542.84414704984056"/>
    <n v="78577.399999999994"/>
    <n v="8711.7293680000002"/>
    <n v="43074.055031999997"/>
    <n v="101956.41549421044"/>
    <n v="6690.642816181482"/>
    <n v="53905.292352684446"/>
  </r>
  <r>
    <s v="Sistema Isolado - Regular"/>
    <x v="0"/>
    <x v="0"/>
    <x v="4"/>
    <x v="1"/>
    <x v="0"/>
    <x v="0"/>
    <x v="1"/>
    <x v="10"/>
    <n v="2131"/>
    <n v="1811.35"/>
    <n v="106.55"/>
    <n v="100.157"/>
    <n v="106.55"/>
    <n v="100.157"/>
    <n v="0"/>
    <x v="0"/>
    <n v="0"/>
    <n v="34"/>
    <n v="23"/>
    <n v="71"/>
    <n v="44"/>
    <n v="87.73"/>
    <n v="433.77"/>
    <n v="57.091253741473494"/>
    <n v="67.376989053363516"/>
    <n v="542.84414704984056"/>
    <n v="79699.399999999994"/>
    <n v="8786.7736100000002"/>
    <n v="43445.101889999998"/>
    <n v="103412.24246461802"/>
    <n v="6748.2770926177291"/>
    <n v="54369.641236070878"/>
  </r>
  <r>
    <s v="PROJETADO"/>
    <x v="0"/>
    <x v="0"/>
    <x v="4"/>
    <x v="1"/>
    <x v="0"/>
    <x v="0"/>
    <x v="1"/>
    <x v="11"/>
    <n v="2131"/>
    <n v="1811.35"/>
    <n v="106.55"/>
    <n v="100.157"/>
    <n v="106.55"/>
    <n v="100.157"/>
    <n v="0"/>
    <x v="0"/>
    <n v="0"/>
    <n v="34"/>
    <n v="23"/>
    <n v="71"/>
    <n v="44"/>
    <n v="87.73"/>
    <n v="433.77"/>
    <n v="57.091253741473494"/>
    <n v="67.376989053363516"/>
    <n v="542.84414704984056"/>
    <n v="79699.399999999994"/>
    <n v="8786.7736100000002"/>
    <n v="43445.101889999998"/>
    <n v="103412.24246461802"/>
    <n v="6748.2770926177291"/>
    <n v="54369.641236070878"/>
  </r>
  <r>
    <s v="Sistema Isolado - Regular"/>
    <x v="0"/>
    <x v="1"/>
    <x v="0"/>
    <x v="0"/>
    <x v="0"/>
    <x v="0"/>
    <x v="0"/>
    <x v="0"/>
    <n v="0"/>
    <n v="0"/>
    <n v="6809.9110000000001"/>
    <n v="6809.9110000000001"/>
    <n v="6809.9110000000001"/>
    <n v="6809.9110000000001"/>
    <n v="0"/>
    <x v="0"/>
    <n v="0"/>
    <n v="0"/>
    <n v="31"/>
    <n v="59"/>
    <n v="0"/>
    <n v="87.73"/>
    <n v="253.9"/>
    <m/>
    <n v="67.376989053363516"/>
    <n v="317.3874512882154"/>
    <n v="0"/>
    <n v="597433.49203000008"/>
    <n v="1729036.4029000001"/>
    <n v="0"/>
    <n v="458831.29890137981"/>
    <n v="2161380.2957895822"/>
  </r>
  <r>
    <s v="Sistema Isolado - Refaturamento"/>
    <x v="0"/>
    <x v="1"/>
    <x v="0"/>
    <x v="0"/>
    <x v="0"/>
    <x v="0"/>
    <x v="0"/>
    <x v="0"/>
    <n v="0"/>
    <n v="0"/>
    <n v="-37.392000000000003"/>
    <n v="-37.392000000000003"/>
    <n v="-37.392000000000003"/>
    <n v="-37.392000000000003"/>
    <n v="0"/>
    <x v="0"/>
    <n v="0"/>
    <n v="0"/>
    <n v="31"/>
    <n v="59"/>
    <n v="0"/>
    <n v="87.73"/>
    <n v="253.9"/>
    <m/>
    <n v="67.376989053363516"/>
    <n v="317.3874512882154"/>
    <n v="0"/>
    <n v="-3280.4001600000006"/>
    <n v="-9493.8288000000011"/>
    <n v="0"/>
    <n v="-2519.3603746833687"/>
    <n v="-11867.751578568952"/>
  </r>
  <r>
    <s v="Sistema de Compensação"/>
    <x v="0"/>
    <x v="1"/>
    <x v="0"/>
    <x v="0"/>
    <x v="0"/>
    <x v="0"/>
    <x v="0"/>
    <x v="0"/>
    <n v="0"/>
    <n v="0"/>
    <n v="177.82599999999999"/>
    <n v="177.82599999999999"/>
    <n v="177.82599999999999"/>
    <n v="177.82599999999999"/>
    <n v="0"/>
    <x v="0"/>
    <n v="0"/>
    <n v="0"/>
    <n v="31"/>
    <n v="59"/>
    <n v="0"/>
    <n v="87.73"/>
    <n v="253.9"/>
    <m/>
    <n v="67.376989053363516"/>
    <n v="317.3874512882154"/>
    <n v="0"/>
    <n v="15600.67498"/>
    <n v="45150.021399999998"/>
    <n v="0"/>
    <n v="11981.38045540342"/>
    <n v="56439.740912778187"/>
  </r>
  <r>
    <s v="Sistema Isolado - Regular"/>
    <x v="0"/>
    <x v="1"/>
    <x v="0"/>
    <x v="0"/>
    <x v="0"/>
    <x v="0"/>
    <x v="0"/>
    <x v="1"/>
    <n v="0"/>
    <n v="0"/>
    <n v="6410.3909999999996"/>
    <n v="6410.3909999999996"/>
    <n v="6410.3909999999996"/>
    <n v="6410.3909999999996"/>
    <n v="0"/>
    <x v="0"/>
    <n v="0"/>
    <n v="0"/>
    <n v="31"/>
    <n v="59"/>
    <n v="0"/>
    <n v="87.73"/>
    <n v="253.9"/>
    <m/>
    <n v="67.376989053363516"/>
    <n v="317.3874512882154"/>
    <n v="0"/>
    <n v="562383.60242999997"/>
    <n v="1627598.2748999998"/>
    <n v="0"/>
    <n v="431912.84423478"/>
    <n v="2034577.6612509142"/>
  </r>
  <r>
    <s v="Sistema Isolado - Refaturamento"/>
    <x v="0"/>
    <x v="1"/>
    <x v="0"/>
    <x v="0"/>
    <x v="0"/>
    <x v="0"/>
    <x v="0"/>
    <x v="1"/>
    <n v="0"/>
    <n v="0"/>
    <n v="4.2889999999999997"/>
    <n v="4.2889999999999997"/>
    <n v="4.2889999999999997"/>
    <n v="4.2889999999999997"/>
    <n v="0"/>
    <x v="0"/>
    <n v="0"/>
    <n v="0"/>
    <n v="31"/>
    <n v="59"/>
    <n v="0"/>
    <n v="87.73"/>
    <n v="253.9"/>
    <m/>
    <n v="67.376989053363516"/>
    <n v="317.3874512882154"/>
    <n v="0"/>
    <n v="376.27396999999996"/>
    <n v="1088.9770999999998"/>
    <n v="0"/>
    <n v="288.97990604987609"/>
    <n v="1361.2747785751558"/>
  </r>
  <r>
    <s v="Sistema de Compensação"/>
    <x v="0"/>
    <x v="1"/>
    <x v="0"/>
    <x v="0"/>
    <x v="0"/>
    <x v="0"/>
    <x v="0"/>
    <x v="1"/>
    <n v="0"/>
    <n v="0"/>
    <n v="157.99299999999999"/>
    <n v="157.99299999999999"/>
    <n v="157.99299999999999"/>
    <n v="157.99299999999999"/>
    <n v="0"/>
    <x v="0"/>
    <n v="0"/>
    <n v="0"/>
    <n v="31"/>
    <n v="59"/>
    <n v="0"/>
    <n v="87.73"/>
    <n v="253.9"/>
    <m/>
    <n v="67.376989053363516"/>
    <n v="317.3874512882154"/>
    <n v="0"/>
    <n v="13860.72589"/>
    <n v="40114.422700000003"/>
    <n v="0"/>
    <n v="10645.092631508061"/>
    <n v="50144.995591379011"/>
  </r>
  <r>
    <s v="Sistema Isolado - Regular"/>
    <x v="0"/>
    <x v="1"/>
    <x v="0"/>
    <x v="0"/>
    <x v="0"/>
    <x v="0"/>
    <x v="0"/>
    <x v="2"/>
    <n v="0"/>
    <n v="0"/>
    <n v="6164.0429999999997"/>
    <n v="6164.0429999999997"/>
    <n v="6164.0429999999997"/>
    <n v="6164.0429999999997"/>
    <n v="0"/>
    <x v="0"/>
    <n v="0"/>
    <n v="0"/>
    <n v="31"/>
    <n v="59"/>
    <n v="0"/>
    <n v="87.73"/>
    <n v="253.9"/>
    <m/>
    <n v="67.376989053363516"/>
    <n v="317.3874512882154"/>
    <n v="0"/>
    <n v="540771.49239000003"/>
    <n v="1565050.5177"/>
    <n v="0"/>
    <n v="415314.65773546201"/>
    <n v="1956389.897400965"/>
  </r>
  <r>
    <s v="Sistema de Compensação"/>
    <x v="0"/>
    <x v="1"/>
    <x v="0"/>
    <x v="0"/>
    <x v="0"/>
    <x v="0"/>
    <x v="0"/>
    <x v="2"/>
    <n v="0"/>
    <n v="0"/>
    <n v="148.446"/>
    <n v="148.446"/>
    <n v="148.446"/>
    <n v="148.446"/>
    <n v="0"/>
    <x v="0"/>
    <n v="0"/>
    <n v="0"/>
    <n v="31"/>
    <n v="59"/>
    <n v="0"/>
    <n v="87.73"/>
    <n v="253.9"/>
    <m/>
    <n v="67.376989053363516"/>
    <n v="317.3874512882154"/>
    <n v="0"/>
    <n v="13023.167580000001"/>
    <n v="37690.439400000003"/>
    <n v="0"/>
    <n v="10001.844517015601"/>
    <n v="47114.897593930422"/>
  </r>
  <r>
    <s v="Sistema Isolado - Regular"/>
    <x v="0"/>
    <x v="1"/>
    <x v="0"/>
    <x v="0"/>
    <x v="0"/>
    <x v="0"/>
    <x v="0"/>
    <x v="3"/>
    <n v="0"/>
    <n v="0"/>
    <n v="6002.0990000000002"/>
    <n v="6002.0990000000002"/>
    <n v="6002.0990000000002"/>
    <n v="6002.0990000000002"/>
    <n v="0"/>
    <x v="0"/>
    <n v="0"/>
    <n v="0"/>
    <n v="31"/>
    <n v="59"/>
    <n v="0"/>
    <n v="87.73"/>
    <n v="253.9"/>
    <m/>
    <n v="67.376989053363516"/>
    <n v="317.3874512882154"/>
    <n v="0"/>
    <n v="526564.1452700001"/>
    <n v="1523932.9361"/>
    <n v="0"/>
    <n v="404403.35862020409"/>
    <n v="1904990.9039895465"/>
  </r>
  <r>
    <s v="Sistema de Compensação"/>
    <x v="0"/>
    <x v="1"/>
    <x v="0"/>
    <x v="0"/>
    <x v="0"/>
    <x v="0"/>
    <x v="0"/>
    <x v="3"/>
    <n v="0"/>
    <n v="0"/>
    <n v="143.85599999999999"/>
    <n v="143.85599999999999"/>
    <n v="143.85599999999999"/>
    <n v="143.85599999999999"/>
    <n v="0"/>
    <x v="0"/>
    <n v="0"/>
    <n v="0"/>
    <n v="31"/>
    <n v="59"/>
    <n v="0"/>
    <n v="87.73"/>
    <n v="253.9"/>
    <m/>
    <n v="67.376989053363516"/>
    <n v="317.3874512882154"/>
    <n v="0"/>
    <n v="12620.48688"/>
    <n v="36525.038399999998"/>
    <n v="0"/>
    <n v="9692.584137260661"/>
    <n v="45658.089192517516"/>
  </r>
  <r>
    <s v="Sistema Isolado - Regular"/>
    <x v="0"/>
    <x v="1"/>
    <x v="0"/>
    <x v="0"/>
    <x v="0"/>
    <x v="0"/>
    <x v="0"/>
    <x v="4"/>
    <n v="0"/>
    <n v="0"/>
    <n v="6383.768"/>
    <n v="6383.768"/>
    <n v="6383.768"/>
    <n v="6383.768"/>
    <n v="0"/>
    <x v="0"/>
    <n v="0"/>
    <n v="0"/>
    <n v="31"/>
    <n v="59"/>
    <n v="0"/>
    <n v="87.73"/>
    <n v="253.9"/>
    <m/>
    <n v="67.376989053363516"/>
    <n v="317.3874512882154"/>
    <n v="0"/>
    <n v="560047.96664"/>
    <n v="1620838.6952"/>
    <n v="0"/>
    <n v="430119.06665521231"/>
    <n v="2026127.8551352683"/>
  </r>
  <r>
    <s v="Sistema de Compensação"/>
    <x v="0"/>
    <x v="1"/>
    <x v="0"/>
    <x v="0"/>
    <x v="0"/>
    <x v="0"/>
    <x v="0"/>
    <x v="4"/>
    <n v="0"/>
    <n v="0"/>
    <n v="248.077"/>
    <n v="248.077"/>
    <n v="248.077"/>
    <n v="248.077"/>
    <n v="0"/>
    <x v="0"/>
    <n v="0"/>
    <n v="0"/>
    <n v="31"/>
    <n v="59"/>
    <n v="0"/>
    <n v="87.73"/>
    <n v="253.9"/>
    <m/>
    <n v="67.376989053363516"/>
    <n v="317.3874512882154"/>
    <n v="0"/>
    <n v="21763.79521"/>
    <n v="62986.7503"/>
    <n v="0"/>
    <n v="16714.681313391262"/>
    <n v="78736.526753226615"/>
  </r>
  <r>
    <s v="Sistema de Compensação"/>
    <x v="0"/>
    <x v="1"/>
    <x v="0"/>
    <x v="0"/>
    <x v="0"/>
    <x v="0"/>
    <x v="0"/>
    <x v="4"/>
    <n v="0"/>
    <n v="0"/>
    <n v="1.6850000000000001"/>
    <n v="1.6850000000000001"/>
    <n v="1.6850000000000001"/>
    <n v="1.6850000000000001"/>
    <n v="0"/>
    <x v="0"/>
    <n v="0"/>
    <n v="0"/>
    <n v="31"/>
    <n v="59"/>
    <n v="0"/>
    <n v="87.73"/>
    <n v="253.9"/>
    <m/>
    <n v="67.376989053363516"/>
    <n v="317.3874512882154"/>
    <n v="0"/>
    <n v="147.82505"/>
    <n v="427.82150000000001"/>
    <n v="0"/>
    <n v="113.53022655491753"/>
    <n v="534.79785542064292"/>
  </r>
  <r>
    <s v="Sistema Isolado - Regular"/>
    <x v="0"/>
    <x v="1"/>
    <x v="0"/>
    <x v="0"/>
    <x v="0"/>
    <x v="0"/>
    <x v="0"/>
    <x v="5"/>
    <n v="0"/>
    <n v="0"/>
    <n v="6383.768"/>
    <n v="6383.768"/>
    <n v="6383.768"/>
    <n v="6383.768"/>
    <n v="0"/>
    <x v="0"/>
    <n v="0"/>
    <n v="0"/>
    <n v="31"/>
    <n v="59"/>
    <n v="0"/>
    <n v="87.73"/>
    <n v="253.9"/>
    <m/>
    <n v="67.376989053363516"/>
    <n v="317.3874512882154"/>
    <n v="0"/>
    <n v="560047.96664"/>
    <n v="1620838.6952"/>
    <n v="0"/>
    <n v="430119.06665521231"/>
    <n v="2026127.8551352683"/>
  </r>
  <r>
    <s v="Sistema de Compensação"/>
    <x v="0"/>
    <x v="1"/>
    <x v="0"/>
    <x v="0"/>
    <x v="0"/>
    <x v="0"/>
    <x v="0"/>
    <x v="5"/>
    <n v="0"/>
    <n v="0"/>
    <n v="248.077"/>
    <n v="248.077"/>
    <n v="248.077"/>
    <n v="248.077"/>
    <n v="0"/>
    <x v="0"/>
    <n v="0"/>
    <n v="0"/>
    <n v="31"/>
    <n v="59"/>
    <n v="0"/>
    <n v="87.73"/>
    <n v="253.9"/>
    <m/>
    <n v="67.376989053363516"/>
    <n v="317.3874512882154"/>
    <n v="0"/>
    <n v="21763.79521"/>
    <n v="62986.7503"/>
    <n v="0"/>
    <n v="16714.681313391262"/>
    <n v="78736.526753226615"/>
  </r>
  <r>
    <s v="Sistema de Compensação"/>
    <x v="0"/>
    <x v="1"/>
    <x v="0"/>
    <x v="0"/>
    <x v="0"/>
    <x v="0"/>
    <x v="0"/>
    <x v="5"/>
    <n v="0"/>
    <n v="0"/>
    <n v="1.6850000000000001"/>
    <n v="1.6850000000000001"/>
    <n v="1.6850000000000001"/>
    <n v="1.6850000000000001"/>
    <n v="0"/>
    <x v="0"/>
    <n v="0"/>
    <n v="0"/>
    <n v="31"/>
    <n v="59"/>
    <n v="0"/>
    <n v="87.73"/>
    <n v="253.9"/>
    <m/>
    <n v="67.376989053363516"/>
    <n v="317.3874512882154"/>
    <n v="0"/>
    <n v="147.82505"/>
    <n v="427.82150000000001"/>
    <n v="0"/>
    <n v="113.53022655491753"/>
    <n v="534.79785542064292"/>
  </r>
  <r>
    <s v="Sistema Isolado - Regular"/>
    <x v="0"/>
    <x v="1"/>
    <x v="0"/>
    <x v="0"/>
    <x v="0"/>
    <x v="0"/>
    <x v="0"/>
    <x v="6"/>
    <n v="0"/>
    <n v="0"/>
    <n v="6144.48"/>
    <n v="6144.48"/>
    <n v="6144.48"/>
    <n v="6144.48"/>
    <n v="0"/>
    <x v="0"/>
    <n v="0"/>
    <n v="0"/>
    <n v="31"/>
    <n v="59"/>
    <n v="0"/>
    <n v="87.73"/>
    <n v="253.9"/>
    <m/>
    <n v="67.376989053363516"/>
    <n v="317.3874512882154"/>
    <n v="0"/>
    <n v="539055.2304"/>
    <n v="1560083.4719999998"/>
    <n v="0"/>
    <n v="413996.56169861101"/>
    <n v="1950180.8466914135"/>
  </r>
  <r>
    <s v="Sistema Isolado - Refaturamento"/>
    <x v="0"/>
    <x v="1"/>
    <x v="0"/>
    <x v="0"/>
    <x v="0"/>
    <x v="0"/>
    <x v="0"/>
    <x v="6"/>
    <n v="0"/>
    <n v="0"/>
    <n v="-70.224000000000004"/>
    <n v="-70.224000000000004"/>
    <n v="-70.224000000000004"/>
    <n v="-70.224000000000004"/>
    <n v="0"/>
    <x v="0"/>
    <n v="0"/>
    <n v="0"/>
    <n v="31"/>
    <n v="59"/>
    <n v="0"/>
    <n v="87.73"/>
    <n v="253.9"/>
    <m/>
    <n v="67.376989053363516"/>
    <n v="317.3874512882154"/>
    <n v="0"/>
    <n v="-6160.7515200000007"/>
    <n v="-17829.873600000003"/>
    <n v="0"/>
    <n v="-4731.4816792833999"/>
    <n v="-22288.216379263638"/>
  </r>
  <r>
    <s v="Sistema de Compensação"/>
    <x v="0"/>
    <x v="1"/>
    <x v="0"/>
    <x v="0"/>
    <x v="0"/>
    <x v="0"/>
    <x v="0"/>
    <x v="6"/>
    <n v="0"/>
    <n v="0"/>
    <n v="994.24400000000003"/>
    <n v="994.24400000000003"/>
    <n v="994.24400000000003"/>
    <n v="994.24400000000003"/>
    <n v="0"/>
    <x v="0"/>
    <n v="0"/>
    <n v="0"/>
    <n v="31"/>
    <n v="59"/>
    <n v="0"/>
    <n v="87.73"/>
    <n v="253.9"/>
    <m/>
    <n v="67.376989053363516"/>
    <n v="317.3874512882154"/>
    <n v="0"/>
    <n v="87225.02612000001"/>
    <n v="252438.55160000001"/>
    <n v="0"/>
    <n v="66989.167104372362"/>
    <n v="315560.56911860046"/>
  </r>
  <r>
    <s v="Sistema Isolado - Regular"/>
    <x v="0"/>
    <x v="1"/>
    <x v="0"/>
    <x v="0"/>
    <x v="0"/>
    <x v="0"/>
    <x v="0"/>
    <x v="7"/>
    <n v="0"/>
    <n v="0"/>
    <n v="5800.8450000000003"/>
    <n v="5800.8450000000003"/>
    <n v="5800.8450000000003"/>
    <n v="5800.8450000000003"/>
    <n v="0"/>
    <x v="0"/>
    <n v="0"/>
    <n v="0"/>
    <n v="31"/>
    <n v="59"/>
    <n v="0"/>
    <n v="87.73"/>
    <n v="253.9"/>
    <m/>
    <n v="67.376989053363516"/>
    <n v="317.3874512882154"/>
    <n v="0"/>
    <n v="508908.13185000006"/>
    <n v="1472834.5455"/>
    <n v="0"/>
    <n v="390843.4700652585"/>
    <n v="1841115.409867988"/>
  </r>
  <r>
    <s v="Sistema Isolado - Refaturamento"/>
    <x v="0"/>
    <x v="1"/>
    <x v="0"/>
    <x v="0"/>
    <x v="0"/>
    <x v="0"/>
    <x v="0"/>
    <x v="7"/>
    <n v="0"/>
    <n v="0"/>
    <n v="-75.244"/>
    <n v="-75.244"/>
    <n v="-75.244"/>
    <n v="-75.244"/>
    <n v="0"/>
    <x v="0"/>
    <n v="0"/>
    <n v="0"/>
    <n v="31"/>
    <n v="59"/>
    <n v="0"/>
    <n v="87.73"/>
    <n v="253.9"/>
    <m/>
    <n v="67.376989053363516"/>
    <n v="317.3874512882154"/>
    <n v="0"/>
    <n v="-6601.1561200000006"/>
    <n v="-19104.4516"/>
    <n v="0"/>
    <n v="-5069.7141643312843"/>
    <n v="-23881.50138473048"/>
  </r>
  <r>
    <s v="Sistema de Compensação"/>
    <x v="0"/>
    <x v="1"/>
    <x v="0"/>
    <x v="0"/>
    <x v="0"/>
    <x v="0"/>
    <x v="0"/>
    <x v="7"/>
    <n v="0"/>
    <n v="0"/>
    <n v="252.102"/>
    <n v="252.102"/>
    <n v="252.102"/>
    <n v="252.102"/>
    <n v="0"/>
    <x v="0"/>
    <n v="0"/>
    <n v="0"/>
    <n v="31"/>
    <n v="59"/>
    <n v="0"/>
    <n v="87.73"/>
    <n v="253.9"/>
    <m/>
    <n v="67.376989053363516"/>
    <n v="317.3874512882154"/>
    <n v="0"/>
    <n v="22116.908460000002"/>
    <n v="64008.697800000002"/>
    <n v="0"/>
    <n v="16985.873694331051"/>
    <n v="80014.011244661684"/>
  </r>
  <r>
    <s v="Sistema Isolado - Regular"/>
    <x v="0"/>
    <x v="1"/>
    <x v="0"/>
    <x v="0"/>
    <x v="0"/>
    <x v="0"/>
    <x v="0"/>
    <x v="8"/>
    <n v="0"/>
    <n v="0"/>
    <n v="6057.7290000000003"/>
    <n v="6057.7290000000003"/>
    <n v="6057.7290000000003"/>
    <n v="6057.7290000000003"/>
    <n v="0"/>
    <x v="0"/>
    <n v="0"/>
    <n v="0"/>
    <n v="31"/>
    <n v="59"/>
    <n v="0"/>
    <n v="87.73"/>
    <n v="253.9"/>
    <m/>
    <n v="67.376989053363516"/>
    <n v="317.3874512882154"/>
    <n v="0"/>
    <n v="531444.56517000007"/>
    <n v="1538057.3931"/>
    <n v="0"/>
    <n v="408151.54052124271"/>
    <n v="1922647.1679047099"/>
  </r>
  <r>
    <s v="Sistema Isolado - Refaturamento"/>
    <x v="0"/>
    <x v="1"/>
    <x v="0"/>
    <x v="0"/>
    <x v="0"/>
    <x v="0"/>
    <x v="0"/>
    <x v="8"/>
    <n v="0"/>
    <n v="0"/>
    <n v="-5.9569999999999999"/>
    <n v="-5.9569999999999999"/>
    <n v="-5.9569999999999999"/>
    <n v="-5.9569999999999999"/>
    <n v="0"/>
    <x v="0"/>
    <n v="0"/>
    <n v="0"/>
    <n v="31"/>
    <n v="59"/>
    <n v="0"/>
    <n v="87.73"/>
    <n v="253.9"/>
    <m/>
    <n v="67.376989053363516"/>
    <n v="317.3874512882154"/>
    <n v="0"/>
    <n v="-522.60761000000002"/>
    <n v="-1512.4822999999999"/>
    <n v="0"/>
    <n v="-401.36472379088644"/>
    <n v="-1890.6770473238992"/>
  </r>
  <r>
    <s v="Sistema de Compensação"/>
    <x v="0"/>
    <x v="1"/>
    <x v="0"/>
    <x v="0"/>
    <x v="0"/>
    <x v="0"/>
    <x v="0"/>
    <x v="8"/>
    <n v="0"/>
    <n v="0"/>
    <n v="278.245"/>
    <n v="278.245"/>
    <n v="278.245"/>
    <n v="278.245"/>
    <n v="0"/>
    <x v="0"/>
    <n v="0"/>
    <n v="0"/>
    <n v="31"/>
    <n v="59"/>
    <n v="0"/>
    <n v="87.73"/>
    <n v="253.9"/>
    <m/>
    <n v="67.376989053363516"/>
    <n v="317.3874512882154"/>
    <n v="0"/>
    <n v="24410.433850000001"/>
    <n v="70646.405500000008"/>
    <n v="0"/>
    <n v="18747.310319153134"/>
    <n v="88311.471383689495"/>
  </r>
  <r>
    <s v="Sistema Isolado - Regular"/>
    <x v="0"/>
    <x v="1"/>
    <x v="0"/>
    <x v="0"/>
    <x v="0"/>
    <x v="0"/>
    <x v="0"/>
    <x v="9"/>
    <n v="0"/>
    <n v="0"/>
    <n v="6658.6329999999998"/>
    <n v="6658.6329999999998"/>
    <n v="6658.6329999999998"/>
    <n v="6658.6329999999998"/>
    <n v="0"/>
    <x v="0"/>
    <n v="0"/>
    <n v="0"/>
    <n v="31"/>
    <n v="59"/>
    <n v="0"/>
    <n v="87.73"/>
    <n v="253.9"/>
    <m/>
    <n v="67.376989053363516"/>
    <n v="317.3874512882154"/>
    <n v="0"/>
    <n v="584161.87309000001"/>
    <n v="1690626.9187"/>
    <n v="0"/>
    <n v="448638.64275136509"/>
    <n v="2113366.5569336037"/>
  </r>
  <r>
    <s v="Sistema de Compensação"/>
    <x v="0"/>
    <x v="1"/>
    <x v="0"/>
    <x v="0"/>
    <x v="0"/>
    <x v="0"/>
    <x v="0"/>
    <x v="9"/>
    <n v="0"/>
    <n v="0"/>
    <n v="297.27300000000002"/>
    <n v="297.27300000000002"/>
    <n v="297.27300000000002"/>
    <n v="297.27300000000002"/>
    <n v="0"/>
    <x v="0"/>
    <n v="0"/>
    <n v="0"/>
    <n v="31"/>
    <n v="59"/>
    <n v="0"/>
    <n v="87.73"/>
    <n v="253.9"/>
    <m/>
    <n v="67.376989053363516"/>
    <n v="317.3874512882154"/>
    <n v="0"/>
    <n v="26079.760290000002"/>
    <n v="75477.614700000006"/>
    <n v="0"/>
    <n v="20029.359666860535"/>
    <n v="94350.719806801659"/>
  </r>
  <r>
    <s v="Sistema Isolado - Regular"/>
    <x v="0"/>
    <x v="1"/>
    <x v="0"/>
    <x v="0"/>
    <x v="0"/>
    <x v="0"/>
    <x v="0"/>
    <x v="10"/>
    <n v="0"/>
    <n v="0"/>
    <n v="7128.01"/>
    <n v="7128.01"/>
    <n v="7128.01"/>
    <n v="7128.01"/>
    <n v="0"/>
    <x v="0"/>
    <n v="0"/>
    <n v="0"/>
    <n v="31"/>
    <n v="59"/>
    <n v="0"/>
    <n v="87.73"/>
    <n v="253.9"/>
    <m/>
    <n v="67.376989053363516"/>
    <n v="317.3874512882154"/>
    <n v="0"/>
    <n v="625340.3173"/>
    <n v="1809801.7390000001"/>
    <n v="0"/>
    <n v="480263.85174226569"/>
    <n v="2262340.9266569125"/>
  </r>
  <r>
    <s v="Sistema Isolado - Refaturamento"/>
    <x v="0"/>
    <x v="1"/>
    <x v="0"/>
    <x v="0"/>
    <x v="0"/>
    <x v="0"/>
    <x v="0"/>
    <x v="10"/>
    <n v="0"/>
    <n v="0"/>
    <n v="-8.9740000000000002"/>
    <n v="-8.9740000000000002"/>
    <n v="-8.9740000000000002"/>
    <n v="-8.9740000000000002"/>
    <n v="0"/>
    <x v="0"/>
    <n v="0"/>
    <n v="0"/>
    <n v="31"/>
    <n v="59"/>
    <n v="0"/>
    <n v="87.73"/>
    <n v="253.9"/>
    <m/>
    <n v="67.376989053363516"/>
    <n v="317.3874512882154"/>
    <n v="0"/>
    <n v="-787.28902000000005"/>
    <n v="-2278.4985999999999"/>
    <n v="0"/>
    <n v="-604.64109976488419"/>
    <n v="-2848.234987860445"/>
  </r>
  <r>
    <s v="Sistema de Compensação"/>
    <x v="0"/>
    <x v="1"/>
    <x v="0"/>
    <x v="0"/>
    <x v="0"/>
    <x v="0"/>
    <x v="0"/>
    <x v="10"/>
    <n v="0"/>
    <n v="0"/>
    <n v="293.23500000000001"/>
    <n v="293.23500000000001"/>
    <n v="293.23500000000001"/>
    <n v="293.23500000000001"/>
    <n v="0"/>
    <x v="0"/>
    <n v="0"/>
    <n v="0"/>
    <n v="31"/>
    <n v="59"/>
    <n v="0"/>
    <n v="87.73"/>
    <n v="253.9"/>
    <m/>
    <n v="67.376989053363516"/>
    <n v="317.3874512882154"/>
    <n v="0"/>
    <n v="25725.506550000002"/>
    <n v="74452.366500000004"/>
    <n v="0"/>
    <n v="19757.29138506305"/>
    <n v="93069.109278499847"/>
  </r>
  <r>
    <s v="PROJETADO"/>
    <x v="0"/>
    <x v="1"/>
    <x v="0"/>
    <x v="0"/>
    <x v="0"/>
    <x v="0"/>
    <x v="0"/>
    <x v="11"/>
    <n v="0"/>
    <n v="0"/>
    <n v="7128.01"/>
    <n v="7128.01"/>
    <n v="7128.01"/>
    <n v="7128.01"/>
    <n v="0"/>
    <x v="0"/>
    <n v="0"/>
    <n v="0"/>
    <n v="31"/>
    <n v="59"/>
    <n v="0"/>
    <n v="87.73"/>
    <n v="253.9"/>
    <m/>
    <n v="67.376989053363516"/>
    <n v="317.3874512882154"/>
    <n v="0"/>
    <n v="625340.3173"/>
    <n v="1809801.7390000001"/>
    <n v="0"/>
    <n v="480263.85174226569"/>
    <n v="2262340.9266569125"/>
  </r>
  <r>
    <s v="PROJETADO"/>
    <x v="0"/>
    <x v="1"/>
    <x v="0"/>
    <x v="0"/>
    <x v="0"/>
    <x v="0"/>
    <x v="0"/>
    <x v="11"/>
    <n v="0"/>
    <n v="0"/>
    <n v="-8.9740000000000002"/>
    <n v="-8.9740000000000002"/>
    <n v="-8.9740000000000002"/>
    <n v="-8.9740000000000002"/>
    <n v="0"/>
    <x v="0"/>
    <n v="0"/>
    <n v="0"/>
    <n v="31"/>
    <n v="59"/>
    <n v="0"/>
    <n v="87.73"/>
    <n v="253.9"/>
    <m/>
    <n v="67.376989053363516"/>
    <n v="317.3874512882154"/>
    <n v="0"/>
    <n v="-787.28902000000005"/>
    <n v="-2278.4985999999999"/>
    <n v="0"/>
    <n v="-604.64109976488419"/>
    <n v="-2848.234987860445"/>
  </r>
  <r>
    <s v="PROJETADO"/>
    <x v="0"/>
    <x v="1"/>
    <x v="0"/>
    <x v="0"/>
    <x v="0"/>
    <x v="0"/>
    <x v="0"/>
    <x v="11"/>
    <n v="0"/>
    <n v="0"/>
    <n v="293.23500000000001"/>
    <n v="293.23500000000001"/>
    <n v="293.23500000000001"/>
    <n v="293.23500000000001"/>
    <n v="0"/>
    <x v="0"/>
    <n v="0"/>
    <n v="0"/>
    <n v="31"/>
    <n v="59"/>
    <n v="0"/>
    <n v="87.73"/>
    <n v="253.9"/>
    <m/>
    <n v="67.376989053363516"/>
    <n v="317.3874512882154"/>
    <n v="0"/>
    <n v="25725.506550000002"/>
    <n v="74452.366500000004"/>
    <n v="0"/>
    <n v="19757.29138506305"/>
    <n v="93069.109278499847"/>
  </r>
  <r>
    <s v="Sistema Isolado - Regular"/>
    <x v="0"/>
    <x v="1"/>
    <x v="0"/>
    <x v="0"/>
    <x v="0"/>
    <x v="0"/>
    <x v="2"/>
    <x v="0"/>
    <n v="34108"/>
    <n v="34108"/>
    <n v="0"/>
    <n v="0"/>
    <n v="0"/>
    <n v="0"/>
    <n v="237"/>
    <x v="0"/>
    <n v="0"/>
    <n v="18"/>
    <n v="0"/>
    <n v="0"/>
    <n v="14.64"/>
    <n v="0"/>
    <n v="0"/>
    <n v="19.024476785546895"/>
    <m/>
    <m/>
    <n v="499341.12"/>
    <n v="0"/>
    <n v="0"/>
    <n v="648886.85420143348"/>
    <n v="0"/>
    <n v="0"/>
  </r>
  <r>
    <s v="Sistema Isolado - Refaturamento"/>
    <x v="0"/>
    <x v="1"/>
    <x v="0"/>
    <x v="0"/>
    <x v="0"/>
    <x v="0"/>
    <x v="2"/>
    <x v="0"/>
    <n v="-220"/>
    <n v="-220"/>
    <n v="0"/>
    <n v="0"/>
    <n v="0"/>
    <n v="0"/>
    <n v="-3"/>
    <x v="0"/>
    <n v="0"/>
    <n v="18"/>
    <n v="0"/>
    <n v="0"/>
    <n v="14.64"/>
    <n v="0"/>
    <n v="0"/>
    <n v="19.024476785546895"/>
    <m/>
    <m/>
    <n v="-3220.8"/>
    <n v="0"/>
    <n v="0"/>
    <n v="-4185.384892820317"/>
    <n v="0"/>
    <n v="0"/>
  </r>
  <r>
    <s v="Sistema de Compensação"/>
    <x v="0"/>
    <x v="1"/>
    <x v="0"/>
    <x v="0"/>
    <x v="0"/>
    <x v="0"/>
    <x v="2"/>
    <x v="0"/>
    <n v="1165"/>
    <n v="1165"/>
    <n v="0"/>
    <n v="0"/>
    <n v="0"/>
    <n v="0"/>
    <n v="11"/>
    <x v="0"/>
    <n v="0"/>
    <n v="18"/>
    <n v="0"/>
    <n v="0"/>
    <n v="14.64"/>
    <n v="0"/>
    <n v="0"/>
    <n v="19.024476785546895"/>
    <m/>
    <m/>
    <n v="17055.600000000002"/>
    <n v="0"/>
    <n v="0"/>
    <n v="22163.515455162134"/>
    <n v="0"/>
    <n v="0"/>
  </r>
  <r>
    <s v="Sistema Isolado - Regular"/>
    <x v="0"/>
    <x v="1"/>
    <x v="0"/>
    <x v="0"/>
    <x v="0"/>
    <x v="0"/>
    <x v="2"/>
    <x v="1"/>
    <n v="33916"/>
    <n v="33916"/>
    <n v="0"/>
    <n v="0"/>
    <n v="0"/>
    <n v="0"/>
    <n v="238"/>
    <x v="0"/>
    <n v="0"/>
    <n v="18"/>
    <n v="0"/>
    <n v="0"/>
    <n v="14.64"/>
    <n v="0"/>
    <n v="0"/>
    <n v="19.024476785546895"/>
    <m/>
    <m/>
    <n v="496530.24"/>
    <n v="0"/>
    <n v="0"/>
    <n v="645234.15465860849"/>
    <n v="0"/>
    <n v="0"/>
  </r>
  <r>
    <s v="Sistema Isolado - Refaturamento"/>
    <x v="0"/>
    <x v="1"/>
    <x v="0"/>
    <x v="0"/>
    <x v="0"/>
    <x v="0"/>
    <x v="2"/>
    <x v="1"/>
    <n v="52"/>
    <n v="52"/>
    <n v="0"/>
    <n v="0"/>
    <n v="0"/>
    <n v="0"/>
    <n v="1"/>
    <x v="0"/>
    <n v="0"/>
    <n v="18"/>
    <n v="0"/>
    <n v="0"/>
    <n v="14.64"/>
    <n v="0"/>
    <n v="0"/>
    <n v="19.024476785546895"/>
    <m/>
    <m/>
    <n v="761.28"/>
    <n v="0"/>
    <n v="0"/>
    <n v="989.27279284843848"/>
    <n v="0"/>
    <n v="0"/>
  </r>
  <r>
    <s v="Sistema de Compensação"/>
    <x v="0"/>
    <x v="1"/>
    <x v="0"/>
    <x v="0"/>
    <x v="0"/>
    <x v="0"/>
    <x v="2"/>
    <x v="1"/>
    <n v="1230"/>
    <n v="1230"/>
    <n v="0"/>
    <n v="0"/>
    <n v="0"/>
    <n v="0"/>
    <n v="12"/>
    <x v="0"/>
    <n v="0"/>
    <n v="18"/>
    <n v="0"/>
    <n v="0"/>
    <n v="14.64"/>
    <n v="0"/>
    <n v="0"/>
    <n v="19.024476785546895"/>
    <m/>
    <m/>
    <n v="18007.2"/>
    <n v="0"/>
    <n v="0"/>
    <n v="23400.106446222682"/>
    <n v="0"/>
    <n v="0"/>
  </r>
  <r>
    <s v="Sistema Isolado - Regular"/>
    <x v="0"/>
    <x v="1"/>
    <x v="0"/>
    <x v="0"/>
    <x v="0"/>
    <x v="0"/>
    <x v="2"/>
    <x v="2"/>
    <n v="34045"/>
    <n v="34045"/>
    <n v="0"/>
    <n v="0"/>
    <n v="0"/>
    <n v="0"/>
    <n v="237"/>
    <x v="0"/>
    <n v="0"/>
    <n v="18"/>
    <n v="0"/>
    <n v="0"/>
    <n v="14.64"/>
    <n v="0"/>
    <n v="0"/>
    <n v="19.024476785546895"/>
    <m/>
    <m/>
    <n v="498418.80000000005"/>
    <n v="0"/>
    <n v="0"/>
    <n v="647688.31216394401"/>
    <n v="0"/>
    <n v="0"/>
  </r>
  <r>
    <s v="Sistema de Compensação"/>
    <x v="0"/>
    <x v="1"/>
    <x v="0"/>
    <x v="0"/>
    <x v="0"/>
    <x v="0"/>
    <x v="2"/>
    <x v="2"/>
    <n v="1236"/>
    <n v="1236"/>
    <n v="0"/>
    <n v="0"/>
    <n v="0"/>
    <n v="0"/>
    <n v="12"/>
    <x v="0"/>
    <n v="0"/>
    <n v="18"/>
    <n v="0"/>
    <n v="0"/>
    <n v="14.64"/>
    <n v="0"/>
    <n v="0"/>
    <n v="19.024476785546895"/>
    <m/>
    <m/>
    <n v="18095.04"/>
    <n v="0"/>
    <n v="0"/>
    <n v="23514.253306935963"/>
    <n v="0"/>
    <n v="0"/>
  </r>
  <r>
    <s v="Sistema Isolado - Regular"/>
    <x v="0"/>
    <x v="1"/>
    <x v="0"/>
    <x v="0"/>
    <x v="0"/>
    <x v="0"/>
    <x v="2"/>
    <x v="3"/>
    <n v="34079"/>
    <n v="34079"/>
    <n v="0"/>
    <n v="0"/>
    <n v="0"/>
    <n v="0"/>
    <n v="237"/>
    <x v="0"/>
    <n v="0"/>
    <n v="18"/>
    <n v="0"/>
    <n v="0"/>
    <n v="14.64"/>
    <n v="0"/>
    <n v="0"/>
    <n v="19.024476785546895"/>
    <m/>
    <m/>
    <n v="498916.56"/>
    <n v="0"/>
    <n v="0"/>
    <n v="648335.14437465265"/>
    <n v="0"/>
    <n v="0"/>
  </r>
  <r>
    <s v="Sistema de Compensação"/>
    <x v="0"/>
    <x v="1"/>
    <x v="0"/>
    <x v="0"/>
    <x v="0"/>
    <x v="0"/>
    <x v="2"/>
    <x v="3"/>
    <n v="1230"/>
    <n v="1230"/>
    <n v="0"/>
    <n v="0"/>
    <n v="0"/>
    <n v="0"/>
    <n v="13"/>
    <x v="0"/>
    <n v="0"/>
    <n v="18"/>
    <n v="0"/>
    <n v="0"/>
    <n v="14.64"/>
    <n v="0"/>
    <n v="0"/>
    <n v="19.024476785546895"/>
    <m/>
    <m/>
    <n v="18007.2"/>
    <n v="0"/>
    <n v="0"/>
    <n v="23400.106446222682"/>
    <n v="0"/>
    <n v="0"/>
  </r>
  <r>
    <s v="Sistema Isolado - Regular"/>
    <x v="0"/>
    <x v="1"/>
    <x v="0"/>
    <x v="0"/>
    <x v="0"/>
    <x v="0"/>
    <x v="2"/>
    <x v="4"/>
    <n v="33747"/>
    <n v="33747"/>
    <n v="0"/>
    <n v="0"/>
    <n v="0"/>
    <n v="0"/>
    <n v="237"/>
    <x v="0"/>
    <n v="0"/>
    <n v="18"/>
    <n v="0"/>
    <n v="0"/>
    <n v="14.64"/>
    <n v="0"/>
    <n v="0"/>
    <n v="19.024476785546895"/>
    <m/>
    <m/>
    <n v="494056.08"/>
    <n v="0"/>
    <n v="0"/>
    <n v="642019.01808185107"/>
    <n v="0"/>
    <n v="0"/>
  </r>
  <r>
    <s v="Sistema Isolado - Refaturamento"/>
    <x v="0"/>
    <x v="1"/>
    <x v="0"/>
    <x v="0"/>
    <x v="0"/>
    <x v="0"/>
    <x v="2"/>
    <x v="4"/>
    <n v="225"/>
    <n v="225"/>
    <n v="0"/>
    <n v="0"/>
    <n v="0"/>
    <n v="0"/>
    <n v="1"/>
    <x v="0"/>
    <n v="0"/>
    <n v="18"/>
    <n v="0"/>
    <n v="0"/>
    <n v="14.64"/>
    <n v="0"/>
    <n v="0"/>
    <n v="19.024476785546895"/>
    <m/>
    <m/>
    <n v="3294"/>
    <n v="0"/>
    <n v="0"/>
    <n v="4280.5072767480515"/>
    <n v="0"/>
    <n v="0"/>
  </r>
  <r>
    <s v="Sistema de Compensação"/>
    <x v="0"/>
    <x v="1"/>
    <x v="0"/>
    <x v="0"/>
    <x v="0"/>
    <x v="0"/>
    <x v="2"/>
    <x v="4"/>
    <n v="4280"/>
    <n v="4280"/>
    <n v="0"/>
    <n v="0"/>
    <n v="0"/>
    <n v="0"/>
    <n v="14"/>
    <x v="0"/>
    <n v="0"/>
    <n v="18"/>
    <n v="0"/>
    <n v="0"/>
    <n v="14.64"/>
    <n v="0"/>
    <n v="0"/>
    <n v="19.024476785546895"/>
    <m/>
    <m/>
    <n v="62659.200000000004"/>
    <n v="0"/>
    <n v="0"/>
    <n v="81424.760642140711"/>
    <n v="0"/>
    <n v="0"/>
  </r>
  <r>
    <s v="Sistema de Compensação"/>
    <x v="0"/>
    <x v="1"/>
    <x v="0"/>
    <x v="0"/>
    <x v="0"/>
    <x v="0"/>
    <x v="2"/>
    <x v="4"/>
    <n v="1200"/>
    <n v="1200"/>
    <n v="0"/>
    <n v="0"/>
    <n v="0"/>
    <n v="0"/>
    <n v="0"/>
    <x v="0"/>
    <n v="0"/>
    <n v="18"/>
    <n v="0"/>
    <n v="0"/>
    <n v="14.64"/>
    <n v="0"/>
    <n v="0"/>
    <n v="19.024476785546895"/>
    <m/>
    <m/>
    <n v="17568"/>
    <n v="0"/>
    <n v="0"/>
    <n v="22829.372142656273"/>
    <n v="0"/>
    <n v="0"/>
  </r>
  <r>
    <s v="Sistema Isolado - Regular"/>
    <x v="0"/>
    <x v="1"/>
    <x v="0"/>
    <x v="0"/>
    <x v="0"/>
    <x v="0"/>
    <x v="2"/>
    <x v="5"/>
    <n v="33747"/>
    <n v="33747"/>
    <n v="0"/>
    <n v="0"/>
    <n v="0"/>
    <n v="0"/>
    <n v="237"/>
    <x v="0"/>
    <n v="0"/>
    <n v="18"/>
    <n v="0"/>
    <n v="0"/>
    <n v="14.64"/>
    <n v="0"/>
    <n v="0"/>
    <n v="19.024476785546895"/>
    <m/>
    <m/>
    <n v="494056.08"/>
    <n v="0"/>
    <n v="0"/>
    <n v="642019.01808185107"/>
    <n v="0"/>
    <n v="0"/>
  </r>
  <r>
    <s v="Sistema Isolado - Refaturamento"/>
    <x v="0"/>
    <x v="1"/>
    <x v="0"/>
    <x v="0"/>
    <x v="0"/>
    <x v="0"/>
    <x v="2"/>
    <x v="5"/>
    <n v="225"/>
    <n v="225"/>
    <n v="0"/>
    <n v="0"/>
    <n v="0"/>
    <n v="0"/>
    <n v="1"/>
    <x v="0"/>
    <n v="0"/>
    <n v="18"/>
    <n v="0"/>
    <n v="0"/>
    <n v="14.64"/>
    <n v="0"/>
    <n v="0"/>
    <n v="19.024476785546895"/>
    <m/>
    <m/>
    <n v="3294"/>
    <n v="0"/>
    <n v="0"/>
    <n v="4280.5072767480515"/>
    <n v="0"/>
    <n v="0"/>
  </r>
  <r>
    <s v="Sistema de Compensação"/>
    <x v="0"/>
    <x v="1"/>
    <x v="0"/>
    <x v="0"/>
    <x v="0"/>
    <x v="0"/>
    <x v="2"/>
    <x v="5"/>
    <n v="4280"/>
    <n v="4280"/>
    <n v="0"/>
    <n v="0"/>
    <n v="0"/>
    <n v="0"/>
    <n v="14"/>
    <x v="0"/>
    <n v="0"/>
    <n v="18"/>
    <n v="0"/>
    <n v="0"/>
    <n v="14.64"/>
    <n v="0"/>
    <n v="0"/>
    <n v="19.024476785546895"/>
    <m/>
    <m/>
    <n v="62659.200000000004"/>
    <n v="0"/>
    <n v="0"/>
    <n v="81424.760642140711"/>
    <n v="0"/>
    <n v="0"/>
  </r>
  <r>
    <s v="Sistema de Compensação"/>
    <x v="0"/>
    <x v="1"/>
    <x v="0"/>
    <x v="0"/>
    <x v="0"/>
    <x v="0"/>
    <x v="2"/>
    <x v="5"/>
    <n v="1200"/>
    <n v="1200"/>
    <n v="0"/>
    <n v="0"/>
    <n v="0"/>
    <n v="0"/>
    <n v="0"/>
    <x v="0"/>
    <n v="0"/>
    <n v="18"/>
    <n v="0"/>
    <n v="0"/>
    <n v="14.64"/>
    <n v="0"/>
    <n v="0"/>
    <n v="19.024476785546895"/>
    <m/>
    <m/>
    <n v="17568"/>
    <n v="0"/>
    <n v="0"/>
    <n v="22829.372142656273"/>
    <n v="0"/>
    <n v="0"/>
  </r>
  <r>
    <s v="Sistema Isolado - Regular"/>
    <x v="0"/>
    <x v="1"/>
    <x v="0"/>
    <x v="0"/>
    <x v="0"/>
    <x v="0"/>
    <x v="2"/>
    <x v="6"/>
    <n v="33657"/>
    <n v="33657"/>
    <n v="0"/>
    <n v="0"/>
    <n v="0"/>
    <n v="0"/>
    <n v="238"/>
    <x v="0"/>
    <n v="0"/>
    <n v="18"/>
    <n v="0"/>
    <n v="0"/>
    <n v="14.64"/>
    <n v="0"/>
    <n v="0"/>
    <n v="19.024476785546895"/>
    <m/>
    <m/>
    <n v="492738.48000000004"/>
    <n v="0"/>
    <n v="0"/>
    <n v="640306.81517115189"/>
    <n v="0"/>
    <n v="0"/>
  </r>
  <r>
    <s v="Sistema Isolado - Refaturamento"/>
    <x v="0"/>
    <x v="1"/>
    <x v="0"/>
    <x v="0"/>
    <x v="0"/>
    <x v="0"/>
    <x v="2"/>
    <x v="6"/>
    <n v="-644"/>
    <n v="-644"/>
    <n v="0"/>
    <n v="0"/>
    <n v="0"/>
    <n v="0"/>
    <n v="-4"/>
    <x v="0"/>
    <n v="0"/>
    <n v="18"/>
    <n v="0"/>
    <n v="0"/>
    <n v="14.64"/>
    <n v="0"/>
    <n v="0"/>
    <n v="19.024476785546895"/>
    <m/>
    <m/>
    <n v="-9428.16"/>
    <n v="0"/>
    <n v="0"/>
    <n v="-12251.763049892201"/>
    <n v="0"/>
    <n v="0"/>
  </r>
  <r>
    <s v="Sistema de Compensação"/>
    <x v="0"/>
    <x v="1"/>
    <x v="0"/>
    <x v="0"/>
    <x v="0"/>
    <x v="0"/>
    <x v="2"/>
    <x v="6"/>
    <n v="12036"/>
    <n v="12036"/>
    <n v="0"/>
    <n v="0"/>
    <n v="0"/>
    <n v="0"/>
    <n v="56"/>
    <x v="0"/>
    <n v="0"/>
    <n v="18"/>
    <n v="0"/>
    <n v="0"/>
    <n v="14.64"/>
    <n v="0"/>
    <n v="0"/>
    <n v="19.024476785546895"/>
    <m/>
    <m/>
    <n v="176207.04"/>
    <n v="0"/>
    <n v="0"/>
    <n v="228978.60259084243"/>
    <n v="0"/>
    <n v="0"/>
  </r>
  <r>
    <s v="Sistema Isolado - Regular"/>
    <x v="0"/>
    <x v="1"/>
    <x v="0"/>
    <x v="0"/>
    <x v="0"/>
    <x v="0"/>
    <x v="2"/>
    <x v="7"/>
    <n v="33727"/>
    <n v="33727"/>
    <n v="0"/>
    <n v="0"/>
    <n v="0"/>
    <n v="0"/>
    <n v="236"/>
    <x v="0"/>
    <n v="0"/>
    <n v="18"/>
    <n v="0"/>
    <n v="0"/>
    <n v="14.64"/>
    <n v="0"/>
    <n v="0"/>
    <n v="19.024476785546895"/>
    <m/>
    <m/>
    <n v="493763.28"/>
    <n v="0"/>
    <n v="0"/>
    <n v="641638.52854614018"/>
    <n v="0"/>
    <n v="0"/>
  </r>
  <r>
    <s v="Sistema Isolado - Refaturamento"/>
    <x v="0"/>
    <x v="1"/>
    <x v="0"/>
    <x v="0"/>
    <x v="0"/>
    <x v="0"/>
    <x v="2"/>
    <x v="7"/>
    <n v="-1911"/>
    <n v="-1911"/>
    <n v="0"/>
    <n v="0"/>
    <n v="0"/>
    <n v="0"/>
    <n v="-5"/>
    <x v="0"/>
    <n v="0"/>
    <n v="18"/>
    <n v="0"/>
    <n v="0"/>
    <n v="14.64"/>
    <n v="0"/>
    <n v="0"/>
    <n v="19.024476785546895"/>
    <m/>
    <m/>
    <n v="-27977.040000000001"/>
    <n v="0"/>
    <n v="0"/>
    <n v="-36355.775137180113"/>
    <n v="0"/>
    <n v="0"/>
  </r>
  <r>
    <s v="Sistema de Compensação"/>
    <x v="0"/>
    <x v="1"/>
    <x v="0"/>
    <x v="0"/>
    <x v="0"/>
    <x v="0"/>
    <x v="2"/>
    <x v="7"/>
    <n v="3905"/>
    <n v="3905"/>
    <n v="0"/>
    <n v="0"/>
    <n v="0"/>
    <n v="0"/>
    <n v="16"/>
    <x v="0"/>
    <n v="0"/>
    <n v="18"/>
    <n v="0"/>
    <n v="0"/>
    <n v="14.64"/>
    <n v="0"/>
    <n v="0"/>
    <n v="19.024476785546895"/>
    <m/>
    <m/>
    <n v="57169.200000000004"/>
    <n v="0"/>
    <n v="0"/>
    <n v="74290.581847560621"/>
    <n v="0"/>
    <n v="0"/>
  </r>
  <r>
    <s v="Sistema Isolado - Regular"/>
    <x v="0"/>
    <x v="1"/>
    <x v="0"/>
    <x v="0"/>
    <x v="0"/>
    <x v="0"/>
    <x v="2"/>
    <x v="8"/>
    <n v="34866"/>
    <n v="34866"/>
    <n v="0"/>
    <n v="0"/>
    <n v="0"/>
    <n v="0"/>
    <n v="236"/>
    <x v="0"/>
    <n v="0"/>
    <n v="18"/>
    <n v="0"/>
    <n v="0"/>
    <n v="14.64"/>
    <n v="0"/>
    <n v="0"/>
    <n v="19.024476785546895"/>
    <m/>
    <m/>
    <n v="510438.24000000005"/>
    <n v="0"/>
    <n v="0"/>
    <n v="663307.40760487807"/>
    <n v="0"/>
    <n v="0"/>
  </r>
  <r>
    <s v="Sistema Isolado - Refaturamento"/>
    <x v="0"/>
    <x v="1"/>
    <x v="0"/>
    <x v="0"/>
    <x v="0"/>
    <x v="0"/>
    <x v="2"/>
    <x v="8"/>
    <n v="-100"/>
    <n v="-100"/>
    <n v="0"/>
    <n v="0"/>
    <n v="0"/>
    <n v="0"/>
    <n v="-2"/>
    <x v="0"/>
    <n v="0"/>
    <n v="18"/>
    <n v="0"/>
    <n v="0"/>
    <n v="14.64"/>
    <n v="0"/>
    <n v="0"/>
    <n v="19.024476785546895"/>
    <m/>
    <m/>
    <n v="-1464"/>
    <n v="0"/>
    <n v="0"/>
    <n v="-1902.4476785546894"/>
    <n v="0"/>
    <n v="0"/>
  </r>
  <r>
    <s v="Sistema de Compensação"/>
    <x v="0"/>
    <x v="1"/>
    <x v="0"/>
    <x v="0"/>
    <x v="0"/>
    <x v="0"/>
    <x v="2"/>
    <x v="8"/>
    <n v="3905"/>
    <n v="3905"/>
    <n v="0"/>
    <n v="0"/>
    <n v="0"/>
    <n v="0"/>
    <n v="16"/>
    <x v="0"/>
    <n v="0"/>
    <n v="18"/>
    <n v="0"/>
    <n v="0"/>
    <n v="14.64"/>
    <n v="0"/>
    <n v="0"/>
    <n v="19.024476785546895"/>
    <m/>
    <m/>
    <n v="57169.200000000004"/>
    <n v="0"/>
    <n v="0"/>
    <n v="74290.581847560621"/>
    <n v="0"/>
    <n v="0"/>
  </r>
  <r>
    <s v="Sistema Isolado - Regular"/>
    <x v="0"/>
    <x v="1"/>
    <x v="0"/>
    <x v="0"/>
    <x v="0"/>
    <x v="0"/>
    <x v="2"/>
    <x v="9"/>
    <n v="33848"/>
    <n v="33848"/>
    <n v="0"/>
    <n v="0"/>
    <n v="0"/>
    <n v="0"/>
    <n v="236"/>
    <x v="0"/>
    <n v="0"/>
    <n v="18"/>
    <n v="0"/>
    <n v="0"/>
    <n v="14.64"/>
    <n v="0"/>
    <n v="0"/>
    <n v="19.024476785546895"/>
    <m/>
    <m/>
    <n v="495534.72000000003"/>
    <n v="0"/>
    <n v="0"/>
    <n v="643940.49023719132"/>
    <n v="0"/>
    <n v="0"/>
  </r>
  <r>
    <s v="Sistema Isolado - Refaturamento"/>
    <x v="0"/>
    <x v="1"/>
    <x v="0"/>
    <x v="0"/>
    <x v="0"/>
    <x v="0"/>
    <x v="2"/>
    <x v="9"/>
    <n v="-94"/>
    <n v="-94"/>
    <n v="0"/>
    <n v="0"/>
    <n v="0"/>
    <n v="0"/>
    <n v="0"/>
    <x v="0"/>
    <n v="0"/>
    <n v="18"/>
    <n v="0"/>
    <n v="0"/>
    <n v="14.64"/>
    <n v="0"/>
    <n v="0"/>
    <n v="19.024476785546895"/>
    <m/>
    <m/>
    <n v="-1376.16"/>
    <n v="0"/>
    <n v="0"/>
    <n v="-1788.3008178414082"/>
    <n v="0"/>
    <n v="0"/>
  </r>
  <r>
    <s v="Sistema de Compensação"/>
    <x v="0"/>
    <x v="1"/>
    <x v="0"/>
    <x v="0"/>
    <x v="0"/>
    <x v="0"/>
    <x v="2"/>
    <x v="9"/>
    <n v="3971"/>
    <n v="3971"/>
    <n v="0"/>
    <n v="0"/>
    <n v="0"/>
    <n v="0"/>
    <n v="17"/>
    <x v="0"/>
    <n v="0"/>
    <n v="18"/>
    <n v="0"/>
    <n v="0"/>
    <n v="14.64"/>
    <n v="0"/>
    <n v="0"/>
    <n v="19.024476785546895"/>
    <m/>
    <m/>
    <n v="58135.44"/>
    <n v="0"/>
    <n v="0"/>
    <n v="75546.197315406724"/>
    <n v="0"/>
    <n v="0"/>
  </r>
  <r>
    <s v="Sistema Isolado - Regular"/>
    <x v="0"/>
    <x v="1"/>
    <x v="0"/>
    <x v="0"/>
    <x v="0"/>
    <x v="0"/>
    <x v="2"/>
    <x v="10"/>
    <n v="34132"/>
    <n v="34132"/>
    <n v="0"/>
    <n v="0"/>
    <n v="0"/>
    <n v="0"/>
    <n v="233"/>
    <x v="0"/>
    <n v="0"/>
    <n v="18"/>
    <n v="0"/>
    <n v="0"/>
    <n v="14.64"/>
    <n v="0"/>
    <n v="0"/>
    <n v="19.024476785546895"/>
    <m/>
    <m/>
    <n v="499692.48000000004"/>
    <n v="0"/>
    <n v="0"/>
    <n v="649343.44164428662"/>
    <n v="0"/>
    <n v="0"/>
  </r>
  <r>
    <s v="Sistema Isolado - Refaturamento"/>
    <x v="0"/>
    <x v="1"/>
    <x v="0"/>
    <x v="0"/>
    <x v="0"/>
    <x v="0"/>
    <x v="2"/>
    <x v="10"/>
    <n v="-50"/>
    <n v="-50"/>
    <n v="0"/>
    <n v="0"/>
    <n v="0"/>
    <n v="0"/>
    <n v="-1"/>
    <x v="0"/>
    <n v="0"/>
    <n v="18"/>
    <n v="0"/>
    <n v="0"/>
    <n v="14.64"/>
    <n v="0"/>
    <n v="0"/>
    <n v="19.024476785546895"/>
    <m/>
    <m/>
    <n v="-732"/>
    <n v="0"/>
    <n v="0"/>
    <n v="-951.22383927734472"/>
    <n v="0"/>
    <n v="0"/>
  </r>
  <r>
    <s v="Sistema de Compensação"/>
    <x v="0"/>
    <x v="1"/>
    <x v="0"/>
    <x v="0"/>
    <x v="0"/>
    <x v="0"/>
    <x v="2"/>
    <x v="10"/>
    <n v="3843"/>
    <n v="3843"/>
    <n v="0"/>
    <n v="0"/>
    <n v="0"/>
    <n v="0"/>
    <n v="18"/>
    <x v="0"/>
    <n v="0"/>
    <n v="18"/>
    <n v="0"/>
    <n v="0"/>
    <n v="14.64"/>
    <n v="0"/>
    <n v="0"/>
    <n v="19.024476785546895"/>
    <m/>
    <m/>
    <n v="56261.520000000004"/>
    <n v="0"/>
    <n v="0"/>
    <n v="73111.064286856723"/>
    <n v="0"/>
    <n v="0"/>
  </r>
  <r>
    <s v="PROJETADO"/>
    <x v="0"/>
    <x v="1"/>
    <x v="0"/>
    <x v="0"/>
    <x v="0"/>
    <x v="0"/>
    <x v="2"/>
    <x v="11"/>
    <n v="34132"/>
    <n v="34132"/>
    <n v="0"/>
    <n v="0"/>
    <n v="0"/>
    <n v="0"/>
    <n v="233"/>
    <x v="0"/>
    <n v="0"/>
    <n v="18"/>
    <n v="0"/>
    <n v="0"/>
    <n v="14.64"/>
    <n v="0"/>
    <n v="0"/>
    <n v="19.024476785546895"/>
    <m/>
    <m/>
    <n v="499692.48000000004"/>
    <n v="0"/>
    <n v="0"/>
    <n v="649343.44164428662"/>
    <n v="0"/>
    <n v="0"/>
  </r>
  <r>
    <s v="PROJETADO"/>
    <x v="0"/>
    <x v="1"/>
    <x v="0"/>
    <x v="0"/>
    <x v="0"/>
    <x v="0"/>
    <x v="2"/>
    <x v="11"/>
    <n v="-50"/>
    <n v="-50"/>
    <n v="0"/>
    <n v="0"/>
    <n v="0"/>
    <n v="0"/>
    <n v="-1"/>
    <x v="0"/>
    <n v="0"/>
    <n v="18"/>
    <n v="0"/>
    <n v="0"/>
    <n v="14.64"/>
    <n v="0"/>
    <n v="0"/>
    <n v="19.024476785546895"/>
    <m/>
    <m/>
    <n v="-732"/>
    <n v="0"/>
    <n v="0"/>
    <n v="-951.22383927734472"/>
    <n v="0"/>
    <n v="0"/>
  </r>
  <r>
    <s v="PROJETADO"/>
    <x v="0"/>
    <x v="1"/>
    <x v="0"/>
    <x v="0"/>
    <x v="0"/>
    <x v="0"/>
    <x v="2"/>
    <x v="11"/>
    <n v="3843"/>
    <n v="3843"/>
    <n v="0"/>
    <n v="0"/>
    <n v="0"/>
    <n v="0"/>
    <n v="18"/>
    <x v="0"/>
    <n v="0"/>
    <n v="18"/>
    <n v="0"/>
    <n v="0"/>
    <n v="14.64"/>
    <n v="0"/>
    <n v="0"/>
    <n v="19.024476785546895"/>
    <m/>
    <m/>
    <n v="56261.520000000004"/>
    <n v="0"/>
    <n v="0"/>
    <n v="73111.064286856723"/>
    <n v="0"/>
    <n v="0"/>
  </r>
  <r>
    <s v="Sistema Isolado - Regular"/>
    <x v="0"/>
    <x v="1"/>
    <x v="0"/>
    <x v="0"/>
    <x v="0"/>
    <x v="0"/>
    <x v="1"/>
    <x v="0"/>
    <n v="0"/>
    <n v="0"/>
    <n v="422.923"/>
    <n v="422.923"/>
    <n v="422.923"/>
    <n v="422.923"/>
    <n v="0"/>
    <x v="0"/>
    <n v="0"/>
    <n v="0"/>
    <n v="11"/>
    <n v="71"/>
    <n v="0"/>
    <n v="1155.51"/>
    <n v="433.77"/>
    <m/>
    <n v="1456.3363071141353"/>
    <n v="542.84414704984056"/>
    <n v="0"/>
    <n v="488691.75572999998"/>
    <n v="183451.30971"/>
    <n v="0"/>
    <n v="615918.12001363141"/>
    <n v="229581.27520275972"/>
  </r>
  <r>
    <s v="Sistema Isolado - Refaturamento"/>
    <x v="0"/>
    <x v="1"/>
    <x v="0"/>
    <x v="0"/>
    <x v="0"/>
    <x v="0"/>
    <x v="1"/>
    <x v="0"/>
    <n v="0"/>
    <n v="0"/>
    <n v="-2.3340000000000001"/>
    <n v="-2.3340000000000001"/>
    <n v="-2.3340000000000001"/>
    <n v="-2.3340000000000001"/>
    <n v="0"/>
    <x v="0"/>
    <n v="0"/>
    <n v="0"/>
    <n v="11"/>
    <n v="71"/>
    <n v="0"/>
    <n v="1155.51"/>
    <n v="433.77"/>
    <m/>
    <n v="1456.3363071141353"/>
    <n v="542.84414704984056"/>
    <n v="0"/>
    <n v="-2696.9603400000001"/>
    <n v="-1012.41918"/>
    <n v="0"/>
    <n v="-3399.0889408043918"/>
    <n v="-1266.9982392143279"/>
  </r>
  <r>
    <s v="Sistema de Compensação"/>
    <x v="0"/>
    <x v="1"/>
    <x v="0"/>
    <x v="0"/>
    <x v="0"/>
    <x v="0"/>
    <x v="1"/>
    <x v="0"/>
    <n v="0"/>
    <n v="0"/>
    <n v="16.125"/>
    <n v="16.125"/>
    <n v="16.125"/>
    <n v="16.125"/>
    <n v="0"/>
    <x v="0"/>
    <n v="0"/>
    <n v="0"/>
    <n v="11"/>
    <n v="71"/>
    <n v="0"/>
    <n v="1155.51"/>
    <n v="433.77"/>
    <m/>
    <n v="1456.3363071141353"/>
    <n v="542.84414704984056"/>
    <n v="0"/>
    <n v="18632.598750000001"/>
    <n v="6994.5412499999993"/>
    <n v="0"/>
    <n v="23483.422952215431"/>
    <n v="8753.3618711786785"/>
  </r>
  <r>
    <s v="Sistema Isolado - Regular"/>
    <x v="0"/>
    <x v="1"/>
    <x v="0"/>
    <x v="0"/>
    <x v="0"/>
    <x v="0"/>
    <x v="1"/>
    <x v="1"/>
    <n v="0"/>
    <n v="0"/>
    <n v="460.81099999999998"/>
    <n v="460.81099999999998"/>
    <n v="460.81099999999998"/>
    <n v="460.81099999999998"/>
    <n v="0"/>
    <x v="0"/>
    <n v="0"/>
    <n v="0"/>
    <n v="11"/>
    <n v="71"/>
    <n v="0"/>
    <n v="1155.51"/>
    <n v="433.77"/>
    <m/>
    <n v="1456.3363071141353"/>
    <n v="542.84414704984056"/>
    <n v="0"/>
    <n v="532471.71860999998"/>
    <n v="199885.98746999999"/>
    <n v="0"/>
    <n v="671095.79001757177"/>
    <n v="250148.55424618407"/>
  </r>
  <r>
    <s v="Sistema Isolado - Refaturamento"/>
    <x v="0"/>
    <x v="1"/>
    <x v="0"/>
    <x v="0"/>
    <x v="0"/>
    <x v="0"/>
    <x v="1"/>
    <x v="1"/>
    <n v="0"/>
    <n v="0"/>
    <n v="0.129"/>
    <n v="0.129"/>
    <n v="0.129"/>
    <n v="0.129"/>
    <n v="0"/>
    <x v="0"/>
    <n v="0"/>
    <n v="0"/>
    <n v="11"/>
    <n v="71"/>
    <n v="0"/>
    <n v="1155.51"/>
    <n v="433.77"/>
    <m/>
    <n v="1456.3363071141353"/>
    <n v="542.84414704984056"/>
    <n v="0"/>
    <n v="149.06079"/>
    <n v="55.956330000000001"/>
    <n v="0"/>
    <n v="187.86738361772345"/>
    <n v="70.026894969429435"/>
  </r>
  <r>
    <s v="Sistema de Compensação"/>
    <x v="0"/>
    <x v="1"/>
    <x v="0"/>
    <x v="0"/>
    <x v="0"/>
    <x v="0"/>
    <x v="1"/>
    <x v="1"/>
    <n v="0"/>
    <n v="0"/>
    <n v="19.236999999999998"/>
    <n v="19.236999999999998"/>
    <n v="19.236999999999998"/>
    <n v="19.236999999999998"/>
    <n v="0"/>
    <x v="0"/>
    <n v="0"/>
    <n v="0"/>
    <n v="11"/>
    <n v="71"/>
    <n v="0"/>
    <n v="1155.51"/>
    <n v="433.77"/>
    <m/>
    <n v="1456.3363071141353"/>
    <n v="542.84414704984056"/>
    <n v="0"/>
    <n v="22228.545869999998"/>
    <n v="8344.4334899999994"/>
    <n v="0"/>
    <n v="28015.541539954618"/>
    <n v="10442.692856797781"/>
  </r>
  <r>
    <s v="Sistema Isolado - Regular"/>
    <x v="0"/>
    <x v="1"/>
    <x v="0"/>
    <x v="0"/>
    <x v="0"/>
    <x v="0"/>
    <x v="1"/>
    <x v="2"/>
    <n v="0"/>
    <n v="0"/>
    <n v="411.53300000000002"/>
    <n v="411.53300000000002"/>
    <n v="411.53300000000002"/>
    <n v="411.53300000000002"/>
    <n v="0"/>
    <x v="0"/>
    <n v="0"/>
    <n v="0"/>
    <n v="11"/>
    <n v="71"/>
    <n v="0"/>
    <n v="1155.51"/>
    <n v="433.77"/>
    <m/>
    <n v="1456.3363071141353"/>
    <n v="542.84414704984056"/>
    <n v="0"/>
    <n v="475530.49683000002"/>
    <n v="178510.66941"/>
    <n v="0"/>
    <n v="599330.44947560143"/>
    <n v="223398.28036786205"/>
  </r>
  <r>
    <s v="Sistema de Compensação"/>
    <x v="0"/>
    <x v="1"/>
    <x v="0"/>
    <x v="0"/>
    <x v="0"/>
    <x v="0"/>
    <x v="1"/>
    <x v="2"/>
    <n v="0"/>
    <n v="0"/>
    <n v="16.678000000000001"/>
    <n v="16.678000000000001"/>
    <n v="16.678000000000001"/>
    <n v="16.678000000000001"/>
    <n v="0"/>
    <x v="0"/>
    <n v="0"/>
    <n v="0"/>
    <n v="11"/>
    <n v="71"/>
    <n v="0"/>
    <n v="1155.51"/>
    <n v="433.77"/>
    <m/>
    <n v="1456.3363071141353"/>
    <n v="542.84414704984056"/>
    <n v="0"/>
    <n v="19271.59578"/>
    <n v="7234.4160600000005"/>
    <n v="0"/>
    <n v="24288.776930049549"/>
    <n v="9053.5546844972414"/>
  </r>
  <r>
    <s v="Sistema Isolado - Regular"/>
    <x v="0"/>
    <x v="1"/>
    <x v="0"/>
    <x v="0"/>
    <x v="0"/>
    <x v="0"/>
    <x v="1"/>
    <x v="3"/>
    <n v="0"/>
    <n v="0"/>
    <n v="419.44"/>
    <n v="419.44"/>
    <n v="419.44"/>
    <n v="419.44"/>
    <n v="0"/>
    <x v="0"/>
    <n v="0"/>
    <n v="0"/>
    <n v="11"/>
    <n v="71"/>
    <n v="0"/>
    <n v="1155.51"/>
    <n v="433.77"/>
    <m/>
    <n v="1456.3363071141353"/>
    <n v="542.84414704984056"/>
    <n v="0"/>
    <n v="484667.11440000002"/>
    <n v="181940.48879999999"/>
    <n v="0"/>
    <n v="610845.70065595291"/>
    <n v="227690.54903858513"/>
  </r>
  <r>
    <s v="Sistema de Compensação"/>
    <x v="0"/>
    <x v="1"/>
    <x v="0"/>
    <x v="0"/>
    <x v="0"/>
    <x v="0"/>
    <x v="1"/>
    <x v="3"/>
    <n v="0"/>
    <n v="0"/>
    <n v="15.936"/>
    <n v="15.936"/>
    <n v="15.936"/>
    <n v="15.936"/>
    <n v="0"/>
    <x v="0"/>
    <n v="0"/>
    <n v="0"/>
    <n v="11"/>
    <n v="71"/>
    <n v="0"/>
    <n v="1155.51"/>
    <n v="433.77"/>
    <m/>
    <n v="1456.3363071141353"/>
    <n v="542.84414704984056"/>
    <n v="0"/>
    <n v="18414.20736"/>
    <n v="6912.55872"/>
    <n v="0"/>
    <n v="23208.175390170858"/>
    <n v="8650.7643273862595"/>
  </r>
  <r>
    <s v="Sistema Isolado - Regular"/>
    <x v="0"/>
    <x v="1"/>
    <x v="0"/>
    <x v="0"/>
    <x v="0"/>
    <x v="0"/>
    <x v="1"/>
    <x v="4"/>
    <n v="0"/>
    <n v="0"/>
    <n v="456.226"/>
    <n v="456.226"/>
    <n v="456.226"/>
    <n v="456.226"/>
    <n v="0"/>
    <x v="0"/>
    <n v="0"/>
    <n v="0"/>
    <n v="11"/>
    <n v="71"/>
    <n v="0"/>
    <n v="1155.51"/>
    <n v="433.77"/>
    <m/>
    <n v="1456.3363071141353"/>
    <n v="542.84414704984056"/>
    <n v="0"/>
    <n v="527173.70525999996"/>
    <n v="197897.15201999998"/>
    <n v="0"/>
    <n v="664418.48804945347"/>
    <n v="247659.61383196057"/>
  </r>
  <r>
    <s v="Sistema de Compensação"/>
    <x v="0"/>
    <x v="1"/>
    <x v="0"/>
    <x v="0"/>
    <x v="0"/>
    <x v="0"/>
    <x v="1"/>
    <x v="4"/>
    <n v="0"/>
    <n v="0"/>
    <n v="25.986999999999998"/>
    <n v="25.986999999999998"/>
    <n v="25.986999999999998"/>
    <n v="25.986999999999998"/>
    <n v="0"/>
    <x v="0"/>
    <n v="0"/>
    <n v="0"/>
    <n v="11"/>
    <n v="71"/>
    <n v="0"/>
    <n v="1155.51"/>
    <n v="433.77"/>
    <m/>
    <n v="1456.3363071141353"/>
    <n v="542.84414704984056"/>
    <n v="0"/>
    <n v="30028.238369999999"/>
    <n v="11272.38099"/>
    <n v="0"/>
    <n v="37845.811612975027"/>
    <n v="14106.890849384206"/>
  </r>
  <r>
    <s v="Sistema de Compensação"/>
    <x v="0"/>
    <x v="1"/>
    <x v="0"/>
    <x v="0"/>
    <x v="0"/>
    <x v="0"/>
    <x v="1"/>
    <x v="4"/>
    <n v="0"/>
    <n v="0"/>
    <n v="0.19500000000000001"/>
    <n v="0.19500000000000001"/>
    <n v="0.19500000000000001"/>
    <n v="0.19500000000000001"/>
    <n v="0"/>
    <x v="0"/>
    <n v="0"/>
    <n v="0"/>
    <n v="11"/>
    <n v="71"/>
    <n v="0"/>
    <n v="1155.51"/>
    <n v="433.77"/>
    <m/>
    <n v="1456.3363071141353"/>
    <n v="542.84414704984056"/>
    <n v="0"/>
    <n v="225.32445000000001"/>
    <n v="84.585149999999999"/>
    <n v="0"/>
    <n v="283.98557988725639"/>
    <n v="105.85460867471892"/>
  </r>
  <r>
    <s v="Sistema Isolado - Regular"/>
    <x v="0"/>
    <x v="1"/>
    <x v="0"/>
    <x v="0"/>
    <x v="0"/>
    <x v="0"/>
    <x v="1"/>
    <x v="5"/>
    <n v="0"/>
    <n v="0"/>
    <n v="456.226"/>
    <n v="456.226"/>
    <n v="456.226"/>
    <n v="456.226"/>
    <n v="0"/>
    <x v="0"/>
    <n v="0"/>
    <n v="0"/>
    <n v="11"/>
    <n v="71"/>
    <n v="0"/>
    <n v="1155.51"/>
    <n v="433.77"/>
    <m/>
    <n v="1456.3363071141353"/>
    <n v="542.84414704984056"/>
    <n v="0"/>
    <n v="527173.70525999996"/>
    <n v="197897.15201999998"/>
    <n v="0"/>
    <n v="664418.48804945347"/>
    <n v="247659.61383196057"/>
  </r>
  <r>
    <s v="Sistema de Compensação"/>
    <x v="0"/>
    <x v="1"/>
    <x v="0"/>
    <x v="0"/>
    <x v="0"/>
    <x v="0"/>
    <x v="1"/>
    <x v="5"/>
    <n v="0"/>
    <n v="0"/>
    <n v="25.986999999999998"/>
    <n v="25.986999999999998"/>
    <n v="25.986999999999998"/>
    <n v="25.986999999999998"/>
    <n v="0"/>
    <x v="0"/>
    <n v="0"/>
    <n v="0"/>
    <n v="11"/>
    <n v="71"/>
    <n v="0"/>
    <n v="1155.51"/>
    <n v="433.77"/>
    <m/>
    <n v="1456.3363071141353"/>
    <n v="542.84414704984056"/>
    <n v="0"/>
    <n v="30028.238369999999"/>
    <n v="11272.38099"/>
    <n v="0"/>
    <n v="37845.811612975027"/>
    <n v="14106.890849384206"/>
  </r>
  <r>
    <s v="Sistema de Compensação"/>
    <x v="0"/>
    <x v="1"/>
    <x v="0"/>
    <x v="0"/>
    <x v="0"/>
    <x v="0"/>
    <x v="1"/>
    <x v="5"/>
    <n v="0"/>
    <n v="0"/>
    <n v="0.19500000000000001"/>
    <n v="0.19500000000000001"/>
    <n v="0.19500000000000001"/>
    <n v="0.19500000000000001"/>
    <n v="0"/>
    <x v="0"/>
    <n v="0"/>
    <n v="0"/>
    <n v="11"/>
    <n v="71"/>
    <n v="0"/>
    <n v="1155.51"/>
    <n v="433.77"/>
    <m/>
    <n v="1456.3363071141353"/>
    <n v="542.84414704984056"/>
    <n v="0"/>
    <n v="225.32445000000001"/>
    <n v="84.585149999999999"/>
    <n v="0"/>
    <n v="283.98557988725639"/>
    <n v="105.85460867471892"/>
  </r>
  <r>
    <s v="Sistema Isolado - Regular"/>
    <x v="0"/>
    <x v="1"/>
    <x v="0"/>
    <x v="0"/>
    <x v="0"/>
    <x v="0"/>
    <x v="1"/>
    <x v="6"/>
    <n v="0"/>
    <n v="0"/>
    <n v="440.673"/>
    <n v="440.673"/>
    <n v="440.673"/>
    <n v="440.673"/>
    <n v="0"/>
    <x v="0"/>
    <n v="0"/>
    <n v="0"/>
    <n v="11"/>
    <n v="71"/>
    <n v="0"/>
    <n v="1155.51"/>
    <n v="433.77"/>
    <m/>
    <n v="1456.3363071141353"/>
    <n v="542.84414704984056"/>
    <n v="0"/>
    <n v="509202.05823000002"/>
    <n v="191150.72720999998"/>
    <n v="0"/>
    <n v="641768.0894649073"/>
    <n v="239216.75881289438"/>
  </r>
  <r>
    <s v="Sistema Isolado - Refaturamento"/>
    <x v="0"/>
    <x v="1"/>
    <x v="0"/>
    <x v="0"/>
    <x v="0"/>
    <x v="0"/>
    <x v="1"/>
    <x v="6"/>
    <n v="0"/>
    <n v="0"/>
    <n v="-7.2320000000000002"/>
    <n v="-7.2320000000000002"/>
    <n v="-7.2320000000000002"/>
    <n v="-7.2320000000000002"/>
    <n v="0"/>
    <x v="0"/>
    <n v="0"/>
    <n v="0"/>
    <n v="11"/>
    <n v="71"/>
    <n v="0"/>
    <n v="1155.51"/>
    <n v="433.77"/>
    <m/>
    <n v="1456.3363071141353"/>
    <n v="542.84414704984056"/>
    <n v="0"/>
    <n v="-8356.6483200000002"/>
    <n v="-3137.0246400000001"/>
    <n v="0"/>
    <n v="-10532.224173049426"/>
    <n v="-3925.8488714644468"/>
  </r>
  <r>
    <s v="Sistema de Compensação"/>
    <x v="0"/>
    <x v="1"/>
    <x v="0"/>
    <x v="0"/>
    <x v="0"/>
    <x v="0"/>
    <x v="1"/>
    <x v="6"/>
    <n v="0"/>
    <n v="0"/>
    <n v="98.111999999999995"/>
    <n v="98.111999999999995"/>
    <n v="98.111999999999995"/>
    <n v="98.111999999999995"/>
    <n v="0"/>
    <x v="0"/>
    <n v="0"/>
    <n v="0"/>
    <n v="11"/>
    <n v="71"/>
    <n v="0"/>
    <n v="1155.51"/>
    <n v="433.77"/>
    <m/>
    <n v="1456.3363071141353"/>
    <n v="542.84414704984056"/>
    <n v="0"/>
    <n v="113369.39711999999"/>
    <n v="42558.042239999995"/>
    <n v="0"/>
    <n v="142884.06776358202"/>
    <n v="53259.524955353954"/>
  </r>
  <r>
    <s v="Sistema Isolado - Regular"/>
    <x v="0"/>
    <x v="1"/>
    <x v="0"/>
    <x v="0"/>
    <x v="0"/>
    <x v="0"/>
    <x v="1"/>
    <x v="7"/>
    <n v="0"/>
    <n v="0"/>
    <n v="406.15199999999999"/>
    <n v="406.15199999999999"/>
    <n v="406.15199999999999"/>
    <n v="406.15199999999999"/>
    <n v="0"/>
    <x v="0"/>
    <n v="0"/>
    <n v="0"/>
    <n v="11"/>
    <n v="71"/>
    <n v="0"/>
    <n v="1155.51"/>
    <n v="433.77"/>
    <m/>
    <n v="1456.3363071141353"/>
    <n v="542.84414704984056"/>
    <n v="0"/>
    <n v="469312.69751999999"/>
    <n v="176176.55304"/>
    <n v="0"/>
    <n v="591493.90380702028"/>
    <n v="220477.23601258683"/>
  </r>
  <r>
    <s v="Sistema Isolado - Refaturamento"/>
    <x v="0"/>
    <x v="1"/>
    <x v="0"/>
    <x v="0"/>
    <x v="0"/>
    <x v="0"/>
    <x v="1"/>
    <x v="7"/>
    <n v="0"/>
    <n v="0"/>
    <n v="-6.3170000000000002"/>
    <n v="-6.3170000000000002"/>
    <n v="-6.3170000000000002"/>
    <n v="-6.3170000000000002"/>
    <n v="0"/>
    <x v="0"/>
    <n v="0"/>
    <n v="0"/>
    <n v="11"/>
    <n v="71"/>
    <n v="0"/>
    <n v="1155.51"/>
    <n v="433.77"/>
    <m/>
    <n v="1456.3363071141353"/>
    <n v="542.84414704984056"/>
    <n v="0"/>
    <n v="-7299.3566700000001"/>
    <n v="-2740.12509"/>
    <n v="0"/>
    <n v="-9199.676452039992"/>
    <n v="-3429.1464769138429"/>
  </r>
  <r>
    <s v="Sistema de Compensação"/>
    <x v="0"/>
    <x v="1"/>
    <x v="0"/>
    <x v="0"/>
    <x v="0"/>
    <x v="0"/>
    <x v="1"/>
    <x v="7"/>
    <n v="0"/>
    <n v="0"/>
    <n v="24.965"/>
    <n v="24.965"/>
    <n v="24.965"/>
    <n v="24.965"/>
    <n v="0"/>
    <x v="0"/>
    <n v="0"/>
    <n v="0"/>
    <n v="11"/>
    <n v="71"/>
    <n v="0"/>
    <n v="1155.51"/>
    <n v="433.77"/>
    <m/>
    <n v="1456.3363071141353"/>
    <n v="542.84414704984056"/>
    <n v="0"/>
    <n v="28847.307150000001"/>
    <n v="10829.06805"/>
    <n v="0"/>
    <n v="36357.435907104387"/>
    <n v="13552.10413109927"/>
  </r>
  <r>
    <s v="Sistema Isolado - Regular"/>
    <x v="0"/>
    <x v="1"/>
    <x v="0"/>
    <x v="0"/>
    <x v="0"/>
    <x v="0"/>
    <x v="1"/>
    <x v="8"/>
    <n v="0"/>
    <n v="0"/>
    <n v="420.48500000000001"/>
    <n v="420.48500000000001"/>
    <n v="420.48500000000001"/>
    <n v="420.48500000000001"/>
    <n v="0"/>
    <x v="0"/>
    <n v="0"/>
    <n v="0"/>
    <n v="11"/>
    <n v="71"/>
    <n v="0"/>
    <n v="1155.51"/>
    <n v="433.77"/>
    <m/>
    <n v="1456.3363071141353"/>
    <n v="542.84414704984056"/>
    <n v="0"/>
    <n v="485874.62235000002"/>
    <n v="182393.77845000001"/>
    <n v="0"/>
    <n v="612367.57209688716"/>
    <n v="228257.82117225221"/>
  </r>
  <r>
    <s v="Sistema Isolado - Refaturamento"/>
    <x v="0"/>
    <x v="1"/>
    <x v="0"/>
    <x v="0"/>
    <x v="0"/>
    <x v="0"/>
    <x v="1"/>
    <x v="8"/>
    <n v="0"/>
    <n v="0"/>
    <n v="-0.41"/>
    <n v="-0.41"/>
    <n v="-0.41"/>
    <n v="-0.41"/>
    <n v="0"/>
    <x v="0"/>
    <n v="0"/>
    <n v="0"/>
    <n v="11"/>
    <n v="71"/>
    <n v="0"/>
    <n v="1155.51"/>
    <n v="433.77"/>
    <m/>
    <n v="1456.3363071141353"/>
    <n v="542.84414704984056"/>
    <n v="0"/>
    <n v="-473.75909999999999"/>
    <n v="-177.84569999999999"/>
    <n v="0"/>
    <n v="-597.09788591679546"/>
    <n v="-222.5661002904346"/>
  </r>
  <r>
    <s v="Sistema de Compensação"/>
    <x v="0"/>
    <x v="1"/>
    <x v="0"/>
    <x v="0"/>
    <x v="0"/>
    <x v="0"/>
    <x v="1"/>
    <x v="8"/>
    <n v="0"/>
    <n v="0"/>
    <n v="26.582000000000001"/>
    <n v="26.582000000000001"/>
    <n v="26.582000000000001"/>
    <n v="26.582000000000001"/>
    <n v="0"/>
    <x v="0"/>
    <n v="0"/>
    <n v="0"/>
    <n v="11"/>
    <n v="71"/>
    <n v="0"/>
    <n v="1155.51"/>
    <n v="433.77"/>
    <m/>
    <n v="1456.3363071141353"/>
    <n v="542.84414704984056"/>
    <n v="0"/>
    <n v="30715.766820000001"/>
    <n v="11530.47414"/>
    <n v="0"/>
    <n v="38712.331715707944"/>
    <n v="14429.883116878862"/>
  </r>
  <r>
    <s v="Sistema Isolado - Regular"/>
    <x v="0"/>
    <x v="1"/>
    <x v="0"/>
    <x v="0"/>
    <x v="0"/>
    <x v="0"/>
    <x v="1"/>
    <x v="9"/>
    <n v="0"/>
    <n v="0"/>
    <n v="483.17500000000001"/>
    <n v="483.17500000000001"/>
    <n v="483.17500000000001"/>
    <n v="483.17500000000001"/>
    <n v="0"/>
    <x v="0"/>
    <n v="0"/>
    <n v="0"/>
    <n v="11"/>
    <n v="71"/>
    <n v="0"/>
    <n v="1155.51"/>
    <n v="433.77"/>
    <m/>
    <n v="1456.3363071141353"/>
    <n v="542.84414704984056"/>
    <n v="0"/>
    <n v="558313.54425000004"/>
    <n v="209586.81975"/>
    <n v="0"/>
    <n v="703665.29518987227"/>
    <n v="262288.72075080674"/>
  </r>
  <r>
    <s v="Sistema de Compensação"/>
    <x v="0"/>
    <x v="1"/>
    <x v="0"/>
    <x v="0"/>
    <x v="0"/>
    <x v="0"/>
    <x v="1"/>
    <x v="9"/>
    <n v="0"/>
    <n v="0"/>
    <n v="30.756"/>
    <n v="30.756"/>
    <n v="30.756"/>
    <n v="30.756"/>
    <n v="0"/>
    <x v="0"/>
    <n v="0"/>
    <n v="0"/>
    <n v="11"/>
    <n v="71"/>
    <n v="0"/>
    <n v="1155.51"/>
    <n v="433.77"/>
    <m/>
    <n v="1456.3363071141353"/>
    <n v="542.84414704984056"/>
    <n v="0"/>
    <n v="35538.865559999998"/>
    <n v="13341.030119999999"/>
    <n v="0"/>
    <n v="44791.079461602341"/>
    <n v="16695.714586664897"/>
  </r>
  <r>
    <s v="Sistema Isolado - Regular"/>
    <x v="0"/>
    <x v="1"/>
    <x v="0"/>
    <x v="0"/>
    <x v="0"/>
    <x v="0"/>
    <x v="1"/>
    <x v="10"/>
    <n v="0"/>
    <n v="0"/>
    <n v="503.858"/>
    <n v="503.858"/>
    <n v="503.858"/>
    <n v="503.858"/>
    <n v="0"/>
    <x v="0"/>
    <n v="0"/>
    <n v="0"/>
    <n v="11"/>
    <n v="71"/>
    <n v="0"/>
    <n v="1155.51"/>
    <n v="433.77"/>
    <m/>
    <n v="1456.3363071141353"/>
    <n v="542.84414704984056"/>
    <n v="0"/>
    <n v="582212.95758000005"/>
    <n v="218558.48465999999"/>
    <n v="0"/>
    <n v="733786.69902991399"/>
    <n v="273516.36624423857"/>
  </r>
  <r>
    <s v="Sistema Isolado - Refaturamento"/>
    <x v="0"/>
    <x v="1"/>
    <x v="0"/>
    <x v="0"/>
    <x v="0"/>
    <x v="0"/>
    <x v="1"/>
    <x v="10"/>
    <n v="0"/>
    <n v="0"/>
    <n v="-0.33200000000000002"/>
    <n v="-0.33200000000000002"/>
    <n v="-0.33200000000000002"/>
    <n v="-0.33200000000000002"/>
    <n v="0"/>
    <x v="0"/>
    <n v="0"/>
    <n v="0"/>
    <n v="11"/>
    <n v="71"/>
    <n v="0"/>
    <n v="1155.51"/>
    <n v="433.77"/>
    <m/>
    <n v="1456.3363071141353"/>
    <n v="542.84414704984056"/>
    <n v="0"/>
    <n v="-383.62932000000001"/>
    <n v="-144.01164"/>
    <n v="0"/>
    <n v="-483.50365396189295"/>
    <n v="-180.22425682054708"/>
  </r>
  <r>
    <s v="Sistema de Compensação"/>
    <x v="0"/>
    <x v="1"/>
    <x v="0"/>
    <x v="0"/>
    <x v="0"/>
    <x v="0"/>
    <x v="1"/>
    <x v="10"/>
    <n v="0"/>
    <n v="0"/>
    <n v="33.107999999999997"/>
    <n v="33.107999999999997"/>
    <n v="33.107999999999997"/>
    <n v="33.107999999999997"/>
    <n v="0"/>
    <x v="0"/>
    <n v="0"/>
    <n v="0"/>
    <n v="11"/>
    <n v="71"/>
    <n v="0"/>
    <n v="1155.51"/>
    <n v="433.77"/>
    <m/>
    <n v="1456.3363071141353"/>
    <n v="542.84414704984056"/>
    <n v="0"/>
    <n v="38256.625079999998"/>
    <n v="14361.257159999997"/>
    <n v="0"/>
    <n v="48216.382455934785"/>
    <n v="17972.484020526121"/>
  </r>
  <r>
    <s v="PROJETADO"/>
    <x v="0"/>
    <x v="1"/>
    <x v="0"/>
    <x v="0"/>
    <x v="0"/>
    <x v="0"/>
    <x v="1"/>
    <x v="11"/>
    <n v="0"/>
    <n v="0"/>
    <n v="503.858"/>
    <n v="503.858"/>
    <n v="503.858"/>
    <n v="503.858"/>
    <n v="0"/>
    <x v="0"/>
    <n v="0"/>
    <n v="0"/>
    <n v="11"/>
    <n v="71"/>
    <n v="0"/>
    <n v="1155.51"/>
    <n v="433.77"/>
    <m/>
    <n v="1456.3363071141353"/>
    <n v="542.84414704984056"/>
    <n v="0"/>
    <n v="582212.95758000005"/>
    <n v="218558.48465999999"/>
    <n v="0"/>
    <n v="733786.69902991399"/>
    <n v="273516.36624423857"/>
  </r>
  <r>
    <s v="PROJETADO"/>
    <x v="0"/>
    <x v="1"/>
    <x v="0"/>
    <x v="0"/>
    <x v="0"/>
    <x v="0"/>
    <x v="1"/>
    <x v="11"/>
    <n v="0"/>
    <n v="0"/>
    <n v="-0.33200000000000002"/>
    <n v="-0.33200000000000002"/>
    <n v="-0.33200000000000002"/>
    <n v="-0.33200000000000002"/>
    <n v="0"/>
    <x v="0"/>
    <n v="0"/>
    <n v="0"/>
    <n v="11"/>
    <n v="71"/>
    <n v="0"/>
    <n v="1155.51"/>
    <n v="433.77"/>
    <m/>
    <n v="1456.3363071141353"/>
    <n v="542.84414704984056"/>
    <n v="0"/>
    <n v="-383.62932000000001"/>
    <n v="-144.01164"/>
    <n v="0"/>
    <n v="-483.50365396189295"/>
    <n v="-180.22425682054708"/>
  </r>
  <r>
    <s v="PROJETADO"/>
    <x v="0"/>
    <x v="1"/>
    <x v="0"/>
    <x v="0"/>
    <x v="0"/>
    <x v="0"/>
    <x v="1"/>
    <x v="11"/>
    <n v="0"/>
    <n v="0"/>
    <n v="33.107999999999997"/>
    <n v="33.107999999999997"/>
    <n v="33.107999999999997"/>
    <n v="33.107999999999997"/>
    <n v="0"/>
    <x v="0"/>
    <n v="0"/>
    <n v="0"/>
    <n v="11"/>
    <n v="71"/>
    <n v="0"/>
    <n v="1155.51"/>
    <n v="433.77"/>
    <m/>
    <n v="1456.3363071141353"/>
    <n v="542.84414704984056"/>
    <n v="0"/>
    <n v="38256.625079999998"/>
    <n v="14361.257159999997"/>
    <n v="0"/>
    <n v="48216.382455934785"/>
    <n v="17972.484020526121"/>
  </r>
  <r>
    <s v="Sistema Isolado - Regular"/>
    <x v="0"/>
    <x v="1"/>
    <x v="1"/>
    <x v="0"/>
    <x v="0"/>
    <x v="0"/>
    <x v="0"/>
    <x v="0"/>
    <n v="0"/>
    <n v="0"/>
    <n v="81.537000000000006"/>
    <n v="81.537000000000006"/>
    <n v="81.537000000000006"/>
    <n v="81.537000000000006"/>
    <n v="0"/>
    <x v="0"/>
    <n v="0"/>
    <n v="0"/>
    <n v="31"/>
    <n v="59"/>
    <n v="0"/>
    <n v="87.73"/>
    <n v="253.9"/>
    <m/>
    <n v="67.376989053363516"/>
    <n v="317.3874512882154"/>
    <n v="0"/>
    <n v="7153.2410100000006"/>
    <n v="20702.244300000002"/>
    <n v="0"/>
    <n v="5493.7175564441013"/>
    <n v="25878.820615687222"/>
  </r>
  <r>
    <s v="Sistema Isolado - Regular"/>
    <x v="0"/>
    <x v="1"/>
    <x v="1"/>
    <x v="0"/>
    <x v="0"/>
    <x v="0"/>
    <x v="0"/>
    <x v="1"/>
    <n v="0"/>
    <n v="0"/>
    <n v="80.653000000000006"/>
    <n v="80.653000000000006"/>
    <n v="80.653000000000006"/>
    <n v="80.653000000000006"/>
    <n v="0"/>
    <x v="0"/>
    <n v="0"/>
    <n v="0"/>
    <n v="31"/>
    <n v="59"/>
    <n v="0"/>
    <n v="87.73"/>
    <n v="253.9"/>
    <m/>
    <n v="67.376989053363516"/>
    <n v="317.3874512882154"/>
    <n v="0"/>
    <n v="7075.6876900000007"/>
    <n v="20477.796700000003"/>
    <n v="0"/>
    <n v="5434.1562981209281"/>
    <n v="25598.250108748438"/>
  </r>
  <r>
    <s v="Sistema Isolado - Regular"/>
    <x v="0"/>
    <x v="1"/>
    <x v="1"/>
    <x v="0"/>
    <x v="0"/>
    <x v="0"/>
    <x v="0"/>
    <x v="2"/>
    <n v="0"/>
    <n v="0"/>
    <n v="80.429000000000002"/>
    <n v="80.429000000000002"/>
    <n v="80.429000000000002"/>
    <n v="80.429000000000002"/>
    <n v="0"/>
    <x v="0"/>
    <n v="0"/>
    <n v="0"/>
    <n v="31"/>
    <n v="59"/>
    <n v="0"/>
    <n v="87.73"/>
    <n v="253.9"/>
    <m/>
    <n v="67.376989053363516"/>
    <n v="317.3874512882154"/>
    <n v="0"/>
    <n v="7056.0361700000003"/>
    <n v="20420.9231"/>
    <n v="0"/>
    <n v="5419.0638525729746"/>
    <n v="25527.155319659876"/>
  </r>
  <r>
    <s v="Sistema Isolado - Regular"/>
    <x v="0"/>
    <x v="1"/>
    <x v="1"/>
    <x v="0"/>
    <x v="0"/>
    <x v="0"/>
    <x v="0"/>
    <x v="3"/>
    <n v="0"/>
    <n v="0"/>
    <n v="73.647000000000006"/>
    <n v="73.647000000000006"/>
    <n v="73.647000000000006"/>
    <n v="73.647000000000006"/>
    <n v="0"/>
    <x v="0"/>
    <n v="0"/>
    <n v="0"/>
    <n v="31"/>
    <n v="59"/>
    <n v="0"/>
    <n v="87.73"/>
    <n v="253.9"/>
    <m/>
    <n v="67.376989053363516"/>
    <n v="317.3874512882154"/>
    <n v="0"/>
    <n v="6461.0513100000007"/>
    <n v="18698.973300000001"/>
    <n v="0"/>
    <n v="4962.1131128130637"/>
    <n v="23374.633625023202"/>
  </r>
  <r>
    <s v="Sistema Isolado - Regular"/>
    <x v="0"/>
    <x v="1"/>
    <x v="1"/>
    <x v="0"/>
    <x v="0"/>
    <x v="0"/>
    <x v="0"/>
    <x v="4"/>
    <n v="0"/>
    <n v="0"/>
    <n v="81.025999999999996"/>
    <n v="81.025999999999996"/>
    <n v="81.025999999999996"/>
    <n v="81.025999999999996"/>
    <n v="0"/>
    <x v="0"/>
    <n v="0"/>
    <n v="0"/>
    <n v="31"/>
    <n v="59"/>
    <n v="0"/>
    <n v="87.73"/>
    <n v="253.9"/>
    <m/>
    <n v="67.376989053363516"/>
    <n v="317.3874512882154"/>
    <n v="0"/>
    <n v="7108.4109799999997"/>
    <n v="20572.501400000001"/>
    <n v="0"/>
    <n v="5459.2879150378321"/>
    <n v="25716.63562807894"/>
  </r>
  <r>
    <s v="Sistema Isolado - Regular"/>
    <x v="0"/>
    <x v="1"/>
    <x v="1"/>
    <x v="0"/>
    <x v="0"/>
    <x v="0"/>
    <x v="0"/>
    <x v="5"/>
    <n v="0"/>
    <n v="0"/>
    <n v="81.025999999999996"/>
    <n v="81.025999999999996"/>
    <n v="81.025999999999996"/>
    <n v="81.025999999999996"/>
    <n v="0"/>
    <x v="0"/>
    <n v="0"/>
    <n v="0"/>
    <n v="31"/>
    <n v="59"/>
    <n v="0"/>
    <n v="87.73"/>
    <n v="253.9"/>
    <m/>
    <n v="67.376989053363516"/>
    <n v="317.3874512882154"/>
    <n v="0"/>
    <n v="7108.4109799999997"/>
    <n v="20572.501400000001"/>
    <n v="0"/>
    <n v="5459.2879150378321"/>
    <n v="25716.63562807894"/>
  </r>
  <r>
    <s v="Sistema Isolado - Regular"/>
    <x v="0"/>
    <x v="1"/>
    <x v="1"/>
    <x v="0"/>
    <x v="0"/>
    <x v="0"/>
    <x v="0"/>
    <x v="6"/>
    <n v="0"/>
    <n v="0"/>
    <n v="77.808999999999997"/>
    <n v="77.808999999999997"/>
    <n v="77.808999999999997"/>
    <n v="77.808999999999997"/>
    <n v="0"/>
    <x v="0"/>
    <n v="0"/>
    <n v="0"/>
    <n v="31"/>
    <n v="59"/>
    <n v="0"/>
    <n v="87.73"/>
    <n v="253.9"/>
    <m/>
    <n v="67.376989053363516"/>
    <n v="317.3874512882154"/>
    <n v="0"/>
    <n v="6826.1835700000001"/>
    <n v="19755.705099999999"/>
    <n v="0"/>
    <n v="5242.536141253162"/>
    <n v="24695.600197284752"/>
  </r>
  <r>
    <s v="Sistema Isolado - Regular"/>
    <x v="0"/>
    <x v="1"/>
    <x v="1"/>
    <x v="0"/>
    <x v="0"/>
    <x v="0"/>
    <x v="0"/>
    <x v="7"/>
    <n v="0"/>
    <n v="0"/>
    <n v="74.793999999999997"/>
    <n v="74.793999999999997"/>
    <n v="74.793999999999997"/>
    <n v="74.793999999999997"/>
    <n v="0"/>
    <x v="0"/>
    <n v="0"/>
    <n v="0"/>
    <n v="31"/>
    <n v="59"/>
    <n v="0"/>
    <n v="87.73"/>
    <n v="253.9"/>
    <m/>
    <n v="67.376989053363516"/>
    <n v="317.3874512882154"/>
    <n v="0"/>
    <n v="6561.6776200000004"/>
    <n v="18990.196599999999"/>
    <n v="0"/>
    <n v="5039.394519257271"/>
    <n v="23738.677031650783"/>
  </r>
  <r>
    <s v="Sistema Isolado - Regular"/>
    <x v="0"/>
    <x v="1"/>
    <x v="1"/>
    <x v="0"/>
    <x v="0"/>
    <x v="0"/>
    <x v="0"/>
    <x v="8"/>
    <n v="0"/>
    <n v="0"/>
    <n v="80.94"/>
    <n v="80.94"/>
    <n v="80.94"/>
    <n v="80.94"/>
    <n v="0"/>
    <x v="0"/>
    <n v="0"/>
    <n v="0"/>
    <n v="31"/>
    <n v="59"/>
    <n v="0"/>
    <n v="87.73"/>
    <n v="253.9"/>
    <m/>
    <n v="67.376989053363516"/>
    <n v="317.3874512882154"/>
    <n v="0"/>
    <n v="7100.8662000000004"/>
    <n v="20550.666000000001"/>
    <n v="0"/>
    <n v="5453.4934939792429"/>
    <n v="25689.340307268154"/>
  </r>
  <r>
    <s v="Sistema Isolado - Regular"/>
    <x v="0"/>
    <x v="1"/>
    <x v="1"/>
    <x v="0"/>
    <x v="0"/>
    <x v="0"/>
    <x v="0"/>
    <x v="9"/>
    <n v="0"/>
    <n v="0"/>
    <n v="85.8"/>
    <n v="85.8"/>
    <n v="85.8"/>
    <n v="85.8"/>
    <n v="0"/>
    <x v="0"/>
    <n v="0"/>
    <n v="0"/>
    <n v="31"/>
    <n v="59"/>
    <n v="0"/>
    <n v="87.73"/>
    <n v="253.9"/>
    <m/>
    <n v="67.376989053363516"/>
    <n v="317.3874512882154"/>
    <n v="0"/>
    <n v="7527.2340000000004"/>
    <n v="21784.62"/>
    <n v="0"/>
    <n v="5780.9456607785896"/>
    <n v="27231.843320528882"/>
  </r>
  <r>
    <s v="Sistema Isolado - Regular"/>
    <x v="0"/>
    <x v="1"/>
    <x v="1"/>
    <x v="0"/>
    <x v="0"/>
    <x v="0"/>
    <x v="0"/>
    <x v="10"/>
    <n v="0"/>
    <n v="0"/>
    <n v="82.92"/>
    <n v="82.92"/>
    <n v="82.92"/>
    <n v="82.92"/>
    <n v="0"/>
    <x v="0"/>
    <n v="0"/>
    <n v="0"/>
    <n v="31"/>
    <n v="59"/>
    <n v="0"/>
    <n v="87.73"/>
    <n v="253.9"/>
    <m/>
    <n v="67.376989053363516"/>
    <n v="317.3874512882154"/>
    <n v="0"/>
    <n v="7274.5716000000002"/>
    <n v="21053.388000000003"/>
    <n v="0"/>
    <n v="5586.8999323049029"/>
    <n v="26317.767460818821"/>
  </r>
  <r>
    <s v="PROJETADO"/>
    <x v="0"/>
    <x v="1"/>
    <x v="1"/>
    <x v="0"/>
    <x v="0"/>
    <x v="0"/>
    <x v="0"/>
    <x v="11"/>
    <n v="0"/>
    <n v="0"/>
    <n v="82.92"/>
    <n v="82.92"/>
    <n v="82.92"/>
    <n v="82.92"/>
    <n v="0"/>
    <x v="0"/>
    <n v="0"/>
    <n v="0"/>
    <n v="31"/>
    <n v="59"/>
    <n v="0"/>
    <n v="87.73"/>
    <n v="253.9"/>
    <m/>
    <n v="67.376989053363516"/>
    <n v="317.3874512882154"/>
    <n v="0"/>
    <n v="7274.5716000000002"/>
    <n v="21053.388000000003"/>
    <n v="0"/>
    <n v="5586.8999323049029"/>
    <n v="26317.767460818821"/>
  </r>
  <r>
    <s v="Sistema Isolado - Regular"/>
    <x v="0"/>
    <x v="1"/>
    <x v="1"/>
    <x v="0"/>
    <x v="0"/>
    <x v="0"/>
    <x v="2"/>
    <x v="0"/>
    <n v="281"/>
    <n v="281"/>
    <n v="0"/>
    <n v="0"/>
    <n v="0"/>
    <n v="0"/>
    <n v="8"/>
    <x v="0"/>
    <n v="0"/>
    <n v="18"/>
    <n v="0"/>
    <n v="0"/>
    <n v="14.64"/>
    <n v="0"/>
    <n v="0"/>
    <n v="19.024476785546895"/>
    <m/>
    <m/>
    <n v="4113.84"/>
    <n v="0"/>
    <n v="0"/>
    <n v="5345.8779767386777"/>
    <n v="0"/>
    <n v="0"/>
  </r>
  <r>
    <s v="Sistema Isolado - Regular"/>
    <x v="0"/>
    <x v="1"/>
    <x v="1"/>
    <x v="0"/>
    <x v="0"/>
    <x v="0"/>
    <x v="2"/>
    <x v="1"/>
    <n v="371"/>
    <n v="371"/>
    <n v="0"/>
    <n v="0"/>
    <n v="0"/>
    <n v="0"/>
    <n v="8"/>
    <x v="0"/>
    <n v="0"/>
    <n v="18"/>
    <n v="0"/>
    <n v="0"/>
    <n v="14.64"/>
    <n v="0"/>
    <n v="0"/>
    <n v="19.024476785546895"/>
    <m/>
    <m/>
    <n v="5431.4400000000005"/>
    <n v="0"/>
    <n v="0"/>
    <n v="7058.0808874378981"/>
    <n v="0"/>
    <n v="0"/>
  </r>
  <r>
    <s v="Sistema Isolado - Regular"/>
    <x v="0"/>
    <x v="1"/>
    <x v="1"/>
    <x v="0"/>
    <x v="0"/>
    <x v="0"/>
    <x v="2"/>
    <x v="2"/>
    <n v="261"/>
    <n v="261"/>
    <n v="0"/>
    <n v="0"/>
    <n v="0"/>
    <n v="0"/>
    <n v="8"/>
    <x v="0"/>
    <n v="0"/>
    <n v="18"/>
    <n v="0"/>
    <n v="0"/>
    <n v="14.64"/>
    <n v="0"/>
    <n v="0"/>
    <n v="19.024476785546895"/>
    <m/>
    <m/>
    <n v="3821.04"/>
    <n v="0"/>
    <n v="0"/>
    <n v="4965.3884410277396"/>
    <n v="0"/>
    <n v="0"/>
  </r>
  <r>
    <s v="Sistema Isolado - Regular"/>
    <x v="0"/>
    <x v="1"/>
    <x v="1"/>
    <x v="0"/>
    <x v="0"/>
    <x v="0"/>
    <x v="2"/>
    <x v="3"/>
    <n v="252"/>
    <n v="252"/>
    <n v="0"/>
    <n v="0"/>
    <n v="0"/>
    <n v="0"/>
    <n v="8"/>
    <x v="0"/>
    <n v="0"/>
    <n v="18"/>
    <n v="0"/>
    <n v="0"/>
    <n v="14.64"/>
    <n v="0"/>
    <n v="0"/>
    <n v="19.024476785546895"/>
    <m/>
    <m/>
    <n v="3689.28"/>
    <n v="0"/>
    <n v="0"/>
    <n v="4794.1681499578171"/>
    <n v="0"/>
    <n v="0"/>
  </r>
  <r>
    <s v="Sistema Isolado - Regular"/>
    <x v="0"/>
    <x v="1"/>
    <x v="1"/>
    <x v="0"/>
    <x v="0"/>
    <x v="0"/>
    <x v="2"/>
    <x v="4"/>
    <n v="269"/>
    <n v="269"/>
    <n v="0"/>
    <n v="0"/>
    <n v="0"/>
    <n v="0"/>
    <n v="8"/>
    <x v="0"/>
    <n v="0"/>
    <n v="18"/>
    <n v="0"/>
    <n v="0"/>
    <n v="14.64"/>
    <n v="0"/>
    <n v="0"/>
    <n v="19.024476785546895"/>
    <m/>
    <m/>
    <n v="3938.1600000000003"/>
    <n v="0"/>
    <n v="0"/>
    <n v="5117.5842553121147"/>
    <n v="0"/>
    <n v="0"/>
  </r>
  <r>
    <s v="Sistema Isolado - Regular"/>
    <x v="0"/>
    <x v="1"/>
    <x v="1"/>
    <x v="0"/>
    <x v="0"/>
    <x v="0"/>
    <x v="2"/>
    <x v="5"/>
    <n v="269"/>
    <n v="269"/>
    <n v="0"/>
    <n v="0"/>
    <n v="0"/>
    <n v="0"/>
    <n v="8"/>
    <x v="0"/>
    <n v="0"/>
    <n v="18"/>
    <n v="0"/>
    <n v="0"/>
    <n v="14.64"/>
    <n v="0"/>
    <n v="0"/>
    <n v="19.024476785546895"/>
    <m/>
    <m/>
    <n v="3938.1600000000003"/>
    <n v="0"/>
    <n v="0"/>
    <n v="5117.5842553121147"/>
    <n v="0"/>
    <n v="0"/>
  </r>
  <r>
    <s v="Sistema Isolado - Regular"/>
    <x v="0"/>
    <x v="1"/>
    <x v="1"/>
    <x v="0"/>
    <x v="0"/>
    <x v="0"/>
    <x v="2"/>
    <x v="6"/>
    <n v="283"/>
    <n v="283"/>
    <n v="0"/>
    <n v="0"/>
    <n v="0"/>
    <n v="0"/>
    <n v="8"/>
    <x v="0"/>
    <n v="0"/>
    <n v="18"/>
    <n v="0"/>
    <n v="0"/>
    <n v="14.64"/>
    <n v="0"/>
    <n v="0"/>
    <n v="19.024476785546895"/>
    <m/>
    <m/>
    <n v="4143.12"/>
    <n v="0"/>
    <n v="0"/>
    <n v="5383.9269303097717"/>
    <n v="0"/>
    <n v="0"/>
  </r>
  <r>
    <s v="Sistema Isolado - Regular"/>
    <x v="0"/>
    <x v="1"/>
    <x v="1"/>
    <x v="0"/>
    <x v="0"/>
    <x v="0"/>
    <x v="2"/>
    <x v="7"/>
    <n v="248"/>
    <n v="248"/>
    <n v="0"/>
    <n v="0"/>
    <n v="0"/>
    <n v="0"/>
    <n v="8"/>
    <x v="0"/>
    <n v="0"/>
    <n v="18"/>
    <n v="0"/>
    <n v="0"/>
    <n v="14.64"/>
    <n v="0"/>
    <n v="0"/>
    <n v="19.024476785546895"/>
    <m/>
    <m/>
    <n v="3630.7200000000003"/>
    <n v="0"/>
    <n v="0"/>
    <n v="4718.0702428156301"/>
    <n v="0"/>
    <n v="0"/>
  </r>
  <r>
    <s v="Sistema Isolado - Regular"/>
    <x v="0"/>
    <x v="1"/>
    <x v="1"/>
    <x v="0"/>
    <x v="0"/>
    <x v="0"/>
    <x v="2"/>
    <x v="8"/>
    <n v="255"/>
    <n v="255"/>
    <n v="0"/>
    <n v="0"/>
    <n v="0"/>
    <n v="0"/>
    <n v="8"/>
    <x v="0"/>
    <n v="0"/>
    <n v="18"/>
    <n v="0"/>
    <n v="0"/>
    <n v="14.64"/>
    <n v="0"/>
    <n v="0"/>
    <n v="19.024476785546895"/>
    <m/>
    <m/>
    <n v="3733.2000000000003"/>
    <n v="0"/>
    <n v="0"/>
    <n v="4851.2415803144586"/>
    <n v="0"/>
    <n v="0"/>
  </r>
  <r>
    <s v="Sistema Isolado - Regular"/>
    <x v="0"/>
    <x v="1"/>
    <x v="1"/>
    <x v="0"/>
    <x v="0"/>
    <x v="0"/>
    <x v="2"/>
    <x v="9"/>
    <n v="271"/>
    <n v="271"/>
    <n v="0"/>
    <n v="0"/>
    <n v="0"/>
    <n v="0"/>
    <n v="8"/>
    <x v="0"/>
    <n v="0"/>
    <n v="18"/>
    <n v="0"/>
    <n v="0"/>
    <n v="14.64"/>
    <n v="0"/>
    <n v="0"/>
    <n v="19.024476785546895"/>
    <m/>
    <m/>
    <n v="3967.44"/>
    <n v="0"/>
    <n v="0"/>
    <n v="5155.6332088832087"/>
    <n v="0"/>
    <n v="0"/>
  </r>
  <r>
    <s v="Sistema Isolado - Regular"/>
    <x v="0"/>
    <x v="1"/>
    <x v="1"/>
    <x v="0"/>
    <x v="0"/>
    <x v="0"/>
    <x v="2"/>
    <x v="10"/>
    <n v="303"/>
    <n v="303"/>
    <n v="0"/>
    <n v="0"/>
    <n v="0"/>
    <n v="0"/>
    <n v="8"/>
    <x v="0"/>
    <n v="0"/>
    <n v="18"/>
    <n v="0"/>
    <n v="0"/>
    <n v="14.64"/>
    <n v="0"/>
    <n v="0"/>
    <n v="19.024476785546895"/>
    <m/>
    <m/>
    <n v="4435.92"/>
    <n v="0"/>
    <n v="0"/>
    <n v="5764.4164660207089"/>
    <n v="0"/>
    <n v="0"/>
  </r>
  <r>
    <s v="PROJETADO"/>
    <x v="0"/>
    <x v="1"/>
    <x v="1"/>
    <x v="0"/>
    <x v="0"/>
    <x v="0"/>
    <x v="2"/>
    <x v="11"/>
    <n v="303"/>
    <n v="303"/>
    <n v="0"/>
    <n v="0"/>
    <n v="0"/>
    <n v="0"/>
    <n v="8"/>
    <x v="0"/>
    <n v="0"/>
    <n v="18"/>
    <n v="0"/>
    <n v="0"/>
    <n v="14.64"/>
    <n v="0"/>
    <n v="0"/>
    <n v="19.024476785546895"/>
    <m/>
    <m/>
    <n v="4435.92"/>
    <n v="0"/>
    <n v="0"/>
    <n v="5764.4164660207089"/>
    <n v="0"/>
    <n v="0"/>
  </r>
  <r>
    <s v="Sistema Isolado - Regular"/>
    <x v="0"/>
    <x v="1"/>
    <x v="1"/>
    <x v="0"/>
    <x v="0"/>
    <x v="0"/>
    <x v="1"/>
    <x v="0"/>
    <n v="0"/>
    <n v="0"/>
    <n v="8.7029999999999994"/>
    <n v="8.7029999999999994"/>
    <n v="8.7029999999999994"/>
    <n v="8.7029999999999994"/>
    <n v="0"/>
    <x v="0"/>
    <n v="0"/>
    <n v="0"/>
    <n v="11"/>
    <n v="71"/>
    <n v="0"/>
    <n v="1155.51"/>
    <n v="433.77"/>
    <m/>
    <n v="1456.3363071141353"/>
    <n v="542.84414704984056"/>
    <n v="0"/>
    <n v="10056.40353"/>
    <n v="3775.1003099999998"/>
    <n v="0"/>
    <n v="12674.494880814318"/>
    <n v="4724.3726117747619"/>
  </r>
  <r>
    <s v="Sistema Isolado - Regular"/>
    <x v="0"/>
    <x v="1"/>
    <x v="1"/>
    <x v="0"/>
    <x v="0"/>
    <x v="0"/>
    <x v="1"/>
    <x v="1"/>
    <n v="0"/>
    <n v="0"/>
    <n v="8.8829999999999991"/>
    <n v="8.8829999999999991"/>
    <n v="8.8829999999999991"/>
    <n v="8.8829999999999991"/>
    <n v="0"/>
    <x v="0"/>
    <n v="0"/>
    <n v="0"/>
    <n v="11"/>
    <n v="71"/>
    <n v="0"/>
    <n v="1155.51"/>
    <n v="433.77"/>
    <m/>
    <n v="1456.3363071141353"/>
    <n v="542.84414704984056"/>
    <n v="0"/>
    <n v="10264.395329999999"/>
    <n v="3853.1789099999996"/>
    <n v="0"/>
    <n v="12936.635416094861"/>
    <n v="4822.0845582437332"/>
  </r>
  <r>
    <s v="Sistema Isolado - Regular"/>
    <x v="0"/>
    <x v="1"/>
    <x v="1"/>
    <x v="0"/>
    <x v="0"/>
    <x v="0"/>
    <x v="1"/>
    <x v="2"/>
    <n v="0"/>
    <n v="0"/>
    <n v="8.2159999999999993"/>
    <n v="8.2159999999999993"/>
    <n v="8.2159999999999993"/>
    <n v="8.2159999999999993"/>
    <n v="0"/>
    <x v="0"/>
    <n v="0"/>
    <n v="0"/>
    <n v="11"/>
    <n v="71"/>
    <n v="0"/>
    <n v="1155.51"/>
    <n v="433.77"/>
    <m/>
    <n v="1456.3363071141353"/>
    <n v="542.84414704984056"/>
    <n v="0"/>
    <n v="9493.6701599999997"/>
    <n v="3563.8543199999995"/>
    <n v="0"/>
    <n v="11965.259099249733"/>
    <n v="4460.00751216149"/>
  </r>
  <r>
    <s v="Sistema Isolado - Regular"/>
    <x v="0"/>
    <x v="1"/>
    <x v="1"/>
    <x v="0"/>
    <x v="0"/>
    <x v="0"/>
    <x v="1"/>
    <x v="3"/>
    <n v="0"/>
    <n v="0"/>
    <n v="7.992"/>
    <n v="7.992"/>
    <n v="7.992"/>
    <n v="7.992"/>
    <n v="0"/>
    <x v="0"/>
    <n v="0"/>
    <n v="0"/>
    <n v="11"/>
    <n v="71"/>
    <n v="0"/>
    <n v="1155.51"/>
    <n v="433.77"/>
    <m/>
    <n v="1456.3363071141353"/>
    <n v="542.84414704984056"/>
    <n v="0"/>
    <n v="9234.8359199999995"/>
    <n v="3466.68984"/>
    <n v="0"/>
    <n v="11639.03976645617"/>
    <n v="4338.4104232223253"/>
  </r>
  <r>
    <s v="Sistema Isolado - Regular"/>
    <x v="0"/>
    <x v="1"/>
    <x v="1"/>
    <x v="0"/>
    <x v="0"/>
    <x v="0"/>
    <x v="1"/>
    <x v="4"/>
    <n v="0"/>
    <n v="0"/>
    <n v="8.7810000000000006"/>
    <n v="8.7810000000000006"/>
    <n v="8.7810000000000006"/>
    <n v="8.7810000000000006"/>
    <n v="0"/>
    <x v="0"/>
    <n v="0"/>
    <n v="0"/>
    <n v="11"/>
    <n v="71"/>
    <n v="0"/>
    <n v="1155.51"/>
    <n v="433.77"/>
    <m/>
    <n v="1456.3363071141353"/>
    <n v="542.84414704984056"/>
    <n v="0"/>
    <n v="10146.533310000001"/>
    <n v="3808.9343699999999"/>
    <n v="0"/>
    <n v="12788.089112769223"/>
    <n v="4766.7144552446507"/>
  </r>
  <r>
    <s v="Sistema Isolado - Regular"/>
    <x v="0"/>
    <x v="1"/>
    <x v="1"/>
    <x v="0"/>
    <x v="0"/>
    <x v="0"/>
    <x v="1"/>
    <x v="5"/>
    <n v="0"/>
    <n v="0"/>
    <n v="8.7810000000000006"/>
    <n v="8.7810000000000006"/>
    <n v="8.7810000000000006"/>
    <n v="8.7810000000000006"/>
    <n v="0"/>
    <x v="0"/>
    <n v="0"/>
    <n v="0"/>
    <n v="11"/>
    <n v="71"/>
    <n v="0"/>
    <n v="1155.51"/>
    <n v="433.77"/>
    <m/>
    <n v="1456.3363071141353"/>
    <n v="542.84414704984056"/>
    <n v="0"/>
    <n v="10146.533310000001"/>
    <n v="3808.9343699999999"/>
    <n v="0"/>
    <n v="12788.089112769223"/>
    <n v="4766.7144552446507"/>
  </r>
  <r>
    <s v="Sistema Isolado - Regular"/>
    <x v="0"/>
    <x v="1"/>
    <x v="1"/>
    <x v="0"/>
    <x v="0"/>
    <x v="0"/>
    <x v="1"/>
    <x v="6"/>
    <n v="0"/>
    <n v="0"/>
    <n v="8.3979999999999997"/>
    <n v="8.3979999999999997"/>
    <n v="8.3979999999999997"/>
    <n v="8.3979999999999997"/>
    <n v="0"/>
    <x v="0"/>
    <n v="0"/>
    <n v="0"/>
    <n v="11"/>
    <n v="71"/>
    <n v="0"/>
    <n v="1155.51"/>
    <n v="433.77"/>
    <m/>
    <n v="1456.3363071141353"/>
    <n v="542.84414704984056"/>
    <n v="0"/>
    <n v="9703.9729800000005"/>
    <n v="3642.8004599999999"/>
    <n v="0"/>
    <n v="12230.312307144508"/>
    <n v="4558.8051469245611"/>
  </r>
  <r>
    <s v="Sistema Isolado - Regular"/>
    <x v="0"/>
    <x v="1"/>
    <x v="1"/>
    <x v="0"/>
    <x v="0"/>
    <x v="0"/>
    <x v="1"/>
    <x v="7"/>
    <n v="0"/>
    <n v="0"/>
    <n v="8.2189999999999994"/>
    <n v="8.2189999999999994"/>
    <n v="8.2189999999999994"/>
    <n v="8.2189999999999994"/>
    <n v="0"/>
    <x v="0"/>
    <n v="0"/>
    <n v="0"/>
    <n v="11"/>
    <n v="71"/>
    <n v="0"/>
    <n v="1155.51"/>
    <n v="433.77"/>
    <m/>
    <n v="1456.3363071141353"/>
    <n v="542.84414704984056"/>
    <n v="0"/>
    <n v="9497.1366899999994"/>
    <n v="3565.1556299999997"/>
    <n v="0"/>
    <n v="11969.628108171077"/>
    <n v="4461.6360446026392"/>
  </r>
  <r>
    <s v="Sistema Isolado - Regular"/>
    <x v="0"/>
    <x v="1"/>
    <x v="1"/>
    <x v="0"/>
    <x v="0"/>
    <x v="0"/>
    <x v="1"/>
    <x v="8"/>
    <n v="0"/>
    <n v="0"/>
    <n v="8.5329999999999995"/>
    <n v="8.5329999999999995"/>
    <n v="8.5329999999999995"/>
    <n v="8.5329999999999995"/>
    <n v="0"/>
    <x v="0"/>
    <n v="0"/>
    <n v="0"/>
    <n v="11"/>
    <n v="71"/>
    <n v="0"/>
    <n v="1155.51"/>
    <n v="433.77"/>
    <m/>
    <n v="1456.3363071141353"/>
    <n v="542.84414704984056"/>
    <n v="0"/>
    <n v="9859.9668299999994"/>
    <n v="3701.3594099999996"/>
    <n v="0"/>
    <n v="12426.917708604915"/>
    <n v="4632.0891067762896"/>
  </r>
  <r>
    <s v="Sistema Isolado - Regular"/>
    <x v="0"/>
    <x v="1"/>
    <x v="1"/>
    <x v="0"/>
    <x v="0"/>
    <x v="0"/>
    <x v="1"/>
    <x v="9"/>
    <n v="0"/>
    <n v="0"/>
    <n v="9.4990000000000006"/>
    <n v="9.4990000000000006"/>
    <n v="9.4990000000000006"/>
    <n v="9.4990000000000006"/>
    <n v="0"/>
    <x v="0"/>
    <n v="0"/>
    <n v="0"/>
    <n v="11"/>
    <n v="71"/>
    <n v="0"/>
    <n v="1155.51"/>
    <n v="433.77"/>
    <m/>
    <n v="1456.3363071141353"/>
    <n v="542.84414704984056"/>
    <n v="0"/>
    <n v="10976.189490000001"/>
    <n v="4120.38123"/>
    <n v="0"/>
    <n v="13833.738581277172"/>
    <n v="5156.4765528264361"/>
  </r>
  <r>
    <s v="Sistema Isolado - Regular"/>
    <x v="0"/>
    <x v="1"/>
    <x v="1"/>
    <x v="0"/>
    <x v="0"/>
    <x v="0"/>
    <x v="1"/>
    <x v="10"/>
    <n v="0"/>
    <n v="0"/>
    <n v="9.0950000000000006"/>
    <n v="9.0950000000000006"/>
    <n v="9.0950000000000006"/>
    <n v="9.0950000000000006"/>
    <n v="0"/>
    <x v="0"/>
    <n v="0"/>
    <n v="0"/>
    <n v="11"/>
    <n v="71"/>
    <n v="0"/>
    <n v="1155.51"/>
    <n v="433.77"/>
    <m/>
    <n v="1456.3363071141353"/>
    <n v="542.84414704984056"/>
    <n v="0"/>
    <n v="10509.363450000001"/>
    <n v="3945.1381500000002"/>
    <n v="0"/>
    <n v="13245.378713203061"/>
    <n v="4937.1675174183001"/>
  </r>
  <r>
    <s v="PROJETADO"/>
    <x v="0"/>
    <x v="1"/>
    <x v="1"/>
    <x v="0"/>
    <x v="0"/>
    <x v="0"/>
    <x v="1"/>
    <x v="11"/>
    <n v="0"/>
    <n v="0"/>
    <n v="9.0950000000000006"/>
    <n v="9.0950000000000006"/>
    <n v="9.0950000000000006"/>
    <n v="9.0950000000000006"/>
    <n v="0"/>
    <x v="0"/>
    <n v="0"/>
    <n v="0"/>
    <n v="11"/>
    <n v="71"/>
    <n v="0"/>
    <n v="1155.51"/>
    <n v="433.77"/>
    <m/>
    <n v="1456.3363071141353"/>
    <n v="542.84414704984056"/>
    <n v="0"/>
    <n v="10509.363450000001"/>
    <n v="3945.1381500000002"/>
    <n v="0"/>
    <n v="13245.378713203061"/>
    <n v="4937.1675174183001"/>
  </r>
  <r>
    <s v="Sistema Isolado - Regular"/>
    <x v="0"/>
    <x v="1"/>
    <x v="2"/>
    <x v="0"/>
    <x v="0"/>
    <x v="0"/>
    <x v="0"/>
    <x v="0"/>
    <n v="0"/>
    <n v="0"/>
    <n v="1140.0050000000001"/>
    <n v="1140.0050000000001"/>
    <n v="1140.0050000000001"/>
    <n v="1140.0050000000001"/>
    <n v="0"/>
    <x v="0"/>
    <n v="0"/>
    <n v="0"/>
    <n v="31"/>
    <n v="59"/>
    <n v="0"/>
    <n v="87.73"/>
    <n v="253.9"/>
    <m/>
    <n v="67.376989053363516"/>
    <n v="317.3874512882154"/>
    <n v="0"/>
    <n v="100012.63865000001"/>
    <n v="289447.26950000005"/>
    <n v="0"/>
    <n v="76810.104405779683"/>
    <n v="361823.28140582202"/>
  </r>
  <r>
    <s v="Sistema de Compensação"/>
    <x v="0"/>
    <x v="1"/>
    <x v="2"/>
    <x v="0"/>
    <x v="0"/>
    <x v="0"/>
    <x v="0"/>
    <x v="0"/>
    <n v="0"/>
    <n v="0"/>
    <n v="38.292999999999999"/>
    <n v="38.292999999999999"/>
    <n v="38.292999999999999"/>
    <n v="38.292999999999999"/>
    <n v="0"/>
    <x v="0"/>
    <n v="0"/>
    <n v="0"/>
    <n v="31"/>
    <n v="59"/>
    <n v="0"/>
    <n v="87.73"/>
    <n v="253.9"/>
    <m/>
    <n v="67.376989053363516"/>
    <n v="317.3874512882154"/>
    <n v="0"/>
    <n v="3359.4448900000002"/>
    <n v="9722.5926999999992"/>
    <n v="0"/>
    <n v="2580.067041820449"/>
    <n v="12153.717672179631"/>
  </r>
  <r>
    <s v="Sistema Isolado - Regular"/>
    <x v="0"/>
    <x v="1"/>
    <x v="2"/>
    <x v="0"/>
    <x v="0"/>
    <x v="0"/>
    <x v="0"/>
    <x v="1"/>
    <n v="0"/>
    <n v="0"/>
    <n v="1128.8789999999999"/>
    <n v="1128.8789999999999"/>
    <n v="1128.8789999999999"/>
    <n v="1128.8789999999999"/>
    <n v="0"/>
    <x v="0"/>
    <n v="0"/>
    <n v="0"/>
    <n v="31"/>
    <n v="59"/>
    <n v="0"/>
    <n v="87.73"/>
    <n v="253.9"/>
    <m/>
    <n v="67.376989053363516"/>
    <n v="317.3874512882154"/>
    <n v="0"/>
    <n v="99036.554669999998"/>
    <n v="286622.37809999997"/>
    <n v="0"/>
    <n v="76060.468025571943"/>
    <n v="358292.02862278931"/>
  </r>
  <r>
    <s v="Sistema de Compensação"/>
    <x v="0"/>
    <x v="1"/>
    <x v="2"/>
    <x v="0"/>
    <x v="0"/>
    <x v="0"/>
    <x v="0"/>
    <x v="1"/>
    <n v="0"/>
    <n v="0"/>
    <n v="36.838000000000001"/>
    <n v="36.838000000000001"/>
    <n v="36.838000000000001"/>
    <n v="36.838000000000001"/>
    <n v="0"/>
    <x v="0"/>
    <n v="0"/>
    <n v="0"/>
    <n v="31"/>
    <n v="59"/>
    <n v="0"/>
    <n v="87.73"/>
    <n v="253.9"/>
    <m/>
    <n v="67.376989053363516"/>
    <n v="317.3874512882154"/>
    <n v="0"/>
    <n v="3231.7977400000004"/>
    <n v="9353.1682000000001"/>
    <n v="0"/>
    <n v="2482.0335227478054"/>
    <n v="11691.918930555279"/>
  </r>
  <r>
    <s v="Sistema Isolado - Regular"/>
    <x v="0"/>
    <x v="1"/>
    <x v="2"/>
    <x v="0"/>
    <x v="0"/>
    <x v="0"/>
    <x v="0"/>
    <x v="2"/>
    <n v="0"/>
    <n v="0"/>
    <n v="1148.1959999999999"/>
    <n v="1148.1959999999999"/>
    <n v="1148.1959999999999"/>
    <n v="1148.1959999999999"/>
    <n v="0"/>
    <x v="0"/>
    <n v="0"/>
    <n v="0"/>
    <n v="31"/>
    <n v="59"/>
    <n v="0"/>
    <n v="87.73"/>
    <n v="253.9"/>
    <m/>
    <n v="67.376989053363516"/>
    <n v="317.3874512882154"/>
    <n v="0"/>
    <n v="100731.23508"/>
    <n v="291526.9644"/>
    <n v="0"/>
    <n v="77361.989323115777"/>
    <n v="364423.00201932376"/>
  </r>
  <r>
    <s v="Sistema de Compensação"/>
    <x v="0"/>
    <x v="1"/>
    <x v="2"/>
    <x v="0"/>
    <x v="0"/>
    <x v="0"/>
    <x v="0"/>
    <x v="2"/>
    <n v="0"/>
    <n v="0"/>
    <n v="33.359000000000002"/>
    <n v="33.359000000000002"/>
    <n v="33.359000000000002"/>
    <n v="33.359000000000002"/>
    <n v="0"/>
    <x v="0"/>
    <n v="0"/>
    <n v="0"/>
    <n v="31"/>
    <n v="59"/>
    <n v="0"/>
    <n v="87.73"/>
    <n v="253.9"/>
    <m/>
    <n v="67.376989053363516"/>
    <n v="317.3874512882154"/>
    <n v="0"/>
    <n v="2926.5850700000001"/>
    <n v="8469.8501000000015"/>
    <n v="0"/>
    <n v="2247.6289778311539"/>
    <n v="10587.727987523578"/>
  </r>
  <r>
    <s v="Sistema Isolado - Regular"/>
    <x v="0"/>
    <x v="1"/>
    <x v="2"/>
    <x v="0"/>
    <x v="0"/>
    <x v="0"/>
    <x v="0"/>
    <x v="3"/>
    <n v="0"/>
    <n v="0"/>
    <n v="1206.1010000000001"/>
    <n v="1206.1010000000001"/>
    <n v="1206.1010000000001"/>
    <n v="1206.1010000000001"/>
    <n v="0"/>
    <x v="0"/>
    <n v="0"/>
    <n v="0"/>
    <n v="31"/>
    <n v="59"/>
    <n v="0"/>
    <n v="87.73"/>
    <n v="253.9"/>
    <m/>
    <n v="67.376989053363516"/>
    <n v="317.3874512882154"/>
    <n v="0"/>
    <n v="105811.24073000002"/>
    <n v="306229.04390000005"/>
    <n v="0"/>
    <n v="81263.453874250801"/>
    <n v="382801.32238616794"/>
  </r>
  <r>
    <s v="Sistema de Compensação"/>
    <x v="0"/>
    <x v="1"/>
    <x v="2"/>
    <x v="0"/>
    <x v="0"/>
    <x v="0"/>
    <x v="0"/>
    <x v="3"/>
    <n v="0"/>
    <n v="0"/>
    <n v="34.656999999999996"/>
    <n v="34.656999999999996"/>
    <n v="34.656999999999996"/>
    <n v="34.656999999999996"/>
    <n v="0"/>
    <x v="0"/>
    <n v="0"/>
    <n v="0"/>
    <n v="31"/>
    <n v="59"/>
    <n v="0"/>
    <n v="87.73"/>
    <n v="253.9"/>
    <m/>
    <n v="67.376989053363516"/>
    <n v="317.3874512882154"/>
    <n v="0"/>
    <n v="3040.4586099999997"/>
    <n v="8799.4123"/>
    <n v="0"/>
    <n v="2335.0843096224194"/>
    <n v="10999.696899295681"/>
  </r>
  <r>
    <s v="Sistema Isolado - Regular"/>
    <x v="0"/>
    <x v="1"/>
    <x v="2"/>
    <x v="0"/>
    <x v="0"/>
    <x v="0"/>
    <x v="0"/>
    <x v="4"/>
    <n v="0"/>
    <n v="0"/>
    <n v="1266.954"/>
    <n v="1266.954"/>
    <n v="1266.954"/>
    <n v="1266.954"/>
    <n v="0"/>
    <x v="0"/>
    <n v="0"/>
    <n v="0"/>
    <n v="31"/>
    <n v="59"/>
    <n v="0"/>
    <n v="87.73"/>
    <n v="253.9"/>
    <m/>
    <n v="67.376989053363516"/>
    <n v="317.3874512882154"/>
    <n v="0"/>
    <n v="111149.87442000001"/>
    <n v="321679.62060000002"/>
    <n v="0"/>
    <n v="85363.545789115116"/>
    <n v="402115.30095940962"/>
  </r>
  <r>
    <s v="Sistema de Compensação"/>
    <x v="0"/>
    <x v="1"/>
    <x v="2"/>
    <x v="0"/>
    <x v="0"/>
    <x v="0"/>
    <x v="0"/>
    <x v="4"/>
    <n v="0"/>
    <n v="0"/>
    <n v="41.359000000000002"/>
    <n v="41.359000000000002"/>
    <n v="41.359000000000002"/>
    <n v="41.359000000000002"/>
    <n v="0"/>
    <x v="0"/>
    <n v="0"/>
    <n v="0"/>
    <n v="31"/>
    <n v="59"/>
    <n v="0"/>
    <n v="87.73"/>
    <n v="253.9"/>
    <m/>
    <n v="67.376989053363516"/>
    <n v="317.3874512882154"/>
    <n v="0"/>
    <n v="3628.4250700000002"/>
    <n v="10501.0501"/>
    <n v="0"/>
    <n v="2786.6448902580619"/>
    <n v="13126.827597829302"/>
  </r>
  <r>
    <s v="Sistema Isolado - Regular"/>
    <x v="0"/>
    <x v="1"/>
    <x v="2"/>
    <x v="0"/>
    <x v="0"/>
    <x v="0"/>
    <x v="0"/>
    <x v="5"/>
    <n v="0"/>
    <n v="0"/>
    <n v="1266.954"/>
    <n v="1266.954"/>
    <n v="1266.954"/>
    <n v="1266.954"/>
    <n v="0"/>
    <x v="0"/>
    <n v="0"/>
    <n v="0"/>
    <n v="31"/>
    <n v="59"/>
    <n v="0"/>
    <n v="87.73"/>
    <n v="253.9"/>
    <m/>
    <n v="67.376989053363516"/>
    <n v="317.3874512882154"/>
    <n v="0"/>
    <n v="111149.87442000001"/>
    <n v="321679.62060000002"/>
    <n v="0"/>
    <n v="85363.545789115116"/>
    <n v="402115.30095940962"/>
  </r>
  <r>
    <s v="Sistema de Compensação"/>
    <x v="0"/>
    <x v="1"/>
    <x v="2"/>
    <x v="0"/>
    <x v="0"/>
    <x v="0"/>
    <x v="0"/>
    <x v="5"/>
    <n v="0"/>
    <n v="0"/>
    <n v="41.359000000000002"/>
    <n v="41.359000000000002"/>
    <n v="41.359000000000002"/>
    <n v="41.359000000000002"/>
    <n v="0"/>
    <x v="0"/>
    <n v="0"/>
    <n v="0"/>
    <n v="31"/>
    <n v="59"/>
    <n v="0"/>
    <n v="87.73"/>
    <n v="253.9"/>
    <m/>
    <n v="67.376989053363516"/>
    <n v="317.3874512882154"/>
    <n v="0"/>
    <n v="3628.4250700000002"/>
    <n v="10501.0501"/>
    <n v="0"/>
    <n v="2786.6448902580619"/>
    <n v="13126.827597829302"/>
  </r>
  <r>
    <s v="Sistema Isolado - Regular"/>
    <x v="0"/>
    <x v="1"/>
    <x v="2"/>
    <x v="0"/>
    <x v="0"/>
    <x v="0"/>
    <x v="0"/>
    <x v="6"/>
    <n v="0"/>
    <n v="0"/>
    <n v="1117.973"/>
    <n v="1117.973"/>
    <n v="1117.973"/>
    <n v="1117.973"/>
    <n v="0"/>
    <x v="0"/>
    <n v="0"/>
    <n v="0"/>
    <n v="31"/>
    <n v="59"/>
    <n v="0"/>
    <n v="87.73"/>
    <n v="253.9"/>
    <m/>
    <n v="67.376989053363516"/>
    <n v="317.3874512882154"/>
    <n v="0"/>
    <n v="98079.771290000004"/>
    <n v="283853.34470000002"/>
    <n v="0"/>
    <n v="75325.654582955962"/>
    <n v="354830.60107904003"/>
  </r>
  <r>
    <s v="Sistema Isolado - Refaturamento"/>
    <x v="0"/>
    <x v="1"/>
    <x v="2"/>
    <x v="0"/>
    <x v="0"/>
    <x v="0"/>
    <x v="0"/>
    <x v="6"/>
    <n v="0"/>
    <n v="0"/>
    <n v="1.1319999999999999"/>
    <n v="1.1319999999999999"/>
    <n v="1.1319999999999999"/>
    <n v="1.1319999999999999"/>
    <n v="0"/>
    <x v="0"/>
    <n v="0"/>
    <n v="0"/>
    <n v="31"/>
    <n v="59"/>
    <n v="0"/>
    <n v="87.73"/>
    <n v="253.9"/>
    <m/>
    <n v="67.376989053363516"/>
    <n v="317.3874512882154"/>
    <n v="0"/>
    <n v="99.310359999999989"/>
    <n v="287.41479999999996"/>
    <n v="0"/>
    <n v="76.270751608407494"/>
    <n v="359.28259485825981"/>
  </r>
  <r>
    <s v="Sistema de Compensação"/>
    <x v="0"/>
    <x v="1"/>
    <x v="2"/>
    <x v="0"/>
    <x v="0"/>
    <x v="0"/>
    <x v="0"/>
    <x v="6"/>
    <n v="0"/>
    <n v="0"/>
    <n v="184.15600000000001"/>
    <n v="184.15600000000001"/>
    <n v="184.15600000000001"/>
    <n v="184.15600000000001"/>
    <n v="0"/>
    <x v="0"/>
    <n v="0"/>
    <n v="0"/>
    <n v="31"/>
    <n v="59"/>
    <n v="0"/>
    <n v="87.73"/>
    <n v="253.9"/>
    <m/>
    <n v="67.376989053363516"/>
    <n v="317.3874512882154"/>
    <n v="0"/>
    <n v="16156.005880000001"/>
    <n v="46757.208400000003"/>
    <n v="0"/>
    <n v="12407.876796111212"/>
    <n v="58448.803479432594"/>
  </r>
  <r>
    <s v="Sistema Isolado - Regular"/>
    <x v="0"/>
    <x v="1"/>
    <x v="2"/>
    <x v="0"/>
    <x v="0"/>
    <x v="0"/>
    <x v="0"/>
    <x v="7"/>
    <n v="0"/>
    <n v="0"/>
    <n v="1032.2460000000001"/>
    <n v="1032.2460000000001"/>
    <n v="1032.2460000000001"/>
    <n v="1032.2460000000001"/>
    <n v="0"/>
    <x v="0"/>
    <n v="0"/>
    <n v="0"/>
    <n v="31"/>
    <n v="59"/>
    <n v="0"/>
    <n v="87.73"/>
    <n v="253.9"/>
    <m/>
    <n v="67.376989053363516"/>
    <n v="317.3874512882154"/>
    <n v="0"/>
    <n v="90558.941580000013"/>
    <n v="262087.25940000004"/>
    <n v="0"/>
    <n v="69549.627442378289"/>
    <n v="327621.92704245524"/>
  </r>
  <r>
    <s v="Sistema de Compensação"/>
    <x v="0"/>
    <x v="1"/>
    <x v="2"/>
    <x v="0"/>
    <x v="0"/>
    <x v="0"/>
    <x v="0"/>
    <x v="7"/>
    <n v="0"/>
    <n v="0"/>
    <n v="41.743000000000002"/>
    <n v="41.743000000000002"/>
    <n v="41.743000000000002"/>
    <n v="41.743000000000002"/>
    <n v="0"/>
    <x v="0"/>
    <n v="0"/>
    <n v="0"/>
    <n v="31"/>
    <n v="59"/>
    <n v="0"/>
    <n v="87.73"/>
    <n v="253.9"/>
    <m/>
    <n v="67.376989053363516"/>
    <n v="317.3874512882154"/>
    <n v="0"/>
    <n v="3662.1133900000004"/>
    <n v="10598.547700000001"/>
    <n v="0"/>
    <n v="2812.5176540545535"/>
    <n v="13248.704379123976"/>
  </r>
  <r>
    <s v="Sistema Isolado - Regular"/>
    <x v="0"/>
    <x v="1"/>
    <x v="2"/>
    <x v="0"/>
    <x v="0"/>
    <x v="0"/>
    <x v="0"/>
    <x v="8"/>
    <n v="0"/>
    <n v="0"/>
    <n v="1069.99"/>
    <n v="1069.99"/>
    <n v="1069.99"/>
    <n v="1069.99"/>
    <n v="0"/>
    <x v="0"/>
    <n v="0"/>
    <n v="0"/>
    <n v="31"/>
    <n v="59"/>
    <n v="0"/>
    <n v="87.73"/>
    <n v="253.9"/>
    <m/>
    <n v="67.376989053363516"/>
    <n v="317.3874512882154"/>
    <n v="0"/>
    <n v="93870.222699999998"/>
    <n v="271670.46100000001"/>
    <n v="0"/>
    <n v="72092.704517208433"/>
    <n v="339601.3990038776"/>
  </r>
  <r>
    <s v="Sistema de Compensação"/>
    <x v="0"/>
    <x v="1"/>
    <x v="2"/>
    <x v="0"/>
    <x v="0"/>
    <x v="0"/>
    <x v="0"/>
    <x v="8"/>
    <n v="0"/>
    <n v="0"/>
    <n v="38.92"/>
    <n v="38.92"/>
    <n v="38.92"/>
    <n v="38.92"/>
    <n v="0"/>
    <x v="0"/>
    <n v="0"/>
    <n v="0"/>
    <n v="31"/>
    <n v="59"/>
    <n v="0"/>
    <n v="87.73"/>
    <n v="253.9"/>
    <m/>
    <n v="67.376989053363516"/>
    <n v="317.3874512882154"/>
    <n v="0"/>
    <n v="3414.4516000000003"/>
    <n v="9881.7880000000005"/>
    <n v="0"/>
    <n v="2622.3124139569081"/>
    <n v="12352.719604137345"/>
  </r>
  <r>
    <s v="Sistema Isolado - Regular"/>
    <x v="0"/>
    <x v="1"/>
    <x v="2"/>
    <x v="0"/>
    <x v="0"/>
    <x v="0"/>
    <x v="0"/>
    <x v="9"/>
    <n v="0"/>
    <n v="0"/>
    <n v="1178.4169999999999"/>
    <n v="1178.4169999999999"/>
    <n v="1178.4169999999999"/>
    <n v="1178.4169999999999"/>
    <n v="0"/>
    <x v="0"/>
    <n v="0"/>
    <n v="0"/>
    <n v="31"/>
    <n v="59"/>
    <n v="0"/>
    <n v="87.73"/>
    <n v="253.9"/>
    <m/>
    <n v="67.376989053363516"/>
    <n v="317.3874512882154"/>
    <n v="0"/>
    <n v="103382.52340999999"/>
    <n v="299200.07629999996"/>
    <n v="0"/>
    <n v="79398.189309297464"/>
    <n v="374014.76818470488"/>
  </r>
  <r>
    <s v="Sistema de Compensação"/>
    <x v="0"/>
    <x v="1"/>
    <x v="2"/>
    <x v="0"/>
    <x v="0"/>
    <x v="0"/>
    <x v="0"/>
    <x v="9"/>
    <n v="0"/>
    <n v="0"/>
    <n v="40.853999999999999"/>
    <n v="40.853999999999999"/>
    <n v="40.853999999999999"/>
    <n v="40.853999999999999"/>
    <n v="0"/>
    <x v="0"/>
    <n v="0"/>
    <n v="0"/>
    <n v="31"/>
    <n v="59"/>
    <n v="0"/>
    <n v="87.73"/>
    <n v="253.9"/>
    <m/>
    <n v="67.376989053363516"/>
    <n v="317.3874512882154"/>
    <n v="0"/>
    <n v="3584.1214199999999"/>
    <n v="10372.830599999999"/>
    <n v="0"/>
    <n v="2752.6195107861131"/>
    <n v="12966.546934928752"/>
  </r>
  <r>
    <s v="Sistema Isolado - Regular"/>
    <x v="0"/>
    <x v="1"/>
    <x v="2"/>
    <x v="0"/>
    <x v="0"/>
    <x v="0"/>
    <x v="0"/>
    <x v="10"/>
    <n v="0"/>
    <n v="0"/>
    <n v="1164.867"/>
    <n v="1164.867"/>
    <n v="1164.867"/>
    <n v="1164.867"/>
    <n v="0"/>
    <x v="0"/>
    <n v="0"/>
    <n v="0"/>
    <n v="31"/>
    <n v="59"/>
    <n v="0"/>
    <n v="87.73"/>
    <n v="253.9"/>
    <m/>
    <n v="67.376989053363516"/>
    <n v="317.3874512882154"/>
    <n v="0"/>
    <n v="102193.78191000001"/>
    <n v="295759.73129999998"/>
    <n v="0"/>
    <n v="78485.231107624393"/>
    <n v="369714.16821974958"/>
  </r>
  <r>
    <s v="Sistema de Compensação"/>
    <x v="0"/>
    <x v="1"/>
    <x v="2"/>
    <x v="0"/>
    <x v="0"/>
    <x v="0"/>
    <x v="0"/>
    <x v="10"/>
    <n v="0"/>
    <n v="0"/>
    <n v="39.356999999999999"/>
    <n v="39.356999999999999"/>
    <n v="39.356999999999999"/>
    <n v="39.356999999999999"/>
    <n v="0"/>
    <x v="0"/>
    <n v="0"/>
    <n v="0"/>
    <n v="31"/>
    <n v="59"/>
    <n v="0"/>
    <n v="87.73"/>
    <n v="253.9"/>
    <m/>
    <n v="67.376989053363516"/>
    <n v="317.3874512882154"/>
    <n v="0"/>
    <n v="3452.7896100000003"/>
    <n v="9992.7422999999999"/>
    <n v="0"/>
    <n v="2651.756158173228"/>
    <n v="12491.417920350294"/>
  </r>
  <r>
    <s v="PROJETADO"/>
    <x v="0"/>
    <x v="1"/>
    <x v="2"/>
    <x v="0"/>
    <x v="0"/>
    <x v="0"/>
    <x v="0"/>
    <x v="11"/>
    <n v="0"/>
    <n v="0"/>
    <n v="1164.867"/>
    <n v="1164.867"/>
    <n v="1164.867"/>
    <n v="1164.867"/>
    <n v="0"/>
    <x v="0"/>
    <n v="0"/>
    <n v="0"/>
    <n v="31"/>
    <n v="59"/>
    <n v="0"/>
    <n v="87.73"/>
    <n v="253.9"/>
    <m/>
    <n v="67.376989053363516"/>
    <n v="317.3874512882154"/>
    <n v="0"/>
    <n v="102193.78191000001"/>
    <n v="295759.73129999998"/>
    <n v="0"/>
    <n v="78485.231107624393"/>
    <n v="369714.16821974958"/>
  </r>
  <r>
    <s v="PROJETADO"/>
    <x v="0"/>
    <x v="1"/>
    <x v="2"/>
    <x v="0"/>
    <x v="0"/>
    <x v="0"/>
    <x v="0"/>
    <x v="11"/>
    <n v="0"/>
    <n v="0"/>
    <n v="39.356999999999999"/>
    <n v="39.356999999999999"/>
    <n v="39.356999999999999"/>
    <n v="39.356999999999999"/>
    <n v="0"/>
    <x v="0"/>
    <n v="0"/>
    <n v="0"/>
    <n v="31"/>
    <n v="59"/>
    <n v="0"/>
    <n v="87.73"/>
    <n v="253.9"/>
    <m/>
    <n v="67.376989053363516"/>
    <n v="317.3874512882154"/>
    <n v="0"/>
    <n v="3452.7896100000003"/>
    <n v="9992.7422999999999"/>
    <n v="0"/>
    <n v="2651.756158173228"/>
    <n v="12491.417920350294"/>
  </r>
  <r>
    <s v="Sistema Isolado - Regular"/>
    <x v="0"/>
    <x v="1"/>
    <x v="2"/>
    <x v="0"/>
    <x v="0"/>
    <x v="0"/>
    <x v="2"/>
    <x v="0"/>
    <n v="10275"/>
    <n v="10275"/>
    <n v="0"/>
    <n v="0"/>
    <n v="0"/>
    <n v="0"/>
    <n v="62"/>
    <x v="0"/>
    <n v="0"/>
    <n v="18"/>
    <n v="0"/>
    <n v="0"/>
    <n v="14.64"/>
    <n v="0"/>
    <n v="0"/>
    <n v="19.024476785546895"/>
    <m/>
    <m/>
    <n v="150426"/>
    <n v="0"/>
    <n v="0"/>
    <n v="195476.49897149435"/>
    <n v="0"/>
    <n v="0"/>
  </r>
  <r>
    <s v="Sistema Isolado - Refaturamento"/>
    <x v="0"/>
    <x v="1"/>
    <x v="2"/>
    <x v="0"/>
    <x v="0"/>
    <x v="0"/>
    <x v="2"/>
    <x v="0"/>
    <n v="-75"/>
    <n v="-75"/>
    <n v="0"/>
    <n v="0"/>
    <n v="0"/>
    <n v="0"/>
    <n v="-1"/>
    <x v="0"/>
    <n v="0"/>
    <n v="18"/>
    <n v="0"/>
    <n v="0"/>
    <n v="14.64"/>
    <n v="0"/>
    <n v="0"/>
    <n v="19.024476785546895"/>
    <m/>
    <m/>
    <n v="-1098"/>
    <n v="0"/>
    <n v="0"/>
    <n v="-1426.8357589160171"/>
    <n v="0"/>
    <n v="0"/>
  </r>
  <r>
    <s v="Sistema de Compensação"/>
    <x v="0"/>
    <x v="1"/>
    <x v="2"/>
    <x v="0"/>
    <x v="0"/>
    <x v="0"/>
    <x v="2"/>
    <x v="0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1"/>
    <n v="9610"/>
    <n v="9610"/>
    <n v="0"/>
    <n v="0"/>
    <n v="0"/>
    <n v="0"/>
    <n v="63"/>
    <x v="0"/>
    <n v="0"/>
    <n v="18"/>
    <n v="0"/>
    <n v="0"/>
    <n v="14.64"/>
    <n v="0"/>
    <n v="0"/>
    <n v="19.024476785546895"/>
    <m/>
    <m/>
    <n v="140690.4"/>
    <n v="0"/>
    <n v="0"/>
    <n v="182825.22190910566"/>
    <n v="0"/>
    <n v="0"/>
  </r>
  <r>
    <s v="Sistema Isolado - Refaturamento"/>
    <x v="0"/>
    <x v="1"/>
    <x v="2"/>
    <x v="0"/>
    <x v="0"/>
    <x v="0"/>
    <x v="2"/>
    <x v="1"/>
    <n v="-763"/>
    <n v="-763"/>
    <n v="0"/>
    <n v="0"/>
    <n v="0"/>
    <n v="0"/>
    <n v="0"/>
    <x v="0"/>
    <n v="0"/>
    <n v="18"/>
    <n v="0"/>
    <n v="0"/>
    <n v="14.64"/>
    <n v="0"/>
    <n v="0"/>
    <n v="19.024476785546895"/>
    <m/>
    <m/>
    <n v="-11170.32"/>
    <n v="0"/>
    <n v="0"/>
    <n v="-14515.675787372282"/>
    <n v="0"/>
    <n v="0"/>
  </r>
  <r>
    <s v="Sistema de Compensação"/>
    <x v="0"/>
    <x v="1"/>
    <x v="2"/>
    <x v="0"/>
    <x v="0"/>
    <x v="0"/>
    <x v="2"/>
    <x v="1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2"/>
    <n v="10277"/>
    <n v="10277"/>
    <n v="0"/>
    <n v="0"/>
    <n v="0"/>
    <n v="0"/>
    <n v="63"/>
    <x v="0"/>
    <n v="0"/>
    <n v="18"/>
    <n v="0"/>
    <n v="0"/>
    <n v="14.64"/>
    <n v="0"/>
    <n v="0"/>
    <n v="19.024476785546895"/>
    <m/>
    <m/>
    <n v="150455.28"/>
    <n v="0"/>
    <n v="0"/>
    <n v="195514.54792506545"/>
    <n v="0"/>
    <n v="0"/>
  </r>
  <r>
    <s v="Sistema de Compensação"/>
    <x v="0"/>
    <x v="1"/>
    <x v="2"/>
    <x v="0"/>
    <x v="0"/>
    <x v="0"/>
    <x v="2"/>
    <x v="2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3"/>
    <n v="10107"/>
    <n v="10107"/>
    <n v="0"/>
    <n v="0"/>
    <n v="0"/>
    <n v="0"/>
    <n v="65"/>
    <x v="0"/>
    <n v="0"/>
    <n v="18"/>
    <n v="0"/>
    <n v="0"/>
    <n v="14.64"/>
    <n v="0"/>
    <n v="0"/>
    <n v="19.024476785546895"/>
    <m/>
    <m/>
    <n v="147966.48000000001"/>
    <n v="0"/>
    <n v="0"/>
    <n v="192280.38687152247"/>
    <n v="0"/>
    <n v="0"/>
  </r>
  <r>
    <s v="Sistema Isolado - Refaturamento"/>
    <x v="0"/>
    <x v="1"/>
    <x v="2"/>
    <x v="0"/>
    <x v="0"/>
    <x v="0"/>
    <x v="2"/>
    <x v="3"/>
    <n v="-450"/>
    <n v="-450"/>
    <n v="0"/>
    <n v="0"/>
    <n v="0"/>
    <n v="0"/>
    <n v="0"/>
    <x v="0"/>
    <n v="0"/>
    <n v="18"/>
    <n v="0"/>
    <n v="0"/>
    <n v="14.64"/>
    <n v="0"/>
    <n v="0"/>
    <n v="19.024476785546895"/>
    <m/>
    <m/>
    <n v="-6588"/>
    <n v="0"/>
    <n v="0"/>
    <n v="-8561.014553496103"/>
    <n v="0"/>
    <n v="0"/>
  </r>
  <r>
    <s v="Sistema de Compensação"/>
    <x v="0"/>
    <x v="1"/>
    <x v="2"/>
    <x v="0"/>
    <x v="0"/>
    <x v="0"/>
    <x v="2"/>
    <x v="3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4"/>
    <n v="10235"/>
    <n v="10235"/>
    <n v="0"/>
    <n v="0"/>
    <n v="0"/>
    <n v="0"/>
    <n v="66"/>
    <x v="0"/>
    <n v="0"/>
    <n v="18"/>
    <n v="0"/>
    <n v="0"/>
    <n v="14.64"/>
    <n v="0"/>
    <n v="0"/>
    <n v="19.024476785546895"/>
    <m/>
    <m/>
    <n v="149840.4"/>
    <n v="0"/>
    <n v="0"/>
    <n v="194715.51990007248"/>
    <n v="0"/>
    <n v="0"/>
  </r>
  <r>
    <s v="Sistema de Compensação"/>
    <x v="0"/>
    <x v="1"/>
    <x v="2"/>
    <x v="0"/>
    <x v="0"/>
    <x v="0"/>
    <x v="2"/>
    <x v="4"/>
    <n v="468"/>
    <n v="468"/>
    <n v="0"/>
    <n v="0"/>
    <n v="0"/>
    <n v="0"/>
    <n v="3"/>
    <x v="0"/>
    <n v="0"/>
    <n v="18"/>
    <n v="0"/>
    <n v="0"/>
    <n v="14.64"/>
    <n v="0"/>
    <n v="0"/>
    <n v="19.024476785546895"/>
    <m/>
    <m/>
    <n v="6851.52"/>
    <n v="0"/>
    <n v="0"/>
    <n v="8903.4551356359461"/>
    <n v="0"/>
    <n v="0"/>
  </r>
  <r>
    <s v="Sistema Isolado - Regular"/>
    <x v="0"/>
    <x v="1"/>
    <x v="2"/>
    <x v="0"/>
    <x v="0"/>
    <x v="0"/>
    <x v="2"/>
    <x v="5"/>
    <n v="10235"/>
    <n v="10235"/>
    <n v="0"/>
    <n v="0"/>
    <n v="0"/>
    <n v="0"/>
    <n v="66"/>
    <x v="0"/>
    <n v="0"/>
    <n v="18"/>
    <n v="0"/>
    <n v="0"/>
    <n v="14.64"/>
    <n v="0"/>
    <n v="0"/>
    <n v="19.024476785546895"/>
    <m/>
    <m/>
    <n v="149840.4"/>
    <n v="0"/>
    <n v="0"/>
    <n v="194715.51990007248"/>
    <n v="0"/>
    <n v="0"/>
  </r>
  <r>
    <s v="Sistema de Compensação"/>
    <x v="0"/>
    <x v="1"/>
    <x v="2"/>
    <x v="0"/>
    <x v="0"/>
    <x v="0"/>
    <x v="2"/>
    <x v="5"/>
    <n v="468"/>
    <n v="468"/>
    <n v="0"/>
    <n v="0"/>
    <n v="0"/>
    <n v="0"/>
    <n v="3"/>
    <x v="0"/>
    <n v="0"/>
    <n v="18"/>
    <n v="0"/>
    <n v="0"/>
    <n v="14.64"/>
    <n v="0"/>
    <n v="0"/>
    <n v="19.024476785546895"/>
    <m/>
    <m/>
    <n v="6851.52"/>
    <n v="0"/>
    <n v="0"/>
    <n v="8903.4551356359461"/>
    <n v="0"/>
    <n v="0"/>
  </r>
  <r>
    <s v="Sistema Isolado - Regular"/>
    <x v="0"/>
    <x v="1"/>
    <x v="2"/>
    <x v="0"/>
    <x v="0"/>
    <x v="0"/>
    <x v="2"/>
    <x v="6"/>
    <n v="10327"/>
    <n v="10327"/>
    <n v="0"/>
    <n v="0"/>
    <n v="0"/>
    <n v="0"/>
    <n v="67"/>
    <x v="0"/>
    <n v="0"/>
    <n v="18"/>
    <n v="0"/>
    <n v="0"/>
    <n v="14.64"/>
    <n v="0"/>
    <n v="0"/>
    <n v="19.024476785546895"/>
    <m/>
    <m/>
    <n v="151187.28"/>
    <n v="0"/>
    <n v="0"/>
    <n v="196465.77176434279"/>
    <n v="0"/>
    <n v="0"/>
  </r>
  <r>
    <s v="Sistema Isolado - Refaturamento"/>
    <x v="0"/>
    <x v="1"/>
    <x v="2"/>
    <x v="0"/>
    <x v="0"/>
    <x v="0"/>
    <x v="2"/>
    <x v="6"/>
    <n v="-600"/>
    <n v="-600"/>
    <n v="0"/>
    <n v="0"/>
    <n v="0"/>
    <n v="0"/>
    <n v="0"/>
    <x v="0"/>
    <n v="0"/>
    <n v="18"/>
    <n v="0"/>
    <n v="0"/>
    <n v="14.64"/>
    <n v="0"/>
    <n v="0"/>
    <n v="19.024476785546895"/>
    <m/>
    <m/>
    <n v="-8784"/>
    <n v="0"/>
    <n v="0"/>
    <n v="-11414.686071328137"/>
    <n v="0"/>
    <n v="0"/>
  </r>
  <r>
    <s v="Sistema de Compensação"/>
    <x v="0"/>
    <x v="1"/>
    <x v="2"/>
    <x v="0"/>
    <x v="0"/>
    <x v="0"/>
    <x v="2"/>
    <x v="6"/>
    <n v="1860"/>
    <n v="1860"/>
    <n v="0"/>
    <n v="0"/>
    <n v="0"/>
    <n v="0"/>
    <n v="12"/>
    <x v="0"/>
    <n v="0"/>
    <n v="18"/>
    <n v="0"/>
    <n v="0"/>
    <n v="14.64"/>
    <n v="0"/>
    <n v="0"/>
    <n v="19.024476785546895"/>
    <m/>
    <m/>
    <n v="27230.400000000001"/>
    <n v="0"/>
    <n v="0"/>
    <n v="35385.526821117222"/>
    <n v="0"/>
    <n v="0"/>
  </r>
  <r>
    <s v="Sistema Isolado - Regular"/>
    <x v="0"/>
    <x v="1"/>
    <x v="2"/>
    <x v="0"/>
    <x v="0"/>
    <x v="0"/>
    <x v="2"/>
    <x v="7"/>
    <n v="10237"/>
    <n v="10237"/>
    <n v="0"/>
    <n v="0"/>
    <n v="0"/>
    <n v="0"/>
    <n v="67"/>
    <x v="0"/>
    <n v="0"/>
    <n v="18"/>
    <n v="0"/>
    <n v="0"/>
    <n v="14.64"/>
    <n v="0"/>
    <n v="0"/>
    <n v="19.024476785546895"/>
    <m/>
    <m/>
    <n v="149869.68"/>
    <n v="0"/>
    <n v="0"/>
    <n v="194753.56885364358"/>
    <n v="0"/>
    <n v="0"/>
  </r>
  <r>
    <s v="Sistema de Compensação"/>
    <x v="0"/>
    <x v="1"/>
    <x v="2"/>
    <x v="0"/>
    <x v="0"/>
    <x v="0"/>
    <x v="2"/>
    <x v="7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8"/>
    <n v="10565"/>
    <n v="10565"/>
    <n v="0"/>
    <n v="0"/>
    <n v="0"/>
    <n v="0"/>
    <n v="67"/>
    <x v="0"/>
    <n v="0"/>
    <n v="18"/>
    <n v="0"/>
    <n v="0"/>
    <n v="14.64"/>
    <n v="0"/>
    <n v="0"/>
    <n v="19.024476785546895"/>
    <m/>
    <m/>
    <n v="154671.6"/>
    <n v="0"/>
    <n v="0"/>
    <n v="200993.59723930294"/>
    <n v="0"/>
    <n v="0"/>
  </r>
  <r>
    <s v="Sistema de Compensação"/>
    <x v="0"/>
    <x v="1"/>
    <x v="2"/>
    <x v="0"/>
    <x v="0"/>
    <x v="0"/>
    <x v="2"/>
    <x v="8"/>
    <n v="449"/>
    <n v="449"/>
    <n v="0"/>
    <n v="0"/>
    <n v="0"/>
    <n v="0"/>
    <n v="3"/>
    <x v="0"/>
    <n v="0"/>
    <n v="18"/>
    <n v="0"/>
    <n v="0"/>
    <n v="14.64"/>
    <n v="0"/>
    <n v="0"/>
    <n v="19.024476785546895"/>
    <m/>
    <m/>
    <n v="6573.3600000000006"/>
    <n v="0"/>
    <n v="0"/>
    <n v="8541.9900767105555"/>
    <n v="0"/>
    <n v="0"/>
  </r>
  <r>
    <s v="Sistema Isolado - Regular"/>
    <x v="0"/>
    <x v="1"/>
    <x v="2"/>
    <x v="0"/>
    <x v="0"/>
    <x v="0"/>
    <x v="2"/>
    <x v="9"/>
    <n v="10455"/>
    <n v="10455"/>
    <n v="0"/>
    <n v="0"/>
    <n v="0"/>
    <n v="0"/>
    <n v="66"/>
    <x v="0"/>
    <n v="0"/>
    <n v="18"/>
    <n v="0"/>
    <n v="0"/>
    <n v="14.64"/>
    <n v="0"/>
    <n v="0"/>
    <n v="19.024476785546895"/>
    <m/>
    <m/>
    <n v="153061.20000000001"/>
    <n v="0"/>
    <n v="0"/>
    <n v="198900.90479289278"/>
    <n v="0"/>
    <n v="0"/>
  </r>
  <r>
    <s v="Sistema de Compensação"/>
    <x v="0"/>
    <x v="1"/>
    <x v="2"/>
    <x v="0"/>
    <x v="0"/>
    <x v="0"/>
    <x v="2"/>
    <x v="9"/>
    <n v="462"/>
    <n v="462"/>
    <n v="0"/>
    <n v="0"/>
    <n v="0"/>
    <n v="0"/>
    <n v="3"/>
    <x v="0"/>
    <n v="0"/>
    <n v="18"/>
    <n v="0"/>
    <n v="0"/>
    <n v="14.64"/>
    <n v="0"/>
    <n v="0"/>
    <n v="19.024476785546895"/>
    <m/>
    <m/>
    <n v="6763.68"/>
    <n v="0"/>
    <n v="0"/>
    <n v="8789.3082749226651"/>
    <n v="0"/>
    <n v="0"/>
  </r>
  <r>
    <s v="Sistema Isolado - Regular"/>
    <x v="0"/>
    <x v="1"/>
    <x v="2"/>
    <x v="0"/>
    <x v="0"/>
    <x v="0"/>
    <x v="2"/>
    <x v="10"/>
    <n v="10977"/>
    <n v="10977"/>
    <n v="0"/>
    <n v="0"/>
    <n v="0"/>
    <n v="0"/>
    <n v="67"/>
    <x v="0"/>
    <n v="0"/>
    <n v="18"/>
    <n v="0"/>
    <n v="0"/>
    <n v="14.64"/>
    <n v="0"/>
    <n v="0"/>
    <n v="19.024476785546895"/>
    <m/>
    <m/>
    <n v="160703.28"/>
    <n v="0"/>
    <n v="0"/>
    <n v="208831.68167494825"/>
    <n v="0"/>
    <n v="0"/>
  </r>
  <r>
    <s v="Sistema de Compensação"/>
    <x v="0"/>
    <x v="1"/>
    <x v="2"/>
    <x v="0"/>
    <x v="0"/>
    <x v="0"/>
    <x v="2"/>
    <x v="10"/>
    <n v="455"/>
    <n v="455"/>
    <n v="0"/>
    <n v="0"/>
    <n v="0"/>
    <n v="0"/>
    <n v="3"/>
    <x v="0"/>
    <n v="0"/>
    <n v="18"/>
    <n v="0"/>
    <n v="0"/>
    <n v="14.64"/>
    <n v="0"/>
    <n v="0"/>
    <n v="19.024476785546895"/>
    <m/>
    <m/>
    <n v="6661.2"/>
    <n v="0"/>
    <n v="0"/>
    <n v="8656.1369374238366"/>
    <n v="0"/>
    <n v="0"/>
  </r>
  <r>
    <s v="PROJETADO"/>
    <x v="0"/>
    <x v="1"/>
    <x v="2"/>
    <x v="0"/>
    <x v="0"/>
    <x v="0"/>
    <x v="2"/>
    <x v="11"/>
    <n v="10977"/>
    <n v="10977"/>
    <n v="0"/>
    <n v="0"/>
    <n v="0"/>
    <n v="0"/>
    <n v="67"/>
    <x v="0"/>
    <n v="0"/>
    <n v="18"/>
    <n v="0"/>
    <n v="0"/>
    <n v="14.64"/>
    <n v="0"/>
    <n v="0"/>
    <n v="19.024476785546895"/>
    <m/>
    <m/>
    <n v="160703.28"/>
    <n v="0"/>
    <n v="0"/>
    <n v="208831.68167494825"/>
    <n v="0"/>
    <n v="0"/>
  </r>
  <r>
    <s v="PROJETADO"/>
    <x v="0"/>
    <x v="1"/>
    <x v="2"/>
    <x v="0"/>
    <x v="0"/>
    <x v="0"/>
    <x v="2"/>
    <x v="11"/>
    <n v="455"/>
    <n v="455"/>
    <n v="0"/>
    <n v="0"/>
    <n v="0"/>
    <n v="0"/>
    <n v="3"/>
    <x v="0"/>
    <n v="0"/>
    <n v="18"/>
    <n v="0"/>
    <n v="0"/>
    <n v="14.64"/>
    <n v="0"/>
    <n v="0"/>
    <n v="19.024476785546895"/>
    <m/>
    <m/>
    <n v="6661.2"/>
    <n v="0"/>
    <n v="0"/>
    <n v="8656.1369374238366"/>
    <n v="0"/>
    <n v="0"/>
  </r>
  <r>
    <s v="Sistema Isolado - Regular"/>
    <x v="0"/>
    <x v="1"/>
    <x v="2"/>
    <x v="0"/>
    <x v="0"/>
    <x v="0"/>
    <x v="1"/>
    <x v="0"/>
    <n v="0"/>
    <n v="0"/>
    <n v="40.786000000000001"/>
    <n v="40.786000000000001"/>
    <n v="40.786000000000001"/>
    <n v="40.786000000000001"/>
    <n v="0"/>
    <x v="0"/>
    <n v="0"/>
    <n v="0"/>
    <n v="11"/>
    <n v="71"/>
    <n v="0"/>
    <n v="1155.51"/>
    <n v="433.77"/>
    <m/>
    <n v="1456.3363071141353"/>
    <n v="542.84414704984056"/>
    <n v="0"/>
    <n v="47128.630860000005"/>
    <n v="17691.74322"/>
    <n v="0"/>
    <n v="59398.13262195712"/>
    <n v="22140.441381574798"/>
  </r>
  <r>
    <s v="Sistema de Compensação"/>
    <x v="0"/>
    <x v="1"/>
    <x v="2"/>
    <x v="0"/>
    <x v="0"/>
    <x v="0"/>
    <x v="1"/>
    <x v="0"/>
    <n v="0"/>
    <n v="0"/>
    <n v="4.7969999999999997"/>
    <n v="4.7969999999999997"/>
    <n v="4.7969999999999997"/>
    <n v="4.7969999999999997"/>
    <n v="0"/>
    <x v="0"/>
    <n v="0"/>
    <n v="0"/>
    <n v="11"/>
    <n v="71"/>
    <n v="0"/>
    <n v="1155.51"/>
    <n v="433.77"/>
    <m/>
    <n v="1456.3363071141353"/>
    <n v="542.84414704984056"/>
    <n v="0"/>
    <n v="5542.9814699999997"/>
    <n v="2080.7946899999997"/>
    <n v="0"/>
    <n v="6986.0452652265067"/>
    <n v="2604.0233733980849"/>
  </r>
  <r>
    <s v="Sistema Isolado - Regular"/>
    <x v="0"/>
    <x v="1"/>
    <x v="2"/>
    <x v="0"/>
    <x v="0"/>
    <x v="0"/>
    <x v="1"/>
    <x v="1"/>
    <n v="0"/>
    <n v="0"/>
    <n v="44.542000000000002"/>
    <n v="44.542000000000002"/>
    <n v="44.542000000000002"/>
    <n v="44.542000000000002"/>
    <n v="0"/>
    <x v="0"/>
    <n v="0"/>
    <n v="0"/>
    <n v="11"/>
    <n v="71"/>
    <n v="0"/>
    <n v="1155.51"/>
    <n v="433.77"/>
    <m/>
    <n v="1456.3363071141353"/>
    <n v="542.84414704984056"/>
    <n v="0"/>
    <n v="51468.726419999999"/>
    <n v="19320.983339999999"/>
    <n v="0"/>
    <n v="64868.131791477812"/>
    <n v="24179.363997893997"/>
  </r>
  <r>
    <s v="Sistema de Compensação"/>
    <x v="0"/>
    <x v="1"/>
    <x v="2"/>
    <x v="0"/>
    <x v="0"/>
    <x v="0"/>
    <x v="1"/>
    <x v="1"/>
    <n v="0"/>
    <n v="0"/>
    <n v="5.6280000000000001"/>
    <n v="5.6280000000000001"/>
    <n v="5.6280000000000001"/>
    <n v="5.6280000000000001"/>
    <n v="0"/>
    <x v="0"/>
    <n v="0"/>
    <n v="0"/>
    <n v="11"/>
    <n v="71"/>
    <n v="0"/>
    <n v="1155.51"/>
    <n v="433.77"/>
    <m/>
    <n v="1456.3363071141353"/>
    <n v="542.84414704984056"/>
    <n v="0"/>
    <n v="6503.2102800000002"/>
    <n v="2441.25756"/>
    <n v="0"/>
    <n v="8196.260736438353"/>
    <n v="3055.1268595965025"/>
  </r>
  <r>
    <s v="Sistema Isolado - Regular"/>
    <x v="0"/>
    <x v="1"/>
    <x v="2"/>
    <x v="0"/>
    <x v="0"/>
    <x v="0"/>
    <x v="1"/>
    <x v="2"/>
    <n v="0"/>
    <n v="0"/>
    <n v="41.594000000000001"/>
    <n v="41.594000000000001"/>
    <n v="41.594000000000001"/>
    <n v="41.594000000000001"/>
    <n v="0"/>
    <x v="0"/>
    <n v="0"/>
    <n v="0"/>
    <n v="11"/>
    <n v="71"/>
    <n v="0"/>
    <n v="1155.51"/>
    <n v="433.77"/>
    <m/>
    <n v="1456.3363071141353"/>
    <n v="542.84414704984056"/>
    <n v="0"/>
    <n v="48062.282940000005"/>
    <n v="18042.229380000001"/>
    <n v="0"/>
    <n v="60574.852358105345"/>
    <n v="22579.059452391069"/>
  </r>
  <r>
    <s v="Sistema de Compensação"/>
    <x v="0"/>
    <x v="1"/>
    <x v="2"/>
    <x v="0"/>
    <x v="0"/>
    <x v="0"/>
    <x v="1"/>
    <x v="2"/>
    <n v="0"/>
    <n v="0"/>
    <n v="4.9870000000000001"/>
    <n v="4.9870000000000001"/>
    <n v="4.9870000000000001"/>
    <n v="4.9870000000000001"/>
    <n v="0"/>
    <x v="0"/>
    <n v="0"/>
    <n v="0"/>
    <n v="11"/>
    <n v="71"/>
    <n v="0"/>
    <n v="1155.51"/>
    <n v="433.77"/>
    <m/>
    <n v="1456.3363071141353"/>
    <n v="542.84414704984056"/>
    <n v="0"/>
    <n v="5762.52837"/>
    <n v="2163.21099"/>
    <n v="0"/>
    <n v="7262.7491635781926"/>
    <n v="2707.1637613375551"/>
  </r>
  <r>
    <s v="Sistema Isolado - Regular"/>
    <x v="0"/>
    <x v="1"/>
    <x v="2"/>
    <x v="0"/>
    <x v="0"/>
    <x v="0"/>
    <x v="1"/>
    <x v="3"/>
    <n v="0"/>
    <n v="0"/>
    <n v="38.253"/>
    <n v="38.253"/>
    <n v="38.253"/>
    <n v="38.253"/>
    <n v="0"/>
    <x v="0"/>
    <n v="0"/>
    <n v="0"/>
    <n v="11"/>
    <n v="71"/>
    <n v="0"/>
    <n v="1155.51"/>
    <n v="433.77"/>
    <m/>
    <n v="1456.3363071141353"/>
    <n v="542.84414704984056"/>
    <n v="0"/>
    <n v="44201.724029999998"/>
    <n v="16593.003809999998"/>
    <n v="0"/>
    <n v="55709.232756037018"/>
    <n v="20765.417157097552"/>
  </r>
  <r>
    <s v="Sistema de Compensação"/>
    <x v="0"/>
    <x v="1"/>
    <x v="2"/>
    <x v="0"/>
    <x v="0"/>
    <x v="0"/>
    <x v="1"/>
    <x v="3"/>
    <n v="0"/>
    <n v="0"/>
    <n v="5.3239999999999998"/>
    <n v="5.3239999999999998"/>
    <n v="5.3239999999999998"/>
    <n v="5.3239999999999998"/>
    <n v="0"/>
    <x v="0"/>
    <n v="0"/>
    <n v="0"/>
    <n v="11"/>
    <n v="71"/>
    <n v="0"/>
    <n v="1155.51"/>
    <n v="433.77"/>
    <m/>
    <n v="1456.3363071141353"/>
    <n v="542.84414704984056"/>
    <n v="0"/>
    <n v="6151.9352399999998"/>
    <n v="2309.3914799999998"/>
    <n v="0"/>
    <n v="7753.5344990756557"/>
    <n v="2890.1022388933511"/>
  </r>
  <r>
    <s v="Sistema Isolado - Regular"/>
    <x v="0"/>
    <x v="1"/>
    <x v="2"/>
    <x v="0"/>
    <x v="0"/>
    <x v="0"/>
    <x v="1"/>
    <x v="4"/>
    <n v="0"/>
    <n v="0"/>
    <n v="44.917000000000002"/>
    <n v="44.917000000000002"/>
    <n v="44.917000000000002"/>
    <n v="44.917000000000002"/>
    <n v="0"/>
    <x v="0"/>
    <n v="0"/>
    <n v="0"/>
    <n v="11"/>
    <n v="71"/>
    <n v="0"/>
    <n v="1155.51"/>
    <n v="433.77"/>
    <m/>
    <n v="1456.3363071141353"/>
    <n v="542.84414704984056"/>
    <n v="0"/>
    <n v="51902.042670000003"/>
    <n v="19483.647089999999"/>
    <n v="0"/>
    <n v="65414.257906645616"/>
    <n v="24382.930553037688"/>
  </r>
  <r>
    <s v="Sistema de Compensação"/>
    <x v="0"/>
    <x v="1"/>
    <x v="2"/>
    <x v="0"/>
    <x v="0"/>
    <x v="0"/>
    <x v="1"/>
    <x v="4"/>
    <n v="0"/>
    <n v="0"/>
    <n v="5.8639999999999999"/>
    <n v="5.8639999999999999"/>
    <n v="5.8639999999999999"/>
    <n v="5.8639999999999999"/>
    <n v="0"/>
    <x v="0"/>
    <n v="0"/>
    <n v="0"/>
    <n v="11"/>
    <n v="71"/>
    <n v="0"/>
    <n v="1155.51"/>
    <n v="433.77"/>
    <m/>
    <n v="1456.3363071141353"/>
    <n v="542.84414704984056"/>
    <n v="0"/>
    <n v="6775.9106400000001"/>
    <n v="2543.6272799999997"/>
    <n v="0"/>
    <n v="8539.9561049172898"/>
    <n v="3183.238078300265"/>
  </r>
  <r>
    <s v="Sistema Isolado - Regular"/>
    <x v="0"/>
    <x v="1"/>
    <x v="2"/>
    <x v="0"/>
    <x v="0"/>
    <x v="0"/>
    <x v="1"/>
    <x v="5"/>
    <n v="0"/>
    <n v="0"/>
    <n v="44.917000000000002"/>
    <n v="44.917000000000002"/>
    <n v="44.917000000000002"/>
    <n v="44.917000000000002"/>
    <n v="0"/>
    <x v="0"/>
    <n v="0"/>
    <n v="0"/>
    <n v="11"/>
    <n v="71"/>
    <n v="0"/>
    <n v="1155.51"/>
    <n v="433.77"/>
    <m/>
    <n v="1456.3363071141353"/>
    <n v="542.84414704984056"/>
    <n v="0"/>
    <n v="51902.042670000003"/>
    <n v="19483.647089999999"/>
    <n v="0"/>
    <n v="65414.257906645616"/>
    <n v="24382.930553037688"/>
  </r>
  <r>
    <s v="Sistema de Compensação"/>
    <x v="0"/>
    <x v="1"/>
    <x v="2"/>
    <x v="0"/>
    <x v="0"/>
    <x v="0"/>
    <x v="1"/>
    <x v="5"/>
    <n v="0"/>
    <n v="0"/>
    <n v="5.8639999999999999"/>
    <n v="5.8639999999999999"/>
    <n v="5.8639999999999999"/>
    <n v="5.8639999999999999"/>
    <n v="0"/>
    <x v="0"/>
    <n v="0"/>
    <n v="0"/>
    <n v="11"/>
    <n v="71"/>
    <n v="0"/>
    <n v="1155.51"/>
    <n v="433.77"/>
    <m/>
    <n v="1456.3363071141353"/>
    <n v="542.84414704984056"/>
    <n v="0"/>
    <n v="6775.9106400000001"/>
    <n v="2543.6272799999997"/>
    <n v="0"/>
    <n v="8539.9561049172898"/>
    <n v="3183.238078300265"/>
  </r>
  <r>
    <s v="Sistema Isolado - Regular"/>
    <x v="0"/>
    <x v="1"/>
    <x v="2"/>
    <x v="0"/>
    <x v="0"/>
    <x v="0"/>
    <x v="1"/>
    <x v="6"/>
    <n v="0"/>
    <n v="0"/>
    <n v="37.786000000000001"/>
    <n v="37.786000000000001"/>
    <n v="37.786000000000001"/>
    <n v="37.786000000000001"/>
    <n v="0"/>
    <x v="0"/>
    <n v="0"/>
    <n v="0"/>
    <n v="11"/>
    <n v="71"/>
    <n v="0"/>
    <n v="1155.51"/>
    <n v="433.77"/>
    <m/>
    <n v="1456.3363071141353"/>
    <n v="542.84414704984056"/>
    <n v="0"/>
    <n v="43662.100859999999"/>
    <n v="16390.433219999999"/>
    <n v="0"/>
    <n v="55029.123700614713"/>
    <n v="20511.908940425277"/>
  </r>
  <r>
    <s v="Sistema Isolado - Refaturamento"/>
    <x v="0"/>
    <x v="1"/>
    <x v="2"/>
    <x v="0"/>
    <x v="0"/>
    <x v="0"/>
    <x v="1"/>
    <x v="6"/>
    <n v="0"/>
    <n v="0"/>
    <n v="5.6000000000000001E-2"/>
    <n v="5.6000000000000001E-2"/>
    <n v="5.6000000000000001E-2"/>
    <n v="5.6000000000000001E-2"/>
    <n v="0"/>
    <x v="0"/>
    <n v="0"/>
    <n v="0"/>
    <n v="11"/>
    <n v="71"/>
    <n v="0"/>
    <n v="1155.51"/>
    <n v="433.77"/>
    <m/>
    <n v="1456.3363071141353"/>
    <n v="542.84414704984056"/>
    <n v="0"/>
    <n v="64.708560000000006"/>
    <n v="24.291119999999999"/>
    <n v="0"/>
    <n v="81.554833198391577"/>
    <n v="30.399272234791074"/>
  </r>
  <r>
    <s v="Sistema de Compensação"/>
    <x v="0"/>
    <x v="1"/>
    <x v="2"/>
    <x v="0"/>
    <x v="0"/>
    <x v="0"/>
    <x v="1"/>
    <x v="6"/>
    <n v="0"/>
    <n v="0"/>
    <n v="23.623999999999999"/>
    <n v="23.623999999999999"/>
    <n v="23.623999999999999"/>
    <n v="23.623999999999999"/>
    <n v="0"/>
    <x v="0"/>
    <n v="0"/>
    <n v="0"/>
    <n v="11"/>
    <n v="71"/>
    <n v="0"/>
    <n v="1155.51"/>
    <n v="433.77"/>
    <m/>
    <n v="1456.3363071141353"/>
    <n v="542.84414704984056"/>
    <n v="0"/>
    <n v="27297.768239999998"/>
    <n v="10247.382479999998"/>
    <n v="0"/>
    <n v="34404.488919264331"/>
    <n v="12824.150129905433"/>
  </r>
  <r>
    <s v="Sistema Isolado - Regular"/>
    <x v="0"/>
    <x v="1"/>
    <x v="2"/>
    <x v="0"/>
    <x v="0"/>
    <x v="0"/>
    <x v="1"/>
    <x v="7"/>
    <n v="0"/>
    <n v="0"/>
    <n v="42.369"/>
    <n v="42.369"/>
    <n v="42.369"/>
    <n v="42.369"/>
    <n v="0"/>
    <x v="0"/>
    <n v="0"/>
    <n v="0"/>
    <n v="11"/>
    <n v="71"/>
    <n v="0"/>
    <n v="1155.51"/>
    <n v="433.77"/>
    <m/>
    <n v="1456.3363071141353"/>
    <n v="542.84414704984056"/>
    <n v="0"/>
    <n v="48957.803189999999"/>
    <n v="18378.401129999998"/>
    <n v="0"/>
    <n v="61703.512996118799"/>
    <n v="22999.763666354695"/>
  </r>
  <r>
    <s v="Sistema de Compensação"/>
    <x v="0"/>
    <x v="1"/>
    <x v="2"/>
    <x v="0"/>
    <x v="0"/>
    <x v="0"/>
    <x v="1"/>
    <x v="7"/>
    <n v="0"/>
    <n v="0"/>
    <n v="5.6429999999999998"/>
    <n v="5.6429999999999998"/>
    <n v="5.6429999999999998"/>
    <n v="5.6429999999999998"/>
    <n v="0"/>
    <x v="0"/>
    <n v="0"/>
    <n v="0"/>
    <n v="11"/>
    <n v="71"/>
    <n v="0"/>
    <n v="1155.51"/>
    <n v="433.77"/>
    <m/>
    <n v="1456.3363071141353"/>
    <n v="542.84414704984056"/>
    <n v="0"/>
    <n v="6520.5429299999996"/>
    <n v="2447.7641099999996"/>
    <n v="0"/>
    <n v="8218.1057810450657"/>
    <n v="3063.26952180225"/>
  </r>
  <r>
    <s v="Sistema Isolado - Regular"/>
    <x v="0"/>
    <x v="1"/>
    <x v="2"/>
    <x v="0"/>
    <x v="0"/>
    <x v="0"/>
    <x v="1"/>
    <x v="8"/>
    <n v="0"/>
    <n v="0"/>
    <n v="41.015999999999998"/>
    <n v="41.015999999999998"/>
    <n v="41.015999999999998"/>
    <n v="41.015999999999998"/>
    <n v="0"/>
    <x v="0"/>
    <n v="0"/>
    <n v="0"/>
    <n v="11"/>
    <n v="71"/>
    <n v="0"/>
    <n v="1155.51"/>
    <n v="433.77"/>
    <m/>
    <n v="1456.3363071141353"/>
    <n v="542.84414704984056"/>
    <n v="0"/>
    <n v="47394.398159999997"/>
    <n v="17791.510319999998"/>
    <n v="0"/>
    <n v="59733.08997259337"/>
    <n v="22265.295535396261"/>
  </r>
  <r>
    <s v="Sistema de Compensação"/>
    <x v="0"/>
    <x v="1"/>
    <x v="2"/>
    <x v="0"/>
    <x v="0"/>
    <x v="0"/>
    <x v="1"/>
    <x v="8"/>
    <n v="0"/>
    <n v="0"/>
    <n v="5.6319999999999997"/>
    <n v="5.6319999999999997"/>
    <n v="5.6319999999999997"/>
    <n v="5.6319999999999997"/>
    <n v="0"/>
    <x v="0"/>
    <n v="0"/>
    <n v="0"/>
    <n v="11"/>
    <n v="71"/>
    <n v="0"/>
    <n v="1155.51"/>
    <n v="433.77"/>
    <m/>
    <n v="1456.3363071141353"/>
    <n v="542.84414704984056"/>
    <n v="0"/>
    <n v="6507.8323199999995"/>
    <n v="2442.9926399999999"/>
    <n v="0"/>
    <n v="8202.0860816668101"/>
    <n v="3057.2982361847016"/>
  </r>
  <r>
    <s v="Sistema Isolado - Regular"/>
    <x v="0"/>
    <x v="1"/>
    <x v="2"/>
    <x v="0"/>
    <x v="0"/>
    <x v="0"/>
    <x v="1"/>
    <x v="9"/>
    <n v="0"/>
    <n v="0"/>
    <n v="52.633000000000003"/>
    <n v="52.633000000000003"/>
    <n v="52.633000000000003"/>
    <n v="52.633000000000003"/>
    <n v="0"/>
    <x v="0"/>
    <n v="0"/>
    <n v="0"/>
    <n v="11"/>
    <n v="71"/>
    <n v="0"/>
    <n v="1155.51"/>
    <n v="433.77"/>
    <m/>
    <n v="1456.3363071141353"/>
    <n v="542.84414704984056"/>
    <n v="0"/>
    <n v="60817.957829999999"/>
    <n v="22830.616409999999"/>
    <n v="0"/>
    <n v="76651.348852338284"/>
    <n v="28571.51599167426"/>
  </r>
  <r>
    <s v="Sistema de Compensação"/>
    <x v="0"/>
    <x v="1"/>
    <x v="2"/>
    <x v="0"/>
    <x v="0"/>
    <x v="0"/>
    <x v="1"/>
    <x v="9"/>
    <n v="0"/>
    <n v="0"/>
    <n v="6.1379999999999999"/>
    <n v="6.1379999999999999"/>
    <n v="6.1379999999999999"/>
    <n v="6.1379999999999999"/>
    <n v="0"/>
    <x v="0"/>
    <n v="0"/>
    <n v="0"/>
    <n v="11"/>
    <n v="71"/>
    <n v="0"/>
    <n v="1155.51"/>
    <n v="433.77"/>
    <m/>
    <n v="1456.3363071141353"/>
    <n v="542.84414704984056"/>
    <n v="0"/>
    <n v="7092.5203799999999"/>
    <n v="2662.4802599999998"/>
    <n v="0"/>
    <n v="8938.9922530665626"/>
    <n v="3331.9773745919215"/>
  </r>
  <r>
    <s v="Sistema Isolado - Regular"/>
    <x v="0"/>
    <x v="1"/>
    <x v="2"/>
    <x v="0"/>
    <x v="0"/>
    <x v="0"/>
    <x v="1"/>
    <x v="10"/>
    <n v="0"/>
    <n v="0"/>
    <n v="44.701999999999998"/>
    <n v="44.701999999999998"/>
    <n v="44.701999999999998"/>
    <n v="44.701999999999998"/>
    <n v="0"/>
    <x v="0"/>
    <n v="0"/>
    <n v="0"/>
    <n v="11"/>
    <n v="71"/>
    <n v="0"/>
    <n v="1155.51"/>
    <n v="433.77"/>
    <m/>
    <n v="1456.3363071141353"/>
    <n v="542.84414704984056"/>
    <n v="0"/>
    <n v="51653.60802"/>
    <n v="19390.38654"/>
    <n v="0"/>
    <n v="65101.145600616073"/>
    <n v="24266.219061421973"/>
  </r>
  <r>
    <s v="Sistema de Compensação"/>
    <x v="0"/>
    <x v="1"/>
    <x v="2"/>
    <x v="0"/>
    <x v="0"/>
    <x v="0"/>
    <x v="1"/>
    <x v="10"/>
    <n v="0"/>
    <n v="0"/>
    <n v="6.7969999999999997"/>
    <n v="6.7969999999999997"/>
    <n v="6.7969999999999997"/>
    <n v="6.7969999999999997"/>
    <n v="0"/>
    <x v="0"/>
    <n v="0"/>
    <n v="0"/>
    <n v="11"/>
    <n v="71"/>
    <n v="0"/>
    <n v="1155.51"/>
    <n v="433.77"/>
    <m/>
    <n v="1456.3363071141353"/>
    <n v="542.84414704984056"/>
    <n v="0"/>
    <n v="7854.0014699999992"/>
    <n v="2948.3346899999997"/>
    <n v="0"/>
    <n v="9898.7178794547763"/>
    <n v="3689.711667497766"/>
  </r>
  <r>
    <s v="PROJETADO"/>
    <x v="0"/>
    <x v="1"/>
    <x v="2"/>
    <x v="0"/>
    <x v="0"/>
    <x v="0"/>
    <x v="1"/>
    <x v="11"/>
    <n v="0"/>
    <n v="0"/>
    <n v="44.701999999999998"/>
    <n v="44.701999999999998"/>
    <n v="44.701999999999998"/>
    <n v="44.701999999999998"/>
    <n v="0"/>
    <x v="0"/>
    <n v="0"/>
    <n v="0"/>
    <n v="11"/>
    <n v="71"/>
    <n v="0"/>
    <n v="1155.51"/>
    <n v="433.77"/>
    <m/>
    <n v="1456.3363071141353"/>
    <n v="542.84414704984056"/>
    <n v="0"/>
    <n v="51653.60802"/>
    <n v="19390.38654"/>
    <n v="0"/>
    <n v="65101.145600616073"/>
    <n v="24266.219061421973"/>
  </r>
  <r>
    <s v="PROJETADO"/>
    <x v="0"/>
    <x v="1"/>
    <x v="2"/>
    <x v="0"/>
    <x v="0"/>
    <x v="0"/>
    <x v="1"/>
    <x v="11"/>
    <n v="0"/>
    <n v="0"/>
    <n v="6.7969999999999997"/>
    <n v="6.7969999999999997"/>
    <n v="6.7969999999999997"/>
    <n v="6.7969999999999997"/>
    <n v="0"/>
    <x v="0"/>
    <n v="0"/>
    <n v="0"/>
    <n v="11"/>
    <n v="71"/>
    <n v="0"/>
    <n v="1155.51"/>
    <n v="433.77"/>
    <m/>
    <n v="1456.3363071141353"/>
    <n v="542.84414704984056"/>
    <n v="0"/>
    <n v="7854.0014699999992"/>
    <n v="2948.3346899999997"/>
    <n v="0"/>
    <n v="9898.7178794547763"/>
    <n v="3689.711667497766"/>
  </r>
  <r>
    <s v="Sistema Isolado - Regular"/>
    <x v="0"/>
    <x v="1"/>
    <x v="3"/>
    <x v="0"/>
    <x v="0"/>
    <x v="0"/>
    <x v="0"/>
    <x v="0"/>
    <n v="0"/>
    <n v="0"/>
    <n v="3918.1260000000002"/>
    <n v="3918.1260000000002"/>
    <n v="3918.1260000000002"/>
    <n v="3918.1260000000002"/>
    <n v="0"/>
    <x v="0"/>
    <n v="0"/>
    <n v="0"/>
    <n v="31"/>
    <n v="59"/>
    <n v="0"/>
    <n v="87.73"/>
    <n v="253.9"/>
    <m/>
    <n v="67.376989053363516"/>
    <n v="317.3874512882154"/>
    <n v="0"/>
    <n v="343737.19398000004"/>
    <n v="994812.19140000013"/>
    <n v="0"/>
    <n v="263991.53261169902"/>
    <n v="1243564.0249660902"/>
  </r>
  <r>
    <s v="Sistema Isolado - Refaturamento"/>
    <x v="0"/>
    <x v="1"/>
    <x v="3"/>
    <x v="0"/>
    <x v="0"/>
    <x v="0"/>
    <x v="0"/>
    <x v="0"/>
    <n v="0"/>
    <n v="0"/>
    <n v="11.834"/>
    <n v="11.834"/>
    <n v="11.834"/>
    <n v="11.834"/>
    <n v="0"/>
    <x v="0"/>
    <n v="0"/>
    <n v="0"/>
    <n v="31"/>
    <n v="59"/>
    <n v="0"/>
    <n v="87.73"/>
    <n v="253.9"/>
    <m/>
    <n v="67.376989053363516"/>
    <n v="317.3874512882154"/>
    <n v="0"/>
    <n v="1038.1968200000001"/>
    <n v="3004.6525999999999"/>
    <n v="0"/>
    <n v="797.33928845750381"/>
    <n v="3755.9630985447411"/>
  </r>
  <r>
    <s v="Sistema de Compensação"/>
    <x v="0"/>
    <x v="1"/>
    <x v="3"/>
    <x v="0"/>
    <x v="0"/>
    <x v="0"/>
    <x v="0"/>
    <x v="0"/>
    <n v="0"/>
    <n v="0"/>
    <n v="1071.796"/>
    <n v="1071.796"/>
    <n v="1071.796"/>
    <n v="1071.796"/>
    <n v="0"/>
    <x v="0"/>
    <n v="0"/>
    <n v="0"/>
    <n v="31"/>
    <n v="59"/>
    <n v="0"/>
    <n v="87.73"/>
    <n v="253.9"/>
    <m/>
    <n v="67.376989053363516"/>
    <n v="317.3874512882154"/>
    <n v="0"/>
    <n v="94028.663080000013"/>
    <n v="272129.00440000003"/>
    <n v="0"/>
    <n v="72214.387359438813"/>
    <n v="340174.6007409041"/>
  </r>
  <r>
    <s v="Sistema Isolado - Regular"/>
    <x v="0"/>
    <x v="1"/>
    <x v="3"/>
    <x v="0"/>
    <x v="0"/>
    <x v="0"/>
    <x v="0"/>
    <x v="1"/>
    <n v="0"/>
    <n v="0"/>
    <n v="3526.7840000000001"/>
    <n v="3526.7840000000001"/>
    <n v="3526.7840000000001"/>
    <n v="3526.7840000000001"/>
    <n v="0"/>
    <x v="0"/>
    <n v="0"/>
    <n v="0"/>
    <n v="31"/>
    <n v="59"/>
    <n v="0"/>
    <n v="87.73"/>
    <n v="253.9"/>
    <m/>
    <n v="67.376989053363516"/>
    <n v="317.3874512882154"/>
    <n v="0"/>
    <n v="309404.76032"/>
    <n v="895450.45760000008"/>
    <n v="0"/>
    <n v="237624.08696157759"/>
    <n v="1119356.9850040574"/>
  </r>
  <r>
    <s v="Sistema de Compensação"/>
    <x v="0"/>
    <x v="1"/>
    <x v="3"/>
    <x v="0"/>
    <x v="0"/>
    <x v="0"/>
    <x v="0"/>
    <x v="1"/>
    <n v="0"/>
    <n v="0"/>
    <n v="871.15099999999995"/>
    <n v="871.15099999999995"/>
    <n v="871.15099999999995"/>
    <n v="871.15099999999995"/>
    <n v="0"/>
    <x v="0"/>
    <n v="0"/>
    <n v="0"/>
    <n v="31"/>
    <n v="59"/>
    <n v="0"/>
    <n v="87.73"/>
    <n v="253.9"/>
    <m/>
    <n v="67.376989053363516"/>
    <n v="317.3874512882154"/>
    <n v="0"/>
    <n v="76426.077229999995"/>
    <n v="221185.2389"/>
    <n v="0"/>
    <n v="58695.531390826676"/>
    <n v="276492.39557718014"/>
  </r>
  <r>
    <s v="Sistema de Compensação"/>
    <x v="0"/>
    <x v="1"/>
    <x v="3"/>
    <x v="0"/>
    <x v="0"/>
    <x v="0"/>
    <x v="0"/>
    <x v="1"/>
    <n v="0"/>
    <n v="0"/>
    <n v="1.5"/>
    <n v="1.5"/>
    <n v="1.5"/>
    <n v="1.5"/>
    <n v="0"/>
    <x v="0"/>
    <n v="0"/>
    <n v="0"/>
    <n v="31"/>
    <n v="59"/>
    <n v="0"/>
    <n v="87.73"/>
    <n v="253.9"/>
    <m/>
    <n v="67.376989053363516"/>
    <n v="317.3874512882154"/>
    <n v="0"/>
    <n v="131.595"/>
    <n v="380.85"/>
    <n v="0"/>
    <n v="101.06548358004528"/>
    <n v="476.0811769323231"/>
  </r>
  <r>
    <s v="Sistema Isolado - Regular"/>
    <x v="0"/>
    <x v="1"/>
    <x v="3"/>
    <x v="0"/>
    <x v="0"/>
    <x v="0"/>
    <x v="0"/>
    <x v="2"/>
    <n v="0"/>
    <n v="0"/>
    <n v="3321.1170000000002"/>
    <n v="3321.1170000000002"/>
    <n v="3321.1170000000002"/>
    <n v="3321.1170000000002"/>
    <n v="0"/>
    <x v="0"/>
    <n v="0"/>
    <n v="0"/>
    <n v="31"/>
    <n v="59"/>
    <n v="0"/>
    <n v="87.73"/>
    <n v="253.9"/>
    <m/>
    <n v="67.376989053363516"/>
    <n v="317.3874512882154"/>
    <n v="0"/>
    <n v="291361.59441000002"/>
    <n v="843231.6063000001"/>
    <n v="0"/>
    <n v="223766.86375393948"/>
    <n v="1054080.8600599642"/>
  </r>
  <r>
    <s v="Sistema de Compensação"/>
    <x v="0"/>
    <x v="1"/>
    <x v="3"/>
    <x v="0"/>
    <x v="0"/>
    <x v="0"/>
    <x v="0"/>
    <x v="2"/>
    <n v="0"/>
    <n v="0"/>
    <n v="606.03"/>
    <n v="606.03"/>
    <n v="606.03"/>
    <n v="606.03"/>
    <n v="0"/>
    <x v="0"/>
    <n v="0"/>
    <n v="0"/>
    <n v="31"/>
    <n v="59"/>
    <n v="0"/>
    <n v="87.73"/>
    <n v="253.9"/>
    <m/>
    <n v="67.376989053363516"/>
    <n v="317.3874512882154"/>
    <n v="0"/>
    <n v="53167.011899999998"/>
    <n v="153871.01699999999"/>
    <n v="0"/>
    <n v="40832.476676009886"/>
    <n v="192346.31710419717"/>
  </r>
  <r>
    <s v="Sistema Isolado - Regular"/>
    <x v="0"/>
    <x v="1"/>
    <x v="3"/>
    <x v="0"/>
    <x v="0"/>
    <x v="0"/>
    <x v="0"/>
    <x v="3"/>
    <n v="0"/>
    <n v="0"/>
    <n v="3674.596"/>
    <n v="3674.596"/>
    <n v="3674.596"/>
    <n v="3674.596"/>
    <n v="0"/>
    <x v="0"/>
    <n v="0"/>
    <n v="0"/>
    <n v="31"/>
    <n v="59"/>
    <n v="0"/>
    <n v="87.73"/>
    <n v="253.9"/>
    <m/>
    <n v="67.376989053363516"/>
    <n v="317.3874512882154"/>
    <n v="0"/>
    <n v="322372.30708"/>
    <n v="932979.92440000002"/>
    <n v="0"/>
    <n v="247583.21446753337"/>
    <n v="1166270.6589538711"/>
  </r>
  <r>
    <s v="Sistema de Compensação"/>
    <x v="0"/>
    <x v="1"/>
    <x v="3"/>
    <x v="0"/>
    <x v="0"/>
    <x v="0"/>
    <x v="0"/>
    <x v="3"/>
    <n v="0"/>
    <n v="0"/>
    <n v="979.90700000000004"/>
    <n v="979.90700000000004"/>
    <n v="979.90700000000004"/>
    <n v="979.90700000000004"/>
    <n v="0"/>
    <x v="0"/>
    <n v="0"/>
    <n v="0"/>
    <n v="31"/>
    <n v="59"/>
    <n v="0"/>
    <n v="87.73"/>
    <n v="253.9"/>
    <m/>
    <n v="67.376989053363516"/>
    <n v="317.3874512882154"/>
    <n v="0"/>
    <n v="85967.241110000003"/>
    <n v="248798.3873"/>
    <n v="0"/>
    <n v="66023.183212314281"/>
    <n v="311010.18522948131"/>
  </r>
  <r>
    <s v="Sistema Isolado - Regular"/>
    <x v="0"/>
    <x v="1"/>
    <x v="3"/>
    <x v="0"/>
    <x v="0"/>
    <x v="0"/>
    <x v="0"/>
    <x v="4"/>
    <n v="0"/>
    <n v="0"/>
    <n v="4011.0549999999998"/>
    <n v="4011.0549999999998"/>
    <n v="4011.0549999999998"/>
    <n v="4011.0549999999998"/>
    <n v="0"/>
    <x v="0"/>
    <n v="0"/>
    <n v="0"/>
    <n v="31"/>
    <n v="59"/>
    <n v="0"/>
    <n v="87.73"/>
    <n v="253.9"/>
    <m/>
    <n v="67.376989053363516"/>
    <n v="317.3874512882154"/>
    <n v="0"/>
    <n v="351889.85515000002"/>
    <n v="1018406.8645"/>
    <n v="0"/>
    <n v="270252.80882743897"/>
    <n v="1273058.5234268529"/>
  </r>
  <r>
    <s v="Sistema de Compensação"/>
    <x v="0"/>
    <x v="1"/>
    <x v="3"/>
    <x v="0"/>
    <x v="0"/>
    <x v="0"/>
    <x v="0"/>
    <x v="4"/>
    <n v="0"/>
    <n v="0"/>
    <n v="1125.0540000000001"/>
    <n v="1125.0540000000001"/>
    <n v="1125.0540000000001"/>
    <n v="1125.0540000000001"/>
    <n v="0"/>
    <x v="0"/>
    <n v="0"/>
    <n v="0"/>
    <n v="31"/>
    <n v="59"/>
    <n v="0"/>
    <n v="87.73"/>
    <n v="253.9"/>
    <m/>
    <n v="67.376989053363516"/>
    <n v="317.3874512882154"/>
    <n v="0"/>
    <n v="98700.987420000005"/>
    <n v="285651.21060000005"/>
    <n v="0"/>
    <n v="75802.751042442847"/>
    <n v="357078.0216216119"/>
  </r>
  <r>
    <s v="Sistema Isolado - Regular"/>
    <x v="0"/>
    <x v="1"/>
    <x v="3"/>
    <x v="0"/>
    <x v="0"/>
    <x v="0"/>
    <x v="0"/>
    <x v="5"/>
    <n v="0"/>
    <n v="0"/>
    <n v="4011.0549999999998"/>
    <n v="4011.0549999999998"/>
    <n v="4011.0549999999998"/>
    <n v="4011.0549999999998"/>
    <n v="0"/>
    <x v="0"/>
    <n v="0"/>
    <n v="0"/>
    <n v="31"/>
    <n v="59"/>
    <n v="0"/>
    <n v="87.73"/>
    <n v="253.9"/>
    <m/>
    <n v="67.376989053363516"/>
    <n v="317.3874512882154"/>
    <n v="0"/>
    <n v="351889.85515000002"/>
    <n v="1018406.8645"/>
    <n v="0"/>
    <n v="270252.80882743897"/>
    <n v="1273058.5234268529"/>
  </r>
  <r>
    <s v="Sistema de Compensação"/>
    <x v="0"/>
    <x v="1"/>
    <x v="3"/>
    <x v="0"/>
    <x v="0"/>
    <x v="0"/>
    <x v="0"/>
    <x v="5"/>
    <n v="0"/>
    <n v="0"/>
    <n v="1125.0540000000001"/>
    <n v="1125.0540000000001"/>
    <n v="1125.0540000000001"/>
    <n v="1125.0540000000001"/>
    <n v="0"/>
    <x v="0"/>
    <n v="0"/>
    <n v="0"/>
    <n v="31"/>
    <n v="59"/>
    <n v="0"/>
    <n v="87.73"/>
    <n v="253.9"/>
    <m/>
    <n v="67.376989053363516"/>
    <n v="317.3874512882154"/>
    <n v="0"/>
    <n v="98700.987420000005"/>
    <n v="285651.21060000005"/>
    <n v="0"/>
    <n v="75802.751042442847"/>
    <n v="357078.0216216119"/>
  </r>
  <r>
    <s v="Sistema Isolado - Regular"/>
    <x v="0"/>
    <x v="1"/>
    <x v="3"/>
    <x v="0"/>
    <x v="0"/>
    <x v="0"/>
    <x v="0"/>
    <x v="6"/>
    <n v="0"/>
    <n v="0"/>
    <n v="3819.056"/>
    <n v="3819.056"/>
    <n v="3819.056"/>
    <n v="3819.056"/>
    <n v="0"/>
    <x v="0"/>
    <n v="0"/>
    <n v="0"/>
    <n v="31"/>
    <n v="59"/>
    <n v="0"/>
    <n v="87.73"/>
    <n v="253.9"/>
    <m/>
    <n v="67.376989053363516"/>
    <n v="317.3874512882154"/>
    <n v="0"/>
    <n v="335045.78288000001"/>
    <n v="969658.31839999999"/>
    <n v="0"/>
    <n v="257316.49430618226"/>
    <n v="1212120.4501669668"/>
  </r>
  <r>
    <s v="Sistema Isolado - Refaturamento"/>
    <x v="0"/>
    <x v="1"/>
    <x v="3"/>
    <x v="0"/>
    <x v="0"/>
    <x v="0"/>
    <x v="0"/>
    <x v="6"/>
    <n v="0"/>
    <n v="0"/>
    <n v="70.224000000000004"/>
    <n v="70.224000000000004"/>
    <n v="70.224000000000004"/>
    <n v="70.224000000000004"/>
    <n v="0"/>
    <x v="0"/>
    <n v="0"/>
    <n v="0"/>
    <n v="31"/>
    <n v="59"/>
    <n v="0"/>
    <n v="87.73"/>
    <n v="253.9"/>
    <m/>
    <n v="67.376989053363516"/>
    <n v="317.3874512882154"/>
    <n v="0"/>
    <n v="6160.7515200000007"/>
    <n v="17829.873600000003"/>
    <n v="0"/>
    <n v="4731.4816792833999"/>
    <n v="22288.216379263638"/>
  </r>
  <r>
    <s v="Sistema de Compensação"/>
    <x v="0"/>
    <x v="1"/>
    <x v="3"/>
    <x v="0"/>
    <x v="0"/>
    <x v="0"/>
    <x v="0"/>
    <x v="6"/>
    <n v="0"/>
    <n v="0"/>
    <n v="4850.3519999999999"/>
    <n v="4850.3519999999999"/>
    <n v="4850.3519999999999"/>
    <n v="4850.3519999999999"/>
    <n v="0"/>
    <x v="0"/>
    <n v="0"/>
    <n v="0"/>
    <n v="31"/>
    <n v="59"/>
    <n v="0"/>
    <n v="87.73"/>
    <n v="253.9"/>
    <m/>
    <n v="67.376989053363516"/>
    <n v="317.3874512882154"/>
    <n v="0"/>
    <n v="425521.38095999998"/>
    <n v="1231504.3728"/>
    <n v="0"/>
    <n v="326802.11360895983"/>
    <n v="1539440.859130698"/>
  </r>
  <r>
    <s v="Sistema Isolado - Regular"/>
    <x v="0"/>
    <x v="1"/>
    <x v="3"/>
    <x v="0"/>
    <x v="0"/>
    <x v="0"/>
    <x v="0"/>
    <x v="7"/>
    <n v="0"/>
    <n v="0"/>
    <n v="3590.933"/>
    <n v="3590.933"/>
    <n v="3590.933"/>
    <n v="3590.933"/>
    <n v="0"/>
    <x v="0"/>
    <n v="0"/>
    <n v="0"/>
    <n v="31"/>
    <n v="59"/>
    <n v="0"/>
    <n v="87.73"/>
    <n v="253.9"/>
    <m/>
    <n v="67.376989053363516"/>
    <n v="317.3874512882154"/>
    <n v="0"/>
    <n v="315032.55209000001"/>
    <n v="911737.88870000001"/>
    <n v="0"/>
    <n v="241946.25343236182"/>
    <n v="1139717.0726167453"/>
  </r>
  <r>
    <s v="Sistema Isolado - Refaturamento"/>
    <x v="0"/>
    <x v="1"/>
    <x v="3"/>
    <x v="0"/>
    <x v="0"/>
    <x v="0"/>
    <x v="0"/>
    <x v="7"/>
    <n v="0"/>
    <n v="0"/>
    <n v="75.203000000000003"/>
    <n v="75.203000000000003"/>
    <n v="75.203000000000003"/>
    <n v="75.203000000000003"/>
    <n v="0"/>
    <x v="0"/>
    <n v="0"/>
    <n v="0"/>
    <n v="31"/>
    <n v="59"/>
    <n v="0"/>
    <n v="87.73"/>
    <n v="253.9"/>
    <m/>
    <n v="67.376989053363516"/>
    <n v="317.3874512882154"/>
    <n v="0"/>
    <n v="6597.5591900000009"/>
    <n v="19094.041700000002"/>
    <n v="0"/>
    <n v="5066.9517077800965"/>
    <n v="23868.488499227664"/>
  </r>
  <r>
    <s v="Sistema de Compensação"/>
    <x v="0"/>
    <x v="1"/>
    <x v="3"/>
    <x v="0"/>
    <x v="0"/>
    <x v="0"/>
    <x v="0"/>
    <x v="7"/>
    <n v="0"/>
    <n v="0"/>
    <n v="1112.376"/>
    <n v="1112.376"/>
    <n v="1112.376"/>
    <n v="1112.376"/>
    <n v="0"/>
    <x v="0"/>
    <n v="0"/>
    <n v="0"/>
    <n v="31"/>
    <n v="59"/>
    <n v="0"/>
    <n v="87.73"/>
    <n v="253.9"/>
    <m/>
    <n v="67.376989053363516"/>
    <n v="317.3874512882154"/>
    <n v="0"/>
    <n v="97588.746480000002"/>
    <n v="282432.26640000002"/>
    <n v="0"/>
    <n v="74948.5455752243"/>
    <n v="353054.18351417989"/>
  </r>
  <r>
    <s v="Sistema Isolado - Regular"/>
    <x v="0"/>
    <x v="1"/>
    <x v="3"/>
    <x v="0"/>
    <x v="0"/>
    <x v="0"/>
    <x v="0"/>
    <x v="8"/>
    <n v="0"/>
    <n v="0"/>
    <n v="3579.8510000000001"/>
    <n v="3579.8510000000001"/>
    <n v="3579.8510000000001"/>
    <n v="3579.8510000000001"/>
    <n v="0"/>
    <x v="0"/>
    <n v="0"/>
    <n v="0"/>
    <n v="31"/>
    <n v="59"/>
    <n v="0"/>
    <n v="87.73"/>
    <n v="253.9"/>
    <m/>
    <n v="67.376989053363516"/>
    <n v="317.3874512882154"/>
    <n v="0"/>
    <n v="314060.32823000004"/>
    <n v="908924.16890000005"/>
    <n v="0"/>
    <n v="241199.58163967245"/>
    <n v="1136199.7848815692"/>
  </r>
  <r>
    <s v="Sistema Isolado - Refaturamento"/>
    <x v="0"/>
    <x v="1"/>
    <x v="3"/>
    <x v="0"/>
    <x v="0"/>
    <x v="0"/>
    <x v="0"/>
    <x v="8"/>
    <n v="0"/>
    <n v="0"/>
    <n v="5.9569999999999999"/>
    <n v="5.9569999999999999"/>
    <n v="5.9569999999999999"/>
    <n v="5.9569999999999999"/>
    <n v="0"/>
    <x v="0"/>
    <n v="0"/>
    <n v="0"/>
    <n v="31"/>
    <n v="59"/>
    <n v="0"/>
    <n v="87.73"/>
    <n v="253.9"/>
    <m/>
    <n v="67.376989053363516"/>
    <n v="317.3874512882154"/>
    <n v="0"/>
    <n v="522.60761000000002"/>
    <n v="1512.4822999999999"/>
    <n v="0"/>
    <n v="401.36472379088644"/>
    <n v="1890.6770473238992"/>
  </r>
  <r>
    <s v="Sistema de Compensação"/>
    <x v="0"/>
    <x v="1"/>
    <x v="3"/>
    <x v="0"/>
    <x v="0"/>
    <x v="0"/>
    <x v="0"/>
    <x v="8"/>
    <n v="0"/>
    <n v="0"/>
    <n v="1041.6959999999999"/>
    <n v="1041.6959999999999"/>
    <n v="1041.6959999999999"/>
    <n v="1041.6959999999999"/>
    <n v="0"/>
    <x v="0"/>
    <n v="0"/>
    <n v="0"/>
    <n v="31"/>
    <n v="59"/>
    <n v="0"/>
    <n v="87.73"/>
    <n v="253.9"/>
    <m/>
    <n v="67.376989053363516"/>
    <n v="317.3874512882154"/>
    <n v="0"/>
    <n v="91387.990080000003"/>
    <n v="264486.61439999996"/>
    <n v="0"/>
    <n v="70186.339988932552"/>
    <n v="330621.23845712881"/>
  </r>
  <r>
    <s v="Sistema Isolado - Regular"/>
    <x v="0"/>
    <x v="1"/>
    <x v="3"/>
    <x v="0"/>
    <x v="0"/>
    <x v="0"/>
    <x v="0"/>
    <x v="9"/>
    <n v="0"/>
    <n v="0"/>
    <n v="4434.1549999999997"/>
    <n v="4434.1549999999997"/>
    <n v="4434.1549999999997"/>
    <n v="4434.1549999999997"/>
    <n v="0"/>
    <x v="0"/>
    <n v="0"/>
    <n v="0"/>
    <n v="31"/>
    <n v="59"/>
    <n v="0"/>
    <n v="87.73"/>
    <n v="253.9"/>
    <m/>
    <n v="67.376989053363516"/>
    <n v="317.3874512882154"/>
    <n v="0"/>
    <n v="389008.41814999998"/>
    <n v="1125831.9545"/>
    <n v="0"/>
    <n v="298760.01289591711"/>
    <n v="1407345.1540668968"/>
  </r>
  <r>
    <s v="Sistema de Compensação"/>
    <x v="0"/>
    <x v="1"/>
    <x v="3"/>
    <x v="0"/>
    <x v="0"/>
    <x v="0"/>
    <x v="0"/>
    <x v="9"/>
    <n v="0"/>
    <n v="0"/>
    <n v="1462.7239999999999"/>
    <n v="1462.7239999999999"/>
    <n v="1462.7239999999999"/>
    <n v="1462.7239999999999"/>
    <n v="0"/>
    <x v="0"/>
    <n v="0"/>
    <n v="0"/>
    <n v="31"/>
    <n v="59"/>
    <n v="0"/>
    <n v="87.73"/>
    <n v="253.9"/>
    <m/>
    <n v="67.376989053363516"/>
    <n v="317.3874512882154"/>
    <n v="0"/>
    <n v="128324.77652"/>
    <n v="371385.62359999999"/>
    <n v="0"/>
    <n v="98553.93893609209"/>
    <n v="464250.24229810358"/>
  </r>
  <r>
    <s v="Sistema Isolado - Regular"/>
    <x v="0"/>
    <x v="1"/>
    <x v="3"/>
    <x v="0"/>
    <x v="0"/>
    <x v="0"/>
    <x v="0"/>
    <x v="10"/>
    <n v="0"/>
    <n v="0"/>
    <n v="4563.7929999999997"/>
    <n v="4563.7929999999997"/>
    <n v="4563.7929999999997"/>
    <n v="4563.7929999999997"/>
    <n v="0"/>
    <x v="0"/>
    <n v="0"/>
    <n v="0"/>
    <n v="31"/>
    <n v="59"/>
    <n v="0"/>
    <n v="87.73"/>
    <n v="253.9"/>
    <m/>
    <n v="67.376989053363516"/>
    <n v="317.3874512882154"/>
    <n v="0"/>
    <n v="400381.55988999997"/>
    <n v="1158747.0426999999"/>
    <n v="0"/>
    <n v="307494.63100281701"/>
    <n v="1448490.6284769983"/>
  </r>
  <r>
    <s v="Sistema Isolado - Refaturamento"/>
    <x v="0"/>
    <x v="1"/>
    <x v="3"/>
    <x v="0"/>
    <x v="0"/>
    <x v="0"/>
    <x v="0"/>
    <x v="10"/>
    <n v="0"/>
    <n v="0"/>
    <n v="13.063000000000001"/>
    <n v="13.063000000000001"/>
    <n v="13.063000000000001"/>
    <n v="13.063000000000001"/>
    <n v="0"/>
    <x v="0"/>
    <n v="0"/>
    <n v="0"/>
    <n v="31"/>
    <n v="59"/>
    <n v="0"/>
    <n v="87.73"/>
    <n v="253.9"/>
    <m/>
    <n v="67.376989053363516"/>
    <n v="317.3874512882154"/>
    <n v="0"/>
    <n v="1146.0169900000001"/>
    <n v="3316.6957000000002"/>
    <n v="0"/>
    <n v="880.14560800408765"/>
    <n v="4146.032276177958"/>
  </r>
  <r>
    <s v="Sistema de Compensação"/>
    <x v="0"/>
    <x v="1"/>
    <x v="3"/>
    <x v="0"/>
    <x v="0"/>
    <x v="0"/>
    <x v="0"/>
    <x v="10"/>
    <n v="0"/>
    <n v="0"/>
    <n v="1396.3050000000001"/>
    <n v="1396.3050000000001"/>
    <n v="1396.3050000000001"/>
    <n v="1396.3050000000001"/>
    <n v="0"/>
    <x v="0"/>
    <n v="0"/>
    <n v="0"/>
    <n v="31"/>
    <n v="59"/>
    <n v="0"/>
    <n v="87.73"/>
    <n v="253.9"/>
    <m/>
    <n v="67.376989053363516"/>
    <n v="317.3874512882154"/>
    <n v="0"/>
    <n v="122497.83765000002"/>
    <n v="354521.8395"/>
    <n v="0"/>
    <n v="94078.826700156744"/>
    <n v="443169.68517099164"/>
  </r>
  <r>
    <s v="PROJETADO"/>
    <x v="0"/>
    <x v="1"/>
    <x v="3"/>
    <x v="0"/>
    <x v="0"/>
    <x v="0"/>
    <x v="0"/>
    <x v="11"/>
    <n v="0"/>
    <n v="0"/>
    <n v="4563.7929999999997"/>
    <n v="4563.7929999999997"/>
    <n v="4563.7929999999997"/>
    <n v="4563.7929999999997"/>
    <n v="0"/>
    <x v="0"/>
    <n v="0"/>
    <n v="0"/>
    <n v="31"/>
    <n v="59"/>
    <n v="0"/>
    <n v="87.73"/>
    <n v="253.9"/>
    <m/>
    <n v="67.376989053363516"/>
    <n v="317.3874512882154"/>
    <n v="0"/>
    <n v="400381.55988999997"/>
    <n v="1158747.0426999999"/>
    <n v="0"/>
    <n v="307494.63100281701"/>
    <n v="1448490.6284769983"/>
  </r>
  <r>
    <s v="PROJETADO"/>
    <x v="0"/>
    <x v="1"/>
    <x v="3"/>
    <x v="0"/>
    <x v="0"/>
    <x v="0"/>
    <x v="0"/>
    <x v="11"/>
    <n v="0"/>
    <n v="0"/>
    <n v="13.063000000000001"/>
    <n v="13.063000000000001"/>
    <n v="13.063000000000001"/>
    <n v="13.063000000000001"/>
    <n v="0"/>
    <x v="0"/>
    <n v="0"/>
    <n v="0"/>
    <n v="31"/>
    <n v="59"/>
    <n v="0"/>
    <n v="87.73"/>
    <n v="253.9"/>
    <m/>
    <n v="67.376989053363516"/>
    <n v="317.3874512882154"/>
    <n v="0"/>
    <n v="1146.0169900000001"/>
    <n v="3316.6957000000002"/>
    <n v="0"/>
    <n v="880.14560800408765"/>
    <n v="4146.032276177958"/>
  </r>
  <r>
    <s v="PROJETADO"/>
    <x v="0"/>
    <x v="1"/>
    <x v="3"/>
    <x v="0"/>
    <x v="0"/>
    <x v="0"/>
    <x v="0"/>
    <x v="11"/>
    <n v="0"/>
    <n v="0"/>
    <n v="1396.3050000000001"/>
    <n v="1396.3050000000001"/>
    <n v="1396.3050000000001"/>
    <n v="1396.3050000000001"/>
    <n v="0"/>
    <x v="0"/>
    <n v="0"/>
    <n v="0"/>
    <n v="31"/>
    <n v="59"/>
    <n v="0"/>
    <n v="87.73"/>
    <n v="253.9"/>
    <m/>
    <n v="67.376989053363516"/>
    <n v="317.3874512882154"/>
    <n v="0"/>
    <n v="122497.83765000002"/>
    <n v="354521.8395"/>
    <n v="0"/>
    <n v="94078.826700156744"/>
    <n v="443169.68517099164"/>
  </r>
  <r>
    <s v="Sistema Isolado - Regular"/>
    <x v="0"/>
    <x v="1"/>
    <x v="3"/>
    <x v="0"/>
    <x v="0"/>
    <x v="0"/>
    <x v="2"/>
    <x v="0"/>
    <n v="28032"/>
    <n v="28032"/>
    <n v="0"/>
    <n v="0"/>
    <n v="0"/>
    <n v="0"/>
    <n v="255"/>
    <x v="0"/>
    <n v="0"/>
    <n v="18"/>
    <n v="0"/>
    <n v="0"/>
    <n v="14.64"/>
    <n v="0"/>
    <n v="0"/>
    <n v="19.024476785546895"/>
    <m/>
    <m/>
    <n v="410388.48000000004"/>
    <n v="0"/>
    <n v="0"/>
    <n v="533294.13325245061"/>
    <n v="0"/>
    <n v="0"/>
  </r>
  <r>
    <s v="Sistema Isolado - Refaturamento"/>
    <x v="0"/>
    <x v="1"/>
    <x v="3"/>
    <x v="0"/>
    <x v="0"/>
    <x v="0"/>
    <x v="2"/>
    <x v="0"/>
    <n v="102"/>
    <n v="102"/>
    <n v="0"/>
    <n v="0"/>
    <n v="0"/>
    <n v="0"/>
    <n v="2"/>
    <x v="0"/>
    <n v="0"/>
    <n v="18"/>
    <n v="0"/>
    <n v="0"/>
    <n v="14.64"/>
    <n v="0"/>
    <n v="0"/>
    <n v="19.024476785546895"/>
    <m/>
    <m/>
    <n v="1493.28"/>
    <n v="0"/>
    <n v="0"/>
    <n v="1940.4966321257832"/>
    <n v="0"/>
    <n v="0"/>
  </r>
  <r>
    <s v="Sistema de Compensação"/>
    <x v="0"/>
    <x v="1"/>
    <x v="3"/>
    <x v="0"/>
    <x v="0"/>
    <x v="0"/>
    <x v="2"/>
    <x v="0"/>
    <n v="8842"/>
    <n v="8842"/>
    <n v="0"/>
    <n v="0"/>
    <n v="0"/>
    <n v="0"/>
    <n v="74"/>
    <x v="0"/>
    <n v="0"/>
    <n v="18"/>
    <n v="0"/>
    <n v="0"/>
    <n v="14.64"/>
    <n v="0"/>
    <n v="0"/>
    <n v="19.024476785546895"/>
    <m/>
    <m/>
    <n v="129446.88"/>
    <n v="0"/>
    <n v="0"/>
    <n v="168214.42373780566"/>
    <n v="0"/>
    <n v="0"/>
  </r>
  <r>
    <s v="Sistema Isolado - Regular"/>
    <x v="0"/>
    <x v="1"/>
    <x v="3"/>
    <x v="0"/>
    <x v="0"/>
    <x v="0"/>
    <x v="2"/>
    <x v="1"/>
    <n v="27842"/>
    <n v="27842"/>
    <n v="0"/>
    <n v="0"/>
    <n v="0"/>
    <n v="0"/>
    <n v="254"/>
    <x v="0"/>
    <n v="0"/>
    <n v="18"/>
    <n v="0"/>
    <n v="0"/>
    <n v="14.64"/>
    <n v="0"/>
    <n v="0"/>
    <n v="19.024476785546895"/>
    <m/>
    <m/>
    <n v="407606.88"/>
    <n v="0"/>
    <n v="0"/>
    <n v="529679.48266319663"/>
    <n v="0"/>
    <n v="0"/>
  </r>
  <r>
    <s v="Sistema Isolado - Refaturamento"/>
    <x v="0"/>
    <x v="1"/>
    <x v="3"/>
    <x v="0"/>
    <x v="0"/>
    <x v="0"/>
    <x v="2"/>
    <x v="1"/>
    <n v="-17"/>
    <n v="-17"/>
    <n v="0"/>
    <n v="0"/>
    <n v="0"/>
    <n v="0"/>
    <n v="0"/>
    <x v="0"/>
    <n v="0"/>
    <n v="18"/>
    <n v="0"/>
    <n v="0"/>
    <n v="14.64"/>
    <n v="0"/>
    <n v="0"/>
    <n v="19.024476785546895"/>
    <m/>
    <m/>
    <n v="-248.88"/>
    <n v="0"/>
    <n v="0"/>
    <n v="-323.4161053542972"/>
    <n v="0"/>
    <n v="0"/>
  </r>
  <r>
    <s v="Sistema de Compensação"/>
    <x v="0"/>
    <x v="1"/>
    <x v="3"/>
    <x v="0"/>
    <x v="0"/>
    <x v="0"/>
    <x v="2"/>
    <x v="1"/>
    <n v="12154"/>
    <n v="12154"/>
    <n v="0"/>
    <n v="0"/>
    <n v="0"/>
    <n v="0"/>
    <n v="74"/>
    <x v="0"/>
    <n v="0"/>
    <n v="18"/>
    <n v="0"/>
    <n v="0"/>
    <n v="14.64"/>
    <n v="0"/>
    <n v="0"/>
    <n v="19.024476785546895"/>
    <m/>
    <m/>
    <n v="177934.56"/>
    <n v="0"/>
    <n v="0"/>
    <n v="231223.49085153698"/>
    <n v="0"/>
    <n v="0"/>
  </r>
  <r>
    <s v="Sistema Isolado - Regular"/>
    <x v="0"/>
    <x v="1"/>
    <x v="3"/>
    <x v="0"/>
    <x v="0"/>
    <x v="0"/>
    <x v="2"/>
    <x v="2"/>
    <n v="27652"/>
    <n v="27652"/>
    <n v="0"/>
    <n v="0"/>
    <n v="0"/>
    <n v="0"/>
    <n v="255"/>
    <x v="0"/>
    <n v="0"/>
    <n v="18"/>
    <n v="0"/>
    <n v="0"/>
    <n v="14.64"/>
    <n v="0"/>
    <n v="0"/>
    <n v="19.024476785546895"/>
    <m/>
    <m/>
    <n v="404825.28"/>
    <n v="0"/>
    <n v="0"/>
    <n v="526064.83207394276"/>
    <n v="0"/>
    <n v="0"/>
  </r>
  <r>
    <s v="Sistema de Compensação"/>
    <x v="0"/>
    <x v="1"/>
    <x v="3"/>
    <x v="0"/>
    <x v="0"/>
    <x v="0"/>
    <x v="2"/>
    <x v="2"/>
    <n v="12654"/>
    <n v="12654"/>
    <n v="0"/>
    <n v="0"/>
    <n v="0"/>
    <n v="0"/>
    <n v="74"/>
    <x v="0"/>
    <n v="0"/>
    <n v="18"/>
    <n v="0"/>
    <n v="0"/>
    <n v="14.64"/>
    <n v="0"/>
    <n v="0"/>
    <n v="19.024476785546895"/>
    <m/>
    <m/>
    <n v="185254.56"/>
    <n v="0"/>
    <n v="0"/>
    <n v="240735.72924431041"/>
    <n v="0"/>
    <n v="0"/>
  </r>
  <r>
    <s v="Sistema Isolado - Regular"/>
    <x v="0"/>
    <x v="1"/>
    <x v="3"/>
    <x v="0"/>
    <x v="0"/>
    <x v="0"/>
    <x v="2"/>
    <x v="3"/>
    <n v="28419"/>
    <n v="28419"/>
    <n v="0"/>
    <n v="0"/>
    <n v="0"/>
    <n v="0"/>
    <n v="256"/>
    <x v="0"/>
    <n v="0"/>
    <n v="18"/>
    <n v="0"/>
    <n v="0"/>
    <n v="14.64"/>
    <n v="0"/>
    <n v="0"/>
    <n v="19.024476785546895"/>
    <m/>
    <m/>
    <n v="416054.16000000003"/>
    <n v="0"/>
    <n v="0"/>
    <n v="540656.60576845717"/>
    <n v="0"/>
    <n v="0"/>
  </r>
  <r>
    <s v="Sistema Isolado - Refaturamento"/>
    <x v="0"/>
    <x v="1"/>
    <x v="3"/>
    <x v="0"/>
    <x v="0"/>
    <x v="0"/>
    <x v="2"/>
    <x v="3"/>
    <n v="624"/>
    <n v="624"/>
    <n v="0"/>
    <n v="0"/>
    <n v="0"/>
    <n v="0"/>
    <n v="1"/>
    <x v="0"/>
    <n v="0"/>
    <n v="18"/>
    <n v="0"/>
    <n v="0"/>
    <n v="14.64"/>
    <n v="0"/>
    <n v="0"/>
    <n v="19.024476785546895"/>
    <m/>
    <m/>
    <n v="9135.36"/>
    <n v="0"/>
    <n v="0"/>
    <n v="11871.273514181263"/>
    <n v="0"/>
    <n v="0"/>
  </r>
  <r>
    <s v="Sistema de Compensação"/>
    <x v="0"/>
    <x v="1"/>
    <x v="3"/>
    <x v="0"/>
    <x v="0"/>
    <x v="0"/>
    <x v="2"/>
    <x v="3"/>
    <n v="12959"/>
    <n v="12959"/>
    <n v="0"/>
    <n v="0"/>
    <n v="0"/>
    <n v="0"/>
    <n v="75"/>
    <x v="0"/>
    <n v="0"/>
    <n v="18"/>
    <n v="0"/>
    <n v="0"/>
    <n v="14.64"/>
    <n v="0"/>
    <n v="0"/>
    <n v="19.024476785546895"/>
    <m/>
    <m/>
    <n v="189719.76"/>
    <n v="0"/>
    <n v="0"/>
    <n v="246538.19466390222"/>
    <n v="0"/>
    <n v="0"/>
  </r>
  <r>
    <s v="Sistema Isolado - Regular"/>
    <x v="0"/>
    <x v="1"/>
    <x v="3"/>
    <x v="0"/>
    <x v="0"/>
    <x v="0"/>
    <x v="2"/>
    <x v="4"/>
    <n v="28192"/>
    <n v="28192"/>
    <n v="0"/>
    <n v="0"/>
    <n v="0"/>
    <n v="0"/>
    <n v="256"/>
    <x v="0"/>
    <n v="0"/>
    <n v="18"/>
    <n v="0"/>
    <n v="0"/>
    <n v="14.64"/>
    <n v="0"/>
    <n v="0"/>
    <n v="19.024476785546895"/>
    <m/>
    <m/>
    <n v="412730.88"/>
    <n v="0"/>
    <n v="0"/>
    <n v="536338.04953813809"/>
    <n v="0"/>
    <n v="0"/>
  </r>
  <r>
    <s v="Sistema de Compensação"/>
    <x v="0"/>
    <x v="1"/>
    <x v="3"/>
    <x v="0"/>
    <x v="0"/>
    <x v="0"/>
    <x v="2"/>
    <x v="4"/>
    <n v="12477"/>
    <n v="12477"/>
    <n v="0"/>
    <n v="0"/>
    <n v="0"/>
    <n v="0"/>
    <n v="75"/>
    <x v="0"/>
    <n v="0"/>
    <n v="18"/>
    <n v="0"/>
    <n v="0"/>
    <n v="14.64"/>
    <n v="0"/>
    <n v="0"/>
    <n v="19.024476785546895"/>
    <m/>
    <m/>
    <n v="182663.28"/>
    <n v="0"/>
    <n v="0"/>
    <n v="237368.39685326861"/>
    <n v="0"/>
    <n v="0"/>
  </r>
  <r>
    <s v="Sistema de Compensação"/>
    <x v="0"/>
    <x v="1"/>
    <x v="3"/>
    <x v="0"/>
    <x v="0"/>
    <x v="0"/>
    <x v="2"/>
    <x v="4"/>
    <n v="-1000"/>
    <n v="-1000"/>
    <n v="0"/>
    <n v="0"/>
    <n v="0"/>
    <n v="0"/>
    <n v="0"/>
    <x v="0"/>
    <n v="0"/>
    <n v="18"/>
    <n v="0"/>
    <n v="0"/>
    <n v="14.64"/>
    <n v="0"/>
    <n v="0"/>
    <n v="19.024476785546895"/>
    <m/>
    <m/>
    <n v="-14640"/>
    <n v="0"/>
    <n v="0"/>
    <n v="-19024.476785546896"/>
    <n v="0"/>
    <n v="0"/>
  </r>
  <r>
    <s v="Sistema Isolado - Regular"/>
    <x v="0"/>
    <x v="1"/>
    <x v="3"/>
    <x v="0"/>
    <x v="0"/>
    <x v="0"/>
    <x v="2"/>
    <x v="5"/>
    <n v="28192"/>
    <n v="28192"/>
    <n v="0"/>
    <n v="0"/>
    <n v="0"/>
    <n v="0"/>
    <n v="256"/>
    <x v="0"/>
    <n v="0"/>
    <n v="18"/>
    <n v="0"/>
    <n v="0"/>
    <n v="14.64"/>
    <n v="0"/>
    <n v="0"/>
    <n v="19.024476785546895"/>
    <m/>
    <m/>
    <n v="412730.88"/>
    <n v="0"/>
    <n v="0"/>
    <n v="536338.04953813809"/>
    <n v="0"/>
    <n v="0"/>
  </r>
  <r>
    <s v="Sistema de Compensação"/>
    <x v="0"/>
    <x v="1"/>
    <x v="3"/>
    <x v="0"/>
    <x v="0"/>
    <x v="0"/>
    <x v="2"/>
    <x v="5"/>
    <n v="12477"/>
    <n v="12477"/>
    <n v="0"/>
    <n v="0"/>
    <n v="0"/>
    <n v="0"/>
    <n v="75"/>
    <x v="0"/>
    <n v="0"/>
    <n v="18"/>
    <n v="0"/>
    <n v="0"/>
    <n v="14.64"/>
    <n v="0"/>
    <n v="0"/>
    <n v="19.024476785546895"/>
    <m/>
    <m/>
    <n v="182663.28"/>
    <n v="0"/>
    <n v="0"/>
    <n v="237368.39685326861"/>
    <n v="0"/>
    <n v="0"/>
  </r>
  <r>
    <s v="Sistema de Compensação"/>
    <x v="0"/>
    <x v="1"/>
    <x v="3"/>
    <x v="0"/>
    <x v="0"/>
    <x v="0"/>
    <x v="2"/>
    <x v="5"/>
    <n v="-1000"/>
    <n v="-1000"/>
    <n v="0"/>
    <n v="0"/>
    <n v="0"/>
    <n v="0"/>
    <n v="0"/>
    <x v="0"/>
    <n v="0"/>
    <n v="18"/>
    <n v="0"/>
    <n v="0"/>
    <n v="14.64"/>
    <n v="0"/>
    <n v="0"/>
    <n v="19.024476785546895"/>
    <m/>
    <m/>
    <n v="-14640"/>
    <n v="0"/>
    <n v="0"/>
    <n v="-19024.476785546896"/>
    <n v="0"/>
    <n v="0"/>
  </r>
  <r>
    <s v="Sistema Isolado - Regular"/>
    <x v="0"/>
    <x v="1"/>
    <x v="3"/>
    <x v="0"/>
    <x v="0"/>
    <x v="0"/>
    <x v="2"/>
    <x v="6"/>
    <n v="28058"/>
    <n v="28058"/>
    <n v="0"/>
    <n v="0"/>
    <n v="0"/>
    <n v="0"/>
    <n v="257"/>
    <x v="0"/>
    <n v="0"/>
    <n v="18"/>
    <n v="0"/>
    <n v="0"/>
    <n v="14.64"/>
    <n v="0"/>
    <n v="0"/>
    <n v="19.024476785546895"/>
    <m/>
    <m/>
    <n v="410769.12"/>
    <n v="0"/>
    <n v="0"/>
    <n v="533788.76964887476"/>
    <n v="0"/>
    <n v="0"/>
  </r>
  <r>
    <s v="Sistema Isolado - Refaturamento"/>
    <x v="0"/>
    <x v="1"/>
    <x v="3"/>
    <x v="0"/>
    <x v="0"/>
    <x v="0"/>
    <x v="2"/>
    <x v="6"/>
    <n v="284"/>
    <n v="284"/>
    <n v="0"/>
    <n v="0"/>
    <n v="0"/>
    <n v="0"/>
    <n v="4"/>
    <x v="0"/>
    <n v="0"/>
    <n v="18"/>
    <n v="0"/>
    <n v="0"/>
    <n v="14.64"/>
    <n v="0"/>
    <n v="0"/>
    <n v="19.024476785546895"/>
    <m/>
    <m/>
    <n v="4157.76"/>
    <n v="0"/>
    <n v="0"/>
    <n v="5402.9514070953182"/>
    <n v="0"/>
    <n v="0"/>
  </r>
  <r>
    <s v="Sistema de Compensação"/>
    <x v="0"/>
    <x v="1"/>
    <x v="3"/>
    <x v="0"/>
    <x v="0"/>
    <x v="0"/>
    <x v="2"/>
    <x v="6"/>
    <n v="52100"/>
    <n v="52100"/>
    <n v="0"/>
    <n v="0"/>
    <n v="0"/>
    <n v="0"/>
    <n v="308"/>
    <x v="0"/>
    <n v="0"/>
    <n v="18"/>
    <n v="0"/>
    <n v="0"/>
    <n v="14.64"/>
    <n v="0"/>
    <n v="0"/>
    <n v="19.024476785546895"/>
    <m/>
    <m/>
    <n v="762744"/>
    <n v="0"/>
    <n v="0"/>
    <n v="991175.24052699318"/>
    <n v="0"/>
    <n v="0"/>
  </r>
  <r>
    <s v="Sistema Isolado - Regular"/>
    <x v="0"/>
    <x v="1"/>
    <x v="3"/>
    <x v="0"/>
    <x v="0"/>
    <x v="0"/>
    <x v="2"/>
    <x v="7"/>
    <n v="28621"/>
    <n v="28621"/>
    <n v="0"/>
    <n v="0"/>
    <n v="0"/>
    <n v="0"/>
    <n v="257"/>
    <x v="0"/>
    <n v="0"/>
    <n v="18"/>
    <n v="0"/>
    <n v="0"/>
    <n v="14.64"/>
    <n v="0"/>
    <n v="0"/>
    <n v="19.024476785546895"/>
    <m/>
    <m/>
    <n v="419011.44"/>
    <n v="0"/>
    <n v="0"/>
    <n v="544499.55007913767"/>
    <n v="0"/>
    <n v="0"/>
  </r>
  <r>
    <s v="Sistema Isolado - Refaturamento"/>
    <x v="0"/>
    <x v="1"/>
    <x v="3"/>
    <x v="0"/>
    <x v="0"/>
    <x v="0"/>
    <x v="2"/>
    <x v="7"/>
    <n v="801"/>
    <n v="801"/>
    <n v="0"/>
    <n v="0"/>
    <n v="0"/>
    <n v="0"/>
    <n v="4"/>
    <x v="0"/>
    <n v="0"/>
    <n v="18"/>
    <n v="0"/>
    <n v="0"/>
    <n v="14.64"/>
    <n v="0"/>
    <n v="0"/>
    <n v="19.024476785546895"/>
    <m/>
    <m/>
    <n v="11726.640000000001"/>
    <n v="0"/>
    <n v="0"/>
    <n v="15238.605905223063"/>
    <n v="0"/>
    <n v="0"/>
  </r>
  <r>
    <s v="Sistema de Compensação"/>
    <x v="0"/>
    <x v="1"/>
    <x v="3"/>
    <x v="0"/>
    <x v="0"/>
    <x v="0"/>
    <x v="2"/>
    <x v="7"/>
    <n v="16728"/>
    <n v="16728"/>
    <n v="0"/>
    <n v="0"/>
    <n v="0"/>
    <n v="0"/>
    <n v="77"/>
    <x v="0"/>
    <n v="0"/>
    <n v="18"/>
    <n v="0"/>
    <n v="0"/>
    <n v="14.64"/>
    <n v="0"/>
    <n v="0"/>
    <n v="19.024476785546895"/>
    <m/>
    <m/>
    <n v="244897.92000000001"/>
    <n v="0"/>
    <n v="0"/>
    <n v="318241.44766862848"/>
    <n v="0"/>
    <n v="0"/>
  </r>
  <r>
    <s v="Sistema Isolado - Regular"/>
    <x v="0"/>
    <x v="1"/>
    <x v="3"/>
    <x v="0"/>
    <x v="0"/>
    <x v="0"/>
    <x v="2"/>
    <x v="8"/>
    <n v="28530"/>
    <n v="28530"/>
    <n v="0"/>
    <n v="0"/>
    <n v="0"/>
    <n v="0"/>
    <n v="257"/>
    <x v="0"/>
    <n v="0"/>
    <n v="18"/>
    <n v="0"/>
    <n v="0"/>
    <n v="14.64"/>
    <n v="0"/>
    <n v="0"/>
    <n v="19.024476785546895"/>
    <m/>
    <m/>
    <n v="417679.2"/>
    <n v="0"/>
    <n v="0"/>
    <n v="542768.32269165292"/>
    <n v="0"/>
    <n v="0"/>
  </r>
  <r>
    <s v="Sistema Isolado - Refaturamento"/>
    <x v="0"/>
    <x v="1"/>
    <x v="3"/>
    <x v="0"/>
    <x v="0"/>
    <x v="0"/>
    <x v="2"/>
    <x v="8"/>
    <n v="100"/>
    <n v="100"/>
    <n v="0"/>
    <n v="0"/>
    <n v="0"/>
    <n v="0"/>
    <n v="2"/>
    <x v="0"/>
    <n v="0"/>
    <n v="18"/>
    <n v="0"/>
    <n v="0"/>
    <n v="14.64"/>
    <n v="0"/>
    <n v="0"/>
    <n v="19.024476785546895"/>
    <m/>
    <m/>
    <n v="1464"/>
    <n v="0"/>
    <n v="0"/>
    <n v="1902.4476785546894"/>
    <n v="0"/>
    <n v="0"/>
  </r>
  <r>
    <s v="Sistema de Compensação"/>
    <x v="0"/>
    <x v="1"/>
    <x v="3"/>
    <x v="0"/>
    <x v="0"/>
    <x v="0"/>
    <x v="2"/>
    <x v="8"/>
    <n v="13173"/>
    <n v="13173"/>
    <n v="0"/>
    <n v="0"/>
    <n v="0"/>
    <n v="0"/>
    <n v="78"/>
    <x v="0"/>
    <n v="0"/>
    <n v="18"/>
    <n v="0"/>
    <n v="0"/>
    <n v="14.64"/>
    <n v="0"/>
    <n v="0"/>
    <n v="19.024476785546895"/>
    <m/>
    <m/>
    <n v="192852.72"/>
    <n v="0"/>
    <n v="0"/>
    <n v="250609.43269600926"/>
    <n v="0"/>
    <n v="0"/>
  </r>
  <r>
    <s v="Sistema de Compensação"/>
    <x v="0"/>
    <x v="1"/>
    <x v="3"/>
    <x v="0"/>
    <x v="0"/>
    <x v="0"/>
    <x v="2"/>
    <x v="8"/>
    <n v="-3682"/>
    <n v="-3682"/>
    <n v="0"/>
    <n v="0"/>
    <n v="0"/>
    <n v="0"/>
    <n v="0"/>
    <x v="0"/>
    <n v="0"/>
    <n v="18"/>
    <n v="0"/>
    <n v="0"/>
    <n v="14.64"/>
    <n v="0"/>
    <n v="0"/>
    <n v="19.024476785546895"/>
    <m/>
    <m/>
    <n v="-53904.480000000003"/>
    <n v="0"/>
    <n v="0"/>
    <n v="-70048.123524383671"/>
    <n v="0"/>
    <n v="0"/>
  </r>
  <r>
    <s v="Sistema Isolado - Regular"/>
    <x v="0"/>
    <x v="1"/>
    <x v="3"/>
    <x v="0"/>
    <x v="0"/>
    <x v="0"/>
    <x v="2"/>
    <x v="9"/>
    <n v="28963"/>
    <n v="28963"/>
    <n v="0"/>
    <n v="0"/>
    <n v="0"/>
    <n v="0"/>
    <n v="257"/>
    <x v="0"/>
    <n v="0"/>
    <n v="18"/>
    <n v="0"/>
    <n v="0"/>
    <n v="14.64"/>
    <n v="0"/>
    <n v="0"/>
    <n v="19.024476785546895"/>
    <m/>
    <m/>
    <n v="424018.32"/>
    <n v="0"/>
    <n v="0"/>
    <n v="551005.92113979475"/>
    <n v="0"/>
    <n v="0"/>
  </r>
  <r>
    <s v="Sistema de Compensação"/>
    <x v="0"/>
    <x v="1"/>
    <x v="3"/>
    <x v="0"/>
    <x v="0"/>
    <x v="0"/>
    <x v="2"/>
    <x v="9"/>
    <n v="13421"/>
    <n v="13421"/>
    <n v="0"/>
    <n v="0"/>
    <n v="0"/>
    <n v="0"/>
    <n v="78"/>
    <x v="0"/>
    <n v="0"/>
    <n v="18"/>
    <n v="0"/>
    <n v="0"/>
    <n v="14.64"/>
    <n v="0"/>
    <n v="0"/>
    <n v="19.024476785546895"/>
    <m/>
    <m/>
    <n v="196483.44"/>
    <n v="0"/>
    <n v="0"/>
    <n v="255327.50293882488"/>
    <n v="0"/>
    <n v="0"/>
  </r>
  <r>
    <s v="Sistema Isolado - Regular"/>
    <x v="0"/>
    <x v="1"/>
    <x v="3"/>
    <x v="0"/>
    <x v="0"/>
    <x v="0"/>
    <x v="2"/>
    <x v="10"/>
    <n v="29136"/>
    <n v="29136"/>
    <n v="0"/>
    <n v="0"/>
    <n v="0"/>
    <n v="0"/>
    <n v="258"/>
    <x v="0"/>
    <n v="0"/>
    <n v="18"/>
    <n v="0"/>
    <n v="0"/>
    <n v="14.64"/>
    <n v="0"/>
    <n v="0"/>
    <n v="19.024476785546895"/>
    <m/>
    <m/>
    <n v="426551.04000000004"/>
    <n v="0"/>
    <n v="0"/>
    <n v="554297.1556236943"/>
    <n v="0"/>
    <n v="0"/>
  </r>
  <r>
    <s v="Sistema Isolado - Refaturamento"/>
    <x v="0"/>
    <x v="1"/>
    <x v="3"/>
    <x v="0"/>
    <x v="0"/>
    <x v="0"/>
    <x v="2"/>
    <x v="10"/>
    <n v="80"/>
    <n v="80"/>
    <n v="0"/>
    <n v="0"/>
    <n v="0"/>
    <n v="0"/>
    <n v="2"/>
    <x v="0"/>
    <n v="0"/>
    <n v="18"/>
    <n v="0"/>
    <n v="0"/>
    <n v="14.64"/>
    <n v="0"/>
    <n v="0"/>
    <n v="19.024476785546895"/>
    <m/>
    <m/>
    <n v="1171.2"/>
    <n v="0"/>
    <n v="0"/>
    <n v="1521.9581428437516"/>
    <n v="0"/>
    <n v="0"/>
  </r>
  <r>
    <s v="Sistema de Compensação"/>
    <x v="0"/>
    <x v="1"/>
    <x v="3"/>
    <x v="0"/>
    <x v="0"/>
    <x v="0"/>
    <x v="2"/>
    <x v="10"/>
    <n v="13459"/>
    <n v="13459"/>
    <n v="0"/>
    <n v="0"/>
    <n v="0"/>
    <n v="0"/>
    <n v="78"/>
    <x v="0"/>
    <n v="0"/>
    <n v="18"/>
    <n v="0"/>
    <n v="0"/>
    <n v="14.64"/>
    <n v="0"/>
    <n v="0"/>
    <n v="19.024476785546895"/>
    <m/>
    <m/>
    <n v="197039.76"/>
    <n v="0"/>
    <n v="0"/>
    <n v="256050.43305667565"/>
    <n v="0"/>
    <n v="0"/>
  </r>
  <r>
    <s v="PROJETADO"/>
    <x v="0"/>
    <x v="1"/>
    <x v="3"/>
    <x v="0"/>
    <x v="0"/>
    <x v="0"/>
    <x v="2"/>
    <x v="11"/>
    <n v="29136"/>
    <n v="29136"/>
    <n v="0"/>
    <n v="0"/>
    <n v="0"/>
    <n v="0"/>
    <n v="258"/>
    <x v="0"/>
    <n v="0"/>
    <n v="18"/>
    <n v="0"/>
    <n v="0"/>
    <n v="14.64"/>
    <n v="0"/>
    <n v="0"/>
    <n v="19.024476785546895"/>
    <m/>
    <m/>
    <n v="426551.04000000004"/>
    <n v="0"/>
    <n v="0"/>
    <n v="554297.1556236943"/>
    <n v="0"/>
    <n v="0"/>
  </r>
  <r>
    <s v="PROJETADO"/>
    <x v="0"/>
    <x v="1"/>
    <x v="3"/>
    <x v="0"/>
    <x v="0"/>
    <x v="0"/>
    <x v="2"/>
    <x v="11"/>
    <n v="80"/>
    <n v="80"/>
    <n v="0"/>
    <n v="0"/>
    <n v="0"/>
    <n v="0"/>
    <n v="2"/>
    <x v="0"/>
    <n v="0"/>
    <n v="18"/>
    <n v="0"/>
    <n v="0"/>
    <n v="14.64"/>
    <n v="0"/>
    <n v="0"/>
    <n v="19.024476785546895"/>
    <m/>
    <m/>
    <n v="1171.2"/>
    <n v="0"/>
    <n v="0"/>
    <n v="1521.9581428437516"/>
    <n v="0"/>
    <n v="0"/>
  </r>
  <r>
    <s v="PROJETADO"/>
    <x v="0"/>
    <x v="1"/>
    <x v="3"/>
    <x v="0"/>
    <x v="0"/>
    <x v="0"/>
    <x v="2"/>
    <x v="11"/>
    <n v="13459"/>
    <n v="13459"/>
    <n v="0"/>
    <n v="0"/>
    <n v="0"/>
    <n v="0"/>
    <n v="78"/>
    <x v="0"/>
    <n v="0"/>
    <n v="18"/>
    <n v="0"/>
    <n v="0"/>
    <n v="14.64"/>
    <n v="0"/>
    <n v="0"/>
    <n v="19.024476785546895"/>
    <m/>
    <m/>
    <n v="197039.76"/>
    <n v="0"/>
    <n v="0"/>
    <n v="256050.43305667565"/>
    <n v="0"/>
    <n v="0"/>
  </r>
  <r>
    <s v="Sistema Isolado - Regular"/>
    <x v="0"/>
    <x v="1"/>
    <x v="3"/>
    <x v="0"/>
    <x v="0"/>
    <x v="0"/>
    <x v="1"/>
    <x v="0"/>
    <n v="0"/>
    <n v="0"/>
    <n v="256.714"/>
    <n v="256.714"/>
    <n v="256.714"/>
    <n v="256.714"/>
    <n v="0"/>
    <x v="0"/>
    <n v="0"/>
    <n v="0"/>
    <n v="11"/>
    <n v="71"/>
    <n v="0"/>
    <n v="1155.51"/>
    <n v="433.77"/>
    <m/>
    <n v="1456.3363071141353"/>
    <n v="542.84414704984056"/>
    <n v="0"/>
    <n v="296635.59414"/>
    <n v="111354.83177999999"/>
    <n v="0"/>
    <n v="373861.91874449811"/>
    <n v="139355.69236575277"/>
  </r>
  <r>
    <s v="Sistema Isolado - Refaturamento"/>
    <x v="0"/>
    <x v="1"/>
    <x v="3"/>
    <x v="0"/>
    <x v="0"/>
    <x v="0"/>
    <x v="1"/>
    <x v="0"/>
    <n v="0"/>
    <n v="0"/>
    <n v="1.115"/>
    <n v="1.115"/>
    <n v="1.115"/>
    <n v="1.115"/>
    <n v="0"/>
    <x v="0"/>
    <n v="0"/>
    <n v="0"/>
    <n v="11"/>
    <n v="71"/>
    <n v="0"/>
    <n v="1155.51"/>
    <n v="433.77"/>
    <m/>
    <n v="1456.3363071141353"/>
    <n v="542.84414704984056"/>
    <n v="0"/>
    <n v="1288.39365"/>
    <n v="483.65355"/>
    <n v="0"/>
    <n v="1623.8149824322609"/>
    <n v="605.27122396057223"/>
  </r>
  <r>
    <s v="Sistema de Compensação"/>
    <x v="0"/>
    <x v="1"/>
    <x v="3"/>
    <x v="0"/>
    <x v="0"/>
    <x v="0"/>
    <x v="1"/>
    <x v="0"/>
    <n v="0"/>
    <n v="0"/>
    <n v="58.585999999999999"/>
    <n v="58.585999999999999"/>
    <n v="58.585999999999999"/>
    <n v="58.585999999999999"/>
    <n v="0"/>
    <x v="0"/>
    <n v="0"/>
    <n v="0"/>
    <n v="11"/>
    <n v="71"/>
    <n v="0"/>
    <n v="1155.51"/>
    <n v="433.77"/>
    <m/>
    <n v="1456.3363071141353"/>
    <n v="542.84414704984056"/>
    <n v="0"/>
    <n v="67696.708859999999"/>
    <n v="25412.84922"/>
    <n v="0"/>
    <n v="85320.918888588727"/>
    <n v="31803.067199061959"/>
  </r>
  <r>
    <s v="Sistema Isolado - Regular"/>
    <x v="0"/>
    <x v="1"/>
    <x v="3"/>
    <x v="0"/>
    <x v="0"/>
    <x v="0"/>
    <x v="1"/>
    <x v="1"/>
    <n v="0"/>
    <n v="0"/>
    <n v="269.33999999999997"/>
    <n v="269.33999999999997"/>
    <n v="269.33999999999997"/>
    <n v="269.33999999999997"/>
    <n v="0"/>
    <x v="0"/>
    <n v="0"/>
    <n v="0"/>
    <n v="11"/>
    <n v="71"/>
    <n v="0"/>
    <n v="1155.51"/>
    <n v="433.77"/>
    <m/>
    <n v="1456.3363071141353"/>
    <n v="542.84414704984056"/>
    <n v="0"/>
    <n v="311225.06339999998"/>
    <n v="116831.61179999998"/>
    <n v="0"/>
    <n v="392249.62095812114"/>
    <n v="146209.64256640404"/>
  </r>
  <r>
    <s v="Sistema de Compensação"/>
    <x v="0"/>
    <x v="1"/>
    <x v="3"/>
    <x v="0"/>
    <x v="0"/>
    <x v="0"/>
    <x v="1"/>
    <x v="1"/>
    <n v="0"/>
    <n v="0"/>
    <n v="58.530999999999999"/>
    <n v="58.530999999999999"/>
    <n v="58.530999999999999"/>
    <n v="58.530999999999999"/>
    <n v="0"/>
    <x v="0"/>
    <n v="0"/>
    <n v="0"/>
    <n v="11"/>
    <n v="71"/>
    <n v="0"/>
    <n v="1155.51"/>
    <n v="433.77"/>
    <m/>
    <n v="1456.3363071141353"/>
    <n v="542.84414704984056"/>
    <n v="0"/>
    <n v="67633.155809999997"/>
    <n v="25388.991869999998"/>
    <n v="0"/>
    <n v="85240.820391697445"/>
    <n v="31773.210770974216"/>
  </r>
  <r>
    <s v="Sistema de Compensação"/>
    <x v="0"/>
    <x v="1"/>
    <x v="3"/>
    <x v="0"/>
    <x v="0"/>
    <x v="0"/>
    <x v="1"/>
    <x v="1"/>
    <n v="0"/>
    <n v="0"/>
    <n v="6.8000000000000005E-2"/>
    <n v="6.8000000000000005E-2"/>
    <n v="6.8000000000000005E-2"/>
    <n v="6.8000000000000005E-2"/>
    <n v="0"/>
    <x v="0"/>
    <n v="0"/>
    <n v="0"/>
    <n v="11"/>
    <n v="71"/>
    <n v="0"/>
    <n v="1155.51"/>
    <n v="433.77"/>
    <m/>
    <n v="1456.3363071141353"/>
    <n v="542.84414704984056"/>
    <n v="0"/>
    <n v="78.574680000000001"/>
    <n v="29.496359999999999"/>
    <n v="0"/>
    <n v="99.030868883761201"/>
    <n v="36.913401999389158"/>
  </r>
  <r>
    <s v="Sistema Isolado - Regular"/>
    <x v="0"/>
    <x v="1"/>
    <x v="3"/>
    <x v="0"/>
    <x v="0"/>
    <x v="0"/>
    <x v="1"/>
    <x v="2"/>
    <n v="0"/>
    <n v="0"/>
    <n v="248.065"/>
    <n v="248.065"/>
    <n v="248.065"/>
    <n v="248.065"/>
    <n v="0"/>
    <x v="0"/>
    <n v="0"/>
    <n v="0"/>
    <n v="11"/>
    <n v="71"/>
    <n v="0"/>
    <n v="1155.51"/>
    <n v="433.77"/>
    <m/>
    <n v="1456.3363071141353"/>
    <n v="542.84414704984056"/>
    <n v="0"/>
    <n v="286641.58814999997"/>
    <n v="107603.15505"/>
    <n v="0"/>
    <n v="361266.06602426793"/>
    <n v="134660.6333379187"/>
  </r>
  <r>
    <s v="Sistema de Compensação"/>
    <x v="0"/>
    <x v="1"/>
    <x v="3"/>
    <x v="0"/>
    <x v="0"/>
    <x v="0"/>
    <x v="1"/>
    <x v="2"/>
    <n v="0"/>
    <n v="0"/>
    <n v="48.377000000000002"/>
    <n v="48.377000000000002"/>
    <n v="48.377000000000002"/>
    <n v="48.377000000000002"/>
    <n v="0"/>
    <x v="0"/>
    <n v="0"/>
    <n v="0"/>
    <n v="11"/>
    <n v="71"/>
    <n v="0"/>
    <n v="1155.51"/>
    <n v="433.77"/>
    <m/>
    <n v="1456.3363071141353"/>
    <n v="542.84414704984056"/>
    <n v="0"/>
    <n v="55900.10727"/>
    <n v="20984.491290000002"/>
    <n v="0"/>
    <n v="70453.181529260532"/>
    <n v="26261.171301830138"/>
  </r>
  <r>
    <s v="Sistema Isolado - Regular"/>
    <x v="0"/>
    <x v="1"/>
    <x v="3"/>
    <x v="0"/>
    <x v="0"/>
    <x v="0"/>
    <x v="1"/>
    <x v="3"/>
    <n v="0"/>
    <n v="0"/>
    <n v="261.08100000000002"/>
    <n v="261.08100000000002"/>
    <n v="261.08100000000002"/>
    <n v="261.08100000000002"/>
    <n v="0"/>
    <x v="0"/>
    <n v="0"/>
    <n v="0"/>
    <n v="11"/>
    <n v="71"/>
    <n v="0"/>
    <n v="1155.51"/>
    <n v="433.77"/>
    <m/>
    <n v="1456.3363071141353"/>
    <n v="542.84414704984056"/>
    <n v="0"/>
    <n v="301681.70631000004"/>
    <n v="113249.10537"/>
    <n v="0"/>
    <n v="380221.73939766554"/>
    <n v="141726.29275591942"/>
  </r>
  <r>
    <s v="Sistema de Compensação"/>
    <x v="0"/>
    <x v="1"/>
    <x v="3"/>
    <x v="0"/>
    <x v="0"/>
    <x v="0"/>
    <x v="1"/>
    <x v="3"/>
    <n v="0"/>
    <n v="0"/>
    <n v="53.21"/>
    <n v="53.21"/>
    <n v="53.21"/>
    <n v="53.21"/>
    <n v="0"/>
    <x v="0"/>
    <n v="0"/>
    <n v="0"/>
    <n v="11"/>
    <n v="71"/>
    <n v="0"/>
    <n v="1155.51"/>
    <n v="433.77"/>
    <m/>
    <n v="1456.3363071141353"/>
    <n v="542.84414704984056"/>
    <n v="0"/>
    <n v="61484.687100000003"/>
    <n v="23080.901699999999"/>
    <n v="0"/>
    <n v="77491.654901543137"/>
    <n v="28884.737064522018"/>
  </r>
  <r>
    <s v="Sistema Isolado - Regular"/>
    <x v="0"/>
    <x v="1"/>
    <x v="3"/>
    <x v="0"/>
    <x v="0"/>
    <x v="0"/>
    <x v="1"/>
    <x v="4"/>
    <n v="0"/>
    <n v="0"/>
    <n v="281.98899999999998"/>
    <n v="281.98899999999998"/>
    <n v="281.98899999999998"/>
    <n v="281.98899999999998"/>
    <n v="0"/>
    <x v="0"/>
    <n v="0"/>
    <n v="0"/>
    <n v="11"/>
    <n v="71"/>
    <n v="0"/>
    <n v="1155.51"/>
    <n v="433.77"/>
    <m/>
    <n v="1456.3363071141353"/>
    <n v="542.84414704984056"/>
    <n v="0"/>
    <n v="325841.10939"/>
    <n v="122318.36852999998"/>
    <n v="0"/>
    <n v="410670.81890680786"/>
    <n v="153076.07818243749"/>
  </r>
  <r>
    <s v="Sistema de Compensação"/>
    <x v="0"/>
    <x v="1"/>
    <x v="3"/>
    <x v="0"/>
    <x v="0"/>
    <x v="0"/>
    <x v="1"/>
    <x v="4"/>
    <n v="0"/>
    <n v="0"/>
    <n v="63.463999999999999"/>
    <n v="63.463999999999999"/>
    <n v="63.463999999999999"/>
    <n v="63.463999999999999"/>
    <n v="0"/>
    <x v="0"/>
    <n v="0"/>
    <n v="0"/>
    <n v="11"/>
    <n v="71"/>
    <n v="0"/>
    <n v="1155.51"/>
    <n v="433.77"/>
    <m/>
    <n v="1456.3363071141353"/>
    <n v="542.84414704984056"/>
    <n v="0"/>
    <n v="73333.286639999991"/>
    <n v="27528.779279999999"/>
    <n v="0"/>
    <n v="92424.927394691476"/>
    <n v="34451.06094837108"/>
  </r>
  <r>
    <s v="Sistema Isolado - Regular"/>
    <x v="0"/>
    <x v="1"/>
    <x v="3"/>
    <x v="0"/>
    <x v="0"/>
    <x v="0"/>
    <x v="1"/>
    <x v="5"/>
    <n v="0"/>
    <n v="0"/>
    <n v="281.98899999999998"/>
    <n v="281.98899999999998"/>
    <n v="281.98899999999998"/>
    <n v="281.98899999999998"/>
    <n v="0"/>
    <x v="0"/>
    <n v="0"/>
    <n v="0"/>
    <n v="11"/>
    <n v="71"/>
    <n v="0"/>
    <n v="1155.51"/>
    <n v="433.77"/>
    <m/>
    <n v="1456.3363071141353"/>
    <n v="542.84414704984056"/>
    <n v="0"/>
    <n v="325841.10939"/>
    <n v="122318.36852999998"/>
    <n v="0"/>
    <n v="410670.81890680786"/>
    <n v="153076.07818243749"/>
  </r>
  <r>
    <s v="Sistema de Compensação"/>
    <x v="0"/>
    <x v="1"/>
    <x v="3"/>
    <x v="0"/>
    <x v="0"/>
    <x v="0"/>
    <x v="1"/>
    <x v="5"/>
    <n v="0"/>
    <n v="0"/>
    <n v="63.463999999999999"/>
    <n v="63.463999999999999"/>
    <n v="63.463999999999999"/>
    <n v="63.463999999999999"/>
    <n v="0"/>
    <x v="0"/>
    <n v="0"/>
    <n v="0"/>
    <n v="11"/>
    <n v="71"/>
    <n v="0"/>
    <n v="1155.51"/>
    <n v="433.77"/>
    <m/>
    <n v="1456.3363071141353"/>
    <n v="542.84414704984056"/>
    <n v="0"/>
    <n v="73333.286639999991"/>
    <n v="27528.779279999999"/>
    <n v="0"/>
    <n v="92424.927394691476"/>
    <n v="34451.06094837108"/>
  </r>
  <r>
    <s v="Sistema Isolado - Regular"/>
    <x v="0"/>
    <x v="1"/>
    <x v="3"/>
    <x v="0"/>
    <x v="0"/>
    <x v="0"/>
    <x v="1"/>
    <x v="6"/>
    <n v="0"/>
    <n v="0"/>
    <n v="272.85399999999998"/>
    <n v="272.85399999999998"/>
    <n v="272.85399999999998"/>
    <n v="272.85399999999998"/>
    <n v="0"/>
    <x v="0"/>
    <n v="0"/>
    <n v="0"/>
    <n v="11"/>
    <n v="71"/>
    <n v="0"/>
    <n v="1155.51"/>
    <n v="433.77"/>
    <m/>
    <n v="1456.3363071141353"/>
    <n v="542.84414704984056"/>
    <n v="0"/>
    <n v="315285.52554"/>
    <n v="118355.87957999999"/>
    <n v="0"/>
    <n v="397367.18674132024"/>
    <n v="148117.1968991372"/>
  </r>
  <r>
    <s v="Sistema Isolado - Refaturamento"/>
    <x v="0"/>
    <x v="1"/>
    <x v="3"/>
    <x v="0"/>
    <x v="0"/>
    <x v="0"/>
    <x v="1"/>
    <x v="6"/>
    <n v="0"/>
    <n v="0"/>
    <n v="7.2320000000000002"/>
    <n v="7.2320000000000002"/>
    <n v="7.2320000000000002"/>
    <n v="7.2320000000000002"/>
    <n v="0"/>
    <x v="0"/>
    <n v="0"/>
    <n v="0"/>
    <n v="11"/>
    <n v="71"/>
    <n v="0"/>
    <n v="1155.51"/>
    <n v="433.77"/>
    <m/>
    <n v="1456.3363071141353"/>
    <n v="542.84414704984056"/>
    <n v="0"/>
    <n v="8356.6483200000002"/>
    <n v="3137.0246400000001"/>
    <n v="0"/>
    <n v="10532.224173049426"/>
    <n v="3925.8488714644468"/>
  </r>
  <r>
    <s v="Sistema de Compensação"/>
    <x v="0"/>
    <x v="1"/>
    <x v="3"/>
    <x v="0"/>
    <x v="0"/>
    <x v="0"/>
    <x v="1"/>
    <x v="6"/>
    <n v="0"/>
    <n v="0"/>
    <n v="308.32"/>
    <n v="308.32"/>
    <n v="308.32"/>
    <n v="308.32"/>
    <n v="0"/>
    <x v="0"/>
    <n v="0"/>
    <n v="0"/>
    <n v="11"/>
    <n v="71"/>
    <n v="0"/>
    <n v="1155.51"/>
    <n v="433.77"/>
    <m/>
    <n v="1456.3363071141353"/>
    <n v="542.84414704984056"/>
    <n v="0"/>
    <n v="356266.8432"/>
    <n v="133739.9664"/>
    <n v="0"/>
    <n v="449017.61020943016"/>
    <n v="167369.70741840685"/>
  </r>
  <r>
    <s v="Sistema Isolado - Regular"/>
    <x v="0"/>
    <x v="1"/>
    <x v="3"/>
    <x v="0"/>
    <x v="0"/>
    <x v="0"/>
    <x v="1"/>
    <x v="7"/>
    <n v="0"/>
    <n v="0"/>
    <n v="258.82499999999999"/>
    <n v="258.82499999999999"/>
    <n v="258.82499999999999"/>
    <n v="258.82499999999999"/>
    <n v="0"/>
    <x v="0"/>
    <n v="0"/>
    <n v="0"/>
    <n v="11"/>
    <n v="71"/>
    <n v="0"/>
    <n v="1155.51"/>
    <n v="433.77"/>
    <m/>
    <n v="1456.3363071141353"/>
    <n v="542.84414704984056"/>
    <n v="0"/>
    <n v="299074.87575000001"/>
    <n v="112270.52024999999"/>
    <n v="0"/>
    <n v="376936.24468881602"/>
    <n v="140501.63636017498"/>
  </r>
  <r>
    <s v="Sistema Isolado - Refaturamento"/>
    <x v="0"/>
    <x v="1"/>
    <x v="3"/>
    <x v="0"/>
    <x v="0"/>
    <x v="0"/>
    <x v="1"/>
    <x v="7"/>
    <n v="0"/>
    <n v="0"/>
    <n v="6.3159999999999998"/>
    <n v="6.3159999999999998"/>
    <n v="6.3159999999999998"/>
    <n v="6.3159999999999998"/>
    <n v="0"/>
    <x v="0"/>
    <n v="0"/>
    <n v="0"/>
    <n v="11"/>
    <n v="71"/>
    <n v="0"/>
    <n v="1155.51"/>
    <n v="433.77"/>
    <m/>
    <n v="1456.3363071141353"/>
    <n v="542.84414704984056"/>
    <n v="0"/>
    <n v="7298.2011599999996"/>
    <n v="2739.6913199999999"/>
    <n v="0"/>
    <n v="9198.2201157328782"/>
    <n v="3428.603632766793"/>
  </r>
  <r>
    <s v="Sistema de Compensação"/>
    <x v="0"/>
    <x v="1"/>
    <x v="3"/>
    <x v="0"/>
    <x v="0"/>
    <x v="0"/>
    <x v="1"/>
    <x v="7"/>
    <n v="0"/>
    <n v="0"/>
    <n v="75.061999999999998"/>
    <n v="75.061999999999998"/>
    <n v="75.061999999999998"/>
    <n v="75.061999999999998"/>
    <n v="0"/>
    <x v="0"/>
    <n v="0"/>
    <n v="0"/>
    <n v="11"/>
    <n v="71"/>
    <n v="0"/>
    <n v="1155.51"/>
    <n v="433.77"/>
    <m/>
    <n v="1456.3363071141353"/>
    <n v="542.84414704984056"/>
    <n v="0"/>
    <n v="86734.891619999995"/>
    <n v="32559.643739999996"/>
    <n v="0"/>
    <n v="109315.51588460122"/>
    <n v="40746.967365855133"/>
  </r>
  <r>
    <s v="Sistema Isolado - Regular"/>
    <x v="0"/>
    <x v="1"/>
    <x v="3"/>
    <x v="0"/>
    <x v="0"/>
    <x v="0"/>
    <x v="1"/>
    <x v="8"/>
    <n v="0"/>
    <n v="0"/>
    <n v="251.92099999999999"/>
    <n v="251.92099999999999"/>
    <n v="251.92099999999999"/>
    <n v="251.92099999999999"/>
    <n v="0"/>
    <x v="0"/>
    <n v="0"/>
    <n v="0"/>
    <n v="11"/>
    <n v="71"/>
    <n v="0"/>
    <n v="1155.51"/>
    <n v="433.77"/>
    <m/>
    <n v="1456.3363071141353"/>
    <n v="542.84414704984056"/>
    <n v="0"/>
    <n v="291097.23470999999"/>
    <n v="109275.77217"/>
    <n v="0"/>
    <n v="366881.69882450008"/>
    <n v="136753.84036894288"/>
  </r>
  <r>
    <s v="Sistema Isolado - Refaturamento"/>
    <x v="0"/>
    <x v="1"/>
    <x v="3"/>
    <x v="0"/>
    <x v="0"/>
    <x v="0"/>
    <x v="1"/>
    <x v="8"/>
    <n v="0"/>
    <n v="0"/>
    <n v="0.41"/>
    <n v="0.41"/>
    <n v="0.41"/>
    <n v="0.41"/>
    <n v="0"/>
    <x v="0"/>
    <n v="0"/>
    <n v="0"/>
    <n v="11"/>
    <n v="71"/>
    <n v="0"/>
    <n v="1155.51"/>
    <n v="433.77"/>
    <m/>
    <n v="1456.3363071141353"/>
    <n v="542.84414704984056"/>
    <n v="0"/>
    <n v="473.75909999999999"/>
    <n v="177.84569999999999"/>
    <n v="0"/>
    <n v="597.09788591679546"/>
    <n v="222.5661002904346"/>
  </r>
  <r>
    <s v="Sistema de Compensação"/>
    <x v="0"/>
    <x v="1"/>
    <x v="3"/>
    <x v="0"/>
    <x v="0"/>
    <x v="0"/>
    <x v="1"/>
    <x v="8"/>
    <n v="0"/>
    <n v="0"/>
    <n v="73.111000000000004"/>
    <n v="73.111000000000004"/>
    <n v="73.111000000000004"/>
    <n v="73.111000000000004"/>
    <n v="0"/>
    <x v="0"/>
    <n v="0"/>
    <n v="0"/>
    <n v="11"/>
    <n v="71"/>
    <n v="0"/>
    <n v="1155.51"/>
    <n v="433.77"/>
    <m/>
    <n v="1456.3363071141353"/>
    <n v="542.84414704984056"/>
    <n v="0"/>
    <n v="84480.491609999997"/>
    <n v="31713.358469999999"/>
    <n v="0"/>
    <n v="106474.20374942155"/>
    <n v="39687.878434960898"/>
  </r>
  <r>
    <s v="Sistema Isolado - Regular"/>
    <x v="0"/>
    <x v="1"/>
    <x v="3"/>
    <x v="0"/>
    <x v="0"/>
    <x v="0"/>
    <x v="1"/>
    <x v="9"/>
    <n v="0"/>
    <n v="0"/>
    <n v="308.637"/>
    <n v="308.637"/>
    <n v="308.637"/>
    <n v="308.637"/>
    <n v="0"/>
    <x v="0"/>
    <n v="0"/>
    <n v="0"/>
    <n v="11"/>
    <n v="71"/>
    <n v="0"/>
    <n v="1155.51"/>
    <n v="433.77"/>
    <m/>
    <n v="1456.3363071141353"/>
    <n v="542.84414704984056"/>
    <n v="0"/>
    <n v="356633.13987000001"/>
    <n v="133877.47149"/>
    <n v="0"/>
    <n v="449479.26881878538"/>
    <n v="167541.78901302165"/>
  </r>
  <r>
    <s v="Sistema de Compensação"/>
    <x v="0"/>
    <x v="1"/>
    <x v="3"/>
    <x v="0"/>
    <x v="0"/>
    <x v="0"/>
    <x v="1"/>
    <x v="9"/>
    <n v="0"/>
    <n v="0"/>
    <n v="93.603999999999999"/>
    <n v="93.603999999999999"/>
    <n v="93.603999999999999"/>
    <n v="93.603999999999999"/>
    <n v="0"/>
    <x v="0"/>
    <n v="0"/>
    <n v="0"/>
    <n v="11"/>
    <n v="71"/>
    <n v="0"/>
    <n v="1155.51"/>
    <n v="433.77"/>
    <m/>
    <n v="1456.3363071141353"/>
    <n v="542.84414704984056"/>
    <n v="0"/>
    <n v="108160.35803999999"/>
    <n v="40602.607080000002"/>
    <n v="0"/>
    <n v="136318.90369111151"/>
    <n v="50812.383540453273"/>
  </r>
  <r>
    <s v="Sistema Isolado - Regular"/>
    <x v="0"/>
    <x v="1"/>
    <x v="3"/>
    <x v="0"/>
    <x v="0"/>
    <x v="0"/>
    <x v="1"/>
    <x v="10"/>
    <n v="0"/>
    <n v="0"/>
    <n v="297.97500000000002"/>
    <n v="297.97500000000002"/>
    <n v="297.97500000000002"/>
    <n v="297.97500000000002"/>
    <n v="0"/>
    <x v="0"/>
    <n v="0"/>
    <n v="0"/>
    <n v="11"/>
    <n v="71"/>
    <n v="0"/>
    <n v="1155.51"/>
    <n v="433.77"/>
    <m/>
    <n v="1456.3363071141353"/>
    <n v="542.84414704984056"/>
    <n v="0"/>
    <n v="344313.09225000005"/>
    <n v="129252.61575"/>
    <n v="0"/>
    <n v="433951.81111233449"/>
    <n v="161753.98471717627"/>
  </r>
  <r>
    <s v="Sistema Isolado - Refaturamento"/>
    <x v="0"/>
    <x v="1"/>
    <x v="3"/>
    <x v="0"/>
    <x v="0"/>
    <x v="0"/>
    <x v="1"/>
    <x v="10"/>
    <n v="0"/>
    <n v="0"/>
    <n v="0.73"/>
    <n v="0.73"/>
    <n v="0.73"/>
    <n v="0.73"/>
    <n v="0"/>
    <x v="0"/>
    <n v="0"/>
    <n v="0"/>
    <n v="11"/>
    <n v="71"/>
    <n v="0"/>
    <n v="1155.51"/>
    <n v="433.77"/>
    <m/>
    <n v="1456.3363071141353"/>
    <n v="542.84414704984056"/>
    <n v="0"/>
    <n v="843.52229999999997"/>
    <n v="316.65209999999996"/>
    <n v="0"/>
    <n v="1063.1255041933186"/>
    <n v="396.27622734638362"/>
  </r>
  <r>
    <s v="Sistema de Compensação"/>
    <x v="0"/>
    <x v="1"/>
    <x v="3"/>
    <x v="0"/>
    <x v="0"/>
    <x v="0"/>
    <x v="1"/>
    <x v="10"/>
    <n v="0"/>
    <n v="0"/>
    <n v="92.215000000000003"/>
    <n v="92.215000000000003"/>
    <n v="92.215000000000003"/>
    <n v="92.215000000000003"/>
    <n v="0"/>
    <x v="0"/>
    <n v="0"/>
    <n v="0"/>
    <n v="11"/>
    <n v="71"/>
    <n v="0"/>
    <n v="1155.51"/>
    <n v="433.77"/>
    <m/>
    <n v="1456.3363071141353"/>
    <n v="542.84414704984056"/>
    <n v="0"/>
    <n v="106555.35465000001"/>
    <n v="40000.100550000003"/>
    <n v="0"/>
    <n v="134296.05256052999"/>
    <n v="50058.373020201048"/>
  </r>
  <r>
    <s v="PROJETADO"/>
    <x v="0"/>
    <x v="1"/>
    <x v="3"/>
    <x v="0"/>
    <x v="0"/>
    <x v="0"/>
    <x v="1"/>
    <x v="11"/>
    <n v="0"/>
    <n v="0"/>
    <n v="297.97500000000002"/>
    <n v="297.97500000000002"/>
    <n v="297.97500000000002"/>
    <n v="297.97500000000002"/>
    <n v="0"/>
    <x v="0"/>
    <n v="0"/>
    <n v="0"/>
    <n v="11"/>
    <n v="71"/>
    <n v="0"/>
    <n v="1155.51"/>
    <n v="433.77"/>
    <m/>
    <n v="1456.3363071141353"/>
    <n v="542.84414704984056"/>
    <n v="0"/>
    <n v="344313.09225000005"/>
    <n v="129252.61575"/>
    <n v="0"/>
    <n v="433951.81111233449"/>
    <n v="161753.98471717627"/>
  </r>
  <r>
    <s v="PROJETADO"/>
    <x v="0"/>
    <x v="1"/>
    <x v="3"/>
    <x v="0"/>
    <x v="0"/>
    <x v="0"/>
    <x v="1"/>
    <x v="11"/>
    <n v="0"/>
    <n v="0"/>
    <n v="0.73"/>
    <n v="0.73"/>
    <n v="0.73"/>
    <n v="0.73"/>
    <n v="0"/>
    <x v="0"/>
    <n v="0"/>
    <n v="0"/>
    <n v="11"/>
    <n v="71"/>
    <n v="0"/>
    <n v="1155.51"/>
    <n v="433.77"/>
    <m/>
    <n v="1456.3363071141353"/>
    <n v="542.84414704984056"/>
    <n v="0"/>
    <n v="843.52229999999997"/>
    <n v="316.65209999999996"/>
    <n v="0"/>
    <n v="1063.1255041933186"/>
    <n v="396.27622734638362"/>
  </r>
  <r>
    <s v="PROJETADO"/>
    <x v="0"/>
    <x v="1"/>
    <x v="3"/>
    <x v="0"/>
    <x v="0"/>
    <x v="0"/>
    <x v="1"/>
    <x v="11"/>
    <n v="0"/>
    <n v="0"/>
    <n v="92.215000000000003"/>
    <n v="92.215000000000003"/>
    <n v="92.215000000000003"/>
    <n v="92.215000000000003"/>
    <n v="0"/>
    <x v="0"/>
    <n v="0"/>
    <n v="0"/>
    <n v="11"/>
    <n v="71"/>
    <n v="0"/>
    <n v="1155.51"/>
    <n v="433.77"/>
    <m/>
    <n v="1456.3363071141353"/>
    <n v="542.84414704984056"/>
    <n v="0"/>
    <n v="106555.35465000001"/>
    <n v="40000.100550000003"/>
    <n v="0"/>
    <n v="134296.05256052999"/>
    <n v="50058.373020201048"/>
  </r>
  <r>
    <s v="Sistema Isolado - Regular"/>
    <x v="0"/>
    <x v="1"/>
    <x v="5"/>
    <x v="2"/>
    <x v="1"/>
    <x v="0"/>
    <x v="0"/>
    <x v="0"/>
    <n v="0"/>
    <n v="0"/>
    <n v="223.65299999999999"/>
    <n v="44.730600000000003"/>
    <n v="223.65299999999999"/>
    <n v="44.730600000000003"/>
    <n v="0"/>
    <x v="0"/>
    <n v="0"/>
    <n v="0"/>
    <n v="31"/>
    <n v="59"/>
    <n v="0"/>
    <n v="87.73"/>
    <n v="253.9"/>
    <m/>
    <n v="67.376989053363516"/>
    <n v="317.3874512882154"/>
    <n v="0"/>
    <n v="3924.2155380000004"/>
    <n v="11357.099340000001"/>
    <n v="0"/>
    <n v="3013.8131465503825"/>
    <n v="14196.931128592649"/>
  </r>
  <r>
    <s v="Sistema Isolado - Regular"/>
    <x v="0"/>
    <x v="1"/>
    <x v="5"/>
    <x v="2"/>
    <x v="1"/>
    <x v="0"/>
    <x v="0"/>
    <x v="1"/>
    <n v="0"/>
    <n v="0"/>
    <n v="319.72300000000001"/>
    <n v="63.944600000000001"/>
    <n v="319.72300000000001"/>
    <n v="63.944600000000001"/>
    <n v="0"/>
    <x v="0"/>
    <n v="0"/>
    <n v="0"/>
    <n v="31"/>
    <n v="59"/>
    <n v="0"/>
    <n v="87.73"/>
    <n v="253.9"/>
    <m/>
    <n v="67.376989053363516"/>
    <n v="317.3874512882154"/>
    <n v="0"/>
    <n v="5609.8597580000005"/>
    <n v="16235.533940000001"/>
    <n v="0"/>
    <n v="4308.3946142217092"/>
    <n v="20295.213617644418"/>
  </r>
  <r>
    <s v="Sistema Isolado - Regular"/>
    <x v="0"/>
    <x v="1"/>
    <x v="5"/>
    <x v="2"/>
    <x v="1"/>
    <x v="0"/>
    <x v="0"/>
    <x v="2"/>
    <n v="0"/>
    <n v="0"/>
    <n v="375.005"/>
    <n v="75.001000000000005"/>
    <n v="375.005"/>
    <n v="75.001000000000005"/>
    <n v="0"/>
    <x v="0"/>
    <n v="0"/>
    <n v="0"/>
    <n v="31"/>
    <n v="59"/>
    <n v="0"/>
    <n v="87.73"/>
    <n v="253.9"/>
    <m/>
    <n v="67.376989053363516"/>
    <n v="317.3874512882154"/>
    <n v="0"/>
    <n v="6579.8377300000011"/>
    <n v="19042.753900000003"/>
    <n v="0"/>
    <n v="5053.3415559913174"/>
    <n v="23804.376234067444"/>
  </r>
  <r>
    <s v="Sistema Isolado - Regular"/>
    <x v="0"/>
    <x v="1"/>
    <x v="5"/>
    <x v="2"/>
    <x v="1"/>
    <x v="0"/>
    <x v="0"/>
    <x v="3"/>
    <n v="0"/>
    <n v="0"/>
    <n v="331.98099999999999"/>
    <n v="66.396199999999993"/>
    <n v="331.98099999999999"/>
    <n v="66.396199999999993"/>
    <n v="0"/>
    <x v="0"/>
    <n v="0"/>
    <n v="0"/>
    <n v="31"/>
    <n v="59"/>
    <n v="0"/>
    <n v="87.73"/>
    <n v="253.9"/>
    <m/>
    <n v="67.376989053363516"/>
    <n v="317.3874512882154"/>
    <n v="0"/>
    <n v="5824.9386260000001"/>
    <n v="16857.995179999998"/>
    <n v="0"/>
    <n v="4473.5760405849342"/>
    <n v="21073.320693222606"/>
  </r>
  <r>
    <s v="Sistema Isolado - Refaturamento"/>
    <x v="0"/>
    <x v="1"/>
    <x v="5"/>
    <x v="2"/>
    <x v="1"/>
    <x v="0"/>
    <x v="0"/>
    <x v="3"/>
    <n v="0"/>
    <n v="0"/>
    <n v="-36.448999999999998"/>
    <n v="-7.2897999999999996"/>
    <n v="-36.448999999999998"/>
    <n v="-7.2897999999999996"/>
    <n v="0"/>
    <x v="0"/>
    <n v="0"/>
    <n v="0"/>
    <n v="31"/>
    <n v="59"/>
    <n v="0"/>
    <n v="87.73"/>
    <n v="253.9"/>
    <m/>
    <n v="67.376989053363516"/>
    <n v="317.3874512882154"/>
    <n v="0"/>
    <n v="-639.53415399999994"/>
    <n v="-1850.88022"/>
    <n v="0"/>
    <n v="-491.16477480120932"/>
    <n v="-2313.6910424008324"/>
  </r>
  <r>
    <s v="Sistema Isolado - Regular"/>
    <x v="0"/>
    <x v="1"/>
    <x v="5"/>
    <x v="2"/>
    <x v="1"/>
    <x v="0"/>
    <x v="0"/>
    <x v="4"/>
    <n v="0"/>
    <n v="0"/>
    <n v="72.680999999999997"/>
    <n v="14.536199999999999"/>
    <n v="72.680999999999997"/>
    <n v="14.536199999999999"/>
    <n v="0"/>
    <x v="0"/>
    <n v="0"/>
    <n v="0"/>
    <n v="31"/>
    <n v="59"/>
    <n v="0"/>
    <n v="87.73"/>
    <n v="253.9"/>
    <m/>
    <n v="67.376989053363516"/>
    <n v="317.3874512882154"/>
    <n v="0"/>
    <n v="1275.260826"/>
    <n v="3690.74118"/>
    <n v="0"/>
    <n v="979.40538827750265"/>
    <n v="4613.6074694157569"/>
  </r>
  <r>
    <s v="Sistema Isolado - Regular"/>
    <x v="0"/>
    <x v="1"/>
    <x v="5"/>
    <x v="2"/>
    <x v="1"/>
    <x v="0"/>
    <x v="0"/>
    <x v="5"/>
    <n v="0"/>
    <n v="0"/>
    <n v="72.680999999999997"/>
    <n v="14.536199999999999"/>
    <n v="72.680999999999997"/>
    <n v="14.536199999999999"/>
    <n v="0"/>
    <x v="0"/>
    <n v="0"/>
    <n v="0"/>
    <n v="31"/>
    <n v="59"/>
    <n v="0"/>
    <n v="87.73"/>
    <n v="253.9"/>
    <m/>
    <n v="67.376989053363516"/>
    <n v="317.3874512882154"/>
    <n v="0"/>
    <n v="1275.260826"/>
    <n v="3690.74118"/>
    <n v="0"/>
    <n v="979.40538827750265"/>
    <n v="4613.6074694157569"/>
  </r>
  <r>
    <s v="Sistema Isolado - Regular"/>
    <x v="0"/>
    <x v="1"/>
    <x v="5"/>
    <x v="2"/>
    <x v="1"/>
    <x v="0"/>
    <x v="0"/>
    <x v="6"/>
    <n v="0"/>
    <n v="0"/>
    <n v="13.135999999999999"/>
    <n v="2.6272000000000002"/>
    <n v="13.135999999999999"/>
    <n v="2.6272000000000002"/>
    <n v="0"/>
    <x v="0"/>
    <n v="0"/>
    <n v="0"/>
    <n v="31"/>
    <n v="59"/>
    <n v="0"/>
    <n v="87.73"/>
    <n v="253.9"/>
    <m/>
    <n v="67.376989053363516"/>
    <n v="317.3874512882154"/>
    <n v="0"/>
    <n v="230.48425600000002"/>
    <n v="667.04608000000007"/>
    <n v="0"/>
    <n v="177.01282564099665"/>
    <n v="833.84031202439962"/>
  </r>
  <r>
    <s v="Sistema Isolado - Refaturamento"/>
    <x v="0"/>
    <x v="1"/>
    <x v="5"/>
    <x v="2"/>
    <x v="1"/>
    <x v="0"/>
    <x v="0"/>
    <x v="6"/>
    <n v="0"/>
    <n v="0"/>
    <n v="20.076000000000001"/>
    <n v="4.0152000000000001"/>
    <n v="20.076000000000001"/>
    <n v="4.0152000000000001"/>
    <n v="0"/>
    <x v="0"/>
    <n v="0"/>
    <n v="0"/>
    <n v="31"/>
    <n v="59"/>
    <n v="0"/>
    <n v="87.73"/>
    <n v="253.9"/>
    <m/>
    <n v="67.376989053363516"/>
    <n v="317.3874512882154"/>
    <n v="0"/>
    <n v="352.25349600000004"/>
    <n v="1019.45928"/>
    <n v="0"/>
    <n v="270.53208644706518"/>
    <n v="1274.3740944124424"/>
  </r>
  <r>
    <s v="Sistema Isolado - Regular"/>
    <x v="0"/>
    <x v="1"/>
    <x v="5"/>
    <x v="2"/>
    <x v="1"/>
    <x v="0"/>
    <x v="0"/>
    <x v="7"/>
    <n v="0"/>
    <n v="0"/>
    <n v="7.2789999999999999"/>
    <n v="1.4558"/>
    <n v="7.2789999999999999"/>
    <n v="1.4558"/>
    <n v="0"/>
    <x v="0"/>
    <n v="0"/>
    <n v="0"/>
    <n v="31"/>
    <n v="59"/>
    <n v="0"/>
    <n v="87.73"/>
    <n v="253.9"/>
    <m/>
    <n v="67.376989053363516"/>
    <n v="317.3874512882154"/>
    <n v="0"/>
    <n v="127.71733400000001"/>
    <n v="369.62761999999998"/>
    <n v="0"/>
    <n v="98.087420663886604"/>
    <n v="462.05265158538396"/>
  </r>
  <r>
    <s v="Sistema Isolado - Regular"/>
    <x v="0"/>
    <x v="1"/>
    <x v="5"/>
    <x v="2"/>
    <x v="1"/>
    <x v="0"/>
    <x v="0"/>
    <x v="8"/>
    <n v="0"/>
    <n v="0"/>
    <n v="6.7130000000000001"/>
    <n v="1.3426"/>
    <n v="6.7130000000000001"/>
    <n v="1.3426"/>
    <n v="0"/>
    <x v="0"/>
    <n v="0"/>
    <n v="0"/>
    <n v="31"/>
    <n v="59"/>
    <n v="0"/>
    <n v="87.73"/>
    <n v="253.9"/>
    <m/>
    <n v="67.376989053363516"/>
    <n v="317.3874512882154"/>
    <n v="0"/>
    <n v="117.786298"/>
    <n v="340.88614000000001"/>
    <n v="0"/>
    <n v="90.460345503045858"/>
    <n v="426.12439209955801"/>
  </r>
  <r>
    <s v="Sistema Isolado - Regular"/>
    <x v="0"/>
    <x v="1"/>
    <x v="5"/>
    <x v="2"/>
    <x v="1"/>
    <x v="0"/>
    <x v="0"/>
    <x v="9"/>
    <n v="0"/>
    <n v="0"/>
    <n v="41.603000000000002"/>
    <n v="8.3206000000000007"/>
    <n v="41.603000000000002"/>
    <n v="8.3206000000000007"/>
    <n v="0"/>
    <x v="0"/>
    <n v="0"/>
    <n v="0"/>
    <n v="31"/>
    <n v="59"/>
    <n v="0"/>
    <n v="87.73"/>
    <n v="253.9"/>
    <m/>
    <n v="67.376989053363516"/>
    <n v="317.3874512882154"/>
    <n v="0"/>
    <n v="729.96623800000009"/>
    <n v="2112.6003400000004"/>
    <n v="0"/>
    <n v="560.61697511741647"/>
    <n v="2640.8540271887255"/>
  </r>
  <r>
    <s v="Sistema Isolado - Regular"/>
    <x v="0"/>
    <x v="1"/>
    <x v="5"/>
    <x v="2"/>
    <x v="1"/>
    <x v="0"/>
    <x v="0"/>
    <x v="10"/>
    <n v="0"/>
    <n v="0"/>
    <n v="101.09099999999999"/>
    <n v="20.2182"/>
    <n v="101.09099999999999"/>
    <n v="20.2182"/>
    <n v="0"/>
    <x v="0"/>
    <n v="0"/>
    <n v="0"/>
    <n v="31"/>
    <n v="59"/>
    <n v="0"/>
    <n v="87.73"/>
    <n v="253.9"/>
    <m/>
    <n v="67.376989053363516"/>
    <n v="317.3874512882154"/>
    <n v="0"/>
    <n v="1773.742686"/>
    <n v="5133.4009800000003"/>
    <n v="0"/>
    <n v="1362.2414400787143"/>
    <n v="6417.0029676353961"/>
  </r>
  <r>
    <s v="PROJETADO"/>
    <x v="0"/>
    <x v="1"/>
    <x v="5"/>
    <x v="2"/>
    <x v="1"/>
    <x v="0"/>
    <x v="0"/>
    <x v="11"/>
    <n v="0"/>
    <n v="0"/>
    <n v="101.09099999999999"/>
    <n v="20.2182"/>
    <n v="101.09099999999999"/>
    <n v="20.2182"/>
    <n v="0"/>
    <x v="0"/>
    <n v="0"/>
    <n v="0"/>
    <n v="31"/>
    <n v="59"/>
    <n v="0"/>
    <n v="87.73"/>
    <n v="253.9"/>
    <m/>
    <n v="67.376989053363516"/>
    <n v="317.3874512882154"/>
    <n v="0"/>
    <n v="1773.742686"/>
    <n v="5133.4009800000003"/>
    <n v="0"/>
    <n v="1362.2414400787143"/>
    <n v="6417.0029676353961"/>
  </r>
  <r>
    <s v="Sistema Isolado - Regular"/>
    <x v="0"/>
    <x v="1"/>
    <x v="5"/>
    <x v="2"/>
    <x v="0"/>
    <x v="0"/>
    <x v="0"/>
    <x v="0"/>
    <n v="0"/>
    <n v="0"/>
    <n v="374.07400000000001"/>
    <n v="359.11104"/>
    <n v="374.07400000000001"/>
    <n v="359.11104"/>
    <n v="0"/>
    <x v="0"/>
    <n v="0"/>
    <n v="0"/>
    <n v="31"/>
    <n v="59"/>
    <n v="0"/>
    <n v="87.73"/>
    <n v="253.9"/>
    <m/>
    <n v="67.376989053363516"/>
    <n v="317.3874512882154"/>
    <n v="0"/>
    <n v="31504.8115392"/>
    <n v="91178.29305600001"/>
    <n v="0"/>
    <n v="24195.820611021987"/>
    <n v="113977.33771506038"/>
  </r>
  <r>
    <s v="Sistema Isolado - Regular"/>
    <x v="0"/>
    <x v="1"/>
    <x v="5"/>
    <x v="2"/>
    <x v="0"/>
    <x v="0"/>
    <x v="0"/>
    <x v="1"/>
    <n v="0"/>
    <n v="0"/>
    <n v="522.27499999999998"/>
    <n v="501.38399999999996"/>
    <n v="522.27499999999998"/>
    <n v="501.38399999999996"/>
    <n v="0"/>
    <x v="0"/>
    <n v="0"/>
    <n v="0"/>
    <n v="31"/>
    <n v="59"/>
    <n v="0"/>
    <n v="87.73"/>
    <n v="253.9"/>
    <m/>
    <n v="67.376989053363516"/>
    <n v="317.3874512882154"/>
    <n v="0"/>
    <n v="43986.418319999997"/>
    <n v="127301.3976"/>
    <n v="0"/>
    <n v="33781.744279531609"/>
    <n v="159132.98987669058"/>
  </r>
  <r>
    <s v="Sistema Isolado - Regular"/>
    <x v="0"/>
    <x v="1"/>
    <x v="5"/>
    <x v="2"/>
    <x v="0"/>
    <x v="0"/>
    <x v="0"/>
    <x v="2"/>
    <n v="0"/>
    <n v="0"/>
    <n v="533.25800000000004"/>
    <n v="511.92768000000001"/>
    <n v="533.25800000000004"/>
    <n v="511.92768000000001"/>
    <n v="0"/>
    <x v="0"/>
    <n v="0"/>
    <n v="0"/>
    <n v="31"/>
    <n v="59"/>
    <n v="0"/>
    <n v="87.73"/>
    <n v="253.9"/>
    <m/>
    <n v="67.376989053363516"/>
    <n v="317.3874512882154"/>
    <n v="0"/>
    <n v="44911.415366400004"/>
    <n v="129978.43795200001"/>
    <n v="0"/>
    <n v="34492.145691473779"/>
    <n v="162479.42159908914"/>
  </r>
  <r>
    <s v="Sistema Isolado - Regular"/>
    <x v="0"/>
    <x v="1"/>
    <x v="5"/>
    <x v="2"/>
    <x v="0"/>
    <x v="0"/>
    <x v="0"/>
    <x v="3"/>
    <n v="0"/>
    <n v="0"/>
    <n v="513.38699999999994"/>
    <n v="492.85151999999994"/>
    <n v="513.38699999999994"/>
    <n v="492.85151999999994"/>
    <n v="0"/>
    <x v="0"/>
    <n v="0"/>
    <n v="0"/>
    <n v="31"/>
    <n v="59"/>
    <n v="0"/>
    <n v="87.73"/>
    <n v="253.9"/>
    <m/>
    <n v="67.376989053363516"/>
    <n v="317.3874512882154"/>
    <n v="0"/>
    <n v="43237.863849599999"/>
    <n v="125135.00092799999"/>
    <n v="0"/>
    <n v="33206.851467973567"/>
    <n v="156424.8877963229"/>
  </r>
  <r>
    <s v="Sistema Isolado - Refaturamento"/>
    <x v="0"/>
    <x v="1"/>
    <x v="5"/>
    <x v="2"/>
    <x v="0"/>
    <x v="0"/>
    <x v="0"/>
    <x v="3"/>
    <n v="0"/>
    <n v="0"/>
    <n v="-49.314"/>
    <n v="-47.341439999999999"/>
    <n v="-49.314"/>
    <n v="-47.341439999999999"/>
    <n v="0"/>
    <x v="0"/>
    <n v="0"/>
    <n v="0"/>
    <n v="31"/>
    <n v="59"/>
    <n v="0"/>
    <n v="87.73"/>
    <n v="253.9"/>
    <m/>
    <n v="67.376989053363516"/>
    <n v="317.3874512882154"/>
    <n v="0"/>
    <n v="-4153.2645312000004"/>
    <n v="-12019.991615999999"/>
    <n v="0"/>
    <n v="-3189.7236846504657"/>
    <n v="-15025.578981913972"/>
  </r>
  <r>
    <s v="Sistema Isolado - Regular"/>
    <x v="0"/>
    <x v="1"/>
    <x v="5"/>
    <x v="2"/>
    <x v="0"/>
    <x v="0"/>
    <x v="0"/>
    <x v="4"/>
    <n v="0"/>
    <n v="0"/>
    <n v="113.63500000000001"/>
    <n v="109.0896"/>
    <n v="113.63500000000001"/>
    <n v="109.0896"/>
    <n v="0"/>
    <x v="0"/>
    <n v="0"/>
    <n v="0"/>
    <n v="31"/>
    <n v="59"/>
    <n v="0"/>
    <n v="87.73"/>
    <n v="253.9"/>
    <m/>
    <n v="67.376989053363516"/>
    <n v="317.3874512882154"/>
    <n v="0"/>
    <n v="9570.4306080000006"/>
    <n v="27697.849440000002"/>
    <n v="0"/>
    <n v="7350.1287850358049"/>
    <n v="34623.670106050908"/>
  </r>
  <r>
    <s v="Sistema Isolado - Refaturamento"/>
    <x v="0"/>
    <x v="1"/>
    <x v="5"/>
    <x v="2"/>
    <x v="0"/>
    <x v="0"/>
    <x v="0"/>
    <x v="4"/>
    <n v="0"/>
    <n v="0"/>
    <n v="83.165000000000006"/>
    <n v="79.838400000000007"/>
    <n v="83.165000000000006"/>
    <n v="79.838400000000007"/>
    <n v="0"/>
    <x v="0"/>
    <n v="0"/>
    <n v="0"/>
    <n v="31"/>
    <n v="59"/>
    <n v="0"/>
    <n v="87.73"/>
    <n v="253.9"/>
    <m/>
    <n v="67.376989053363516"/>
    <n v="317.3874512882154"/>
    <n v="0"/>
    <n v="7004.2228320000013"/>
    <n v="20270.969760000004"/>
    <n v="0"/>
    <n v="5379.2710028380579"/>
    <n v="25339.706290929058"/>
  </r>
  <r>
    <s v="Sistema Isolado - Regular"/>
    <x v="0"/>
    <x v="1"/>
    <x v="5"/>
    <x v="2"/>
    <x v="0"/>
    <x v="0"/>
    <x v="0"/>
    <x v="5"/>
    <n v="0"/>
    <n v="0"/>
    <n v="113.63500000000001"/>
    <n v="109.0896"/>
    <n v="113.63500000000001"/>
    <n v="109.0896"/>
    <n v="0"/>
    <x v="0"/>
    <n v="0"/>
    <n v="0"/>
    <n v="31"/>
    <n v="59"/>
    <n v="0"/>
    <n v="87.73"/>
    <n v="253.9"/>
    <m/>
    <n v="67.376989053363516"/>
    <n v="317.3874512882154"/>
    <n v="0"/>
    <n v="9570.4306080000006"/>
    <n v="27697.849440000002"/>
    <n v="0"/>
    <n v="7350.1287850358049"/>
    <n v="34623.670106050908"/>
  </r>
  <r>
    <s v="Sistema Isolado - Refaturamento"/>
    <x v="0"/>
    <x v="1"/>
    <x v="5"/>
    <x v="2"/>
    <x v="0"/>
    <x v="0"/>
    <x v="0"/>
    <x v="5"/>
    <n v="0"/>
    <n v="0"/>
    <n v="83.165000000000006"/>
    <n v="79.838400000000007"/>
    <n v="83.165000000000006"/>
    <n v="79.838400000000007"/>
    <n v="0"/>
    <x v="0"/>
    <n v="0"/>
    <n v="0"/>
    <n v="31"/>
    <n v="59"/>
    <n v="0"/>
    <n v="87.73"/>
    <n v="253.9"/>
    <m/>
    <n v="67.376989053363516"/>
    <n v="317.3874512882154"/>
    <n v="0"/>
    <n v="7004.2228320000013"/>
    <n v="20270.969760000004"/>
    <n v="0"/>
    <n v="5379.2710028380579"/>
    <n v="25339.706290929058"/>
  </r>
  <r>
    <s v="Sistema Isolado - Regular"/>
    <x v="0"/>
    <x v="1"/>
    <x v="5"/>
    <x v="2"/>
    <x v="0"/>
    <x v="0"/>
    <x v="0"/>
    <x v="6"/>
    <n v="0"/>
    <n v="0"/>
    <n v="24.876999999999999"/>
    <n v="23.881919999999997"/>
    <n v="24.876999999999999"/>
    <n v="23.881919999999997"/>
    <n v="0"/>
    <x v="0"/>
    <n v="0"/>
    <n v="0"/>
    <n v="31"/>
    <n v="59"/>
    <n v="0"/>
    <n v="87.73"/>
    <n v="253.9"/>
    <m/>
    <n v="67.376989053363516"/>
    <n v="317.3874512882154"/>
    <n v="0"/>
    <n v="2095.1608415999999"/>
    <n v="6063.6194879999994"/>
    <n v="0"/>
    <n v="1609.091862413303"/>
    <n v="7579.821720669056"/>
  </r>
  <r>
    <s v="Sistema Isolado - Refaturamento"/>
    <x v="0"/>
    <x v="1"/>
    <x v="5"/>
    <x v="2"/>
    <x v="0"/>
    <x v="0"/>
    <x v="0"/>
    <x v="6"/>
    <n v="0"/>
    <n v="0"/>
    <n v="-270.83999999999997"/>
    <n v="-260.00639999999999"/>
    <n v="-270.83999999999997"/>
    <n v="-260.00639999999999"/>
    <n v="0"/>
    <x v="0"/>
    <n v="0"/>
    <n v="0"/>
    <n v="31"/>
    <n v="59"/>
    <n v="0"/>
    <n v="87.73"/>
    <n v="253.9"/>
    <m/>
    <n v="67.376989053363516"/>
    <n v="317.3874512882154"/>
    <n v="0"/>
    <n v="-22810.361472000001"/>
    <n v="-66015.624960000001"/>
    <n v="0"/>
    <n v="-17518.448366604454"/>
    <n v="-82522.768614624249"/>
  </r>
  <r>
    <s v="Sistema Isolado - Regular"/>
    <x v="0"/>
    <x v="1"/>
    <x v="5"/>
    <x v="2"/>
    <x v="0"/>
    <x v="0"/>
    <x v="0"/>
    <x v="7"/>
    <n v="0"/>
    <n v="0"/>
    <n v="15.004"/>
    <n v="14.403839999999999"/>
    <n v="15.004"/>
    <n v="14.403839999999999"/>
    <n v="0"/>
    <x v="0"/>
    <n v="0"/>
    <n v="0"/>
    <n v="31"/>
    <n v="59"/>
    <n v="0"/>
    <n v="87.73"/>
    <n v="253.9"/>
    <m/>
    <n v="67.376989053363516"/>
    <n v="317.3874512882154"/>
    <n v="0"/>
    <n v="1263.6488832"/>
    <n v="3657.1349759999998"/>
    <n v="0"/>
    <n v="970.48737000639949"/>
    <n v="4571.5980663632481"/>
  </r>
  <r>
    <s v="Sistema Isolado - Regular"/>
    <x v="0"/>
    <x v="1"/>
    <x v="5"/>
    <x v="2"/>
    <x v="0"/>
    <x v="0"/>
    <x v="0"/>
    <x v="8"/>
    <n v="0"/>
    <n v="0"/>
    <n v="16.501000000000001"/>
    <n v="15.840960000000001"/>
    <n v="16.501000000000001"/>
    <n v="15.840960000000001"/>
    <n v="0"/>
    <x v="0"/>
    <n v="0"/>
    <n v="0"/>
    <n v="31"/>
    <n v="59"/>
    <n v="0"/>
    <n v="87.73"/>
    <n v="253.9"/>
    <m/>
    <n v="67.376989053363516"/>
    <n v="317.3874512882154"/>
    <n v="0"/>
    <n v="1389.7274208000001"/>
    <n v="4022.0197440000002"/>
    <n v="0"/>
    <n v="1067.3161885147695"/>
    <n v="5027.7219203585692"/>
  </r>
  <r>
    <s v="Sistema Isolado - Regular"/>
    <x v="0"/>
    <x v="1"/>
    <x v="5"/>
    <x v="2"/>
    <x v="0"/>
    <x v="0"/>
    <x v="0"/>
    <x v="9"/>
    <n v="0"/>
    <n v="0"/>
    <n v="87.394000000000005"/>
    <n v="83.898240000000001"/>
    <n v="87.394000000000005"/>
    <n v="83.898240000000001"/>
    <n v="0"/>
    <x v="0"/>
    <n v="0"/>
    <n v="0"/>
    <n v="31"/>
    <n v="59"/>
    <n v="0"/>
    <n v="87.73"/>
    <n v="253.9"/>
    <m/>
    <n v="67.376989053363516"/>
    <n v="317.3874512882154"/>
    <n v="0"/>
    <n v="7360.3925952000009"/>
    <n v="21301.763136000001"/>
    <n v="0"/>
    <n v="5652.8107980764653"/>
    <n v="26628.248561167005"/>
  </r>
  <r>
    <s v="Sistema Isolado - Regular"/>
    <x v="0"/>
    <x v="1"/>
    <x v="5"/>
    <x v="2"/>
    <x v="0"/>
    <x v="0"/>
    <x v="0"/>
    <x v="10"/>
    <n v="0"/>
    <n v="0"/>
    <n v="147.00399999999999"/>
    <n v="141.12383999999997"/>
    <n v="147.00399999999999"/>
    <n v="141.12383999999997"/>
    <n v="0"/>
    <x v="0"/>
    <n v="0"/>
    <n v="0"/>
    <n v="31"/>
    <n v="59"/>
    <n v="0"/>
    <n v="87.73"/>
    <n v="253.9"/>
    <m/>
    <n v="67.376989053363516"/>
    <n v="317.3874512882154"/>
    <n v="0"/>
    <n v="12380.794483199998"/>
    <n v="35831.342975999993"/>
    <n v="0"/>
    <n v="9508.499422848623"/>
    <n v="44790.935893605892"/>
  </r>
  <r>
    <s v="PROJETADO"/>
    <x v="0"/>
    <x v="1"/>
    <x v="5"/>
    <x v="2"/>
    <x v="0"/>
    <x v="0"/>
    <x v="0"/>
    <x v="11"/>
    <n v="0"/>
    <n v="0"/>
    <n v="147.00399999999999"/>
    <n v="141.12383999999997"/>
    <n v="147.00399999999999"/>
    <n v="141.12383999999997"/>
    <n v="0"/>
    <x v="0"/>
    <n v="0"/>
    <n v="0"/>
    <n v="31"/>
    <n v="59"/>
    <n v="0"/>
    <n v="87.73"/>
    <n v="253.9"/>
    <m/>
    <n v="67.376989053363516"/>
    <n v="317.3874512882154"/>
    <n v="0"/>
    <n v="12380.794483199998"/>
    <n v="35831.342975999993"/>
    <n v="0"/>
    <n v="9508.499422848623"/>
    <n v="44790.935893605892"/>
  </r>
  <r>
    <s v="Sistema Isolado - Regular"/>
    <x v="0"/>
    <x v="1"/>
    <x v="5"/>
    <x v="2"/>
    <x v="0"/>
    <x v="0"/>
    <x v="2"/>
    <x v="0"/>
    <n v="2001"/>
    <n v="1920.96"/>
    <n v="0"/>
    <n v="0"/>
    <n v="0"/>
    <n v="0"/>
    <n v="13"/>
    <x v="0"/>
    <n v="0"/>
    <n v="18"/>
    <n v="0"/>
    <n v="0"/>
    <n v="14.64"/>
    <n v="0"/>
    <n v="0"/>
    <n v="19.024476785546895"/>
    <m/>
    <m/>
    <n v="28122.8544"/>
    <n v="0"/>
    <n v="0"/>
    <n v="36545.258925964161"/>
    <n v="0"/>
    <n v="0"/>
  </r>
  <r>
    <s v="Sistema Isolado - Regular"/>
    <x v="0"/>
    <x v="1"/>
    <x v="5"/>
    <x v="2"/>
    <x v="0"/>
    <x v="0"/>
    <x v="2"/>
    <x v="1"/>
    <n v="2081"/>
    <n v="1997.76"/>
    <n v="0"/>
    <n v="0"/>
    <n v="0"/>
    <n v="0"/>
    <n v="13"/>
    <x v="0"/>
    <n v="0"/>
    <n v="18"/>
    <n v="0"/>
    <n v="0"/>
    <n v="14.64"/>
    <n v="0"/>
    <n v="0"/>
    <n v="19.024476785546895"/>
    <m/>
    <m/>
    <n v="29247.206400000003"/>
    <n v="0"/>
    <n v="0"/>
    <n v="38006.338743094166"/>
    <n v="0"/>
    <n v="0"/>
  </r>
  <r>
    <s v="Sistema Isolado - Regular"/>
    <x v="0"/>
    <x v="1"/>
    <x v="5"/>
    <x v="2"/>
    <x v="0"/>
    <x v="0"/>
    <x v="2"/>
    <x v="2"/>
    <n v="2954"/>
    <n v="2835.8399999999997"/>
    <n v="0"/>
    <n v="0"/>
    <n v="0"/>
    <n v="0"/>
    <n v="16"/>
    <x v="0"/>
    <n v="0"/>
    <n v="18"/>
    <n v="0"/>
    <n v="0"/>
    <n v="14.64"/>
    <n v="0"/>
    <n v="0"/>
    <n v="19.024476785546895"/>
    <m/>
    <m/>
    <n v="41516.6976"/>
    <n v="0"/>
    <n v="0"/>
    <n v="53950.372247525302"/>
    <n v="0"/>
    <n v="0"/>
  </r>
  <r>
    <s v="Sistema Isolado - Regular"/>
    <x v="0"/>
    <x v="1"/>
    <x v="5"/>
    <x v="2"/>
    <x v="0"/>
    <x v="0"/>
    <x v="2"/>
    <x v="3"/>
    <n v="2358"/>
    <n v="2263.6799999999998"/>
    <n v="0"/>
    <n v="0"/>
    <n v="0"/>
    <n v="0"/>
    <n v="16"/>
    <x v="0"/>
    <n v="0"/>
    <n v="18"/>
    <n v="0"/>
    <n v="0"/>
    <n v="14.64"/>
    <n v="0"/>
    <n v="0"/>
    <n v="19.024476785546895"/>
    <m/>
    <m/>
    <n v="33140.275199999996"/>
    <n v="0"/>
    <n v="0"/>
    <n v="43065.327609906795"/>
    <n v="0"/>
    <n v="0"/>
  </r>
  <r>
    <s v="Sistema Isolado - Refaturamento"/>
    <x v="0"/>
    <x v="1"/>
    <x v="5"/>
    <x v="2"/>
    <x v="0"/>
    <x v="0"/>
    <x v="2"/>
    <x v="3"/>
    <n v="-307"/>
    <n v="-294.71999999999997"/>
    <n v="0"/>
    <n v="0"/>
    <n v="0"/>
    <n v="0"/>
    <n v="-1"/>
    <x v="0"/>
    <n v="0"/>
    <n v="18"/>
    <n v="0"/>
    <n v="0"/>
    <n v="14.64"/>
    <n v="0"/>
    <n v="0"/>
    <n v="19.024476785546895"/>
    <m/>
    <m/>
    <n v="-4314.7007999999996"/>
    <n v="0"/>
    <n v="0"/>
    <n v="-5606.8937982363805"/>
    <n v="0"/>
    <n v="0"/>
  </r>
  <r>
    <s v="Sistema Isolado - Regular"/>
    <x v="0"/>
    <x v="1"/>
    <x v="5"/>
    <x v="2"/>
    <x v="0"/>
    <x v="0"/>
    <x v="2"/>
    <x v="4"/>
    <n v="2578"/>
    <n v="2474.88"/>
    <n v="0"/>
    <n v="0"/>
    <n v="0"/>
    <n v="0"/>
    <n v="15"/>
    <x v="0"/>
    <n v="0"/>
    <n v="18"/>
    <n v="0"/>
    <n v="0"/>
    <n v="14.64"/>
    <n v="0"/>
    <n v="0"/>
    <n v="19.024476785546895"/>
    <m/>
    <m/>
    <n v="36232.243200000004"/>
    <n v="0"/>
    <n v="0"/>
    <n v="47083.297107014303"/>
    <n v="0"/>
    <n v="0"/>
  </r>
  <r>
    <s v="Sistema Isolado - Refaturamento"/>
    <x v="0"/>
    <x v="1"/>
    <x v="5"/>
    <x v="2"/>
    <x v="0"/>
    <x v="0"/>
    <x v="2"/>
    <x v="4"/>
    <n v="211"/>
    <n v="202.56"/>
    <n v="0"/>
    <n v="0"/>
    <n v="0"/>
    <n v="0"/>
    <n v="0"/>
    <x v="0"/>
    <n v="0"/>
    <n v="18"/>
    <n v="0"/>
    <n v="0"/>
    <n v="14.64"/>
    <n v="0"/>
    <n v="0"/>
    <n v="19.024476785546895"/>
    <m/>
    <m/>
    <n v="2965.4784"/>
    <n v="0"/>
    <n v="0"/>
    <n v="3853.5980176803791"/>
    <n v="0"/>
    <n v="0"/>
  </r>
  <r>
    <s v="Sistema Isolado - Regular"/>
    <x v="0"/>
    <x v="1"/>
    <x v="5"/>
    <x v="2"/>
    <x v="0"/>
    <x v="0"/>
    <x v="2"/>
    <x v="5"/>
    <n v="2578"/>
    <n v="2474.88"/>
    <n v="0"/>
    <n v="0"/>
    <n v="0"/>
    <n v="0"/>
    <n v="15"/>
    <x v="0"/>
    <n v="0"/>
    <n v="18"/>
    <n v="0"/>
    <n v="0"/>
    <n v="14.64"/>
    <n v="0"/>
    <n v="0"/>
    <n v="19.024476785546895"/>
    <m/>
    <m/>
    <n v="36232.243200000004"/>
    <n v="0"/>
    <n v="0"/>
    <n v="47083.297107014303"/>
    <n v="0"/>
    <n v="0"/>
  </r>
  <r>
    <s v="Sistema Isolado - Refaturamento"/>
    <x v="0"/>
    <x v="1"/>
    <x v="5"/>
    <x v="2"/>
    <x v="0"/>
    <x v="0"/>
    <x v="2"/>
    <x v="5"/>
    <n v="211"/>
    <n v="202.56"/>
    <n v="0"/>
    <n v="0"/>
    <n v="0"/>
    <n v="0"/>
    <n v="0"/>
    <x v="0"/>
    <n v="0"/>
    <n v="18"/>
    <n v="0"/>
    <n v="0"/>
    <n v="14.64"/>
    <n v="0"/>
    <n v="0"/>
    <n v="19.024476785546895"/>
    <m/>
    <m/>
    <n v="2965.4784"/>
    <n v="0"/>
    <n v="0"/>
    <n v="3853.5980176803791"/>
    <n v="0"/>
    <n v="0"/>
  </r>
  <r>
    <s v="Sistema Isolado - Regular"/>
    <x v="0"/>
    <x v="1"/>
    <x v="5"/>
    <x v="2"/>
    <x v="0"/>
    <x v="0"/>
    <x v="2"/>
    <x v="6"/>
    <n v="480"/>
    <n v="460.79999999999995"/>
    <n v="0"/>
    <n v="0"/>
    <n v="0"/>
    <n v="0"/>
    <n v="14"/>
    <x v="0"/>
    <n v="0"/>
    <n v="18"/>
    <n v="0"/>
    <n v="0"/>
    <n v="14.64"/>
    <n v="0"/>
    <n v="0"/>
    <n v="19.024476785546895"/>
    <m/>
    <m/>
    <n v="6746.1119999999992"/>
    <n v="0"/>
    <n v="0"/>
    <n v="8766.4789027800089"/>
    <n v="0"/>
    <n v="0"/>
  </r>
  <r>
    <s v="Sistema Isolado - Regular"/>
    <x v="0"/>
    <x v="1"/>
    <x v="5"/>
    <x v="2"/>
    <x v="0"/>
    <x v="0"/>
    <x v="2"/>
    <x v="7"/>
    <n v="651"/>
    <n v="624.95999999999992"/>
    <n v="0"/>
    <n v="0"/>
    <n v="0"/>
    <n v="0"/>
    <n v="15"/>
    <x v="0"/>
    <n v="0"/>
    <n v="18"/>
    <n v="0"/>
    <n v="0"/>
    <n v="14.64"/>
    <n v="0"/>
    <n v="0"/>
    <n v="19.024476785546895"/>
    <m/>
    <m/>
    <n v="9149.4143999999997"/>
    <n v="0"/>
    <n v="0"/>
    <n v="11889.537011895385"/>
    <n v="0"/>
    <n v="0"/>
  </r>
  <r>
    <s v="Sistema Isolado - Regular"/>
    <x v="0"/>
    <x v="1"/>
    <x v="5"/>
    <x v="2"/>
    <x v="0"/>
    <x v="0"/>
    <x v="2"/>
    <x v="8"/>
    <n v="464"/>
    <n v="445.44"/>
    <n v="0"/>
    <n v="0"/>
    <n v="0"/>
    <n v="0"/>
    <n v="14"/>
    <x v="0"/>
    <n v="0"/>
    <n v="18"/>
    <n v="0"/>
    <n v="0"/>
    <n v="14.64"/>
    <n v="0"/>
    <n v="0"/>
    <n v="19.024476785546895"/>
    <m/>
    <m/>
    <n v="6521.2416000000003"/>
    <n v="0"/>
    <n v="0"/>
    <n v="8474.2629393540083"/>
    <n v="0"/>
    <n v="0"/>
  </r>
  <r>
    <s v="Sistema Isolado - Regular"/>
    <x v="0"/>
    <x v="1"/>
    <x v="5"/>
    <x v="2"/>
    <x v="0"/>
    <x v="0"/>
    <x v="2"/>
    <x v="9"/>
    <n v="1392"/>
    <n v="1336.32"/>
    <n v="0"/>
    <n v="0"/>
    <n v="0"/>
    <n v="0"/>
    <n v="15"/>
    <x v="0"/>
    <n v="0"/>
    <n v="18"/>
    <n v="0"/>
    <n v="0"/>
    <n v="14.64"/>
    <n v="0"/>
    <n v="0"/>
    <n v="19.024476785546895"/>
    <m/>
    <m/>
    <n v="19563.7248"/>
    <n v="0"/>
    <n v="0"/>
    <n v="25422.788818062025"/>
    <n v="0"/>
    <n v="0"/>
  </r>
  <r>
    <s v="Sistema Isolado - Regular"/>
    <x v="0"/>
    <x v="1"/>
    <x v="5"/>
    <x v="2"/>
    <x v="0"/>
    <x v="0"/>
    <x v="2"/>
    <x v="10"/>
    <n v="1521"/>
    <n v="1460.1599999999999"/>
    <n v="0"/>
    <n v="0"/>
    <n v="0"/>
    <n v="0"/>
    <n v="16"/>
    <x v="0"/>
    <n v="0"/>
    <n v="18"/>
    <n v="0"/>
    <n v="0"/>
    <n v="14.64"/>
    <n v="0"/>
    <n v="0"/>
    <n v="19.024476785546895"/>
    <m/>
    <m/>
    <n v="21376.742399999999"/>
    <n v="0"/>
    <n v="0"/>
    <n v="27778.78002318415"/>
    <n v="0"/>
    <n v="0"/>
  </r>
  <r>
    <s v="PROJETADO"/>
    <x v="0"/>
    <x v="1"/>
    <x v="5"/>
    <x v="2"/>
    <x v="0"/>
    <x v="0"/>
    <x v="2"/>
    <x v="11"/>
    <n v="1521"/>
    <n v="1460.1599999999999"/>
    <n v="0"/>
    <n v="0"/>
    <n v="0"/>
    <n v="0"/>
    <n v="16"/>
    <x v="0"/>
    <n v="0"/>
    <n v="18"/>
    <n v="0"/>
    <n v="0"/>
    <n v="14.64"/>
    <n v="0"/>
    <n v="0"/>
    <n v="19.024476785546895"/>
    <m/>
    <m/>
    <n v="21376.742399999999"/>
    <n v="0"/>
    <n v="0"/>
    <n v="27778.78002318415"/>
    <n v="0"/>
    <n v="0"/>
  </r>
  <r>
    <s v="Sistema Isolado - Regular"/>
    <x v="0"/>
    <x v="1"/>
    <x v="5"/>
    <x v="2"/>
    <x v="0"/>
    <x v="0"/>
    <x v="1"/>
    <x v="0"/>
    <n v="0"/>
    <n v="0"/>
    <n v="11.041"/>
    <n v="10.599360000000001"/>
    <n v="11.041"/>
    <n v="10.599360000000001"/>
    <n v="0"/>
    <x v="0"/>
    <n v="0"/>
    <n v="0"/>
    <n v="11"/>
    <n v="71"/>
    <n v="0"/>
    <n v="1155.51"/>
    <n v="433.77"/>
    <m/>
    <n v="1456.3363071141353"/>
    <n v="542.84414704984056"/>
    <n v="0"/>
    <n v="12247.6664736"/>
    <n v="4597.6843871999999"/>
    <n v="0"/>
    <n v="15436.232800173282"/>
    <n v="5753.8005384741982"/>
  </r>
  <r>
    <s v="Sistema Isolado - Regular"/>
    <x v="0"/>
    <x v="1"/>
    <x v="5"/>
    <x v="2"/>
    <x v="0"/>
    <x v="0"/>
    <x v="1"/>
    <x v="1"/>
    <n v="0"/>
    <n v="0"/>
    <n v="20.324000000000002"/>
    <n v="19.511040000000001"/>
    <n v="20.324000000000002"/>
    <n v="19.511040000000001"/>
    <n v="0"/>
    <x v="0"/>
    <n v="0"/>
    <n v="0"/>
    <n v="11"/>
    <n v="71"/>
    <n v="0"/>
    <n v="1155.51"/>
    <n v="433.77"/>
    <m/>
    <n v="1456.3363071141353"/>
    <n v="542.84414704984056"/>
    <n v="0"/>
    <n v="22545.201830400001"/>
    <n v="8463.3038207999998"/>
    <n v="0"/>
    <n v="28414.635941556178"/>
    <n v="10591.453866855321"/>
  </r>
  <r>
    <s v="Sistema Isolado - Regular"/>
    <x v="0"/>
    <x v="1"/>
    <x v="5"/>
    <x v="2"/>
    <x v="0"/>
    <x v="0"/>
    <x v="1"/>
    <x v="2"/>
    <n v="0"/>
    <n v="0"/>
    <n v="21.841000000000001"/>
    <n v="20.967359999999999"/>
    <n v="21.841000000000001"/>
    <n v="20.967359999999999"/>
    <n v="0"/>
    <x v="0"/>
    <n v="0"/>
    <n v="0"/>
    <n v="11"/>
    <n v="71"/>
    <n v="0"/>
    <n v="1155.51"/>
    <n v="433.77"/>
    <m/>
    <n v="1456.3363071141353"/>
    <n v="542.84414704984056"/>
    <n v="0"/>
    <n v="24227.994153600001"/>
    <n v="9095.0117472000002"/>
    <n v="0"/>
    <n v="30535.527632332632"/>
    <n v="11382.008655086944"/>
  </r>
  <r>
    <s v="Sistema Isolado - Regular"/>
    <x v="0"/>
    <x v="1"/>
    <x v="5"/>
    <x v="2"/>
    <x v="0"/>
    <x v="0"/>
    <x v="1"/>
    <x v="3"/>
    <n v="0"/>
    <n v="0"/>
    <n v="24.782"/>
    <n v="23.79072"/>
    <n v="24.782"/>
    <n v="23.79072"/>
    <n v="0"/>
    <x v="0"/>
    <n v="0"/>
    <n v="0"/>
    <n v="11"/>
    <n v="71"/>
    <n v="0"/>
    <n v="1155.51"/>
    <n v="433.77"/>
    <m/>
    <n v="1456.3363071141353"/>
    <n v="542.84414704984056"/>
    <n v="0"/>
    <n v="27490.414867200001"/>
    <n v="10319.700614399999"/>
    <n v="0"/>
    <n v="34647.289308386404"/>
    <n v="12914.653106101583"/>
  </r>
  <r>
    <s v="Sistema Isolado - Refaturamento"/>
    <x v="0"/>
    <x v="1"/>
    <x v="5"/>
    <x v="2"/>
    <x v="0"/>
    <x v="0"/>
    <x v="1"/>
    <x v="3"/>
    <n v="0"/>
    <n v="0"/>
    <n v="-1.3069999999999999"/>
    <n v="-1.2547199999999998"/>
    <n v="-1.3069999999999999"/>
    <n v="-1.2547199999999998"/>
    <n v="0"/>
    <x v="0"/>
    <n v="0"/>
    <n v="0"/>
    <n v="11"/>
    <n v="71"/>
    <n v="0"/>
    <n v="1155.51"/>
    <n v="433.77"/>
    <m/>
    <n v="1456.3363071141353"/>
    <n v="542.84414704984056"/>
    <n v="0"/>
    <n v="-1449.8415071999998"/>
    <n v="-544.25989439999989"/>
    <n v="0"/>
    <n v="-1827.2942912622475"/>
    <n v="-681.11740818637588"/>
  </r>
  <r>
    <s v="Sistema Isolado - Regular"/>
    <x v="0"/>
    <x v="1"/>
    <x v="5"/>
    <x v="2"/>
    <x v="0"/>
    <x v="0"/>
    <x v="1"/>
    <x v="4"/>
    <n v="0"/>
    <n v="0"/>
    <n v="12.180999999999999"/>
    <n v="11.693759999999999"/>
    <n v="12.180999999999999"/>
    <n v="11.693759999999999"/>
    <n v="0"/>
    <x v="0"/>
    <n v="0"/>
    <n v="0"/>
    <n v="11"/>
    <n v="71"/>
    <n v="0"/>
    <n v="1155.51"/>
    <n v="433.77"/>
    <m/>
    <n v="1456.3363071141353"/>
    <n v="542.84414704984056"/>
    <n v="0"/>
    <n v="13512.256617599998"/>
    <n v="5072.4022751999992"/>
    <n v="0"/>
    <n v="17030.04725467899"/>
    <n v="6347.8891730055429"/>
  </r>
  <r>
    <s v="Sistema Isolado - Refaturamento"/>
    <x v="0"/>
    <x v="1"/>
    <x v="5"/>
    <x v="2"/>
    <x v="0"/>
    <x v="0"/>
    <x v="1"/>
    <x v="4"/>
    <n v="0"/>
    <n v="0"/>
    <n v="8.8490000000000002"/>
    <n v="8.4950399999999995"/>
    <n v="8.8490000000000002"/>
    <n v="8.4950399999999995"/>
    <n v="0"/>
    <x v="0"/>
    <n v="0"/>
    <n v="0"/>
    <n v="11"/>
    <n v="71"/>
    <n v="0"/>
    <n v="1155.51"/>
    <n v="433.77"/>
    <m/>
    <n v="1456.3363071141353"/>
    <n v="542.84414704984056"/>
    <n v="0"/>
    <n v="9816.1036703999998"/>
    <n v="3684.8935007999994"/>
    <n v="0"/>
    <n v="12371.635182386863"/>
    <n v="4611.4827429542775"/>
  </r>
  <r>
    <s v="Sistema Isolado - Regular"/>
    <x v="0"/>
    <x v="1"/>
    <x v="5"/>
    <x v="2"/>
    <x v="0"/>
    <x v="0"/>
    <x v="1"/>
    <x v="5"/>
    <n v="0"/>
    <n v="0"/>
    <n v="12.180999999999999"/>
    <n v="11.693759999999999"/>
    <n v="12.180999999999999"/>
    <n v="11.693759999999999"/>
    <n v="0"/>
    <x v="0"/>
    <n v="0"/>
    <n v="0"/>
    <n v="11"/>
    <n v="71"/>
    <n v="0"/>
    <n v="1155.51"/>
    <n v="433.77"/>
    <m/>
    <n v="1456.3363071141353"/>
    <n v="542.84414704984056"/>
    <n v="0"/>
    <n v="13512.256617599998"/>
    <n v="5072.4022751999992"/>
    <n v="0"/>
    <n v="17030.04725467899"/>
    <n v="6347.8891730055429"/>
  </r>
  <r>
    <s v="Sistema Isolado - Refaturamento"/>
    <x v="0"/>
    <x v="1"/>
    <x v="5"/>
    <x v="2"/>
    <x v="0"/>
    <x v="0"/>
    <x v="1"/>
    <x v="5"/>
    <n v="0"/>
    <n v="0"/>
    <n v="8.8490000000000002"/>
    <n v="8.4950399999999995"/>
    <n v="8.8490000000000002"/>
    <n v="8.4950399999999995"/>
    <n v="0"/>
    <x v="0"/>
    <n v="0"/>
    <n v="0"/>
    <n v="11"/>
    <n v="71"/>
    <n v="0"/>
    <n v="1155.51"/>
    <n v="433.77"/>
    <m/>
    <n v="1456.3363071141353"/>
    <n v="542.84414704984056"/>
    <n v="0"/>
    <n v="9816.1036703999998"/>
    <n v="3684.8935007999994"/>
    <n v="0"/>
    <n v="12371.635182386863"/>
    <n v="4611.4827429542775"/>
  </r>
  <r>
    <s v="Sistema Isolado - Regular"/>
    <x v="0"/>
    <x v="1"/>
    <x v="5"/>
    <x v="2"/>
    <x v="0"/>
    <x v="0"/>
    <x v="1"/>
    <x v="6"/>
    <n v="0"/>
    <n v="0"/>
    <n v="2.996"/>
    <n v="2.87616"/>
    <n v="2.996"/>
    <n v="2.87616"/>
    <n v="0"/>
    <x v="0"/>
    <n v="0"/>
    <n v="0"/>
    <n v="11"/>
    <n v="71"/>
    <n v="0"/>
    <n v="1155.51"/>
    <n v="433.77"/>
    <m/>
    <n v="1456.3363071141353"/>
    <n v="542.84414704984056"/>
    <n v="0"/>
    <n v="3323.4316416000001"/>
    <n v="1247.5919231999999"/>
    <n v="0"/>
    <n v="4188.6562330693914"/>
    <n v="1561.3066219788695"/>
  </r>
  <r>
    <s v="Sistema Isolado - Refaturamento"/>
    <x v="0"/>
    <x v="1"/>
    <x v="5"/>
    <x v="2"/>
    <x v="0"/>
    <x v="0"/>
    <x v="1"/>
    <x v="6"/>
    <n v="0"/>
    <n v="0"/>
    <n v="-31.196000000000002"/>
    <n v="-29.948160000000001"/>
    <n v="-31.196000000000002"/>
    <n v="-29.948160000000001"/>
    <n v="0"/>
    <x v="0"/>
    <n v="0"/>
    <n v="0"/>
    <n v="11"/>
    <n v="71"/>
    <n v="0"/>
    <n v="1155.51"/>
    <n v="433.77"/>
    <m/>
    <n v="1456.3363071141353"/>
    <n v="542.84414704984056"/>
    <n v="0"/>
    <n v="-34605.398361600004"/>
    <n v="-12990.6133632"/>
    <n v="0"/>
    <n v="-43614.592739263266"/>
    <n v="-16257.183370912153"/>
  </r>
  <r>
    <s v="Sistema Isolado - Regular"/>
    <x v="0"/>
    <x v="1"/>
    <x v="5"/>
    <x v="2"/>
    <x v="0"/>
    <x v="0"/>
    <x v="1"/>
    <x v="7"/>
    <n v="0"/>
    <n v="0"/>
    <n v="1.722"/>
    <n v="1.6531199999999999"/>
    <n v="1.722"/>
    <n v="1.6531199999999999"/>
    <n v="0"/>
    <x v="0"/>
    <n v="0"/>
    <n v="0"/>
    <n v="11"/>
    <n v="71"/>
    <n v="0"/>
    <n v="1155.51"/>
    <n v="433.77"/>
    <m/>
    <n v="1456.3363071141353"/>
    <n v="542.84414704984056"/>
    <n v="0"/>
    <n v="1910.1966911999998"/>
    <n v="717.07386239999994"/>
    <n v="0"/>
    <n v="2407.4986760165193"/>
    <n v="897.38651637103237"/>
  </r>
  <r>
    <s v="Sistema Isolado - Regular"/>
    <x v="0"/>
    <x v="1"/>
    <x v="5"/>
    <x v="2"/>
    <x v="0"/>
    <x v="0"/>
    <x v="1"/>
    <x v="8"/>
    <n v="0"/>
    <n v="0"/>
    <n v="1.9039999999999999"/>
    <n v="1.8278399999999999"/>
    <n v="1.9039999999999999"/>
    <n v="1.8278399999999999"/>
    <n v="0"/>
    <x v="0"/>
    <n v="0"/>
    <n v="0"/>
    <n v="11"/>
    <n v="71"/>
    <n v="0"/>
    <n v="1155.51"/>
    <n v="433.77"/>
    <m/>
    <n v="1456.3363071141353"/>
    <n v="542.84414704984056"/>
    <n v="0"/>
    <n v="2112.0873984"/>
    <n v="792.86215679999998"/>
    <n v="0"/>
    <n v="2661.9497555955008"/>
    <n v="992.23224574358051"/>
  </r>
  <r>
    <s v="Sistema Isolado - Regular"/>
    <x v="0"/>
    <x v="1"/>
    <x v="5"/>
    <x v="2"/>
    <x v="0"/>
    <x v="0"/>
    <x v="1"/>
    <x v="9"/>
    <n v="0"/>
    <n v="0"/>
    <n v="4.9359999999999999"/>
    <n v="4.7385599999999997"/>
    <n v="4.9359999999999999"/>
    <n v="4.7385599999999997"/>
    <n v="0"/>
    <x v="0"/>
    <n v="0"/>
    <n v="0"/>
    <n v="11"/>
    <n v="71"/>
    <n v="0"/>
    <n v="1155.51"/>
    <n v="433.77"/>
    <m/>
    <n v="1456.3363071141353"/>
    <n v="542.84414704984056"/>
    <n v="0"/>
    <n v="5475.4534655999996"/>
    <n v="2055.4451711999995"/>
    <n v="0"/>
    <n v="6900.9369714387567"/>
    <n v="2572.2995614444922"/>
  </r>
  <r>
    <s v="Sistema Isolado - Regular"/>
    <x v="0"/>
    <x v="1"/>
    <x v="5"/>
    <x v="2"/>
    <x v="0"/>
    <x v="0"/>
    <x v="1"/>
    <x v="10"/>
    <n v="0"/>
    <n v="0"/>
    <n v="3.6779999999999999"/>
    <n v="3.5308799999999998"/>
    <n v="3.6779999999999999"/>
    <n v="3.5308799999999998"/>
    <n v="0"/>
    <x v="0"/>
    <n v="0"/>
    <n v="0"/>
    <n v="11"/>
    <n v="71"/>
    <n v="0"/>
    <n v="1155.51"/>
    <n v="433.77"/>
    <m/>
    <n v="1456.3363071141353"/>
    <n v="542.84414704984056"/>
    <n v="0"/>
    <n v="4079.9671487999999"/>
    <n v="1531.5898175999998"/>
    <n v="0"/>
    <n v="5142.1487400631577"/>
    <n v="1916.7175419353409"/>
  </r>
  <r>
    <s v="PROJETADO"/>
    <x v="0"/>
    <x v="1"/>
    <x v="5"/>
    <x v="2"/>
    <x v="0"/>
    <x v="0"/>
    <x v="1"/>
    <x v="11"/>
    <n v="0"/>
    <n v="0"/>
    <n v="3.6779999999999999"/>
    <n v="3.5308799999999998"/>
    <n v="3.6779999999999999"/>
    <n v="3.5308799999999998"/>
    <n v="0"/>
    <x v="0"/>
    <n v="0"/>
    <n v="0"/>
    <n v="11"/>
    <n v="71"/>
    <n v="0"/>
    <n v="1155.51"/>
    <n v="433.77"/>
    <m/>
    <n v="1456.3363071141353"/>
    <n v="542.84414704984056"/>
    <n v="0"/>
    <n v="4079.9671487999999"/>
    <n v="1531.5898175999998"/>
    <n v="0"/>
    <n v="5142.1487400631577"/>
    <n v="1916.7175419353409"/>
  </r>
  <r>
    <s v="Sistema Isolado - Regular"/>
    <x v="0"/>
    <x v="1"/>
    <x v="5"/>
    <x v="0"/>
    <x v="0"/>
    <x v="0"/>
    <x v="0"/>
    <x v="0"/>
    <n v="0"/>
    <n v="0"/>
    <n v="362.14699999999999"/>
    <n v="347.66111999999998"/>
    <n v="362.14699999999999"/>
    <n v="347.66111999999998"/>
    <n v="0"/>
    <x v="0"/>
    <n v="0"/>
    <n v="0"/>
    <n v="31"/>
    <n v="59"/>
    <n v="0"/>
    <n v="87.73"/>
    <n v="253.9"/>
    <m/>
    <n v="67.376989053363516"/>
    <n v="317.3874512882154"/>
    <n v="0"/>
    <n v="30500.3100576"/>
    <n v="88271.158368000004"/>
    <n v="0"/>
    <n v="23424.359476520098"/>
    <n v="110343.2767888064"/>
  </r>
  <r>
    <s v="Sistema Isolado - Regular"/>
    <x v="0"/>
    <x v="1"/>
    <x v="5"/>
    <x v="0"/>
    <x v="0"/>
    <x v="0"/>
    <x v="0"/>
    <x v="1"/>
    <n v="0"/>
    <n v="0"/>
    <n v="496.774"/>
    <n v="476.90303999999998"/>
    <n v="496.774"/>
    <n v="476.90303999999998"/>
    <n v="0"/>
    <x v="0"/>
    <n v="0"/>
    <n v="0"/>
    <n v="31"/>
    <n v="59"/>
    <n v="0"/>
    <n v="87.73"/>
    <n v="253.9"/>
    <m/>
    <n v="67.376989053363516"/>
    <n v="317.3874512882154"/>
    <n v="0"/>
    <n v="41838.703699199999"/>
    <n v="121085.681856"/>
    <n v="0"/>
    <n v="32132.290905595783"/>
    <n v="151363.04037720183"/>
  </r>
  <r>
    <s v="Sistema Isolado - Regular"/>
    <x v="0"/>
    <x v="1"/>
    <x v="5"/>
    <x v="0"/>
    <x v="0"/>
    <x v="0"/>
    <x v="0"/>
    <x v="2"/>
    <n v="0"/>
    <n v="0"/>
    <n v="838.00699999999995"/>
    <n v="804.48671999999988"/>
    <n v="838.00699999999995"/>
    <n v="804.48671999999988"/>
    <n v="0"/>
    <x v="0"/>
    <n v="0"/>
    <n v="0"/>
    <n v="31"/>
    <n v="59"/>
    <n v="0"/>
    <n v="87.73"/>
    <n v="253.9"/>
    <m/>
    <n v="67.376989053363516"/>
    <n v="317.3874512882154"/>
    <n v="0"/>
    <n v="70577.619945599989"/>
    <n v="204259.17820799997"/>
    <n v="0"/>
    <n v="54203.892927016313"/>
    <n v="255333.98965601614"/>
  </r>
  <r>
    <s v="Sistema Isolado - Regular"/>
    <x v="0"/>
    <x v="1"/>
    <x v="5"/>
    <x v="0"/>
    <x v="0"/>
    <x v="0"/>
    <x v="0"/>
    <x v="3"/>
    <n v="0"/>
    <n v="0"/>
    <n v="546.04499999999996"/>
    <n v="524.20319999999992"/>
    <n v="546.04499999999996"/>
    <n v="524.20319999999992"/>
    <n v="0"/>
    <x v="0"/>
    <n v="0"/>
    <n v="0"/>
    <n v="31"/>
    <n v="59"/>
    <n v="0"/>
    <n v="87.73"/>
    <n v="253.9"/>
    <m/>
    <n v="67.376989053363516"/>
    <n v="317.3874512882154"/>
    <n v="0"/>
    <n v="45988.346735999992"/>
    <n v="133095.19248"/>
    <n v="0"/>
    <n v="35319.233268138123"/>
    <n v="166375.5176051266"/>
  </r>
  <r>
    <s v="Sistema Isolado - Regular"/>
    <x v="0"/>
    <x v="1"/>
    <x v="5"/>
    <x v="0"/>
    <x v="0"/>
    <x v="0"/>
    <x v="0"/>
    <x v="4"/>
    <n v="0"/>
    <n v="0"/>
    <n v="193.53800000000001"/>
    <n v="185.79648"/>
    <n v="193.53800000000001"/>
    <n v="185.79648"/>
    <n v="0"/>
    <x v="0"/>
    <n v="0"/>
    <n v="0"/>
    <n v="31"/>
    <n v="59"/>
    <n v="0"/>
    <n v="87.73"/>
    <n v="253.9"/>
    <m/>
    <n v="67.376989053363516"/>
    <n v="317.3874512882154"/>
    <n v="0"/>
    <n v="16299.925190400001"/>
    <n v="47173.726272"/>
    <n v="0"/>
    <n v="12518.407399113474"/>
    <n v="58969.471245521891"/>
  </r>
  <r>
    <s v="Sistema Isolado - Regular"/>
    <x v="0"/>
    <x v="1"/>
    <x v="5"/>
    <x v="0"/>
    <x v="0"/>
    <x v="0"/>
    <x v="0"/>
    <x v="5"/>
    <n v="0"/>
    <n v="0"/>
    <n v="193.53800000000001"/>
    <n v="185.79648"/>
    <n v="193.53800000000001"/>
    <n v="185.79648"/>
    <n v="0"/>
    <x v="0"/>
    <n v="0"/>
    <n v="0"/>
    <n v="31"/>
    <n v="59"/>
    <n v="0"/>
    <n v="87.73"/>
    <n v="253.9"/>
    <m/>
    <n v="67.376989053363516"/>
    <n v="317.3874512882154"/>
    <n v="0"/>
    <n v="16299.925190400001"/>
    <n v="47173.726272"/>
    <n v="0"/>
    <n v="12518.407399113474"/>
    <n v="58969.471245521891"/>
  </r>
  <r>
    <s v="Sistema Isolado - Regular"/>
    <x v="0"/>
    <x v="1"/>
    <x v="5"/>
    <x v="0"/>
    <x v="0"/>
    <x v="0"/>
    <x v="0"/>
    <x v="6"/>
    <n v="0"/>
    <n v="0"/>
    <n v="128.68899999999999"/>
    <n v="123.54143999999999"/>
    <n v="128.68899999999999"/>
    <n v="123.54143999999999"/>
    <n v="0"/>
    <x v="0"/>
    <n v="0"/>
    <n v="0"/>
    <n v="31"/>
    <n v="59"/>
    <n v="0"/>
    <n v="87.73"/>
    <n v="253.9"/>
    <m/>
    <n v="67.376989053363516"/>
    <n v="317.3874512882154"/>
    <n v="0"/>
    <n v="10838.2905312"/>
    <n v="31367.171616"/>
    <n v="0"/>
    <n v="8323.8502505167653"/>
    <n v="39210.502770075982"/>
  </r>
  <r>
    <s v="Sistema de Compensação"/>
    <x v="0"/>
    <x v="1"/>
    <x v="5"/>
    <x v="0"/>
    <x v="0"/>
    <x v="0"/>
    <x v="0"/>
    <x v="6"/>
    <n v="0"/>
    <n v="0"/>
    <n v="188.392"/>
    <n v="180.85631999999998"/>
    <n v="188.392"/>
    <n v="180.85631999999998"/>
    <n v="0"/>
    <x v="0"/>
    <n v="0"/>
    <n v="0"/>
    <n v="31"/>
    <n v="59"/>
    <n v="0"/>
    <n v="87.73"/>
    <n v="253.9"/>
    <m/>
    <n v="67.376989053363516"/>
    <n v="317.3874512882154"/>
    <n v="0"/>
    <n v="15866.524953599999"/>
    <n v="45919.419647999996"/>
    <n v="0"/>
    <n v="12185.554292871608"/>
    <n v="57401.526454165891"/>
  </r>
  <r>
    <s v="Sistema Isolado - Regular"/>
    <x v="0"/>
    <x v="1"/>
    <x v="5"/>
    <x v="0"/>
    <x v="0"/>
    <x v="0"/>
    <x v="0"/>
    <x v="7"/>
    <n v="0"/>
    <n v="0"/>
    <n v="116.25"/>
    <n v="111.6"/>
    <n v="116.25"/>
    <n v="111.6"/>
    <n v="0"/>
    <x v="0"/>
    <n v="0"/>
    <n v="0"/>
    <n v="31"/>
    <n v="59"/>
    <n v="0"/>
    <n v="87.73"/>
    <n v="253.9"/>
    <m/>
    <n v="67.376989053363516"/>
    <n v="317.3874512882154"/>
    <n v="0"/>
    <n v="9790.6679999999997"/>
    <n v="28335.239999999998"/>
    <n v="0"/>
    <n v="7519.2719783553684"/>
    <n v="35420.439563764834"/>
  </r>
  <r>
    <s v="Sistema de Compensação"/>
    <x v="0"/>
    <x v="1"/>
    <x v="5"/>
    <x v="0"/>
    <x v="0"/>
    <x v="0"/>
    <x v="0"/>
    <x v="7"/>
    <n v="0"/>
    <n v="0"/>
    <n v="45.506999999999998"/>
    <n v="43.686719999999994"/>
    <n v="45.506999999999998"/>
    <n v="43.686719999999994"/>
    <n v="0"/>
    <x v="0"/>
    <n v="0"/>
    <n v="0"/>
    <n v="31"/>
    <n v="59"/>
    <n v="0"/>
    <n v="87.73"/>
    <n v="253.9"/>
    <m/>
    <n v="67.376989053363516"/>
    <n v="317.3874512882154"/>
    <n v="0"/>
    <n v="3832.6359455999996"/>
    <n v="11092.058207999999"/>
    <n v="0"/>
    <n v="2943.4796552173566"/>
    <n v="13865.616715941904"/>
  </r>
  <r>
    <s v="Sistema Isolado - Regular"/>
    <x v="0"/>
    <x v="1"/>
    <x v="5"/>
    <x v="0"/>
    <x v="0"/>
    <x v="0"/>
    <x v="0"/>
    <x v="8"/>
    <n v="0"/>
    <n v="0"/>
    <n v="141.434"/>
    <n v="135.77663999999999"/>
    <n v="141.434"/>
    <n v="135.77663999999999"/>
    <n v="0"/>
    <x v="0"/>
    <n v="0"/>
    <n v="0"/>
    <n v="31"/>
    <n v="59"/>
    <n v="0"/>
    <n v="87.73"/>
    <n v="253.9"/>
    <m/>
    <n v="67.376989053363516"/>
    <n v="317.3874512882154"/>
    <n v="0"/>
    <n v="11911.684627199998"/>
    <n v="34473.688896"/>
    <n v="0"/>
    <n v="9148.2211869824787"/>
    <n v="43093.801714077556"/>
  </r>
  <r>
    <s v="Sistema de Compensação"/>
    <x v="0"/>
    <x v="1"/>
    <x v="5"/>
    <x v="0"/>
    <x v="0"/>
    <x v="0"/>
    <x v="0"/>
    <x v="8"/>
    <n v="0"/>
    <n v="0"/>
    <n v="48.308"/>
    <n v="46.375679999999996"/>
    <n v="48.308"/>
    <n v="46.375679999999996"/>
    <n v="0"/>
    <x v="0"/>
    <n v="0"/>
    <n v="0"/>
    <n v="31"/>
    <n v="59"/>
    <n v="0"/>
    <n v="87.73"/>
    <n v="253.9"/>
    <m/>
    <n v="67.376989053363516"/>
    <n v="317.3874512882154"/>
    <n v="0"/>
    <n v="4068.5384064"/>
    <n v="11774.785151999999"/>
    <n v="0"/>
    <n v="3124.6536837022891"/>
    <n v="14719.058876957864"/>
  </r>
  <r>
    <s v="Sistema Isolado - Regular"/>
    <x v="0"/>
    <x v="1"/>
    <x v="5"/>
    <x v="0"/>
    <x v="0"/>
    <x v="0"/>
    <x v="0"/>
    <x v="9"/>
    <n v="0"/>
    <n v="0"/>
    <n v="138.553"/>
    <n v="133.01087999999999"/>
    <n v="138.553"/>
    <n v="133.01087999999999"/>
    <n v="0"/>
    <x v="0"/>
    <n v="0"/>
    <n v="0"/>
    <n v="31"/>
    <n v="59"/>
    <n v="0"/>
    <n v="87.73"/>
    <n v="253.9"/>
    <m/>
    <n v="67.376989053363516"/>
    <n v="317.3874512882154"/>
    <n v="0"/>
    <n v="11669.0445024"/>
    <n v="33771.462432"/>
    <n v="0"/>
    <n v="8961.8726057382464"/>
    <n v="42215.984196802659"/>
  </r>
  <r>
    <s v="Sistema de Compensação"/>
    <x v="0"/>
    <x v="1"/>
    <x v="5"/>
    <x v="0"/>
    <x v="0"/>
    <x v="0"/>
    <x v="0"/>
    <x v="9"/>
    <n v="0"/>
    <n v="0"/>
    <n v="49.478000000000002"/>
    <n v="47.49888"/>
    <n v="49.478000000000002"/>
    <n v="47.49888"/>
    <n v="0"/>
    <x v="0"/>
    <n v="0"/>
    <n v="0"/>
    <n v="31"/>
    <n v="59"/>
    <n v="0"/>
    <n v="87.73"/>
    <n v="253.9"/>
    <m/>
    <n v="67.376989053363516"/>
    <n v="317.3874512882154"/>
    <n v="0"/>
    <n v="4167.0767424000005"/>
    <n v="12059.965631999999"/>
    <n v="0"/>
    <n v="3200.3315178070275"/>
    <n v="15075.548462244789"/>
  </r>
  <r>
    <s v="Sistema Isolado - Regular"/>
    <x v="0"/>
    <x v="1"/>
    <x v="5"/>
    <x v="0"/>
    <x v="0"/>
    <x v="0"/>
    <x v="0"/>
    <x v="10"/>
    <n v="0"/>
    <n v="0"/>
    <n v="147.29400000000001"/>
    <n v="141.40224000000001"/>
    <n v="147.29400000000001"/>
    <n v="141.40224000000001"/>
    <n v="0"/>
    <x v="0"/>
    <n v="0"/>
    <n v="0"/>
    <n v="31"/>
    <n v="59"/>
    <n v="0"/>
    <n v="87.73"/>
    <n v="253.9"/>
    <m/>
    <n v="67.376989053363516"/>
    <n v="317.3874512882154"/>
    <n v="0"/>
    <n v="12405.218515200002"/>
    <n v="35902.028736"/>
    <n v="0"/>
    <n v="9527.2571766010806"/>
    <n v="44879.296560044546"/>
  </r>
  <r>
    <s v="Sistema de Compensação"/>
    <x v="0"/>
    <x v="1"/>
    <x v="5"/>
    <x v="0"/>
    <x v="0"/>
    <x v="0"/>
    <x v="0"/>
    <x v="10"/>
    <n v="0"/>
    <n v="0"/>
    <n v="41.61"/>
    <n v="39.945599999999999"/>
    <n v="41.61"/>
    <n v="39.945599999999999"/>
    <n v="0"/>
    <x v="0"/>
    <n v="0"/>
    <n v="0"/>
    <n v="31"/>
    <n v="59"/>
    <n v="0"/>
    <n v="87.73"/>
    <n v="253.9"/>
    <m/>
    <n v="67.376989053363516"/>
    <n v="317.3874512882154"/>
    <n v="0"/>
    <n v="3504.4274880000003"/>
    <n v="10142.187840000001"/>
    <n v="0"/>
    <n v="2691.4142539300374"/>
    <n v="12678.232174178536"/>
  </r>
  <r>
    <s v="PROJETADO"/>
    <x v="0"/>
    <x v="1"/>
    <x v="5"/>
    <x v="0"/>
    <x v="0"/>
    <x v="0"/>
    <x v="0"/>
    <x v="11"/>
    <n v="0"/>
    <n v="0"/>
    <n v="147.29400000000001"/>
    <n v="141.40224000000001"/>
    <n v="147.29400000000001"/>
    <n v="141.40224000000001"/>
    <n v="0"/>
    <x v="0"/>
    <n v="0"/>
    <n v="0"/>
    <n v="31"/>
    <n v="59"/>
    <n v="0"/>
    <n v="87.73"/>
    <n v="253.9"/>
    <m/>
    <n v="67.376989053363516"/>
    <n v="317.3874512882154"/>
    <n v="0"/>
    <n v="12405.218515200002"/>
    <n v="35902.028736"/>
    <n v="0"/>
    <n v="9527.2571766010806"/>
    <n v="44879.296560044546"/>
  </r>
  <r>
    <s v="PROJETADO"/>
    <x v="0"/>
    <x v="1"/>
    <x v="5"/>
    <x v="0"/>
    <x v="0"/>
    <x v="0"/>
    <x v="0"/>
    <x v="11"/>
    <n v="0"/>
    <n v="0"/>
    <n v="41.61"/>
    <n v="39.945599999999999"/>
    <n v="41.61"/>
    <n v="39.945599999999999"/>
    <n v="0"/>
    <x v="0"/>
    <n v="0"/>
    <n v="0"/>
    <n v="31"/>
    <n v="59"/>
    <n v="0"/>
    <n v="87.73"/>
    <n v="253.9"/>
    <m/>
    <n v="67.376989053363516"/>
    <n v="317.3874512882154"/>
    <n v="0"/>
    <n v="3504.4274880000003"/>
    <n v="10142.187840000001"/>
    <n v="0"/>
    <n v="2691.4142539300374"/>
    <n v="12678.232174178536"/>
  </r>
  <r>
    <s v="Sistema Isolado - Regular"/>
    <x v="0"/>
    <x v="1"/>
    <x v="5"/>
    <x v="0"/>
    <x v="0"/>
    <x v="0"/>
    <x v="2"/>
    <x v="0"/>
    <n v="2435"/>
    <n v="2337.6"/>
    <n v="0"/>
    <n v="0"/>
    <n v="0"/>
    <n v="0"/>
    <n v="14"/>
    <x v="0"/>
    <n v="0"/>
    <n v="18"/>
    <n v="0"/>
    <n v="0"/>
    <n v="14.64"/>
    <n v="0"/>
    <n v="0"/>
    <n v="19.024476785546895"/>
    <m/>
    <m/>
    <n v="34222.464"/>
    <n v="0"/>
    <n v="0"/>
    <n v="44471.616933894424"/>
    <n v="0"/>
    <n v="0"/>
  </r>
  <r>
    <s v="Sistema Isolado - Regular"/>
    <x v="0"/>
    <x v="1"/>
    <x v="5"/>
    <x v="0"/>
    <x v="0"/>
    <x v="0"/>
    <x v="2"/>
    <x v="1"/>
    <n v="2329"/>
    <n v="2235.8399999999997"/>
    <n v="0"/>
    <n v="0"/>
    <n v="0"/>
    <n v="0"/>
    <n v="13"/>
    <x v="0"/>
    <n v="0"/>
    <n v="18"/>
    <n v="0"/>
    <n v="0"/>
    <n v="14.64"/>
    <n v="0"/>
    <n v="0"/>
    <n v="19.024476785546895"/>
    <m/>
    <m/>
    <n v="32732.697599999996"/>
    <n v="0"/>
    <n v="0"/>
    <n v="42535.686176197167"/>
    <n v="0"/>
    <n v="0"/>
  </r>
  <r>
    <s v="Sistema Isolado - Regular"/>
    <x v="0"/>
    <x v="1"/>
    <x v="5"/>
    <x v="0"/>
    <x v="0"/>
    <x v="0"/>
    <x v="2"/>
    <x v="2"/>
    <n v="2483"/>
    <n v="2383.6799999999998"/>
    <n v="0"/>
    <n v="0"/>
    <n v="0"/>
    <n v="0"/>
    <n v="13"/>
    <x v="0"/>
    <n v="0"/>
    <n v="18"/>
    <n v="0"/>
    <n v="0"/>
    <n v="14.64"/>
    <n v="0"/>
    <n v="0"/>
    <n v="19.024476785546895"/>
    <m/>
    <m/>
    <n v="34897.075199999999"/>
    <n v="0"/>
    <n v="0"/>
    <n v="45348.264824172416"/>
    <n v="0"/>
    <n v="0"/>
  </r>
  <r>
    <s v="Sistema Isolado - Regular"/>
    <x v="0"/>
    <x v="1"/>
    <x v="5"/>
    <x v="0"/>
    <x v="0"/>
    <x v="0"/>
    <x v="2"/>
    <x v="3"/>
    <n v="2976"/>
    <n v="2856.96"/>
    <n v="0"/>
    <n v="0"/>
    <n v="0"/>
    <n v="0"/>
    <n v="14"/>
    <x v="0"/>
    <n v="0"/>
    <n v="18"/>
    <n v="0"/>
    <n v="0"/>
    <n v="14.64"/>
    <n v="0"/>
    <n v="0"/>
    <n v="19.024476785546895"/>
    <m/>
    <m/>
    <n v="41825.894400000005"/>
    <n v="0"/>
    <n v="0"/>
    <n v="54352.169197236057"/>
    <n v="0"/>
    <n v="0"/>
  </r>
  <r>
    <s v="Sistema Isolado - Regular"/>
    <x v="0"/>
    <x v="1"/>
    <x v="5"/>
    <x v="0"/>
    <x v="0"/>
    <x v="0"/>
    <x v="2"/>
    <x v="4"/>
    <n v="2120"/>
    <n v="2035.1999999999998"/>
    <n v="0"/>
    <n v="0"/>
    <n v="0"/>
    <n v="0"/>
    <n v="14"/>
    <x v="0"/>
    <n v="0"/>
    <n v="18"/>
    <n v="0"/>
    <n v="0"/>
    <n v="14.64"/>
    <n v="0"/>
    <n v="0"/>
    <n v="19.024476785546895"/>
    <m/>
    <m/>
    <n v="29795.327999999998"/>
    <n v="0"/>
    <n v="0"/>
    <n v="38718.615153945037"/>
    <n v="0"/>
    <n v="0"/>
  </r>
  <r>
    <s v="Sistema Isolado - Regular"/>
    <x v="0"/>
    <x v="1"/>
    <x v="5"/>
    <x v="0"/>
    <x v="0"/>
    <x v="0"/>
    <x v="2"/>
    <x v="5"/>
    <n v="2120"/>
    <n v="2035.1999999999998"/>
    <n v="0"/>
    <n v="0"/>
    <n v="0"/>
    <n v="0"/>
    <n v="14"/>
    <x v="0"/>
    <n v="0"/>
    <n v="18"/>
    <n v="0"/>
    <n v="0"/>
    <n v="14.64"/>
    <n v="0"/>
    <n v="0"/>
    <n v="19.024476785546895"/>
    <m/>
    <m/>
    <n v="29795.327999999998"/>
    <n v="0"/>
    <n v="0"/>
    <n v="38718.615153945037"/>
    <n v="0"/>
    <n v="0"/>
  </r>
  <r>
    <s v="Sistema Isolado - Regular"/>
    <x v="0"/>
    <x v="1"/>
    <x v="5"/>
    <x v="0"/>
    <x v="0"/>
    <x v="0"/>
    <x v="2"/>
    <x v="6"/>
    <n v="950"/>
    <n v="912"/>
    <n v="0"/>
    <n v="0"/>
    <n v="0"/>
    <n v="0"/>
    <n v="15"/>
    <x v="0"/>
    <n v="0"/>
    <n v="18"/>
    <n v="0"/>
    <n v="0"/>
    <n v="14.64"/>
    <n v="0"/>
    <n v="0"/>
    <n v="19.024476785546895"/>
    <m/>
    <m/>
    <n v="13351.68"/>
    <n v="0"/>
    <n v="0"/>
    <n v="17350.322828418768"/>
    <n v="0"/>
    <n v="0"/>
  </r>
  <r>
    <s v="Sistema de Compensação"/>
    <x v="0"/>
    <x v="1"/>
    <x v="5"/>
    <x v="0"/>
    <x v="0"/>
    <x v="0"/>
    <x v="2"/>
    <x v="6"/>
    <n v="1028"/>
    <n v="986.88"/>
    <n v="0"/>
    <n v="0"/>
    <n v="0"/>
    <n v="0"/>
    <n v="8"/>
    <x v="0"/>
    <n v="0"/>
    <n v="18"/>
    <n v="0"/>
    <n v="0"/>
    <n v="14.64"/>
    <n v="0"/>
    <n v="0"/>
    <n v="19.024476785546895"/>
    <m/>
    <m/>
    <n v="14447.923200000001"/>
    <n v="0"/>
    <n v="0"/>
    <n v="18774.875650120521"/>
    <n v="0"/>
    <n v="0"/>
  </r>
  <r>
    <s v="Sistema Isolado - Regular"/>
    <x v="0"/>
    <x v="1"/>
    <x v="5"/>
    <x v="0"/>
    <x v="0"/>
    <x v="0"/>
    <x v="2"/>
    <x v="7"/>
    <n v="1156"/>
    <n v="1109.76"/>
    <n v="0"/>
    <n v="0"/>
    <n v="0"/>
    <n v="0"/>
    <n v="17"/>
    <x v="0"/>
    <n v="0"/>
    <n v="18"/>
    <n v="0"/>
    <n v="0"/>
    <n v="14.64"/>
    <n v="0"/>
    <n v="0"/>
    <n v="19.024476785546895"/>
    <m/>
    <m/>
    <n v="16246.886400000001"/>
    <n v="0"/>
    <n v="0"/>
    <n v="21112.603357528522"/>
    <n v="0"/>
    <n v="0"/>
  </r>
  <r>
    <s v="Sistema de Compensação"/>
    <x v="0"/>
    <x v="1"/>
    <x v="5"/>
    <x v="0"/>
    <x v="0"/>
    <x v="0"/>
    <x v="2"/>
    <x v="7"/>
    <n v="268"/>
    <n v="257.27999999999997"/>
    <n v="0"/>
    <n v="0"/>
    <n v="0"/>
    <n v="0"/>
    <n v="2"/>
    <x v="0"/>
    <n v="0"/>
    <n v="18"/>
    <n v="0"/>
    <n v="0"/>
    <n v="14.64"/>
    <n v="0"/>
    <n v="0"/>
    <n v="19.024476785546895"/>
    <m/>
    <m/>
    <n v="3766.5791999999997"/>
    <n v="0"/>
    <n v="0"/>
    <n v="4894.617387385505"/>
    <n v="0"/>
    <n v="0"/>
  </r>
  <r>
    <s v="Sistema Isolado - Regular"/>
    <x v="0"/>
    <x v="1"/>
    <x v="5"/>
    <x v="0"/>
    <x v="0"/>
    <x v="0"/>
    <x v="2"/>
    <x v="8"/>
    <n v="1113"/>
    <n v="1068.48"/>
    <n v="0"/>
    <n v="0"/>
    <n v="0"/>
    <n v="0"/>
    <n v="16"/>
    <x v="0"/>
    <n v="0"/>
    <n v="18"/>
    <n v="0"/>
    <n v="0"/>
    <n v="14.64"/>
    <n v="0"/>
    <n v="0"/>
    <n v="19.024476785546895"/>
    <m/>
    <m/>
    <n v="15642.547200000001"/>
    <n v="0"/>
    <n v="0"/>
    <n v="20327.272955821147"/>
    <n v="0"/>
    <n v="0"/>
  </r>
  <r>
    <s v="Sistema de Compensação"/>
    <x v="0"/>
    <x v="1"/>
    <x v="5"/>
    <x v="0"/>
    <x v="0"/>
    <x v="0"/>
    <x v="2"/>
    <x v="8"/>
    <n v="249"/>
    <n v="239.04"/>
    <n v="0"/>
    <n v="0"/>
    <n v="0"/>
    <n v="0"/>
    <n v="2"/>
    <x v="0"/>
    <n v="0"/>
    <n v="18"/>
    <n v="0"/>
    <n v="0"/>
    <n v="14.64"/>
    <n v="0"/>
    <n v="0"/>
    <n v="19.024476785546895"/>
    <m/>
    <m/>
    <n v="3499.5455999999999"/>
    <n v="0"/>
    <n v="0"/>
    <n v="4547.6109308171299"/>
    <n v="0"/>
    <n v="0"/>
  </r>
  <r>
    <s v="Sistema Isolado - Regular"/>
    <x v="0"/>
    <x v="1"/>
    <x v="5"/>
    <x v="0"/>
    <x v="0"/>
    <x v="0"/>
    <x v="2"/>
    <x v="9"/>
    <n v="965"/>
    <n v="926.4"/>
    <n v="0"/>
    <n v="0"/>
    <n v="0"/>
    <n v="0"/>
    <n v="13"/>
    <x v="0"/>
    <n v="0"/>
    <n v="18"/>
    <n v="0"/>
    <n v="0"/>
    <n v="14.64"/>
    <n v="0"/>
    <n v="0"/>
    <n v="19.024476785546895"/>
    <m/>
    <m/>
    <n v="13562.496000000001"/>
    <n v="0"/>
    <n v="0"/>
    <n v="17624.275294130643"/>
    <n v="0"/>
    <n v="0"/>
  </r>
  <r>
    <s v="Sistema de Compensação"/>
    <x v="0"/>
    <x v="1"/>
    <x v="5"/>
    <x v="0"/>
    <x v="0"/>
    <x v="0"/>
    <x v="2"/>
    <x v="9"/>
    <n v="499"/>
    <n v="479.03999999999996"/>
    <n v="0"/>
    <n v="0"/>
    <n v="0"/>
    <n v="0"/>
    <n v="3"/>
    <x v="0"/>
    <n v="0"/>
    <n v="18"/>
    <n v="0"/>
    <n v="0"/>
    <n v="14.64"/>
    <n v="0"/>
    <n v="0"/>
    <n v="19.024476785546895"/>
    <m/>
    <m/>
    <n v="7013.1455999999998"/>
    <n v="0"/>
    <n v="0"/>
    <n v="9113.485359348384"/>
    <n v="0"/>
    <n v="0"/>
  </r>
  <r>
    <s v="Sistema Isolado - Regular"/>
    <x v="0"/>
    <x v="1"/>
    <x v="5"/>
    <x v="0"/>
    <x v="0"/>
    <x v="0"/>
    <x v="2"/>
    <x v="10"/>
    <n v="974"/>
    <n v="935.04"/>
    <n v="0"/>
    <n v="0"/>
    <n v="0"/>
    <n v="0"/>
    <n v="12"/>
    <x v="0"/>
    <n v="0"/>
    <n v="18"/>
    <n v="0"/>
    <n v="0"/>
    <n v="14.64"/>
    <n v="0"/>
    <n v="0"/>
    <n v="19.024476785546895"/>
    <m/>
    <m/>
    <n v="13688.9856"/>
    <n v="0"/>
    <n v="0"/>
    <n v="17788.646773557768"/>
    <n v="0"/>
    <n v="0"/>
  </r>
  <r>
    <s v="Sistema de Compensação"/>
    <x v="0"/>
    <x v="1"/>
    <x v="5"/>
    <x v="0"/>
    <x v="0"/>
    <x v="0"/>
    <x v="2"/>
    <x v="10"/>
    <n v="251"/>
    <n v="240.95999999999998"/>
    <n v="0"/>
    <n v="0"/>
    <n v="0"/>
    <n v="0"/>
    <n v="2"/>
    <x v="0"/>
    <n v="0"/>
    <n v="18"/>
    <n v="0"/>
    <n v="0"/>
    <n v="14.64"/>
    <n v="0"/>
    <n v="0"/>
    <n v="19.024476785546895"/>
    <m/>
    <m/>
    <n v="3527.6543999999999"/>
    <n v="0"/>
    <n v="0"/>
    <n v="4584.1379262453793"/>
    <n v="0"/>
    <n v="0"/>
  </r>
  <r>
    <s v="PROJETADO"/>
    <x v="0"/>
    <x v="1"/>
    <x v="5"/>
    <x v="0"/>
    <x v="0"/>
    <x v="0"/>
    <x v="2"/>
    <x v="11"/>
    <n v="974"/>
    <n v="935.04"/>
    <n v="0"/>
    <n v="0"/>
    <n v="0"/>
    <n v="0"/>
    <n v="12"/>
    <x v="0"/>
    <n v="0"/>
    <n v="18"/>
    <n v="0"/>
    <n v="0"/>
    <n v="14.64"/>
    <n v="0"/>
    <n v="0"/>
    <n v="19.024476785546895"/>
    <m/>
    <m/>
    <n v="13688.9856"/>
    <n v="0"/>
    <n v="0"/>
    <n v="17788.646773557768"/>
    <n v="0"/>
    <n v="0"/>
  </r>
  <r>
    <s v="PROJETADO"/>
    <x v="0"/>
    <x v="1"/>
    <x v="5"/>
    <x v="0"/>
    <x v="0"/>
    <x v="0"/>
    <x v="2"/>
    <x v="11"/>
    <n v="251"/>
    <n v="240.95999999999998"/>
    <n v="0"/>
    <n v="0"/>
    <n v="0"/>
    <n v="0"/>
    <n v="2"/>
    <x v="0"/>
    <n v="0"/>
    <n v="18"/>
    <n v="0"/>
    <n v="0"/>
    <n v="14.64"/>
    <n v="0"/>
    <n v="0"/>
    <n v="19.024476785546895"/>
    <m/>
    <m/>
    <n v="3527.6543999999999"/>
    <n v="0"/>
    <n v="0"/>
    <n v="4584.1379262453793"/>
    <n v="0"/>
    <n v="0"/>
  </r>
  <r>
    <s v="Sistema Isolado - Regular"/>
    <x v="0"/>
    <x v="1"/>
    <x v="5"/>
    <x v="0"/>
    <x v="0"/>
    <x v="0"/>
    <x v="1"/>
    <x v="0"/>
    <n v="0"/>
    <n v="0"/>
    <n v="11.599"/>
    <n v="11.13504"/>
    <n v="11.599"/>
    <n v="11.13504"/>
    <n v="0"/>
    <x v="0"/>
    <n v="0"/>
    <n v="0"/>
    <n v="11"/>
    <n v="71"/>
    <n v="0"/>
    <n v="1155.51"/>
    <n v="433.77"/>
    <m/>
    <n v="1456.3363071141353"/>
    <n v="542.84414704984056"/>
    <n v="0"/>
    <n v="12866.650070399999"/>
    <n v="4830.0463007999997"/>
    <n v="0"/>
    <n v="16216.363033168182"/>
    <n v="6044.591291165857"/>
  </r>
  <r>
    <s v="Sistema Isolado - Regular"/>
    <x v="0"/>
    <x v="1"/>
    <x v="5"/>
    <x v="0"/>
    <x v="0"/>
    <x v="0"/>
    <x v="1"/>
    <x v="1"/>
    <n v="0"/>
    <n v="0"/>
    <n v="23.734999999999999"/>
    <n v="22.785599999999999"/>
    <n v="23.734999999999999"/>
    <n v="22.785599999999999"/>
    <n v="0"/>
    <x v="0"/>
    <n v="0"/>
    <n v="0"/>
    <n v="11"/>
    <n v="71"/>
    <n v="0"/>
    <n v="1155.51"/>
    <n v="433.77"/>
    <m/>
    <n v="1456.3363071141353"/>
    <n v="542.84414704984056"/>
    <n v="0"/>
    <n v="26328.988655999998"/>
    <n v="9883.7097119999999"/>
    <n v="0"/>
    <n v="33183.496559379841"/>
    <n v="12369.029597018847"/>
  </r>
  <r>
    <s v="Sistema Isolado - Regular"/>
    <x v="0"/>
    <x v="1"/>
    <x v="5"/>
    <x v="0"/>
    <x v="0"/>
    <x v="0"/>
    <x v="1"/>
    <x v="2"/>
    <n v="0"/>
    <n v="0"/>
    <n v="42.036000000000001"/>
    <n v="40.354559999999999"/>
    <n v="42.036000000000001"/>
    <n v="40.354559999999999"/>
    <n v="0"/>
    <x v="0"/>
    <n v="0"/>
    <n v="0"/>
    <n v="11"/>
    <n v="71"/>
    <n v="0"/>
    <n v="1155.51"/>
    <n v="433.77"/>
    <m/>
    <n v="1456.3363071141353"/>
    <n v="542.84414704984056"/>
    <n v="0"/>
    <n v="46630.097625599999"/>
    <n v="17504.597491199998"/>
    <n v="0"/>
    <n v="58769.8108856158"/>
    <n v="21906.236702771614"/>
  </r>
  <r>
    <s v="Sistema Isolado - Regular"/>
    <x v="0"/>
    <x v="1"/>
    <x v="5"/>
    <x v="0"/>
    <x v="0"/>
    <x v="0"/>
    <x v="1"/>
    <x v="3"/>
    <n v="0"/>
    <n v="0"/>
    <n v="23.89"/>
    <n v="22.9344"/>
    <n v="23.89"/>
    <n v="22.9344"/>
    <n v="0"/>
    <x v="0"/>
    <n v="0"/>
    <n v="0"/>
    <n v="11"/>
    <n v="71"/>
    <n v="0"/>
    <n v="1155.51"/>
    <n v="433.77"/>
    <m/>
    <n v="1456.3363071141353"/>
    <n v="542.84414704984056"/>
    <n v="0"/>
    <n v="26500.928543999999"/>
    <n v="9948.2546879999991"/>
    <n v="0"/>
    <n v="33400.199401878424"/>
    <n v="12449.804806099863"/>
  </r>
  <r>
    <s v="Sistema Isolado - Regular"/>
    <x v="0"/>
    <x v="1"/>
    <x v="5"/>
    <x v="0"/>
    <x v="0"/>
    <x v="0"/>
    <x v="1"/>
    <x v="4"/>
    <n v="0"/>
    <n v="0"/>
    <n v="10.209"/>
    <n v="9.8006399999999996"/>
    <n v="10.209"/>
    <n v="9.8006399999999996"/>
    <n v="0"/>
    <x v="0"/>
    <n v="0"/>
    <n v="0"/>
    <n v="11"/>
    <n v="71"/>
    <n v="0"/>
    <n v="1155.51"/>
    <n v="433.77"/>
    <m/>
    <n v="1456.3363071141353"/>
    <n v="542.84414704984056"/>
    <n v="0"/>
    <n v="11324.7375264"/>
    <n v="4251.2236127999995"/>
    <n v="0"/>
    <n v="14273.027864955078"/>
    <n v="5320.2200613425493"/>
  </r>
  <r>
    <s v="Sistema Isolado - Regular"/>
    <x v="0"/>
    <x v="1"/>
    <x v="5"/>
    <x v="0"/>
    <x v="0"/>
    <x v="0"/>
    <x v="1"/>
    <x v="5"/>
    <n v="0"/>
    <n v="0"/>
    <n v="10.209"/>
    <n v="9.8006399999999996"/>
    <n v="10.209"/>
    <n v="9.8006399999999996"/>
    <n v="0"/>
    <x v="0"/>
    <n v="0"/>
    <n v="0"/>
    <n v="11"/>
    <n v="71"/>
    <n v="0"/>
    <n v="1155.51"/>
    <n v="433.77"/>
    <m/>
    <n v="1456.3363071141353"/>
    <n v="542.84414704984056"/>
    <n v="0"/>
    <n v="11324.7375264"/>
    <n v="4251.2236127999995"/>
    <n v="0"/>
    <n v="14273.027864955078"/>
    <n v="5320.2200613425493"/>
  </r>
  <r>
    <s v="Sistema Isolado - Regular"/>
    <x v="0"/>
    <x v="1"/>
    <x v="5"/>
    <x v="0"/>
    <x v="0"/>
    <x v="0"/>
    <x v="1"/>
    <x v="6"/>
    <n v="0"/>
    <n v="0"/>
    <n v="6.5140000000000002"/>
    <n v="6.2534400000000003"/>
    <n v="6.5140000000000002"/>
    <n v="6.2534400000000003"/>
    <n v="0"/>
    <x v="0"/>
    <n v="0"/>
    <n v="0"/>
    <n v="11"/>
    <n v="71"/>
    <n v="0"/>
    <n v="1155.51"/>
    <n v="433.77"/>
    <m/>
    <n v="1456.3363071141353"/>
    <n v="542.84414704984056"/>
    <n v="0"/>
    <n v="7225.9124544000006"/>
    <n v="2712.5546687999999"/>
    <n v="0"/>
    <n v="9107.1117163598192"/>
    <n v="3394.6433029273553"/>
  </r>
  <r>
    <s v="Sistema de Compensação"/>
    <x v="0"/>
    <x v="1"/>
    <x v="5"/>
    <x v="0"/>
    <x v="0"/>
    <x v="0"/>
    <x v="1"/>
    <x v="6"/>
    <n v="0"/>
    <n v="0"/>
    <n v="22.812000000000001"/>
    <n v="21.899519999999999"/>
    <n v="22.812000000000001"/>
    <n v="21.899519999999999"/>
    <n v="0"/>
    <x v="0"/>
    <n v="0"/>
    <n v="0"/>
    <n v="11"/>
    <n v="71"/>
    <n v="0"/>
    <n v="1155.51"/>
    <n v="433.77"/>
    <m/>
    <n v="1456.3363071141353"/>
    <n v="542.84414704984056"/>
    <n v="0"/>
    <n v="25305.114355199999"/>
    <n v="9499.3547903999988"/>
    <n v="0"/>
    <n v="31893.066084372145"/>
    <n v="11888.026255200924"/>
  </r>
  <r>
    <s v="Sistema Isolado - Regular"/>
    <x v="0"/>
    <x v="1"/>
    <x v="5"/>
    <x v="0"/>
    <x v="0"/>
    <x v="0"/>
    <x v="1"/>
    <x v="7"/>
    <n v="0"/>
    <n v="0"/>
    <n v="5.7629999999999999"/>
    <n v="5.5324799999999996"/>
    <n v="5.7629999999999999"/>
    <n v="5.5324799999999996"/>
    <n v="0"/>
    <x v="0"/>
    <n v="0"/>
    <n v="0"/>
    <n v="11"/>
    <n v="71"/>
    <n v="0"/>
    <n v="1155.51"/>
    <n v="433.77"/>
    <m/>
    <n v="1456.3363071141353"/>
    <n v="542.84414704984056"/>
    <n v="0"/>
    <n v="6392.8359647999996"/>
    <n v="2399.8238495999999"/>
    <n v="0"/>
    <n v="8057.1514923828108"/>
    <n v="3003.2743866703017"/>
  </r>
  <r>
    <s v="Sistema de Compensação"/>
    <x v="0"/>
    <x v="1"/>
    <x v="5"/>
    <x v="0"/>
    <x v="0"/>
    <x v="0"/>
    <x v="1"/>
    <x v="7"/>
    <n v="0"/>
    <n v="0"/>
    <n v="3.472"/>
    <n v="3.3331199999999996"/>
    <n v="3.472"/>
    <n v="3.3331199999999996"/>
    <n v="0"/>
    <x v="0"/>
    <n v="0"/>
    <n v="0"/>
    <n v="11"/>
    <n v="71"/>
    <n v="0"/>
    <n v="1155.51"/>
    <n v="433.77"/>
    <m/>
    <n v="1456.3363071141353"/>
    <n v="542.84414704984056"/>
    <n v="0"/>
    <n v="3851.4534911999995"/>
    <n v="1445.8074623999998"/>
    <n v="0"/>
    <n v="4854.1436719682661"/>
    <n v="1809.3646834147644"/>
  </r>
  <r>
    <s v="Sistema Isolado - Regular"/>
    <x v="0"/>
    <x v="1"/>
    <x v="5"/>
    <x v="0"/>
    <x v="0"/>
    <x v="0"/>
    <x v="1"/>
    <x v="8"/>
    <n v="0"/>
    <n v="0"/>
    <n v="9.3849999999999998"/>
    <n v="9.0095999999999989"/>
    <n v="9.3849999999999998"/>
    <n v="9.0095999999999989"/>
    <n v="0"/>
    <x v="0"/>
    <n v="0"/>
    <n v="0"/>
    <n v="11"/>
    <n v="71"/>
    <n v="0"/>
    <n v="1155.51"/>
    <n v="433.77"/>
    <m/>
    <n v="1456.3363071141353"/>
    <n v="542.84414704984056"/>
    <n v="0"/>
    <n v="10410.682895999998"/>
    <n v="3908.0941919999996"/>
    <n v="0"/>
    <n v="13121.007592575512"/>
    <n v="4890.8086272602432"/>
  </r>
  <r>
    <s v="Sistema de Compensação"/>
    <x v="0"/>
    <x v="1"/>
    <x v="5"/>
    <x v="0"/>
    <x v="0"/>
    <x v="0"/>
    <x v="1"/>
    <x v="8"/>
    <n v="0"/>
    <n v="0"/>
    <n v="3.8210000000000002"/>
    <n v="3.6681599999999999"/>
    <n v="3.8210000000000002"/>
    <n v="3.6681599999999999"/>
    <n v="0"/>
    <x v="0"/>
    <n v="0"/>
    <n v="0"/>
    <n v="11"/>
    <n v="71"/>
    <n v="0"/>
    <n v="1155.51"/>
    <n v="433.77"/>
    <m/>
    <n v="1456.3363071141353"/>
    <n v="542.84414704984056"/>
    <n v="0"/>
    <n v="4238.5955616000001"/>
    <n v="1591.1377631999999"/>
    <n v="0"/>
    <n v="5342.0745883037862"/>
    <n v="1991.239186442343"/>
  </r>
  <r>
    <s v="Sistema Isolado - Regular"/>
    <x v="0"/>
    <x v="1"/>
    <x v="5"/>
    <x v="0"/>
    <x v="0"/>
    <x v="0"/>
    <x v="1"/>
    <x v="9"/>
    <n v="0"/>
    <n v="0"/>
    <n v="7.2969999999999997"/>
    <n v="7.0051199999999998"/>
    <n v="7.2969999999999997"/>
    <n v="7.0051199999999998"/>
    <n v="0"/>
    <x v="0"/>
    <n v="0"/>
    <n v="0"/>
    <n v="11"/>
    <n v="71"/>
    <n v="0"/>
    <n v="1155.51"/>
    <n v="433.77"/>
    <m/>
    <n v="1456.3363071141353"/>
    <n v="542.84414704984056"/>
    <n v="0"/>
    <n v="8094.4862112000001"/>
    <n v="3038.6109023999998"/>
    <n v="0"/>
    <n v="10201.81059169137"/>
    <n v="3802.6883913817792"/>
  </r>
  <r>
    <s v="Sistema de Compensação"/>
    <x v="0"/>
    <x v="1"/>
    <x v="5"/>
    <x v="0"/>
    <x v="0"/>
    <x v="0"/>
    <x v="1"/>
    <x v="9"/>
    <n v="0"/>
    <n v="0"/>
    <n v="4.4569999999999999"/>
    <n v="4.2787199999999999"/>
    <n v="4.4569999999999999"/>
    <n v="4.2787199999999999"/>
    <n v="0"/>
    <x v="0"/>
    <n v="0"/>
    <n v="0"/>
    <n v="11"/>
    <n v="71"/>
    <n v="0"/>
    <n v="1155.51"/>
    <n v="433.77"/>
    <m/>
    <n v="1456.3363071141353"/>
    <n v="542.84414704984056"/>
    <n v="0"/>
    <n v="4944.1037471999998"/>
    <n v="1855.9803743999998"/>
    <n v="0"/>
    <n v="6231.2552839753926"/>
    <n v="2322.6781088650937"/>
  </r>
  <r>
    <s v="Sistema Isolado - Regular"/>
    <x v="0"/>
    <x v="1"/>
    <x v="5"/>
    <x v="0"/>
    <x v="0"/>
    <x v="0"/>
    <x v="1"/>
    <x v="10"/>
    <n v="0"/>
    <n v="0"/>
    <n v="6.9470000000000001"/>
    <n v="6.6691199999999995"/>
    <n v="6.9470000000000001"/>
    <n v="6.6691199999999995"/>
    <n v="0"/>
    <x v="0"/>
    <n v="0"/>
    <n v="0"/>
    <n v="11"/>
    <n v="71"/>
    <n v="0"/>
    <n v="1155.51"/>
    <n v="433.77"/>
    <m/>
    <n v="1456.3363071141353"/>
    <n v="542.84414704984056"/>
    <n v="0"/>
    <n v="7706.234851199999"/>
    <n v="2892.8641823999997"/>
    <n v="0"/>
    <n v="9712.4815925010207"/>
    <n v="3620.2927579730322"/>
  </r>
  <r>
    <s v="Sistema de Compensação"/>
    <x v="0"/>
    <x v="1"/>
    <x v="5"/>
    <x v="0"/>
    <x v="0"/>
    <x v="0"/>
    <x v="1"/>
    <x v="10"/>
    <n v="0"/>
    <n v="0"/>
    <n v="3.3580000000000001"/>
    <n v="3.2236799999999999"/>
    <n v="3.3580000000000001"/>
    <n v="3.2236799999999999"/>
    <n v="0"/>
    <x v="0"/>
    <n v="0"/>
    <n v="0"/>
    <n v="11"/>
    <n v="71"/>
    <n v="0"/>
    <n v="1155.51"/>
    <n v="433.77"/>
    <m/>
    <n v="1456.3363071141353"/>
    <n v="542.84414704984056"/>
    <n v="0"/>
    <n v="3724.9944768"/>
    <n v="1398.3356735999998"/>
    <n v="0"/>
    <n v="4694.7622265176951"/>
    <n v="1749.9558199616299"/>
  </r>
  <r>
    <s v="PROJETADO"/>
    <x v="0"/>
    <x v="1"/>
    <x v="5"/>
    <x v="0"/>
    <x v="0"/>
    <x v="0"/>
    <x v="1"/>
    <x v="11"/>
    <n v="0"/>
    <n v="0"/>
    <n v="6.9470000000000001"/>
    <n v="6.6691199999999995"/>
    <n v="6.9470000000000001"/>
    <n v="6.6691199999999995"/>
    <n v="0"/>
    <x v="0"/>
    <n v="0"/>
    <n v="0"/>
    <n v="11"/>
    <n v="71"/>
    <n v="0"/>
    <n v="1155.51"/>
    <n v="433.77"/>
    <m/>
    <n v="1456.3363071141353"/>
    <n v="542.84414704984056"/>
    <n v="0"/>
    <n v="7706.234851199999"/>
    <n v="2892.8641823999997"/>
    <n v="0"/>
    <n v="9712.4815925010207"/>
    <n v="3620.2927579730322"/>
  </r>
  <r>
    <s v="PROJETADO"/>
    <x v="0"/>
    <x v="1"/>
    <x v="5"/>
    <x v="0"/>
    <x v="0"/>
    <x v="0"/>
    <x v="1"/>
    <x v="11"/>
    <n v="0"/>
    <n v="0"/>
    <n v="3.3580000000000001"/>
    <n v="3.2236799999999999"/>
    <n v="3.3580000000000001"/>
    <n v="3.2236799999999999"/>
    <n v="0"/>
    <x v="0"/>
    <n v="0"/>
    <n v="0"/>
    <n v="11"/>
    <n v="71"/>
    <n v="0"/>
    <n v="1155.51"/>
    <n v="433.77"/>
    <m/>
    <n v="1456.3363071141353"/>
    <n v="542.84414704984056"/>
    <n v="0"/>
    <n v="3724.9944768"/>
    <n v="1398.3356735999998"/>
    <n v="0"/>
    <n v="4694.7622265176951"/>
    <n v="1749.9558199616299"/>
  </r>
  <r>
    <s v="Sistema Isolado - Regular"/>
    <x v="0"/>
    <x v="1"/>
    <x v="4"/>
    <x v="1"/>
    <x v="0"/>
    <x v="0"/>
    <x v="0"/>
    <x v="0"/>
    <n v="0"/>
    <n v="0"/>
    <n v="735.952"/>
    <n v="691.79487999999992"/>
    <n v="735.952"/>
    <n v="691.79487999999992"/>
    <n v="0"/>
    <x v="0"/>
    <n v="0"/>
    <n v="0"/>
    <n v="31"/>
    <n v="59"/>
    <n v="0"/>
    <n v="87.73"/>
    <n v="253.9"/>
    <m/>
    <n v="67.376989053363516"/>
    <n v="317.3874512882154"/>
    <n v="0"/>
    <n v="60691.164822399995"/>
    <n v="175646.72003199998"/>
    <n v="0"/>
    <n v="46611.056056932925"/>
    <n v="219567.0137774368"/>
  </r>
  <r>
    <s v="Sistema Isolado - Regular"/>
    <x v="0"/>
    <x v="1"/>
    <x v="4"/>
    <x v="1"/>
    <x v="0"/>
    <x v="0"/>
    <x v="0"/>
    <x v="1"/>
    <n v="0"/>
    <n v="0"/>
    <n v="712.923"/>
    <n v="670.14761999999996"/>
    <n v="712.923"/>
    <n v="670.14761999999996"/>
    <n v="0"/>
    <x v="0"/>
    <n v="0"/>
    <n v="0"/>
    <n v="31"/>
    <n v="59"/>
    <n v="0"/>
    <n v="87.73"/>
    <n v="253.9"/>
    <m/>
    <n v="67.376989053363516"/>
    <n v="317.3874512882154"/>
    <n v="0"/>
    <n v="58792.050702599998"/>
    <n v="170150.48071800001"/>
    <n v="0"/>
    <n v="45152.528856877609"/>
    <n v="212696.44509866348"/>
  </r>
  <r>
    <s v="Sistema Isolado - Regular"/>
    <x v="0"/>
    <x v="1"/>
    <x v="4"/>
    <x v="1"/>
    <x v="0"/>
    <x v="0"/>
    <x v="0"/>
    <x v="2"/>
    <n v="0"/>
    <n v="0"/>
    <n v="710.61199999999997"/>
    <n v="667.97527999999988"/>
    <n v="710.61199999999997"/>
    <n v="667.97527999999988"/>
    <n v="0"/>
    <x v="0"/>
    <n v="0"/>
    <n v="0"/>
    <n v="31"/>
    <n v="59"/>
    <n v="0"/>
    <n v="87.73"/>
    <n v="253.9"/>
    <m/>
    <n v="67.376989053363516"/>
    <n v="317.3874512882154"/>
    <n v="0"/>
    <n v="58601.471314399991"/>
    <n v="169598.92359199998"/>
    <n v="0"/>
    <n v="45006.163128477419"/>
    <n v="212006.97164273201"/>
  </r>
  <r>
    <s v="Sistema Isolado - Regular"/>
    <x v="0"/>
    <x v="1"/>
    <x v="4"/>
    <x v="1"/>
    <x v="0"/>
    <x v="0"/>
    <x v="0"/>
    <x v="3"/>
    <n v="0"/>
    <n v="0"/>
    <n v="661.45600000000002"/>
    <n v="621.76864"/>
    <n v="661.45600000000002"/>
    <n v="621.76864"/>
    <n v="0"/>
    <x v="0"/>
    <n v="0"/>
    <n v="0"/>
    <n v="31"/>
    <n v="59"/>
    <n v="0"/>
    <n v="87.73"/>
    <n v="253.9"/>
    <m/>
    <n v="67.376989053363516"/>
    <n v="317.3874512882154"/>
    <n v="0"/>
    <n v="54547.762787200001"/>
    <n v="157867.057696"/>
    <n v="0"/>
    <n v="41892.89885100472"/>
    <n v="197341.56394053993"/>
  </r>
  <r>
    <s v="Sistema Isolado - Regular"/>
    <x v="0"/>
    <x v="1"/>
    <x v="4"/>
    <x v="1"/>
    <x v="0"/>
    <x v="0"/>
    <x v="0"/>
    <x v="4"/>
    <n v="0"/>
    <n v="0"/>
    <n v="785.90200000000004"/>
    <n v="738.74788000000001"/>
    <n v="785.90200000000004"/>
    <n v="738.74788000000001"/>
    <n v="0"/>
    <x v="0"/>
    <n v="0"/>
    <n v="0"/>
    <n v="31"/>
    <n v="59"/>
    <n v="0"/>
    <n v="87.73"/>
    <n v="253.9"/>
    <m/>
    <n v="67.376989053363516"/>
    <n v="317.3874512882154"/>
    <n v="0"/>
    <n v="64810.351512400004"/>
    <n v="187568.086732"/>
    <n v="0"/>
    <n v="49774.607823955506"/>
    <n v="234469.30677777241"/>
  </r>
  <r>
    <s v="Sistema Isolado - Regular"/>
    <x v="0"/>
    <x v="1"/>
    <x v="4"/>
    <x v="1"/>
    <x v="0"/>
    <x v="0"/>
    <x v="0"/>
    <x v="5"/>
    <n v="0"/>
    <n v="0"/>
    <n v="785.90200000000004"/>
    <n v="738.74788000000001"/>
    <n v="785.90200000000004"/>
    <n v="738.74788000000001"/>
    <n v="0"/>
    <x v="0"/>
    <n v="0"/>
    <n v="0"/>
    <n v="31"/>
    <n v="59"/>
    <n v="0"/>
    <n v="87.73"/>
    <n v="253.9"/>
    <m/>
    <n v="67.376989053363516"/>
    <n v="317.3874512882154"/>
    <n v="0"/>
    <n v="64810.351512400004"/>
    <n v="187568.086732"/>
    <n v="0"/>
    <n v="49774.607823955506"/>
    <n v="234469.30677777241"/>
  </r>
  <r>
    <s v="Sistema Isolado - Regular"/>
    <x v="0"/>
    <x v="1"/>
    <x v="4"/>
    <x v="1"/>
    <x v="0"/>
    <x v="0"/>
    <x v="0"/>
    <x v="6"/>
    <n v="0"/>
    <n v="0"/>
    <n v="795.62699999999995"/>
    <n v="747.88937999999996"/>
    <n v="795.62699999999995"/>
    <n v="747.88937999999996"/>
    <n v="0"/>
    <x v="0"/>
    <n v="0"/>
    <n v="0"/>
    <n v="31"/>
    <n v="59"/>
    <n v="0"/>
    <n v="87.73"/>
    <n v="253.9"/>
    <m/>
    <n v="67.376989053363516"/>
    <n v="317.3874512882154"/>
    <n v="0"/>
    <n v="65612.335307400004"/>
    <n v="189889.11358199999"/>
    <n v="0"/>
    <n v="50390.534569386822"/>
    <n v="237370.7041637236"/>
  </r>
  <r>
    <s v="Sistema Isolado - Regular"/>
    <x v="0"/>
    <x v="1"/>
    <x v="4"/>
    <x v="1"/>
    <x v="0"/>
    <x v="0"/>
    <x v="0"/>
    <x v="7"/>
    <n v="0"/>
    <n v="0"/>
    <n v="766.27700000000004"/>
    <n v="720.30038000000002"/>
    <n v="766.27700000000004"/>
    <n v="720.30038000000002"/>
    <n v="0"/>
    <x v="0"/>
    <n v="0"/>
    <n v="0"/>
    <n v="31"/>
    <n v="59"/>
    <n v="0"/>
    <n v="87.73"/>
    <n v="253.9"/>
    <m/>
    <n v="67.376989053363516"/>
    <n v="317.3874512882154"/>
    <n v="0"/>
    <n v="63191.952337400005"/>
    <n v="182884.26648200001"/>
    <n v="0"/>
    <n v="48531.670818393584"/>
    <n v="228614.30177013305"/>
  </r>
  <r>
    <s v="Sistema Isolado - Regular"/>
    <x v="0"/>
    <x v="1"/>
    <x v="4"/>
    <x v="1"/>
    <x v="0"/>
    <x v="0"/>
    <x v="0"/>
    <x v="8"/>
    <n v="0"/>
    <n v="0"/>
    <n v="777.91300000000001"/>
    <n v="731.23821999999996"/>
    <n v="777.91300000000001"/>
    <n v="731.23821999999996"/>
    <n v="0"/>
    <x v="0"/>
    <n v="0"/>
    <n v="0"/>
    <n v="31"/>
    <n v="59"/>
    <n v="0"/>
    <n v="87.73"/>
    <n v="253.9"/>
    <m/>
    <n v="67.376989053363516"/>
    <n v="317.3874512882154"/>
    <n v="0"/>
    <n v="64151.529040599999"/>
    <n v="185661.384058"/>
    <n v="0"/>
    <n v="49268.62954434102"/>
    <n v="232085.83493033133"/>
  </r>
  <r>
    <s v="Sistema Isolado - Regular"/>
    <x v="0"/>
    <x v="1"/>
    <x v="4"/>
    <x v="1"/>
    <x v="0"/>
    <x v="0"/>
    <x v="0"/>
    <x v="9"/>
    <n v="0"/>
    <n v="0"/>
    <n v="751.85199999999998"/>
    <n v="706.74087999999995"/>
    <n v="751.85199999999998"/>
    <n v="706.74087999999995"/>
    <n v="0"/>
    <x v="0"/>
    <n v="0"/>
    <n v="0"/>
    <n v="31"/>
    <n v="59"/>
    <n v="0"/>
    <n v="87.73"/>
    <n v="253.9"/>
    <m/>
    <n v="67.376989053363516"/>
    <n v="317.3874512882154"/>
    <n v="0"/>
    <n v="62002.377402400001"/>
    <n v="179441.50943199999"/>
    <n v="0"/>
    <n v="47618.072535324492"/>
    <n v="224310.68662439048"/>
  </r>
  <r>
    <s v="Sistema Isolado - Regular"/>
    <x v="0"/>
    <x v="1"/>
    <x v="4"/>
    <x v="1"/>
    <x v="0"/>
    <x v="0"/>
    <x v="0"/>
    <x v="10"/>
    <n v="0"/>
    <n v="0"/>
    <n v="748.60699999999997"/>
    <n v="703.69057999999995"/>
    <n v="748.60699999999997"/>
    <n v="703.69057999999995"/>
    <n v="0"/>
    <x v="0"/>
    <n v="0"/>
    <n v="0"/>
    <n v="31"/>
    <n v="59"/>
    <n v="0"/>
    <n v="87.73"/>
    <n v="253.9"/>
    <m/>
    <n v="67.376989053363516"/>
    <n v="317.3874512882154"/>
    <n v="0"/>
    <n v="61734.774583400002"/>
    <n v="178667.03826199999"/>
    <n v="0"/>
    <n v="47412.552505615022"/>
    <n v="223342.55968172604"/>
  </r>
  <r>
    <s v="PROJETADO"/>
    <x v="0"/>
    <x v="1"/>
    <x v="4"/>
    <x v="1"/>
    <x v="0"/>
    <x v="0"/>
    <x v="0"/>
    <x v="11"/>
    <n v="0"/>
    <n v="0"/>
    <n v="748.60699999999997"/>
    <n v="703.69057999999995"/>
    <n v="748.60699999999997"/>
    <n v="703.69057999999995"/>
    <n v="0"/>
    <x v="0"/>
    <n v="0"/>
    <n v="0"/>
    <n v="31"/>
    <n v="59"/>
    <n v="0"/>
    <n v="87.73"/>
    <n v="253.9"/>
    <m/>
    <n v="67.376989053363516"/>
    <n v="317.3874512882154"/>
    <n v="0"/>
    <n v="61734.774583400002"/>
    <n v="178667.03826199999"/>
    <n v="0"/>
    <n v="47412.552505615022"/>
    <n v="223342.55968172604"/>
  </r>
  <r>
    <s v="Sistema Isolado - Regular"/>
    <x v="0"/>
    <x v="1"/>
    <x v="4"/>
    <x v="1"/>
    <x v="0"/>
    <x v="0"/>
    <x v="2"/>
    <x v="0"/>
    <n v="3540"/>
    <n v="3009"/>
    <n v="0"/>
    <n v="0"/>
    <n v="0"/>
    <n v="0"/>
    <n v="28"/>
    <x v="0"/>
    <n v="0"/>
    <n v="18"/>
    <n v="0"/>
    <n v="0"/>
    <n v="14.64"/>
    <n v="0"/>
    <n v="0"/>
    <n v="19.024476785546895"/>
    <m/>
    <m/>
    <n v="44051.76"/>
    <n v="0"/>
    <n v="0"/>
    <n v="57244.650647710609"/>
    <n v="0"/>
    <n v="0"/>
  </r>
  <r>
    <s v="Sistema Isolado - Regular"/>
    <x v="0"/>
    <x v="1"/>
    <x v="4"/>
    <x v="1"/>
    <x v="0"/>
    <x v="0"/>
    <x v="2"/>
    <x v="1"/>
    <n v="3535"/>
    <n v="3004.75"/>
    <n v="0"/>
    <n v="0"/>
    <n v="0"/>
    <n v="0"/>
    <n v="28"/>
    <x v="0"/>
    <n v="0"/>
    <n v="18"/>
    <n v="0"/>
    <n v="0"/>
    <n v="14.64"/>
    <n v="0"/>
    <n v="0"/>
    <n v="19.024476785546895"/>
    <m/>
    <m/>
    <n v="43989.54"/>
    <n v="0"/>
    <n v="0"/>
    <n v="57163.796621372036"/>
    <n v="0"/>
    <n v="0"/>
  </r>
  <r>
    <s v="Sistema Isolado - Regular"/>
    <x v="0"/>
    <x v="1"/>
    <x v="4"/>
    <x v="1"/>
    <x v="0"/>
    <x v="0"/>
    <x v="2"/>
    <x v="2"/>
    <n v="3535"/>
    <n v="3004.75"/>
    <n v="0"/>
    <n v="0"/>
    <n v="0"/>
    <n v="0"/>
    <n v="28"/>
    <x v="0"/>
    <n v="0"/>
    <n v="18"/>
    <n v="0"/>
    <n v="0"/>
    <n v="14.64"/>
    <n v="0"/>
    <n v="0"/>
    <n v="19.024476785546895"/>
    <m/>
    <m/>
    <n v="43989.54"/>
    <n v="0"/>
    <n v="0"/>
    <n v="57163.796621372036"/>
    <n v="0"/>
    <n v="0"/>
  </r>
  <r>
    <s v="Sistema Isolado - Regular"/>
    <x v="0"/>
    <x v="1"/>
    <x v="4"/>
    <x v="1"/>
    <x v="0"/>
    <x v="0"/>
    <x v="2"/>
    <x v="3"/>
    <n v="3545"/>
    <n v="3013.25"/>
    <n v="0"/>
    <n v="0"/>
    <n v="0"/>
    <n v="0"/>
    <n v="28"/>
    <x v="0"/>
    <n v="0"/>
    <n v="18"/>
    <n v="0"/>
    <n v="0"/>
    <n v="14.64"/>
    <n v="0"/>
    <n v="0"/>
    <n v="19.024476785546895"/>
    <m/>
    <m/>
    <n v="44113.98"/>
    <n v="0"/>
    <n v="0"/>
    <n v="57325.504674049182"/>
    <n v="0"/>
    <n v="0"/>
  </r>
  <r>
    <s v="Sistema Isolado - Regular"/>
    <x v="0"/>
    <x v="1"/>
    <x v="4"/>
    <x v="1"/>
    <x v="0"/>
    <x v="0"/>
    <x v="2"/>
    <x v="4"/>
    <n v="3562"/>
    <n v="3027.7"/>
    <n v="0"/>
    <n v="0"/>
    <n v="0"/>
    <n v="0"/>
    <n v="28"/>
    <x v="0"/>
    <n v="0"/>
    <n v="18"/>
    <n v="0"/>
    <n v="0"/>
    <n v="14.64"/>
    <n v="0"/>
    <n v="0"/>
    <n v="19.024476785546895"/>
    <m/>
    <m/>
    <n v="44325.527999999998"/>
    <n v="0"/>
    <n v="0"/>
    <n v="57600.408363600327"/>
    <n v="0"/>
    <n v="0"/>
  </r>
  <r>
    <s v="Sistema Isolado - Regular"/>
    <x v="0"/>
    <x v="1"/>
    <x v="4"/>
    <x v="1"/>
    <x v="0"/>
    <x v="0"/>
    <x v="2"/>
    <x v="5"/>
    <n v="3562"/>
    <n v="3027.7"/>
    <n v="0"/>
    <n v="0"/>
    <n v="0"/>
    <n v="0"/>
    <n v="28"/>
    <x v="0"/>
    <n v="0"/>
    <n v="18"/>
    <n v="0"/>
    <n v="0"/>
    <n v="14.64"/>
    <n v="0"/>
    <n v="0"/>
    <n v="19.024476785546895"/>
    <m/>
    <m/>
    <n v="44325.527999999998"/>
    <n v="0"/>
    <n v="0"/>
    <n v="57600.408363600327"/>
    <n v="0"/>
    <n v="0"/>
  </r>
  <r>
    <s v="Sistema Isolado - Regular"/>
    <x v="0"/>
    <x v="1"/>
    <x v="4"/>
    <x v="1"/>
    <x v="0"/>
    <x v="0"/>
    <x v="2"/>
    <x v="6"/>
    <n v="4028"/>
    <n v="3423.7999999999997"/>
    <n v="0"/>
    <n v="0"/>
    <n v="0"/>
    <n v="0"/>
    <n v="30"/>
    <x v="0"/>
    <n v="0"/>
    <n v="18"/>
    <n v="0"/>
    <n v="0"/>
    <n v="14.64"/>
    <n v="0"/>
    <n v="0"/>
    <n v="19.024476785546895"/>
    <m/>
    <m/>
    <n v="50124.432000000001"/>
    <n v="0"/>
    <n v="0"/>
    <n v="65136.003618355455"/>
    <n v="0"/>
    <n v="0"/>
  </r>
  <r>
    <s v="Sistema Isolado - Regular"/>
    <x v="0"/>
    <x v="1"/>
    <x v="4"/>
    <x v="1"/>
    <x v="0"/>
    <x v="0"/>
    <x v="2"/>
    <x v="7"/>
    <n v="3612"/>
    <n v="3070.2"/>
    <n v="0"/>
    <n v="0"/>
    <n v="0"/>
    <n v="0"/>
    <n v="30"/>
    <x v="0"/>
    <n v="0"/>
    <n v="18"/>
    <n v="0"/>
    <n v="0"/>
    <n v="14.64"/>
    <n v="0"/>
    <n v="0"/>
    <n v="19.024476785546895"/>
    <m/>
    <m/>
    <n v="44947.727999999996"/>
    <n v="0"/>
    <n v="0"/>
    <n v="58408.948626986072"/>
    <n v="0"/>
    <n v="0"/>
  </r>
  <r>
    <s v="Sistema Isolado - Refaturamento"/>
    <x v="0"/>
    <x v="1"/>
    <x v="4"/>
    <x v="1"/>
    <x v="0"/>
    <x v="0"/>
    <x v="2"/>
    <x v="7"/>
    <n v="-420"/>
    <n v="-357"/>
    <n v="0"/>
    <n v="0"/>
    <n v="0"/>
    <n v="0"/>
    <n v="0"/>
    <x v="0"/>
    <n v="0"/>
    <n v="18"/>
    <n v="0"/>
    <n v="0"/>
    <n v="14.64"/>
    <n v="0"/>
    <n v="0"/>
    <n v="19.024476785546895"/>
    <m/>
    <m/>
    <n v="-5226.4800000000005"/>
    <n v="0"/>
    <n v="0"/>
    <n v="-6791.7382124402411"/>
    <n v="0"/>
    <n v="0"/>
  </r>
  <r>
    <s v="Sistema Isolado - Regular"/>
    <x v="0"/>
    <x v="1"/>
    <x v="4"/>
    <x v="1"/>
    <x v="0"/>
    <x v="0"/>
    <x v="2"/>
    <x v="8"/>
    <n v="3611"/>
    <n v="3069.35"/>
    <n v="0"/>
    <n v="0"/>
    <n v="0"/>
    <n v="0"/>
    <n v="30"/>
    <x v="0"/>
    <n v="0"/>
    <n v="18"/>
    <n v="0"/>
    <n v="0"/>
    <n v="14.64"/>
    <n v="0"/>
    <n v="0"/>
    <n v="19.024476785546895"/>
    <m/>
    <m/>
    <n v="44935.284"/>
    <n v="0"/>
    <n v="0"/>
    <n v="58392.777821718359"/>
    <n v="0"/>
    <n v="0"/>
  </r>
  <r>
    <s v="Sistema Isolado - Regular"/>
    <x v="0"/>
    <x v="1"/>
    <x v="4"/>
    <x v="1"/>
    <x v="0"/>
    <x v="0"/>
    <x v="2"/>
    <x v="9"/>
    <n v="3617"/>
    <n v="3074.45"/>
    <n v="0"/>
    <n v="0"/>
    <n v="0"/>
    <n v="0"/>
    <n v="30"/>
    <x v="0"/>
    <n v="0"/>
    <n v="18"/>
    <n v="0"/>
    <n v="0"/>
    <n v="14.64"/>
    <n v="0"/>
    <n v="0"/>
    <n v="19.024476785546895"/>
    <m/>
    <m/>
    <n v="45009.947999999997"/>
    <n v="0"/>
    <n v="0"/>
    <n v="58489.802653324645"/>
    <n v="0"/>
    <n v="0"/>
  </r>
  <r>
    <s v="Sistema Isolado - Regular"/>
    <x v="0"/>
    <x v="1"/>
    <x v="4"/>
    <x v="1"/>
    <x v="0"/>
    <x v="0"/>
    <x v="2"/>
    <x v="10"/>
    <n v="3633"/>
    <n v="3088.0499999999997"/>
    <n v="0"/>
    <n v="0"/>
    <n v="0"/>
    <n v="0"/>
    <n v="30"/>
    <x v="0"/>
    <n v="0"/>
    <n v="18"/>
    <n v="0"/>
    <n v="0"/>
    <n v="14.64"/>
    <n v="0"/>
    <n v="0"/>
    <n v="19.024476785546895"/>
    <m/>
    <m/>
    <n v="45209.051999999996"/>
    <n v="0"/>
    <n v="0"/>
    <n v="58748.535537608084"/>
    <n v="0"/>
    <n v="0"/>
  </r>
  <r>
    <s v="PROJETADO"/>
    <x v="0"/>
    <x v="1"/>
    <x v="4"/>
    <x v="1"/>
    <x v="0"/>
    <x v="0"/>
    <x v="2"/>
    <x v="11"/>
    <n v="3633"/>
    <n v="3088.0499999999997"/>
    <n v="0"/>
    <n v="0"/>
    <n v="0"/>
    <n v="0"/>
    <n v="30"/>
    <x v="0"/>
    <n v="0"/>
    <n v="18"/>
    <n v="0"/>
    <n v="0"/>
    <n v="14.64"/>
    <n v="0"/>
    <n v="0"/>
    <n v="19.024476785546895"/>
    <m/>
    <m/>
    <n v="45209.051999999996"/>
    <n v="0"/>
    <n v="0"/>
    <n v="58748.535537608084"/>
    <n v="0"/>
    <n v="0"/>
  </r>
  <r>
    <s v="Sistema Isolado - Regular"/>
    <x v="0"/>
    <x v="1"/>
    <x v="4"/>
    <x v="1"/>
    <x v="0"/>
    <x v="0"/>
    <x v="1"/>
    <x v="0"/>
    <n v="0"/>
    <n v="0"/>
    <n v="70.024000000000001"/>
    <n v="65.822559999999996"/>
    <n v="70.024000000000001"/>
    <n v="65.822559999999996"/>
    <n v="0"/>
    <x v="0"/>
    <n v="0"/>
    <n v="0"/>
    <n v="11"/>
    <n v="71"/>
    <n v="0"/>
    <n v="1155.51"/>
    <n v="433.77"/>
    <m/>
    <n v="1456.3363071141353"/>
    <n v="542.84414704984056"/>
    <n v="0"/>
    <n v="76058.626305599988"/>
    <n v="28551.851851199997"/>
    <n v="0"/>
    <n v="95859.783955198582"/>
    <n v="35731.391439836952"/>
  </r>
  <r>
    <s v="Sistema Isolado - Regular"/>
    <x v="0"/>
    <x v="1"/>
    <x v="4"/>
    <x v="1"/>
    <x v="0"/>
    <x v="0"/>
    <x v="1"/>
    <x v="1"/>
    <n v="0"/>
    <n v="0"/>
    <n v="76.138000000000005"/>
    <n v="71.569720000000004"/>
    <n v="76.138000000000005"/>
    <n v="71.569720000000004"/>
    <n v="0"/>
    <x v="0"/>
    <n v="0"/>
    <n v="0"/>
    <n v="11"/>
    <n v="71"/>
    <n v="0"/>
    <n v="1155.51"/>
    <n v="433.77"/>
    <m/>
    <n v="1456.3363071141353"/>
    <n v="542.84414704984056"/>
    <n v="0"/>
    <n v="82699.527157200006"/>
    <n v="31044.797444399999"/>
    <n v="0"/>
    <n v="104229.58172599267"/>
    <n v="38851.203607995914"/>
  </r>
  <r>
    <s v="Sistema Isolado - Regular"/>
    <x v="0"/>
    <x v="1"/>
    <x v="4"/>
    <x v="1"/>
    <x v="0"/>
    <x v="0"/>
    <x v="1"/>
    <x v="2"/>
    <n v="0"/>
    <n v="0"/>
    <n v="69.722999999999999"/>
    <n v="65.539619999999999"/>
    <n v="69.722999999999999"/>
    <n v="65.539619999999999"/>
    <n v="0"/>
    <x v="0"/>
    <n v="0"/>
    <n v="0"/>
    <n v="11"/>
    <n v="71"/>
    <n v="0"/>
    <n v="1155.51"/>
    <n v="433.77"/>
    <m/>
    <n v="1456.3363071141353"/>
    <n v="542.84414704984056"/>
    <n v="0"/>
    <n v="75731.686306200005"/>
    <n v="28429.120967399998"/>
    <n v="0"/>
    <n v="95447.728160463725"/>
    <n v="35577.799116870672"/>
  </r>
  <r>
    <s v="Sistema Isolado - Regular"/>
    <x v="0"/>
    <x v="1"/>
    <x v="4"/>
    <x v="1"/>
    <x v="0"/>
    <x v="0"/>
    <x v="1"/>
    <x v="3"/>
    <n v="0"/>
    <n v="0"/>
    <n v="67.254000000000005"/>
    <n v="63.218760000000003"/>
    <n v="67.254000000000005"/>
    <n v="63.218760000000003"/>
    <n v="0"/>
    <x v="0"/>
    <n v="0"/>
    <n v="0"/>
    <n v="11"/>
    <n v="71"/>
    <n v="0"/>
    <n v="1155.51"/>
    <n v="433.77"/>
    <m/>
    <n v="1456.3363071141353"/>
    <n v="542.84414704984056"/>
    <n v="0"/>
    <n v="73049.909367600005"/>
    <n v="27422.401525199999"/>
    <n v="0"/>
    <n v="92067.775478734809"/>
    <n v="34317.933849748581"/>
  </r>
  <r>
    <s v="Sistema Isolado - Regular"/>
    <x v="0"/>
    <x v="1"/>
    <x v="4"/>
    <x v="1"/>
    <x v="0"/>
    <x v="0"/>
    <x v="1"/>
    <x v="4"/>
    <n v="0"/>
    <n v="0"/>
    <n v="79.739000000000004"/>
    <n v="74.954660000000004"/>
    <n v="79.739000000000004"/>
    <n v="74.954660000000004"/>
    <n v="0"/>
    <x v="0"/>
    <n v="0"/>
    <n v="0"/>
    <n v="11"/>
    <n v="71"/>
    <n v="0"/>
    <n v="1155.51"/>
    <n v="433.77"/>
    <m/>
    <n v="1456.3363071141353"/>
    <n v="542.84414704984056"/>
    <n v="0"/>
    <n v="86610.859176600003"/>
    <n v="32513.082868199999"/>
    <n v="0"/>
    <n v="109159.1927453956"/>
    <n v="40688.698475110803"/>
  </r>
  <r>
    <s v="Sistema Isolado - Regular"/>
    <x v="0"/>
    <x v="1"/>
    <x v="4"/>
    <x v="1"/>
    <x v="0"/>
    <x v="0"/>
    <x v="1"/>
    <x v="5"/>
    <n v="0"/>
    <n v="0"/>
    <n v="79.739000000000004"/>
    <n v="74.954660000000004"/>
    <n v="79.739000000000004"/>
    <n v="74.954660000000004"/>
    <n v="0"/>
    <x v="0"/>
    <n v="0"/>
    <n v="0"/>
    <n v="11"/>
    <n v="71"/>
    <n v="0"/>
    <n v="1155.51"/>
    <n v="433.77"/>
    <m/>
    <n v="1456.3363071141353"/>
    <n v="542.84414704984056"/>
    <n v="0"/>
    <n v="86610.859176600003"/>
    <n v="32513.082868199999"/>
    <n v="0"/>
    <n v="109159.1927453956"/>
    <n v="40688.698475110803"/>
  </r>
  <r>
    <s v="Sistema Isolado - Regular"/>
    <x v="0"/>
    <x v="1"/>
    <x v="4"/>
    <x v="1"/>
    <x v="0"/>
    <x v="0"/>
    <x v="1"/>
    <x v="6"/>
    <n v="0"/>
    <n v="0"/>
    <n v="79.894999999999996"/>
    <n v="75.101299999999995"/>
    <n v="79.894999999999996"/>
    <n v="75.101299999999995"/>
    <n v="0"/>
    <x v="0"/>
    <n v="0"/>
    <n v="0"/>
    <n v="11"/>
    <n v="71"/>
    <n v="0"/>
    <n v="1155.51"/>
    <n v="433.77"/>
    <m/>
    <n v="1456.3363071141353"/>
    <n v="542.84414704984056"/>
    <n v="0"/>
    <n v="86780.30316299999"/>
    <n v="32576.690900999998"/>
    <n v="0"/>
    <n v="109372.7499014708"/>
    <n v="40768.301140834184"/>
  </r>
  <r>
    <s v="Sistema Isolado - Regular"/>
    <x v="0"/>
    <x v="1"/>
    <x v="4"/>
    <x v="1"/>
    <x v="0"/>
    <x v="0"/>
    <x v="1"/>
    <x v="7"/>
    <n v="0"/>
    <n v="0"/>
    <n v="74.900999999999996"/>
    <n v="70.406939999999992"/>
    <n v="74.900999999999996"/>
    <n v="70.406939999999992"/>
    <n v="0"/>
    <x v="0"/>
    <n v="0"/>
    <n v="0"/>
    <n v="11"/>
    <n v="71"/>
    <n v="0"/>
    <n v="1155.51"/>
    <n v="433.77"/>
    <m/>
    <n v="1456.3363071141353"/>
    <n v="542.84414704984056"/>
    <n v="0"/>
    <n v="81355.923239399985"/>
    <n v="30540.418363799996"/>
    <n v="0"/>
    <n v="102536.18299480648"/>
    <n v="38219.995290689294"/>
  </r>
  <r>
    <s v="Sistema Isolado - Regular"/>
    <x v="0"/>
    <x v="1"/>
    <x v="4"/>
    <x v="1"/>
    <x v="0"/>
    <x v="0"/>
    <x v="1"/>
    <x v="8"/>
    <n v="0"/>
    <n v="0"/>
    <n v="73.212999999999994"/>
    <n v="68.820219999999992"/>
    <n v="73.212999999999994"/>
    <n v="68.820219999999992"/>
    <n v="0"/>
    <x v="0"/>
    <n v="0"/>
    <n v="0"/>
    <n v="11"/>
    <n v="71"/>
    <n v="0"/>
    <n v="1155.51"/>
    <n v="433.77"/>
    <m/>
    <n v="1456.3363071141353"/>
    <n v="542.84414704984056"/>
    <n v="0"/>
    <n v="79522.452412199986"/>
    <n v="29852.146829399997"/>
    <n v="0"/>
    <n v="100225.38504958234"/>
    <n v="37358.653625682375"/>
  </r>
  <r>
    <s v="Sistema Isolado - Regular"/>
    <x v="0"/>
    <x v="1"/>
    <x v="4"/>
    <x v="1"/>
    <x v="0"/>
    <x v="0"/>
    <x v="1"/>
    <x v="9"/>
    <n v="0"/>
    <n v="0"/>
    <n v="78.441999999999993"/>
    <n v="73.735479999999995"/>
    <n v="78.441999999999993"/>
    <n v="73.735479999999995"/>
    <n v="0"/>
    <x v="0"/>
    <n v="0"/>
    <n v="0"/>
    <n v="11"/>
    <n v="71"/>
    <n v="0"/>
    <n v="1155.51"/>
    <n v="433.77"/>
    <m/>
    <n v="1456.3363071141353"/>
    <n v="542.84414704984056"/>
    <n v="0"/>
    <n v="85202.084494800001"/>
    <n v="31984.239159599998"/>
    <n v="0"/>
    <n v="107383.65664648818"/>
    <n v="40026.873747910577"/>
  </r>
  <r>
    <s v="Sistema Isolado - Regular"/>
    <x v="0"/>
    <x v="1"/>
    <x v="4"/>
    <x v="1"/>
    <x v="0"/>
    <x v="0"/>
    <x v="1"/>
    <x v="10"/>
    <n v="0"/>
    <n v="0"/>
    <n v="74.682000000000002"/>
    <n v="70.201080000000005"/>
    <n v="74.682000000000002"/>
    <n v="70.201080000000005"/>
    <n v="0"/>
    <x v="0"/>
    <n v="0"/>
    <n v="0"/>
    <n v="11"/>
    <n v="71"/>
    <n v="0"/>
    <n v="1155.51"/>
    <n v="433.77"/>
    <m/>
    <n v="1456.3363071141353"/>
    <n v="542.84414704984056"/>
    <n v="0"/>
    <n v="81118.049950800007"/>
    <n v="30451.1224716"/>
    <n v="0"/>
    <n v="102236.38160262398"/>
    <n v="38108.245394577621"/>
  </r>
  <r>
    <s v="PROJETADO"/>
    <x v="0"/>
    <x v="1"/>
    <x v="4"/>
    <x v="1"/>
    <x v="0"/>
    <x v="0"/>
    <x v="1"/>
    <x v="11"/>
    <n v="0"/>
    <n v="0"/>
    <n v="74.682000000000002"/>
    <n v="70.201080000000005"/>
    <n v="74.682000000000002"/>
    <n v="70.201080000000005"/>
    <n v="0"/>
    <x v="0"/>
    <n v="0"/>
    <n v="0"/>
    <n v="11"/>
    <n v="71"/>
    <n v="0"/>
    <n v="1155.51"/>
    <n v="433.77"/>
    <m/>
    <n v="1456.3363071141353"/>
    <n v="542.84414704984056"/>
    <n v="0"/>
    <n v="81118.049950800007"/>
    <n v="30451.1224716"/>
    <n v="0"/>
    <n v="102236.38160262398"/>
    <n v="38108.245394577621"/>
  </r>
  <r>
    <s v="Sistema Isolado - Regular"/>
    <x v="1"/>
    <x v="2"/>
    <x v="6"/>
    <x v="3"/>
    <x v="0"/>
    <x v="0"/>
    <x v="0"/>
    <x v="0"/>
    <n v="0"/>
    <n v="0"/>
    <n v="65.575000000000003"/>
    <n v="65.575000000000003"/>
    <n v="65.575000000000003"/>
    <n v="65.575000000000003"/>
    <n v="0"/>
    <x v="0"/>
    <n v="0"/>
    <n v="0"/>
    <n v="35"/>
    <n v="43"/>
    <n v="0"/>
    <n v="235.45"/>
    <n v="253.9"/>
    <m/>
    <n v="249.65261977323823"/>
    <n v="317.3874512882154"/>
    <n v="0"/>
    <n v="15439.633749999999"/>
    <n v="16649.4925"/>
    <n v="0"/>
    <n v="16370.970541630097"/>
    <n v="20812.682118224726"/>
  </r>
  <r>
    <s v="Sistema de Compensação"/>
    <x v="1"/>
    <x v="2"/>
    <x v="6"/>
    <x v="3"/>
    <x v="0"/>
    <x v="0"/>
    <x v="0"/>
    <x v="0"/>
    <n v="0"/>
    <n v="0"/>
    <n v="0.70899999999999996"/>
    <n v="0.70899999999999996"/>
    <n v="0.70899999999999996"/>
    <n v="0.70899999999999996"/>
    <n v="0"/>
    <x v="0"/>
    <n v="0"/>
    <n v="0"/>
    <n v="35"/>
    <n v="43"/>
    <n v="0"/>
    <n v="235.45"/>
    <n v="253.9"/>
    <m/>
    <n v="249.65261977323823"/>
    <n v="317.3874512882154"/>
    <n v="0"/>
    <n v="166.93404999999998"/>
    <n v="180.01509999999999"/>
    <n v="0"/>
    <n v="177.00370741922589"/>
    <n v="225.02770296334472"/>
  </r>
  <r>
    <s v="Sistema Isolado - Regular"/>
    <x v="1"/>
    <x v="2"/>
    <x v="6"/>
    <x v="3"/>
    <x v="0"/>
    <x v="0"/>
    <x v="0"/>
    <x v="1"/>
    <n v="0"/>
    <n v="0"/>
    <n v="58.158999999999999"/>
    <n v="58.158999999999999"/>
    <n v="58.158999999999999"/>
    <n v="58.158999999999999"/>
    <n v="0"/>
    <x v="0"/>
    <n v="0"/>
    <n v="0"/>
    <n v="35"/>
    <n v="43"/>
    <n v="0"/>
    <n v="235.45"/>
    <n v="253.9"/>
    <m/>
    <n v="249.65261977323823"/>
    <n v="317.3874512882154"/>
    <n v="0"/>
    <n v="13693.536549999999"/>
    <n v="14766.570100000001"/>
    <n v="0"/>
    <n v="14519.546713391763"/>
    <n v="18458.936779471318"/>
  </r>
  <r>
    <s v="Sistema de Compensação"/>
    <x v="1"/>
    <x v="2"/>
    <x v="6"/>
    <x v="3"/>
    <x v="0"/>
    <x v="0"/>
    <x v="0"/>
    <x v="1"/>
    <n v="0"/>
    <n v="0"/>
    <n v="0.61799999999999999"/>
    <n v="0.61799999999999999"/>
    <n v="0.61799999999999999"/>
    <n v="0.61799999999999999"/>
    <n v="0"/>
    <x v="0"/>
    <n v="0"/>
    <n v="0"/>
    <n v="35"/>
    <n v="43"/>
    <n v="0"/>
    <n v="235.45"/>
    <n v="253.9"/>
    <m/>
    <n v="249.65261977323823"/>
    <n v="317.3874512882154"/>
    <n v="0"/>
    <n v="145.50809999999998"/>
    <n v="156.9102"/>
    <n v="0"/>
    <n v="154.28531901986122"/>
    <n v="196.14544489611711"/>
  </r>
  <r>
    <s v="Sistema Isolado - Regular"/>
    <x v="1"/>
    <x v="2"/>
    <x v="6"/>
    <x v="3"/>
    <x v="0"/>
    <x v="0"/>
    <x v="0"/>
    <x v="2"/>
    <n v="0"/>
    <n v="0"/>
    <n v="50.734999999999999"/>
    <n v="50.734999999999999"/>
    <n v="50.734999999999999"/>
    <n v="50.734999999999999"/>
    <n v="0"/>
    <x v="0"/>
    <n v="0"/>
    <n v="0"/>
    <n v="35"/>
    <n v="43"/>
    <n v="0"/>
    <n v="235.45"/>
    <n v="253.9"/>
    <m/>
    <n v="249.65261977323823"/>
    <n v="317.3874512882154"/>
    <n v="0"/>
    <n v="11945.55575"/>
    <n v="12881.6165"/>
    <n v="0"/>
    <n v="12666.125664195242"/>
    <n v="16102.652341107609"/>
  </r>
  <r>
    <s v="Sistema de Compensação"/>
    <x v="1"/>
    <x v="2"/>
    <x v="6"/>
    <x v="3"/>
    <x v="0"/>
    <x v="0"/>
    <x v="0"/>
    <x v="2"/>
    <n v="0"/>
    <n v="0"/>
    <n v="0.57699999999999996"/>
    <n v="0.57699999999999996"/>
    <n v="0.57699999999999996"/>
    <n v="0.57699999999999996"/>
    <n v="0"/>
    <x v="0"/>
    <n v="0"/>
    <n v="0"/>
    <n v="35"/>
    <n v="43"/>
    <n v="0"/>
    <n v="235.45"/>
    <n v="253.9"/>
    <m/>
    <n v="249.65261977323823"/>
    <n v="317.3874512882154"/>
    <n v="0"/>
    <n v="135.85464999999999"/>
    <n v="146.50029999999998"/>
    <n v="0"/>
    <n v="144.04956160915845"/>
    <n v="183.13255939330028"/>
  </r>
  <r>
    <s v="Sistema Isolado - Regular"/>
    <x v="1"/>
    <x v="2"/>
    <x v="6"/>
    <x v="3"/>
    <x v="0"/>
    <x v="0"/>
    <x v="0"/>
    <x v="3"/>
    <n v="0"/>
    <n v="0"/>
    <n v="54.89"/>
    <n v="54.89"/>
    <n v="54.89"/>
    <n v="54.89"/>
    <n v="0"/>
    <x v="0"/>
    <n v="0"/>
    <n v="0"/>
    <n v="35"/>
    <n v="43"/>
    <n v="0"/>
    <n v="235.45"/>
    <n v="253.9"/>
    <m/>
    <n v="249.65261977323823"/>
    <n v="317.3874512882154"/>
    <n v="0"/>
    <n v="12923.850499999999"/>
    <n v="13936.571"/>
    <n v="0"/>
    <n v="13703.432299353046"/>
    <n v="17421.397201210144"/>
  </r>
  <r>
    <s v="Sistema de Compensação"/>
    <x v="1"/>
    <x v="2"/>
    <x v="6"/>
    <x v="3"/>
    <x v="0"/>
    <x v="0"/>
    <x v="0"/>
    <x v="3"/>
    <n v="0"/>
    <n v="0"/>
    <n v="0.59199999999999997"/>
    <n v="0.59199999999999997"/>
    <n v="0.59199999999999997"/>
    <n v="0.59199999999999997"/>
    <n v="0"/>
    <x v="0"/>
    <n v="0"/>
    <n v="0"/>
    <n v="35"/>
    <n v="43"/>
    <n v="0"/>
    <n v="235.45"/>
    <n v="253.9"/>
    <m/>
    <n v="249.65261977323823"/>
    <n v="317.3874512882154"/>
    <n v="0"/>
    <n v="139.38639999999998"/>
    <n v="150.30879999999999"/>
    <n v="0"/>
    <n v="147.79435090575703"/>
    <n v="187.89337116262351"/>
  </r>
  <r>
    <s v="Sistema Isolado - Regular"/>
    <x v="1"/>
    <x v="2"/>
    <x v="6"/>
    <x v="3"/>
    <x v="0"/>
    <x v="0"/>
    <x v="0"/>
    <x v="4"/>
    <n v="0"/>
    <n v="0"/>
    <n v="45.198999999999998"/>
    <n v="45.198999999999998"/>
    <n v="45.198999999999998"/>
    <n v="45.198999999999998"/>
    <n v="0"/>
    <x v="0"/>
    <n v="0"/>
    <n v="0"/>
    <n v="35"/>
    <n v="43"/>
    <n v="0"/>
    <n v="235.45"/>
    <n v="253.9"/>
    <m/>
    <n v="249.65261977323823"/>
    <n v="317.3874512882154"/>
    <n v="0"/>
    <n v="10642.104549999998"/>
    <n v="11476.026099999999"/>
    <n v="0"/>
    <n v="11284.048761130594"/>
    <n v="14345.595410776048"/>
  </r>
  <r>
    <s v="Sistema de Compensação"/>
    <x v="1"/>
    <x v="2"/>
    <x v="6"/>
    <x v="3"/>
    <x v="0"/>
    <x v="0"/>
    <x v="0"/>
    <x v="4"/>
    <n v="0"/>
    <n v="0"/>
    <n v="0.50800000000000001"/>
    <n v="0.50800000000000001"/>
    <n v="0.50800000000000001"/>
    <n v="0.50800000000000001"/>
    <n v="0"/>
    <x v="0"/>
    <n v="0"/>
    <n v="0"/>
    <n v="35"/>
    <n v="43"/>
    <n v="0"/>
    <n v="235.45"/>
    <n v="253.9"/>
    <m/>
    <n v="249.65261977323823"/>
    <n v="317.3874512882154"/>
    <n v="0"/>
    <n v="119.6086"/>
    <n v="128.9812"/>
    <n v="0"/>
    <n v="126.82353084480502"/>
    <n v="161.23282525441343"/>
  </r>
  <r>
    <s v="Sistema Isolado - Regular"/>
    <x v="1"/>
    <x v="2"/>
    <x v="6"/>
    <x v="3"/>
    <x v="0"/>
    <x v="0"/>
    <x v="0"/>
    <x v="5"/>
    <n v="0"/>
    <n v="0"/>
    <n v="45.198999999999998"/>
    <n v="45.198999999999998"/>
    <n v="45.198999999999998"/>
    <n v="45.198999999999998"/>
    <n v="0"/>
    <x v="0"/>
    <n v="0"/>
    <n v="0"/>
    <n v="35"/>
    <n v="43"/>
    <n v="0"/>
    <n v="235.45"/>
    <n v="253.9"/>
    <m/>
    <n v="249.65261977323823"/>
    <n v="317.3874512882154"/>
    <n v="0"/>
    <n v="10642.104549999998"/>
    <n v="11476.026099999999"/>
    <n v="0"/>
    <n v="11284.048761130594"/>
    <n v="14345.595410776048"/>
  </r>
  <r>
    <s v="Sistema de Compensação"/>
    <x v="1"/>
    <x v="2"/>
    <x v="6"/>
    <x v="3"/>
    <x v="0"/>
    <x v="0"/>
    <x v="0"/>
    <x v="5"/>
    <n v="0"/>
    <n v="0"/>
    <n v="0.50800000000000001"/>
    <n v="0.50800000000000001"/>
    <n v="0.50800000000000001"/>
    <n v="0.50800000000000001"/>
    <n v="0"/>
    <x v="0"/>
    <n v="0"/>
    <n v="0"/>
    <n v="35"/>
    <n v="43"/>
    <n v="0"/>
    <n v="235.45"/>
    <n v="253.9"/>
    <m/>
    <n v="249.65261977323823"/>
    <n v="317.3874512882154"/>
    <n v="0"/>
    <n v="119.6086"/>
    <n v="128.9812"/>
    <n v="0"/>
    <n v="126.82353084480502"/>
    <n v="161.23282525441343"/>
  </r>
  <r>
    <s v="Sistema Isolado - Regular"/>
    <x v="1"/>
    <x v="2"/>
    <x v="6"/>
    <x v="3"/>
    <x v="0"/>
    <x v="0"/>
    <x v="0"/>
    <x v="6"/>
    <n v="0"/>
    <n v="0"/>
    <n v="40.454999999999998"/>
    <n v="40.454999999999998"/>
    <n v="40.454999999999998"/>
    <n v="40.454999999999998"/>
    <n v="0"/>
    <x v="0"/>
    <n v="0"/>
    <n v="0"/>
    <n v="35"/>
    <n v="43"/>
    <n v="0"/>
    <n v="235.45"/>
    <n v="253.9"/>
    <m/>
    <n v="249.65261977323823"/>
    <n v="317.3874512882154"/>
    <n v="0"/>
    <n v="9525.1297499999982"/>
    <n v="10271.5245"/>
    <n v="0"/>
    <n v="10099.696732926352"/>
    <n v="12839.909341864754"/>
  </r>
  <r>
    <s v="Sistema de Compensação"/>
    <x v="1"/>
    <x v="2"/>
    <x v="6"/>
    <x v="3"/>
    <x v="0"/>
    <x v="0"/>
    <x v="0"/>
    <x v="6"/>
    <n v="0"/>
    <n v="0"/>
    <n v="2.1520000000000001"/>
    <n v="2.1520000000000001"/>
    <n v="2.1520000000000001"/>
    <n v="2.1520000000000001"/>
    <n v="0"/>
    <x v="0"/>
    <n v="0"/>
    <n v="0"/>
    <n v="35"/>
    <n v="43"/>
    <n v="0"/>
    <n v="235.45"/>
    <n v="253.9"/>
    <m/>
    <n v="249.65261977323823"/>
    <n v="317.3874512882154"/>
    <n v="0"/>
    <n v="506.6884"/>
    <n v="546.39280000000008"/>
    <n v="0"/>
    <n v="537.25243775200875"/>
    <n v="683.01779517223963"/>
  </r>
  <r>
    <s v="Sistema Isolado - Regular"/>
    <x v="1"/>
    <x v="2"/>
    <x v="6"/>
    <x v="3"/>
    <x v="0"/>
    <x v="0"/>
    <x v="0"/>
    <x v="7"/>
    <n v="0"/>
    <n v="0"/>
    <n v="38.088000000000001"/>
    <n v="38.088000000000001"/>
    <n v="38.088000000000001"/>
    <n v="38.088000000000001"/>
    <n v="0"/>
    <x v="0"/>
    <n v="0"/>
    <n v="0"/>
    <n v="35"/>
    <n v="43"/>
    <n v="0"/>
    <n v="235.45"/>
    <n v="253.9"/>
    <m/>
    <n v="249.65261977323823"/>
    <n v="317.3874512882154"/>
    <n v="0"/>
    <n v="8967.8195999999989"/>
    <n v="9670.5432000000001"/>
    <n v="0"/>
    <n v="9508.7689819230982"/>
    <n v="12088.653244665549"/>
  </r>
  <r>
    <s v="Sistema de Compensação"/>
    <x v="1"/>
    <x v="2"/>
    <x v="6"/>
    <x v="3"/>
    <x v="0"/>
    <x v="0"/>
    <x v="0"/>
    <x v="7"/>
    <n v="0"/>
    <n v="0"/>
    <n v="0.38300000000000001"/>
    <n v="0.38300000000000001"/>
    <n v="0.38300000000000001"/>
    <n v="0.38300000000000001"/>
    <n v="0"/>
    <x v="0"/>
    <n v="0"/>
    <n v="0"/>
    <n v="35"/>
    <n v="43"/>
    <n v="0"/>
    <n v="235.45"/>
    <n v="253.9"/>
    <m/>
    <n v="249.65261977323823"/>
    <n v="317.3874512882154"/>
    <n v="0"/>
    <n v="90.177350000000004"/>
    <n v="97.243700000000004"/>
    <n v="0"/>
    <n v="95.616953373150238"/>
    <n v="121.5593938433865"/>
  </r>
  <r>
    <s v="Sistema Isolado - Regular"/>
    <x v="1"/>
    <x v="2"/>
    <x v="6"/>
    <x v="3"/>
    <x v="0"/>
    <x v="0"/>
    <x v="0"/>
    <x v="8"/>
    <n v="0"/>
    <n v="0"/>
    <n v="38.624000000000002"/>
    <n v="38.624000000000002"/>
    <n v="38.624000000000002"/>
    <n v="38.624000000000002"/>
    <n v="0"/>
    <x v="0"/>
    <n v="0"/>
    <n v="0"/>
    <n v="35"/>
    <n v="43"/>
    <n v="0"/>
    <n v="235.45"/>
    <n v="253.9"/>
    <m/>
    <n v="249.65261977323823"/>
    <n v="317.3874512882154"/>
    <n v="0"/>
    <n v="9094.0208000000002"/>
    <n v="9806.633600000001"/>
    <n v="0"/>
    <n v="9642.5827861215548"/>
    <n v="12258.772918556033"/>
  </r>
  <r>
    <s v="Sistema de Compensação"/>
    <x v="1"/>
    <x v="2"/>
    <x v="6"/>
    <x v="3"/>
    <x v="0"/>
    <x v="0"/>
    <x v="0"/>
    <x v="8"/>
    <n v="0"/>
    <n v="0"/>
    <n v="0.439"/>
    <n v="0.439"/>
    <n v="0.439"/>
    <n v="0.439"/>
    <n v="0"/>
    <x v="0"/>
    <n v="0"/>
    <n v="0"/>
    <n v="35"/>
    <n v="43"/>
    <n v="0"/>
    <n v="235.45"/>
    <n v="253.9"/>
    <m/>
    <n v="249.65261977323823"/>
    <n v="317.3874512882154"/>
    <n v="0"/>
    <n v="103.36255"/>
    <n v="111.46210000000001"/>
    <n v="0"/>
    <n v="109.59750008045158"/>
    <n v="139.33309111552657"/>
  </r>
  <r>
    <s v="Sistema Isolado - Regular"/>
    <x v="1"/>
    <x v="2"/>
    <x v="6"/>
    <x v="3"/>
    <x v="0"/>
    <x v="0"/>
    <x v="0"/>
    <x v="9"/>
    <n v="0"/>
    <n v="0"/>
    <n v="47.058999999999997"/>
    <n v="47.058999999999997"/>
    <n v="47.058999999999997"/>
    <n v="47.058999999999997"/>
    <n v="0"/>
    <x v="0"/>
    <n v="0"/>
    <n v="0"/>
    <n v="35"/>
    <n v="43"/>
    <n v="0"/>
    <n v="235.45"/>
    <n v="253.9"/>
    <m/>
    <n v="249.65261977323823"/>
    <n v="317.3874512882154"/>
    <n v="0"/>
    <n v="11080.041549999998"/>
    <n v="11948.2801"/>
    <n v="0"/>
    <n v="11748.402633908818"/>
    <n v="14935.936070172127"/>
  </r>
  <r>
    <s v="Sistema de Compensação"/>
    <x v="1"/>
    <x v="2"/>
    <x v="6"/>
    <x v="3"/>
    <x v="0"/>
    <x v="0"/>
    <x v="0"/>
    <x v="9"/>
    <n v="0"/>
    <n v="0"/>
    <n v="0.53200000000000003"/>
    <n v="0.53200000000000003"/>
    <n v="0.53200000000000003"/>
    <n v="0.53200000000000003"/>
    <n v="0"/>
    <x v="0"/>
    <n v="0"/>
    <n v="0"/>
    <n v="35"/>
    <n v="43"/>
    <n v="0"/>
    <n v="235.45"/>
    <n v="253.9"/>
    <m/>
    <n v="249.65261977323823"/>
    <n v="317.3874512882154"/>
    <n v="0"/>
    <n v="125.2594"/>
    <n v="135.07480000000001"/>
    <n v="0"/>
    <n v="132.81519371936275"/>
    <n v="168.85012408533061"/>
  </r>
  <r>
    <s v="Sistema Isolado - Regular"/>
    <x v="1"/>
    <x v="2"/>
    <x v="6"/>
    <x v="3"/>
    <x v="0"/>
    <x v="0"/>
    <x v="0"/>
    <x v="10"/>
    <n v="0"/>
    <n v="0"/>
    <n v="45.725000000000001"/>
    <n v="45.725000000000001"/>
    <n v="45.725000000000001"/>
    <n v="45.725000000000001"/>
    <n v="0"/>
    <x v="0"/>
    <n v="0"/>
    <n v="0"/>
    <n v="35"/>
    <n v="43"/>
    <n v="0"/>
    <n v="235.45"/>
    <n v="253.9"/>
    <m/>
    <n v="249.65261977323823"/>
    <n v="317.3874512882154"/>
    <n v="0"/>
    <n v="10765.95125"/>
    <n v="11609.577500000001"/>
    <n v="0"/>
    <n v="11415.366039131319"/>
    <n v="14512.541210153649"/>
  </r>
  <r>
    <s v="Sistema de Compensação"/>
    <x v="1"/>
    <x v="2"/>
    <x v="6"/>
    <x v="3"/>
    <x v="0"/>
    <x v="0"/>
    <x v="0"/>
    <x v="10"/>
    <n v="0"/>
    <n v="0"/>
    <n v="0.55400000000000005"/>
    <n v="0.55400000000000005"/>
    <n v="0.55400000000000005"/>
    <n v="0.55400000000000005"/>
    <n v="0"/>
    <x v="0"/>
    <n v="0"/>
    <n v="0"/>
    <n v="35"/>
    <n v="43"/>
    <n v="0"/>
    <n v="235.45"/>
    <n v="253.9"/>
    <m/>
    <n v="249.65261977323823"/>
    <n v="317.3874512882154"/>
    <n v="0"/>
    <n v="130.4393"/>
    <n v="140.66060000000002"/>
    <n v="0"/>
    <n v="138.307551354374"/>
    <n v="175.83264801367136"/>
  </r>
  <r>
    <s v="PROJETADO"/>
    <x v="1"/>
    <x v="2"/>
    <x v="6"/>
    <x v="3"/>
    <x v="0"/>
    <x v="0"/>
    <x v="0"/>
    <x v="11"/>
    <n v="0"/>
    <n v="0"/>
    <n v="45.725000000000001"/>
    <n v="45.725000000000001"/>
    <n v="45.725000000000001"/>
    <n v="45.725000000000001"/>
    <n v="0"/>
    <x v="0"/>
    <n v="0"/>
    <n v="0"/>
    <n v="35"/>
    <n v="43"/>
    <n v="0"/>
    <n v="235.45"/>
    <n v="253.9"/>
    <m/>
    <n v="249.65261977323823"/>
    <n v="317.3874512882154"/>
    <n v="0"/>
    <n v="10765.95125"/>
    <n v="11609.577500000001"/>
    <n v="0"/>
    <n v="11415.366039131319"/>
    <n v="14512.541210153649"/>
  </r>
  <r>
    <s v="PROJETADO"/>
    <x v="1"/>
    <x v="2"/>
    <x v="6"/>
    <x v="3"/>
    <x v="0"/>
    <x v="0"/>
    <x v="0"/>
    <x v="11"/>
    <n v="0"/>
    <n v="0"/>
    <n v="0.55400000000000005"/>
    <n v="0.55400000000000005"/>
    <n v="0.55400000000000005"/>
    <n v="0.55400000000000005"/>
    <n v="0"/>
    <x v="0"/>
    <n v="0"/>
    <n v="0"/>
    <n v="35"/>
    <n v="43"/>
    <n v="0"/>
    <n v="235.45"/>
    <n v="253.9"/>
    <m/>
    <n v="249.65261977323823"/>
    <n v="317.3874512882154"/>
    <n v="0"/>
    <n v="130.4393"/>
    <n v="140.66060000000002"/>
    <n v="0"/>
    <n v="138.307551354374"/>
    <n v="175.83264801367136"/>
  </r>
  <r>
    <s v="Sistema Isolado - Regular"/>
    <x v="1"/>
    <x v="2"/>
    <x v="6"/>
    <x v="3"/>
    <x v="0"/>
    <x v="0"/>
    <x v="3"/>
    <x v="0"/>
    <n v="0"/>
    <n v="0"/>
    <n v="4.1340000000000003"/>
    <n v="4.1340000000000003"/>
    <n v="4.1340000000000003"/>
    <n v="4.1340000000000003"/>
    <n v="0"/>
    <x v="0"/>
    <n v="0"/>
    <n v="0"/>
    <n v="28"/>
    <n v="36"/>
    <n v="0"/>
    <n v="472.7"/>
    <n v="253.9"/>
    <m/>
    <n v="557.6386703444482"/>
    <n v="317.3874512882154"/>
    <n v="0"/>
    <n v="1954.1418000000001"/>
    <n v="1049.6226000000001"/>
    <n v="0"/>
    <n v="2305.2782632039489"/>
    <n v="1312.0797236254825"/>
  </r>
  <r>
    <s v="Sistema Isolado - Regular"/>
    <x v="1"/>
    <x v="2"/>
    <x v="6"/>
    <x v="3"/>
    <x v="0"/>
    <x v="0"/>
    <x v="3"/>
    <x v="1"/>
    <n v="0"/>
    <n v="0"/>
    <n v="4.0659999999999998"/>
    <n v="4.0659999999999998"/>
    <n v="4.0659999999999998"/>
    <n v="4.0659999999999998"/>
    <n v="0"/>
    <x v="0"/>
    <n v="0"/>
    <n v="0"/>
    <n v="28"/>
    <n v="36"/>
    <n v="0"/>
    <n v="472.7"/>
    <n v="253.9"/>
    <m/>
    <n v="557.6386703444482"/>
    <n v="317.3874512882154"/>
    <n v="0"/>
    <n v="1921.9981999999998"/>
    <n v="1032.3573999999999"/>
    <n v="0"/>
    <n v="2267.3588336205262"/>
    <n v="1290.4973769378837"/>
  </r>
  <r>
    <s v="Sistema Isolado - Regular"/>
    <x v="1"/>
    <x v="2"/>
    <x v="6"/>
    <x v="3"/>
    <x v="0"/>
    <x v="0"/>
    <x v="3"/>
    <x v="2"/>
    <n v="0"/>
    <n v="0"/>
    <n v="3.4689999999999999"/>
    <n v="3.4689999999999999"/>
    <n v="3.4689999999999999"/>
    <n v="3.4689999999999999"/>
    <n v="0"/>
    <x v="0"/>
    <n v="0"/>
    <n v="0"/>
    <n v="28"/>
    <n v="36"/>
    <n v="0"/>
    <n v="472.7"/>
    <n v="253.9"/>
    <m/>
    <n v="557.6386703444482"/>
    <n v="317.3874512882154"/>
    <n v="0"/>
    <n v="1639.7963"/>
    <n v="880.77909999999997"/>
    <n v="0"/>
    <n v="1934.4485474248906"/>
    <n v="1101.0170685188191"/>
  </r>
  <r>
    <s v="Sistema Isolado - Regular"/>
    <x v="1"/>
    <x v="2"/>
    <x v="6"/>
    <x v="3"/>
    <x v="0"/>
    <x v="0"/>
    <x v="3"/>
    <x v="3"/>
    <n v="0"/>
    <n v="0"/>
    <n v="3.867"/>
    <n v="3.867"/>
    <n v="3.867"/>
    <n v="3.867"/>
    <n v="0"/>
    <x v="0"/>
    <n v="0"/>
    <n v="0"/>
    <n v="28"/>
    <n v="36"/>
    <n v="0"/>
    <n v="472.7"/>
    <n v="253.9"/>
    <m/>
    <n v="557.6386703444482"/>
    <n v="317.3874512882154"/>
    <n v="0"/>
    <n v="1827.9309000000001"/>
    <n v="981.83130000000006"/>
    <n v="0"/>
    <n v="2156.3887382219814"/>
    <n v="1227.3372741315291"/>
  </r>
  <r>
    <s v="Sistema Isolado - Regular"/>
    <x v="1"/>
    <x v="2"/>
    <x v="6"/>
    <x v="3"/>
    <x v="0"/>
    <x v="0"/>
    <x v="3"/>
    <x v="4"/>
    <n v="0"/>
    <n v="0"/>
    <n v="3.5209999999999999"/>
    <n v="3.5209999999999999"/>
    <n v="3.5209999999999999"/>
    <n v="3.5209999999999999"/>
    <n v="0"/>
    <x v="0"/>
    <n v="0"/>
    <n v="0"/>
    <n v="28"/>
    <n v="36"/>
    <n v="0"/>
    <n v="472.7"/>
    <n v="253.9"/>
    <m/>
    <n v="557.6386703444482"/>
    <n v="317.3874512882154"/>
    <n v="0"/>
    <n v="1664.3767"/>
    <n v="893.9819"/>
    <n v="0"/>
    <n v="1963.445758282802"/>
    <n v="1117.5212159858063"/>
  </r>
  <r>
    <s v="Sistema Isolado - Regular"/>
    <x v="1"/>
    <x v="2"/>
    <x v="6"/>
    <x v="3"/>
    <x v="0"/>
    <x v="0"/>
    <x v="3"/>
    <x v="5"/>
    <n v="0"/>
    <n v="0"/>
    <n v="3.5209999999999999"/>
    <n v="3.5209999999999999"/>
    <n v="3.5209999999999999"/>
    <n v="3.5209999999999999"/>
    <n v="0"/>
    <x v="0"/>
    <n v="0"/>
    <n v="0"/>
    <n v="28"/>
    <n v="36"/>
    <n v="0"/>
    <n v="472.7"/>
    <n v="253.9"/>
    <m/>
    <n v="557.6386703444482"/>
    <n v="317.3874512882154"/>
    <n v="0"/>
    <n v="1664.3767"/>
    <n v="893.9819"/>
    <n v="0"/>
    <n v="1963.445758282802"/>
    <n v="1117.5212159858063"/>
  </r>
  <r>
    <s v="Sistema Isolado - Regular"/>
    <x v="1"/>
    <x v="2"/>
    <x v="6"/>
    <x v="3"/>
    <x v="0"/>
    <x v="0"/>
    <x v="3"/>
    <x v="6"/>
    <n v="0"/>
    <n v="0"/>
    <n v="3.0379999999999998"/>
    <n v="3.0379999999999998"/>
    <n v="3.0379999999999998"/>
    <n v="3.0379999999999998"/>
    <n v="0"/>
    <x v="0"/>
    <n v="0"/>
    <n v="0"/>
    <n v="28"/>
    <n v="36"/>
    <n v="0"/>
    <n v="472.7"/>
    <n v="253.9"/>
    <m/>
    <n v="557.6386703444482"/>
    <n v="317.3874512882154"/>
    <n v="0"/>
    <n v="1436.0626"/>
    <n v="771.34820000000002"/>
    <n v="0"/>
    <n v="1694.1062805064334"/>
    <n v="964.2230770135983"/>
  </r>
  <r>
    <s v="Sistema Isolado - Regular"/>
    <x v="1"/>
    <x v="2"/>
    <x v="6"/>
    <x v="3"/>
    <x v="0"/>
    <x v="0"/>
    <x v="3"/>
    <x v="7"/>
    <n v="0"/>
    <n v="0"/>
    <n v="2.9569999999999999"/>
    <n v="2.9569999999999999"/>
    <n v="2.9569999999999999"/>
    <n v="2.9569999999999999"/>
    <n v="0"/>
    <x v="0"/>
    <n v="0"/>
    <n v="0"/>
    <n v="28"/>
    <n v="36"/>
    <n v="0"/>
    <n v="472.7"/>
    <n v="253.9"/>
    <m/>
    <n v="557.6386703444482"/>
    <n v="317.3874512882154"/>
    <n v="0"/>
    <n v="1397.7738999999999"/>
    <n v="750.78229999999996"/>
    <n v="0"/>
    <n v="1648.9375482085331"/>
    <n v="938.51469345925295"/>
  </r>
  <r>
    <s v="Sistema Isolado - Regular"/>
    <x v="1"/>
    <x v="2"/>
    <x v="6"/>
    <x v="3"/>
    <x v="0"/>
    <x v="0"/>
    <x v="3"/>
    <x v="8"/>
    <n v="0"/>
    <n v="0"/>
    <n v="3.0139999999999998"/>
    <n v="3.0139999999999998"/>
    <n v="3.0139999999999998"/>
    <n v="3.0139999999999998"/>
    <n v="0"/>
    <x v="0"/>
    <n v="0"/>
    <n v="0"/>
    <n v="28"/>
    <n v="36"/>
    <n v="0"/>
    <n v="472.7"/>
    <n v="253.9"/>
    <m/>
    <n v="557.6386703444482"/>
    <n v="317.3874512882154"/>
    <n v="0"/>
    <n v="1424.7177999999999"/>
    <n v="765.25459999999998"/>
    <n v="0"/>
    <n v="1680.7229524181669"/>
    <n v="956.60577818268121"/>
  </r>
  <r>
    <s v="Sistema Isolado - Regular"/>
    <x v="1"/>
    <x v="2"/>
    <x v="6"/>
    <x v="3"/>
    <x v="0"/>
    <x v="0"/>
    <x v="3"/>
    <x v="9"/>
    <n v="0"/>
    <n v="0"/>
    <n v="3.6819999999999999"/>
    <n v="3.6819999999999999"/>
    <n v="3.6819999999999999"/>
    <n v="3.6819999999999999"/>
    <n v="0"/>
    <x v="0"/>
    <n v="0"/>
    <n v="0"/>
    <n v="28"/>
    <n v="36"/>
    <n v="0"/>
    <n v="472.7"/>
    <n v="253.9"/>
    <m/>
    <n v="557.6386703444482"/>
    <n v="317.3874512882154"/>
    <n v="0"/>
    <n v="1740.4813999999999"/>
    <n v="934.85979999999995"/>
    <n v="0"/>
    <n v="2053.2255842082582"/>
    <n v="1168.6205956432091"/>
  </r>
  <r>
    <s v="Sistema Isolado - Regular"/>
    <x v="1"/>
    <x v="2"/>
    <x v="6"/>
    <x v="3"/>
    <x v="0"/>
    <x v="0"/>
    <x v="3"/>
    <x v="10"/>
    <n v="0"/>
    <n v="0"/>
    <n v="3.3959999999999999"/>
    <n v="3.3959999999999999"/>
    <n v="3.3959999999999999"/>
    <n v="3.3959999999999999"/>
    <n v="0"/>
    <x v="0"/>
    <n v="0"/>
    <n v="0"/>
    <n v="28"/>
    <n v="36"/>
    <n v="0"/>
    <n v="472.7"/>
    <n v="253.9"/>
    <m/>
    <n v="557.6386703444482"/>
    <n v="317.3874512882154"/>
    <n v="0"/>
    <n v="1605.2891999999999"/>
    <n v="862.24440000000004"/>
    <n v="0"/>
    <n v="1893.740924489746"/>
    <n v="1077.8477845747796"/>
  </r>
  <r>
    <s v="PROJETADO"/>
    <x v="1"/>
    <x v="2"/>
    <x v="6"/>
    <x v="3"/>
    <x v="0"/>
    <x v="0"/>
    <x v="3"/>
    <x v="11"/>
    <n v="0"/>
    <n v="0"/>
    <n v="3.3959999999999999"/>
    <n v="3.3959999999999999"/>
    <n v="3.3959999999999999"/>
    <n v="3.3959999999999999"/>
    <n v="0"/>
    <x v="0"/>
    <n v="0"/>
    <n v="0"/>
    <n v="28"/>
    <n v="36"/>
    <n v="0"/>
    <n v="472.7"/>
    <n v="253.9"/>
    <m/>
    <n v="557.6386703444482"/>
    <n v="317.3874512882154"/>
    <n v="0"/>
    <n v="1605.2891999999999"/>
    <n v="862.24440000000004"/>
    <n v="0"/>
    <n v="1893.740924489746"/>
    <n v="1077.8477845747796"/>
  </r>
  <r>
    <s v="Sistema Isolado - Regular"/>
    <x v="1"/>
    <x v="2"/>
    <x v="6"/>
    <x v="3"/>
    <x v="0"/>
    <x v="0"/>
    <x v="1"/>
    <x v="0"/>
    <n v="0"/>
    <n v="0"/>
    <n v="5.9640000000000004"/>
    <n v="5.9640000000000004"/>
    <n v="5.9640000000000004"/>
    <n v="5.9640000000000004"/>
    <n v="0"/>
    <x v="0"/>
    <n v="0"/>
    <n v="0"/>
    <n v="13"/>
    <n v="26"/>
    <n v="0"/>
    <n v="709.98"/>
    <n v="433.77"/>
    <m/>
    <n v="865.64105365993635"/>
    <n v="542.84414704984056"/>
    <n v="0"/>
    <n v="4234.3207200000006"/>
    <n v="2587.0042800000001"/>
    <n v="0"/>
    <n v="5162.6832440278604"/>
    <n v="3237.5224930052491"/>
  </r>
  <r>
    <s v="Sistema de Compensação"/>
    <x v="1"/>
    <x v="2"/>
    <x v="6"/>
    <x v="3"/>
    <x v="0"/>
    <x v="0"/>
    <x v="1"/>
    <x v="0"/>
    <n v="0"/>
    <n v="0"/>
    <n v="8.7999999999999995E-2"/>
    <n v="8.7999999999999995E-2"/>
    <n v="8.7999999999999995E-2"/>
    <n v="8.7999999999999995E-2"/>
    <n v="0"/>
    <x v="0"/>
    <n v="0"/>
    <n v="0"/>
    <n v="13"/>
    <n v="26"/>
    <n v="0"/>
    <n v="709.98"/>
    <n v="433.77"/>
    <m/>
    <n v="865.64105365993635"/>
    <n v="542.84414704984056"/>
    <n v="0"/>
    <n v="62.47824"/>
    <n v="38.171759999999999"/>
    <n v="0"/>
    <n v="76.176412722074389"/>
    <n v="47.770284940385963"/>
  </r>
  <r>
    <s v="Sistema Isolado - Regular"/>
    <x v="1"/>
    <x v="2"/>
    <x v="6"/>
    <x v="3"/>
    <x v="0"/>
    <x v="0"/>
    <x v="1"/>
    <x v="1"/>
    <n v="0"/>
    <n v="0"/>
    <n v="5.851"/>
    <n v="5.851"/>
    <n v="5.851"/>
    <n v="5.851"/>
    <n v="0"/>
    <x v="0"/>
    <n v="0"/>
    <n v="0"/>
    <n v="13"/>
    <n v="26"/>
    <n v="0"/>
    <n v="709.98"/>
    <n v="433.77"/>
    <m/>
    <n v="865.64105365993635"/>
    <n v="542.84414704984056"/>
    <n v="0"/>
    <n v="4154.0929800000004"/>
    <n v="2537.9882699999998"/>
    <n v="0"/>
    <n v="5064.8658049642872"/>
    <n v="3176.1811043886173"/>
  </r>
  <r>
    <s v="Sistema de Compensação"/>
    <x v="1"/>
    <x v="2"/>
    <x v="6"/>
    <x v="3"/>
    <x v="0"/>
    <x v="0"/>
    <x v="1"/>
    <x v="1"/>
    <n v="0"/>
    <n v="0"/>
    <n v="6.2E-2"/>
    <n v="6.2E-2"/>
    <n v="6.2E-2"/>
    <n v="6.2E-2"/>
    <n v="0"/>
    <x v="0"/>
    <n v="0"/>
    <n v="0"/>
    <n v="13"/>
    <n v="26"/>
    <n v="0"/>
    <n v="709.98"/>
    <n v="433.77"/>
    <m/>
    <n v="865.64105365993635"/>
    <n v="542.84414704984056"/>
    <n v="0"/>
    <n v="44.01876"/>
    <n v="26.893739999999998"/>
    <n v="0"/>
    <n v="53.66974532691605"/>
    <n v="33.656337117090118"/>
  </r>
  <r>
    <s v="Sistema Isolado - Regular"/>
    <x v="1"/>
    <x v="2"/>
    <x v="6"/>
    <x v="3"/>
    <x v="0"/>
    <x v="0"/>
    <x v="1"/>
    <x v="2"/>
    <n v="0"/>
    <n v="0"/>
    <n v="5.1840000000000002"/>
    <n v="5.1840000000000002"/>
    <n v="5.1840000000000002"/>
    <n v="5.1840000000000002"/>
    <n v="0"/>
    <x v="0"/>
    <n v="0"/>
    <n v="0"/>
    <n v="13"/>
    <n v="26"/>
    <n v="0"/>
    <n v="709.98"/>
    <n v="433.77"/>
    <m/>
    <n v="865.64105365993635"/>
    <n v="542.84414704984056"/>
    <n v="0"/>
    <n v="3680.5363200000002"/>
    <n v="2248.6636800000001"/>
    <n v="0"/>
    <n v="4487.4832221731103"/>
    <n v="2814.1040583063736"/>
  </r>
  <r>
    <s v="Sistema de Compensação"/>
    <x v="1"/>
    <x v="2"/>
    <x v="6"/>
    <x v="3"/>
    <x v="0"/>
    <x v="0"/>
    <x v="1"/>
    <x v="2"/>
    <n v="0"/>
    <n v="0"/>
    <n v="6.7000000000000004E-2"/>
    <n v="6.7000000000000004E-2"/>
    <n v="6.7000000000000004E-2"/>
    <n v="6.7000000000000004E-2"/>
    <n v="0"/>
    <x v="0"/>
    <n v="0"/>
    <n v="0"/>
    <n v="13"/>
    <n v="26"/>
    <n v="0"/>
    <n v="709.98"/>
    <n v="433.77"/>
    <m/>
    <n v="865.64105365993635"/>
    <n v="542.84414704984056"/>
    <n v="0"/>
    <n v="47.568660000000001"/>
    <n v="29.06259"/>
    <n v="0"/>
    <n v="57.997950595215741"/>
    <n v="36.370557852339317"/>
  </r>
  <r>
    <s v="Sistema Isolado - Regular"/>
    <x v="1"/>
    <x v="2"/>
    <x v="6"/>
    <x v="3"/>
    <x v="0"/>
    <x v="0"/>
    <x v="1"/>
    <x v="3"/>
    <n v="0"/>
    <n v="0"/>
    <n v="5.74"/>
    <n v="5.74"/>
    <n v="5.74"/>
    <n v="5.74"/>
    <n v="0"/>
    <x v="0"/>
    <n v="0"/>
    <n v="0"/>
    <n v="13"/>
    <n v="26"/>
    <n v="0"/>
    <n v="709.98"/>
    <n v="433.77"/>
    <m/>
    <n v="865.64105365993635"/>
    <n v="542.84414704984056"/>
    <n v="0"/>
    <n v="4075.2852000000003"/>
    <n v="2489.8398000000002"/>
    <n v="0"/>
    <n v="4968.7796480080351"/>
    <n v="3115.9254040660849"/>
  </r>
  <r>
    <s v="Sistema de Compensação"/>
    <x v="1"/>
    <x v="2"/>
    <x v="6"/>
    <x v="3"/>
    <x v="0"/>
    <x v="0"/>
    <x v="1"/>
    <x v="3"/>
    <n v="0"/>
    <n v="0"/>
    <n v="8.2000000000000003E-2"/>
    <n v="8.2000000000000003E-2"/>
    <n v="8.2000000000000003E-2"/>
    <n v="8.2000000000000003E-2"/>
    <n v="0"/>
    <x v="0"/>
    <n v="0"/>
    <n v="0"/>
    <n v="13"/>
    <n v="26"/>
    <n v="0"/>
    <n v="709.98"/>
    <n v="433.77"/>
    <m/>
    <n v="865.64105365993635"/>
    <n v="542.84414704984056"/>
    <n v="0"/>
    <n v="58.218360000000004"/>
    <n v="35.569139999999997"/>
    <n v="0"/>
    <n v="70.982566400114777"/>
    <n v="44.513220058086929"/>
  </r>
  <r>
    <s v="Sistema Isolado - Regular"/>
    <x v="1"/>
    <x v="2"/>
    <x v="6"/>
    <x v="3"/>
    <x v="0"/>
    <x v="0"/>
    <x v="1"/>
    <x v="4"/>
    <n v="0"/>
    <n v="0"/>
    <n v="5.0720000000000001"/>
    <n v="5.0720000000000001"/>
    <n v="5.0720000000000001"/>
    <n v="5.0720000000000001"/>
    <n v="0"/>
    <x v="0"/>
    <n v="0"/>
    <n v="0"/>
    <n v="13"/>
    <n v="26"/>
    <n v="0"/>
    <n v="709.98"/>
    <n v="433.77"/>
    <m/>
    <n v="865.64105365993635"/>
    <n v="542.84414704984056"/>
    <n v="0"/>
    <n v="3601.01856"/>
    <n v="2200.0814399999999"/>
    <n v="0"/>
    <n v="4390.5314241631968"/>
    <n v="2753.3055138367913"/>
  </r>
  <r>
    <s v="Sistema de Compensação"/>
    <x v="1"/>
    <x v="2"/>
    <x v="6"/>
    <x v="3"/>
    <x v="0"/>
    <x v="0"/>
    <x v="1"/>
    <x v="4"/>
    <n v="0"/>
    <n v="0"/>
    <n v="8.4000000000000005E-2"/>
    <n v="8.4000000000000005E-2"/>
    <n v="8.4000000000000005E-2"/>
    <n v="8.4000000000000005E-2"/>
    <n v="0"/>
    <x v="0"/>
    <n v="0"/>
    <n v="0"/>
    <n v="13"/>
    <n v="26"/>
    <n v="0"/>
    <n v="709.98"/>
    <n v="433.77"/>
    <m/>
    <n v="865.64105365993635"/>
    <n v="542.84414704984056"/>
    <n v="0"/>
    <n v="59.638320000000007"/>
    <n v="36.436680000000003"/>
    <n v="0"/>
    <n v="72.713848507434662"/>
    <n v="45.598908352186612"/>
  </r>
  <r>
    <s v="Sistema Isolado - Regular"/>
    <x v="1"/>
    <x v="2"/>
    <x v="6"/>
    <x v="3"/>
    <x v="0"/>
    <x v="0"/>
    <x v="1"/>
    <x v="5"/>
    <n v="0"/>
    <n v="0"/>
    <n v="5.0720000000000001"/>
    <n v="5.0720000000000001"/>
    <n v="5.0720000000000001"/>
    <n v="5.0720000000000001"/>
    <n v="0"/>
    <x v="0"/>
    <n v="0"/>
    <n v="0"/>
    <n v="13"/>
    <n v="26"/>
    <n v="0"/>
    <n v="709.98"/>
    <n v="433.77"/>
    <m/>
    <n v="865.64105365993635"/>
    <n v="542.84414704984056"/>
    <n v="0"/>
    <n v="3601.01856"/>
    <n v="2200.0814399999999"/>
    <n v="0"/>
    <n v="4390.5314241631968"/>
    <n v="2753.3055138367913"/>
  </r>
  <r>
    <s v="Sistema de Compensação"/>
    <x v="1"/>
    <x v="2"/>
    <x v="6"/>
    <x v="3"/>
    <x v="0"/>
    <x v="0"/>
    <x v="1"/>
    <x v="5"/>
    <n v="0"/>
    <n v="0"/>
    <n v="8.4000000000000005E-2"/>
    <n v="8.4000000000000005E-2"/>
    <n v="8.4000000000000005E-2"/>
    <n v="8.4000000000000005E-2"/>
    <n v="0"/>
    <x v="0"/>
    <n v="0"/>
    <n v="0"/>
    <n v="13"/>
    <n v="26"/>
    <n v="0"/>
    <n v="709.98"/>
    <n v="433.77"/>
    <m/>
    <n v="865.64105365993635"/>
    <n v="542.84414704984056"/>
    <n v="0"/>
    <n v="59.638320000000007"/>
    <n v="36.436680000000003"/>
    <n v="0"/>
    <n v="72.713848507434662"/>
    <n v="45.598908352186612"/>
  </r>
  <r>
    <s v="Sistema Isolado - Regular"/>
    <x v="1"/>
    <x v="2"/>
    <x v="6"/>
    <x v="3"/>
    <x v="0"/>
    <x v="0"/>
    <x v="1"/>
    <x v="6"/>
    <n v="0"/>
    <n v="0"/>
    <n v="4.3920000000000003"/>
    <n v="4.3920000000000003"/>
    <n v="4.3920000000000003"/>
    <n v="4.3920000000000003"/>
    <n v="0"/>
    <x v="0"/>
    <n v="0"/>
    <n v="0"/>
    <n v="13"/>
    <n v="26"/>
    <n v="0"/>
    <n v="709.98"/>
    <n v="433.77"/>
    <m/>
    <n v="865.64105365993635"/>
    <n v="542.84414704984056"/>
    <n v="0"/>
    <n v="3118.2321600000005"/>
    <n v="1905.1178400000001"/>
    <n v="0"/>
    <n v="3801.8955076744405"/>
    <n v="2384.1714938429"/>
  </r>
  <r>
    <s v="Sistema de Compensação"/>
    <x v="1"/>
    <x v="2"/>
    <x v="6"/>
    <x v="3"/>
    <x v="0"/>
    <x v="0"/>
    <x v="1"/>
    <x v="6"/>
    <n v="0"/>
    <n v="0"/>
    <n v="0.26"/>
    <n v="0.26"/>
    <n v="0.26"/>
    <n v="0.26"/>
    <n v="0"/>
    <x v="0"/>
    <n v="0"/>
    <n v="0"/>
    <n v="13"/>
    <n v="26"/>
    <n v="0"/>
    <n v="709.98"/>
    <n v="433.77"/>
    <m/>
    <n v="865.64105365993635"/>
    <n v="542.84414704984056"/>
    <n v="0"/>
    <n v="184.59480000000002"/>
    <n v="112.78019999999999"/>
    <n v="0"/>
    <n v="225.06667395158345"/>
    <n v="141.13947823295854"/>
  </r>
  <r>
    <s v="Sistema Isolado - Regular"/>
    <x v="1"/>
    <x v="2"/>
    <x v="6"/>
    <x v="3"/>
    <x v="0"/>
    <x v="0"/>
    <x v="1"/>
    <x v="7"/>
    <n v="0"/>
    <n v="0"/>
    <n v="4.133"/>
    <n v="4.133"/>
    <n v="4.133"/>
    <n v="4.133"/>
    <n v="0"/>
    <x v="0"/>
    <n v="0"/>
    <n v="0"/>
    <n v="13"/>
    <n v="26"/>
    <n v="0"/>
    <n v="709.98"/>
    <n v="433.77"/>
    <m/>
    <n v="865.64105365993635"/>
    <n v="542.84414704984056"/>
    <n v="0"/>
    <n v="2934.3473400000003"/>
    <n v="1792.7714099999998"/>
    <n v="0"/>
    <n v="3577.6944747765169"/>
    <n v="2243.5748597569909"/>
  </r>
  <r>
    <s v="Sistema de Compensação"/>
    <x v="1"/>
    <x v="2"/>
    <x v="6"/>
    <x v="3"/>
    <x v="0"/>
    <x v="0"/>
    <x v="1"/>
    <x v="7"/>
    <n v="0"/>
    <n v="0"/>
    <n v="5.0999999999999997E-2"/>
    <n v="5.0999999999999997E-2"/>
    <n v="5.0999999999999997E-2"/>
    <n v="5.0999999999999997E-2"/>
    <n v="0"/>
    <x v="0"/>
    <n v="0"/>
    <n v="0"/>
    <n v="13"/>
    <n v="26"/>
    <n v="0"/>
    <n v="709.98"/>
    <n v="433.77"/>
    <m/>
    <n v="865.64105365993635"/>
    <n v="542.84414704984056"/>
    <n v="0"/>
    <n v="36.208979999999997"/>
    <n v="22.122269999999997"/>
    <n v="0"/>
    <n v="44.147693736656748"/>
    <n v="27.685051499541867"/>
  </r>
  <r>
    <s v="Sistema Isolado - Regular"/>
    <x v="1"/>
    <x v="2"/>
    <x v="6"/>
    <x v="3"/>
    <x v="0"/>
    <x v="0"/>
    <x v="1"/>
    <x v="8"/>
    <n v="0"/>
    <n v="0"/>
    <n v="9.3829999999999991"/>
    <n v="9.3829999999999991"/>
    <n v="9.3829999999999991"/>
    <n v="9.3829999999999991"/>
    <n v="0"/>
    <x v="0"/>
    <n v="0"/>
    <n v="0"/>
    <n v="13"/>
    <n v="26"/>
    <n v="0"/>
    <n v="709.98"/>
    <n v="433.77"/>
    <m/>
    <n v="865.64105365993635"/>
    <n v="542.84414704984056"/>
    <n v="0"/>
    <n v="6661.7423399999998"/>
    <n v="4070.0639099999994"/>
    <n v="0"/>
    <n v="8122.3100064911823"/>
    <n v="5093.5066317686533"/>
  </r>
  <r>
    <s v="Sistema de Compensação"/>
    <x v="1"/>
    <x v="2"/>
    <x v="6"/>
    <x v="3"/>
    <x v="0"/>
    <x v="0"/>
    <x v="1"/>
    <x v="8"/>
    <n v="0"/>
    <n v="0"/>
    <n v="6.6000000000000003E-2"/>
    <n v="6.6000000000000003E-2"/>
    <n v="6.6000000000000003E-2"/>
    <n v="6.6000000000000003E-2"/>
    <n v="0"/>
    <x v="0"/>
    <n v="0"/>
    <n v="0"/>
    <n v="13"/>
    <n v="26"/>
    <n v="0"/>
    <n v="709.98"/>
    <n v="433.77"/>
    <m/>
    <n v="865.64105365993635"/>
    <n v="542.84414704984056"/>
    <n v="0"/>
    <n v="46.858680000000007"/>
    <n v="28.628820000000001"/>
    <n v="0"/>
    <n v="57.132309541555799"/>
    <n v="35.827713705289476"/>
  </r>
  <r>
    <s v="Sistema Isolado - Regular"/>
    <x v="1"/>
    <x v="2"/>
    <x v="6"/>
    <x v="3"/>
    <x v="0"/>
    <x v="0"/>
    <x v="1"/>
    <x v="9"/>
    <n v="0"/>
    <n v="0"/>
    <n v="5.3840000000000003"/>
    <n v="5.3840000000000003"/>
    <n v="5.3840000000000003"/>
    <n v="5.3840000000000003"/>
    <n v="0"/>
    <x v="0"/>
    <n v="0"/>
    <n v="0"/>
    <n v="13"/>
    <n v="26"/>
    <n v="0"/>
    <n v="709.98"/>
    <n v="433.77"/>
    <m/>
    <n v="865.64105365993635"/>
    <n v="542.84414704984056"/>
    <n v="0"/>
    <n v="3822.5323200000003"/>
    <n v="2335.41768"/>
    <n v="0"/>
    <n v="4660.6114329050979"/>
    <n v="2922.6728877163418"/>
  </r>
  <r>
    <s v="Sistema de Compensação"/>
    <x v="1"/>
    <x v="2"/>
    <x v="6"/>
    <x v="3"/>
    <x v="0"/>
    <x v="0"/>
    <x v="1"/>
    <x v="9"/>
    <n v="0"/>
    <n v="0"/>
    <n v="6.4000000000000001E-2"/>
    <n v="6.4000000000000001E-2"/>
    <n v="6.4000000000000001E-2"/>
    <n v="6.4000000000000001E-2"/>
    <n v="0"/>
    <x v="0"/>
    <n v="0"/>
    <n v="0"/>
    <n v="13"/>
    <n v="26"/>
    <n v="0"/>
    <n v="709.98"/>
    <n v="433.77"/>
    <m/>
    <n v="865.64105365993635"/>
    <n v="542.84414704984056"/>
    <n v="0"/>
    <n v="45.438720000000004"/>
    <n v="27.761279999999999"/>
    <n v="0"/>
    <n v="55.401027434235928"/>
    <n v="34.742025411189793"/>
  </r>
  <r>
    <s v="Sistema Isolado - Regular"/>
    <x v="1"/>
    <x v="2"/>
    <x v="6"/>
    <x v="3"/>
    <x v="0"/>
    <x v="0"/>
    <x v="1"/>
    <x v="10"/>
    <n v="0"/>
    <n v="0"/>
    <n v="4.9820000000000002"/>
    <n v="4.9820000000000002"/>
    <n v="4.9820000000000002"/>
    <n v="4.9820000000000002"/>
    <n v="0"/>
    <x v="0"/>
    <n v="0"/>
    <n v="0"/>
    <n v="13"/>
    <n v="26"/>
    <n v="0"/>
    <n v="709.98"/>
    <n v="433.77"/>
    <m/>
    <n v="865.64105365993635"/>
    <n v="542.84414704984056"/>
    <n v="0"/>
    <n v="3537.1203600000003"/>
    <n v="2161.04214"/>
    <n v="0"/>
    <n v="4312.6237293338027"/>
    <n v="2704.4495406023057"/>
  </r>
  <r>
    <s v="Sistema de Compensação"/>
    <x v="1"/>
    <x v="2"/>
    <x v="6"/>
    <x v="3"/>
    <x v="0"/>
    <x v="0"/>
    <x v="1"/>
    <x v="10"/>
    <n v="0"/>
    <n v="0"/>
    <n v="0.09"/>
    <n v="0.09"/>
    <n v="0.09"/>
    <n v="0.09"/>
    <n v="0"/>
    <x v="0"/>
    <n v="0"/>
    <n v="0"/>
    <n v="13"/>
    <n v="26"/>
    <n v="0"/>
    <n v="709.98"/>
    <n v="433.77"/>
    <m/>
    <n v="865.64105365993635"/>
    <n v="542.84414704984056"/>
    <n v="0"/>
    <n v="63.898200000000003"/>
    <n v="39.039299999999997"/>
    <n v="0"/>
    <n v="77.907694829394273"/>
    <n v="48.855973234485646"/>
  </r>
  <r>
    <s v="PROJETADO"/>
    <x v="1"/>
    <x v="2"/>
    <x v="6"/>
    <x v="3"/>
    <x v="0"/>
    <x v="0"/>
    <x v="1"/>
    <x v="11"/>
    <n v="0"/>
    <n v="0"/>
    <n v="4.9820000000000002"/>
    <n v="4.9820000000000002"/>
    <n v="4.9820000000000002"/>
    <n v="4.9820000000000002"/>
    <n v="0"/>
    <x v="0"/>
    <n v="0"/>
    <n v="0"/>
    <n v="13"/>
    <n v="26"/>
    <n v="0"/>
    <n v="709.98"/>
    <n v="433.77"/>
    <m/>
    <n v="865.64105365993635"/>
    <n v="542.84414704984056"/>
    <n v="0"/>
    <n v="3537.1203600000003"/>
    <n v="2161.04214"/>
    <n v="0"/>
    <n v="4312.6237293338027"/>
    <n v="2704.4495406023057"/>
  </r>
  <r>
    <s v="PROJETADO"/>
    <x v="1"/>
    <x v="2"/>
    <x v="6"/>
    <x v="3"/>
    <x v="0"/>
    <x v="0"/>
    <x v="1"/>
    <x v="11"/>
    <n v="0"/>
    <n v="0"/>
    <n v="0.09"/>
    <n v="0.09"/>
    <n v="0.09"/>
    <n v="0.09"/>
    <n v="0"/>
    <x v="0"/>
    <n v="0"/>
    <n v="0"/>
    <n v="13"/>
    <n v="26"/>
    <n v="0"/>
    <n v="709.98"/>
    <n v="433.77"/>
    <m/>
    <n v="865.64105365993635"/>
    <n v="542.84414704984056"/>
    <n v="0"/>
    <n v="63.898200000000003"/>
    <n v="39.039299999999997"/>
    <n v="0"/>
    <n v="77.907694829394273"/>
    <n v="48.855973234485646"/>
  </r>
  <r>
    <s v="Sistema Isolado - Regular"/>
    <x v="1"/>
    <x v="3"/>
    <x v="6"/>
    <x v="3"/>
    <x v="0"/>
    <x v="0"/>
    <x v="2"/>
    <x v="0"/>
    <n v="0"/>
    <n v="0"/>
    <n v="49041.118999999999"/>
    <n v="49041.118999999999"/>
    <n v="49041.118999999999"/>
    <n v="49041.118999999999"/>
    <n v="124757"/>
    <x v="0"/>
    <n v="0"/>
    <n v="0"/>
    <n v="24"/>
    <n v="40"/>
    <n v="0"/>
    <n v="311.27999999999997"/>
    <n v="268.89"/>
    <m/>
    <n v="348.10461529283072"/>
    <n v="336.17550926835082"/>
    <n v="0"/>
    <n v="15265519.522319999"/>
    <n v="13186666.487909999"/>
    <n v="0"/>
    <n v="17071439.863024931"/>
    <n v="16486423.154914794"/>
  </r>
  <r>
    <s v="Sistema Isolado - Refaturamento"/>
    <x v="1"/>
    <x v="3"/>
    <x v="6"/>
    <x v="3"/>
    <x v="0"/>
    <x v="0"/>
    <x v="2"/>
    <x v="0"/>
    <n v="0"/>
    <n v="0"/>
    <n v="-126.026"/>
    <n v="-126.026"/>
    <n v="-126.026"/>
    <n v="-126.026"/>
    <n v="-140"/>
    <x v="0"/>
    <n v="0"/>
    <n v="0"/>
    <n v="24"/>
    <n v="40"/>
    <n v="0"/>
    <n v="311.27999999999997"/>
    <n v="268.89"/>
    <m/>
    <n v="348.10461529283072"/>
    <n v="336.17550926835082"/>
    <n v="0"/>
    <n v="-39229.373279999993"/>
    <n v="-33887.131139999998"/>
    <n v="0"/>
    <n v="-43870.23224689428"/>
    <n v="-42366.854731053179"/>
  </r>
  <r>
    <s v="Sistema de Compensação"/>
    <x v="1"/>
    <x v="3"/>
    <x v="6"/>
    <x v="3"/>
    <x v="0"/>
    <x v="0"/>
    <x v="2"/>
    <x v="0"/>
    <n v="0"/>
    <n v="0"/>
    <n v="487.62299999999999"/>
    <n v="487.62299999999999"/>
    <n v="487.62299999999999"/>
    <n v="487.62299999999999"/>
    <n v="529"/>
    <x v="0"/>
    <n v="0"/>
    <n v="0"/>
    <n v="24"/>
    <n v="40"/>
    <n v="0"/>
    <n v="311.27999999999997"/>
    <n v="268.89"/>
    <m/>
    <n v="348.10461529283072"/>
    <n v="336.17550926835082"/>
    <n v="0"/>
    <n v="151787.28743999999"/>
    <n v="131116.94847"/>
    <n v="0"/>
    <n v="169743.816822936"/>
    <n v="163926.91035596104"/>
  </r>
  <r>
    <s v="Sistema de Compensação"/>
    <x v="1"/>
    <x v="3"/>
    <x v="6"/>
    <x v="3"/>
    <x v="0"/>
    <x v="0"/>
    <x v="2"/>
    <x v="0"/>
    <n v="0"/>
    <n v="0"/>
    <n v="2.1629999999999998"/>
    <n v="2.1629999999999998"/>
    <n v="2.1629999999999998"/>
    <n v="2.1629999999999998"/>
    <n v="1"/>
    <x v="0"/>
    <n v="0"/>
    <n v="0"/>
    <n v="24"/>
    <n v="40"/>
    <n v="0"/>
    <n v="311.27999999999997"/>
    <n v="268.89"/>
    <m/>
    <n v="348.10461529283072"/>
    <n v="336.17550926835082"/>
    <n v="0"/>
    <n v="673.29863999999986"/>
    <n v="581.60906999999997"/>
    <n v="0"/>
    <n v="752.95028287839273"/>
    <n v="727.14762654744277"/>
  </r>
  <r>
    <s v="Sistema Isolado - Regular"/>
    <x v="1"/>
    <x v="3"/>
    <x v="6"/>
    <x v="3"/>
    <x v="0"/>
    <x v="0"/>
    <x v="2"/>
    <x v="1"/>
    <n v="0"/>
    <n v="0"/>
    <n v="45706.932999999997"/>
    <n v="45706.932999999997"/>
    <n v="45706.932999999997"/>
    <n v="45706.932999999997"/>
    <n v="125428"/>
    <x v="0"/>
    <n v="0"/>
    <n v="0"/>
    <n v="24"/>
    <n v="40"/>
    <n v="0"/>
    <n v="311.27999999999997"/>
    <n v="268.89"/>
    <m/>
    <n v="348.10461529283072"/>
    <n v="336.17550926835082"/>
    <n v="0"/>
    <n v="14227654.104239998"/>
    <n v="12290137.214369999"/>
    <n v="0"/>
    <n v="15910794.328180188"/>
    <n v="15365551.478369389"/>
  </r>
  <r>
    <s v="Sistema Isolado - Refaturamento"/>
    <x v="1"/>
    <x v="3"/>
    <x v="6"/>
    <x v="3"/>
    <x v="0"/>
    <x v="0"/>
    <x v="2"/>
    <x v="1"/>
    <n v="0"/>
    <n v="0"/>
    <n v="-68.465999999999994"/>
    <n v="-68.465999999999994"/>
    <n v="-68.465999999999994"/>
    <n v="-68.465999999999994"/>
    <n v="-139"/>
    <x v="0"/>
    <n v="0"/>
    <n v="0"/>
    <n v="24"/>
    <n v="40"/>
    <n v="0"/>
    <n v="311.27999999999997"/>
    <n v="268.89"/>
    <m/>
    <n v="348.10461529283072"/>
    <n v="336.17550926835082"/>
    <n v="0"/>
    <n v="-21312.096479999997"/>
    <n v="-18409.822739999996"/>
    <n v="0"/>
    <n v="-23833.330590638947"/>
    <n v="-23016.592417566906"/>
  </r>
  <r>
    <s v="Sistema de Compensação"/>
    <x v="1"/>
    <x v="3"/>
    <x v="6"/>
    <x v="3"/>
    <x v="0"/>
    <x v="0"/>
    <x v="2"/>
    <x v="1"/>
    <n v="0"/>
    <n v="0"/>
    <n v="465.87"/>
    <n v="465.87"/>
    <n v="465.87"/>
    <n v="465.87"/>
    <n v="558"/>
    <x v="0"/>
    <n v="0"/>
    <n v="0"/>
    <n v="24"/>
    <n v="40"/>
    <n v="0"/>
    <n v="311.27999999999997"/>
    <n v="268.89"/>
    <m/>
    <n v="348.10461529283072"/>
    <n v="336.17550926835082"/>
    <n v="0"/>
    <n v="145016.01359999998"/>
    <n v="125267.7843"/>
    <n v="0"/>
    <n v="162171.49712647105"/>
    <n v="156614.08450284658"/>
  </r>
  <r>
    <s v="Sistema de Compensação"/>
    <x v="1"/>
    <x v="3"/>
    <x v="6"/>
    <x v="3"/>
    <x v="0"/>
    <x v="0"/>
    <x v="2"/>
    <x v="1"/>
    <n v="0"/>
    <n v="0"/>
    <n v="1.512"/>
    <n v="1.512"/>
    <n v="1.512"/>
    <n v="1.512"/>
    <n v="1"/>
    <x v="0"/>
    <n v="0"/>
    <n v="0"/>
    <n v="24"/>
    <n v="40"/>
    <n v="0"/>
    <n v="311.27999999999997"/>
    <n v="268.89"/>
    <m/>
    <n v="348.10461529283072"/>
    <n v="336.17550926835082"/>
    <n v="0"/>
    <n v="470.65535999999997"/>
    <n v="406.56167999999997"/>
    <n v="0"/>
    <n v="526.33417832276007"/>
    <n v="508.29737001374644"/>
  </r>
  <r>
    <s v="Sistema Isolado - Regular"/>
    <x v="1"/>
    <x v="3"/>
    <x v="6"/>
    <x v="3"/>
    <x v="0"/>
    <x v="0"/>
    <x v="2"/>
    <x v="2"/>
    <n v="0"/>
    <n v="0"/>
    <n v="42246.652999999998"/>
    <n v="42246.652999999998"/>
    <n v="42246.652999999998"/>
    <n v="42246.652999999998"/>
    <n v="125697"/>
    <x v="0"/>
    <n v="0"/>
    <n v="0"/>
    <n v="24"/>
    <n v="40"/>
    <n v="0"/>
    <n v="311.27999999999997"/>
    <n v="268.89"/>
    <m/>
    <n v="348.10461529283072"/>
    <n v="336.17550926835082"/>
    <n v="0"/>
    <n v="13150538.145839998"/>
    <n v="11359702.525169998"/>
    <n v="0"/>
    <n v="14706254.889974711"/>
    <n v="14202290.0871583"/>
  </r>
  <r>
    <s v="Sistema Isolado - Refaturamento"/>
    <x v="1"/>
    <x v="3"/>
    <x v="6"/>
    <x v="3"/>
    <x v="0"/>
    <x v="0"/>
    <x v="2"/>
    <x v="2"/>
    <n v="0"/>
    <n v="0"/>
    <n v="-54.203000000000003"/>
    <n v="-54.203000000000003"/>
    <n v="-54.203000000000003"/>
    <n v="-54.203000000000003"/>
    <n v="10"/>
    <x v="0"/>
    <n v="0"/>
    <n v="0"/>
    <n v="24"/>
    <n v="40"/>
    <n v="0"/>
    <n v="311.27999999999997"/>
    <n v="268.89"/>
    <m/>
    <n v="348.10461529283072"/>
    <n v="336.17550926835082"/>
    <n v="0"/>
    <n v="-16872.309839999998"/>
    <n v="-14574.64467"/>
    <n v="0"/>
    <n v="-18868.314462717306"/>
    <n v="-18221.721128872421"/>
  </r>
  <r>
    <s v="Sistema de Compensação"/>
    <x v="1"/>
    <x v="3"/>
    <x v="6"/>
    <x v="3"/>
    <x v="0"/>
    <x v="0"/>
    <x v="2"/>
    <x v="2"/>
    <n v="0"/>
    <n v="0"/>
    <n v="440.35300000000001"/>
    <n v="440.35300000000001"/>
    <n v="440.35300000000001"/>
    <n v="440.35300000000001"/>
    <n v="582"/>
    <x v="0"/>
    <n v="0"/>
    <n v="0"/>
    <n v="24"/>
    <n v="40"/>
    <n v="0"/>
    <n v="311.27999999999997"/>
    <n v="268.89"/>
    <m/>
    <n v="348.10461529283072"/>
    <n v="336.17550926835082"/>
    <n v="0"/>
    <n v="137073.08184"/>
    <n v="118406.51817"/>
    <n v="0"/>
    <n v="153288.91165804389"/>
    <n v="148035.89403284609"/>
  </r>
  <r>
    <s v="Sistema Isolado - Regular"/>
    <x v="1"/>
    <x v="3"/>
    <x v="6"/>
    <x v="3"/>
    <x v="0"/>
    <x v="0"/>
    <x v="2"/>
    <x v="3"/>
    <n v="0"/>
    <n v="0"/>
    <n v="44085.08"/>
    <n v="44085.08"/>
    <n v="44085.08"/>
    <n v="44085.08"/>
    <n v="126004"/>
    <x v="0"/>
    <n v="0"/>
    <n v="0"/>
    <n v="24"/>
    <n v="40"/>
    <n v="0"/>
    <n v="311.27999999999997"/>
    <n v="268.89"/>
    <m/>
    <n v="348.10461529283072"/>
    <n v="336.17550926835082"/>
    <n v="0"/>
    <n v="13722803.702399999"/>
    <n v="11854037.1612"/>
    <n v="0"/>
    <n v="15346219.813553667"/>
    <n v="14820324.220135989"/>
  </r>
  <r>
    <s v="Sistema Isolado - Refaturamento"/>
    <x v="1"/>
    <x v="3"/>
    <x v="6"/>
    <x v="3"/>
    <x v="0"/>
    <x v="0"/>
    <x v="2"/>
    <x v="3"/>
    <n v="0"/>
    <n v="0"/>
    <n v="-86.834999999999994"/>
    <n v="-86.834999999999994"/>
    <n v="-86.834999999999994"/>
    <n v="-86.834999999999994"/>
    <n v="-57"/>
    <x v="0"/>
    <n v="0"/>
    <n v="0"/>
    <n v="24"/>
    <n v="40"/>
    <n v="0"/>
    <n v="311.27999999999997"/>
    <n v="268.89"/>
    <m/>
    <n v="348.10461529283072"/>
    <n v="336.17550926835082"/>
    <n v="0"/>
    <n v="-27029.998799999994"/>
    <n v="-23349.063149999998"/>
    <n v="0"/>
    <n v="-30227.664268952954"/>
    <n v="-29191.800347317243"/>
  </r>
  <r>
    <s v="Sistema de Compensação"/>
    <x v="1"/>
    <x v="3"/>
    <x v="6"/>
    <x v="3"/>
    <x v="0"/>
    <x v="0"/>
    <x v="2"/>
    <x v="3"/>
    <n v="0"/>
    <n v="0"/>
    <n v="465.59199999999998"/>
    <n v="465.59199999999998"/>
    <n v="465.59199999999998"/>
    <n v="465.59199999999998"/>
    <n v="606"/>
    <x v="0"/>
    <n v="0"/>
    <n v="0"/>
    <n v="24"/>
    <n v="40"/>
    <n v="0"/>
    <n v="311.27999999999997"/>
    <n v="268.89"/>
    <m/>
    <n v="348.10461529283072"/>
    <n v="336.17550926835082"/>
    <n v="0"/>
    <n v="144929.47775999998"/>
    <n v="125193.03287999998"/>
    <n v="0"/>
    <n v="162074.72404341964"/>
    <n v="156520.62771127"/>
  </r>
  <r>
    <s v="Sistema de Compensação"/>
    <x v="1"/>
    <x v="3"/>
    <x v="6"/>
    <x v="3"/>
    <x v="0"/>
    <x v="0"/>
    <x v="2"/>
    <x v="3"/>
    <n v="0"/>
    <n v="0"/>
    <n v="0.56100000000000005"/>
    <n v="0.56100000000000005"/>
    <n v="0.56100000000000005"/>
    <n v="0.56100000000000005"/>
    <n v="1"/>
    <x v="0"/>
    <n v="0"/>
    <n v="0"/>
    <n v="24"/>
    <n v="40"/>
    <n v="0"/>
    <n v="311.27999999999997"/>
    <n v="268.89"/>
    <m/>
    <n v="348.10461529283072"/>
    <n v="336.17550926835082"/>
    <n v="0"/>
    <n v="174.62808000000001"/>
    <n v="150.84729000000002"/>
    <n v="0"/>
    <n v="195.28668917927806"/>
    <n v="188.59446069954484"/>
  </r>
  <r>
    <s v="Sistema Isolado - Regular"/>
    <x v="1"/>
    <x v="3"/>
    <x v="6"/>
    <x v="3"/>
    <x v="0"/>
    <x v="0"/>
    <x v="2"/>
    <x v="4"/>
    <n v="0"/>
    <n v="0"/>
    <n v="44094.889000000003"/>
    <n v="44094.889000000003"/>
    <n v="44094.889000000003"/>
    <n v="44094.889000000003"/>
    <n v="126071"/>
    <x v="0"/>
    <n v="0"/>
    <n v="0"/>
    <n v="24"/>
    <n v="40"/>
    <n v="0"/>
    <n v="311.27999999999997"/>
    <n v="268.89"/>
    <m/>
    <n v="348.10461529283072"/>
    <n v="336.17550926835082"/>
    <n v="0"/>
    <n v="13725857.04792"/>
    <n v="11856674.70321"/>
    <n v="0"/>
    <n v="15349634.371725073"/>
    <n v="14823621.765706401"/>
  </r>
  <r>
    <s v="Sistema Isolado - Refaturamento"/>
    <x v="1"/>
    <x v="3"/>
    <x v="6"/>
    <x v="3"/>
    <x v="0"/>
    <x v="0"/>
    <x v="2"/>
    <x v="4"/>
    <n v="0"/>
    <n v="0"/>
    <n v="-68.965000000000003"/>
    <n v="-68.965000000000003"/>
    <n v="-68.965000000000003"/>
    <n v="-68.965000000000003"/>
    <n v="-24"/>
    <x v="0"/>
    <n v="0"/>
    <n v="0"/>
    <n v="24"/>
    <n v="40"/>
    <n v="0"/>
    <n v="311.27999999999997"/>
    <n v="268.89"/>
    <m/>
    <n v="348.10461529283072"/>
    <n v="336.17550926835082"/>
    <n v="0"/>
    <n v="-21467.425199999998"/>
    <n v="-18543.99885"/>
    <n v="0"/>
    <n v="-24007.034793670071"/>
    <n v="-23184.343996691816"/>
  </r>
  <r>
    <s v="Sistema de Compensação"/>
    <x v="1"/>
    <x v="3"/>
    <x v="6"/>
    <x v="3"/>
    <x v="0"/>
    <x v="0"/>
    <x v="2"/>
    <x v="4"/>
    <n v="0"/>
    <n v="0"/>
    <n v="498.952"/>
    <n v="498.952"/>
    <n v="498.952"/>
    <n v="498.952"/>
    <n v="651"/>
    <x v="0"/>
    <n v="0"/>
    <n v="0"/>
    <n v="24"/>
    <n v="40"/>
    <n v="0"/>
    <n v="311.27999999999997"/>
    <n v="268.89"/>
    <m/>
    <n v="348.10461529283072"/>
    <n v="336.17550926835082"/>
    <n v="0"/>
    <n v="155313.77855999998"/>
    <n v="134163.20327999999"/>
    <n v="0"/>
    <n v="173687.49400958847"/>
    <n v="167735.44270046218"/>
  </r>
  <r>
    <s v="Sistema Isolado - Regular"/>
    <x v="1"/>
    <x v="3"/>
    <x v="6"/>
    <x v="3"/>
    <x v="0"/>
    <x v="0"/>
    <x v="2"/>
    <x v="5"/>
    <n v="0"/>
    <n v="0"/>
    <n v="44094.889000000003"/>
    <n v="44094.889000000003"/>
    <n v="44094.889000000003"/>
    <n v="44094.889000000003"/>
    <n v="126071"/>
    <x v="0"/>
    <n v="0"/>
    <n v="0"/>
    <n v="24"/>
    <n v="40"/>
    <n v="0"/>
    <n v="311.27999999999997"/>
    <n v="268.89"/>
    <m/>
    <n v="348.10461529283072"/>
    <n v="336.17550926835082"/>
    <n v="0"/>
    <n v="13725857.04792"/>
    <n v="11856674.70321"/>
    <n v="0"/>
    <n v="15349634.371725073"/>
    <n v="14823621.765706401"/>
  </r>
  <r>
    <s v="Sistema Isolado - Refaturamento"/>
    <x v="1"/>
    <x v="3"/>
    <x v="6"/>
    <x v="3"/>
    <x v="0"/>
    <x v="0"/>
    <x v="2"/>
    <x v="5"/>
    <n v="0"/>
    <n v="0"/>
    <n v="-68.965000000000003"/>
    <n v="-68.965000000000003"/>
    <n v="-68.965000000000003"/>
    <n v="-68.965000000000003"/>
    <n v="-24"/>
    <x v="0"/>
    <n v="0"/>
    <n v="0"/>
    <n v="24"/>
    <n v="40"/>
    <n v="0"/>
    <n v="311.27999999999997"/>
    <n v="268.89"/>
    <m/>
    <n v="348.10461529283072"/>
    <n v="336.17550926835082"/>
    <n v="0"/>
    <n v="-21467.425199999998"/>
    <n v="-18543.99885"/>
    <n v="0"/>
    <n v="-24007.034793670071"/>
    <n v="-23184.343996691816"/>
  </r>
  <r>
    <s v="Sistema de Compensação"/>
    <x v="1"/>
    <x v="3"/>
    <x v="6"/>
    <x v="3"/>
    <x v="0"/>
    <x v="0"/>
    <x v="2"/>
    <x v="5"/>
    <n v="0"/>
    <n v="0"/>
    <n v="498.952"/>
    <n v="498.952"/>
    <n v="498.952"/>
    <n v="498.952"/>
    <n v="651"/>
    <x v="0"/>
    <n v="0"/>
    <n v="0"/>
    <n v="24"/>
    <n v="40"/>
    <n v="0"/>
    <n v="311.27999999999997"/>
    <n v="268.89"/>
    <m/>
    <n v="348.10461529283072"/>
    <n v="336.17550926835082"/>
    <n v="0"/>
    <n v="155313.77855999998"/>
    <n v="134163.20327999999"/>
    <n v="0"/>
    <n v="173687.49400958847"/>
    <n v="167735.44270046218"/>
  </r>
  <r>
    <s v="Sistema Isolado - Regular"/>
    <x v="1"/>
    <x v="3"/>
    <x v="6"/>
    <x v="3"/>
    <x v="0"/>
    <x v="0"/>
    <x v="2"/>
    <x v="6"/>
    <n v="0"/>
    <n v="0"/>
    <n v="39334.377999999997"/>
    <n v="39334.377999999997"/>
    <n v="39334.377999999997"/>
    <n v="39334.377999999997"/>
    <n v="127199"/>
    <x v="0"/>
    <n v="0"/>
    <n v="0"/>
    <n v="24"/>
    <n v="40"/>
    <n v="0"/>
    <n v="311.27999999999997"/>
    <n v="268.89"/>
    <m/>
    <n v="348.10461529283072"/>
    <n v="336.17550926835082"/>
    <n v="0"/>
    <n v="12244005.183839997"/>
    <n v="10576620.900419999"/>
    <n v="0"/>
    <n v="13692478.521472784"/>
    <n v="13223254.555903813"/>
  </r>
  <r>
    <s v="Sistema Isolado - Refaturamento"/>
    <x v="1"/>
    <x v="3"/>
    <x v="6"/>
    <x v="3"/>
    <x v="0"/>
    <x v="0"/>
    <x v="2"/>
    <x v="6"/>
    <n v="0"/>
    <n v="0"/>
    <n v="-312.94400000000002"/>
    <n v="-312.94400000000002"/>
    <n v="-312.94400000000002"/>
    <n v="-312.94400000000002"/>
    <n v="-272"/>
    <x v="0"/>
    <n v="0"/>
    <n v="0"/>
    <n v="24"/>
    <n v="40"/>
    <n v="0"/>
    <n v="311.27999999999997"/>
    <n v="268.89"/>
    <m/>
    <n v="348.10461529283072"/>
    <n v="336.17550926835082"/>
    <n v="0"/>
    <n v="-97413.208319999991"/>
    <n v="-84147.512159999998"/>
    <n v="0"/>
    <n v="-108937.25072819962"/>
    <n v="-105204.10857247478"/>
  </r>
  <r>
    <s v="Sistema de Compensação"/>
    <x v="1"/>
    <x v="3"/>
    <x v="6"/>
    <x v="3"/>
    <x v="0"/>
    <x v="0"/>
    <x v="2"/>
    <x v="6"/>
    <n v="0"/>
    <n v="0"/>
    <n v="2010.116"/>
    <n v="2010.116"/>
    <n v="2010.116"/>
    <n v="2010.116"/>
    <n v="2892"/>
    <x v="0"/>
    <n v="0"/>
    <n v="0"/>
    <n v="24"/>
    <n v="40"/>
    <n v="0"/>
    <n v="311.27999999999997"/>
    <n v="268.89"/>
    <m/>
    <n v="348.10461529283072"/>
    <n v="336.17550926835082"/>
    <n v="0"/>
    <n v="625708.90847999998"/>
    <n v="540500.09123999998"/>
    <n v="0"/>
    <n v="699730.65687396366"/>
    <n v="675751.76998846023"/>
  </r>
  <r>
    <s v="Sistema Isolado - Regular"/>
    <x v="1"/>
    <x v="3"/>
    <x v="6"/>
    <x v="3"/>
    <x v="0"/>
    <x v="0"/>
    <x v="2"/>
    <x v="7"/>
    <n v="0"/>
    <n v="0"/>
    <n v="37710.915000000001"/>
    <n v="37710.915000000001"/>
    <n v="37710.915000000001"/>
    <n v="37710.915000000001"/>
    <n v="127280"/>
    <x v="0"/>
    <n v="0"/>
    <n v="0"/>
    <n v="24"/>
    <n v="40"/>
    <n v="0"/>
    <n v="311.27999999999997"/>
    <n v="268.89"/>
    <m/>
    <n v="348.10461529283072"/>
    <n v="336.17550926835082"/>
    <n v="0"/>
    <n v="11738653.621199999"/>
    <n v="10140087.934349999"/>
    <n v="0"/>
    <n v="13127343.55841564"/>
    <n v="12677486.055100491"/>
  </r>
  <r>
    <s v="Sistema Isolado - Refaturamento"/>
    <x v="1"/>
    <x v="3"/>
    <x v="6"/>
    <x v="3"/>
    <x v="0"/>
    <x v="0"/>
    <x v="2"/>
    <x v="7"/>
    <n v="0"/>
    <n v="0"/>
    <n v="-64.581999999999994"/>
    <n v="-64.581999999999994"/>
    <n v="-64.581999999999994"/>
    <n v="-64.581999999999994"/>
    <n v="-23"/>
    <x v="0"/>
    <n v="0"/>
    <n v="0"/>
    <n v="24"/>
    <n v="40"/>
    <n v="0"/>
    <n v="311.27999999999997"/>
    <n v="268.89"/>
    <m/>
    <n v="348.10461529283072"/>
    <n v="336.17550926835082"/>
    <n v="0"/>
    <n v="-20103.084959999996"/>
    <n v="-17365.453979999998"/>
    <n v="0"/>
    <n v="-22481.292264841592"/>
    <n v="-21710.886739568632"/>
  </r>
  <r>
    <s v="Sistema de Compensação"/>
    <x v="1"/>
    <x v="3"/>
    <x v="6"/>
    <x v="3"/>
    <x v="0"/>
    <x v="0"/>
    <x v="2"/>
    <x v="7"/>
    <n v="0"/>
    <n v="0"/>
    <n v="492.12700000000001"/>
    <n v="492.12700000000001"/>
    <n v="492.12700000000001"/>
    <n v="492.12700000000001"/>
    <n v="758"/>
    <x v="0"/>
    <n v="0"/>
    <n v="0"/>
    <n v="24"/>
    <n v="40"/>
    <n v="0"/>
    <n v="311.27999999999997"/>
    <n v="268.89"/>
    <m/>
    <n v="348.10461529283072"/>
    <n v="336.17550926835082"/>
    <n v="0"/>
    <n v="153189.29256"/>
    <n v="132328.02903000001"/>
    <n v="0"/>
    <n v="171311.68001021491"/>
    <n v="165441.04484970568"/>
  </r>
  <r>
    <s v="Sistema Isolado - Regular"/>
    <x v="1"/>
    <x v="3"/>
    <x v="6"/>
    <x v="3"/>
    <x v="0"/>
    <x v="0"/>
    <x v="2"/>
    <x v="8"/>
    <n v="0"/>
    <n v="0"/>
    <n v="37634.930999999997"/>
    <n v="37634.930999999997"/>
    <n v="37634.930999999997"/>
    <n v="37634.930999999997"/>
    <n v="127258"/>
    <x v="0"/>
    <n v="0"/>
    <n v="0"/>
    <n v="24"/>
    <n v="40"/>
    <n v="0"/>
    <n v="311.27999999999997"/>
    <n v="268.89"/>
    <m/>
    <n v="348.10461529283072"/>
    <n v="336.17550926835082"/>
    <n v="0"/>
    <n v="11715001.321679998"/>
    <n v="10119656.596589999"/>
    <n v="0"/>
    <n v="13100893.177327227"/>
    <n v="12651942.095204243"/>
  </r>
  <r>
    <s v="Sistema Isolado - Refaturamento"/>
    <x v="1"/>
    <x v="3"/>
    <x v="6"/>
    <x v="3"/>
    <x v="0"/>
    <x v="0"/>
    <x v="2"/>
    <x v="8"/>
    <n v="0"/>
    <n v="0"/>
    <n v="-25.3"/>
    <n v="-25.3"/>
    <n v="-25.3"/>
    <n v="-25.3"/>
    <n v="11"/>
    <x v="0"/>
    <n v="0"/>
    <n v="0"/>
    <n v="24"/>
    <n v="40"/>
    <n v="0"/>
    <n v="311.27999999999997"/>
    <n v="268.89"/>
    <m/>
    <n v="348.10461529283072"/>
    <n v="336.17550926835082"/>
    <n v="0"/>
    <n v="-7875.3839999999991"/>
    <n v="-6802.9169999999995"/>
    <n v="0"/>
    <n v="-8807.0467669086174"/>
    <n v="-8505.240384489276"/>
  </r>
  <r>
    <s v="Sistema de Compensação"/>
    <x v="1"/>
    <x v="3"/>
    <x v="6"/>
    <x v="3"/>
    <x v="0"/>
    <x v="0"/>
    <x v="2"/>
    <x v="8"/>
    <n v="0"/>
    <n v="0"/>
    <n v="519.245"/>
    <n v="519.245"/>
    <n v="519.245"/>
    <n v="519.245"/>
    <n v="799"/>
    <x v="0"/>
    <n v="0"/>
    <n v="0"/>
    <n v="24"/>
    <n v="40"/>
    <n v="0"/>
    <n v="311.27999999999997"/>
    <n v="268.89"/>
    <m/>
    <n v="348.10461529283072"/>
    <n v="336.17550926835082"/>
    <n v="0"/>
    <n v="161630.58359999998"/>
    <n v="139619.78805"/>
    <n v="0"/>
    <n v="180751.58096772589"/>
    <n v="174557.45231004481"/>
  </r>
  <r>
    <s v="Sistema de Compensação"/>
    <x v="1"/>
    <x v="3"/>
    <x v="6"/>
    <x v="3"/>
    <x v="0"/>
    <x v="0"/>
    <x v="2"/>
    <x v="8"/>
    <n v="0"/>
    <n v="0"/>
    <n v="-1.341"/>
    <n v="-1.341"/>
    <n v="-1.341"/>
    <n v="-1.341"/>
    <n v="-1"/>
    <x v="0"/>
    <n v="0"/>
    <n v="0"/>
    <n v="24"/>
    <n v="40"/>
    <n v="0"/>
    <n v="311.27999999999997"/>
    <n v="268.89"/>
    <m/>
    <n v="348.10461529283072"/>
    <n v="336.17550926835082"/>
    <n v="0"/>
    <n v="-417.42647999999997"/>
    <n v="-360.58148999999997"/>
    <n v="0"/>
    <n v="-466.80828910768599"/>
    <n v="-450.81135792885846"/>
  </r>
  <r>
    <s v="Sistema Isolado - Regular"/>
    <x v="1"/>
    <x v="3"/>
    <x v="6"/>
    <x v="3"/>
    <x v="0"/>
    <x v="0"/>
    <x v="2"/>
    <x v="9"/>
    <n v="0"/>
    <n v="0"/>
    <n v="44574.142"/>
    <n v="44574.142"/>
    <n v="44574.142"/>
    <n v="44574.142"/>
    <n v="126585"/>
    <x v="0"/>
    <n v="0"/>
    <n v="0"/>
    <n v="24"/>
    <n v="40"/>
    <n v="0"/>
    <n v="311.27999999999997"/>
    <n v="268.89"/>
    <m/>
    <n v="348.10461529283072"/>
    <n v="336.17550926835082"/>
    <n v="0"/>
    <n v="13875038.921759998"/>
    <n v="11985541.04238"/>
    <n v="0"/>
    <n v="15516464.552918008"/>
    <n v="14984734.887049785"/>
  </r>
  <r>
    <s v="Sistema Isolado - Refaturamento"/>
    <x v="1"/>
    <x v="3"/>
    <x v="6"/>
    <x v="3"/>
    <x v="0"/>
    <x v="0"/>
    <x v="2"/>
    <x v="9"/>
    <n v="0"/>
    <n v="0"/>
    <n v="-180.69399999999999"/>
    <n v="-180.69399999999999"/>
    <n v="-180.69399999999999"/>
    <n v="-180.69399999999999"/>
    <n v="-46"/>
    <x v="0"/>
    <n v="0"/>
    <n v="0"/>
    <n v="24"/>
    <n v="40"/>
    <n v="0"/>
    <n v="311.27999999999997"/>
    <n v="268.89"/>
    <m/>
    <n v="348.10461529283072"/>
    <n v="336.17550926835082"/>
    <n v="0"/>
    <n v="-56246.428319999992"/>
    <n v="-48586.809659999992"/>
    <n v="0"/>
    <n v="-62900.415355722747"/>
    <n v="-60744.897471735378"/>
  </r>
  <r>
    <s v="Sistema de Compensação"/>
    <x v="1"/>
    <x v="3"/>
    <x v="6"/>
    <x v="3"/>
    <x v="0"/>
    <x v="0"/>
    <x v="2"/>
    <x v="9"/>
    <n v="0"/>
    <n v="0"/>
    <n v="678.17"/>
    <n v="678.17"/>
    <n v="678.17"/>
    <n v="678.17"/>
    <n v="845"/>
    <x v="0"/>
    <n v="0"/>
    <n v="0"/>
    <n v="24"/>
    <n v="40"/>
    <n v="0"/>
    <n v="311.27999999999997"/>
    <n v="268.89"/>
    <m/>
    <n v="348.10461529283072"/>
    <n v="336.17550926835082"/>
    <n v="0"/>
    <n v="211100.75759999998"/>
    <n v="182353.13129999998"/>
    <n v="0"/>
    <n v="236074.10695313898"/>
    <n v="227984.14512051747"/>
  </r>
  <r>
    <s v="Sistema de Compensação"/>
    <x v="1"/>
    <x v="3"/>
    <x v="6"/>
    <x v="3"/>
    <x v="0"/>
    <x v="0"/>
    <x v="2"/>
    <x v="9"/>
    <n v="0"/>
    <n v="0"/>
    <n v="-0.45900000000000002"/>
    <n v="-0.45900000000000002"/>
    <n v="-0.45900000000000002"/>
    <n v="-0.45900000000000002"/>
    <n v="0"/>
    <x v="0"/>
    <n v="0"/>
    <n v="0"/>
    <n v="24"/>
    <n v="40"/>
    <n v="0"/>
    <n v="311.27999999999997"/>
    <n v="268.89"/>
    <m/>
    <n v="348.10461529283072"/>
    <n v="336.17550926835082"/>
    <n v="0"/>
    <n v="-142.87752"/>
    <n v="-123.42050999999999"/>
    <n v="0"/>
    <n v="-159.78001841940932"/>
    <n v="-154.30455875417303"/>
  </r>
  <r>
    <s v="Sistema Isolado - Regular"/>
    <x v="1"/>
    <x v="3"/>
    <x v="6"/>
    <x v="3"/>
    <x v="0"/>
    <x v="0"/>
    <x v="2"/>
    <x v="10"/>
    <n v="0"/>
    <n v="0"/>
    <n v="45779.404000000002"/>
    <n v="45779.404000000002"/>
    <n v="45779.404000000002"/>
    <n v="45779.404000000002"/>
    <n v="127057"/>
    <x v="0"/>
    <n v="0"/>
    <n v="0"/>
    <n v="24"/>
    <n v="40"/>
    <n v="0"/>
    <n v="311.27999999999997"/>
    <n v="268.89"/>
    <m/>
    <n v="348.10461529283072"/>
    <n v="336.17550926835082"/>
    <n v="0"/>
    <n v="14250212.877119999"/>
    <n v="12309623.94156"/>
    <n v="0"/>
    <n v="15936021.817755077"/>
    <n v="15389914.453701578"/>
  </r>
  <r>
    <s v="Sistema Isolado - Refaturamento"/>
    <x v="1"/>
    <x v="3"/>
    <x v="6"/>
    <x v="3"/>
    <x v="0"/>
    <x v="0"/>
    <x v="2"/>
    <x v="10"/>
    <n v="0"/>
    <n v="0"/>
    <n v="-95.093999999999994"/>
    <n v="-95.093999999999994"/>
    <n v="-95.093999999999994"/>
    <n v="-95.093999999999994"/>
    <n v="-57"/>
    <x v="0"/>
    <n v="0"/>
    <n v="0"/>
    <n v="24"/>
    <n v="40"/>
    <n v="0"/>
    <n v="311.27999999999997"/>
    <n v="268.89"/>
    <m/>
    <n v="348.10461529283072"/>
    <n v="336.17550926835082"/>
    <n v="0"/>
    <n v="-29600.860319999996"/>
    <n v="-25569.825659999999"/>
    <n v="0"/>
    <n v="-33102.660286656443"/>
    <n v="-31968.273878364551"/>
  </r>
  <r>
    <s v="Sistema de Compensação"/>
    <x v="1"/>
    <x v="3"/>
    <x v="6"/>
    <x v="3"/>
    <x v="0"/>
    <x v="0"/>
    <x v="2"/>
    <x v="10"/>
    <n v="0"/>
    <n v="0"/>
    <n v="713.95600000000002"/>
    <n v="713.95600000000002"/>
    <n v="713.95600000000002"/>
    <n v="713.95600000000002"/>
    <n v="879"/>
    <x v="0"/>
    <n v="0"/>
    <n v="0"/>
    <n v="24"/>
    <n v="40"/>
    <n v="0"/>
    <n v="311.27999999999997"/>
    <n v="268.89"/>
    <m/>
    <n v="348.10461529283072"/>
    <n v="336.17550926835082"/>
    <n v="0"/>
    <n v="222240.22368"/>
    <n v="191975.62883999999"/>
    <n v="0"/>
    <n v="248531.37871600824"/>
    <n v="240014.52189519469"/>
  </r>
  <r>
    <s v="Sistema de Compensação"/>
    <x v="1"/>
    <x v="3"/>
    <x v="6"/>
    <x v="3"/>
    <x v="0"/>
    <x v="0"/>
    <x v="2"/>
    <x v="10"/>
    <n v="0"/>
    <n v="0"/>
    <n v="-0.23699999999999999"/>
    <n v="-0.23699999999999999"/>
    <n v="-0.23699999999999999"/>
    <n v="-0.23699999999999999"/>
    <n v="1"/>
    <x v="0"/>
    <n v="0"/>
    <n v="0"/>
    <n v="24"/>
    <n v="40"/>
    <n v="0"/>
    <n v="311.27999999999997"/>
    <n v="268.89"/>
    <m/>
    <n v="348.10461529283072"/>
    <n v="336.17550926835082"/>
    <n v="0"/>
    <n v="-73.773359999999997"/>
    <n v="-63.726929999999996"/>
    <n v="0"/>
    <n v="-82.500793824400873"/>
    <n v="-79.673595696599136"/>
  </r>
  <r>
    <s v="PROJETADO"/>
    <x v="1"/>
    <x v="3"/>
    <x v="6"/>
    <x v="3"/>
    <x v="0"/>
    <x v="0"/>
    <x v="2"/>
    <x v="11"/>
    <n v="0"/>
    <n v="0"/>
    <n v="45779.404000000002"/>
    <n v="45779.404000000002"/>
    <n v="45779.404000000002"/>
    <n v="45779.404000000002"/>
    <n v="127057"/>
    <x v="0"/>
    <n v="0"/>
    <n v="0"/>
    <n v="24"/>
    <n v="40"/>
    <n v="0"/>
    <n v="311.27999999999997"/>
    <n v="268.89"/>
    <m/>
    <n v="348.10461529283072"/>
    <n v="336.17550926835082"/>
    <n v="0"/>
    <n v="14250212.877119999"/>
    <n v="12309623.94156"/>
    <n v="0"/>
    <n v="15936021.817755077"/>
    <n v="15389914.453701578"/>
  </r>
  <r>
    <s v="PROJETADO"/>
    <x v="1"/>
    <x v="3"/>
    <x v="6"/>
    <x v="3"/>
    <x v="0"/>
    <x v="0"/>
    <x v="2"/>
    <x v="11"/>
    <n v="0"/>
    <n v="0"/>
    <n v="-95.093999999999994"/>
    <n v="-95.093999999999994"/>
    <n v="-95.093999999999994"/>
    <n v="-95.093999999999994"/>
    <n v="-57"/>
    <x v="0"/>
    <n v="0"/>
    <n v="0"/>
    <n v="24"/>
    <n v="40"/>
    <n v="0"/>
    <n v="311.27999999999997"/>
    <n v="268.89"/>
    <m/>
    <n v="348.10461529283072"/>
    <n v="336.17550926835082"/>
    <n v="0"/>
    <n v="-29600.860319999996"/>
    <n v="-25569.825659999999"/>
    <n v="0"/>
    <n v="-33102.660286656443"/>
    <n v="-31968.273878364551"/>
  </r>
  <r>
    <s v="PROJETADO"/>
    <x v="1"/>
    <x v="3"/>
    <x v="6"/>
    <x v="3"/>
    <x v="0"/>
    <x v="0"/>
    <x v="2"/>
    <x v="11"/>
    <n v="0"/>
    <n v="0"/>
    <n v="713.95600000000002"/>
    <n v="713.95600000000002"/>
    <n v="713.95600000000002"/>
    <n v="713.95600000000002"/>
    <n v="879"/>
    <x v="0"/>
    <n v="0"/>
    <n v="0"/>
    <n v="24"/>
    <n v="40"/>
    <n v="0"/>
    <n v="311.27999999999997"/>
    <n v="268.89"/>
    <m/>
    <n v="348.10461529283072"/>
    <n v="336.17550926835082"/>
    <n v="0"/>
    <n v="222240.22368"/>
    <n v="191975.62883999999"/>
    <n v="0"/>
    <n v="248531.37871600824"/>
    <n v="240014.52189519469"/>
  </r>
  <r>
    <s v="PROJETADO"/>
    <x v="1"/>
    <x v="3"/>
    <x v="6"/>
    <x v="3"/>
    <x v="0"/>
    <x v="0"/>
    <x v="2"/>
    <x v="11"/>
    <n v="0"/>
    <n v="0"/>
    <n v="-0.23699999999999999"/>
    <n v="-0.23699999999999999"/>
    <n v="-0.23699999999999999"/>
    <n v="-0.23699999999999999"/>
    <n v="1"/>
    <x v="0"/>
    <n v="0"/>
    <n v="0"/>
    <n v="24"/>
    <n v="40"/>
    <n v="0"/>
    <n v="311.27999999999997"/>
    <n v="268.89"/>
    <m/>
    <n v="348.10461529283072"/>
    <n v="336.17550926835082"/>
    <n v="0"/>
    <n v="-73.773359999999997"/>
    <n v="-63.726929999999996"/>
    <n v="0"/>
    <n v="-82.500793824400873"/>
    <n v="-79.673595696599136"/>
  </r>
  <r>
    <s v="Sistema Isolado - Regular"/>
    <x v="1"/>
    <x v="3"/>
    <x v="6"/>
    <x v="4"/>
    <x v="0"/>
    <x v="0"/>
    <x v="2"/>
    <x v="0"/>
    <n v="0"/>
    <n v="0"/>
    <n v="824.10400000000004"/>
    <n v="824.10400000000004"/>
    <n v="824.10400000000004"/>
    <n v="824.10400000000004"/>
    <n v="992"/>
    <x v="0"/>
    <n v="0"/>
    <n v="0"/>
    <n v="17"/>
    <n v="60"/>
    <n v="0"/>
    <n v="94.27"/>
    <n v="94.11"/>
    <m/>
    <n v="101.14776600861428"/>
    <n v="117.66142824392278"/>
    <n v="0"/>
    <n v="77688.284079999998"/>
    <n v="77556.427439999999"/>
    <n v="0"/>
    <n v="83356.278558763064"/>
    <n v="96965.253661529743"/>
  </r>
  <r>
    <s v="Sistema Isolado - Refaturamento"/>
    <x v="1"/>
    <x v="3"/>
    <x v="6"/>
    <x v="4"/>
    <x v="0"/>
    <x v="0"/>
    <x v="2"/>
    <x v="0"/>
    <n v="0"/>
    <n v="0"/>
    <n v="-0.87"/>
    <n v="-0.87"/>
    <n v="-0.87"/>
    <n v="-0.87"/>
    <n v="2"/>
    <x v="0"/>
    <n v="0"/>
    <n v="0"/>
    <n v="17"/>
    <n v="60"/>
    <n v="0"/>
    <n v="94.27"/>
    <n v="94.11"/>
    <m/>
    <n v="101.14776600861428"/>
    <n v="117.66142824392278"/>
    <n v="0"/>
    <n v="-82.014899999999997"/>
    <n v="-81.875699999999995"/>
    <n v="0"/>
    <n v="-87.998556427494421"/>
    <n v="-102.36544257221283"/>
  </r>
  <r>
    <s v="Sistema Isolado - Regular"/>
    <x v="1"/>
    <x v="3"/>
    <x v="6"/>
    <x v="4"/>
    <x v="0"/>
    <x v="0"/>
    <x v="2"/>
    <x v="1"/>
    <n v="0"/>
    <n v="0"/>
    <n v="827.75900000000001"/>
    <n v="827.75900000000001"/>
    <n v="827.75900000000001"/>
    <n v="827.75900000000001"/>
    <n v="1015"/>
    <x v="0"/>
    <n v="0"/>
    <n v="0"/>
    <n v="17"/>
    <n v="60"/>
    <n v="0"/>
    <n v="94.27"/>
    <n v="94.11"/>
    <m/>
    <n v="101.14776600861428"/>
    <n v="117.66142824392278"/>
    <n v="0"/>
    <n v="78032.840929999991"/>
    <n v="77900.399489999996"/>
    <n v="0"/>
    <n v="83725.973643524558"/>
    <n v="97395.306181761276"/>
  </r>
  <r>
    <s v="Sistema Isolado - Regular"/>
    <x v="1"/>
    <x v="3"/>
    <x v="6"/>
    <x v="4"/>
    <x v="0"/>
    <x v="0"/>
    <x v="2"/>
    <x v="2"/>
    <n v="0"/>
    <n v="0"/>
    <n v="837.77499999999998"/>
    <n v="837.77499999999998"/>
    <n v="837.77499999999998"/>
    <n v="837.77499999999998"/>
    <n v="1061"/>
    <x v="0"/>
    <n v="0"/>
    <n v="0"/>
    <n v="17"/>
    <n v="60"/>
    <n v="0"/>
    <n v="94.27"/>
    <n v="94.11"/>
    <m/>
    <n v="101.14776600861428"/>
    <n v="117.66142824392278"/>
    <n v="0"/>
    <n v="78977.049249999996"/>
    <n v="78843.005250000002"/>
    <n v="0"/>
    <n v="84739.069667866832"/>
    <n v="98573.80304705241"/>
  </r>
  <r>
    <s v="Sistema Isolado - Regular"/>
    <x v="1"/>
    <x v="3"/>
    <x v="6"/>
    <x v="4"/>
    <x v="0"/>
    <x v="0"/>
    <x v="2"/>
    <x v="3"/>
    <n v="0"/>
    <n v="0"/>
    <n v="848.42499999999995"/>
    <n v="848.42499999999995"/>
    <n v="848.42499999999995"/>
    <n v="848.42499999999995"/>
    <n v="1078"/>
    <x v="0"/>
    <n v="0"/>
    <n v="0"/>
    <n v="17"/>
    <n v="60"/>
    <n v="0"/>
    <n v="94.27"/>
    <n v="94.11"/>
    <m/>
    <n v="101.14776600861428"/>
    <n v="117.66142824392278"/>
    <n v="0"/>
    <n v="79981.024749999997"/>
    <n v="79845.27674999999"/>
    <n v="0"/>
    <n v="85816.293375858571"/>
    <n v="99826.897257850185"/>
  </r>
  <r>
    <s v="Sistema Isolado - Refaturamento"/>
    <x v="1"/>
    <x v="3"/>
    <x v="6"/>
    <x v="4"/>
    <x v="0"/>
    <x v="0"/>
    <x v="2"/>
    <x v="3"/>
    <n v="0"/>
    <n v="0"/>
    <n v="-0.12"/>
    <n v="-0.12"/>
    <n v="-0.12"/>
    <n v="-0.12"/>
    <n v="0"/>
    <x v="0"/>
    <n v="0"/>
    <n v="0"/>
    <n v="17"/>
    <n v="60"/>
    <n v="0"/>
    <n v="94.27"/>
    <n v="94.11"/>
    <m/>
    <n v="101.14776600861428"/>
    <n v="117.66142824392278"/>
    <n v="0"/>
    <n v="-11.312399999999998"/>
    <n v="-11.293199999999999"/>
    <n v="0"/>
    <n v="-12.137731921033714"/>
    <n v="-14.119371389270734"/>
  </r>
  <r>
    <s v="Sistema Isolado - Regular"/>
    <x v="1"/>
    <x v="3"/>
    <x v="6"/>
    <x v="4"/>
    <x v="0"/>
    <x v="0"/>
    <x v="2"/>
    <x v="4"/>
    <n v="0"/>
    <n v="0"/>
    <n v="866.26"/>
    <n v="866.26"/>
    <n v="866.26"/>
    <n v="866.26"/>
    <n v="1089"/>
    <x v="0"/>
    <n v="0"/>
    <n v="0"/>
    <n v="17"/>
    <n v="60"/>
    <n v="0"/>
    <n v="94.27"/>
    <n v="94.11"/>
    <m/>
    <n v="101.14776600861428"/>
    <n v="117.66142824392278"/>
    <n v="0"/>
    <n v="81662.330199999997"/>
    <n v="81523.728600000002"/>
    <n v="0"/>
    <n v="87620.263782622205"/>
    <n v="101925.38883058054"/>
  </r>
  <r>
    <s v="Sistema Isolado - Regular"/>
    <x v="1"/>
    <x v="3"/>
    <x v="6"/>
    <x v="4"/>
    <x v="0"/>
    <x v="0"/>
    <x v="2"/>
    <x v="5"/>
    <n v="0"/>
    <n v="0"/>
    <n v="866.26"/>
    <n v="866.26"/>
    <n v="866.26"/>
    <n v="866.26"/>
    <n v="1089"/>
    <x v="0"/>
    <n v="0"/>
    <n v="0"/>
    <n v="17"/>
    <n v="60"/>
    <n v="0"/>
    <n v="94.27"/>
    <n v="94.11"/>
    <m/>
    <n v="101.14776600861428"/>
    <n v="117.66142824392278"/>
    <n v="0"/>
    <n v="81662.330199999997"/>
    <n v="81523.728600000002"/>
    <n v="0"/>
    <n v="87620.263782622205"/>
    <n v="101925.38883058054"/>
  </r>
  <r>
    <s v="Sistema Isolado - Regular"/>
    <x v="1"/>
    <x v="3"/>
    <x v="6"/>
    <x v="4"/>
    <x v="0"/>
    <x v="0"/>
    <x v="2"/>
    <x v="6"/>
    <n v="0"/>
    <n v="0"/>
    <n v="871.81600000000003"/>
    <n v="871.81600000000003"/>
    <n v="871.81600000000003"/>
    <n v="871.81600000000003"/>
    <n v="1182"/>
    <x v="0"/>
    <n v="0"/>
    <n v="0"/>
    <n v="17"/>
    <n v="60"/>
    <n v="0"/>
    <n v="94.27"/>
    <n v="94.11"/>
    <m/>
    <n v="101.14776600861428"/>
    <n v="117.66142824392278"/>
    <n v="0"/>
    <n v="82186.094320000004"/>
    <n v="82046.603759999998"/>
    <n v="0"/>
    <n v="88182.240770566073"/>
    <n v="102579.11572590379"/>
  </r>
  <r>
    <s v="Sistema Isolado - Refaturamento"/>
    <x v="1"/>
    <x v="3"/>
    <x v="6"/>
    <x v="4"/>
    <x v="0"/>
    <x v="0"/>
    <x v="2"/>
    <x v="6"/>
    <n v="0"/>
    <n v="0"/>
    <n v="0.24"/>
    <n v="0.24"/>
    <n v="0.24"/>
    <n v="0.24"/>
    <n v="0"/>
    <x v="0"/>
    <n v="0"/>
    <n v="0"/>
    <n v="17"/>
    <n v="60"/>
    <n v="0"/>
    <n v="94.27"/>
    <n v="94.11"/>
    <m/>
    <n v="101.14776600861428"/>
    <n v="117.66142824392278"/>
    <n v="0"/>
    <n v="22.624799999999997"/>
    <n v="22.586399999999998"/>
    <n v="0"/>
    <n v="24.275463842067428"/>
    <n v="28.238742778541468"/>
  </r>
  <r>
    <s v="Sistema Isolado - Regular"/>
    <x v="1"/>
    <x v="3"/>
    <x v="6"/>
    <x v="4"/>
    <x v="0"/>
    <x v="0"/>
    <x v="2"/>
    <x v="7"/>
    <n v="0"/>
    <n v="0"/>
    <n v="882.245"/>
    <n v="882.245"/>
    <n v="882.245"/>
    <n v="882.245"/>
    <n v="1182"/>
    <x v="0"/>
    <n v="0"/>
    <n v="0"/>
    <n v="17"/>
    <n v="60"/>
    <n v="0"/>
    <n v="94.27"/>
    <n v="94.11"/>
    <m/>
    <n v="101.14776600861428"/>
    <n v="117.66142824392278"/>
    <n v="0"/>
    <n v="83169.236149999997"/>
    <n v="83028.076950000002"/>
    <n v="0"/>
    <n v="89237.110822269911"/>
    <n v="103806.20676105966"/>
  </r>
  <r>
    <s v="Sistema Isolado - Refaturamento"/>
    <x v="1"/>
    <x v="3"/>
    <x v="6"/>
    <x v="4"/>
    <x v="0"/>
    <x v="0"/>
    <x v="2"/>
    <x v="7"/>
    <n v="0"/>
    <n v="0"/>
    <n v="-0.15"/>
    <n v="-0.15"/>
    <n v="-0.15"/>
    <n v="-0.15"/>
    <n v="-3"/>
    <x v="0"/>
    <n v="0"/>
    <n v="0"/>
    <n v="17"/>
    <n v="60"/>
    <n v="0"/>
    <n v="94.27"/>
    <n v="94.11"/>
    <m/>
    <n v="101.14776600861428"/>
    <n v="117.66142824392278"/>
    <n v="0"/>
    <n v="-14.140499999999999"/>
    <n v="-14.1165"/>
    <n v="0"/>
    <n v="-15.172164901292142"/>
    <n v="-17.649214236588417"/>
  </r>
  <r>
    <s v="Sistema Isolado - Regular"/>
    <x v="1"/>
    <x v="3"/>
    <x v="6"/>
    <x v="4"/>
    <x v="0"/>
    <x v="0"/>
    <x v="2"/>
    <x v="8"/>
    <n v="0"/>
    <n v="0"/>
    <n v="883.91099999999994"/>
    <n v="883.91099999999994"/>
    <n v="883.91099999999994"/>
    <n v="883.91099999999994"/>
    <n v="1212"/>
    <x v="0"/>
    <n v="0"/>
    <n v="0"/>
    <n v="17"/>
    <n v="60"/>
    <n v="0"/>
    <n v="94.27"/>
    <n v="94.11"/>
    <m/>
    <n v="101.14776600861428"/>
    <n v="117.66142824392278"/>
    <n v="0"/>
    <n v="83326.289969999998"/>
    <n v="83184.86421"/>
    <n v="0"/>
    <n v="89405.623000440261"/>
    <n v="104002.23070051403"/>
  </r>
  <r>
    <s v="Sistema Isolado - Refaturamento"/>
    <x v="1"/>
    <x v="3"/>
    <x v="6"/>
    <x v="4"/>
    <x v="0"/>
    <x v="0"/>
    <x v="2"/>
    <x v="8"/>
    <n v="0"/>
    <n v="0"/>
    <n v="0.03"/>
    <n v="0.03"/>
    <n v="0.03"/>
    <n v="0.03"/>
    <n v="0"/>
    <x v="0"/>
    <n v="0"/>
    <n v="0"/>
    <n v="17"/>
    <n v="60"/>
    <n v="0"/>
    <n v="94.27"/>
    <n v="94.11"/>
    <m/>
    <n v="101.14776600861428"/>
    <n v="117.66142824392278"/>
    <n v="0"/>
    <n v="2.8280999999999996"/>
    <n v="2.8232999999999997"/>
    <n v="0"/>
    <n v="3.0344329802584284"/>
    <n v="3.5298428473176835"/>
  </r>
  <r>
    <s v="Sistema Isolado - Regular"/>
    <x v="1"/>
    <x v="3"/>
    <x v="6"/>
    <x v="4"/>
    <x v="0"/>
    <x v="0"/>
    <x v="2"/>
    <x v="9"/>
    <n v="0"/>
    <n v="0"/>
    <n v="888.11099999999999"/>
    <n v="888.11099999999999"/>
    <n v="888.11099999999999"/>
    <n v="888.11099999999999"/>
    <n v="1182"/>
    <x v="0"/>
    <n v="0"/>
    <n v="0"/>
    <n v="17"/>
    <n v="60"/>
    <n v="0"/>
    <n v="94.27"/>
    <n v="94.11"/>
    <m/>
    <n v="101.14776600861428"/>
    <n v="117.66142824392278"/>
    <n v="0"/>
    <n v="83722.223969999992"/>
    <n v="83580.126210000002"/>
    <n v="0"/>
    <n v="89830.443617676443"/>
    <n v="104496.40869913851"/>
  </r>
  <r>
    <s v="Sistema Isolado - Refaturamento"/>
    <x v="1"/>
    <x v="3"/>
    <x v="6"/>
    <x v="4"/>
    <x v="0"/>
    <x v="0"/>
    <x v="2"/>
    <x v="9"/>
    <n v="0"/>
    <n v="0"/>
    <n v="0.15"/>
    <n v="0.15"/>
    <n v="0.15"/>
    <n v="0.15"/>
    <n v="-2"/>
    <x v="0"/>
    <n v="0"/>
    <n v="0"/>
    <n v="17"/>
    <n v="60"/>
    <n v="0"/>
    <n v="94.27"/>
    <n v="94.11"/>
    <m/>
    <n v="101.14776600861428"/>
    <n v="117.66142824392278"/>
    <n v="0"/>
    <n v="14.140499999999999"/>
    <n v="14.1165"/>
    <n v="0"/>
    <n v="15.172164901292142"/>
    <n v="17.649214236588417"/>
  </r>
  <r>
    <s v="Sistema de Compensação"/>
    <x v="1"/>
    <x v="3"/>
    <x v="6"/>
    <x v="4"/>
    <x v="0"/>
    <x v="0"/>
    <x v="2"/>
    <x v="9"/>
    <n v="0"/>
    <n v="0"/>
    <n v="5.5090000000000003"/>
    <n v="5.5090000000000003"/>
    <n v="5.5090000000000003"/>
    <n v="5.5090000000000003"/>
    <n v="9"/>
    <x v="0"/>
    <n v="0"/>
    <n v="0"/>
    <n v="17"/>
    <n v="60"/>
    <n v="0"/>
    <n v="94.27"/>
    <n v="94.11"/>
    <m/>
    <n v="101.14776600861428"/>
    <n v="117.66142824392278"/>
    <n v="0"/>
    <n v="519.33343000000002"/>
    <n v="518.45199000000002"/>
    <n v="0"/>
    <n v="557.22304294145613"/>
    <n v="648.1968081957707"/>
  </r>
  <r>
    <s v="Sistema Isolado - Regular"/>
    <x v="1"/>
    <x v="3"/>
    <x v="6"/>
    <x v="4"/>
    <x v="0"/>
    <x v="0"/>
    <x v="2"/>
    <x v="10"/>
    <n v="0"/>
    <n v="0"/>
    <n v="892.39700000000005"/>
    <n v="892.39700000000005"/>
    <n v="892.39700000000005"/>
    <n v="892.39700000000005"/>
    <n v="1259"/>
    <x v="0"/>
    <n v="0"/>
    <n v="0"/>
    <n v="17"/>
    <n v="60"/>
    <n v="0"/>
    <n v="94.27"/>
    <n v="94.11"/>
    <m/>
    <n v="101.14776600861428"/>
    <n v="117.66142824392278"/>
    <n v="0"/>
    <n v="84126.265190000006"/>
    <n v="83983.481670000008"/>
    <n v="0"/>
    <n v="90263.962942789367"/>
    <n v="105000.70558059197"/>
  </r>
  <r>
    <s v="Sistema Isolado - Refaturamento"/>
    <x v="1"/>
    <x v="3"/>
    <x v="6"/>
    <x v="4"/>
    <x v="0"/>
    <x v="0"/>
    <x v="2"/>
    <x v="10"/>
    <n v="0"/>
    <n v="0"/>
    <n v="-0.03"/>
    <n v="-0.03"/>
    <n v="-0.03"/>
    <n v="-0.03"/>
    <n v="4"/>
    <x v="0"/>
    <n v="0"/>
    <n v="0"/>
    <n v="17"/>
    <n v="60"/>
    <n v="0"/>
    <n v="94.27"/>
    <n v="94.11"/>
    <m/>
    <n v="101.14776600861428"/>
    <n v="117.66142824392278"/>
    <n v="0"/>
    <n v="-2.8280999999999996"/>
    <n v="-2.8232999999999997"/>
    <n v="0"/>
    <n v="-3.0344329802584284"/>
    <n v="-3.5298428473176835"/>
  </r>
  <r>
    <s v="Sistema de Compensação"/>
    <x v="1"/>
    <x v="3"/>
    <x v="6"/>
    <x v="4"/>
    <x v="0"/>
    <x v="0"/>
    <x v="2"/>
    <x v="10"/>
    <n v="0"/>
    <n v="0"/>
    <n v="7.8840000000000003"/>
    <n v="7.8840000000000003"/>
    <n v="7.8840000000000003"/>
    <n v="7.8840000000000003"/>
    <n v="18"/>
    <x v="0"/>
    <n v="0"/>
    <n v="0"/>
    <n v="17"/>
    <n v="60"/>
    <n v="0"/>
    <n v="94.27"/>
    <n v="94.11"/>
    <m/>
    <n v="101.14776600861428"/>
    <n v="117.66142824392278"/>
    <n v="0"/>
    <n v="743.22468000000003"/>
    <n v="741.96324000000004"/>
    <n v="0"/>
    <n v="797.4489872119151"/>
    <n v="927.64270027508724"/>
  </r>
  <r>
    <s v="Sistema de Compensação"/>
    <x v="1"/>
    <x v="3"/>
    <x v="6"/>
    <x v="4"/>
    <x v="0"/>
    <x v="0"/>
    <x v="2"/>
    <x v="10"/>
    <n v="0"/>
    <n v="0"/>
    <n v="-0.44500000000000001"/>
    <n v="-0.44500000000000001"/>
    <n v="-0.44500000000000001"/>
    <n v="-0.44500000000000001"/>
    <n v="1"/>
    <x v="0"/>
    <n v="0"/>
    <n v="0"/>
    <n v="17"/>
    <n v="60"/>
    <n v="0"/>
    <n v="94.27"/>
    <n v="94.11"/>
    <m/>
    <n v="101.14776600861428"/>
    <n v="117.66142824392278"/>
    <n v="0"/>
    <n v="-41.950150000000001"/>
    <n v="-41.878950000000003"/>
    <n v="0"/>
    <n v="-45.010755873833354"/>
    <n v="-52.359335568545639"/>
  </r>
  <r>
    <s v="PROJETADO"/>
    <x v="1"/>
    <x v="3"/>
    <x v="6"/>
    <x v="4"/>
    <x v="0"/>
    <x v="0"/>
    <x v="2"/>
    <x v="11"/>
    <n v="0"/>
    <n v="0"/>
    <n v="892.39700000000005"/>
    <n v="892.39700000000005"/>
    <n v="892.39700000000005"/>
    <n v="892.39700000000005"/>
    <n v="1259"/>
    <x v="0"/>
    <n v="0"/>
    <n v="0"/>
    <n v="17"/>
    <n v="60"/>
    <n v="0"/>
    <n v="94.27"/>
    <n v="94.11"/>
    <m/>
    <n v="101.14776600861428"/>
    <n v="117.66142824392278"/>
    <n v="0"/>
    <n v="84126.265190000006"/>
    <n v="83983.481670000008"/>
    <n v="0"/>
    <n v="90263.962942789367"/>
    <n v="105000.70558059197"/>
  </r>
  <r>
    <s v="PROJETADO"/>
    <x v="1"/>
    <x v="3"/>
    <x v="6"/>
    <x v="4"/>
    <x v="0"/>
    <x v="0"/>
    <x v="2"/>
    <x v="11"/>
    <n v="0"/>
    <n v="0"/>
    <n v="-0.03"/>
    <n v="-0.03"/>
    <n v="-0.03"/>
    <n v="-0.03"/>
    <n v="4"/>
    <x v="0"/>
    <n v="0"/>
    <n v="0"/>
    <n v="17"/>
    <n v="60"/>
    <n v="0"/>
    <n v="94.27"/>
    <n v="94.11"/>
    <m/>
    <n v="101.14776600861428"/>
    <n v="117.66142824392278"/>
    <n v="0"/>
    <n v="-2.8280999999999996"/>
    <n v="-2.8232999999999997"/>
    <n v="0"/>
    <n v="-3.0344329802584284"/>
    <n v="-3.5298428473176835"/>
  </r>
  <r>
    <s v="PROJETADO"/>
    <x v="1"/>
    <x v="3"/>
    <x v="6"/>
    <x v="4"/>
    <x v="0"/>
    <x v="0"/>
    <x v="2"/>
    <x v="11"/>
    <n v="0"/>
    <n v="0"/>
    <n v="7.8840000000000003"/>
    <n v="7.8840000000000003"/>
    <n v="7.8840000000000003"/>
    <n v="7.8840000000000003"/>
    <n v="18"/>
    <x v="0"/>
    <n v="0"/>
    <n v="0"/>
    <n v="17"/>
    <n v="60"/>
    <n v="0"/>
    <n v="94.27"/>
    <n v="94.11"/>
    <m/>
    <n v="101.14776600861428"/>
    <n v="117.66142824392278"/>
    <n v="0"/>
    <n v="743.22468000000003"/>
    <n v="741.96324000000004"/>
    <n v="0"/>
    <n v="797.4489872119151"/>
    <n v="927.64270027508724"/>
  </r>
  <r>
    <s v="PROJETADO"/>
    <x v="1"/>
    <x v="3"/>
    <x v="6"/>
    <x v="4"/>
    <x v="0"/>
    <x v="0"/>
    <x v="2"/>
    <x v="11"/>
    <n v="0"/>
    <n v="0"/>
    <n v="-0.44500000000000001"/>
    <n v="-0.44500000000000001"/>
    <n v="-0.44500000000000001"/>
    <n v="-0.44500000000000001"/>
    <n v="1"/>
    <x v="0"/>
    <n v="0"/>
    <n v="0"/>
    <n v="17"/>
    <n v="60"/>
    <n v="0"/>
    <n v="94.27"/>
    <n v="94.11"/>
    <m/>
    <n v="101.14776600861428"/>
    <n v="117.66142824392278"/>
    <n v="0"/>
    <n v="-41.950150000000001"/>
    <n v="-41.878950000000003"/>
    <n v="0"/>
    <n v="-45.010755873833354"/>
    <n v="-52.359335568545639"/>
  </r>
  <r>
    <s v="Sistema Isolado - Regular"/>
    <x v="1"/>
    <x v="3"/>
    <x v="6"/>
    <x v="5"/>
    <x v="0"/>
    <x v="0"/>
    <x v="2"/>
    <x v="0"/>
    <n v="0"/>
    <n v="0"/>
    <n v="1731.1079999999999"/>
    <n v="1731.1079999999999"/>
    <n v="1731.1079999999999"/>
    <n v="1731.1079999999999"/>
    <n v="3868"/>
    <x v="0"/>
    <n v="0"/>
    <n v="0"/>
    <n v="39"/>
    <n v="80"/>
    <n v="0"/>
    <n v="161.61000000000001"/>
    <n v="161.34"/>
    <m/>
    <n v="173.39617030048163"/>
    <n v="201.70530556101048"/>
    <n v="0"/>
    <n v="279764.36388000002"/>
    <n v="279296.96471999999"/>
    <n v="0"/>
    <n v="300167.49757652613"/>
    <n v="349173.66809910972"/>
  </r>
  <r>
    <s v="Sistema Isolado - Refaturamento"/>
    <x v="1"/>
    <x v="3"/>
    <x v="6"/>
    <x v="5"/>
    <x v="0"/>
    <x v="0"/>
    <x v="2"/>
    <x v="0"/>
    <n v="0"/>
    <n v="0"/>
    <n v="-1.635"/>
    <n v="-1.635"/>
    <n v="-1.635"/>
    <n v="-1.635"/>
    <n v="-9"/>
    <x v="0"/>
    <n v="0"/>
    <n v="0"/>
    <n v="39"/>
    <n v="80"/>
    <n v="0"/>
    <n v="161.61000000000001"/>
    <n v="161.34"/>
    <m/>
    <n v="173.39617030048163"/>
    <n v="201.70530556101048"/>
    <n v="0"/>
    <n v="-264.23235"/>
    <n v="-263.79090000000002"/>
    <n v="0"/>
    <n v="-283.50273844128748"/>
    <n v="-329.78817459225212"/>
  </r>
  <r>
    <s v="Sistema Isolado - Regular"/>
    <x v="1"/>
    <x v="3"/>
    <x v="6"/>
    <x v="5"/>
    <x v="0"/>
    <x v="0"/>
    <x v="2"/>
    <x v="1"/>
    <n v="0"/>
    <n v="0"/>
    <n v="1730.51"/>
    <n v="1730.51"/>
    <n v="1730.51"/>
    <n v="1730.51"/>
    <n v="4163"/>
    <x v="0"/>
    <n v="0"/>
    <n v="0"/>
    <n v="39"/>
    <n v="80"/>
    <n v="0"/>
    <n v="161.61000000000001"/>
    <n v="161.34"/>
    <m/>
    <n v="173.39617030048163"/>
    <n v="201.70530556101048"/>
    <n v="0"/>
    <n v="279667.72110000002"/>
    <n v="279200.48340000003"/>
    <n v="0"/>
    <n v="300063.80666668643"/>
    <n v="349053.04832638422"/>
  </r>
  <r>
    <s v="Sistema Isolado - Refaturamento"/>
    <x v="1"/>
    <x v="3"/>
    <x v="6"/>
    <x v="5"/>
    <x v="0"/>
    <x v="0"/>
    <x v="2"/>
    <x v="1"/>
    <n v="0"/>
    <n v="0"/>
    <n v="-0.10199999999999999"/>
    <n v="-0.10199999999999999"/>
    <n v="-0.10199999999999999"/>
    <n v="-0.10199999999999999"/>
    <n v="1"/>
    <x v="0"/>
    <n v="0"/>
    <n v="0"/>
    <n v="39"/>
    <n v="80"/>
    <n v="0"/>
    <n v="161.61000000000001"/>
    <n v="161.34"/>
    <m/>
    <n v="173.39617030048163"/>
    <n v="201.70530556101048"/>
    <n v="0"/>
    <n v="-16.484220000000001"/>
    <n v="-16.456679999999999"/>
    <n v="0"/>
    <n v="-17.686409370649123"/>
    <n v="-20.573941167223069"/>
  </r>
  <r>
    <s v="Sistema Isolado - Regular"/>
    <x v="1"/>
    <x v="3"/>
    <x v="6"/>
    <x v="5"/>
    <x v="0"/>
    <x v="0"/>
    <x v="2"/>
    <x v="2"/>
    <n v="0"/>
    <n v="0"/>
    <n v="1734.8710000000001"/>
    <n v="1734.8710000000001"/>
    <n v="1734.8710000000001"/>
    <n v="1734.8710000000001"/>
    <n v="4783"/>
    <x v="0"/>
    <n v="0"/>
    <n v="0"/>
    <n v="39"/>
    <n v="80"/>
    <n v="0"/>
    <n v="161.61000000000001"/>
    <n v="161.34"/>
    <m/>
    <n v="173.39617030048163"/>
    <n v="201.70530556101048"/>
    <n v="0"/>
    <n v="280372.50231000001"/>
    <n v="279904.08714000002"/>
    <n v="0"/>
    <n v="300819.98736536689"/>
    <n v="349932.68516393582"/>
  </r>
  <r>
    <s v="Sistema Isolado - Refaturamento"/>
    <x v="1"/>
    <x v="3"/>
    <x v="6"/>
    <x v="5"/>
    <x v="0"/>
    <x v="0"/>
    <x v="2"/>
    <x v="2"/>
    <n v="0"/>
    <n v="0"/>
    <n v="8.5000000000000006E-2"/>
    <n v="8.5000000000000006E-2"/>
    <n v="8.5000000000000006E-2"/>
    <n v="8.5000000000000006E-2"/>
    <n v="2"/>
    <x v="0"/>
    <n v="0"/>
    <n v="0"/>
    <n v="39"/>
    <n v="80"/>
    <n v="0"/>
    <n v="161.61000000000001"/>
    <n v="161.34"/>
    <m/>
    <n v="173.39617030048163"/>
    <n v="201.70530556101048"/>
    <n v="0"/>
    <n v="13.736850000000002"/>
    <n v="13.713900000000001"/>
    <n v="0"/>
    <n v="14.73867447554094"/>
    <n v="17.144950972685891"/>
  </r>
  <r>
    <s v="Sistema Isolado - Regular"/>
    <x v="1"/>
    <x v="3"/>
    <x v="6"/>
    <x v="5"/>
    <x v="0"/>
    <x v="0"/>
    <x v="2"/>
    <x v="3"/>
    <n v="0"/>
    <n v="0"/>
    <n v="1761.0409999999999"/>
    <n v="1761.0409999999999"/>
    <n v="1761.0409999999999"/>
    <n v="1761.0409999999999"/>
    <n v="4598"/>
    <x v="0"/>
    <n v="0"/>
    <n v="0"/>
    <n v="39"/>
    <n v="80"/>
    <n v="0"/>
    <n v="161.61000000000001"/>
    <n v="161.34"/>
    <m/>
    <n v="173.39617030048163"/>
    <n v="201.70530556101048"/>
    <n v="0"/>
    <n v="284601.83601000003"/>
    <n v="284126.35493999999"/>
    <n v="0"/>
    <n v="305357.76514213043"/>
    <n v="355211.31301046745"/>
  </r>
  <r>
    <s v="Sistema Isolado - Refaturamento"/>
    <x v="1"/>
    <x v="3"/>
    <x v="6"/>
    <x v="5"/>
    <x v="0"/>
    <x v="0"/>
    <x v="2"/>
    <x v="3"/>
    <n v="0"/>
    <n v="0"/>
    <n v="-0.42799999999999999"/>
    <n v="-0.42799999999999999"/>
    <n v="-0.42799999999999999"/>
    <n v="-0.42799999999999999"/>
    <n v="4"/>
    <x v="0"/>
    <n v="0"/>
    <n v="0"/>
    <n v="39"/>
    <n v="80"/>
    <n v="0"/>
    <n v="161.61000000000001"/>
    <n v="161.34"/>
    <m/>
    <n v="173.39617030048163"/>
    <n v="201.70530556101048"/>
    <n v="0"/>
    <n v="-69.169080000000008"/>
    <n v="-69.053520000000006"/>
    <n v="0"/>
    <n v="-74.213560888606139"/>
    <n v="-86.329870780112486"/>
  </r>
  <r>
    <s v="Sistema Isolado - Regular"/>
    <x v="1"/>
    <x v="3"/>
    <x v="6"/>
    <x v="5"/>
    <x v="0"/>
    <x v="0"/>
    <x v="2"/>
    <x v="4"/>
    <n v="0"/>
    <n v="0"/>
    <n v="1807.567"/>
    <n v="1807.567"/>
    <n v="1807.567"/>
    <n v="1807.567"/>
    <n v="4461"/>
    <x v="0"/>
    <n v="0"/>
    <n v="0"/>
    <n v="39"/>
    <n v="80"/>
    <n v="0"/>
    <n v="161.61000000000001"/>
    <n v="161.34"/>
    <m/>
    <n v="173.39617030048163"/>
    <n v="201.70530556101048"/>
    <n v="0"/>
    <n v="292120.90287000005"/>
    <n v="291632.85978"/>
    <n v="0"/>
    <n v="313425.1953615307"/>
    <n v="364595.85405699903"/>
  </r>
  <r>
    <s v="Sistema Isolado - Refaturamento"/>
    <x v="1"/>
    <x v="3"/>
    <x v="6"/>
    <x v="5"/>
    <x v="0"/>
    <x v="0"/>
    <x v="2"/>
    <x v="4"/>
    <n v="0"/>
    <n v="0"/>
    <n v="0.02"/>
    <n v="0.02"/>
    <n v="0.02"/>
    <n v="0.02"/>
    <n v="1"/>
    <x v="0"/>
    <n v="0"/>
    <n v="0"/>
    <n v="39"/>
    <n v="80"/>
    <n v="0"/>
    <n v="161.61000000000001"/>
    <n v="161.34"/>
    <m/>
    <n v="173.39617030048163"/>
    <n v="201.70530556101048"/>
    <n v="0"/>
    <n v="3.2322000000000002"/>
    <n v="3.2268000000000003"/>
    <n v="0"/>
    <n v="3.4679234060096324"/>
    <n v="4.0341061112202095"/>
  </r>
  <r>
    <s v="Sistema Isolado - Regular"/>
    <x v="1"/>
    <x v="3"/>
    <x v="6"/>
    <x v="5"/>
    <x v="0"/>
    <x v="0"/>
    <x v="2"/>
    <x v="5"/>
    <n v="0"/>
    <n v="0"/>
    <n v="1807.567"/>
    <n v="1807.567"/>
    <n v="1807.567"/>
    <n v="1807.567"/>
    <n v="4461"/>
    <x v="0"/>
    <n v="0"/>
    <n v="0"/>
    <n v="39"/>
    <n v="80"/>
    <n v="0"/>
    <n v="161.61000000000001"/>
    <n v="161.34"/>
    <m/>
    <n v="173.39617030048163"/>
    <n v="201.70530556101048"/>
    <n v="0"/>
    <n v="292120.90287000005"/>
    <n v="291632.85978"/>
    <n v="0"/>
    <n v="313425.1953615307"/>
    <n v="364595.85405699903"/>
  </r>
  <r>
    <s v="Sistema Isolado - Refaturamento"/>
    <x v="1"/>
    <x v="3"/>
    <x v="6"/>
    <x v="5"/>
    <x v="0"/>
    <x v="0"/>
    <x v="2"/>
    <x v="5"/>
    <n v="0"/>
    <n v="0"/>
    <n v="0.02"/>
    <n v="0.02"/>
    <n v="0.02"/>
    <n v="0.02"/>
    <n v="1"/>
    <x v="0"/>
    <n v="0"/>
    <n v="0"/>
    <n v="39"/>
    <n v="80"/>
    <n v="0"/>
    <n v="161.61000000000001"/>
    <n v="161.34"/>
    <m/>
    <n v="173.39617030048163"/>
    <n v="201.70530556101048"/>
    <n v="0"/>
    <n v="3.2322000000000002"/>
    <n v="3.2268000000000003"/>
    <n v="0"/>
    <n v="3.4679234060096324"/>
    <n v="4.0341061112202095"/>
  </r>
  <r>
    <s v="Sistema Isolado - Regular"/>
    <x v="1"/>
    <x v="3"/>
    <x v="6"/>
    <x v="5"/>
    <x v="0"/>
    <x v="0"/>
    <x v="2"/>
    <x v="6"/>
    <n v="0"/>
    <n v="0"/>
    <n v="1802.001"/>
    <n v="1802.001"/>
    <n v="1802.001"/>
    <n v="1802.001"/>
    <n v="4835"/>
    <x v="0"/>
    <n v="0"/>
    <n v="0"/>
    <n v="39"/>
    <n v="80"/>
    <n v="0"/>
    <n v="161.61000000000001"/>
    <n v="161.34"/>
    <m/>
    <n v="173.39617030048163"/>
    <n v="201.70530556101048"/>
    <n v="0"/>
    <n v="291221.38161000004"/>
    <n v="290734.84133999998"/>
    <n v="0"/>
    <n v="312460.07227763819"/>
    <n v="363473.16232624644"/>
  </r>
  <r>
    <s v="Sistema Isolado - Refaturamento"/>
    <x v="1"/>
    <x v="3"/>
    <x v="6"/>
    <x v="5"/>
    <x v="0"/>
    <x v="0"/>
    <x v="2"/>
    <x v="6"/>
    <n v="0"/>
    <n v="0"/>
    <n v="0.14399999999999999"/>
    <n v="0.14399999999999999"/>
    <n v="0.14399999999999999"/>
    <n v="0.14399999999999999"/>
    <n v="16"/>
    <x v="0"/>
    <n v="0"/>
    <n v="0"/>
    <n v="39"/>
    <n v="80"/>
    <n v="0"/>
    <n v="161.61000000000001"/>
    <n v="161.34"/>
    <m/>
    <n v="173.39617030048163"/>
    <n v="201.70530556101048"/>
    <n v="0"/>
    <n v="23.271840000000001"/>
    <n v="23.232959999999999"/>
    <n v="0"/>
    <n v="24.969048523269354"/>
    <n v="29.045564000785507"/>
  </r>
  <r>
    <s v="Sistema Isolado - Regular"/>
    <x v="1"/>
    <x v="3"/>
    <x v="6"/>
    <x v="5"/>
    <x v="0"/>
    <x v="0"/>
    <x v="2"/>
    <x v="7"/>
    <n v="0"/>
    <n v="0"/>
    <n v="1820.7850000000001"/>
    <n v="1820.7850000000001"/>
    <n v="1820.7850000000001"/>
    <n v="1820.7850000000001"/>
    <n v="5009"/>
    <x v="0"/>
    <n v="0"/>
    <n v="0"/>
    <n v="39"/>
    <n v="80"/>
    <n v="0"/>
    <n v="161.61000000000001"/>
    <n v="161.34"/>
    <m/>
    <n v="173.39617030048163"/>
    <n v="201.70530556101048"/>
    <n v="0"/>
    <n v="294257.06385000004"/>
    <n v="293765.45190000004"/>
    <n v="0"/>
    <n v="315717.14594056248"/>
    <n v="367261.99478590448"/>
  </r>
  <r>
    <s v="Sistema Isolado - Refaturamento"/>
    <x v="1"/>
    <x v="3"/>
    <x v="6"/>
    <x v="5"/>
    <x v="0"/>
    <x v="0"/>
    <x v="2"/>
    <x v="7"/>
    <n v="0"/>
    <n v="0"/>
    <n v="-0.25900000000000001"/>
    <n v="-0.25900000000000001"/>
    <n v="-0.25900000000000001"/>
    <n v="-0.25900000000000001"/>
    <n v="2"/>
    <x v="0"/>
    <n v="0"/>
    <n v="0"/>
    <n v="39"/>
    <n v="80"/>
    <n v="0"/>
    <n v="161.61000000000001"/>
    <n v="161.34"/>
    <m/>
    <n v="173.39617030048163"/>
    <n v="201.70530556101048"/>
    <n v="0"/>
    <n v="-41.856990000000003"/>
    <n v="-41.787060000000004"/>
    <n v="0"/>
    <n v="-44.909608107824745"/>
    <n v="-52.241674140301718"/>
  </r>
  <r>
    <s v="Sistema Isolado - Regular"/>
    <x v="1"/>
    <x v="3"/>
    <x v="6"/>
    <x v="5"/>
    <x v="0"/>
    <x v="0"/>
    <x v="2"/>
    <x v="8"/>
    <n v="0"/>
    <n v="0"/>
    <n v="1813.701"/>
    <n v="1813.701"/>
    <n v="1813.701"/>
    <n v="1813.701"/>
    <n v="5311"/>
    <x v="0"/>
    <n v="0"/>
    <n v="0"/>
    <n v="39"/>
    <n v="80"/>
    <n v="0"/>
    <n v="161.61000000000001"/>
    <n v="161.34"/>
    <m/>
    <n v="173.39617030048163"/>
    <n v="201.70530556101048"/>
    <n v="0"/>
    <n v="293112.21861000004"/>
    <n v="292622.51934"/>
    <n v="0"/>
    <n v="314488.80747015384"/>
    <n v="365833.11440131027"/>
  </r>
  <r>
    <s v="Sistema Isolado - Refaturamento"/>
    <x v="1"/>
    <x v="3"/>
    <x v="6"/>
    <x v="5"/>
    <x v="0"/>
    <x v="0"/>
    <x v="2"/>
    <x v="8"/>
    <n v="0"/>
    <n v="0"/>
    <n v="3.3000000000000002E-2"/>
    <n v="3.3000000000000002E-2"/>
    <n v="3.3000000000000002E-2"/>
    <n v="3.3000000000000002E-2"/>
    <n v="2"/>
    <x v="0"/>
    <n v="0"/>
    <n v="0"/>
    <n v="39"/>
    <n v="80"/>
    <n v="0"/>
    <n v="161.61000000000001"/>
    <n v="161.34"/>
    <m/>
    <n v="173.39617030048163"/>
    <n v="201.70530556101048"/>
    <n v="0"/>
    <n v="5.3331300000000006"/>
    <n v="5.3242200000000004"/>
    <n v="0"/>
    <n v="5.7220736199158937"/>
    <n v="6.6562750835133464"/>
  </r>
  <r>
    <s v="Sistema Isolado - Regular"/>
    <x v="1"/>
    <x v="3"/>
    <x v="6"/>
    <x v="5"/>
    <x v="0"/>
    <x v="0"/>
    <x v="2"/>
    <x v="9"/>
    <n v="0"/>
    <n v="0"/>
    <n v="1855.4280000000001"/>
    <n v="1855.4280000000001"/>
    <n v="1855.4280000000001"/>
    <n v="1855.4280000000001"/>
    <n v="4297"/>
    <x v="0"/>
    <n v="0"/>
    <n v="0"/>
    <n v="39"/>
    <n v="80"/>
    <n v="0"/>
    <n v="161.61000000000001"/>
    <n v="161.34"/>
    <m/>
    <n v="173.39617030048163"/>
    <n v="201.70530556101048"/>
    <n v="0"/>
    <n v="299855.71908000007"/>
    <n v="299354.75352000003"/>
    <n v="0"/>
    <n v="321724.10946828203"/>
    <n v="374249.67168645456"/>
  </r>
  <r>
    <s v="Sistema Isolado - Refaturamento"/>
    <x v="1"/>
    <x v="3"/>
    <x v="6"/>
    <x v="5"/>
    <x v="0"/>
    <x v="0"/>
    <x v="2"/>
    <x v="9"/>
    <n v="0"/>
    <n v="0"/>
    <n v="-0.14799999999999999"/>
    <n v="-0.14799999999999999"/>
    <n v="-0.14799999999999999"/>
    <n v="-0.14799999999999999"/>
    <n v="13"/>
    <x v="0"/>
    <n v="0"/>
    <n v="0"/>
    <n v="39"/>
    <n v="80"/>
    <n v="0"/>
    <n v="161.61000000000001"/>
    <n v="161.34"/>
    <m/>
    <n v="173.39617030048163"/>
    <n v="201.70530556101048"/>
    <n v="0"/>
    <n v="-23.918279999999999"/>
    <n v="-23.878319999999999"/>
    <n v="0"/>
    <n v="-25.66263320447128"/>
    <n v="-29.85238522302955"/>
  </r>
  <r>
    <s v="Sistema Isolado - Regular"/>
    <x v="1"/>
    <x v="3"/>
    <x v="6"/>
    <x v="5"/>
    <x v="0"/>
    <x v="0"/>
    <x v="2"/>
    <x v="10"/>
    <n v="0"/>
    <n v="0"/>
    <n v="1857.8969999999999"/>
    <n v="1857.8969999999999"/>
    <n v="1857.8969999999999"/>
    <n v="1857.8969999999999"/>
    <n v="4429"/>
    <x v="0"/>
    <n v="0"/>
    <n v="0"/>
    <n v="39"/>
    <n v="80"/>
    <n v="0"/>
    <n v="161.61000000000001"/>
    <n v="161.34"/>
    <m/>
    <n v="173.39617030048163"/>
    <n v="201.70530556101048"/>
    <n v="0"/>
    <n v="300254.73417000001"/>
    <n v="299753.10197999998"/>
    <n v="0"/>
    <n v="322152.2246127539"/>
    <n v="374747.68208588468"/>
  </r>
  <r>
    <s v="Sistema Isolado - Refaturamento"/>
    <x v="1"/>
    <x v="3"/>
    <x v="6"/>
    <x v="5"/>
    <x v="0"/>
    <x v="0"/>
    <x v="2"/>
    <x v="10"/>
    <n v="0"/>
    <n v="0"/>
    <n v="-0.4"/>
    <n v="-0.4"/>
    <n v="-0.4"/>
    <n v="-0.4"/>
    <n v="3"/>
    <x v="0"/>
    <n v="0"/>
    <n v="0"/>
    <n v="39"/>
    <n v="80"/>
    <n v="0"/>
    <n v="161.61000000000001"/>
    <n v="161.34"/>
    <m/>
    <n v="173.39617030048163"/>
    <n v="201.70530556101048"/>
    <n v="0"/>
    <n v="-64.644000000000005"/>
    <n v="-64.536000000000001"/>
    <n v="0"/>
    <n v="-69.358468120192654"/>
    <n v="-80.682122224404196"/>
  </r>
  <r>
    <s v="PROJETADO"/>
    <x v="1"/>
    <x v="3"/>
    <x v="6"/>
    <x v="5"/>
    <x v="0"/>
    <x v="0"/>
    <x v="2"/>
    <x v="11"/>
    <n v="0"/>
    <n v="0"/>
    <n v="1857.8969999999999"/>
    <n v="1857.8969999999999"/>
    <n v="1857.8969999999999"/>
    <n v="1857.8969999999999"/>
    <n v="4429"/>
    <x v="0"/>
    <n v="0"/>
    <n v="0"/>
    <n v="39"/>
    <n v="80"/>
    <n v="0"/>
    <n v="161.61000000000001"/>
    <n v="161.34"/>
    <m/>
    <n v="173.39617030048163"/>
    <n v="201.70530556101048"/>
    <n v="0"/>
    <n v="300254.73417000001"/>
    <n v="299753.10197999998"/>
    <n v="0"/>
    <n v="322152.2246127539"/>
    <n v="374747.68208588468"/>
  </r>
  <r>
    <s v="PROJETADO"/>
    <x v="1"/>
    <x v="3"/>
    <x v="6"/>
    <x v="5"/>
    <x v="0"/>
    <x v="0"/>
    <x v="2"/>
    <x v="11"/>
    <n v="0"/>
    <n v="0"/>
    <n v="-0.4"/>
    <n v="-0.4"/>
    <n v="-0.4"/>
    <n v="-0.4"/>
    <n v="3"/>
    <x v="0"/>
    <n v="0"/>
    <n v="0"/>
    <n v="39"/>
    <n v="80"/>
    <n v="0"/>
    <n v="161.61000000000001"/>
    <n v="161.34"/>
    <m/>
    <n v="173.39617030048163"/>
    <n v="201.70530556101048"/>
    <n v="0"/>
    <n v="-64.644000000000005"/>
    <n v="-64.536000000000001"/>
    <n v="0"/>
    <n v="-69.358468120192654"/>
    <n v="-80.682122224404196"/>
  </r>
  <r>
    <s v="Sistema Isolado - Regular"/>
    <x v="1"/>
    <x v="3"/>
    <x v="6"/>
    <x v="6"/>
    <x v="0"/>
    <x v="0"/>
    <x v="2"/>
    <x v="0"/>
    <n v="0"/>
    <n v="0"/>
    <n v="2145.4"/>
    <n v="2145.4"/>
    <n v="2145.4"/>
    <n v="2145.4"/>
    <n v="9435"/>
    <x v="0"/>
    <n v="0"/>
    <n v="0"/>
    <n v="61"/>
    <n v="65"/>
    <n v="0"/>
    <n v="242.41"/>
    <n v="242"/>
    <m/>
    <n v="260.09425545072247"/>
    <n v="302.55795834151576"/>
    <n v="0"/>
    <n v="520066.41399999999"/>
    <n v="519186.80000000005"/>
    <n v="0"/>
    <n v="558006.21564397996"/>
    <n v="649107.84382588789"/>
  </r>
  <r>
    <s v="Sistema Isolado - Refaturamento"/>
    <x v="1"/>
    <x v="3"/>
    <x v="6"/>
    <x v="6"/>
    <x v="0"/>
    <x v="0"/>
    <x v="2"/>
    <x v="0"/>
    <n v="0"/>
    <n v="0"/>
    <n v="-1.8240000000000001"/>
    <n v="-1.8240000000000001"/>
    <n v="-1.8240000000000001"/>
    <n v="-1.8240000000000001"/>
    <n v="-6"/>
    <x v="0"/>
    <n v="0"/>
    <n v="0"/>
    <n v="61"/>
    <n v="65"/>
    <n v="0"/>
    <n v="242.41"/>
    <n v="242"/>
    <m/>
    <n v="260.09425545072247"/>
    <n v="302.55795834151576"/>
    <n v="0"/>
    <n v="-442.15584000000001"/>
    <n v="-441.40800000000002"/>
    <n v="0"/>
    <n v="-474.41192194211783"/>
    <n v="-551.86571601492471"/>
  </r>
  <r>
    <s v="Sistema Isolado - Regular"/>
    <x v="1"/>
    <x v="3"/>
    <x v="6"/>
    <x v="6"/>
    <x v="0"/>
    <x v="0"/>
    <x v="2"/>
    <x v="1"/>
    <n v="0"/>
    <n v="0"/>
    <n v="2095.386"/>
    <n v="2095.386"/>
    <n v="2095.386"/>
    <n v="2095.386"/>
    <n v="9714"/>
    <x v="0"/>
    <n v="0"/>
    <n v="0"/>
    <n v="61"/>
    <n v="65"/>
    <n v="0"/>
    <n v="242.41"/>
    <n v="242"/>
    <m/>
    <n v="260.09425545072247"/>
    <n v="302.55795834151576"/>
    <n v="0"/>
    <n v="507942.52025999996"/>
    <n v="507083.41200000001"/>
    <n v="0"/>
    <n v="544997.86155186757"/>
    <n v="633975.71009739535"/>
  </r>
  <r>
    <s v="Sistema Isolado - Refaturamento"/>
    <x v="1"/>
    <x v="3"/>
    <x v="6"/>
    <x v="6"/>
    <x v="0"/>
    <x v="0"/>
    <x v="2"/>
    <x v="1"/>
    <n v="0"/>
    <n v="0"/>
    <n v="-0.437"/>
    <n v="-0.437"/>
    <n v="-0.437"/>
    <n v="-0.437"/>
    <n v="2"/>
    <x v="0"/>
    <n v="0"/>
    <n v="0"/>
    <n v="61"/>
    <n v="65"/>
    <n v="0"/>
    <n v="242.41"/>
    <n v="242"/>
    <m/>
    <n v="260.09425545072247"/>
    <n v="302.55795834151576"/>
    <n v="0"/>
    <n v="-105.93317"/>
    <n v="-105.754"/>
    <n v="0"/>
    <n v="-113.66118963196573"/>
    <n v="-132.21782779524239"/>
  </r>
  <r>
    <s v="Sistema Isolado - Regular"/>
    <x v="1"/>
    <x v="3"/>
    <x v="6"/>
    <x v="6"/>
    <x v="0"/>
    <x v="0"/>
    <x v="2"/>
    <x v="2"/>
    <n v="0"/>
    <n v="0"/>
    <n v="2007.2349999999999"/>
    <n v="2007.2349999999999"/>
    <n v="2007.2349999999999"/>
    <n v="2007.2349999999999"/>
    <n v="10293"/>
    <x v="0"/>
    <n v="0"/>
    <n v="0"/>
    <n v="61"/>
    <n v="65"/>
    <n v="0"/>
    <n v="242.41"/>
    <n v="242"/>
    <m/>
    <n v="260.09425545072247"/>
    <n v="302.55795834151576"/>
    <n v="0"/>
    <n v="486573.83635"/>
    <n v="485750.87"/>
    <n v="0"/>
    <n v="522070.29283963091"/>
    <n v="607304.92351163237"/>
  </r>
  <r>
    <s v="Sistema Isolado - Refaturamento"/>
    <x v="1"/>
    <x v="3"/>
    <x v="6"/>
    <x v="6"/>
    <x v="0"/>
    <x v="0"/>
    <x v="2"/>
    <x v="2"/>
    <n v="0"/>
    <n v="0"/>
    <n v="-0.16500000000000001"/>
    <n v="-0.16500000000000001"/>
    <n v="-0.16500000000000001"/>
    <n v="-0.16500000000000001"/>
    <n v="3"/>
    <x v="0"/>
    <n v="0"/>
    <n v="0"/>
    <n v="61"/>
    <n v="65"/>
    <n v="0"/>
    <n v="242.41"/>
    <n v="242"/>
    <m/>
    <n v="260.09425545072247"/>
    <n v="302.55795834151576"/>
    <n v="0"/>
    <n v="-39.99765"/>
    <n v="-39.93"/>
    <n v="0"/>
    <n v="-42.915552149369212"/>
    <n v="-49.922063126350103"/>
  </r>
  <r>
    <s v="Sistema Isolado - Regular"/>
    <x v="1"/>
    <x v="3"/>
    <x v="6"/>
    <x v="6"/>
    <x v="0"/>
    <x v="0"/>
    <x v="2"/>
    <x v="3"/>
    <n v="0"/>
    <n v="0"/>
    <n v="2077.3789999999999"/>
    <n v="2077.3789999999999"/>
    <n v="2077.3789999999999"/>
    <n v="2077.3789999999999"/>
    <n v="10155"/>
    <x v="0"/>
    <n v="0"/>
    <n v="0"/>
    <n v="61"/>
    <n v="65"/>
    <n v="0"/>
    <n v="242.41"/>
    <n v="242"/>
    <m/>
    <n v="260.09425545072247"/>
    <n v="302.55795834151576"/>
    <n v="0"/>
    <n v="503577.44338999997"/>
    <n v="502725.71799999999"/>
    <n v="0"/>
    <n v="540314.34429396642"/>
    <n v="628527.5489415396"/>
  </r>
  <r>
    <s v="Sistema Isolado - Refaturamento"/>
    <x v="1"/>
    <x v="3"/>
    <x v="6"/>
    <x v="6"/>
    <x v="0"/>
    <x v="0"/>
    <x v="2"/>
    <x v="3"/>
    <n v="0"/>
    <n v="0"/>
    <n v="-0.8"/>
    <n v="-0.8"/>
    <n v="-0.8"/>
    <n v="-0.8"/>
    <n v="-3"/>
    <x v="0"/>
    <n v="0"/>
    <n v="0"/>
    <n v="61"/>
    <n v="65"/>
    <n v="0"/>
    <n v="242.41"/>
    <n v="242"/>
    <m/>
    <n v="260.09425545072247"/>
    <n v="302.55795834151576"/>
    <n v="0"/>
    <n v="-193.928"/>
    <n v="-193.60000000000002"/>
    <n v="0"/>
    <n v="-208.07540436057798"/>
    <n v="-242.04636667321262"/>
  </r>
  <r>
    <s v="Sistema Isolado - Regular"/>
    <x v="1"/>
    <x v="3"/>
    <x v="6"/>
    <x v="6"/>
    <x v="0"/>
    <x v="0"/>
    <x v="2"/>
    <x v="4"/>
    <n v="0"/>
    <n v="0"/>
    <n v="2154.9009999999998"/>
    <n v="2154.9009999999998"/>
    <n v="2154.9009999999998"/>
    <n v="2154.9009999999998"/>
    <n v="10453"/>
    <x v="0"/>
    <n v="0"/>
    <n v="0"/>
    <n v="61"/>
    <n v="65"/>
    <n v="0"/>
    <n v="242.41"/>
    <n v="242"/>
    <m/>
    <n v="260.09425545072247"/>
    <n v="302.55795834151576"/>
    <n v="0"/>
    <n v="522369.55140999996"/>
    <n v="521486.04199999996"/>
    <n v="0"/>
    <n v="560477.37116501725"/>
    <n v="651982.44698809064"/>
  </r>
  <r>
    <s v="Sistema Isolado - Refaturamento"/>
    <x v="1"/>
    <x v="3"/>
    <x v="6"/>
    <x v="6"/>
    <x v="0"/>
    <x v="0"/>
    <x v="2"/>
    <x v="4"/>
    <n v="0"/>
    <n v="0"/>
    <n v="4.4999999999999998E-2"/>
    <n v="4.4999999999999998E-2"/>
    <n v="4.4999999999999998E-2"/>
    <n v="4.4999999999999998E-2"/>
    <n v="0"/>
    <x v="0"/>
    <n v="0"/>
    <n v="0"/>
    <n v="61"/>
    <n v="65"/>
    <n v="0"/>
    <n v="242.41"/>
    <n v="242"/>
    <m/>
    <n v="260.09425545072247"/>
    <n v="302.55795834151576"/>
    <n v="0"/>
    <n v="10.90845"/>
    <n v="10.889999999999999"/>
    <n v="0"/>
    <n v="11.704241495282512"/>
    <n v="13.615108125368209"/>
  </r>
  <r>
    <s v="Sistema Isolado - Regular"/>
    <x v="1"/>
    <x v="3"/>
    <x v="6"/>
    <x v="6"/>
    <x v="0"/>
    <x v="0"/>
    <x v="2"/>
    <x v="5"/>
    <n v="0"/>
    <n v="0"/>
    <n v="2154.9009999999998"/>
    <n v="2154.9009999999998"/>
    <n v="2154.9009999999998"/>
    <n v="2154.9009999999998"/>
    <n v="10453"/>
    <x v="0"/>
    <n v="0"/>
    <n v="0"/>
    <n v="61"/>
    <n v="65"/>
    <n v="0"/>
    <n v="242.41"/>
    <n v="242"/>
    <m/>
    <n v="260.09425545072247"/>
    <n v="302.55795834151576"/>
    <n v="0"/>
    <n v="522369.55140999996"/>
    <n v="521486.04199999996"/>
    <n v="0"/>
    <n v="560477.37116501725"/>
    <n v="651982.44698809064"/>
  </r>
  <r>
    <s v="Sistema Isolado - Refaturamento"/>
    <x v="1"/>
    <x v="3"/>
    <x v="6"/>
    <x v="6"/>
    <x v="0"/>
    <x v="0"/>
    <x v="2"/>
    <x v="5"/>
    <n v="0"/>
    <n v="0"/>
    <n v="4.4999999999999998E-2"/>
    <n v="4.4999999999999998E-2"/>
    <n v="4.4999999999999998E-2"/>
    <n v="4.4999999999999998E-2"/>
    <n v="0"/>
    <x v="0"/>
    <n v="0"/>
    <n v="0"/>
    <n v="61"/>
    <n v="65"/>
    <n v="0"/>
    <n v="242.41"/>
    <n v="242"/>
    <m/>
    <n v="260.09425545072247"/>
    <n v="302.55795834151576"/>
    <n v="0"/>
    <n v="10.90845"/>
    <n v="10.889999999999999"/>
    <n v="0"/>
    <n v="11.704241495282512"/>
    <n v="13.615108125368209"/>
  </r>
  <r>
    <s v="Sistema Isolado - Regular"/>
    <x v="1"/>
    <x v="3"/>
    <x v="6"/>
    <x v="6"/>
    <x v="0"/>
    <x v="0"/>
    <x v="2"/>
    <x v="6"/>
    <n v="0"/>
    <n v="0"/>
    <n v="2075.8119999999999"/>
    <n v="2075.8119999999999"/>
    <n v="2075.8119999999999"/>
    <n v="2075.8119999999999"/>
    <n v="11083"/>
    <x v="0"/>
    <n v="0"/>
    <n v="0"/>
    <n v="61"/>
    <n v="65"/>
    <n v="0"/>
    <n v="242.41"/>
    <n v="242"/>
    <m/>
    <n v="260.09425545072247"/>
    <n v="302.55795834151576"/>
    <n v="0"/>
    <n v="503197.58691999997"/>
    <n v="502346.50399999996"/>
    <n v="0"/>
    <n v="539906.77659567504"/>
    <n v="628053.44062081852"/>
  </r>
  <r>
    <s v="Sistema Isolado - Refaturamento"/>
    <x v="1"/>
    <x v="3"/>
    <x v="6"/>
    <x v="6"/>
    <x v="0"/>
    <x v="0"/>
    <x v="2"/>
    <x v="6"/>
    <n v="0"/>
    <n v="0"/>
    <n v="-1.6479999999999999"/>
    <n v="-1.6479999999999999"/>
    <n v="-1.6479999999999999"/>
    <n v="-1.6479999999999999"/>
    <n v="4"/>
    <x v="0"/>
    <n v="0"/>
    <n v="0"/>
    <n v="61"/>
    <n v="65"/>
    <n v="0"/>
    <n v="242.41"/>
    <n v="242"/>
    <m/>
    <n v="260.09425545072247"/>
    <n v="302.55795834151576"/>
    <n v="0"/>
    <n v="-399.49167999999997"/>
    <n v="-398.81599999999997"/>
    <n v="0"/>
    <n v="-428.6353329827906"/>
    <n v="-498.61551534681792"/>
  </r>
  <r>
    <s v="Sistema Isolado - Regular"/>
    <x v="1"/>
    <x v="3"/>
    <x v="6"/>
    <x v="6"/>
    <x v="0"/>
    <x v="0"/>
    <x v="2"/>
    <x v="7"/>
    <n v="0"/>
    <n v="0"/>
    <n v="2074.1880000000001"/>
    <n v="2074.1880000000001"/>
    <n v="2074.1880000000001"/>
    <n v="2074.1880000000001"/>
    <n v="11491"/>
    <x v="0"/>
    <n v="0"/>
    <n v="0"/>
    <n v="61"/>
    <n v="65"/>
    <n v="0"/>
    <n v="242.41"/>
    <n v="242"/>
    <m/>
    <n v="260.09425545072247"/>
    <n v="302.55795834151576"/>
    <n v="0"/>
    <n v="502803.91308000003"/>
    <n v="501953.49600000004"/>
    <n v="0"/>
    <n v="539484.38352482312"/>
    <n v="627562.08649647189"/>
  </r>
  <r>
    <s v="Sistema Isolado - Refaturamento"/>
    <x v="1"/>
    <x v="3"/>
    <x v="6"/>
    <x v="6"/>
    <x v="0"/>
    <x v="0"/>
    <x v="2"/>
    <x v="7"/>
    <n v="0"/>
    <n v="0"/>
    <n v="-0.48"/>
    <n v="-0.48"/>
    <n v="-0.48"/>
    <n v="-0.48"/>
    <n v="0"/>
    <x v="0"/>
    <n v="0"/>
    <n v="0"/>
    <n v="61"/>
    <n v="65"/>
    <n v="0"/>
    <n v="242.41"/>
    <n v="242"/>
    <m/>
    <n v="260.09425545072247"/>
    <n v="302.55795834151576"/>
    <n v="0"/>
    <n v="-116.35679999999999"/>
    <n v="-116.16"/>
    <n v="0"/>
    <n v="-124.84524261634678"/>
    <n v="-145.22782000392755"/>
  </r>
  <r>
    <s v="Sistema Isolado - Regular"/>
    <x v="1"/>
    <x v="3"/>
    <x v="6"/>
    <x v="6"/>
    <x v="0"/>
    <x v="0"/>
    <x v="2"/>
    <x v="8"/>
    <n v="0"/>
    <n v="0"/>
    <n v="2027.6849999999999"/>
    <n v="2027.6849999999999"/>
    <n v="2027.6849999999999"/>
    <n v="2027.6849999999999"/>
    <n v="11515"/>
    <x v="0"/>
    <n v="0"/>
    <n v="0"/>
    <n v="61"/>
    <n v="65"/>
    <n v="0"/>
    <n v="242.41"/>
    <n v="242"/>
    <m/>
    <n v="260.09425545072247"/>
    <n v="302.55795834151576"/>
    <n v="0"/>
    <n v="491531.12085000001"/>
    <n v="490699.76999999996"/>
    <n v="0"/>
    <n v="527389.2203635982"/>
    <n v="613492.23375971639"/>
  </r>
  <r>
    <s v="Sistema Isolado - Refaturamento"/>
    <x v="1"/>
    <x v="3"/>
    <x v="6"/>
    <x v="6"/>
    <x v="0"/>
    <x v="0"/>
    <x v="2"/>
    <x v="8"/>
    <n v="0"/>
    <n v="0"/>
    <n v="-0.54600000000000004"/>
    <n v="-0.54600000000000004"/>
    <n v="-0.54600000000000004"/>
    <n v="-0.54600000000000004"/>
    <n v="3"/>
    <x v="0"/>
    <n v="0"/>
    <n v="0"/>
    <n v="61"/>
    <n v="65"/>
    <n v="0"/>
    <n v="242.41"/>
    <n v="242"/>
    <m/>
    <n v="260.09425545072247"/>
    <n v="302.55795834151576"/>
    <n v="0"/>
    <n v="-132.35586000000001"/>
    <n v="-132.13200000000001"/>
    <n v="0"/>
    <n v="-142.01146347609449"/>
    <n v="-165.19664525446763"/>
  </r>
  <r>
    <s v="Sistema Isolado - Regular"/>
    <x v="1"/>
    <x v="3"/>
    <x v="6"/>
    <x v="6"/>
    <x v="0"/>
    <x v="0"/>
    <x v="2"/>
    <x v="9"/>
    <n v="0"/>
    <n v="0"/>
    <n v="2259.4780000000001"/>
    <n v="2259.4780000000001"/>
    <n v="2259.4780000000001"/>
    <n v="2259.4780000000001"/>
    <n v="10407"/>
    <x v="0"/>
    <n v="0"/>
    <n v="0"/>
    <n v="61"/>
    <n v="65"/>
    <n v="0"/>
    <n v="242.41"/>
    <n v="242"/>
    <m/>
    <n v="260.09425545072247"/>
    <n v="302.55795834151576"/>
    <n v="0"/>
    <n v="547720.06198"/>
    <n v="546793.67599999998"/>
    <n v="0"/>
    <n v="587677.24811728753"/>
    <n v="683623.0505975713"/>
  </r>
  <r>
    <s v="Sistema Isolado - Refaturamento"/>
    <x v="1"/>
    <x v="3"/>
    <x v="6"/>
    <x v="6"/>
    <x v="0"/>
    <x v="0"/>
    <x v="2"/>
    <x v="9"/>
    <n v="0"/>
    <n v="0"/>
    <n v="-0.36599999999999999"/>
    <n v="-0.36599999999999999"/>
    <n v="-0.36599999999999999"/>
    <n v="-0.36599999999999999"/>
    <n v="-3"/>
    <x v="0"/>
    <n v="0"/>
    <n v="0"/>
    <n v="61"/>
    <n v="65"/>
    <n v="0"/>
    <n v="242.41"/>
    <n v="242"/>
    <m/>
    <n v="260.09425545072247"/>
    <n v="302.55795834151576"/>
    <n v="0"/>
    <n v="-88.722059999999999"/>
    <n v="-88.572000000000003"/>
    <n v="0"/>
    <n v="-95.194497494964423"/>
    <n v="-110.73621275299476"/>
  </r>
  <r>
    <s v="Sistema Isolado - Regular"/>
    <x v="1"/>
    <x v="3"/>
    <x v="6"/>
    <x v="6"/>
    <x v="0"/>
    <x v="0"/>
    <x v="2"/>
    <x v="10"/>
    <n v="0"/>
    <n v="0"/>
    <n v="2240.3069999999998"/>
    <n v="2240.3069999999998"/>
    <n v="2240.3069999999998"/>
    <n v="2240.3069999999998"/>
    <n v="10535"/>
    <x v="0"/>
    <n v="0"/>
    <n v="0"/>
    <n v="61"/>
    <n v="65"/>
    <n v="0"/>
    <n v="242.41"/>
    <n v="242"/>
    <m/>
    <n v="260.09425545072247"/>
    <n v="302.55795834151576"/>
    <n v="0"/>
    <n v="543072.81986999989"/>
    <n v="542154.29399999999"/>
    <n v="0"/>
    <n v="582690.98114604165"/>
    <n v="677822.71197820606"/>
  </r>
  <r>
    <s v="Sistema Isolado - Refaturamento"/>
    <x v="1"/>
    <x v="3"/>
    <x v="6"/>
    <x v="6"/>
    <x v="0"/>
    <x v="0"/>
    <x v="2"/>
    <x v="10"/>
    <n v="0"/>
    <n v="0"/>
    <n v="-0.69499999999999995"/>
    <n v="-0.69499999999999995"/>
    <n v="-0.69499999999999995"/>
    <n v="-0.69499999999999995"/>
    <n v="-3"/>
    <x v="0"/>
    <n v="0"/>
    <n v="0"/>
    <n v="61"/>
    <n v="65"/>
    <n v="0"/>
    <n v="242.41"/>
    <n v="242"/>
    <m/>
    <n v="260.09425545072247"/>
    <n v="302.55795834151576"/>
    <n v="0"/>
    <n v="-168.47494999999998"/>
    <n v="-168.19"/>
    <n v="0"/>
    <n v="-180.76550753825211"/>
    <n v="-210.27778104735344"/>
  </r>
  <r>
    <s v="PROJETADO"/>
    <x v="1"/>
    <x v="3"/>
    <x v="6"/>
    <x v="6"/>
    <x v="0"/>
    <x v="0"/>
    <x v="2"/>
    <x v="11"/>
    <n v="0"/>
    <n v="0"/>
    <n v="2240.3069999999998"/>
    <n v="2240.3069999999998"/>
    <n v="2240.3069999999998"/>
    <n v="2240.3069999999998"/>
    <n v="10535"/>
    <x v="0"/>
    <n v="0"/>
    <n v="0"/>
    <n v="61"/>
    <n v="65"/>
    <n v="0"/>
    <n v="242.41"/>
    <n v="242"/>
    <m/>
    <n v="260.09425545072247"/>
    <n v="302.55795834151576"/>
    <n v="0"/>
    <n v="543072.81986999989"/>
    <n v="542154.29399999999"/>
    <n v="0"/>
    <n v="582690.98114604165"/>
    <n v="677822.71197820606"/>
  </r>
  <r>
    <s v="PROJETADO"/>
    <x v="1"/>
    <x v="3"/>
    <x v="6"/>
    <x v="6"/>
    <x v="0"/>
    <x v="0"/>
    <x v="2"/>
    <x v="11"/>
    <n v="0"/>
    <n v="0"/>
    <n v="-0.69499999999999995"/>
    <n v="-0.69499999999999995"/>
    <n v="-0.69499999999999995"/>
    <n v="-0.69499999999999995"/>
    <n v="-3"/>
    <x v="0"/>
    <n v="0"/>
    <n v="0"/>
    <n v="61"/>
    <n v="65"/>
    <n v="0"/>
    <n v="242.41"/>
    <n v="242"/>
    <m/>
    <n v="260.09425545072247"/>
    <n v="302.55795834151576"/>
    <n v="0"/>
    <n v="-168.47494999999998"/>
    <n v="-168.19"/>
    <n v="0"/>
    <n v="-180.76550753825211"/>
    <n v="-210.27778104735344"/>
  </r>
  <r>
    <s v="Sistema Isolado - Regular"/>
    <x v="1"/>
    <x v="3"/>
    <x v="6"/>
    <x v="7"/>
    <x v="0"/>
    <x v="0"/>
    <x v="2"/>
    <x v="0"/>
    <n v="0"/>
    <n v="0"/>
    <n v="2719.3229999999999"/>
    <n v="2719.3229999999999"/>
    <n v="2719.3229999999999"/>
    <n v="2719.3229999999999"/>
    <n v="13185"/>
    <x v="0"/>
    <n v="0"/>
    <n v="0"/>
    <n v="12"/>
    <n v="52"/>
    <n v="0"/>
    <n v="269.33999999999997"/>
    <n v="268.89"/>
    <m/>
    <n v="288.99361716746938"/>
    <n v="336.17550926835082"/>
    <n v="0"/>
    <n v="732422.45681999985"/>
    <n v="731198.76146999991"/>
    <n v="0"/>
    <n v="785866.9900166943"/>
    <n v="914169.79439013952"/>
  </r>
  <r>
    <s v="Sistema Isolado - Refaturamento"/>
    <x v="1"/>
    <x v="3"/>
    <x v="6"/>
    <x v="7"/>
    <x v="0"/>
    <x v="0"/>
    <x v="2"/>
    <x v="0"/>
    <n v="0"/>
    <n v="0"/>
    <n v="-6.7809999999999997"/>
    <n v="-6.7809999999999997"/>
    <n v="-6.7809999999999997"/>
    <n v="-6.7809999999999997"/>
    <n v="-13"/>
    <x v="0"/>
    <n v="0"/>
    <n v="0"/>
    <n v="12"/>
    <n v="52"/>
    <n v="0"/>
    <n v="269.33999999999997"/>
    <n v="268.89"/>
    <m/>
    <n v="288.99361716746938"/>
    <n v="336.17550926835082"/>
    <n v="0"/>
    <n v="-1826.3945399999998"/>
    <n v="-1823.3430899999998"/>
    <n v="0"/>
    <n v="-1959.6657180126099"/>
    <n v="-2279.606128348687"/>
  </r>
  <r>
    <s v="Sistema Isolado - Regular"/>
    <x v="1"/>
    <x v="3"/>
    <x v="6"/>
    <x v="7"/>
    <x v="0"/>
    <x v="0"/>
    <x v="2"/>
    <x v="1"/>
    <n v="0"/>
    <n v="0"/>
    <n v="2468.0030000000002"/>
    <n v="2468.0030000000002"/>
    <n v="2468.0030000000002"/>
    <n v="2468.0030000000002"/>
    <n v="12705"/>
    <x v="0"/>
    <n v="0"/>
    <n v="0"/>
    <n v="12"/>
    <n v="52"/>
    <n v="0"/>
    <n v="269.33999999999997"/>
    <n v="268.89"/>
    <m/>
    <n v="288.99361716746938"/>
    <n v="336.17550926835082"/>
    <n v="0"/>
    <n v="664731.92801999999"/>
    <n v="663621.32666999998"/>
    <n v="0"/>
    <n v="713237.11415016593"/>
    <n v="829682.16540081764"/>
  </r>
  <r>
    <s v="Sistema Isolado - Refaturamento"/>
    <x v="1"/>
    <x v="3"/>
    <x v="6"/>
    <x v="7"/>
    <x v="0"/>
    <x v="0"/>
    <x v="2"/>
    <x v="1"/>
    <n v="0"/>
    <n v="0"/>
    <n v="-2.0510000000000002"/>
    <n v="-2.0510000000000002"/>
    <n v="-2.0510000000000002"/>
    <n v="-2.0510000000000002"/>
    <n v="-4"/>
    <x v="0"/>
    <n v="0"/>
    <n v="0"/>
    <n v="12"/>
    <n v="52"/>
    <n v="0"/>
    <n v="269.33999999999997"/>
    <n v="268.89"/>
    <m/>
    <n v="288.99361716746938"/>
    <n v="336.17550926835082"/>
    <n v="0"/>
    <n v="-552.41633999999999"/>
    <n v="-551.49338999999998"/>
    <n v="0"/>
    <n v="-592.72590881047972"/>
    <n v="-689.49596950938758"/>
  </r>
  <r>
    <s v="Sistema Isolado - Regular"/>
    <x v="1"/>
    <x v="3"/>
    <x v="6"/>
    <x v="7"/>
    <x v="0"/>
    <x v="0"/>
    <x v="2"/>
    <x v="2"/>
    <n v="0"/>
    <n v="0"/>
    <n v="2111.3409999999999"/>
    <n v="2111.3409999999999"/>
    <n v="2111.3409999999999"/>
    <n v="2111.3409999999999"/>
    <n v="11798"/>
    <x v="0"/>
    <n v="0"/>
    <n v="0"/>
    <n v="12"/>
    <n v="52"/>
    <n v="0"/>
    <n v="269.33999999999997"/>
    <n v="268.89"/>
    <m/>
    <n v="288.99361716746938"/>
    <n v="336.17550926835082"/>
    <n v="0"/>
    <n v="568668.58493999997"/>
    <n v="567718.48148999992"/>
    <n v="0"/>
    <n v="610164.07266398193"/>
    <n v="709781.13591414911"/>
  </r>
  <r>
    <s v="Sistema Isolado - Refaturamento"/>
    <x v="1"/>
    <x v="3"/>
    <x v="6"/>
    <x v="7"/>
    <x v="0"/>
    <x v="0"/>
    <x v="2"/>
    <x v="2"/>
    <n v="0"/>
    <n v="0"/>
    <n v="-5.3890000000000002"/>
    <n v="-5.3890000000000002"/>
    <n v="-5.3890000000000002"/>
    <n v="-5.3890000000000002"/>
    <n v="-3"/>
    <x v="0"/>
    <n v="0"/>
    <n v="0"/>
    <n v="12"/>
    <n v="52"/>
    <n v="0"/>
    <n v="269.33999999999997"/>
    <n v="268.89"/>
    <m/>
    <n v="288.99361716746938"/>
    <n v="336.17550926835082"/>
    <n v="0"/>
    <n v="-1451.47326"/>
    <n v="-1449.0482099999999"/>
    <n v="0"/>
    <n v="-1557.3866029154926"/>
    <n v="-1811.6498194471426"/>
  </r>
  <r>
    <s v="Sistema Isolado - Regular"/>
    <x v="1"/>
    <x v="3"/>
    <x v="6"/>
    <x v="7"/>
    <x v="0"/>
    <x v="0"/>
    <x v="2"/>
    <x v="3"/>
    <n v="0"/>
    <n v="0"/>
    <n v="2431.8009999999999"/>
    <n v="2431.8009999999999"/>
    <n v="2431.8009999999999"/>
    <n v="2431.8009999999999"/>
    <n v="12459"/>
    <x v="0"/>
    <n v="0"/>
    <n v="0"/>
    <n v="12"/>
    <n v="52"/>
    <n v="0"/>
    <n v="269.33999999999997"/>
    <n v="268.89"/>
    <m/>
    <n v="288.99361716746938"/>
    <n v="336.17550926835082"/>
    <n v="0"/>
    <n v="654981.28133999987"/>
    <n v="653886.97089"/>
    <n v="0"/>
    <n v="702774.96722146915"/>
    <n v="817511.93961428478"/>
  </r>
  <r>
    <s v="Sistema Isolado - Refaturamento"/>
    <x v="1"/>
    <x v="3"/>
    <x v="6"/>
    <x v="7"/>
    <x v="0"/>
    <x v="0"/>
    <x v="2"/>
    <x v="3"/>
    <n v="0"/>
    <n v="0"/>
    <n v="-1.526"/>
    <n v="-1.526"/>
    <n v="-1.526"/>
    <n v="-1.526"/>
    <n v="-4"/>
    <x v="0"/>
    <n v="0"/>
    <n v="0"/>
    <n v="12"/>
    <n v="52"/>
    <n v="0"/>
    <n v="269.33999999999997"/>
    <n v="268.89"/>
    <m/>
    <n v="288.99361716746938"/>
    <n v="336.17550926835082"/>
    <n v="0"/>
    <n v="-411.01283999999998"/>
    <n v="-410.32614000000001"/>
    <n v="0"/>
    <n v="-441.00425979755829"/>
    <n v="-513.00382714350337"/>
  </r>
  <r>
    <s v="Sistema Isolado - Regular"/>
    <x v="1"/>
    <x v="3"/>
    <x v="6"/>
    <x v="7"/>
    <x v="0"/>
    <x v="0"/>
    <x v="2"/>
    <x v="4"/>
    <n v="0"/>
    <n v="0"/>
    <n v="2401.2710000000002"/>
    <n v="2401.2710000000002"/>
    <n v="2401.2710000000002"/>
    <n v="2401.2710000000002"/>
    <n v="12885"/>
    <x v="0"/>
    <n v="0"/>
    <n v="0"/>
    <n v="12"/>
    <n v="52"/>
    <n v="0"/>
    <n v="269.33999999999997"/>
    <n v="268.89"/>
    <m/>
    <n v="288.99361716746938"/>
    <n v="336.17550926835082"/>
    <n v="0"/>
    <n v="646758.33114000002"/>
    <n v="645677.75919000001"/>
    <n v="0"/>
    <n v="693951.9920893464"/>
    <n v="807248.50131632213"/>
  </r>
  <r>
    <s v="Sistema Isolado - Refaturamento"/>
    <x v="1"/>
    <x v="3"/>
    <x v="6"/>
    <x v="7"/>
    <x v="0"/>
    <x v="0"/>
    <x v="2"/>
    <x v="4"/>
    <n v="0"/>
    <n v="0"/>
    <n v="-1"/>
    <n v="-1"/>
    <n v="-1"/>
    <n v="-1"/>
    <n v="0"/>
    <x v="0"/>
    <n v="0"/>
    <n v="0"/>
    <n v="12"/>
    <n v="52"/>
    <n v="0"/>
    <n v="269.33999999999997"/>
    <n v="268.89"/>
    <m/>
    <n v="288.99361716746938"/>
    <n v="336.17550926835082"/>
    <n v="0"/>
    <n v="-269.33999999999997"/>
    <n v="-268.89"/>
    <n v="0"/>
    <n v="-288.99361716746938"/>
    <n v="-336.17550926835082"/>
  </r>
  <r>
    <s v="Sistema Isolado - Regular"/>
    <x v="1"/>
    <x v="3"/>
    <x v="6"/>
    <x v="7"/>
    <x v="0"/>
    <x v="0"/>
    <x v="2"/>
    <x v="5"/>
    <n v="0"/>
    <n v="0"/>
    <n v="2401.2710000000002"/>
    <n v="2401.2710000000002"/>
    <n v="2401.2710000000002"/>
    <n v="2401.2710000000002"/>
    <n v="12885"/>
    <x v="0"/>
    <n v="0"/>
    <n v="0"/>
    <n v="12"/>
    <n v="52"/>
    <n v="0"/>
    <n v="269.33999999999997"/>
    <n v="268.89"/>
    <m/>
    <n v="288.99361716746938"/>
    <n v="336.17550926835082"/>
    <n v="0"/>
    <n v="646758.33114000002"/>
    <n v="645677.75919000001"/>
    <n v="0"/>
    <n v="693951.9920893464"/>
    <n v="807248.50131632213"/>
  </r>
  <r>
    <s v="Sistema Isolado - Refaturamento"/>
    <x v="1"/>
    <x v="3"/>
    <x v="6"/>
    <x v="7"/>
    <x v="0"/>
    <x v="0"/>
    <x v="2"/>
    <x v="5"/>
    <n v="0"/>
    <n v="0"/>
    <n v="-1"/>
    <n v="-1"/>
    <n v="-1"/>
    <n v="-1"/>
    <n v="0"/>
    <x v="0"/>
    <n v="0"/>
    <n v="0"/>
    <n v="12"/>
    <n v="52"/>
    <n v="0"/>
    <n v="269.33999999999997"/>
    <n v="268.89"/>
    <m/>
    <n v="288.99361716746938"/>
    <n v="336.17550926835082"/>
    <n v="0"/>
    <n v="-269.33999999999997"/>
    <n v="-268.89"/>
    <n v="0"/>
    <n v="-288.99361716746938"/>
    <n v="-336.17550926835082"/>
  </r>
  <r>
    <s v="Sistema Isolado - Regular"/>
    <x v="1"/>
    <x v="3"/>
    <x v="6"/>
    <x v="7"/>
    <x v="0"/>
    <x v="0"/>
    <x v="2"/>
    <x v="6"/>
    <n v="0"/>
    <n v="0"/>
    <n v="2022.807"/>
    <n v="2022.807"/>
    <n v="2022.807"/>
    <n v="2022.807"/>
    <n v="11976"/>
    <x v="0"/>
    <n v="0"/>
    <n v="0"/>
    <n v="12"/>
    <n v="52"/>
    <n v="0"/>
    <n v="269.33999999999997"/>
    <n v="268.89"/>
    <m/>
    <n v="288.99361716746938"/>
    <n v="336.17550926835082"/>
    <n v="0"/>
    <n v="544822.83737999992"/>
    <n v="543912.57423000003"/>
    <n v="0"/>
    <n v="584578.31176167727"/>
    <n v="680018.17337658489"/>
  </r>
  <r>
    <s v="Sistema Isolado - Refaturamento"/>
    <x v="1"/>
    <x v="3"/>
    <x v="6"/>
    <x v="7"/>
    <x v="0"/>
    <x v="0"/>
    <x v="2"/>
    <x v="6"/>
    <n v="0"/>
    <n v="0"/>
    <n v="-9.1880000000000006"/>
    <n v="-9.1880000000000006"/>
    <n v="-9.1880000000000006"/>
    <n v="-9.1880000000000006"/>
    <n v="-12"/>
    <x v="0"/>
    <n v="0"/>
    <n v="0"/>
    <n v="12"/>
    <n v="52"/>
    <n v="0"/>
    <n v="269.33999999999997"/>
    <n v="268.89"/>
    <m/>
    <n v="288.99361716746938"/>
    <n v="336.17550926835082"/>
    <n v="0"/>
    <n v="-2474.6959200000001"/>
    <n v="-2470.5613200000003"/>
    <n v="0"/>
    <n v="-2655.2733545347087"/>
    <n v="-3088.7805791576075"/>
  </r>
  <r>
    <s v="Sistema Isolado - Regular"/>
    <x v="1"/>
    <x v="3"/>
    <x v="6"/>
    <x v="7"/>
    <x v="0"/>
    <x v="0"/>
    <x v="2"/>
    <x v="7"/>
    <n v="0"/>
    <n v="0"/>
    <n v="1881.3389999999999"/>
    <n v="1881.3389999999999"/>
    <n v="1881.3389999999999"/>
    <n v="1881.3389999999999"/>
    <n v="11750"/>
    <x v="0"/>
    <n v="0"/>
    <n v="0"/>
    <n v="12"/>
    <n v="52"/>
    <n v="0"/>
    <n v="269.33999999999997"/>
    <n v="268.89"/>
    <m/>
    <n v="288.99361716746938"/>
    <n v="336.17550926835082"/>
    <n v="0"/>
    <n v="506719.84625999996"/>
    <n v="505873.24370999995"/>
    <n v="0"/>
    <n v="543694.9627282297"/>
    <n v="632460.09643140982"/>
  </r>
  <r>
    <s v="Sistema Isolado - Refaturamento"/>
    <x v="1"/>
    <x v="3"/>
    <x v="6"/>
    <x v="7"/>
    <x v="0"/>
    <x v="0"/>
    <x v="2"/>
    <x v="7"/>
    <n v="0"/>
    <n v="0"/>
    <n v="-1.528"/>
    <n v="-1.528"/>
    <n v="-1.528"/>
    <n v="-1.528"/>
    <n v="-4"/>
    <x v="0"/>
    <n v="0"/>
    <n v="0"/>
    <n v="12"/>
    <n v="52"/>
    <n v="0"/>
    <n v="269.33999999999997"/>
    <n v="268.89"/>
    <m/>
    <n v="288.99361716746938"/>
    <n v="336.17550926835082"/>
    <n v="0"/>
    <n v="-411.55151999999998"/>
    <n v="-410.86392000000001"/>
    <n v="0"/>
    <n v="-441.58224703189325"/>
    <n v="-513.67617816204006"/>
  </r>
  <r>
    <s v="Sistema Isolado - Regular"/>
    <x v="1"/>
    <x v="3"/>
    <x v="6"/>
    <x v="7"/>
    <x v="0"/>
    <x v="0"/>
    <x v="2"/>
    <x v="8"/>
    <n v="0"/>
    <n v="0"/>
    <n v="2822.0010000000002"/>
    <n v="2822.0010000000002"/>
    <n v="2822.0010000000002"/>
    <n v="2822.0010000000002"/>
    <n v="11437"/>
    <x v="0"/>
    <n v="0"/>
    <n v="0"/>
    <n v="12"/>
    <n v="52"/>
    <n v="0"/>
    <n v="269.33999999999997"/>
    <n v="268.89"/>
    <m/>
    <n v="288.99361716746938"/>
    <n v="336.17550926835082"/>
    <n v="0"/>
    <n v="760077.74933999998"/>
    <n v="758807.84889000002"/>
    <n v="0"/>
    <n v="815540.27664021577"/>
    <n v="948687.62333079532"/>
  </r>
  <r>
    <s v="Sistema Isolado - Refaturamento"/>
    <x v="1"/>
    <x v="3"/>
    <x v="6"/>
    <x v="7"/>
    <x v="0"/>
    <x v="0"/>
    <x v="2"/>
    <x v="8"/>
    <n v="0"/>
    <n v="0"/>
    <n v="-1.2849999999999999"/>
    <n v="-1.2849999999999999"/>
    <n v="-1.2849999999999999"/>
    <n v="-1.2849999999999999"/>
    <n v="-4"/>
    <x v="0"/>
    <n v="0"/>
    <n v="0"/>
    <n v="12"/>
    <n v="52"/>
    <n v="0"/>
    <n v="269.33999999999997"/>
    <n v="268.89"/>
    <m/>
    <n v="288.99361716746938"/>
    <n v="336.17550926835082"/>
    <n v="0"/>
    <n v="-346.10189999999994"/>
    <n v="-345.52364999999998"/>
    <n v="0"/>
    <n v="-371.35679806019812"/>
    <n v="-431.9855294098308"/>
  </r>
  <r>
    <s v="Sistema Isolado - Regular"/>
    <x v="1"/>
    <x v="3"/>
    <x v="6"/>
    <x v="7"/>
    <x v="0"/>
    <x v="0"/>
    <x v="2"/>
    <x v="9"/>
    <n v="0"/>
    <n v="0"/>
    <n v="2604.6489999999999"/>
    <n v="2604.6489999999999"/>
    <n v="2604.6489999999999"/>
    <n v="2604.6489999999999"/>
    <n v="13729"/>
    <x v="0"/>
    <n v="0"/>
    <n v="0"/>
    <n v="12"/>
    <n v="52"/>
    <n v="0"/>
    <n v="269.33999999999997"/>
    <n v="268.89"/>
    <m/>
    <n v="288.99361716746938"/>
    <n v="336.17550926835082"/>
    <n v="0"/>
    <n v="701536.16165999987"/>
    <n v="700364.06960999989"/>
    <n v="0"/>
    <n v="752726.93596163194"/>
    <n v="875619.20404030068"/>
  </r>
  <r>
    <s v="Sistema Isolado - Refaturamento"/>
    <x v="1"/>
    <x v="3"/>
    <x v="6"/>
    <x v="7"/>
    <x v="0"/>
    <x v="0"/>
    <x v="2"/>
    <x v="9"/>
    <n v="0"/>
    <n v="0"/>
    <n v="-1002.128"/>
    <n v="-1002.128"/>
    <n v="-1002.128"/>
    <n v="-1002.128"/>
    <n v="-3"/>
    <x v="0"/>
    <n v="0"/>
    <n v="0"/>
    <n v="12"/>
    <n v="52"/>
    <n v="0"/>
    <n v="269.33999999999997"/>
    <n v="268.89"/>
    <m/>
    <n v="288.99361716746938"/>
    <n v="336.17550926835082"/>
    <n v="0"/>
    <n v="-269913.15551999997"/>
    <n v="-269462.19792000001"/>
    <n v="0"/>
    <n v="-289608.59558480175"/>
    <n v="-336890.8907520739"/>
  </r>
  <r>
    <s v="Sistema Isolado - Regular"/>
    <x v="1"/>
    <x v="3"/>
    <x v="6"/>
    <x v="7"/>
    <x v="0"/>
    <x v="0"/>
    <x v="2"/>
    <x v="10"/>
    <n v="0"/>
    <n v="0"/>
    <n v="2634.4989999999998"/>
    <n v="2634.4989999999998"/>
    <n v="2634.4989999999998"/>
    <n v="2634.4989999999998"/>
    <n v="13544"/>
    <x v="0"/>
    <n v="0"/>
    <n v="0"/>
    <n v="12"/>
    <n v="52"/>
    <n v="0"/>
    <n v="269.33999999999997"/>
    <n v="268.89"/>
    <m/>
    <n v="288.99361716746938"/>
    <n v="336.17550926835082"/>
    <n v="0"/>
    <n v="709575.96065999987"/>
    <n v="708390.43610999989"/>
    <n v="0"/>
    <n v="761353.39543408086"/>
    <n v="885654.04299196089"/>
  </r>
  <r>
    <s v="Sistema Isolado - Refaturamento"/>
    <x v="1"/>
    <x v="3"/>
    <x v="6"/>
    <x v="7"/>
    <x v="0"/>
    <x v="0"/>
    <x v="2"/>
    <x v="10"/>
    <n v="0"/>
    <n v="0"/>
    <n v="-2.8319999999999999"/>
    <n v="-2.8319999999999999"/>
    <n v="-2.8319999999999999"/>
    <n v="-2.8319999999999999"/>
    <n v="-5"/>
    <x v="0"/>
    <n v="0"/>
    <n v="0"/>
    <n v="12"/>
    <n v="52"/>
    <n v="0"/>
    <n v="269.33999999999997"/>
    <n v="268.89"/>
    <m/>
    <n v="288.99361716746938"/>
    <n v="336.17550926835082"/>
    <n v="0"/>
    <n v="-762.77087999999992"/>
    <n v="-761.49647999999991"/>
    <n v="0"/>
    <n v="-818.42992381827321"/>
    <n v="-952.04904224796951"/>
  </r>
  <r>
    <s v="PROJETADO"/>
    <x v="1"/>
    <x v="3"/>
    <x v="6"/>
    <x v="7"/>
    <x v="0"/>
    <x v="0"/>
    <x v="2"/>
    <x v="11"/>
    <n v="0"/>
    <n v="0"/>
    <n v="2634.4989999999998"/>
    <n v="2634.4989999999998"/>
    <n v="2634.4989999999998"/>
    <n v="2634.4989999999998"/>
    <n v="13544"/>
    <x v="0"/>
    <n v="0"/>
    <n v="0"/>
    <n v="12"/>
    <n v="52"/>
    <n v="0"/>
    <n v="269.33999999999997"/>
    <n v="268.89"/>
    <m/>
    <n v="288.99361716746938"/>
    <n v="336.17550926835082"/>
    <n v="0"/>
    <n v="709575.96065999987"/>
    <n v="708390.43610999989"/>
    <n v="0"/>
    <n v="761353.39543408086"/>
    <n v="885654.04299196089"/>
  </r>
  <r>
    <s v="PROJETADO"/>
    <x v="1"/>
    <x v="3"/>
    <x v="6"/>
    <x v="7"/>
    <x v="0"/>
    <x v="0"/>
    <x v="2"/>
    <x v="11"/>
    <n v="0"/>
    <n v="0"/>
    <n v="-2.8319999999999999"/>
    <n v="-2.8319999999999999"/>
    <n v="-2.8319999999999999"/>
    <n v="-2.8319999999999999"/>
    <n v="-5"/>
    <x v="0"/>
    <n v="0"/>
    <n v="0"/>
    <n v="12"/>
    <n v="52"/>
    <n v="0"/>
    <n v="269.33999999999997"/>
    <n v="268.89"/>
    <m/>
    <n v="288.99361716746938"/>
    <n v="336.17550926835082"/>
    <n v="0"/>
    <n v="-762.77087999999992"/>
    <n v="-761.49647999999991"/>
    <n v="0"/>
    <n v="-818.42992381827321"/>
    <n v="-952.04904224796951"/>
  </r>
  <r>
    <s v="Sistema Isolado - Regular"/>
    <x v="2"/>
    <x v="2"/>
    <x v="5"/>
    <x v="0"/>
    <x v="0"/>
    <x v="0"/>
    <x v="0"/>
    <x v="0"/>
    <n v="0"/>
    <n v="0"/>
    <n v="0.129"/>
    <n v="0.129"/>
    <n v="0.129"/>
    <n v="0.129"/>
    <n v="0"/>
    <x v="0"/>
    <n v="0"/>
    <n v="0"/>
    <n v="70"/>
    <n v="69"/>
    <n v="0"/>
    <n v="212.32"/>
    <n v="223.44"/>
    <m/>
    <n v="241.78758407829528"/>
    <n v="298.34420421092244"/>
    <n v="0"/>
    <n v="27.389279999999999"/>
    <n v="28.82376"/>
    <n v="0"/>
    <n v="31.190598346100092"/>
    <n v="38.486402343208994"/>
  </r>
  <r>
    <s v="Sistema Isolado - Regular"/>
    <x v="2"/>
    <x v="2"/>
    <x v="5"/>
    <x v="0"/>
    <x v="0"/>
    <x v="0"/>
    <x v="0"/>
    <x v="1"/>
    <n v="0"/>
    <n v="0"/>
    <n v="0.115"/>
    <n v="0.115"/>
    <n v="0.115"/>
    <n v="0.115"/>
    <n v="0"/>
    <x v="0"/>
    <n v="0"/>
    <n v="0"/>
    <n v="70"/>
    <n v="69"/>
    <n v="0"/>
    <n v="212.32"/>
    <n v="223.44"/>
    <m/>
    <n v="241.78758407829528"/>
    <n v="298.34420421092244"/>
    <n v="0"/>
    <n v="24.416799999999999"/>
    <n v="25.695600000000002"/>
    <n v="0"/>
    <n v="27.805572169003959"/>
    <n v="34.309583484256081"/>
  </r>
  <r>
    <s v="Sistema Isolado - Regular"/>
    <x v="2"/>
    <x v="2"/>
    <x v="5"/>
    <x v="0"/>
    <x v="0"/>
    <x v="0"/>
    <x v="0"/>
    <x v="2"/>
    <n v="0"/>
    <n v="0"/>
    <n v="0.17699999999999999"/>
    <n v="0.17699999999999999"/>
    <n v="0.17699999999999999"/>
    <n v="0.17699999999999999"/>
    <n v="0"/>
    <x v="0"/>
    <n v="0"/>
    <n v="0"/>
    <n v="70"/>
    <n v="69"/>
    <n v="0"/>
    <n v="212.32"/>
    <n v="223.44"/>
    <m/>
    <n v="241.78758407829528"/>
    <n v="298.34420421092244"/>
    <n v="0"/>
    <n v="37.580639999999995"/>
    <n v="39.548879999999997"/>
    <n v="0"/>
    <n v="42.796402381858265"/>
    <n v="52.806924145333269"/>
  </r>
  <r>
    <s v="Sistema Isolado - Regular"/>
    <x v="2"/>
    <x v="2"/>
    <x v="5"/>
    <x v="0"/>
    <x v="0"/>
    <x v="0"/>
    <x v="0"/>
    <x v="3"/>
    <n v="0"/>
    <n v="0"/>
    <n v="0.13400000000000001"/>
    <n v="0.13400000000000001"/>
    <n v="0.13400000000000001"/>
    <n v="0.13400000000000001"/>
    <n v="0"/>
    <x v="0"/>
    <n v="0"/>
    <n v="0"/>
    <n v="70"/>
    <n v="69"/>
    <n v="0"/>
    <n v="212.32"/>
    <n v="223.44"/>
    <m/>
    <n v="241.78758407829528"/>
    <n v="298.34420421092244"/>
    <n v="0"/>
    <n v="28.450880000000002"/>
    <n v="29.94096"/>
    <n v="0"/>
    <n v="32.399536266491573"/>
    <n v="39.97812336426361"/>
  </r>
  <r>
    <s v="Sistema Isolado - Regular"/>
    <x v="2"/>
    <x v="2"/>
    <x v="5"/>
    <x v="0"/>
    <x v="0"/>
    <x v="0"/>
    <x v="0"/>
    <x v="4"/>
    <n v="0"/>
    <n v="0"/>
    <n v="0.11700000000000001"/>
    <n v="0.11700000000000001"/>
    <n v="0.11700000000000001"/>
    <n v="0.11700000000000001"/>
    <n v="0"/>
    <x v="0"/>
    <n v="0"/>
    <n v="0"/>
    <n v="70"/>
    <n v="69"/>
    <n v="0"/>
    <n v="212.32"/>
    <n v="223.44"/>
    <m/>
    <n v="241.78758407829528"/>
    <n v="298.34420421092244"/>
    <n v="0"/>
    <n v="24.841440000000002"/>
    <n v="26.142480000000003"/>
    <n v="0"/>
    <n v="28.28914733716055"/>
    <n v="34.906271892677928"/>
  </r>
  <r>
    <s v="Sistema Isolado - Regular"/>
    <x v="2"/>
    <x v="2"/>
    <x v="5"/>
    <x v="0"/>
    <x v="0"/>
    <x v="0"/>
    <x v="0"/>
    <x v="5"/>
    <n v="0"/>
    <n v="0"/>
    <n v="0.11700000000000001"/>
    <n v="0.11700000000000001"/>
    <n v="0.11700000000000001"/>
    <n v="0.11700000000000001"/>
    <n v="0"/>
    <x v="0"/>
    <n v="0"/>
    <n v="0"/>
    <n v="70"/>
    <n v="69"/>
    <n v="0"/>
    <n v="212.32"/>
    <n v="223.44"/>
    <m/>
    <n v="241.78758407829528"/>
    <n v="298.34420421092244"/>
    <n v="0"/>
    <n v="24.841440000000002"/>
    <n v="26.142480000000003"/>
    <n v="0"/>
    <n v="28.28914733716055"/>
    <n v="34.906271892677928"/>
  </r>
  <r>
    <s v="Sistema Isolado - Regular"/>
    <x v="2"/>
    <x v="2"/>
    <x v="5"/>
    <x v="0"/>
    <x v="0"/>
    <x v="0"/>
    <x v="0"/>
    <x v="6"/>
    <n v="0"/>
    <n v="0"/>
    <n v="0.127"/>
    <n v="0.127"/>
    <n v="0.127"/>
    <n v="0.127"/>
    <n v="0"/>
    <x v="0"/>
    <n v="0"/>
    <n v="0"/>
    <n v="70"/>
    <n v="69"/>
    <n v="0"/>
    <n v="212.32"/>
    <n v="223.44"/>
    <m/>
    <n v="241.78758407829528"/>
    <n v="298.34420421092244"/>
    <n v="0"/>
    <n v="26.964639999999999"/>
    <n v="28.37688"/>
    <n v="0"/>
    <n v="30.707023177943501"/>
    <n v="37.889713934787153"/>
  </r>
  <r>
    <s v="Sistema Isolado - Regular"/>
    <x v="2"/>
    <x v="2"/>
    <x v="5"/>
    <x v="0"/>
    <x v="0"/>
    <x v="0"/>
    <x v="3"/>
    <x v="0"/>
    <n v="0"/>
    <n v="0"/>
    <n v="0.01"/>
    <n v="0.01"/>
    <n v="0.01"/>
    <n v="0.01"/>
    <n v="0"/>
    <x v="0"/>
    <n v="0"/>
    <n v="0"/>
    <n v="22"/>
    <n v="47"/>
    <n v="0"/>
    <n v="431.37"/>
    <n v="223.44"/>
    <m/>
    <n v="545.53806737775699"/>
    <n v="298.34420421092244"/>
    <n v="0"/>
    <n v="4.3136999999999999"/>
    <n v="2.2343999999999999"/>
    <n v="0"/>
    <n v="5.4553806737775696"/>
    <n v="2.9834420421092247"/>
  </r>
  <r>
    <s v="Sistema Isolado - Regular"/>
    <x v="2"/>
    <x v="2"/>
    <x v="5"/>
    <x v="0"/>
    <x v="0"/>
    <x v="0"/>
    <x v="3"/>
    <x v="1"/>
    <n v="0"/>
    <n v="0"/>
    <n v="8.9999999999999993E-3"/>
    <n v="8.9999999999999993E-3"/>
    <n v="8.9999999999999993E-3"/>
    <n v="8.9999999999999993E-3"/>
    <n v="0"/>
    <x v="0"/>
    <n v="0"/>
    <n v="0"/>
    <n v="22"/>
    <n v="47"/>
    <n v="0"/>
    <n v="431.37"/>
    <n v="223.44"/>
    <m/>
    <n v="545.53806737775699"/>
    <n v="298.34420421092244"/>
    <n v="0"/>
    <n v="3.8823299999999996"/>
    <n v="2.0109599999999999"/>
    <n v="0"/>
    <n v="4.9098426063998124"/>
    <n v="2.6850978378983017"/>
  </r>
  <r>
    <s v="Sistema Isolado - Regular"/>
    <x v="2"/>
    <x v="2"/>
    <x v="5"/>
    <x v="0"/>
    <x v="0"/>
    <x v="0"/>
    <x v="3"/>
    <x v="2"/>
    <n v="0"/>
    <n v="0"/>
    <n v="1.2999999999999999E-2"/>
    <n v="1.2999999999999999E-2"/>
    <n v="1.2999999999999999E-2"/>
    <n v="1.2999999999999999E-2"/>
    <n v="0"/>
    <x v="0"/>
    <n v="0"/>
    <n v="0"/>
    <n v="22"/>
    <n v="47"/>
    <n v="0"/>
    <n v="431.37"/>
    <n v="223.44"/>
    <m/>
    <n v="545.53806737775699"/>
    <n v="298.34420421092244"/>
    <n v="0"/>
    <n v="5.6078099999999997"/>
    <n v="2.9047199999999997"/>
    <n v="0"/>
    <n v="7.0919948759108404"/>
    <n v="3.8784746547419915"/>
  </r>
  <r>
    <s v="Sistema Isolado - Regular"/>
    <x v="2"/>
    <x v="2"/>
    <x v="5"/>
    <x v="0"/>
    <x v="0"/>
    <x v="0"/>
    <x v="3"/>
    <x v="3"/>
    <n v="0"/>
    <n v="0"/>
    <n v="1.2E-2"/>
    <n v="1.2E-2"/>
    <n v="1.2E-2"/>
    <n v="1.2E-2"/>
    <n v="0"/>
    <x v="0"/>
    <n v="0"/>
    <n v="0"/>
    <n v="22"/>
    <n v="47"/>
    <n v="0"/>
    <n v="431.37"/>
    <n v="223.44"/>
    <m/>
    <n v="545.53806737775699"/>
    <n v="298.34420421092244"/>
    <n v="0"/>
    <n v="5.1764400000000004"/>
    <n v="2.6812800000000001"/>
    <n v="0"/>
    <n v="6.5464568085330841"/>
    <n v="3.5801304505310694"/>
  </r>
  <r>
    <s v="Sistema Isolado - Regular"/>
    <x v="2"/>
    <x v="2"/>
    <x v="5"/>
    <x v="0"/>
    <x v="0"/>
    <x v="0"/>
    <x v="3"/>
    <x v="4"/>
    <n v="0"/>
    <n v="0"/>
    <n v="0.01"/>
    <n v="0.01"/>
    <n v="0.01"/>
    <n v="0.01"/>
    <n v="0"/>
    <x v="0"/>
    <n v="0"/>
    <n v="0"/>
    <n v="22"/>
    <n v="47"/>
    <n v="0"/>
    <n v="431.37"/>
    <n v="223.44"/>
    <m/>
    <n v="545.53806737775699"/>
    <n v="298.34420421092244"/>
    <n v="0"/>
    <n v="4.3136999999999999"/>
    <n v="2.2343999999999999"/>
    <n v="0"/>
    <n v="5.4553806737775696"/>
    <n v="2.9834420421092247"/>
  </r>
  <r>
    <s v="Sistema Isolado - Regular"/>
    <x v="2"/>
    <x v="2"/>
    <x v="5"/>
    <x v="0"/>
    <x v="0"/>
    <x v="0"/>
    <x v="3"/>
    <x v="5"/>
    <n v="0"/>
    <n v="0"/>
    <n v="0.01"/>
    <n v="0.01"/>
    <n v="0.01"/>
    <n v="0.01"/>
    <n v="0"/>
    <x v="0"/>
    <n v="0"/>
    <n v="0"/>
    <n v="22"/>
    <n v="47"/>
    <n v="0"/>
    <n v="431.37"/>
    <n v="223.44"/>
    <m/>
    <n v="545.53806737775699"/>
    <n v="298.34420421092244"/>
    <n v="0"/>
    <n v="4.3136999999999999"/>
    <n v="2.2343999999999999"/>
    <n v="0"/>
    <n v="5.4553806737775696"/>
    <n v="2.9834420421092247"/>
  </r>
  <r>
    <s v="Sistema Isolado - Regular"/>
    <x v="2"/>
    <x v="2"/>
    <x v="5"/>
    <x v="0"/>
    <x v="0"/>
    <x v="0"/>
    <x v="3"/>
    <x v="6"/>
    <n v="0"/>
    <n v="0"/>
    <n v="1.0999999999999999E-2"/>
    <n v="1.0999999999999999E-2"/>
    <n v="1.0999999999999999E-2"/>
    <n v="1.0999999999999999E-2"/>
    <n v="0"/>
    <x v="0"/>
    <n v="0"/>
    <n v="0"/>
    <n v="22"/>
    <n v="47"/>
    <n v="0"/>
    <n v="431.37"/>
    <n v="223.44"/>
    <m/>
    <n v="545.53806737775699"/>
    <n v="298.34420421092244"/>
    <n v="0"/>
    <n v="4.7450700000000001"/>
    <n v="2.45784"/>
    <n v="0"/>
    <n v="6.0009187411553269"/>
    <n v="3.2817862463201468"/>
  </r>
  <r>
    <s v="Sistema Isolado - Regular"/>
    <x v="2"/>
    <x v="2"/>
    <x v="5"/>
    <x v="0"/>
    <x v="0"/>
    <x v="0"/>
    <x v="1"/>
    <x v="0"/>
    <n v="0"/>
    <n v="0"/>
    <n v="1.4999999999999999E-2"/>
    <n v="1.4999999999999999E-2"/>
    <n v="1.4999999999999999E-2"/>
    <n v="1.4999999999999999E-2"/>
    <n v="0"/>
    <x v="0"/>
    <n v="0"/>
    <n v="0"/>
    <n v="14"/>
    <n v="62"/>
    <n v="0"/>
    <n v="650.42999999999995"/>
    <n v="381.72"/>
    <m/>
    <n v="849.28855067721861"/>
    <n v="510.27349822685011"/>
    <n v="0"/>
    <n v="9.7564499999999992"/>
    <n v="5.7258000000000004"/>
    <n v="0"/>
    <n v="12.739328260158279"/>
    <n v="7.6541024734027516"/>
  </r>
  <r>
    <s v="Sistema Isolado - Regular"/>
    <x v="2"/>
    <x v="2"/>
    <x v="5"/>
    <x v="0"/>
    <x v="0"/>
    <x v="0"/>
    <x v="1"/>
    <x v="1"/>
    <n v="0"/>
    <n v="0"/>
    <n v="1.2999999999999999E-2"/>
    <n v="1.2999999999999999E-2"/>
    <n v="1.2999999999999999E-2"/>
    <n v="1.2999999999999999E-2"/>
    <n v="0"/>
    <x v="0"/>
    <n v="0"/>
    <n v="0"/>
    <n v="14"/>
    <n v="62"/>
    <n v="0"/>
    <n v="650.42999999999995"/>
    <n v="381.72"/>
    <m/>
    <n v="849.28855067721861"/>
    <n v="510.27349822685011"/>
    <n v="0"/>
    <n v="8.4555899999999991"/>
    <n v="4.9623600000000003"/>
    <n v="0"/>
    <n v="11.040751158803841"/>
    <n v="6.6335554769490512"/>
  </r>
  <r>
    <s v="Sistema Isolado - Regular"/>
    <x v="2"/>
    <x v="2"/>
    <x v="5"/>
    <x v="0"/>
    <x v="0"/>
    <x v="0"/>
    <x v="1"/>
    <x v="2"/>
    <n v="0"/>
    <n v="0"/>
    <n v="1.9E-2"/>
    <n v="1.9E-2"/>
    <n v="1.9E-2"/>
    <n v="1.9E-2"/>
    <n v="0"/>
    <x v="0"/>
    <n v="0"/>
    <n v="0"/>
    <n v="14"/>
    <n v="62"/>
    <n v="0"/>
    <n v="650.42999999999995"/>
    <n v="381.72"/>
    <m/>
    <n v="849.28855067721861"/>
    <n v="510.27349822685011"/>
    <n v="0"/>
    <n v="12.358169999999999"/>
    <n v="7.2526800000000007"/>
    <n v="0"/>
    <n v="16.136482462867153"/>
    <n v="9.6951964663101524"/>
  </r>
  <r>
    <s v="Sistema Isolado - Regular"/>
    <x v="2"/>
    <x v="2"/>
    <x v="5"/>
    <x v="0"/>
    <x v="0"/>
    <x v="0"/>
    <x v="1"/>
    <x v="3"/>
    <n v="0"/>
    <n v="0"/>
    <n v="1.7999999999999999E-2"/>
    <n v="1.7999999999999999E-2"/>
    <n v="1.7999999999999999E-2"/>
    <n v="1.7999999999999999E-2"/>
    <n v="0"/>
    <x v="0"/>
    <n v="0"/>
    <n v="0"/>
    <n v="14"/>
    <n v="62"/>
    <n v="0"/>
    <n v="650.42999999999995"/>
    <n v="381.72"/>
    <m/>
    <n v="849.28855067721861"/>
    <n v="510.27349822685011"/>
    <n v="0"/>
    <n v="11.707739999999998"/>
    <n v="6.8709600000000002"/>
    <n v="0"/>
    <n v="15.287193912189935"/>
    <n v="9.1849229680833009"/>
  </r>
  <r>
    <s v="Sistema Isolado - Regular"/>
    <x v="2"/>
    <x v="2"/>
    <x v="5"/>
    <x v="0"/>
    <x v="0"/>
    <x v="0"/>
    <x v="1"/>
    <x v="4"/>
    <n v="0"/>
    <n v="0"/>
    <n v="1.4999999999999999E-2"/>
    <n v="1.4999999999999999E-2"/>
    <n v="1.4999999999999999E-2"/>
    <n v="1.4999999999999999E-2"/>
    <n v="0"/>
    <x v="0"/>
    <n v="0"/>
    <n v="0"/>
    <n v="14"/>
    <n v="62"/>
    <n v="0"/>
    <n v="650.42999999999995"/>
    <n v="381.72"/>
    <m/>
    <n v="849.28855067721861"/>
    <n v="510.27349822685011"/>
    <n v="0"/>
    <n v="9.7564499999999992"/>
    <n v="5.7258000000000004"/>
    <n v="0"/>
    <n v="12.739328260158279"/>
    <n v="7.6541024734027516"/>
  </r>
  <r>
    <s v="Sistema Isolado - Regular"/>
    <x v="2"/>
    <x v="2"/>
    <x v="5"/>
    <x v="0"/>
    <x v="0"/>
    <x v="0"/>
    <x v="1"/>
    <x v="5"/>
    <n v="0"/>
    <n v="0"/>
    <n v="1.4999999999999999E-2"/>
    <n v="1.4999999999999999E-2"/>
    <n v="1.4999999999999999E-2"/>
    <n v="1.4999999999999999E-2"/>
    <n v="0"/>
    <x v="0"/>
    <n v="0"/>
    <n v="0"/>
    <n v="14"/>
    <n v="62"/>
    <n v="0"/>
    <n v="650.42999999999995"/>
    <n v="381.72"/>
    <m/>
    <n v="849.28855067721861"/>
    <n v="510.27349822685011"/>
    <n v="0"/>
    <n v="9.7564499999999992"/>
    <n v="5.7258000000000004"/>
    <n v="0"/>
    <n v="12.739328260158279"/>
    <n v="7.6541024734027516"/>
  </r>
  <r>
    <s v="Sistema Isolado - Regular"/>
    <x v="2"/>
    <x v="2"/>
    <x v="5"/>
    <x v="0"/>
    <x v="0"/>
    <x v="0"/>
    <x v="1"/>
    <x v="6"/>
    <n v="0"/>
    <n v="0"/>
    <n v="1.7000000000000001E-2"/>
    <n v="1.7000000000000001E-2"/>
    <n v="1.7000000000000001E-2"/>
    <n v="1.7000000000000001E-2"/>
    <n v="0"/>
    <x v="0"/>
    <n v="0"/>
    <n v="0"/>
    <n v="14"/>
    <n v="62"/>
    <n v="0"/>
    <n v="650.42999999999995"/>
    <n v="381.72"/>
    <m/>
    <n v="849.28855067721861"/>
    <n v="510.27349822685011"/>
    <n v="0"/>
    <n v="11.057309999999999"/>
    <n v="6.4892400000000006"/>
    <n v="0"/>
    <n v="14.437905361512717"/>
    <n v="8.6746494698564529"/>
  </r>
  <r>
    <s v="Sistema Isolado - Regular"/>
    <x v="2"/>
    <x v="3"/>
    <x v="5"/>
    <x v="2"/>
    <x v="2"/>
    <x v="0"/>
    <x v="2"/>
    <x v="0"/>
    <n v="0"/>
    <n v="0"/>
    <n v="33.698999999999998"/>
    <n v="33.698999999999998"/>
    <n v="33.698999999999998"/>
    <n v="33.698999999999998"/>
    <n v="0"/>
    <x v="0"/>
    <n v="0"/>
    <n v="0"/>
    <n v="45"/>
    <n v="77"/>
    <n v="0"/>
    <n v="273.93"/>
    <n v="236.63"/>
    <m/>
    <n v="327.21833837526083"/>
    <n v="316.00497871224974"/>
    <n v="0"/>
    <n v="9231.1670699999995"/>
    <n v="7974.1943699999993"/>
    <n v="0"/>
    <n v="11026.930784907914"/>
    <n v="10649.051777624103"/>
  </r>
  <r>
    <s v="Sistema Isolado - Regular"/>
    <x v="2"/>
    <x v="3"/>
    <x v="5"/>
    <x v="2"/>
    <x v="2"/>
    <x v="0"/>
    <x v="2"/>
    <x v="1"/>
    <n v="0"/>
    <n v="0"/>
    <n v="27.946999999999999"/>
    <n v="27.946999999999999"/>
    <n v="27.946999999999999"/>
    <n v="27.946999999999999"/>
    <n v="0"/>
    <x v="0"/>
    <n v="0"/>
    <n v="0"/>
    <n v="45"/>
    <n v="77"/>
    <n v="0"/>
    <n v="273.93"/>
    <n v="236.63"/>
    <m/>
    <n v="327.21833837526083"/>
    <n v="316.00497871224974"/>
    <n v="0"/>
    <n v="7655.52171"/>
    <n v="6613.09861"/>
    <n v="0"/>
    <n v="9144.7709025734148"/>
    <n v="8831.3911400712423"/>
  </r>
  <r>
    <s v="Sistema Isolado - Regular"/>
    <x v="2"/>
    <x v="3"/>
    <x v="5"/>
    <x v="2"/>
    <x v="2"/>
    <x v="0"/>
    <x v="2"/>
    <x v="2"/>
    <n v="0"/>
    <n v="0"/>
    <n v="52.139000000000003"/>
    <n v="52.139000000000003"/>
    <n v="52.139000000000003"/>
    <n v="52.139000000000003"/>
    <n v="0"/>
    <x v="0"/>
    <n v="0"/>
    <n v="0"/>
    <n v="45"/>
    <n v="77"/>
    <n v="0"/>
    <n v="273.93"/>
    <n v="236.63"/>
    <m/>
    <n v="327.21833837526083"/>
    <n v="316.00497871224974"/>
    <n v="0"/>
    <n v="14282.436270000002"/>
    <n v="12337.65157"/>
    <n v="0"/>
    <n v="17060.836944547726"/>
    <n v="16476.18358507799"/>
  </r>
  <r>
    <s v="Sistema Isolado - Regular"/>
    <x v="2"/>
    <x v="3"/>
    <x v="5"/>
    <x v="2"/>
    <x v="2"/>
    <x v="0"/>
    <x v="2"/>
    <x v="3"/>
    <n v="0"/>
    <n v="0"/>
    <n v="56.188000000000002"/>
    <n v="56.188000000000002"/>
    <n v="56.188000000000002"/>
    <n v="56.188000000000002"/>
    <n v="0"/>
    <x v="0"/>
    <n v="0"/>
    <n v="0"/>
    <n v="45"/>
    <n v="77"/>
    <n v="0"/>
    <n v="273.93"/>
    <n v="236.63"/>
    <m/>
    <n v="327.21833837526083"/>
    <n v="316.00497871224974"/>
    <n v="0"/>
    <n v="15391.578840000002"/>
    <n v="13295.766439999999"/>
    <n v="0"/>
    <n v="18385.743996629157"/>
    <n v="17755.687743883889"/>
  </r>
  <r>
    <s v="Sistema Isolado - Regular"/>
    <x v="2"/>
    <x v="3"/>
    <x v="5"/>
    <x v="2"/>
    <x v="2"/>
    <x v="0"/>
    <x v="2"/>
    <x v="4"/>
    <n v="0"/>
    <n v="0"/>
    <n v="23.486000000000001"/>
    <n v="23.486000000000001"/>
    <n v="23.486000000000001"/>
    <n v="23.486000000000001"/>
    <n v="0"/>
    <x v="0"/>
    <n v="0"/>
    <n v="0"/>
    <n v="45"/>
    <n v="77"/>
    <n v="0"/>
    <n v="273.93"/>
    <n v="236.63"/>
    <m/>
    <n v="327.21833837526083"/>
    <n v="316.00497871224974"/>
    <n v="0"/>
    <n v="6433.51998"/>
    <n v="5557.4921800000002"/>
    <n v="0"/>
    <n v="7685.0498950813762"/>
    <n v="7421.6929300358979"/>
  </r>
  <r>
    <s v="Sistema Isolado - Refaturamento"/>
    <x v="2"/>
    <x v="3"/>
    <x v="5"/>
    <x v="2"/>
    <x v="2"/>
    <x v="0"/>
    <x v="2"/>
    <x v="4"/>
    <n v="0"/>
    <n v="0"/>
    <n v="-7.391"/>
    <n v="-7.391"/>
    <n v="-7.391"/>
    <n v="-7.391"/>
    <n v="0"/>
    <x v="0"/>
    <n v="0"/>
    <n v="0"/>
    <n v="45"/>
    <n v="77"/>
    <n v="0"/>
    <n v="273.93"/>
    <n v="236.63"/>
    <m/>
    <n v="327.21833837526083"/>
    <n v="316.00497871224974"/>
    <n v="0"/>
    <n v="-2024.61663"/>
    <n v="-1748.9323299999999"/>
    <n v="0"/>
    <n v="-2418.4707389315527"/>
    <n v="-2335.5927976622379"/>
  </r>
  <r>
    <s v="Sistema Isolado - Regular"/>
    <x v="2"/>
    <x v="3"/>
    <x v="5"/>
    <x v="2"/>
    <x v="2"/>
    <x v="0"/>
    <x v="2"/>
    <x v="5"/>
    <n v="0"/>
    <n v="0"/>
    <n v="23.486000000000001"/>
    <n v="23.486000000000001"/>
    <n v="23.486000000000001"/>
    <n v="23.486000000000001"/>
    <n v="0"/>
    <x v="0"/>
    <n v="0"/>
    <n v="0"/>
    <n v="45"/>
    <n v="77"/>
    <n v="0"/>
    <n v="273.93"/>
    <n v="236.63"/>
    <m/>
    <n v="327.21833837526083"/>
    <n v="316.00497871224974"/>
    <n v="0"/>
    <n v="6433.51998"/>
    <n v="5557.4921800000002"/>
    <n v="0"/>
    <n v="7685.0498950813762"/>
    <n v="7421.6929300358979"/>
  </r>
  <r>
    <s v="Sistema Isolado - Refaturamento"/>
    <x v="2"/>
    <x v="3"/>
    <x v="5"/>
    <x v="2"/>
    <x v="2"/>
    <x v="0"/>
    <x v="2"/>
    <x v="5"/>
    <n v="0"/>
    <n v="0"/>
    <n v="-7.391"/>
    <n v="-7.391"/>
    <n v="-7.391"/>
    <n v="-7.391"/>
    <n v="0"/>
    <x v="0"/>
    <n v="0"/>
    <n v="0"/>
    <n v="45"/>
    <n v="77"/>
    <n v="0"/>
    <n v="273.93"/>
    <n v="236.63"/>
    <m/>
    <n v="327.21833837526083"/>
    <n v="316.00497871224974"/>
    <n v="0"/>
    <n v="-2024.61663"/>
    <n v="-1748.9323299999999"/>
    <n v="0"/>
    <n v="-2418.4707389315527"/>
    <n v="-2335.5927976622379"/>
  </r>
  <r>
    <s v="Sistema Isolado - Regular"/>
    <x v="2"/>
    <x v="3"/>
    <x v="5"/>
    <x v="2"/>
    <x v="2"/>
    <x v="0"/>
    <x v="2"/>
    <x v="6"/>
    <n v="0"/>
    <n v="0"/>
    <n v="12.192"/>
    <n v="12.192"/>
    <n v="12.192"/>
    <n v="12.192"/>
    <n v="0"/>
    <x v="0"/>
    <n v="0"/>
    <n v="0"/>
    <n v="45"/>
    <n v="77"/>
    <n v="0"/>
    <n v="273.93"/>
    <n v="236.63"/>
    <m/>
    <n v="327.21833837526083"/>
    <n v="316.00497871224974"/>
    <n v="0"/>
    <n v="3339.7545600000003"/>
    <n v="2884.99296"/>
    <n v="0"/>
    <n v="3989.4459814711799"/>
    <n v="3852.7327004597487"/>
  </r>
  <r>
    <s v="Sistema Isolado - Refaturamento"/>
    <x v="2"/>
    <x v="3"/>
    <x v="5"/>
    <x v="2"/>
    <x v="2"/>
    <x v="0"/>
    <x v="2"/>
    <x v="6"/>
    <n v="0"/>
    <n v="0"/>
    <n v="-18.808"/>
    <n v="-18.808"/>
    <n v="-18.808"/>
    <n v="-18.808"/>
    <n v="0"/>
    <x v="0"/>
    <n v="0"/>
    <n v="0"/>
    <n v="45"/>
    <n v="77"/>
    <n v="0"/>
    <n v="273.93"/>
    <n v="236.63"/>
    <m/>
    <n v="327.21833837526083"/>
    <n v="316.00497871224974"/>
    <n v="0"/>
    <n v="-5152.0754400000005"/>
    <n v="-4450.5370400000002"/>
    <n v="0"/>
    <n v="-6154.3225081619057"/>
    <n v="-5943.4216396199927"/>
  </r>
  <r>
    <s v="Sistema Isolado - Regular"/>
    <x v="2"/>
    <x v="3"/>
    <x v="5"/>
    <x v="2"/>
    <x v="2"/>
    <x v="0"/>
    <x v="2"/>
    <x v="7"/>
    <n v="0"/>
    <n v="0"/>
    <n v="8.4719999999999995"/>
    <n v="8.4719999999999995"/>
    <n v="8.4719999999999995"/>
    <n v="8.4719999999999995"/>
    <n v="0"/>
    <x v="0"/>
    <n v="0"/>
    <n v="0"/>
    <n v="45"/>
    <n v="77"/>
    <n v="0"/>
    <n v="273.93"/>
    <n v="236.63"/>
    <m/>
    <n v="327.21833837526083"/>
    <n v="316.00497871224974"/>
    <n v="0"/>
    <n v="2320.7349599999998"/>
    <n v="2004.7293599999998"/>
    <n v="0"/>
    <n v="2772.1937627152097"/>
    <n v="2677.1941796501796"/>
  </r>
  <r>
    <s v="Sistema Isolado - Refaturamento"/>
    <x v="2"/>
    <x v="3"/>
    <x v="5"/>
    <x v="2"/>
    <x v="2"/>
    <x v="0"/>
    <x v="2"/>
    <x v="7"/>
    <n v="0"/>
    <n v="0"/>
    <n v="-1.696"/>
    <n v="-1.696"/>
    <n v="-1.696"/>
    <n v="-1.696"/>
    <n v="0"/>
    <x v="0"/>
    <n v="0"/>
    <n v="0"/>
    <n v="45"/>
    <n v="77"/>
    <n v="0"/>
    <n v="273.93"/>
    <n v="236.63"/>
    <m/>
    <n v="327.21833837526083"/>
    <n v="316.00497871224974"/>
    <n v="0"/>
    <n v="-464.58528000000001"/>
    <n v="-401.32447999999999"/>
    <n v="0"/>
    <n v="-554.96230188444235"/>
    <n v="-535.9444438959755"/>
  </r>
  <r>
    <s v="Sistema Isolado - Regular"/>
    <x v="2"/>
    <x v="3"/>
    <x v="5"/>
    <x v="2"/>
    <x v="2"/>
    <x v="0"/>
    <x v="2"/>
    <x v="8"/>
    <n v="0"/>
    <n v="0"/>
    <n v="7.734"/>
    <n v="7.734"/>
    <n v="7.734"/>
    <n v="7.734"/>
    <n v="0"/>
    <x v="0"/>
    <n v="0"/>
    <n v="0"/>
    <n v="45"/>
    <n v="77"/>
    <n v="0"/>
    <n v="273.93"/>
    <n v="236.63"/>
    <m/>
    <n v="327.21833837526083"/>
    <n v="316.00497871224974"/>
    <n v="0"/>
    <n v="2118.5746199999999"/>
    <n v="1830.0964199999999"/>
    <n v="0"/>
    <n v="2530.7066289942672"/>
    <n v="2443.9825053605396"/>
  </r>
  <r>
    <s v="Sistema Isolado - Regular"/>
    <x v="2"/>
    <x v="3"/>
    <x v="5"/>
    <x v="2"/>
    <x v="2"/>
    <x v="0"/>
    <x v="2"/>
    <x v="9"/>
    <n v="0"/>
    <n v="0"/>
    <n v="11.044"/>
    <n v="11.044"/>
    <n v="11.044"/>
    <n v="11.044"/>
    <n v="0"/>
    <x v="0"/>
    <n v="0"/>
    <n v="0"/>
    <n v="45"/>
    <n v="77"/>
    <n v="0"/>
    <n v="273.93"/>
    <n v="236.63"/>
    <m/>
    <n v="327.21833837526083"/>
    <n v="316.00497871224974"/>
    <n v="0"/>
    <n v="3025.2829200000001"/>
    <n v="2613.3417199999999"/>
    <n v="0"/>
    <n v="3613.7993290163809"/>
    <n v="3489.9589848980863"/>
  </r>
  <r>
    <s v="Sistema Isolado - Regular"/>
    <x v="2"/>
    <x v="3"/>
    <x v="5"/>
    <x v="2"/>
    <x v="2"/>
    <x v="0"/>
    <x v="2"/>
    <x v="10"/>
    <n v="0"/>
    <n v="0"/>
    <n v="24.166"/>
    <n v="24.166"/>
    <n v="24.166"/>
    <n v="24.166"/>
    <n v="0"/>
    <x v="0"/>
    <n v="0"/>
    <n v="0"/>
    <n v="45"/>
    <n v="77"/>
    <n v="0"/>
    <n v="273.93"/>
    <n v="236.63"/>
    <m/>
    <n v="327.21833837526083"/>
    <n v="316.00497871224974"/>
    <n v="0"/>
    <n v="6619.7923799999999"/>
    <n v="5718.4005799999995"/>
    <n v="0"/>
    <n v="7907.5583651765537"/>
    <n v="7636.5763155602272"/>
  </r>
  <r>
    <s v="Sistema Isolado - Refaturamento"/>
    <x v="2"/>
    <x v="3"/>
    <x v="5"/>
    <x v="2"/>
    <x v="2"/>
    <x v="0"/>
    <x v="2"/>
    <x v="10"/>
    <n v="0"/>
    <n v="0"/>
    <n v="8.843"/>
    <n v="8.843"/>
    <n v="8.843"/>
    <n v="8.843"/>
    <n v="0"/>
    <x v="0"/>
    <n v="0"/>
    <n v="0"/>
    <n v="45"/>
    <n v="77"/>
    <n v="0"/>
    <n v="273.93"/>
    <n v="236.63"/>
    <m/>
    <n v="327.21833837526083"/>
    <n v="316.00497871224974"/>
    <n v="0"/>
    <n v="2422.3629900000001"/>
    <n v="2092.5190899999998"/>
    <n v="0"/>
    <n v="2893.5917662524316"/>
    <n v="2794.4320267524245"/>
  </r>
  <r>
    <s v="PROJETADO"/>
    <x v="2"/>
    <x v="3"/>
    <x v="5"/>
    <x v="2"/>
    <x v="2"/>
    <x v="0"/>
    <x v="2"/>
    <x v="11"/>
    <n v="0"/>
    <n v="0"/>
    <n v="24.166"/>
    <n v="24.166"/>
    <n v="24.166"/>
    <n v="24.166"/>
    <n v="0"/>
    <x v="0"/>
    <n v="0"/>
    <n v="0"/>
    <n v="45"/>
    <n v="77"/>
    <n v="0"/>
    <n v="273.93"/>
    <n v="236.63"/>
    <m/>
    <n v="327.21833837526083"/>
    <n v="316.00497871224974"/>
    <n v="0"/>
    <n v="6619.7923799999999"/>
    <n v="5718.4005799999995"/>
    <n v="0"/>
    <n v="7907.5583651765537"/>
    <n v="7636.5763155602272"/>
  </r>
  <r>
    <s v="PROJETADO"/>
    <x v="2"/>
    <x v="3"/>
    <x v="5"/>
    <x v="2"/>
    <x v="2"/>
    <x v="0"/>
    <x v="2"/>
    <x v="11"/>
    <n v="0"/>
    <n v="0"/>
    <n v="8.843"/>
    <n v="8.843"/>
    <n v="8.843"/>
    <n v="8.843"/>
    <n v="0"/>
    <x v="0"/>
    <n v="0"/>
    <n v="0"/>
    <n v="45"/>
    <n v="77"/>
    <n v="0"/>
    <n v="273.93"/>
    <n v="236.63"/>
    <m/>
    <n v="327.21833837526083"/>
    <n v="316.00497871224974"/>
    <n v="0"/>
    <n v="2422.3629900000001"/>
    <n v="2092.5190899999998"/>
    <n v="0"/>
    <n v="2893.5917662524316"/>
    <n v="2794.4320267524245"/>
  </r>
  <r>
    <s v="Sistema Isolado - Regular"/>
    <x v="2"/>
    <x v="3"/>
    <x v="5"/>
    <x v="2"/>
    <x v="1"/>
    <x v="0"/>
    <x v="2"/>
    <x v="0"/>
    <n v="0"/>
    <n v="0"/>
    <n v="51.384999999999998"/>
    <n v="16.957049999999999"/>
    <n v="51.384999999999998"/>
    <n v="16.957049999999999"/>
    <n v="0"/>
    <x v="0"/>
    <n v="0"/>
    <n v="0"/>
    <n v="25"/>
    <n v="77"/>
    <n v="0"/>
    <n v="261.48"/>
    <n v="236.63"/>
    <m/>
    <n v="327.21833837526083"/>
    <n v="316.00497871224974"/>
    <n v="0"/>
    <n v="4433.9294339999997"/>
    <n v="4012.5467414999998"/>
    <n v="0"/>
    <n v="5548.6577247462164"/>
    <n v="5358.5122242725538"/>
  </r>
  <r>
    <s v="Sistema Isolado - Regular"/>
    <x v="2"/>
    <x v="3"/>
    <x v="5"/>
    <x v="2"/>
    <x v="1"/>
    <x v="0"/>
    <x v="2"/>
    <x v="1"/>
    <n v="0"/>
    <n v="0"/>
    <n v="56.213999999999999"/>
    <n v="18.550619999999999"/>
    <n v="56.213999999999999"/>
    <n v="18.550619999999999"/>
    <n v="0"/>
    <x v="0"/>
    <n v="0"/>
    <n v="0"/>
    <n v="25"/>
    <n v="77"/>
    <n v="0"/>
    <n v="261.48"/>
    <n v="236.63"/>
    <m/>
    <n v="327.21833837526083"/>
    <n v="316.00497871224974"/>
    <n v="0"/>
    <n v="4850.6161175999996"/>
    <n v="4389.6332106"/>
    <n v="0"/>
    <n v="6070.1030522308802"/>
    <n v="5862.088278199034"/>
  </r>
  <r>
    <s v="Sistema Isolado - Regular"/>
    <x v="2"/>
    <x v="3"/>
    <x v="5"/>
    <x v="2"/>
    <x v="1"/>
    <x v="0"/>
    <x v="2"/>
    <x v="2"/>
    <n v="0"/>
    <n v="0"/>
    <n v="114.125"/>
    <n v="37.661250000000003"/>
    <n v="114.125"/>
    <n v="37.661250000000003"/>
    <n v="0"/>
    <x v="0"/>
    <n v="0"/>
    <n v="0"/>
    <n v="25"/>
    <n v="77"/>
    <n v="0"/>
    <n v="261.48"/>
    <n v="236.63"/>
    <m/>
    <n v="327.21833837526083"/>
    <n v="316.00497871224974"/>
    <n v="0"/>
    <n v="9847.6636500000022"/>
    <n v="8911.7815874999997"/>
    <n v="0"/>
    <n v="12323.451646135292"/>
    <n v="11901.142504526717"/>
  </r>
  <r>
    <s v="Sistema Isolado - Regular"/>
    <x v="2"/>
    <x v="3"/>
    <x v="5"/>
    <x v="2"/>
    <x v="1"/>
    <x v="0"/>
    <x v="2"/>
    <x v="3"/>
    <n v="0"/>
    <n v="0"/>
    <n v="101.014"/>
    <n v="33.334620000000001"/>
    <n v="101.014"/>
    <n v="33.334620000000001"/>
    <n v="0"/>
    <x v="0"/>
    <n v="0"/>
    <n v="0"/>
    <n v="25"/>
    <n v="77"/>
    <n v="0"/>
    <n v="261.48"/>
    <n v="236.63"/>
    <m/>
    <n v="327.21833837526083"/>
    <n v="316.00497871224974"/>
    <n v="0"/>
    <n v="8716.3364376000009"/>
    <n v="7887.9711305999999"/>
    <n v="0"/>
    <n v="10907.698966770737"/>
    <n v="10533.905883480935"/>
  </r>
  <r>
    <s v="Sistema Isolado - Regular"/>
    <x v="2"/>
    <x v="3"/>
    <x v="5"/>
    <x v="2"/>
    <x v="1"/>
    <x v="0"/>
    <x v="2"/>
    <x v="4"/>
    <n v="0"/>
    <n v="0"/>
    <n v="40.966000000000001"/>
    <n v="13.51878"/>
    <n v="40.966000000000001"/>
    <n v="13.51878"/>
    <n v="0"/>
    <x v="0"/>
    <n v="0"/>
    <n v="0"/>
    <n v="25"/>
    <n v="77"/>
    <n v="0"/>
    <n v="261.48"/>
    <n v="236.63"/>
    <m/>
    <n v="327.21833837526083"/>
    <n v="316.00497871224974"/>
    <n v="0"/>
    <n v="3534.8905944000003"/>
    <n v="3198.9489113999998"/>
    <n v="0"/>
    <n v="4423.5927284607087"/>
    <n v="4272.0017861155875"/>
  </r>
  <r>
    <s v="Sistema Isolado - Refaturamento"/>
    <x v="2"/>
    <x v="3"/>
    <x v="5"/>
    <x v="2"/>
    <x v="1"/>
    <x v="0"/>
    <x v="2"/>
    <x v="4"/>
    <n v="0"/>
    <n v="0"/>
    <n v="7.3369999999999997"/>
    <n v="2.4212099999999999"/>
    <n v="7.3369999999999997"/>
    <n v="2.4212099999999999"/>
    <n v="0"/>
    <x v="0"/>
    <n v="0"/>
    <n v="0"/>
    <n v="25"/>
    <n v="77"/>
    <n v="0"/>
    <n v="261.48"/>
    <n v="236.63"/>
    <m/>
    <n v="327.21833837526083"/>
    <n v="316.00497871224974"/>
    <n v="0"/>
    <n v="633.09799080000005"/>
    <n v="572.93092229999991"/>
    <n v="0"/>
    <n v="792.26431305756523"/>
    <n v="765.11441450788618"/>
  </r>
  <r>
    <s v="Sistema Isolado - Regular"/>
    <x v="2"/>
    <x v="3"/>
    <x v="5"/>
    <x v="2"/>
    <x v="1"/>
    <x v="0"/>
    <x v="2"/>
    <x v="5"/>
    <n v="0"/>
    <n v="0"/>
    <n v="40.966000000000001"/>
    <n v="13.51878"/>
    <n v="40.966000000000001"/>
    <n v="13.51878"/>
    <n v="0"/>
    <x v="0"/>
    <n v="0"/>
    <n v="0"/>
    <n v="25"/>
    <n v="77"/>
    <n v="0"/>
    <n v="261.48"/>
    <n v="236.63"/>
    <m/>
    <n v="327.21833837526083"/>
    <n v="316.00497871224974"/>
    <n v="0"/>
    <n v="3534.8905944000003"/>
    <n v="3198.9489113999998"/>
    <n v="0"/>
    <n v="4423.5927284607087"/>
    <n v="4272.0017861155875"/>
  </r>
  <r>
    <s v="Sistema Isolado - Refaturamento"/>
    <x v="2"/>
    <x v="3"/>
    <x v="5"/>
    <x v="2"/>
    <x v="1"/>
    <x v="0"/>
    <x v="2"/>
    <x v="5"/>
    <n v="0"/>
    <n v="0"/>
    <n v="7.3369999999999997"/>
    <n v="2.4212099999999999"/>
    <n v="7.3369999999999997"/>
    <n v="2.4212099999999999"/>
    <n v="0"/>
    <x v="0"/>
    <n v="0"/>
    <n v="0"/>
    <n v="25"/>
    <n v="77"/>
    <n v="0"/>
    <n v="261.48"/>
    <n v="236.63"/>
    <m/>
    <n v="327.21833837526083"/>
    <n v="316.00497871224974"/>
    <n v="0"/>
    <n v="633.09799080000005"/>
    <n v="572.93092229999991"/>
    <n v="0"/>
    <n v="792.26431305756523"/>
    <n v="765.11441450788618"/>
  </r>
  <r>
    <s v="Sistema Isolado - Regular"/>
    <x v="2"/>
    <x v="3"/>
    <x v="5"/>
    <x v="2"/>
    <x v="1"/>
    <x v="0"/>
    <x v="2"/>
    <x v="6"/>
    <n v="0"/>
    <n v="0"/>
    <n v="28.706"/>
    <n v="9.4729799999999997"/>
    <n v="28.706"/>
    <n v="9.4729799999999997"/>
    <n v="0"/>
    <x v="0"/>
    <n v="0"/>
    <n v="0"/>
    <n v="25"/>
    <n v="77"/>
    <n v="0"/>
    <n v="261.48"/>
    <n v="236.63"/>
    <m/>
    <n v="327.21833837526083"/>
    <n v="316.00497871224974"/>
    <n v="0"/>
    <n v="2476.9948104"/>
    <n v="2241.5912573999999"/>
    <n v="0"/>
    <n v="3099.7327750620784"/>
    <n v="2993.5088432415673"/>
  </r>
  <r>
    <s v="Sistema Isolado - Refaturamento"/>
    <x v="2"/>
    <x v="3"/>
    <x v="5"/>
    <x v="2"/>
    <x v="1"/>
    <x v="0"/>
    <x v="2"/>
    <x v="6"/>
    <n v="0"/>
    <n v="0"/>
    <n v="18.808"/>
    <n v="6.2066400000000002"/>
    <n v="18.808"/>
    <n v="6.2066400000000002"/>
    <n v="0"/>
    <x v="0"/>
    <n v="0"/>
    <n v="0"/>
    <n v="25"/>
    <n v="77"/>
    <n v="0"/>
    <n v="261.48"/>
    <n v="236.63"/>
    <m/>
    <n v="327.21833837526083"/>
    <n v="316.00497871224974"/>
    <n v="0"/>
    <n v="1622.9122272000002"/>
    <n v="1468.6772232000001"/>
    <n v="0"/>
    <n v="2030.9264276934289"/>
    <n v="1961.3291410745978"/>
  </r>
  <r>
    <s v="Sistema Isolado - Regular"/>
    <x v="2"/>
    <x v="3"/>
    <x v="5"/>
    <x v="2"/>
    <x v="1"/>
    <x v="0"/>
    <x v="2"/>
    <x v="7"/>
    <n v="0"/>
    <n v="0"/>
    <n v="12.865"/>
    <n v="4.2454499999999999"/>
    <n v="12.865"/>
    <n v="4.2454499999999999"/>
    <n v="0"/>
    <x v="0"/>
    <n v="0"/>
    <n v="0"/>
    <n v="25"/>
    <n v="77"/>
    <n v="0"/>
    <n v="261.48"/>
    <n v="236.63"/>
    <m/>
    <n v="327.21833837526083"/>
    <n v="316.00497871224974"/>
    <n v="0"/>
    <n v="1110.1002660000001"/>
    <n v="1004.6008335"/>
    <n v="0"/>
    <n v="1389.189094655251"/>
    <n v="1341.5833368739206"/>
  </r>
  <r>
    <s v="Sistema Isolado - Refaturamento"/>
    <x v="2"/>
    <x v="3"/>
    <x v="5"/>
    <x v="2"/>
    <x v="1"/>
    <x v="0"/>
    <x v="2"/>
    <x v="7"/>
    <n v="0"/>
    <n v="0"/>
    <n v="-12.435"/>
    <n v="-4.1035500000000003"/>
    <n v="-12.435"/>
    <n v="-4.1035500000000003"/>
    <n v="0"/>
    <x v="0"/>
    <n v="0"/>
    <n v="0"/>
    <n v="25"/>
    <n v="77"/>
    <n v="0"/>
    <n v="261.48"/>
    <n v="236.63"/>
    <m/>
    <n v="327.21833837526083"/>
    <n v="316.00497871224974"/>
    <n v="0"/>
    <n v="-1072.9962540000001"/>
    <n v="-971.02303649999999"/>
    <n v="0"/>
    <n v="-1342.7568124398017"/>
    <n v="-1296.7422303946526"/>
  </r>
  <r>
    <s v="Sistema Isolado - Regular"/>
    <x v="2"/>
    <x v="3"/>
    <x v="5"/>
    <x v="2"/>
    <x v="1"/>
    <x v="0"/>
    <x v="2"/>
    <x v="8"/>
    <n v="0"/>
    <n v="0"/>
    <n v="11.131"/>
    <n v="3.6732300000000002"/>
    <n v="11.131"/>
    <n v="3.6732300000000002"/>
    <n v="0"/>
    <x v="0"/>
    <n v="0"/>
    <n v="0"/>
    <n v="25"/>
    <n v="77"/>
    <n v="0"/>
    <n v="261.48"/>
    <n v="236.63"/>
    <m/>
    <n v="327.21833837526083"/>
    <n v="316.00497871224974"/>
    <n v="0"/>
    <n v="960.47618040000009"/>
    <n v="869.19641490000004"/>
    <n v="0"/>
    <n v="1201.9482170701594"/>
    <n v="1160.7589679551972"/>
  </r>
  <r>
    <s v="Sistema Isolado - Regular"/>
    <x v="2"/>
    <x v="3"/>
    <x v="5"/>
    <x v="2"/>
    <x v="1"/>
    <x v="0"/>
    <x v="2"/>
    <x v="9"/>
    <n v="0"/>
    <n v="0"/>
    <n v="17.03"/>
    <n v="5.6199000000000003"/>
    <n v="17.03"/>
    <n v="5.6199000000000003"/>
    <n v="0"/>
    <x v="0"/>
    <n v="0"/>
    <n v="0"/>
    <n v="25"/>
    <n v="77"/>
    <n v="0"/>
    <n v="261.48"/>
    <n v="236.63"/>
    <m/>
    <n v="327.21833837526083"/>
    <n v="316.00497871224974"/>
    <n v="0"/>
    <n v="1469.4914520000002"/>
    <n v="1329.836937"/>
    <n v="0"/>
    <n v="1838.9343398351284"/>
    <n v="1775.9163798649724"/>
  </r>
  <r>
    <s v="Sistema Isolado - Regular"/>
    <x v="2"/>
    <x v="3"/>
    <x v="5"/>
    <x v="2"/>
    <x v="1"/>
    <x v="0"/>
    <x v="2"/>
    <x v="10"/>
    <n v="0"/>
    <n v="0"/>
    <n v="26.576000000000001"/>
    <n v="8.7700800000000001"/>
    <n v="26.576000000000001"/>
    <n v="8.7700800000000001"/>
    <n v="0"/>
    <x v="0"/>
    <n v="0"/>
    <n v="0"/>
    <n v="25"/>
    <n v="77"/>
    <n v="0"/>
    <n v="261.48"/>
    <n v="236.63"/>
    <m/>
    <n v="327.21833837526083"/>
    <n v="316.00497871224974"/>
    <n v="0"/>
    <n v="2293.2005184"/>
    <n v="2075.2640304000001"/>
    <n v="0"/>
    <n v="2869.7310050181077"/>
    <n v="2771.3889437047274"/>
  </r>
  <r>
    <s v="Sistema Isolado - Refaturamento"/>
    <x v="2"/>
    <x v="3"/>
    <x v="5"/>
    <x v="2"/>
    <x v="1"/>
    <x v="0"/>
    <x v="2"/>
    <x v="10"/>
    <n v="0"/>
    <n v="0"/>
    <n v="4.5650000000000004"/>
    <n v="1.5064500000000001"/>
    <n v="4.5650000000000004"/>
    <n v="1.5064500000000001"/>
    <n v="0"/>
    <x v="0"/>
    <n v="0"/>
    <n v="0"/>
    <n v="25"/>
    <n v="77"/>
    <n v="0"/>
    <n v="261.48"/>
    <n v="236.63"/>
    <m/>
    <n v="327.21833837526083"/>
    <n v="316.00497871224974"/>
    <n v="0"/>
    <n v="393.90654600000005"/>
    <n v="356.47126350000002"/>
    <n v="0"/>
    <n v="492.9380658454117"/>
    <n v="476.04570018106864"/>
  </r>
  <r>
    <s v="PROJETADO"/>
    <x v="2"/>
    <x v="3"/>
    <x v="5"/>
    <x v="2"/>
    <x v="1"/>
    <x v="0"/>
    <x v="2"/>
    <x v="11"/>
    <n v="0"/>
    <n v="0"/>
    <n v="26.576000000000001"/>
    <n v="8.7700800000000001"/>
    <n v="26.576000000000001"/>
    <n v="8.7700800000000001"/>
    <n v="0"/>
    <x v="0"/>
    <n v="0"/>
    <n v="0"/>
    <n v="25"/>
    <n v="77"/>
    <n v="0"/>
    <n v="261.48"/>
    <n v="236.63"/>
    <m/>
    <n v="327.21833837526083"/>
    <n v="316.00497871224974"/>
    <n v="0"/>
    <n v="2293.2005184"/>
    <n v="2075.2640304000001"/>
    <n v="0"/>
    <n v="2869.7310050181077"/>
    <n v="2771.3889437047274"/>
  </r>
  <r>
    <s v="PROJETADO"/>
    <x v="2"/>
    <x v="3"/>
    <x v="5"/>
    <x v="2"/>
    <x v="1"/>
    <x v="0"/>
    <x v="2"/>
    <x v="11"/>
    <n v="0"/>
    <n v="0"/>
    <n v="4.5650000000000004"/>
    <n v="1.5064500000000001"/>
    <n v="4.5650000000000004"/>
    <n v="1.5064500000000001"/>
    <n v="0"/>
    <x v="0"/>
    <n v="0"/>
    <n v="0"/>
    <n v="25"/>
    <n v="77"/>
    <n v="0"/>
    <n v="261.48"/>
    <n v="236.63"/>
    <m/>
    <n v="327.21833837526083"/>
    <n v="316.00497871224974"/>
    <n v="0"/>
    <n v="393.90654600000005"/>
    <n v="356.47126350000002"/>
    <n v="0"/>
    <n v="492.9380658454117"/>
    <n v="476.04570018106864"/>
  </r>
  <r>
    <s v="Sistema Isolado - Regular"/>
    <x v="2"/>
    <x v="3"/>
    <x v="5"/>
    <x v="0"/>
    <x v="0"/>
    <x v="0"/>
    <x v="2"/>
    <x v="0"/>
    <n v="0"/>
    <n v="0"/>
    <n v="4749.16"/>
    <n v="4749.16"/>
    <n v="4749.16"/>
    <n v="4749.16"/>
    <n v="20785"/>
    <x v="0"/>
    <n v="0"/>
    <n v="0"/>
    <n v="45"/>
    <n v="77"/>
    <n v="0"/>
    <n v="273.93"/>
    <n v="236.63"/>
    <m/>
    <n v="327.21833837526083"/>
    <n v="316.00497871224974"/>
    <n v="0"/>
    <n v="1300937.3988000001"/>
    <n v="1123793.7308"/>
    <n v="0"/>
    <n v="1554012.2438782537"/>
    <n v="1500758.2047010679"/>
  </r>
  <r>
    <s v="Sistema Isolado - Refaturamento"/>
    <x v="2"/>
    <x v="3"/>
    <x v="5"/>
    <x v="0"/>
    <x v="0"/>
    <x v="0"/>
    <x v="2"/>
    <x v="0"/>
    <n v="0"/>
    <n v="0"/>
    <n v="-12.611000000000001"/>
    <n v="-12.611000000000001"/>
    <n v="-12.611000000000001"/>
    <n v="-12.611000000000001"/>
    <n v="-141"/>
    <x v="0"/>
    <n v="0"/>
    <n v="0"/>
    <n v="45"/>
    <n v="77"/>
    <n v="0"/>
    <n v="273.93"/>
    <n v="236.63"/>
    <m/>
    <n v="327.21833837526083"/>
    <n v="316.00497871224974"/>
    <n v="0"/>
    <n v="-3454.5312300000001"/>
    <n v="-2984.14093"/>
    <n v="0"/>
    <n v="-4126.5504652504142"/>
    <n v="-3985.1387865401816"/>
  </r>
  <r>
    <s v="Sistema de Compensação"/>
    <x v="2"/>
    <x v="3"/>
    <x v="5"/>
    <x v="0"/>
    <x v="0"/>
    <x v="0"/>
    <x v="2"/>
    <x v="0"/>
    <n v="0"/>
    <n v="0"/>
    <n v="10.558"/>
    <n v="10.558"/>
    <n v="10.558"/>
    <n v="10.558"/>
    <n v="18"/>
    <x v="0"/>
    <n v="0"/>
    <n v="0"/>
    <n v="45"/>
    <n v="77"/>
    <n v="0"/>
    <n v="273.93"/>
    <n v="236.63"/>
    <m/>
    <n v="327.21833837526083"/>
    <n v="316.00497871224974"/>
    <n v="0"/>
    <n v="2892.1529399999999"/>
    <n v="2498.3395399999999"/>
    <n v="0"/>
    <n v="3454.7712165660037"/>
    <n v="3336.3805652439328"/>
  </r>
  <r>
    <s v="Sistema Isolado - Regular"/>
    <x v="2"/>
    <x v="3"/>
    <x v="5"/>
    <x v="0"/>
    <x v="0"/>
    <x v="0"/>
    <x v="2"/>
    <x v="1"/>
    <n v="0"/>
    <n v="0"/>
    <n v="4572.6369999999997"/>
    <n v="4572.6369999999997"/>
    <n v="4572.6369999999997"/>
    <n v="4572.6369999999997"/>
    <n v="20901"/>
    <x v="0"/>
    <n v="0"/>
    <n v="0"/>
    <n v="45"/>
    <n v="77"/>
    <n v="0"/>
    <n v="273.93"/>
    <n v="236.63"/>
    <m/>
    <n v="327.21833837526083"/>
    <n v="316.00497871224974"/>
    <n v="0"/>
    <n v="1252582.4534099998"/>
    <n v="1082023.0933099999"/>
    <n v="0"/>
    <n v="1496250.6811332374"/>
    <n v="1444976.0578438453"/>
  </r>
  <r>
    <s v="Sistema Isolado - Refaturamento"/>
    <x v="2"/>
    <x v="3"/>
    <x v="5"/>
    <x v="0"/>
    <x v="0"/>
    <x v="0"/>
    <x v="2"/>
    <x v="1"/>
    <n v="0"/>
    <n v="0"/>
    <n v="-1.2390000000000001"/>
    <n v="-1.2390000000000001"/>
    <n v="-1.2390000000000001"/>
    <n v="-1.2390000000000001"/>
    <n v="-1"/>
    <x v="0"/>
    <n v="0"/>
    <n v="0"/>
    <n v="45"/>
    <n v="77"/>
    <n v="0"/>
    <n v="273.93"/>
    <n v="236.63"/>
    <m/>
    <n v="327.21833837526083"/>
    <n v="316.00497871224974"/>
    <n v="0"/>
    <n v="-339.39927000000006"/>
    <n v="-293.18457000000001"/>
    <n v="0"/>
    <n v="-405.42352124694821"/>
    <n v="-391.53016862447748"/>
  </r>
  <r>
    <s v="Sistema de Compensação"/>
    <x v="2"/>
    <x v="3"/>
    <x v="5"/>
    <x v="0"/>
    <x v="0"/>
    <x v="0"/>
    <x v="2"/>
    <x v="1"/>
    <n v="0"/>
    <n v="0"/>
    <n v="12.677"/>
    <n v="12.677"/>
    <n v="12.677"/>
    <n v="12.677"/>
    <n v="22"/>
    <x v="0"/>
    <n v="0"/>
    <n v="0"/>
    <n v="45"/>
    <n v="77"/>
    <n v="0"/>
    <n v="273.93"/>
    <n v="236.63"/>
    <m/>
    <n v="327.21833837526083"/>
    <n v="316.00497871224974"/>
    <n v="0"/>
    <n v="3472.6106100000002"/>
    <n v="2999.7585099999997"/>
    <n v="0"/>
    <n v="4148.1468755831811"/>
    <n v="4005.9951151351897"/>
  </r>
  <r>
    <s v="Sistema Isolado - Regular"/>
    <x v="2"/>
    <x v="3"/>
    <x v="5"/>
    <x v="0"/>
    <x v="0"/>
    <x v="0"/>
    <x v="2"/>
    <x v="2"/>
    <n v="0"/>
    <n v="0"/>
    <n v="4610.8729999999996"/>
    <n v="4610.8729999999996"/>
    <n v="4610.8729999999996"/>
    <n v="4610.8729999999996"/>
    <n v="21236"/>
    <x v="0"/>
    <n v="0"/>
    <n v="0"/>
    <n v="45"/>
    <n v="77"/>
    <n v="0"/>
    <n v="273.93"/>
    <n v="236.63"/>
    <m/>
    <n v="327.21833837526083"/>
    <n v="316.00497871224974"/>
    <n v="0"/>
    <n v="1263056.44089"/>
    <n v="1091070.8779899999"/>
    <n v="0"/>
    <n v="1508762.2015193538"/>
    <n v="1457058.8242098871"/>
  </r>
  <r>
    <s v="Sistema Isolado - Refaturamento"/>
    <x v="2"/>
    <x v="3"/>
    <x v="5"/>
    <x v="0"/>
    <x v="0"/>
    <x v="0"/>
    <x v="2"/>
    <x v="2"/>
    <n v="0"/>
    <n v="0"/>
    <n v="-35.445999999999998"/>
    <n v="-35.445999999999998"/>
    <n v="-35.445999999999998"/>
    <n v="-35.445999999999998"/>
    <n v="-10"/>
    <x v="0"/>
    <n v="0"/>
    <n v="0"/>
    <n v="45"/>
    <n v="77"/>
    <n v="0"/>
    <n v="273.93"/>
    <n v="236.63"/>
    <m/>
    <n v="327.21833837526083"/>
    <n v="316.00497871224974"/>
    <n v="0"/>
    <n v="-9709.7227800000001"/>
    <n v="-8387.58698"/>
    <n v="0"/>
    <n v="-11598.581222049495"/>
    <n v="-11201.112475434404"/>
  </r>
  <r>
    <s v="Sistema de Compensação"/>
    <x v="2"/>
    <x v="3"/>
    <x v="5"/>
    <x v="0"/>
    <x v="0"/>
    <x v="0"/>
    <x v="2"/>
    <x v="2"/>
    <n v="0"/>
    <n v="0"/>
    <n v="12.787000000000001"/>
    <n v="12.787000000000001"/>
    <n v="12.787000000000001"/>
    <n v="12.787000000000001"/>
    <n v="23"/>
    <x v="0"/>
    <n v="0"/>
    <n v="0"/>
    <n v="45"/>
    <n v="77"/>
    <n v="0"/>
    <n v="273.93"/>
    <n v="236.63"/>
    <m/>
    <n v="327.21833837526083"/>
    <n v="316.00497871224974"/>
    <n v="0"/>
    <n v="3502.7429100000004"/>
    <n v="3025.7878100000003"/>
    <n v="0"/>
    <n v="4184.1408928044602"/>
    <n v="4040.7556627935378"/>
  </r>
  <r>
    <s v="Sistema Isolado - Regular"/>
    <x v="2"/>
    <x v="3"/>
    <x v="5"/>
    <x v="0"/>
    <x v="0"/>
    <x v="0"/>
    <x v="2"/>
    <x v="3"/>
    <n v="0"/>
    <n v="0"/>
    <n v="4667.0829999999996"/>
    <n v="4667.0829999999996"/>
    <n v="4667.0829999999996"/>
    <n v="4667.0829999999996"/>
    <n v="21352"/>
    <x v="0"/>
    <n v="0"/>
    <n v="0"/>
    <n v="45"/>
    <n v="77"/>
    <n v="0"/>
    <n v="273.93"/>
    <n v="236.63"/>
    <m/>
    <n v="327.21833837526083"/>
    <n v="316.00497871224974"/>
    <n v="0"/>
    <n v="1278454.0461899999"/>
    <n v="1104371.85029"/>
    <n v="0"/>
    <n v="1527155.1443194272"/>
    <n v="1474821.4640633026"/>
  </r>
  <r>
    <s v="Sistema Isolado - Refaturamento"/>
    <x v="2"/>
    <x v="3"/>
    <x v="5"/>
    <x v="0"/>
    <x v="0"/>
    <x v="0"/>
    <x v="2"/>
    <x v="3"/>
    <n v="0"/>
    <n v="0"/>
    <n v="-10.644"/>
    <n v="-10.644"/>
    <n v="-10.644"/>
    <n v="-10.644"/>
    <n v="-119"/>
    <x v="0"/>
    <n v="0"/>
    <n v="0"/>
    <n v="45"/>
    <n v="77"/>
    <n v="0"/>
    <n v="273.93"/>
    <n v="236.63"/>
    <m/>
    <n v="327.21833837526083"/>
    <n v="316.00497871224974"/>
    <n v="0"/>
    <n v="-2915.71092"/>
    <n v="-2518.6897199999999"/>
    <n v="0"/>
    <n v="-3482.9119936662764"/>
    <n v="-3363.5569934131863"/>
  </r>
  <r>
    <s v="Sistema de Compensação"/>
    <x v="2"/>
    <x v="3"/>
    <x v="5"/>
    <x v="0"/>
    <x v="0"/>
    <x v="0"/>
    <x v="2"/>
    <x v="3"/>
    <n v="0"/>
    <n v="0"/>
    <n v="15.285"/>
    <n v="15.285"/>
    <n v="15.285"/>
    <n v="15.285"/>
    <n v="23"/>
    <x v="0"/>
    <n v="0"/>
    <n v="0"/>
    <n v="45"/>
    <n v="77"/>
    <n v="0"/>
    <n v="273.93"/>
    <n v="236.63"/>
    <m/>
    <n v="327.21833837526083"/>
    <n v="316.00497871224974"/>
    <n v="0"/>
    <n v="4187.0200500000001"/>
    <n v="3616.8895499999999"/>
    <n v="0"/>
    <n v="5001.5323020658616"/>
    <n v="4830.1360996167377"/>
  </r>
  <r>
    <s v="Sistema Isolado - Regular"/>
    <x v="2"/>
    <x v="3"/>
    <x v="5"/>
    <x v="0"/>
    <x v="0"/>
    <x v="0"/>
    <x v="2"/>
    <x v="4"/>
    <n v="0"/>
    <n v="0"/>
    <n v="4556.893"/>
    <n v="4556.893"/>
    <n v="4556.893"/>
    <n v="4556.893"/>
    <n v="21403"/>
    <x v="0"/>
    <n v="0"/>
    <n v="0"/>
    <n v="45"/>
    <n v="77"/>
    <n v="0"/>
    <n v="273.93"/>
    <n v="236.63"/>
    <m/>
    <n v="327.21833837526083"/>
    <n v="316.00497871224974"/>
    <n v="0"/>
    <n v="1248269.69949"/>
    <n v="1078297.5905899999"/>
    <n v="0"/>
    <n v="1491098.9556138574"/>
    <n v="1440000.8754589998"/>
  </r>
  <r>
    <s v="Sistema Isolado - Refaturamento"/>
    <x v="2"/>
    <x v="3"/>
    <x v="5"/>
    <x v="0"/>
    <x v="0"/>
    <x v="0"/>
    <x v="2"/>
    <x v="4"/>
    <n v="0"/>
    <n v="0"/>
    <n v="-10.068"/>
    <n v="-10.068"/>
    <n v="-10.068"/>
    <n v="-10.068"/>
    <n v="-23"/>
    <x v="0"/>
    <n v="0"/>
    <n v="0"/>
    <n v="45"/>
    <n v="77"/>
    <n v="0"/>
    <n v="273.93"/>
    <n v="236.63"/>
    <m/>
    <n v="327.21833837526083"/>
    <n v="316.00497871224974"/>
    <n v="0"/>
    <n v="-2757.92724"/>
    <n v="-2382.39084"/>
    <n v="0"/>
    <n v="-3294.4342307621259"/>
    <n v="-3181.5381256749301"/>
  </r>
  <r>
    <s v="Sistema de Compensação"/>
    <x v="2"/>
    <x v="3"/>
    <x v="5"/>
    <x v="0"/>
    <x v="0"/>
    <x v="0"/>
    <x v="2"/>
    <x v="4"/>
    <n v="0"/>
    <n v="0"/>
    <n v="14.442"/>
    <n v="14.442"/>
    <n v="14.442"/>
    <n v="14.442"/>
    <n v="24"/>
    <x v="0"/>
    <n v="0"/>
    <n v="0"/>
    <n v="45"/>
    <n v="77"/>
    <n v="0"/>
    <n v="273.93"/>
    <n v="236.63"/>
    <m/>
    <n v="327.21833837526083"/>
    <n v="316.00497871224974"/>
    <n v="0"/>
    <n v="3956.0970600000001"/>
    <n v="3417.4104600000001"/>
    <n v="0"/>
    <n v="4725.6872428155166"/>
    <n v="4563.7439025623107"/>
  </r>
  <r>
    <s v="Sistema Isolado - Regular"/>
    <x v="2"/>
    <x v="3"/>
    <x v="5"/>
    <x v="0"/>
    <x v="0"/>
    <x v="0"/>
    <x v="2"/>
    <x v="5"/>
    <n v="0"/>
    <n v="0"/>
    <n v="4556.893"/>
    <n v="4556.893"/>
    <n v="4556.893"/>
    <n v="4556.893"/>
    <n v="21403"/>
    <x v="0"/>
    <n v="0"/>
    <n v="0"/>
    <n v="45"/>
    <n v="77"/>
    <n v="0"/>
    <n v="273.93"/>
    <n v="236.63"/>
    <m/>
    <n v="327.21833837526083"/>
    <n v="316.00497871224974"/>
    <n v="0"/>
    <n v="1248269.69949"/>
    <n v="1078297.5905899999"/>
    <n v="0"/>
    <n v="1491098.9556138574"/>
    <n v="1440000.8754589998"/>
  </r>
  <r>
    <s v="Sistema Isolado - Refaturamento"/>
    <x v="2"/>
    <x v="3"/>
    <x v="5"/>
    <x v="0"/>
    <x v="0"/>
    <x v="0"/>
    <x v="2"/>
    <x v="5"/>
    <n v="0"/>
    <n v="0"/>
    <n v="-10.068"/>
    <n v="-10.068"/>
    <n v="-10.068"/>
    <n v="-10.068"/>
    <n v="-23"/>
    <x v="0"/>
    <n v="0"/>
    <n v="0"/>
    <n v="45"/>
    <n v="77"/>
    <n v="0"/>
    <n v="273.93"/>
    <n v="236.63"/>
    <m/>
    <n v="327.21833837526083"/>
    <n v="316.00497871224974"/>
    <n v="0"/>
    <n v="-2757.92724"/>
    <n v="-2382.39084"/>
    <n v="0"/>
    <n v="-3294.4342307621259"/>
    <n v="-3181.5381256749301"/>
  </r>
  <r>
    <s v="Sistema de Compensação"/>
    <x v="2"/>
    <x v="3"/>
    <x v="5"/>
    <x v="0"/>
    <x v="0"/>
    <x v="0"/>
    <x v="2"/>
    <x v="5"/>
    <n v="0"/>
    <n v="0"/>
    <n v="14.442"/>
    <n v="14.442"/>
    <n v="14.442"/>
    <n v="14.442"/>
    <n v="24"/>
    <x v="0"/>
    <n v="0"/>
    <n v="0"/>
    <n v="45"/>
    <n v="77"/>
    <n v="0"/>
    <n v="273.93"/>
    <n v="236.63"/>
    <m/>
    <n v="327.21833837526083"/>
    <n v="316.00497871224974"/>
    <n v="0"/>
    <n v="3956.0970600000001"/>
    <n v="3417.4104600000001"/>
    <n v="0"/>
    <n v="4725.6872428155166"/>
    <n v="4563.7439025623107"/>
  </r>
  <r>
    <s v="Sistema Isolado - Regular"/>
    <x v="2"/>
    <x v="3"/>
    <x v="5"/>
    <x v="0"/>
    <x v="0"/>
    <x v="0"/>
    <x v="2"/>
    <x v="6"/>
    <n v="0"/>
    <n v="0"/>
    <n v="4387.3059999999996"/>
    <n v="4387.3059999999996"/>
    <n v="4387.3059999999996"/>
    <n v="4387.3059999999996"/>
    <n v="21390"/>
    <x v="0"/>
    <n v="0"/>
    <n v="0"/>
    <n v="45"/>
    <n v="77"/>
    <n v="0"/>
    <n v="273.93"/>
    <n v="236.63"/>
    <m/>
    <n v="327.21833837526083"/>
    <n v="316.00497871224974"/>
    <n v="0"/>
    <n v="1201814.7325799998"/>
    <n v="1038168.2187799999"/>
    <n v="0"/>
    <n v="1435606.9792638118"/>
    <n v="1386410.5391341255"/>
  </r>
  <r>
    <s v="Sistema Isolado - Refaturamento"/>
    <x v="2"/>
    <x v="3"/>
    <x v="5"/>
    <x v="0"/>
    <x v="0"/>
    <x v="0"/>
    <x v="2"/>
    <x v="6"/>
    <n v="0"/>
    <n v="0"/>
    <n v="-14.311999999999999"/>
    <n v="-14.311999999999999"/>
    <n v="-14.311999999999999"/>
    <n v="-14.311999999999999"/>
    <n v="0"/>
    <x v="0"/>
    <n v="0"/>
    <n v="0"/>
    <n v="45"/>
    <n v="77"/>
    <n v="0"/>
    <n v="273.93"/>
    <n v="236.63"/>
    <m/>
    <n v="327.21833837526083"/>
    <n v="316.00497871224974"/>
    <n v="0"/>
    <n v="-3920.4861599999999"/>
    <n v="-3386.6485599999996"/>
    <n v="0"/>
    <n v="-4683.148858826733"/>
    <n v="-4522.6632553297177"/>
  </r>
  <r>
    <s v="Sistema de Compensação"/>
    <x v="2"/>
    <x v="3"/>
    <x v="5"/>
    <x v="0"/>
    <x v="0"/>
    <x v="0"/>
    <x v="2"/>
    <x v="6"/>
    <n v="0"/>
    <n v="0"/>
    <n v="64.147999999999996"/>
    <n v="64.147999999999996"/>
    <n v="64.147999999999996"/>
    <n v="64.147999999999996"/>
    <n v="120"/>
    <x v="0"/>
    <n v="0"/>
    <n v="0"/>
    <n v="45"/>
    <n v="77"/>
    <n v="0"/>
    <n v="273.93"/>
    <n v="236.63"/>
    <m/>
    <n v="327.21833837526083"/>
    <n v="316.00497871224974"/>
    <n v="0"/>
    <n v="17572.06164"/>
    <n v="15179.341239999998"/>
    <n v="0"/>
    <n v="20990.401970096231"/>
    <n v="20271.087374433395"/>
  </r>
  <r>
    <s v="Sistema Isolado - Regular"/>
    <x v="2"/>
    <x v="3"/>
    <x v="5"/>
    <x v="0"/>
    <x v="0"/>
    <x v="0"/>
    <x v="2"/>
    <x v="7"/>
    <n v="0"/>
    <n v="0"/>
    <n v="4146.3980000000001"/>
    <n v="4146.3980000000001"/>
    <n v="4146.3980000000001"/>
    <n v="4146.3980000000001"/>
    <n v="21395"/>
    <x v="0"/>
    <n v="0"/>
    <n v="0"/>
    <n v="45"/>
    <n v="77"/>
    <n v="0"/>
    <n v="273.93"/>
    <n v="236.63"/>
    <m/>
    <n v="327.21833837526083"/>
    <n v="316.00497871224974"/>
    <n v="0"/>
    <n v="1135822.8041400001"/>
    <n v="981162.15873999998"/>
    <n v="0"/>
    <n v="1356777.4638025048"/>
    <n v="1310282.411722515"/>
  </r>
  <r>
    <s v="Sistema Isolado - Refaturamento"/>
    <x v="2"/>
    <x v="3"/>
    <x v="5"/>
    <x v="0"/>
    <x v="0"/>
    <x v="0"/>
    <x v="2"/>
    <x v="7"/>
    <n v="0"/>
    <n v="0"/>
    <n v="-4.468"/>
    <n v="-4.468"/>
    <n v="-4.468"/>
    <n v="-4.468"/>
    <n v="-1"/>
    <x v="0"/>
    <n v="0"/>
    <n v="0"/>
    <n v="45"/>
    <n v="77"/>
    <n v="0"/>
    <n v="273.93"/>
    <n v="236.63"/>
    <m/>
    <n v="327.21833837526083"/>
    <n v="316.00497871224974"/>
    <n v="0"/>
    <n v="-1223.9192399999999"/>
    <n v="-1057.2628399999999"/>
    <n v="0"/>
    <n v="-1462.0115358606654"/>
    <n v="-1411.9102448863318"/>
  </r>
  <r>
    <s v="Sistema de Compensação"/>
    <x v="2"/>
    <x v="3"/>
    <x v="5"/>
    <x v="0"/>
    <x v="0"/>
    <x v="0"/>
    <x v="2"/>
    <x v="7"/>
    <n v="0"/>
    <n v="0"/>
    <n v="15.835000000000001"/>
    <n v="15.835000000000001"/>
    <n v="15.835000000000001"/>
    <n v="15.835000000000001"/>
    <n v="33"/>
    <x v="0"/>
    <n v="0"/>
    <n v="0"/>
    <n v="45"/>
    <n v="77"/>
    <n v="0"/>
    <n v="273.93"/>
    <n v="236.63"/>
    <m/>
    <n v="327.21833837526083"/>
    <n v="316.00497871224974"/>
    <n v="0"/>
    <n v="4337.6815500000002"/>
    <n v="3747.0360500000002"/>
    <n v="0"/>
    <n v="5181.5023881722555"/>
    <n v="5003.9388379084749"/>
  </r>
  <r>
    <s v="Sistema Isolado - Regular"/>
    <x v="2"/>
    <x v="3"/>
    <x v="5"/>
    <x v="0"/>
    <x v="0"/>
    <x v="0"/>
    <x v="2"/>
    <x v="8"/>
    <n v="0"/>
    <n v="0"/>
    <n v="4019.98"/>
    <n v="4019.98"/>
    <n v="4019.98"/>
    <n v="4019.98"/>
    <n v="21381"/>
    <x v="0"/>
    <n v="0"/>
    <n v="0"/>
    <n v="45"/>
    <n v="77"/>
    <n v="0"/>
    <n v="273.93"/>
    <n v="236.63"/>
    <m/>
    <n v="327.21833837526083"/>
    <n v="316.00497871224974"/>
    <n v="0"/>
    <n v="1101193.1214000001"/>
    <n v="951247.86739999999"/>
    <n v="0"/>
    <n v="1315411.1759017811"/>
    <n v="1270333.6943236697"/>
  </r>
  <r>
    <s v="Sistema Isolado - Refaturamento"/>
    <x v="2"/>
    <x v="3"/>
    <x v="5"/>
    <x v="0"/>
    <x v="0"/>
    <x v="0"/>
    <x v="2"/>
    <x v="8"/>
    <n v="0"/>
    <n v="0"/>
    <n v="-7.952"/>
    <n v="-7.952"/>
    <n v="-7.952"/>
    <n v="-7.952"/>
    <n v="-17"/>
    <x v="0"/>
    <n v="0"/>
    <n v="0"/>
    <n v="45"/>
    <n v="77"/>
    <n v="0"/>
    <n v="273.93"/>
    <n v="236.63"/>
    <m/>
    <n v="327.21833837526083"/>
    <n v="316.00497871224974"/>
    <n v="0"/>
    <n v="-2178.2913600000002"/>
    <n v="-1881.6817599999999"/>
    <n v="0"/>
    <n v="-2602.0402267600739"/>
    <n v="-2512.8715907198098"/>
  </r>
  <r>
    <s v="Sistema de Compensação"/>
    <x v="2"/>
    <x v="3"/>
    <x v="5"/>
    <x v="0"/>
    <x v="0"/>
    <x v="0"/>
    <x v="2"/>
    <x v="8"/>
    <n v="0"/>
    <n v="0"/>
    <n v="30.071999999999999"/>
    <n v="30.071999999999999"/>
    <n v="30.071999999999999"/>
    <n v="30.071999999999999"/>
    <n v="36"/>
    <x v="0"/>
    <n v="0"/>
    <n v="0"/>
    <n v="45"/>
    <n v="77"/>
    <n v="0"/>
    <n v="273.93"/>
    <n v="236.63"/>
    <m/>
    <n v="327.21833837526083"/>
    <n v="316.00497871224974"/>
    <n v="0"/>
    <n v="8237.6229600000006"/>
    <n v="7115.9373599999999"/>
    <n v="0"/>
    <n v="9840.1098716208435"/>
    <n v="9502.9017198347738"/>
  </r>
  <r>
    <s v="Sistema Isolado - Regular"/>
    <x v="2"/>
    <x v="3"/>
    <x v="5"/>
    <x v="0"/>
    <x v="0"/>
    <x v="0"/>
    <x v="2"/>
    <x v="9"/>
    <n v="0"/>
    <n v="0"/>
    <n v="4611.3069999999998"/>
    <n v="4611.3069999999998"/>
    <n v="4611.3069999999998"/>
    <n v="4611.3069999999998"/>
    <n v="21359"/>
    <x v="0"/>
    <n v="0"/>
    <n v="0"/>
    <n v="45"/>
    <n v="77"/>
    <n v="0"/>
    <n v="273.93"/>
    <n v="236.63"/>
    <m/>
    <n v="327.21833837526083"/>
    <n v="316.00497871224974"/>
    <n v="0"/>
    <n v="1263175.32651"/>
    <n v="1091173.5754099998"/>
    <n v="0"/>
    <n v="1508904.2142782088"/>
    <n v="1457195.9703706482"/>
  </r>
  <r>
    <s v="Sistema Isolado - Refaturamento"/>
    <x v="2"/>
    <x v="3"/>
    <x v="5"/>
    <x v="0"/>
    <x v="0"/>
    <x v="0"/>
    <x v="2"/>
    <x v="9"/>
    <n v="0"/>
    <n v="0"/>
    <n v="-6.3239999999999998"/>
    <n v="-6.3239999999999998"/>
    <n v="-6.3239999999999998"/>
    <n v="-6.3239999999999998"/>
    <n v="-87"/>
    <x v="0"/>
    <n v="0"/>
    <n v="0"/>
    <n v="45"/>
    <n v="77"/>
    <n v="0"/>
    <n v="273.93"/>
    <n v="236.63"/>
    <m/>
    <n v="327.21833837526083"/>
    <n v="316.00497871224974"/>
    <n v="0"/>
    <n v="-1732.33332"/>
    <n v="-1496.44812"/>
    <n v="0"/>
    <n v="-2069.3287718851493"/>
    <n v="-1998.4154853762673"/>
  </r>
  <r>
    <s v="Sistema de Compensação"/>
    <x v="2"/>
    <x v="3"/>
    <x v="5"/>
    <x v="0"/>
    <x v="0"/>
    <x v="0"/>
    <x v="2"/>
    <x v="9"/>
    <n v="0"/>
    <n v="0"/>
    <n v="29.541"/>
    <n v="29.541"/>
    <n v="29.541"/>
    <n v="29.541"/>
    <n v="39"/>
    <x v="0"/>
    <n v="0"/>
    <n v="0"/>
    <n v="45"/>
    <n v="77"/>
    <n v="0"/>
    <n v="273.93"/>
    <n v="236.63"/>
    <m/>
    <n v="327.21833837526083"/>
    <n v="316.00497871224974"/>
    <n v="0"/>
    <n v="8092.1661300000005"/>
    <n v="6990.28683"/>
    <n v="0"/>
    <n v="9666.3569339435799"/>
    <n v="9335.10307613857"/>
  </r>
  <r>
    <s v="Sistema Isolado - Regular"/>
    <x v="2"/>
    <x v="3"/>
    <x v="5"/>
    <x v="0"/>
    <x v="0"/>
    <x v="0"/>
    <x v="2"/>
    <x v="10"/>
    <n v="0"/>
    <n v="0"/>
    <n v="4477.0479999999998"/>
    <n v="4477.0479999999998"/>
    <n v="4477.0479999999998"/>
    <n v="4477.0479999999998"/>
    <n v="21315"/>
    <x v="0"/>
    <n v="0"/>
    <n v="0"/>
    <n v="45"/>
    <n v="77"/>
    <n v="0"/>
    <n v="273.93"/>
    <n v="236.63"/>
    <m/>
    <n v="327.21833837526083"/>
    <n v="316.00497871224974"/>
    <n v="0"/>
    <n v="1226397.7586399999"/>
    <n v="1059403.86824"/>
    <n v="0"/>
    <n v="1464972.2073862846"/>
    <n v="1414769.4579337202"/>
  </r>
  <r>
    <s v="Sistema Isolado - Refaturamento"/>
    <x v="2"/>
    <x v="3"/>
    <x v="5"/>
    <x v="0"/>
    <x v="0"/>
    <x v="0"/>
    <x v="2"/>
    <x v="10"/>
    <n v="0"/>
    <n v="0"/>
    <n v="-17.190999999999999"/>
    <n v="-17.190999999999999"/>
    <n v="-17.190999999999999"/>
    <n v="-17.190999999999999"/>
    <n v="-48"/>
    <x v="0"/>
    <n v="0"/>
    <n v="0"/>
    <n v="45"/>
    <n v="77"/>
    <n v="0"/>
    <n v="273.93"/>
    <n v="236.63"/>
    <m/>
    <n v="327.21833837526083"/>
    <n v="316.00497871224974"/>
    <n v="0"/>
    <n v="-4709.1306299999997"/>
    <n v="-4067.9063299999998"/>
    <n v="0"/>
    <n v="-5625.210455009109"/>
    <n v="-5432.4415890422852"/>
  </r>
  <r>
    <s v="Sistema de Compensação"/>
    <x v="2"/>
    <x v="3"/>
    <x v="5"/>
    <x v="0"/>
    <x v="0"/>
    <x v="0"/>
    <x v="2"/>
    <x v="10"/>
    <n v="0"/>
    <n v="0"/>
    <n v="33.85"/>
    <n v="33.85"/>
    <n v="33.85"/>
    <n v="33.85"/>
    <n v="40"/>
    <x v="0"/>
    <n v="0"/>
    <n v="0"/>
    <n v="45"/>
    <n v="77"/>
    <n v="0"/>
    <n v="273.93"/>
    <n v="236.63"/>
    <m/>
    <n v="327.21833837526083"/>
    <n v="316.00497871224974"/>
    <n v="0"/>
    <n v="9272.5305000000008"/>
    <n v="8009.9255000000003"/>
    <n v="0"/>
    <n v="11076.34075400258"/>
    <n v="10696.768529409654"/>
  </r>
  <r>
    <s v="PROJETADO"/>
    <x v="2"/>
    <x v="3"/>
    <x v="5"/>
    <x v="0"/>
    <x v="0"/>
    <x v="0"/>
    <x v="2"/>
    <x v="11"/>
    <n v="0"/>
    <n v="0"/>
    <n v="4477.0479999999998"/>
    <n v="4477.0479999999998"/>
    <n v="4477.0479999999998"/>
    <n v="4477.0479999999998"/>
    <n v="21315"/>
    <x v="0"/>
    <n v="0"/>
    <n v="0"/>
    <n v="45"/>
    <n v="77"/>
    <n v="0"/>
    <n v="273.93"/>
    <n v="236.63"/>
    <m/>
    <n v="327.21833837526083"/>
    <n v="316.00497871224974"/>
    <n v="0"/>
    <n v="1226397.7586399999"/>
    <n v="1059403.86824"/>
    <n v="0"/>
    <n v="1464972.2073862846"/>
    <n v="1414769.4579337202"/>
  </r>
  <r>
    <s v="PROJETADO"/>
    <x v="2"/>
    <x v="3"/>
    <x v="5"/>
    <x v="0"/>
    <x v="0"/>
    <x v="0"/>
    <x v="2"/>
    <x v="11"/>
    <n v="0"/>
    <n v="0"/>
    <n v="-17.190999999999999"/>
    <n v="-17.190999999999999"/>
    <n v="-17.190999999999999"/>
    <n v="-17.190999999999999"/>
    <n v="-48"/>
    <x v="0"/>
    <n v="0"/>
    <n v="0"/>
    <n v="45"/>
    <n v="77"/>
    <n v="0"/>
    <n v="273.93"/>
    <n v="236.63"/>
    <m/>
    <n v="327.21833837526083"/>
    <n v="316.00497871224974"/>
    <n v="0"/>
    <n v="-4709.1306299999997"/>
    <n v="-4067.9063299999998"/>
    <n v="0"/>
    <n v="-5625.210455009109"/>
    <n v="-5432.4415890422852"/>
  </r>
  <r>
    <s v="PROJETADO"/>
    <x v="2"/>
    <x v="3"/>
    <x v="5"/>
    <x v="0"/>
    <x v="0"/>
    <x v="0"/>
    <x v="2"/>
    <x v="11"/>
    <n v="0"/>
    <n v="0"/>
    <n v="33.85"/>
    <n v="33.85"/>
    <n v="33.85"/>
    <n v="33.85"/>
    <n v="40"/>
    <x v="0"/>
    <n v="0"/>
    <n v="0"/>
    <n v="45"/>
    <n v="77"/>
    <n v="0"/>
    <n v="273.93"/>
    <n v="236.63"/>
    <m/>
    <n v="327.21833837526083"/>
    <n v="316.00497871224974"/>
    <n v="0"/>
    <n v="9272.5305000000008"/>
    <n v="8009.9255000000003"/>
    <n v="0"/>
    <n v="11076.34075400258"/>
    <n v="10696.768529409654"/>
  </r>
  <r>
    <s v="Sistema Isolado - Regular"/>
    <x v="3"/>
    <x v="2"/>
    <x v="0"/>
    <x v="0"/>
    <x v="0"/>
    <x v="0"/>
    <x v="0"/>
    <x v="0"/>
    <n v="0"/>
    <n v="0"/>
    <n v="89.212000000000003"/>
    <n v="89.212000000000003"/>
    <n v="89.212000000000003"/>
    <n v="89.212000000000003"/>
    <n v="0"/>
    <x v="0"/>
    <n v="0"/>
    <n v="0"/>
    <n v="46"/>
    <n v="74"/>
    <n v="0"/>
    <n v="262.64999999999998"/>
    <n v="253.9"/>
    <m/>
    <n v="284.98732684349397"/>
    <n v="317.3874512882154"/>
    <n v="0"/>
    <n v="23431.531799999997"/>
    <n v="22650.926800000001"/>
    <n v="0"/>
    <n v="25424.289402361785"/>
    <n v="28314.769304324273"/>
  </r>
  <r>
    <s v="Sistema de Compensação"/>
    <x v="3"/>
    <x v="2"/>
    <x v="0"/>
    <x v="0"/>
    <x v="0"/>
    <x v="0"/>
    <x v="0"/>
    <x v="0"/>
    <n v="0"/>
    <n v="0"/>
    <n v="8.1999999999999993"/>
    <n v="8.1999999999999993"/>
    <n v="8.1999999999999993"/>
    <n v="8.1999999999999993"/>
    <n v="0"/>
    <x v="0"/>
    <n v="0"/>
    <n v="0"/>
    <n v="46"/>
    <n v="74"/>
    <n v="0"/>
    <n v="262.64999999999998"/>
    <n v="253.9"/>
    <m/>
    <n v="284.98732684349397"/>
    <n v="317.3874512882154"/>
    <n v="0"/>
    <n v="2153.7299999999996"/>
    <n v="2081.98"/>
    <n v="0"/>
    <n v="2336.8960801166504"/>
    <n v="2602.577100563366"/>
  </r>
  <r>
    <s v="Sistema Isolado - Regular"/>
    <x v="3"/>
    <x v="2"/>
    <x v="0"/>
    <x v="0"/>
    <x v="0"/>
    <x v="0"/>
    <x v="0"/>
    <x v="1"/>
    <n v="0"/>
    <n v="0"/>
    <n v="88.055000000000007"/>
    <n v="88.055000000000007"/>
    <n v="88.055000000000007"/>
    <n v="88.055000000000007"/>
    <n v="0"/>
    <x v="0"/>
    <n v="0"/>
    <n v="0"/>
    <n v="46"/>
    <n v="74"/>
    <n v="0"/>
    <n v="262.64999999999998"/>
    <n v="253.9"/>
    <m/>
    <n v="284.98732684349397"/>
    <n v="317.3874512882154"/>
    <n v="0"/>
    <n v="23127.64575"/>
    <n v="22357.164500000003"/>
    <n v="0"/>
    <n v="25094.559065203863"/>
    <n v="27947.552023183809"/>
  </r>
  <r>
    <s v="Sistema de Compensação"/>
    <x v="3"/>
    <x v="2"/>
    <x v="0"/>
    <x v="0"/>
    <x v="0"/>
    <x v="0"/>
    <x v="0"/>
    <x v="1"/>
    <n v="0"/>
    <n v="0"/>
    <n v="8.4789999999999992"/>
    <n v="8.4789999999999992"/>
    <n v="8.4789999999999992"/>
    <n v="8.4789999999999992"/>
    <n v="0"/>
    <x v="0"/>
    <n v="0"/>
    <n v="0"/>
    <n v="46"/>
    <n v="74"/>
    <n v="0"/>
    <n v="262.64999999999998"/>
    <n v="253.9"/>
    <m/>
    <n v="284.98732684349397"/>
    <n v="317.3874512882154"/>
    <n v="0"/>
    <n v="2227.0093499999998"/>
    <n v="2152.8181"/>
    <n v="0"/>
    <n v="2416.4075443059851"/>
    <n v="2691.1281994727783"/>
  </r>
  <r>
    <s v="Sistema Isolado - Regular"/>
    <x v="3"/>
    <x v="2"/>
    <x v="0"/>
    <x v="0"/>
    <x v="0"/>
    <x v="0"/>
    <x v="0"/>
    <x v="2"/>
    <n v="0"/>
    <n v="0"/>
    <n v="73.453000000000003"/>
    <n v="73.453000000000003"/>
    <n v="73.453000000000003"/>
    <n v="73.453000000000003"/>
    <n v="0"/>
    <x v="0"/>
    <n v="0"/>
    <n v="0"/>
    <n v="46"/>
    <n v="74"/>
    <n v="0"/>
    <n v="262.64999999999998"/>
    <n v="253.9"/>
    <m/>
    <n v="284.98732684349397"/>
    <n v="317.3874512882154"/>
    <n v="0"/>
    <n v="19292.43045"/>
    <n v="18649.716700000001"/>
    <n v="0"/>
    <n v="20933.174118635165"/>
    <n v="23313.060459473287"/>
  </r>
  <r>
    <s v="Sistema de Compensação"/>
    <x v="3"/>
    <x v="2"/>
    <x v="0"/>
    <x v="0"/>
    <x v="0"/>
    <x v="0"/>
    <x v="0"/>
    <x v="2"/>
    <n v="0"/>
    <n v="0"/>
    <n v="7.1130000000000004"/>
    <n v="7.1130000000000004"/>
    <n v="7.1130000000000004"/>
    <n v="7.1130000000000004"/>
    <n v="0"/>
    <x v="0"/>
    <n v="0"/>
    <n v="0"/>
    <n v="46"/>
    <n v="74"/>
    <n v="0"/>
    <n v="262.64999999999998"/>
    <n v="253.9"/>
    <m/>
    <n v="284.98732684349397"/>
    <n v="317.3874512882154"/>
    <n v="0"/>
    <n v="1868.22945"/>
    <n v="1805.9907000000001"/>
    <n v="0"/>
    <n v="2027.1148558377727"/>
    <n v="2257.5769410130761"/>
  </r>
  <r>
    <s v="Sistema Isolado - Regular"/>
    <x v="3"/>
    <x v="2"/>
    <x v="0"/>
    <x v="0"/>
    <x v="0"/>
    <x v="0"/>
    <x v="0"/>
    <x v="3"/>
    <n v="0"/>
    <n v="0"/>
    <n v="80.587000000000003"/>
    <n v="80.587000000000003"/>
    <n v="80.587000000000003"/>
    <n v="80.587000000000003"/>
    <n v="0"/>
    <x v="0"/>
    <n v="0"/>
    <n v="0"/>
    <n v="46"/>
    <n v="74"/>
    <n v="0"/>
    <n v="262.64999999999998"/>
    <n v="253.9"/>
    <m/>
    <n v="284.98732684349397"/>
    <n v="317.3874512882154"/>
    <n v="0"/>
    <n v="21166.17555"/>
    <n v="20461.0393"/>
    <n v="0"/>
    <n v="22966.273708336648"/>
    <n v="25577.302536963416"/>
  </r>
  <r>
    <s v="Sistema de Compensação"/>
    <x v="3"/>
    <x v="2"/>
    <x v="0"/>
    <x v="0"/>
    <x v="0"/>
    <x v="0"/>
    <x v="0"/>
    <x v="3"/>
    <n v="0"/>
    <n v="0"/>
    <n v="6.3689999999999998"/>
    <n v="6.3689999999999998"/>
    <n v="6.3689999999999998"/>
    <n v="6.3689999999999998"/>
    <n v="0"/>
    <x v="0"/>
    <n v="0"/>
    <n v="0"/>
    <n v="46"/>
    <n v="74"/>
    <n v="0"/>
    <n v="262.64999999999998"/>
    <n v="253.9"/>
    <m/>
    <n v="284.98732684349397"/>
    <n v="317.3874512882154"/>
    <n v="0"/>
    <n v="1672.8178499999999"/>
    <n v="1617.0890999999999"/>
    <n v="0"/>
    <n v="1815.0842846662131"/>
    <n v="2021.4406772546438"/>
  </r>
  <r>
    <s v="Sistema Isolado - Regular"/>
    <x v="3"/>
    <x v="2"/>
    <x v="0"/>
    <x v="0"/>
    <x v="0"/>
    <x v="0"/>
    <x v="0"/>
    <x v="4"/>
    <n v="0"/>
    <n v="0"/>
    <n v="91.36"/>
    <n v="91.36"/>
    <n v="91.36"/>
    <n v="91.36"/>
    <n v="0"/>
    <x v="0"/>
    <n v="0"/>
    <n v="0"/>
    <n v="46"/>
    <n v="74"/>
    <n v="0"/>
    <n v="262.64999999999998"/>
    <n v="253.9"/>
    <m/>
    <n v="284.98732684349397"/>
    <n v="317.3874512882154"/>
    <n v="0"/>
    <n v="23995.703999999998"/>
    <n v="23196.304"/>
    <n v="0"/>
    <n v="26036.442180421611"/>
    <n v="28996.517549691358"/>
  </r>
  <r>
    <s v="Sistema de Compensação"/>
    <x v="3"/>
    <x v="2"/>
    <x v="0"/>
    <x v="0"/>
    <x v="0"/>
    <x v="0"/>
    <x v="0"/>
    <x v="4"/>
    <n v="0"/>
    <n v="0"/>
    <n v="4.6559999999999997"/>
    <n v="4.6559999999999997"/>
    <n v="4.6559999999999997"/>
    <n v="4.6559999999999997"/>
    <n v="0"/>
    <x v="0"/>
    <n v="0"/>
    <n v="0"/>
    <n v="46"/>
    <n v="74"/>
    <n v="0"/>
    <n v="262.64999999999998"/>
    <n v="253.9"/>
    <m/>
    <n v="284.98732684349397"/>
    <n v="317.3874512882154"/>
    <n v="0"/>
    <n v="1222.8983999999998"/>
    <n v="1182.1584"/>
    <n v="0"/>
    <n v="1326.900993783308"/>
    <n v="1477.7559731979309"/>
  </r>
  <r>
    <s v="Sistema Isolado - Regular"/>
    <x v="3"/>
    <x v="2"/>
    <x v="0"/>
    <x v="0"/>
    <x v="0"/>
    <x v="0"/>
    <x v="0"/>
    <x v="5"/>
    <n v="0"/>
    <n v="0"/>
    <n v="91.36"/>
    <n v="91.36"/>
    <n v="91.36"/>
    <n v="91.36"/>
    <n v="0"/>
    <x v="0"/>
    <n v="0"/>
    <n v="0"/>
    <n v="46"/>
    <n v="74"/>
    <n v="0"/>
    <n v="262.64999999999998"/>
    <n v="253.9"/>
    <m/>
    <n v="284.98732684349397"/>
    <n v="317.3874512882154"/>
    <n v="0"/>
    <n v="23995.703999999998"/>
    <n v="23196.304"/>
    <n v="0"/>
    <n v="26036.442180421611"/>
    <n v="28996.517549691358"/>
  </r>
  <r>
    <s v="Sistema de Compensação"/>
    <x v="3"/>
    <x v="2"/>
    <x v="0"/>
    <x v="0"/>
    <x v="0"/>
    <x v="0"/>
    <x v="0"/>
    <x v="5"/>
    <n v="0"/>
    <n v="0"/>
    <n v="4.6559999999999997"/>
    <n v="4.6559999999999997"/>
    <n v="4.6559999999999997"/>
    <n v="4.6559999999999997"/>
    <n v="0"/>
    <x v="0"/>
    <n v="0"/>
    <n v="0"/>
    <n v="46"/>
    <n v="74"/>
    <n v="0"/>
    <n v="262.64999999999998"/>
    <n v="253.9"/>
    <m/>
    <n v="284.98732684349397"/>
    <n v="317.3874512882154"/>
    <n v="0"/>
    <n v="1222.8983999999998"/>
    <n v="1182.1584"/>
    <n v="0"/>
    <n v="1326.900993783308"/>
    <n v="1477.7559731979309"/>
  </r>
  <r>
    <s v="Sistema Isolado - Regular"/>
    <x v="3"/>
    <x v="2"/>
    <x v="0"/>
    <x v="0"/>
    <x v="0"/>
    <x v="0"/>
    <x v="0"/>
    <x v="6"/>
    <n v="0"/>
    <n v="0"/>
    <n v="89.512"/>
    <n v="89.512"/>
    <n v="89.512"/>
    <n v="89.512"/>
    <n v="0"/>
    <x v="0"/>
    <n v="0"/>
    <n v="0"/>
    <n v="46"/>
    <n v="74"/>
    <n v="0"/>
    <n v="262.64999999999998"/>
    <n v="253.9"/>
    <m/>
    <n v="284.98732684349397"/>
    <n v="317.3874512882154"/>
    <n v="0"/>
    <n v="23510.326799999999"/>
    <n v="22727.096799999999"/>
    <n v="0"/>
    <n v="25509.785600414834"/>
    <n v="28409.985539710739"/>
  </r>
  <r>
    <s v="Sistema de Compensação"/>
    <x v="3"/>
    <x v="2"/>
    <x v="0"/>
    <x v="0"/>
    <x v="0"/>
    <x v="0"/>
    <x v="0"/>
    <x v="6"/>
    <n v="0"/>
    <n v="0"/>
    <n v="18.28"/>
    <n v="18.28"/>
    <n v="18.28"/>
    <n v="18.28"/>
    <n v="0"/>
    <x v="0"/>
    <n v="0"/>
    <n v="0"/>
    <n v="46"/>
    <n v="74"/>
    <n v="0"/>
    <n v="262.64999999999998"/>
    <n v="253.9"/>
    <m/>
    <n v="284.98732684349397"/>
    <n v="317.3874512882154"/>
    <n v="0"/>
    <n v="4801.2420000000002"/>
    <n v="4641.2920000000004"/>
    <n v="0"/>
    <n v="5209.56833469907"/>
    <n v="5801.8426095485784"/>
  </r>
  <r>
    <s v="Sistema Isolado - Regular"/>
    <x v="3"/>
    <x v="2"/>
    <x v="0"/>
    <x v="0"/>
    <x v="0"/>
    <x v="0"/>
    <x v="0"/>
    <x v="7"/>
    <n v="0"/>
    <n v="0"/>
    <n v="86.263999999999996"/>
    <n v="86.263999999999996"/>
    <n v="86.263999999999996"/>
    <n v="86.263999999999996"/>
    <n v="0"/>
    <x v="0"/>
    <n v="0"/>
    <n v="0"/>
    <n v="46"/>
    <n v="74"/>
    <n v="0"/>
    <n v="262.64999999999998"/>
    <n v="253.9"/>
    <m/>
    <n v="284.98732684349397"/>
    <n v="317.3874512882154"/>
    <n v="0"/>
    <n v="22657.239599999997"/>
    <n v="21902.429599999999"/>
    <n v="0"/>
    <n v="24584.146762827164"/>
    <n v="27379.111097926612"/>
  </r>
  <r>
    <s v="Sistema de Compensação"/>
    <x v="3"/>
    <x v="2"/>
    <x v="0"/>
    <x v="0"/>
    <x v="0"/>
    <x v="0"/>
    <x v="0"/>
    <x v="7"/>
    <n v="0"/>
    <n v="0"/>
    <n v="4.4560000000000004"/>
    <n v="4.4560000000000004"/>
    <n v="4.4560000000000004"/>
    <n v="4.4560000000000004"/>
    <n v="0"/>
    <x v="0"/>
    <n v="0"/>
    <n v="0"/>
    <n v="46"/>
    <n v="74"/>
    <n v="0"/>
    <n v="262.64999999999998"/>
    <n v="253.9"/>
    <m/>
    <n v="284.98732684349397"/>
    <n v="317.3874512882154"/>
    <n v="0"/>
    <n v="1170.3684000000001"/>
    <n v="1131.3784000000001"/>
    <n v="0"/>
    <n v="1269.9035284146094"/>
    <n v="1414.2784829402879"/>
  </r>
  <r>
    <s v="Sistema Isolado - Regular"/>
    <x v="3"/>
    <x v="2"/>
    <x v="0"/>
    <x v="0"/>
    <x v="0"/>
    <x v="0"/>
    <x v="0"/>
    <x v="8"/>
    <n v="0"/>
    <n v="0"/>
    <n v="87.045000000000002"/>
    <n v="87.045000000000002"/>
    <n v="87.045000000000002"/>
    <n v="87.045000000000002"/>
    <n v="0"/>
    <x v="0"/>
    <n v="0"/>
    <n v="0"/>
    <n v="46"/>
    <n v="74"/>
    <n v="0"/>
    <n v="262.64999999999998"/>
    <n v="253.9"/>
    <m/>
    <n v="284.98732684349397"/>
    <n v="317.3874512882154"/>
    <n v="0"/>
    <n v="22862.36925"/>
    <n v="22100.7255"/>
    <n v="0"/>
    <n v="24806.721865091935"/>
    <n v="27626.990697382709"/>
  </r>
  <r>
    <s v="Sistema de Compensação"/>
    <x v="3"/>
    <x v="2"/>
    <x v="0"/>
    <x v="0"/>
    <x v="0"/>
    <x v="0"/>
    <x v="0"/>
    <x v="8"/>
    <n v="0"/>
    <n v="0"/>
    <n v="4.4320000000000004"/>
    <n v="4.4320000000000004"/>
    <n v="4.4320000000000004"/>
    <n v="4.4320000000000004"/>
    <n v="0"/>
    <x v="0"/>
    <n v="0"/>
    <n v="0"/>
    <n v="46"/>
    <n v="74"/>
    <n v="0"/>
    <n v="262.64999999999998"/>
    <n v="253.9"/>
    <m/>
    <n v="284.98732684349397"/>
    <n v="317.3874512882154"/>
    <n v="0"/>
    <n v="1164.0648000000001"/>
    <n v="1125.2848000000001"/>
    <n v="0"/>
    <n v="1263.0638325703653"/>
    <n v="1406.6611841093709"/>
  </r>
  <r>
    <s v="Sistema Isolado - Regular"/>
    <x v="3"/>
    <x v="2"/>
    <x v="0"/>
    <x v="0"/>
    <x v="0"/>
    <x v="0"/>
    <x v="0"/>
    <x v="9"/>
    <n v="0"/>
    <n v="0"/>
    <n v="109.024"/>
    <n v="109.024"/>
    <n v="109.024"/>
    <n v="109.024"/>
    <n v="0"/>
    <x v="0"/>
    <n v="0"/>
    <n v="0"/>
    <n v="46"/>
    <n v="74"/>
    <n v="0"/>
    <n v="262.64999999999998"/>
    <n v="253.9"/>
    <m/>
    <n v="284.98732684349397"/>
    <n v="317.3874512882154"/>
    <n v="0"/>
    <n v="28635.153599999998"/>
    <n v="27681.193600000002"/>
    <n v="0"/>
    <n v="31070.458321785089"/>
    <n v="34602.849489246393"/>
  </r>
  <r>
    <s v="Sistema de Compensação"/>
    <x v="3"/>
    <x v="2"/>
    <x v="0"/>
    <x v="0"/>
    <x v="0"/>
    <x v="0"/>
    <x v="0"/>
    <x v="9"/>
    <n v="0"/>
    <n v="0"/>
    <n v="5.5510000000000002"/>
    <n v="5.5510000000000002"/>
    <n v="5.5510000000000002"/>
    <n v="5.5510000000000002"/>
    <n v="0"/>
    <x v="0"/>
    <n v="0"/>
    <n v="0"/>
    <n v="46"/>
    <n v="74"/>
    <n v="0"/>
    <n v="262.64999999999998"/>
    <n v="253.9"/>
    <m/>
    <n v="284.98732684349397"/>
    <n v="317.3874512882154"/>
    <n v="0"/>
    <n v="1457.9701499999999"/>
    <n v="1409.3989000000001"/>
    <n v="0"/>
    <n v="1581.964651308235"/>
    <n v="1761.8177421008838"/>
  </r>
  <r>
    <s v="Sistema Isolado - Regular"/>
    <x v="3"/>
    <x v="2"/>
    <x v="0"/>
    <x v="0"/>
    <x v="0"/>
    <x v="0"/>
    <x v="0"/>
    <x v="10"/>
    <n v="0"/>
    <n v="0"/>
    <n v="105.971"/>
    <n v="105.971"/>
    <n v="105.971"/>
    <n v="105.971"/>
    <n v="0"/>
    <x v="0"/>
    <n v="0"/>
    <n v="0"/>
    <n v="46"/>
    <n v="74"/>
    <n v="0"/>
    <n v="262.64999999999998"/>
    <n v="253.9"/>
    <m/>
    <n v="284.98732684349397"/>
    <n v="317.3874512882154"/>
    <n v="0"/>
    <n v="27833.283149999999"/>
    <n v="26906.036900000003"/>
    <n v="0"/>
    <n v="30200.392012931901"/>
    <n v="33633.865600463476"/>
  </r>
  <r>
    <s v="Sistema de Compensação"/>
    <x v="3"/>
    <x v="2"/>
    <x v="0"/>
    <x v="0"/>
    <x v="0"/>
    <x v="0"/>
    <x v="0"/>
    <x v="10"/>
    <n v="0"/>
    <n v="0"/>
    <n v="5.8120000000000003"/>
    <n v="5.8120000000000003"/>
    <n v="5.8120000000000003"/>
    <n v="5.8120000000000003"/>
    <n v="0"/>
    <x v="0"/>
    <n v="0"/>
    <n v="0"/>
    <n v="46"/>
    <n v="74"/>
    <n v="0"/>
    <n v="262.64999999999998"/>
    <n v="253.9"/>
    <m/>
    <n v="284.98732684349397"/>
    <n v="317.3874512882154"/>
    <n v="0"/>
    <n v="1526.5218"/>
    <n v="1475.6668000000002"/>
    <n v="0"/>
    <n v="1656.346343614387"/>
    <n v="1844.655866887108"/>
  </r>
  <r>
    <s v="PROJETADO"/>
    <x v="3"/>
    <x v="2"/>
    <x v="0"/>
    <x v="0"/>
    <x v="0"/>
    <x v="0"/>
    <x v="0"/>
    <x v="11"/>
    <n v="0"/>
    <n v="0"/>
    <n v="105.971"/>
    <n v="105.971"/>
    <n v="105.971"/>
    <n v="105.971"/>
    <n v="0"/>
    <x v="0"/>
    <n v="0"/>
    <n v="0"/>
    <n v="46"/>
    <n v="74"/>
    <n v="0"/>
    <n v="262.64999999999998"/>
    <n v="253.9"/>
    <m/>
    <n v="284.98732684349397"/>
    <n v="317.3874512882154"/>
    <n v="0"/>
    <n v="27833.283149999999"/>
    <n v="26906.036900000003"/>
    <n v="0"/>
    <n v="30200.392012931901"/>
    <n v="33633.865600463476"/>
  </r>
  <r>
    <s v="PROJETADO"/>
    <x v="3"/>
    <x v="2"/>
    <x v="0"/>
    <x v="0"/>
    <x v="0"/>
    <x v="0"/>
    <x v="0"/>
    <x v="11"/>
    <n v="0"/>
    <n v="0"/>
    <n v="5.8120000000000003"/>
    <n v="5.8120000000000003"/>
    <n v="5.8120000000000003"/>
    <n v="5.8120000000000003"/>
    <n v="0"/>
    <x v="0"/>
    <n v="0"/>
    <n v="0"/>
    <n v="46"/>
    <n v="74"/>
    <n v="0"/>
    <n v="262.64999999999998"/>
    <n v="253.9"/>
    <m/>
    <n v="284.98732684349397"/>
    <n v="317.3874512882154"/>
    <n v="0"/>
    <n v="1526.5218"/>
    <n v="1475.6668000000002"/>
    <n v="0"/>
    <n v="1656.346343614387"/>
    <n v="1844.655866887108"/>
  </r>
  <r>
    <s v="Sistema Isolado - Regular"/>
    <x v="3"/>
    <x v="2"/>
    <x v="0"/>
    <x v="0"/>
    <x v="0"/>
    <x v="0"/>
    <x v="3"/>
    <x v="0"/>
    <n v="0"/>
    <n v="0"/>
    <n v="2.2509999999999999"/>
    <n v="2.2509999999999999"/>
    <n v="2.2509999999999999"/>
    <n v="2.2509999999999999"/>
    <n v="0"/>
    <x v="0"/>
    <n v="0"/>
    <n v="0"/>
    <n v="54"/>
    <n v="82"/>
    <n v="0"/>
    <n v="554.39"/>
    <n v="253.9"/>
    <m/>
    <n v="663.67521296092696"/>
    <n v="317.3874512882154"/>
    <n v="0"/>
    <n v="1247.9318899999998"/>
    <n v="571.52890000000002"/>
    <n v="0"/>
    <n v="1493.9329043750465"/>
    <n v="714.43915284977288"/>
  </r>
  <r>
    <s v="Sistema Isolado - Regular"/>
    <x v="3"/>
    <x v="2"/>
    <x v="0"/>
    <x v="0"/>
    <x v="0"/>
    <x v="0"/>
    <x v="3"/>
    <x v="1"/>
    <n v="0"/>
    <n v="0"/>
    <n v="2.1259999999999999"/>
    <n v="2.1259999999999999"/>
    <n v="2.1259999999999999"/>
    <n v="2.1259999999999999"/>
    <n v="0"/>
    <x v="0"/>
    <n v="0"/>
    <n v="0"/>
    <n v="54"/>
    <n v="82"/>
    <n v="0"/>
    <n v="554.39"/>
    <n v="253.9"/>
    <m/>
    <n v="663.67521296092696"/>
    <n v="317.3874512882154"/>
    <n v="0"/>
    <n v="1178.6331399999999"/>
    <n v="539.79139999999995"/>
    <n v="0"/>
    <n v="1410.9735027549307"/>
    <n v="674.76572143874591"/>
  </r>
  <r>
    <s v="Sistema Isolado - Regular"/>
    <x v="3"/>
    <x v="2"/>
    <x v="0"/>
    <x v="0"/>
    <x v="0"/>
    <x v="0"/>
    <x v="3"/>
    <x v="2"/>
    <n v="0"/>
    <n v="0"/>
    <n v="1.875"/>
    <n v="1.875"/>
    <n v="1.875"/>
    <n v="1.875"/>
    <n v="0"/>
    <x v="0"/>
    <n v="0"/>
    <n v="0"/>
    <n v="54"/>
    <n v="82"/>
    <n v="0"/>
    <n v="554.39"/>
    <n v="253.9"/>
    <m/>
    <n v="663.67521296092696"/>
    <n v="317.3874512882154"/>
    <n v="0"/>
    <n v="1039.48125"/>
    <n v="476.0625"/>
    <n v="0"/>
    <n v="1244.3910243017381"/>
    <n v="595.10147116540384"/>
  </r>
  <r>
    <s v="Sistema Isolado - Regular"/>
    <x v="3"/>
    <x v="2"/>
    <x v="0"/>
    <x v="0"/>
    <x v="0"/>
    <x v="0"/>
    <x v="3"/>
    <x v="3"/>
    <n v="0"/>
    <n v="0"/>
    <n v="1.8560000000000001"/>
    <n v="1.8560000000000001"/>
    <n v="1.8560000000000001"/>
    <n v="1.8560000000000001"/>
    <n v="0"/>
    <x v="0"/>
    <n v="0"/>
    <n v="0"/>
    <n v="54"/>
    <n v="82"/>
    <n v="0"/>
    <n v="554.39"/>
    <n v="253.9"/>
    <m/>
    <n v="663.67521296092696"/>
    <n v="317.3874512882154"/>
    <n v="0"/>
    <n v="1028.94784"/>
    <n v="471.23840000000001"/>
    <n v="0"/>
    <n v="1231.7811952554805"/>
    <n v="589.07110959092779"/>
  </r>
  <r>
    <s v="Sistema Isolado - Regular"/>
    <x v="3"/>
    <x v="2"/>
    <x v="0"/>
    <x v="0"/>
    <x v="0"/>
    <x v="0"/>
    <x v="3"/>
    <x v="4"/>
    <n v="0"/>
    <n v="0"/>
    <n v="2.1440000000000001"/>
    <n v="2.1440000000000001"/>
    <n v="2.1440000000000001"/>
    <n v="2.1440000000000001"/>
    <n v="0"/>
    <x v="0"/>
    <n v="0"/>
    <n v="0"/>
    <n v="54"/>
    <n v="82"/>
    <n v="0"/>
    <n v="554.39"/>
    <n v="253.9"/>
    <m/>
    <n v="663.67521296092696"/>
    <n v="317.3874512882154"/>
    <n v="0"/>
    <n v="1188.6121600000001"/>
    <n v="544.36160000000007"/>
    <n v="0"/>
    <n v="1422.9196565882276"/>
    <n v="680.47869556193382"/>
  </r>
  <r>
    <s v="Sistema Isolado - Regular"/>
    <x v="3"/>
    <x v="2"/>
    <x v="0"/>
    <x v="0"/>
    <x v="0"/>
    <x v="0"/>
    <x v="3"/>
    <x v="5"/>
    <n v="0"/>
    <n v="0"/>
    <n v="2.1440000000000001"/>
    <n v="2.1440000000000001"/>
    <n v="2.1440000000000001"/>
    <n v="2.1440000000000001"/>
    <n v="0"/>
    <x v="0"/>
    <n v="0"/>
    <n v="0"/>
    <n v="54"/>
    <n v="82"/>
    <n v="0"/>
    <n v="554.39"/>
    <n v="253.9"/>
    <m/>
    <n v="663.67521296092696"/>
    <n v="317.3874512882154"/>
    <n v="0"/>
    <n v="1188.6121600000001"/>
    <n v="544.36160000000007"/>
    <n v="0"/>
    <n v="1422.9196565882276"/>
    <n v="680.47869556193382"/>
  </r>
  <r>
    <s v="Sistema Isolado - Regular"/>
    <x v="3"/>
    <x v="2"/>
    <x v="0"/>
    <x v="0"/>
    <x v="0"/>
    <x v="0"/>
    <x v="3"/>
    <x v="6"/>
    <n v="0"/>
    <n v="0"/>
    <n v="2.036"/>
    <n v="2.036"/>
    <n v="2.036"/>
    <n v="2.036"/>
    <n v="0"/>
    <x v="0"/>
    <n v="0"/>
    <n v="0"/>
    <n v="54"/>
    <n v="82"/>
    <n v="0"/>
    <n v="554.39"/>
    <n v="253.9"/>
    <m/>
    <n v="663.67521296092696"/>
    <n v="317.3874512882154"/>
    <n v="0"/>
    <n v="1128.73804"/>
    <n v="516.94040000000007"/>
    <n v="0"/>
    <n v="1351.2427335884472"/>
    <n v="646.20085082280661"/>
  </r>
  <r>
    <s v="Sistema Isolado - Regular"/>
    <x v="3"/>
    <x v="2"/>
    <x v="0"/>
    <x v="0"/>
    <x v="0"/>
    <x v="0"/>
    <x v="3"/>
    <x v="7"/>
    <n v="0"/>
    <n v="0"/>
    <n v="2.3340000000000001"/>
    <n v="2.3340000000000001"/>
    <n v="2.3340000000000001"/>
    <n v="2.3340000000000001"/>
    <n v="0"/>
    <x v="0"/>
    <n v="0"/>
    <n v="0"/>
    <n v="54"/>
    <n v="82"/>
    <n v="0"/>
    <n v="554.39"/>
    <n v="253.9"/>
    <m/>
    <n v="663.67521296092696"/>
    <n v="317.3874512882154"/>
    <n v="0"/>
    <n v="1293.9462599999999"/>
    <n v="592.60260000000005"/>
    <n v="0"/>
    <n v="1549.0179470508035"/>
    <n v="740.78231130669474"/>
  </r>
  <r>
    <s v="Sistema Isolado - Regular"/>
    <x v="3"/>
    <x v="2"/>
    <x v="0"/>
    <x v="0"/>
    <x v="0"/>
    <x v="0"/>
    <x v="3"/>
    <x v="8"/>
    <n v="0"/>
    <n v="0"/>
    <n v="2.3199999999999998"/>
    <n v="2.3199999999999998"/>
    <n v="2.3199999999999998"/>
    <n v="2.3199999999999998"/>
    <n v="0"/>
    <x v="0"/>
    <n v="0"/>
    <n v="0"/>
    <n v="54"/>
    <n v="82"/>
    <n v="0"/>
    <n v="554.39"/>
    <n v="253.9"/>
    <m/>
    <n v="663.67521296092696"/>
    <n v="317.3874512882154"/>
    <n v="0"/>
    <n v="1286.1847999999998"/>
    <n v="589.048"/>
    <n v="0"/>
    <n v="1539.7264940693503"/>
    <n v="736.33888698865974"/>
  </r>
  <r>
    <s v="Sistema Isolado - Regular"/>
    <x v="3"/>
    <x v="2"/>
    <x v="0"/>
    <x v="0"/>
    <x v="0"/>
    <x v="0"/>
    <x v="3"/>
    <x v="9"/>
    <n v="0"/>
    <n v="0"/>
    <n v="2.6160000000000001"/>
    <n v="2.6160000000000001"/>
    <n v="2.6160000000000001"/>
    <n v="2.6160000000000001"/>
    <n v="0"/>
    <x v="0"/>
    <n v="0"/>
    <n v="0"/>
    <n v="54"/>
    <n v="82"/>
    <n v="0"/>
    <n v="554.39"/>
    <n v="253.9"/>
    <m/>
    <n v="663.67521296092696"/>
    <n v="317.3874512882154"/>
    <n v="0"/>
    <n v="1450.28424"/>
    <n v="664.20240000000001"/>
    <n v="0"/>
    <n v="1736.174357105785"/>
    <n v="830.28557256997158"/>
  </r>
  <r>
    <s v="Sistema Isolado - Regular"/>
    <x v="3"/>
    <x v="2"/>
    <x v="0"/>
    <x v="0"/>
    <x v="0"/>
    <x v="0"/>
    <x v="3"/>
    <x v="10"/>
    <n v="0"/>
    <n v="0"/>
    <n v="2.3439999999999999"/>
    <n v="2.3439999999999999"/>
    <n v="2.3439999999999999"/>
    <n v="2.3439999999999999"/>
    <n v="0"/>
    <x v="0"/>
    <n v="0"/>
    <n v="0"/>
    <n v="54"/>
    <n v="82"/>
    <n v="0"/>
    <n v="554.39"/>
    <n v="253.9"/>
    <m/>
    <n v="663.67521296092696"/>
    <n v="317.3874512882154"/>
    <n v="0"/>
    <n v="1299.4901599999998"/>
    <n v="595.14159999999993"/>
    <n v="0"/>
    <n v="1555.6546991804128"/>
    <n v="743.95618581957683"/>
  </r>
  <r>
    <s v="PROJETADO"/>
    <x v="3"/>
    <x v="2"/>
    <x v="0"/>
    <x v="0"/>
    <x v="0"/>
    <x v="0"/>
    <x v="3"/>
    <x v="11"/>
    <n v="0"/>
    <n v="0"/>
    <n v="2.3439999999999999"/>
    <n v="2.3439999999999999"/>
    <n v="2.3439999999999999"/>
    <n v="2.3439999999999999"/>
    <n v="0"/>
    <x v="0"/>
    <n v="0"/>
    <n v="0"/>
    <n v="54"/>
    <n v="82"/>
    <n v="0"/>
    <n v="554.39"/>
    <n v="253.9"/>
    <m/>
    <n v="663.67521296092696"/>
    <n v="317.3874512882154"/>
    <n v="0"/>
    <n v="1299.4901599999998"/>
    <n v="595.14159999999993"/>
    <n v="0"/>
    <n v="1555.6546991804128"/>
    <n v="743.95618581957683"/>
  </r>
  <r>
    <s v="Sistema Isolado - Regular"/>
    <x v="3"/>
    <x v="2"/>
    <x v="0"/>
    <x v="0"/>
    <x v="0"/>
    <x v="0"/>
    <x v="1"/>
    <x v="0"/>
    <n v="0"/>
    <n v="0"/>
    <n v="3.335"/>
    <n v="3.335"/>
    <n v="3.335"/>
    <n v="3.335"/>
    <n v="0"/>
    <x v="0"/>
    <n v="0"/>
    <n v="0"/>
    <n v="64"/>
    <n v="85"/>
    <n v="0"/>
    <n v="846.09"/>
    <n v="433.77"/>
    <m/>
    <n v="1042.3468883755038"/>
    <n v="542.84414704984056"/>
    <n v="0"/>
    <n v="2821.7101499999999"/>
    <n v="1446.6229499999999"/>
    <n v="0"/>
    <n v="3476.2268727323053"/>
    <n v="1810.3852304112183"/>
  </r>
  <r>
    <s v="Sistema de Compensação"/>
    <x v="3"/>
    <x v="2"/>
    <x v="0"/>
    <x v="0"/>
    <x v="0"/>
    <x v="0"/>
    <x v="1"/>
    <x v="0"/>
    <n v="0"/>
    <n v="0"/>
    <n v="0.15"/>
    <n v="0.15"/>
    <n v="0.15"/>
    <n v="0.15"/>
    <n v="0"/>
    <x v="0"/>
    <n v="0"/>
    <n v="0"/>
    <n v="64"/>
    <n v="85"/>
    <n v="0"/>
    <n v="846.09"/>
    <n v="433.77"/>
    <m/>
    <n v="1042.3468883755038"/>
    <n v="542.84414704984056"/>
    <n v="0"/>
    <n v="126.9135"/>
    <n v="65.0655"/>
    <n v="0"/>
    <n v="156.35203325632557"/>
    <n v="81.426622057476081"/>
  </r>
  <r>
    <s v="Sistema Isolado - Regular"/>
    <x v="3"/>
    <x v="2"/>
    <x v="0"/>
    <x v="0"/>
    <x v="0"/>
    <x v="0"/>
    <x v="1"/>
    <x v="1"/>
    <n v="0"/>
    <n v="0"/>
    <n v="2.8759999999999999"/>
    <n v="2.8759999999999999"/>
    <n v="2.8759999999999999"/>
    <n v="2.8759999999999999"/>
    <n v="0"/>
    <x v="0"/>
    <n v="0"/>
    <n v="0"/>
    <n v="64"/>
    <n v="85"/>
    <n v="0"/>
    <n v="846.09"/>
    <n v="433.77"/>
    <m/>
    <n v="1042.3468883755038"/>
    <n v="542.84414704984056"/>
    <n v="0"/>
    <n v="2433.35484"/>
    <n v="1247.52252"/>
    <n v="0"/>
    <n v="2997.789650967949"/>
    <n v="1561.2197669153413"/>
  </r>
  <r>
    <s v="Sistema de Compensação"/>
    <x v="3"/>
    <x v="2"/>
    <x v="0"/>
    <x v="0"/>
    <x v="0"/>
    <x v="0"/>
    <x v="1"/>
    <x v="1"/>
    <n v="0"/>
    <n v="0"/>
    <n v="0.2"/>
    <n v="0.2"/>
    <n v="0.2"/>
    <n v="0.2"/>
    <n v="0"/>
    <x v="0"/>
    <n v="0"/>
    <n v="0"/>
    <n v="64"/>
    <n v="85"/>
    <n v="0"/>
    <n v="846.09"/>
    <n v="433.77"/>
    <m/>
    <n v="1042.3468883755038"/>
    <n v="542.84414704984056"/>
    <n v="0"/>
    <n v="169.21800000000002"/>
    <n v="86.754000000000005"/>
    <n v="0"/>
    <n v="208.46937767510076"/>
    <n v="108.56882940996812"/>
  </r>
  <r>
    <s v="Sistema Isolado - Regular"/>
    <x v="3"/>
    <x v="2"/>
    <x v="0"/>
    <x v="0"/>
    <x v="0"/>
    <x v="0"/>
    <x v="1"/>
    <x v="2"/>
    <n v="0"/>
    <n v="0"/>
    <n v="2.6339999999999999"/>
    <n v="2.6339999999999999"/>
    <n v="2.6339999999999999"/>
    <n v="2.6339999999999999"/>
    <n v="0"/>
    <x v="0"/>
    <n v="0"/>
    <n v="0"/>
    <n v="64"/>
    <n v="85"/>
    <n v="0"/>
    <n v="846.09"/>
    <n v="433.77"/>
    <m/>
    <n v="1042.3468883755038"/>
    <n v="542.84414704984056"/>
    <n v="0"/>
    <n v="2228.60106"/>
    <n v="1142.55018"/>
    <n v="0"/>
    <n v="2745.5417039810768"/>
    <n v="1429.85148332928"/>
  </r>
  <r>
    <s v="Sistema de Compensação"/>
    <x v="3"/>
    <x v="2"/>
    <x v="0"/>
    <x v="0"/>
    <x v="0"/>
    <x v="0"/>
    <x v="1"/>
    <x v="2"/>
    <n v="0"/>
    <n v="0"/>
    <n v="0.14499999999999999"/>
    <n v="0.14499999999999999"/>
    <n v="0.14499999999999999"/>
    <n v="0.14499999999999999"/>
    <n v="0"/>
    <x v="0"/>
    <n v="0"/>
    <n v="0"/>
    <n v="64"/>
    <n v="85"/>
    <n v="0"/>
    <n v="846.09"/>
    <n v="433.77"/>
    <m/>
    <n v="1042.3468883755038"/>
    <n v="542.84414704984056"/>
    <n v="0"/>
    <n v="122.68304999999999"/>
    <n v="62.896649999999994"/>
    <n v="0"/>
    <n v="151.14029881444804"/>
    <n v="78.712401322226881"/>
  </r>
  <r>
    <s v="Sistema Isolado - Regular"/>
    <x v="3"/>
    <x v="2"/>
    <x v="0"/>
    <x v="0"/>
    <x v="0"/>
    <x v="0"/>
    <x v="1"/>
    <x v="3"/>
    <n v="0"/>
    <n v="0"/>
    <n v="2.6"/>
    <n v="2.6"/>
    <n v="2.6"/>
    <n v="2.6"/>
    <n v="0"/>
    <x v="0"/>
    <n v="0"/>
    <n v="0"/>
    <n v="64"/>
    <n v="85"/>
    <n v="0"/>
    <n v="846.09"/>
    <n v="433.77"/>
    <m/>
    <n v="1042.3468883755038"/>
    <n v="542.84414704984056"/>
    <n v="0"/>
    <n v="2199.8340000000003"/>
    <n v="1127.8019999999999"/>
    <n v="0"/>
    <n v="2710.1019097763101"/>
    <n v="1411.3947823295855"/>
  </r>
  <r>
    <s v="Sistema de Compensação"/>
    <x v="3"/>
    <x v="2"/>
    <x v="0"/>
    <x v="0"/>
    <x v="0"/>
    <x v="0"/>
    <x v="1"/>
    <x v="3"/>
    <n v="0"/>
    <n v="0"/>
    <n v="0.16600000000000001"/>
    <n v="0.16600000000000001"/>
    <n v="0.16600000000000001"/>
    <n v="0.16600000000000001"/>
    <n v="0"/>
    <x v="0"/>
    <n v="0"/>
    <n v="0"/>
    <n v="64"/>
    <n v="85"/>
    <n v="0"/>
    <n v="846.09"/>
    <n v="433.77"/>
    <m/>
    <n v="1042.3468883755038"/>
    <n v="542.84414704984056"/>
    <n v="0"/>
    <n v="140.45094"/>
    <n v="72.00582"/>
    <n v="0"/>
    <n v="173.02958347033365"/>
    <n v="90.112128410273542"/>
  </r>
  <r>
    <s v="Sistema Isolado - Regular"/>
    <x v="3"/>
    <x v="2"/>
    <x v="0"/>
    <x v="0"/>
    <x v="0"/>
    <x v="0"/>
    <x v="1"/>
    <x v="4"/>
    <n v="0"/>
    <n v="0"/>
    <n v="2.899"/>
    <n v="2.899"/>
    <n v="2.899"/>
    <n v="2.899"/>
    <n v="0"/>
    <x v="0"/>
    <n v="0"/>
    <n v="0"/>
    <n v="64"/>
    <n v="85"/>
    <n v="0"/>
    <n v="846.09"/>
    <n v="433.77"/>
    <m/>
    <n v="1042.3468883755038"/>
    <n v="542.84414704984056"/>
    <n v="0"/>
    <n v="2452.8149100000001"/>
    <n v="1257.4992299999999"/>
    <n v="0"/>
    <n v="3021.7636294005856"/>
    <n v="1573.7051822974877"/>
  </r>
  <r>
    <s v="Sistema de Compensação"/>
    <x v="3"/>
    <x v="2"/>
    <x v="0"/>
    <x v="0"/>
    <x v="0"/>
    <x v="0"/>
    <x v="1"/>
    <x v="4"/>
    <n v="0"/>
    <n v="0"/>
    <n v="0.17399999999999999"/>
    <n v="0.17399999999999999"/>
    <n v="0.17399999999999999"/>
    <n v="0.17399999999999999"/>
    <n v="0"/>
    <x v="0"/>
    <n v="0"/>
    <n v="0"/>
    <n v="64"/>
    <n v="85"/>
    <n v="0"/>
    <n v="846.09"/>
    <n v="433.77"/>
    <m/>
    <n v="1042.3468883755038"/>
    <n v="542.84414704984056"/>
    <n v="0"/>
    <n v="147.21966"/>
    <n v="75.475979999999993"/>
    <n v="0"/>
    <n v="181.36835857733766"/>
    <n v="94.454881586672244"/>
  </r>
  <r>
    <s v="Sistema Isolado - Regular"/>
    <x v="3"/>
    <x v="2"/>
    <x v="0"/>
    <x v="0"/>
    <x v="0"/>
    <x v="0"/>
    <x v="1"/>
    <x v="5"/>
    <n v="0"/>
    <n v="0"/>
    <n v="2.899"/>
    <n v="2.899"/>
    <n v="2.899"/>
    <n v="2.899"/>
    <n v="0"/>
    <x v="0"/>
    <n v="0"/>
    <n v="0"/>
    <n v="64"/>
    <n v="85"/>
    <n v="0"/>
    <n v="846.09"/>
    <n v="433.77"/>
    <m/>
    <n v="1042.3468883755038"/>
    <n v="542.84414704984056"/>
    <n v="0"/>
    <n v="2452.8149100000001"/>
    <n v="1257.4992299999999"/>
    <n v="0"/>
    <n v="3021.7636294005856"/>
    <n v="1573.7051822974877"/>
  </r>
  <r>
    <s v="Sistema de Compensação"/>
    <x v="3"/>
    <x v="2"/>
    <x v="0"/>
    <x v="0"/>
    <x v="0"/>
    <x v="0"/>
    <x v="1"/>
    <x v="5"/>
    <n v="0"/>
    <n v="0"/>
    <n v="0.17399999999999999"/>
    <n v="0.17399999999999999"/>
    <n v="0.17399999999999999"/>
    <n v="0.17399999999999999"/>
    <n v="0"/>
    <x v="0"/>
    <n v="0"/>
    <n v="0"/>
    <n v="64"/>
    <n v="85"/>
    <n v="0"/>
    <n v="846.09"/>
    <n v="433.77"/>
    <m/>
    <n v="1042.3468883755038"/>
    <n v="542.84414704984056"/>
    <n v="0"/>
    <n v="147.21966"/>
    <n v="75.475979999999993"/>
    <n v="0"/>
    <n v="181.36835857733766"/>
    <n v="94.454881586672244"/>
  </r>
  <r>
    <s v="Sistema Isolado - Regular"/>
    <x v="3"/>
    <x v="2"/>
    <x v="0"/>
    <x v="0"/>
    <x v="0"/>
    <x v="0"/>
    <x v="1"/>
    <x v="6"/>
    <n v="0"/>
    <n v="0"/>
    <n v="3.024"/>
    <n v="3.024"/>
    <n v="3.024"/>
    <n v="3.024"/>
    <n v="0"/>
    <x v="0"/>
    <n v="0"/>
    <n v="0"/>
    <n v="64"/>
    <n v="85"/>
    <n v="0"/>
    <n v="846.09"/>
    <n v="433.77"/>
    <m/>
    <n v="1042.3468883755038"/>
    <n v="542.84414704984056"/>
    <n v="0"/>
    <n v="2558.5761600000001"/>
    <n v="1311.72048"/>
    <n v="0"/>
    <n v="3152.0569904475233"/>
    <n v="1641.5607006787179"/>
  </r>
  <r>
    <s v="Sistema de Compensação"/>
    <x v="3"/>
    <x v="2"/>
    <x v="0"/>
    <x v="0"/>
    <x v="0"/>
    <x v="0"/>
    <x v="1"/>
    <x v="6"/>
    <n v="0"/>
    <n v="0"/>
    <n v="0.51600000000000001"/>
    <n v="0.51600000000000001"/>
    <n v="0.51600000000000001"/>
    <n v="0.51600000000000001"/>
    <n v="0"/>
    <x v="0"/>
    <n v="0"/>
    <n v="0"/>
    <n v="64"/>
    <n v="85"/>
    <n v="0"/>
    <n v="846.09"/>
    <n v="433.77"/>
    <m/>
    <n v="1042.3468883755038"/>
    <n v="542.84414704984056"/>
    <n v="0"/>
    <n v="436.58244000000002"/>
    <n v="223.82532"/>
    <n v="0"/>
    <n v="537.85099440175998"/>
    <n v="280.10757987771774"/>
  </r>
  <r>
    <s v="Sistema Isolado - Regular"/>
    <x v="3"/>
    <x v="2"/>
    <x v="0"/>
    <x v="0"/>
    <x v="0"/>
    <x v="0"/>
    <x v="1"/>
    <x v="7"/>
    <n v="0"/>
    <n v="0"/>
    <n v="3.0270000000000001"/>
    <n v="3.0270000000000001"/>
    <n v="3.0270000000000001"/>
    <n v="3.0270000000000001"/>
    <n v="0"/>
    <x v="0"/>
    <n v="0"/>
    <n v="0"/>
    <n v="64"/>
    <n v="85"/>
    <n v="0"/>
    <n v="846.09"/>
    <n v="433.77"/>
    <m/>
    <n v="1042.3468883755038"/>
    <n v="542.84414704984056"/>
    <n v="0"/>
    <n v="2561.1144300000001"/>
    <n v="1313.02179"/>
    <n v="0"/>
    <n v="3155.1840311126502"/>
    <n v="1643.1892331198674"/>
  </r>
  <r>
    <s v="Sistema de Compensação"/>
    <x v="3"/>
    <x v="2"/>
    <x v="0"/>
    <x v="0"/>
    <x v="0"/>
    <x v="0"/>
    <x v="1"/>
    <x v="7"/>
    <n v="0"/>
    <n v="0"/>
    <n v="0.17100000000000001"/>
    <n v="0.17100000000000001"/>
    <n v="0.17100000000000001"/>
    <n v="0.17100000000000001"/>
    <n v="0"/>
    <x v="0"/>
    <n v="0"/>
    <n v="0"/>
    <n v="64"/>
    <n v="85"/>
    <n v="0"/>
    <n v="846.09"/>
    <n v="433.77"/>
    <m/>
    <n v="1042.3468883755038"/>
    <n v="542.84414704984056"/>
    <n v="0"/>
    <n v="144.68139000000002"/>
    <n v="74.174670000000006"/>
    <n v="0"/>
    <n v="178.24131791221117"/>
    <n v="92.826349145522741"/>
  </r>
  <r>
    <s v="Sistema Isolado - Regular"/>
    <x v="3"/>
    <x v="2"/>
    <x v="0"/>
    <x v="0"/>
    <x v="0"/>
    <x v="0"/>
    <x v="1"/>
    <x v="8"/>
    <n v="0"/>
    <n v="0"/>
    <n v="2.8849999999999998"/>
    <n v="2.8849999999999998"/>
    <n v="2.8849999999999998"/>
    <n v="2.8849999999999998"/>
    <n v="0"/>
    <x v="0"/>
    <n v="0"/>
    <n v="0"/>
    <n v="64"/>
    <n v="85"/>
    <n v="0"/>
    <n v="846.09"/>
    <n v="433.77"/>
    <m/>
    <n v="1042.3468883755038"/>
    <n v="542.84414704984056"/>
    <n v="0"/>
    <n v="2440.96965"/>
    <n v="1251.4264499999999"/>
    <n v="0"/>
    <n v="3007.1707729633281"/>
    <n v="1566.1053642387899"/>
  </r>
  <r>
    <s v="Sistema de Compensação"/>
    <x v="3"/>
    <x v="2"/>
    <x v="0"/>
    <x v="0"/>
    <x v="0"/>
    <x v="0"/>
    <x v="1"/>
    <x v="8"/>
    <n v="0"/>
    <n v="0"/>
    <n v="0.14799999999999999"/>
    <n v="0.14799999999999999"/>
    <n v="0.14799999999999999"/>
    <n v="0.14799999999999999"/>
    <n v="0"/>
    <x v="0"/>
    <n v="0"/>
    <n v="0"/>
    <n v="64"/>
    <n v="85"/>
    <n v="0"/>
    <n v="846.09"/>
    <n v="433.77"/>
    <m/>
    <n v="1042.3468883755038"/>
    <n v="542.84414704984056"/>
    <n v="0"/>
    <n v="125.22131999999999"/>
    <n v="64.197959999999995"/>
    <n v="0"/>
    <n v="154.26733947957456"/>
    <n v="80.340933763376398"/>
  </r>
  <r>
    <s v="Sistema Isolado - Regular"/>
    <x v="3"/>
    <x v="2"/>
    <x v="0"/>
    <x v="0"/>
    <x v="0"/>
    <x v="0"/>
    <x v="1"/>
    <x v="9"/>
    <n v="0"/>
    <n v="0"/>
    <n v="3.5779999999999998"/>
    <n v="3.5779999999999998"/>
    <n v="3.5779999999999998"/>
    <n v="3.5779999999999998"/>
    <n v="0"/>
    <x v="0"/>
    <n v="0"/>
    <n v="0"/>
    <n v="64"/>
    <n v="85"/>
    <n v="0"/>
    <n v="846.09"/>
    <n v="433.77"/>
    <m/>
    <n v="1042.3468883755038"/>
    <n v="542.84414704984056"/>
    <n v="0"/>
    <n v="3027.3100199999999"/>
    <n v="1552.0290599999998"/>
    <n v="0"/>
    <n v="3729.5171666075526"/>
    <n v="1942.2963581443294"/>
  </r>
  <r>
    <s v="Sistema de Compensação"/>
    <x v="3"/>
    <x v="2"/>
    <x v="0"/>
    <x v="0"/>
    <x v="0"/>
    <x v="0"/>
    <x v="1"/>
    <x v="9"/>
    <n v="0"/>
    <n v="0"/>
    <n v="0.151"/>
    <n v="0.151"/>
    <n v="0.151"/>
    <n v="0.151"/>
    <n v="0"/>
    <x v="0"/>
    <n v="0"/>
    <n v="0"/>
    <n v="64"/>
    <n v="85"/>
    <n v="0"/>
    <n v="846.09"/>
    <n v="433.77"/>
    <m/>
    <n v="1042.3468883755038"/>
    <n v="542.84414704984056"/>
    <n v="0"/>
    <n v="127.75959"/>
    <n v="65.499269999999996"/>
    <n v="0"/>
    <n v="157.39438014470107"/>
    <n v="81.969466204525915"/>
  </r>
  <r>
    <s v="Sistema Isolado - Regular"/>
    <x v="3"/>
    <x v="2"/>
    <x v="0"/>
    <x v="0"/>
    <x v="0"/>
    <x v="0"/>
    <x v="1"/>
    <x v="10"/>
    <n v="0"/>
    <n v="0"/>
    <n v="3.0990000000000002"/>
    <n v="3.0990000000000002"/>
    <n v="3.0990000000000002"/>
    <n v="3.0990000000000002"/>
    <n v="0"/>
    <x v="0"/>
    <n v="0"/>
    <n v="0"/>
    <n v="64"/>
    <n v="85"/>
    <n v="0"/>
    <n v="846.09"/>
    <n v="433.77"/>
    <m/>
    <n v="1042.3468883755038"/>
    <n v="542.84414704984056"/>
    <n v="0"/>
    <n v="2622.0329100000004"/>
    <n v="1344.25323"/>
    <n v="0"/>
    <n v="3230.2330070756866"/>
    <n v="1682.2740117074559"/>
  </r>
  <r>
    <s v="Sistema de Compensação"/>
    <x v="3"/>
    <x v="2"/>
    <x v="0"/>
    <x v="0"/>
    <x v="0"/>
    <x v="0"/>
    <x v="1"/>
    <x v="10"/>
    <n v="0"/>
    <n v="0"/>
    <n v="0.14599999999999999"/>
    <n v="0.14599999999999999"/>
    <n v="0.14599999999999999"/>
    <n v="0.14599999999999999"/>
    <n v="0"/>
    <x v="0"/>
    <n v="0"/>
    <n v="0"/>
    <n v="64"/>
    <n v="85"/>
    <n v="0"/>
    <n v="846.09"/>
    <n v="433.77"/>
    <m/>
    <n v="1042.3468883755038"/>
    <n v="542.84414704984056"/>
    <n v="0"/>
    <n v="123.52914"/>
    <n v="63.330419999999997"/>
    <n v="0"/>
    <n v="152.18264570282355"/>
    <n v="79.255245469276716"/>
  </r>
  <r>
    <s v="PROJETADO"/>
    <x v="3"/>
    <x v="2"/>
    <x v="0"/>
    <x v="0"/>
    <x v="0"/>
    <x v="0"/>
    <x v="1"/>
    <x v="11"/>
    <n v="0"/>
    <n v="0"/>
    <n v="3.0990000000000002"/>
    <n v="3.0990000000000002"/>
    <n v="3.0990000000000002"/>
    <n v="3.0990000000000002"/>
    <n v="0"/>
    <x v="0"/>
    <n v="0"/>
    <n v="0"/>
    <n v="64"/>
    <n v="85"/>
    <n v="0"/>
    <n v="846.09"/>
    <n v="433.77"/>
    <m/>
    <n v="1042.3468883755038"/>
    <n v="542.84414704984056"/>
    <n v="0"/>
    <n v="2622.0329100000004"/>
    <n v="1344.25323"/>
    <n v="0"/>
    <n v="3230.2330070756866"/>
    <n v="1682.2740117074559"/>
  </r>
  <r>
    <s v="PROJETADO"/>
    <x v="3"/>
    <x v="2"/>
    <x v="0"/>
    <x v="0"/>
    <x v="0"/>
    <x v="0"/>
    <x v="1"/>
    <x v="11"/>
    <n v="0"/>
    <n v="0"/>
    <n v="0.14599999999999999"/>
    <n v="0.14599999999999999"/>
    <n v="0.14599999999999999"/>
    <n v="0.14599999999999999"/>
    <n v="0"/>
    <x v="0"/>
    <n v="0"/>
    <n v="0"/>
    <n v="64"/>
    <n v="85"/>
    <n v="0"/>
    <n v="846.09"/>
    <n v="433.77"/>
    <m/>
    <n v="1042.3468883755038"/>
    <n v="542.84414704984056"/>
    <n v="0"/>
    <n v="123.52914"/>
    <n v="63.330419999999997"/>
    <n v="0"/>
    <n v="152.18264570282355"/>
    <n v="79.255245469276716"/>
  </r>
  <r>
    <s v="Sistema Isolado - Regular"/>
    <x v="3"/>
    <x v="3"/>
    <x v="0"/>
    <x v="0"/>
    <x v="0"/>
    <x v="0"/>
    <x v="2"/>
    <x v="0"/>
    <n v="0"/>
    <n v="0"/>
    <n v="12409.630999999999"/>
    <n v="12409.630999999999"/>
    <n v="12409.630999999999"/>
    <n v="12409.630999999999"/>
    <n v="12397"/>
    <x v="0"/>
    <n v="0"/>
    <n v="0"/>
    <n v="33"/>
    <n v="87"/>
    <n v="0"/>
    <n v="311.27999999999997"/>
    <n v="268.89"/>
    <m/>
    <n v="348.10461529283072"/>
    <n v="336.17550926835082"/>
    <n v="0"/>
    <n v="3862869.9376799995"/>
    <n v="3336825.6795899998"/>
    <n v="0"/>
    <n v="4319849.825180986"/>
    <n v="4171814.0212573134"/>
  </r>
  <r>
    <s v="Sistema Isolado - Refaturamento"/>
    <x v="3"/>
    <x v="3"/>
    <x v="0"/>
    <x v="0"/>
    <x v="0"/>
    <x v="0"/>
    <x v="2"/>
    <x v="0"/>
    <n v="0"/>
    <n v="0"/>
    <n v="-17.187000000000001"/>
    <n v="-17.187000000000001"/>
    <n v="-17.187000000000001"/>
    <n v="-17.187000000000001"/>
    <n v="1"/>
    <x v="0"/>
    <n v="0"/>
    <n v="0"/>
    <n v="33"/>
    <n v="87"/>
    <n v="0"/>
    <n v="311.27999999999997"/>
    <n v="268.89"/>
    <m/>
    <n v="348.10461529283072"/>
    <n v="336.17550926835082"/>
    <n v="0"/>
    <n v="-5349.9693600000001"/>
    <n v="-4621.4124300000003"/>
    <n v="0"/>
    <n v="-5982.8740230378817"/>
    <n v="-5777.8484777951462"/>
  </r>
  <r>
    <s v="Sistema de Compensação"/>
    <x v="3"/>
    <x v="3"/>
    <x v="0"/>
    <x v="0"/>
    <x v="0"/>
    <x v="0"/>
    <x v="2"/>
    <x v="0"/>
    <n v="0"/>
    <n v="0"/>
    <n v="330.00400000000002"/>
    <n v="330.00400000000002"/>
    <n v="330.00400000000002"/>
    <n v="330.00400000000002"/>
    <n v="123"/>
    <x v="0"/>
    <n v="0"/>
    <n v="0"/>
    <n v="33"/>
    <n v="87"/>
    <n v="0"/>
    <n v="311.27999999999997"/>
    <n v="268.89"/>
    <m/>
    <n v="348.10461529283072"/>
    <n v="336.17550926835082"/>
    <n v="0"/>
    <n v="102723.64512"/>
    <n v="88734.775559999995"/>
    <n v="0"/>
    <n v="114875.91546509531"/>
    <n v="110939.26276059286"/>
  </r>
  <r>
    <s v="Sistema Isolado - Regular"/>
    <x v="3"/>
    <x v="3"/>
    <x v="0"/>
    <x v="0"/>
    <x v="0"/>
    <x v="0"/>
    <x v="2"/>
    <x v="1"/>
    <n v="0"/>
    <n v="0"/>
    <n v="12028.57"/>
    <n v="12028.57"/>
    <n v="12028.57"/>
    <n v="12028.57"/>
    <n v="12432"/>
    <x v="0"/>
    <n v="0"/>
    <n v="0"/>
    <n v="33"/>
    <n v="87"/>
    <n v="0"/>
    <n v="311.27999999999997"/>
    <n v="268.89"/>
    <m/>
    <n v="348.10461529283072"/>
    <n v="336.17550926835082"/>
    <n v="0"/>
    <n v="3744253.2695999998"/>
    <n v="3234362.1872999999"/>
    <n v="0"/>
    <n v="4187200.7323728846"/>
    <n v="4043710.6455200068"/>
  </r>
  <r>
    <s v="Sistema Isolado - Refaturamento"/>
    <x v="3"/>
    <x v="3"/>
    <x v="0"/>
    <x v="0"/>
    <x v="0"/>
    <x v="0"/>
    <x v="2"/>
    <x v="1"/>
    <n v="0"/>
    <n v="0"/>
    <n v="-4.556"/>
    <n v="-4.556"/>
    <n v="-4.556"/>
    <n v="-4.556"/>
    <n v="-28"/>
    <x v="0"/>
    <n v="0"/>
    <n v="0"/>
    <n v="33"/>
    <n v="87"/>
    <n v="0"/>
    <n v="311.27999999999997"/>
    <n v="268.89"/>
    <m/>
    <n v="348.10461529283072"/>
    <n v="336.17550926835082"/>
    <n v="0"/>
    <n v="-1418.1916799999999"/>
    <n v="-1225.0628400000001"/>
    <n v="0"/>
    <n v="-1585.9646272741368"/>
    <n v="-1531.6156202266063"/>
  </r>
  <r>
    <s v="Sistema de Compensação"/>
    <x v="3"/>
    <x v="3"/>
    <x v="0"/>
    <x v="0"/>
    <x v="0"/>
    <x v="0"/>
    <x v="2"/>
    <x v="1"/>
    <n v="0"/>
    <n v="0"/>
    <n v="335.04500000000002"/>
    <n v="335.04500000000002"/>
    <n v="335.04500000000002"/>
    <n v="335.04500000000002"/>
    <n v="132"/>
    <x v="0"/>
    <n v="0"/>
    <n v="0"/>
    <n v="33"/>
    <n v="87"/>
    <n v="0"/>
    <n v="311.27999999999997"/>
    <n v="268.89"/>
    <m/>
    <n v="348.10461529283072"/>
    <n v="336.17550926835082"/>
    <n v="0"/>
    <n v="104292.8076"/>
    <n v="90090.250050000002"/>
    <n v="0"/>
    <n v="116630.71083078647"/>
    <n v="112633.92350281461"/>
  </r>
  <r>
    <s v="Sistema Isolado - Regular"/>
    <x v="3"/>
    <x v="3"/>
    <x v="0"/>
    <x v="0"/>
    <x v="0"/>
    <x v="0"/>
    <x v="2"/>
    <x v="2"/>
    <n v="0"/>
    <n v="0"/>
    <n v="10777.65"/>
    <n v="10777.65"/>
    <n v="10777.65"/>
    <n v="10777.65"/>
    <n v="12439"/>
    <x v="0"/>
    <n v="0"/>
    <n v="0"/>
    <n v="33"/>
    <n v="87"/>
    <n v="0"/>
    <n v="311.27999999999997"/>
    <n v="268.89"/>
    <m/>
    <n v="348.10461529283072"/>
    <n v="336.17550926835082"/>
    <n v="0"/>
    <n v="3354866.8919999995"/>
    <n v="2898002.3084999998"/>
    <n v="0"/>
    <n v="3751749.7070107767"/>
    <n v="3623181.9774660412"/>
  </r>
  <r>
    <s v="Sistema Isolado - Refaturamento"/>
    <x v="3"/>
    <x v="3"/>
    <x v="0"/>
    <x v="0"/>
    <x v="0"/>
    <x v="0"/>
    <x v="2"/>
    <x v="2"/>
    <n v="0"/>
    <n v="0"/>
    <n v="-51.652999999999999"/>
    <n v="-51.652999999999999"/>
    <n v="-51.652999999999999"/>
    <n v="-51.652999999999999"/>
    <n v="-23"/>
    <x v="0"/>
    <n v="0"/>
    <n v="0"/>
    <n v="33"/>
    <n v="87"/>
    <n v="0"/>
    <n v="311.27999999999997"/>
    <n v="268.89"/>
    <m/>
    <n v="348.10461529283072"/>
    <n v="336.17550926835082"/>
    <n v="0"/>
    <n v="-16078.545839999999"/>
    <n v="-13888.97517"/>
    <n v="0"/>
    <n v="-17980.647693720584"/>
    <n v="-17364.473580238126"/>
  </r>
  <r>
    <s v="Sistema de Compensação"/>
    <x v="3"/>
    <x v="3"/>
    <x v="0"/>
    <x v="0"/>
    <x v="0"/>
    <x v="0"/>
    <x v="2"/>
    <x v="2"/>
    <n v="0"/>
    <n v="0"/>
    <n v="322.72000000000003"/>
    <n v="322.72000000000003"/>
    <n v="322.72000000000003"/>
    <n v="322.72000000000003"/>
    <n v="138"/>
    <x v="0"/>
    <n v="0"/>
    <n v="0"/>
    <n v="33"/>
    <n v="87"/>
    <n v="0"/>
    <n v="311.27999999999997"/>
    <n v="268.89"/>
    <m/>
    <n v="348.10461529283072"/>
    <n v="336.17550926835082"/>
    <n v="0"/>
    <n v="100456.2816"/>
    <n v="86776.180800000002"/>
    <n v="0"/>
    <n v="112340.32144730234"/>
    <n v="108490.56035108218"/>
  </r>
  <r>
    <s v="Sistema Isolado - Regular"/>
    <x v="3"/>
    <x v="3"/>
    <x v="0"/>
    <x v="0"/>
    <x v="0"/>
    <x v="0"/>
    <x v="2"/>
    <x v="3"/>
    <n v="0"/>
    <n v="0"/>
    <n v="11081.419"/>
    <n v="11081.419"/>
    <n v="11081.419"/>
    <n v="11081.419"/>
    <n v="12571"/>
    <x v="0"/>
    <n v="0"/>
    <n v="0"/>
    <n v="33"/>
    <n v="87"/>
    <n v="0"/>
    <n v="311.27999999999997"/>
    <n v="268.89"/>
    <m/>
    <n v="348.10461529283072"/>
    <n v="336.17550926835082"/>
    <n v="0"/>
    <n v="3449424.1063199998"/>
    <n v="2979682.7549099997"/>
    <n v="0"/>
    <n v="3857493.0978936646"/>
    <n v="3725301.6757409787"/>
  </r>
  <r>
    <s v="Sistema Isolado - Refaturamento"/>
    <x v="3"/>
    <x v="3"/>
    <x v="0"/>
    <x v="0"/>
    <x v="0"/>
    <x v="0"/>
    <x v="2"/>
    <x v="3"/>
    <n v="0"/>
    <n v="0"/>
    <n v="-69.700999999999993"/>
    <n v="-69.700999999999993"/>
    <n v="-69.700999999999993"/>
    <n v="-69.700999999999993"/>
    <n v="-14"/>
    <x v="0"/>
    <n v="0"/>
    <n v="0"/>
    <n v="33"/>
    <n v="87"/>
    <n v="0"/>
    <n v="311.27999999999997"/>
    <n v="268.89"/>
    <m/>
    <n v="348.10461529283072"/>
    <n v="336.17550926835082"/>
    <n v="0"/>
    <n v="-21696.527279999995"/>
    <n v="-18741.901889999997"/>
    <n v="0"/>
    <n v="-24263.239790525593"/>
    <n v="-23431.769171513319"/>
  </r>
  <r>
    <s v="Sistema de Compensação"/>
    <x v="3"/>
    <x v="3"/>
    <x v="0"/>
    <x v="0"/>
    <x v="0"/>
    <x v="0"/>
    <x v="2"/>
    <x v="3"/>
    <n v="0"/>
    <n v="0"/>
    <n v="328.82499999999999"/>
    <n v="328.82499999999999"/>
    <n v="328.82499999999999"/>
    <n v="328.82499999999999"/>
    <n v="147"/>
    <x v="0"/>
    <n v="0"/>
    <n v="0"/>
    <n v="33"/>
    <n v="87"/>
    <n v="0"/>
    <n v="311.27999999999997"/>
    <n v="268.89"/>
    <m/>
    <n v="348.10461529283072"/>
    <n v="336.17550926835082"/>
    <n v="0"/>
    <n v="102356.64599999999"/>
    <n v="88417.754249999998"/>
    <n v="0"/>
    <n v="114465.50012366506"/>
    <n v="110542.91183516546"/>
  </r>
  <r>
    <s v="Sistema Isolado - Regular"/>
    <x v="3"/>
    <x v="3"/>
    <x v="0"/>
    <x v="0"/>
    <x v="0"/>
    <x v="0"/>
    <x v="2"/>
    <x v="4"/>
    <n v="0"/>
    <n v="0"/>
    <n v="12027.672"/>
    <n v="12027.672"/>
    <n v="12027.672"/>
    <n v="12027.672"/>
    <n v="13240"/>
    <x v="0"/>
    <n v="0"/>
    <n v="0"/>
    <n v="33"/>
    <n v="87"/>
    <n v="0"/>
    <n v="311.27999999999997"/>
    <n v="268.89"/>
    <m/>
    <n v="348.10461529283072"/>
    <n v="336.17550926835082"/>
    <n v="0"/>
    <n v="3743973.74016"/>
    <n v="3234120.7240800001"/>
    <n v="0"/>
    <n v="4186888.1344283521"/>
    <n v="4043408.7599126836"/>
  </r>
  <r>
    <s v="Sistema Isolado - Refaturamento"/>
    <x v="3"/>
    <x v="3"/>
    <x v="0"/>
    <x v="0"/>
    <x v="0"/>
    <x v="0"/>
    <x v="2"/>
    <x v="4"/>
    <n v="0"/>
    <n v="0"/>
    <n v="-37.176000000000002"/>
    <n v="-37.176000000000002"/>
    <n v="-37.176000000000002"/>
    <n v="-37.176000000000002"/>
    <n v="0"/>
    <x v="0"/>
    <n v="0"/>
    <n v="0"/>
    <n v="33"/>
    <n v="87"/>
    <n v="0"/>
    <n v="311.27999999999997"/>
    <n v="268.89"/>
    <m/>
    <n v="348.10461529283072"/>
    <n v="336.17550926835082"/>
    <n v="0"/>
    <n v="-11572.145279999999"/>
    <n v="-9996.2546399999992"/>
    <n v="0"/>
    <n v="-12941.137178126275"/>
    <n v="-12497.660732560211"/>
  </r>
  <r>
    <s v="Sistema de Compensação"/>
    <x v="3"/>
    <x v="3"/>
    <x v="0"/>
    <x v="0"/>
    <x v="0"/>
    <x v="0"/>
    <x v="2"/>
    <x v="4"/>
    <n v="0"/>
    <n v="0"/>
    <n v="351.78899999999999"/>
    <n v="351.78899999999999"/>
    <n v="351.78899999999999"/>
    <n v="351.78899999999999"/>
    <n v="167"/>
    <x v="0"/>
    <n v="0"/>
    <n v="0"/>
    <n v="33"/>
    <n v="87"/>
    <n v="0"/>
    <n v="311.27999999999997"/>
    <n v="268.89"/>
    <m/>
    <n v="348.10461529283072"/>
    <n v="336.17550926835082"/>
    <n v="0"/>
    <n v="109504.87991999999"/>
    <n v="94592.544209999993"/>
    <n v="0"/>
    <n v="122459.37450924962"/>
    <n v="118262.84623000387"/>
  </r>
  <r>
    <s v="Sistema Isolado - Regular"/>
    <x v="3"/>
    <x v="3"/>
    <x v="0"/>
    <x v="0"/>
    <x v="0"/>
    <x v="0"/>
    <x v="2"/>
    <x v="5"/>
    <n v="0"/>
    <n v="0"/>
    <n v="12027.672"/>
    <n v="12027.672"/>
    <n v="12027.672"/>
    <n v="12027.672"/>
    <n v="13240"/>
    <x v="0"/>
    <n v="0"/>
    <n v="0"/>
    <n v="33"/>
    <n v="87"/>
    <n v="0"/>
    <n v="311.27999999999997"/>
    <n v="268.89"/>
    <m/>
    <n v="348.10461529283072"/>
    <n v="336.17550926835082"/>
    <n v="0"/>
    <n v="3743973.74016"/>
    <n v="3234120.7240800001"/>
    <n v="0"/>
    <n v="4186888.1344283521"/>
    <n v="4043408.7599126836"/>
  </r>
  <r>
    <s v="Sistema Isolado - Refaturamento"/>
    <x v="3"/>
    <x v="3"/>
    <x v="0"/>
    <x v="0"/>
    <x v="0"/>
    <x v="0"/>
    <x v="2"/>
    <x v="5"/>
    <n v="0"/>
    <n v="0"/>
    <n v="-37.176000000000002"/>
    <n v="-37.176000000000002"/>
    <n v="-37.176000000000002"/>
    <n v="-37.176000000000002"/>
    <n v="0"/>
    <x v="0"/>
    <n v="0"/>
    <n v="0"/>
    <n v="33"/>
    <n v="87"/>
    <n v="0"/>
    <n v="311.27999999999997"/>
    <n v="268.89"/>
    <m/>
    <n v="348.10461529283072"/>
    <n v="336.17550926835082"/>
    <n v="0"/>
    <n v="-11572.145279999999"/>
    <n v="-9996.2546399999992"/>
    <n v="0"/>
    <n v="-12941.137178126275"/>
    <n v="-12497.660732560211"/>
  </r>
  <r>
    <s v="Sistema de Compensação"/>
    <x v="3"/>
    <x v="3"/>
    <x v="0"/>
    <x v="0"/>
    <x v="0"/>
    <x v="0"/>
    <x v="2"/>
    <x v="5"/>
    <n v="0"/>
    <n v="0"/>
    <n v="351.78899999999999"/>
    <n v="351.78899999999999"/>
    <n v="351.78899999999999"/>
    <n v="351.78899999999999"/>
    <n v="167"/>
    <x v="0"/>
    <n v="0"/>
    <n v="0"/>
    <n v="33"/>
    <n v="87"/>
    <n v="0"/>
    <n v="311.27999999999997"/>
    <n v="268.89"/>
    <m/>
    <n v="348.10461529283072"/>
    <n v="336.17550926835082"/>
    <n v="0"/>
    <n v="109504.87991999999"/>
    <n v="94592.544209999993"/>
    <n v="0"/>
    <n v="122459.37450924962"/>
    <n v="118262.84623000387"/>
  </r>
  <r>
    <s v="Sistema Isolado - Regular"/>
    <x v="3"/>
    <x v="3"/>
    <x v="0"/>
    <x v="0"/>
    <x v="0"/>
    <x v="0"/>
    <x v="2"/>
    <x v="6"/>
    <n v="0"/>
    <n v="0"/>
    <n v="11366.262000000001"/>
    <n v="11366.262000000001"/>
    <n v="11366.262000000001"/>
    <n v="11366.262000000001"/>
    <n v="13538"/>
    <x v="0"/>
    <n v="0"/>
    <n v="0"/>
    <n v="33"/>
    <n v="87"/>
    <n v="0"/>
    <n v="311.27999999999997"/>
    <n v="268.89"/>
    <m/>
    <n v="348.10461529283072"/>
    <n v="336.17550926835082"/>
    <n v="0"/>
    <n v="3538090.0353600001"/>
    <n v="3056274.1891800002"/>
    <n v="0"/>
    <n v="3956648.2608275209"/>
    <n v="3821058.916327504"/>
  </r>
  <r>
    <s v="Sistema Isolado - Refaturamento"/>
    <x v="3"/>
    <x v="3"/>
    <x v="0"/>
    <x v="0"/>
    <x v="0"/>
    <x v="0"/>
    <x v="2"/>
    <x v="6"/>
    <n v="0"/>
    <n v="0"/>
    <n v="-118.688"/>
    <n v="-118.688"/>
    <n v="-118.688"/>
    <n v="-118.688"/>
    <n v="-112"/>
    <x v="0"/>
    <n v="0"/>
    <n v="0"/>
    <n v="33"/>
    <n v="87"/>
    <n v="0"/>
    <n v="311.27999999999997"/>
    <n v="268.89"/>
    <m/>
    <n v="348.10461529283072"/>
    <n v="336.17550926835082"/>
    <n v="0"/>
    <n v="-36945.200639999995"/>
    <n v="-31914.016319999999"/>
    <n v="0"/>
    <n v="-41315.84057987549"/>
    <n v="-39899.99884404202"/>
  </r>
  <r>
    <s v="Sistema de Compensação"/>
    <x v="3"/>
    <x v="3"/>
    <x v="0"/>
    <x v="0"/>
    <x v="0"/>
    <x v="0"/>
    <x v="2"/>
    <x v="6"/>
    <n v="0"/>
    <n v="0"/>
    <n v="1503.096"/>
    <n v="1503.096"/>
    <n v="1503.096"/>
    <n v="1503.096"/>
    <n v="712"/>
    <x v="0"/>
    <n v="0"/>
    <n v="0"/>
    <n v="33"/>
    <n v="87"/>
    <n v="0"/>
    <n v="311.27999999999997"/>
    <n v="268.89"/>
    <m/>
    <n v="348.10461529283072"/>
    <n v="336.17550926835082"/>
    <n v="0"/>
    <n v="467883.72287999996"/>
    <n v="404167.48343999998"/>
    <n v="0"/>
    <n v="523234.65482819267"/>
    <n v="505304.06327922107"/>
  </r>
  <r>
    <s v="Sistema Isolado - Regular"/>
    <x v="3"/>
    <x v="3"/>
    <x v="0"/>
    <x v="0"/>
    <x v="0"/>
    <x v="0"/>
    <x v="2"/>
    <x v="7"/>
    <n v="0"/>
    <n v="0"/>
    <n v="11099.717000000001"/>
    <n v="11099.717000000001"/>
    <n v="11099.717000000001"/>
    <n v="11099.717000000001"/>
    <n v="13572"/>
    <x v="0"/>
    <n v="0"/>
    <n v="0"/>
    <n v="33"/>
    <n v="87"/>
    <n v="0"/>
    <n v="311.27999999999997"/>
    <n v="268.89"/>
    <m/>
    <n v="348.10461529283072"/>
    <n v="336.17550926835082"/>
    <n v="0"/>
    <n v="3455119.9077599999"/>
    <n v="2984602.9041300002"/>
    <n v="0"/>
    <n v="3863862.7161442931"/>
    <n v="3731453.0152095715"/>
  </r>
  <r>
    <s v="Sistema Isolado - Refaturamento"/>
    <x v="3"/>
    <x v="3"/>
    <x v="0"/>
    <x v="0"/>
    <x v="0"/>
    <x v="0"/>
    <x v="2"/>
    <x v="7"/>
    <n v="0"/>
    <n v="0"/>
    <n v="-43.124000000000002"/>
    <n v="-43.124000000000002"/>
    <n v="-43.124000000000002"/>
    <n v="-43.124000000000002"/>
    <n v="1"/>
    <x v="0"/>
    <n v="0"/>
    <n v="0"/>
    <n v="33"/>
    <n v="87"/>
    <n v="0"/>
    <n v="311.27999999999997"/>
    <n v="268.89"/>
    <m/>
    <n v="348.10461529283072"/>
    <n v="336.17550926835082"/>
    <n v="0"/>
    <n v="-13423.638719999999"/>
    <n v="-11595.612359999999"/>
    <n v="0"/>
    <n v="-15011.663429888033"/>
    <n v="-14497.232661688362"/>
  </r>
  <r>
    <s v="Sistema de Compensação"/>
    <x v="3"/>
    <x v="3"/>
    <x v="0"/>
    <x v="0"/>
    <x v="0"/>
    <x v="0"/>
    <x v="2"/>
    <x v="7"/>
    <n v="0"/>
    <n v="0"/>
    <n v="468.73700000000002"/>
    <n v="468.73700000000002"/>
    <n v="468.73700000000002"/>
    <n v="468.73700000000002"/>
    <n v="212"/>
    <x v="0"/>
    <n v="0"/>
    <n v="0"/>
    <n v="33"/>
    <n v="87"/>
    <n v="0"/>
    <n v="311.27999999999997"/>
    <n v="268.89"/>
    <m/>
    <n v="348.10461529283072"/>
    <n v="336.17550926835082"/>
    <n v="0"/>
    <n v="145908.45335999998"/>
    <n v="126038.69193"/>
    <n v="0"/>
    <n v="163169.51305851559"/>
    <n v="157577.89968791898"/>
  </r>
  <r>
    <s v="Sistema de Compensação"/>
    <x v="3"/>
    <x v="3"/>
    <x v="0"/>
    <x v="0"/>
    <x v="0"/>
    <x v="0"/>
    <x v="2"/>
    <x v="7"/>
    <n v="0"/>
    <n v="0"/>
    <n v="1.38"/>
    <n v="1.38"/>
    <n v="1.38"/>
    <n v="1.38"/>
    <n v="0"/>
    <x v="0"/>
    <n v="0"/>
    <n v="0"/>
    <n v="33"/>
    <n v="87"/>
    <n v="0"/>
    <n v="311.27999999999997"/>
    <n v="268.89"/>
    <m/>
    <n v="348.10461529283072"/>
    <n v="336.17550926835082"/>
    <n v="0"/>
    <n v="429.56639999999993"/>
    <n v="371.06819999999993"/>
    <n v="0"/>
    <n v="480.38436910410633"/>
    <n v="463.92220279032409"/>
  </r>
  <r>
    <s v="Sistema Isolado - Regular"/>
    <x v="3"/>
    <x v="3"/>
    <x v="0"/>
    <x v="0"/>
    <x v="0"/>
    <x v="0"/>
    <x v="2"/>
    <x v="8"/>
    <n v="0"/>
    <n v="0"/>
    <n v="10901.441000000001"/>
    <n v="10901.441000000001"/>
    <n v="10901.441000000001"/>
    <n v="10901.441000000001"/>
    <n v="13628"/>
    <x v="0"/>
    <n v="0"/>
    <n v="0"/>
    <n v="33"/>
    <n v="87"/>
    <n v="0"/>
    <n v="311.27999999999997"/>
    <n v="268.89"/>
    <m/>
    <n v="348.10461529283072"/>
    <n v="336.17550926835082"/>
    <n v="0"/>
    <n v="3393400.5544799999"/>
    <n v="2931288.4704900002"/>
    <n v="0"/>
    <n v="3794841.9254424921"/>
    <n v="3664797.4799338798"/>
  </r>
  <r>
    <s v="Sistema Isolado - Refaturamento"/>
    <x v="3"/>
    <x v="3"/>
    <x v="0"/>
    <x v="0"/>
    <x v="0"/>
    <x v="0"/>
    <x v="2"/>
    <x v="8"/>
    <n v="0"/>
    <n v="0"/>
    <n v="-5.0979999999999999"/>
    <n v="-5.0979999999999999"/>
    <n v="-5.0979999999999999"/>
    <n v="-5.0979999999999999"/>
    <n v="-5"/>
    <x v="0"/>
    <n v="0"/>
    <n v="0"/>
    <n v="33"/>
    <n v="87"/>
    <n v="0"/>
    <n v="311.27999999999997"/>
    <n v="268.89"/>
    <m/>
    <n v="348.10461529283072"/>
    <n v="336.17550926835082"/>
    <n v="0"/>
    <n v="-1586.9054399999998"/>
    <n v="-1370.8012199999998"/>
    <n v="0"/>
    <n v="-1774.637328762851"/>
    <n v="-1713.8227462500524"/>
  </r>
  <r>
    <s v="Sistema de Compensação"/>
    <x v="3"/>
    <x v="3"/>
    <x v="0"/>
    <x v="0"/>
    <x v="0"/>
    <x v="0"/>
    <x v="2"/>
    <x v="8"/>
    <n v="0"/>
    <n v="0"/>
    <n v="607.91899999999998"/>
    <n v="607.91899999999998"/>
    <n v="607.91899999999998"/>
    <n v="607.91899999999998"/>
    <n v="255"/>
    <x v="0"/>
    <n v="0"/>
    <n v="0"/>
    <n v="33"/>
    <n v="87"/>
    <n v="0"/>
    <n v="311.27999999999997"/>
    <n v="268.89"/>
    <m/>
    <n v="348.10461529283072"/>
    <n v="336.17550926835082"/>
    <n v="0"/>
    <n v="189233.02631999998"/>
    <n v="163463.33990999998"/>
    <n v="0"/>
    <n v="211619.40962420235"/>
    <n v="204367.47941890656"/>
  </r>
  <r>
    <s v="Sistema Isolado - Regular"/>
    <x v="3"/>
    <x v="3"/>
    <x v="0"/>
    <x v="0"/>
    <x v="0"/>
    <x v="0"/>
    <x v="2"/>
    <x v="9"/>
    <n v="0"/>
    <n v="0"/>
    <n v="12795.486999999999"/>
    <n v="12795.486999999999"/>
    <n v="12795.486999999999"/>
    <n v="12795.486999999999"/>
    <n v="13679"/>
    <x v="0"/>
    <n v="0"/>
    <n v="0"/>
    <n v="33"/>
    <n v="87"/>
    <n v="0"/>
    <n v="311.27999999999997"/>
    <n v="268.89"/>
    <m/>
    <n v="348.10461529283072"/>
    <n v="336.17550926835082"/>
    <n v="0"/>
    <n v="3982979.1933599995"/>
    <n v="3440578.4994299994"/>
    <n v="0"/>
    <n v="4454168.079619416"/>
    <n v="4301529.3585615624"/>
  </r>
  <r>
    <s v="Sistema Isolado - Refaturamento"/>
    <x v="3"/>
    <x v="3"/>
    <x v="0"/>
    <x v="0"/>
    <x v="0"/>
    <x v="0"/>
    <x v="2"/>
    <x v="9"/>
    <n v="0"/>
    <n v="0"/>
    <n v="-49.113"/>
    <n v="-49.113"/>
    <n v="-49.113"/>
    <n v="-49.113"/>
    <n v="-4"/>
    <x v="0"/>
    <n v="0"/>
    <n v="0"/>
    <n v="33"/>
    <n v="87"/>
    <n v="0"/>
    <n v="311.27999999999997"/>
    <n v="268.89"/>
    <m/>
    <n v="348.10461529283072"/>
    <n v="336.17550926835082"/>
    <n v="0"/>
    <n v="-15287.894639999999"/>
    <n v="-13205.994569999999"/>
    <n v="0"/>
    <n v="-17096.461970876793"/>
    <n v="-16510.587786696513"/>
  </r>
  <r>
    <s v="Sistema de Compensação"/>
    <x v="3"/>
    <x v="3"/>
    <x v="0"/>
    <x v="0"/>
    <x v="0"/>
    <x v="0"/>
    <x v="2"/>
    <x v="9"/>
    <n v="0"/>
    <n v="0"/>
    <n v="699.35299999999995"/>
    <n v="699.35299999999995"/>
    <n v="699.35299999999995"/>
    <n v="699.35299999999995"/>
    <n v="278"/>
    <x v="0"/>
    <n v="0"/>
    <n v="0"/>
    <n v="33"/>
    <n v="87"/>
    <n v="0"/>
    <n v="311.27999999999997"/>
    <n v="268.89"/>
    <m/>
    <n v="348.10461529283072"/>
    <n v="336.17550926835082"/>
    <n v="0"/>
    <n v="217694.60183999996"/>
    <n v="188049.02816999998"/>
    <n v="0"/>
    <n v="243448.00701888703"/>
    <n v="235105.35093334893"/>
  </r>
  <r>
    <s v="Sistema de Compensação"/>
    <x v="3"/>
    <x v="3"/>
    <x v="0"/>
    <x v="0"/>
    <x v="0"/>
    <x v="0"/>
    <x v="2"/>
    <x v="9"/>
    <n v="0"/>
    <n v="0"/>
    <n v="0.71699999999999997"/>
    <n v="0.71699999999999997"/>
    <n v="0.71699999999999997"/>
    <n v="0.71699999999999997"/>
    <n v="1"/>
    <x v="0"/>
    <n v="0"/>
    <n v="0"/>
    <n v="33"/>
    <n v="87"/>
    <n v="0"/>
    <n v="311.27999999999997"/>
    <n v="268.89"/>
    <m/>
    <n v="348.10461529283072"/>
    <n v="336.17550926835082"/>
    <n v="0"/>
    <n v="223.18775999999997"/>
    <n v="192.79413"/>
    <n v="0"/>
    <n v="249.59100916495962"/>
    <n v="241.03784014540753"/>
  </r>
  <r>
    <s v="Sistema Isolado - Regular"/>
    <x v="3"/>
    <x v="3"/>
    <x v="0"/>
    <x v="0"/>
    <x v="0"/>
    <x v="0"/>
    <x v="2"/>
    <x v="10"/>
    <n v="0"/>
    <n v="0"/>
    <n v="12873.173000000001"/>
    <n v="12873.173000000001"/>
    <n v="12873.173000000001"/>
    <n v="12873.173000000001"/>
    <n v="13754"/>
    <x v="0"/>
    <n v="0"/>
    <n v="0"/>
    <n v="33"/>
    <n v="87"/>
    <n v="0"/>
    <n v="311.27999999999997"/>
    <n v="268.89"/>
    <m/>
    <n v="348.10461529283072"/>
    <n v="336.17550926835082"/>
    <n v="0"/>
    <n v="4007161.2914399998"/>
    <n v="3461467.4879700001"/>
    <n v="0"/>
    <n v="4481210.9347630553"/>
    <n v="4327645.4891745839"/>
  </r>
  <r>
    <s v="Sistema Isolado - Refaturamento"/>
    <x v="3"/>
    <x v="3"/>
    <x v="0"/>
    <x v="0"/>
    <x v="0"/>
    <x v="0"/>
    <x v="2"/>
    <x v="10"/>
    <n v="0"/>
    <n v="0"/>
    <n v="-2.7559999999999998"/>
    <n v="-2.7559999999999998"/>
    <n v="-2.7559999999999998"/>
    <n v="-2.7559999999999998"/>
    <n v="-2"/>
    <x v="0"/>
    <n v="0"/>
    <n v="0"/>
    <n v="33"/>
    <n v="87"/>
    <n v="0"/>
    <n v="311.27999999999997"/>
    <n v="268.89"/>
    <m/>
    <n v="348.10461529283072"/>
    <n v="336.17550926835082"/>
    <n v="0"/>
    <n v="-857.88767999999982"/>
    <n v="-741.06083999999987"/>
    <n v="0"/>
    <n v="-959.37631974704141"/>
    <n v="-926.49970354357481"/>
  </r>
  <r>
    <s v="Sistema de Compensação"/>
    <x v="3"/>
    <x v="3"/>
    <x v="0"/>
    <x v="0"/>
    <x v="0"/>
    <x v="0"/>
    <x v="2"/>
    <x v="10"/>
    <n v="0"/>
    <n v="0"/>
    <n v="684.14599999999996"/>
    <n v="684.14599999999996"/>
    <n v="684.14599999999996"/>
    <n v="684.14599999999996"/>
    <n v="271"/>
    <x v="0"/>
    <n v="0"/>
    <n v="0"/>
    <n v="33"/>
    <n v="87"/>
    <n v="0"/>
    <n v="311.27999999999997"/>
    <n v="268.89"/>
    <m/>
    <n v="348.10461529283072"/>
    <n v="336.17550926835082"/>
    <n v="0"/>
    <n v="212960.96687999996"/>
    <n v="183960.01793999999"/>
    <n v="0"/>
    <n v="238154.38013412894"/>
    <n v="229993.12996390511"/>
  </r>
  <r>
    <s v="Sistema de Compensação"/>
    <x v="3"/>
    <x v="3"/>
    <x v="0"/>
    <x v="0"/>
    <x v="0"/>
    <x v="0"/>
    <x v="2"/>
    <x v="10"/>
    <n v="0"/>
    <n v="0"/>
    <n v="-1.623"/>
    <n v="-1.623"/>
    <n v="-1.623"/>
    <n v="-1.623"/>
    <n v="-1"/>
    <x v="0"/>
    <n v="0"/>
    <n v="0"/>
    <n v="33"/>
    <n v="87"/>
    <n v="0"/>
    <n v="311.27999999999997"/>
    <n v="268.89"/>
    <m/>
    <n v="348.10461529283072"/>
    <n v="336.17550926835082"/>
    <n v="0"/>
    <n v="-505.20743999999996"/>
    <n v="-436.40846999999997"/>
    <n v="0"/>
    <n v="-564.97379062026425"/>
    <n v="-545.61285154253335"/>
  </r>
  <r>
    <s v="PROJETADO"/>
    <x v="3"/>
    <x v="3"/>
    <x v="0"/>
    <x v="0"/>
    <x v="0"/>
    <x v="0"/>
    <x v="2"/>
    <x v="11"/>
    <n v="0"/>
    <n v="0"/>
    <n v="12873.173000000001"/>
    <n v="12873.173000000001"/>
    <n v="12873.173000000001"/>
    <n v="12873.173000000001"/>
    <n v="13754"/>
    <x v="0"/>
    <n v="0"/>
    <n v="0"/>
    <n v="33"/>
    <n v="87"/>
    <n v="0"/>
    <n v="311.27999999999997"/>
    <n v="268.89"/>
    <m/>
    <n v="348.10461529283072"/>
    <n v="336.17550926835082"/>
    <n v="0"/>
    <n v="4007161.2914399998"/>
    <n v="3461467.4879700001"/>
    <n v="0"/>
    <n v="4481210.9347630553"/>
    <n v="4327645.4891745839"/>
  </r>
  <r>
    <s v="PROJETADO"/>
    <x v="3"/>
    <x v="3"/>
    <x v="0"/>
    <x v="0"/>
    <x v="0"/>
    <x v="0"/>
    <x v="2"/>
    <x v="11"/>
    <n v="0"/>
    <n v="0"/>
    <n v="-2.7559999999999998"/>
    <n v="-2.7559999999999998"/>
    <n v="-2.7559999999999998"/>
    <n v="-2.7559999999999998"/>
    <n v="-2"/>
    <x v="0"/>
    <n v="0"/>
    <n v="0"/>
    <n v="33"/>
    <n v="87"/>
    <n v="0"/>
    <n v="311.27999999999997"/>
    <n v="268.89"/>
    <m/>
    <n v="348.10461529283072"/>
    <n v="336.17550926835082"/>
    <n v="0"/>
    <n v="-857.88767999999982"/>
    <n v="-741.06083999999987"/>
    <n v="0"/>
    <n v="-959.37631974704141"/>
    <n v="-926.49970354357481"/>
  </r>
  <r>
    <s v="PROJETADO"/>
    <x v="3"/>
    <x v="3"/>
    <x v="0"/>
    <x v="0"/>
    <x v="0"/>
    <x v="0"/>
    <x v="2"/>
    <x v="11"/>
    <n v="0"/>
    <n v="0"/>
    <n v="684.14599999999996"/>
    <n v="684.14599999999996"/>
    <n v="684.14599999999996"/>
    <n v="684.14599999999996"/>
    <n v="271"/>
    <x v="0"/>
    <n v="0"/>
    <n v="0"/>
    <n v="33"/>
    <n v="87"/>
    <n v="0"/>
    <n v="311.27999999999997"/>
    <n v="268.89"/>
    <m/>
    <n v="348.10461529283072"/>
    <n v="336.17550926835082"/>
    <n v="0"/>
    <n v="212960.96687999996"/>
    <n v="183960.01793999999"/>
    <n v="0"/>
    <n v="238154.38013412894"/>
    <n v="229993.12996390511"/>
  </r>
  <r>
    <s v="PROJETADO"/>
    <x v="3"/>
    <x v="3"/>
    <x v="0"/>
    <x v="0"/>
    <x v="0"/>
    <x v="0"/>
    <x v="2"/>
    <x v="11"/>
    <n v="0"/>
    <n v="0"/>
    <n v="-1.623"/>
    <n v="-1.623"/>
    <n v="-1.623"/>
    <n v="-1.623"/>
    <n v="-1"/>
    <x v="0"/>
    <n v="0"/>
    <n v="0"/>
    <n v="33"/>
    <n v="87"/>
    <n v="0"/>
    <n v="311.27999999999997"/>
    <n v="268.89"/>
    <m/>
    <n v="348.10461529283072"/>
    <n v="336.17550926835082"/>
    <n v="0"/>
    <n v="-505.20743999999996"/>
    <n v="-436.40846999999997"/>
    <n v="0"/>
    <n v="-564.97379062026425"/>
    <n v="-545.61285154253335"/>
  </r>
  <r>
    <s v="Sistema Isolado - Regular"/>
    <x v="3"/>
    <x v="3"/>
    <x v="1"/>
    <x v="0"/>
    <x v="0"/>
    <x v="0"/>
    <x v="2"/>
    <x v="0"/>
    <n v="0"/>
    <n v="0"/>
    <n v="41.658000000000001"/>
    <n v="41.658000000000001"/>
    <n v="41.658000000000001"/>
    <n v="41.658000000000001"/>
    <n v="35"/>
    <x v="0"/>
    <n v="0"/>
    <n v="0"/>
    <n v="33"/>
    <n v="87"/>
    <n v="0"/>
    <n v="311.27999999999997"/>
    <n v="268.89"/>
    <m/>
    <n v="348.10461529283072"/>
    <n v="336.17550926835082"/>
    <n v="0"/>
    <n v="12967.302239999999"/>
    <n v="11201.419620000001"/>
    <n v="0"/>
    <n v="14501.342063868742"/>
    <n v="14004.399365100959"/>
  </r>
  <r>
    <s v="Sistema Isolado - Regular"/>
    <x v="3"/>
    <x v="3"/>
    <x v="1"/>
    <x v="0"/>
    <x v="0"/>
    <x v="0"/>
    <x v="2"/>
    <x v="1"/>
    <n v="0"/>
    <n v="0"/>
    <n v="39.405999999999999"/>
    <n v="39.405999999999999"/>
    <n v="39.405999999999999"/>
    <n v="39.405999999999999"/>
    <n v="35"/>
    <x v="0"/>
    <n v="0"/>
    <n v="0"/>
    <n v="33"/>
    <n v="87"/>
    <n v="0"/>
    <n v="311.27999999999997"/>
    <n v="268.89"/>
    <m/>
    <n v="348.10461529283072"/>
    <n v="336.17550926835082"/>
    <n v="0"/>
    <n v="12266.299679999998"/>
    <n v="10595.87934"/>
    <n v="0"/>
    <n v="13717.410470229286"/>
    <n v="13247.332118228633"/>
  </r>
  <r>
    <s v="Sistema Isolado - Regular"/>
    <x v="3"/>
    <x v="3"/>
    <x v="1"/>
    <x v="0"/>
    <x v="0"/>
    <x v="0"/>
    <x v="2"/>
    <x v="2"/>
    <n v="0"/>
    <n v="0"/>
    <n v="38.715000000000003"/>
    <n v="38.715000000000003"/>
    <n v="38.715000000000003"/>
    <n v="38.715000000000003"/>
    <n v="35"/>
    <x v="0"/>
    <n v="0"/>
    <n v="0"/>
    <n v="33"/>
    <n v="87"/>
    <n v="0"/>
    <n v="311.27999999999997"/>
    <n v="268.89"/>
    <m/>
    <n v="348.10461529283072"/>
    <n v="336.17550926835082"/>
    <n v="0"/>
    <n v="12051.2052"/>
    <n v="10410.076350000001"/>
    <n v="0"/>
    <n v="13476.870181061942"/>
    <n v="13015.034841324203"/>
  </r>
  <r>
    <s v="Sistema Isolado - Regular"/>
    <x v="3"/>
    <x v="3"/>
    <x v="1"/>
    <x v="0"/>
    <x v="0"/>
    <x v="0"/>
    <x v="2"/>
    <x v="3"/>
    <n v="0"/>
    <n v="0"/>
    <n v="37.613"/>
    <n v="37.613"/>
    <n v="37.613"/>
    <n v="37.613"/>
    <n v="36"/>
    <x v="0"/>
    <n v="0"/>
    <n v="0"/>
    <n v="33"/>
    <n v="87"/>
    <n v="0"/>
    <n v="311.27999999999997"/>
    <n v="268.89"/>
    <m/>
    <n v="348.10461529283072"/>
    <n v="336.17550926835082"/>
    <n v="0"/>
    <n v="11708.174639999999"/>
    <n v="10113.75957"/>
    <n v="0"/>
    <n v="13093.258895009241"/>
    <n v="12644.56943011048"/>
  </r>
  <r>
    <s v="Sistema Isolado - Regular"/>
    <x v="3"/>
    <x v="3"/>
    <x v="1"/>
    <x v="0"/>
    <x v="0"/>
    <x v="0"/>
    <x v="2"/>
    <x v="4"/>
    <n v="0"/>
    <n v="0"/>
    <n v="39.884999999999998"/>
    <n v="39.884999999999998"/>
    <n v="39.884999999999998"/>
    <n v="39.884999999999998"/>
    <n v="36"/>
    <x v="0"/>
    <n v="0"/>
    <n v="0"/>
    <n v="33"/>
    <n v="87"/>
    <n v="0"/>
    <n v="311.27999999999997"/>
    <n v="268.89"/>
    <m/>
    <n v="348.10461529283072"/>
    <n v="336.17550926835082"/>
    <n v="0"/>
    <n v="12415.402799999998"/>
    <n v="10724.67765"/>
    <n v="0"/>
    <n v="13884.152580954553"/>
    <n v="13408.360187168171"/>
  </r>
  <r>
    <s v="Sistema Isolado - Regular"/>
    <x v="3"/>
    <x v="3"/>
    <x v="1"/>
    <x v="0"/>
    <x v="0"/>
    <x v="0"/>
    <x v="2"/>
    <x v="5"/>
    <n v="0"/>
    <n v="0"/>
    <n v="39.884999999999998"/>
    <n v="39.884999999999998"/>
    <n v="39.884999999999998"/>
    <n v="39.884999999999998"/>
    <n v="36"/>
    <x v="0"/>
    <n v="0"/>
    <n v="0"/>
    <n v="33"/>
    <n v="87"/>
    <n v="0"/>
    <n v="311.27999999999997"/>
    <n v="268.89"/>
    <m/>
    <n v="348.10461529283072"/>
    <n v="336.17550926835082"/>
    <n v="0"/>
    <n v="12415.402799999998"/>
    <n v="10724.67765"/>
    <n v="0"/>
    <n v="13884.152580954553"/>
    <n v="13408.360187168171"/>
  </r>
  <r>
    <s v="Sistema Isolado - Regular"/>
    <x v="3"/>
    <x v="3"/>
    <x v="1"/>
    <x v="0"/>
    <x v="0"/>
    <x v="0"/>
    <x v="2"/>
    <x v="6"/>
    <n v="0"/>
    <n v="0"/>
    <n v="39.146999999999998"/>
    <n v="39.146999999999998"/>
    <n v="39.146999999999998"/>
    <n v="39.146999999999998"/>
    <n v="35"/>
    <x v="0"/>
    <n v="0"/>
    <n v="0"/>
    <n v="33"/>
    <n v="87"/>
    <n v="0"/>
    <n v="311.27999999999997"/>
    <n v="268.89"/>
    <m/>
    <n v="348.10461529283072"/>
    <n v="336.17550926835082"/>
    <n v="0"/>
    <n v="12185.678159999998"/>
    <n v="10526.23683"/>
    <n v="0"/>
    <n v="13627.251374868443"/>
    <n v="13160.26266132813"/>
  </r>
  <r>
    <s v="Sistema Isolado - Regular"/>
    <x v="3"/>
    <x v="3"/>
    <x v="1"/>
    <x v="0"/>
    <x v="0"/>
    <x v="0"/>
    <x v="2"/>
    <x v="7"/>
    <n v="0"/>
    <n v="0"/>
    <n v="38.069000000000003"/>
    <n v="38.069000000000003"/>
    <n v="38.069000000000003"/>
    <n v="38.069000000000003"/>
    <n v="35"/>
    <x v="0"/>
    <n v="0"/>
    <n v="0"/>
    <n v="33"/>
    <n v="87"/>
    <n v="0"/>
    <n v="311.27999999999997"/>
    <n v="268.89"/>
    <m/>
    <n v="348.10461529283072"/>
    <n v="336.17550926835082"/>
    <n v="0"/>
    <n v="11850.11832"/>
    <n v="10236.37341"/>
    <n v="0"/>
    <n v="13251.994599582773"/>
    <n v="12797.865462336847"/>
  </r>
  <r>
    <s v="Sistema Isolado - Regular"/>
    <x v="3"/>
    <x v="3"/>
    <x v="1"/>
    <x v="0"/>
    <x v="0"/>
    <x v="0"/>
    <x v="2"/>
    <x v="8"/>
    <n v="0"/>
    <n v="0"/>
    <n v="36.874000000000002"/>
    <n v="36.874000000000002"/>
    <n v="36.874000000000002"/>
    <n v="36.874000000000002"/>
    <n v="35"/>
    <x v="0"/>
    <n v="0"/>
    <n v="0"/>
    <n v="33"/>
    <n v="87"/>
    <n v="0"/>
    <n v="311.27999999999997"/>
    <n v="268.89"/>
    <m/>
    <n v="348.10461529283072"/>
    <n v="336.17550926835082"/>
    <n v="0"/>
    <n v="11478.138719999999"/>
    <n v="9915.049860000001"/>
    <n v="0"/>
    <n v="12836.00958430784"/>
    <n v="12396.135728761168"/>
  </r>
  <r>
    <s v="Sistema Isolado - Regular"/>
    <x v="3"/>
    <x v="3"/>
    <x v="1"/>
    <x v="0"/>
    <x v="0"/>
    <x v="0"/>
    <x v="2"/>
    <x v="9"/>
    <n v="0"/>
    <n v="0"/>
    <n v="42.790999999999997"/>
    <n v="42.790999999999997"/>
    <n v="42.790999999999997"/>
    <n v="42.790999999999997"/>
    <n v="35"/>
    <x v="0"/>
    <n v="0"/>
    <n v="0"/>
    <n v="33"/>
    <n v="87"/>
    <n v="0"/>
    <n v="311.27999999999997"/>
    <n v="268.89"/>
    <m/>
    <n v="348.10461529283072"/>
    <n v="336.17550926835082"/>
    <n v="0"/>
    <n v="13319.982479999997"/>
    <n v="11506.071989999999"/>
    <n v="0"/>
    <n v="14895.744592995517"/>
    <n v="14385.286217101999"/>
  </r>
  <r>
    <s v="Sistema Isolado - Regular"/>
    <x v="3"/>
    <x v="3"/>
    <x v="1"/>
    <x v="0"/>
    <x v="0"/>
    <x v="0"/>
    <x v="2"/>
    <x v="10"/>
    <n v="0"/>
    <n v="0"/>
    <n v="44.250999999999998"/>
    <n v="44.250999999999998"/>
    <n v="44.250999999999998"/>
    <n v="44.250999999999998"/>
    <n v="36"/>
    <x v="0"/>
    <n v="0"/>
    <n v="0"/>
    <n v="33"/>
    <n v="87"/>
    <n v="0"/>
    <n v="311.27999999999997"/>
    <n v="268.89"/>
    <m/>
    <n v="348.10461529283072"/>
    <n v="336.17550926835082"/>
    <n v="0"/>
    <n v="13774.451279999997"/>
    <n v="11898.651389999999"/>
    <n v="0"/>
    <n v="15403.977331323051"/>
    <n v="14876.102460633792"/>
  </r>
  <r>
    <s v="PROJETADO"/>
    <x v="3"/>
    <x v="3"/>
    <x v="1"/>
    <x v="0"/>
    <x v="0"/>
    <x v="0"/>
    <x v="2"/>
    <x v="11"/>
    <n v="0"/>
    <n v="0"/>
    <n v="44.250999999999998"/>
    <n v="44.250999999999998"/>
    <n v="44.250999999999998"/>
    <n v="44.250999999999998"/>
    <n v="36"/>
    <x v="0"/>
    <n v="0"/>
    <n v="0"/>
    <n v="33"/>
    <n v="87"/>
    <n v="0"/>
    <n v="311.27999999999997"/>
    <n v="268.89"/>
    <m/>
    <n v="348.10461529283072"/>
    <n v="336.17550926835082"/>
    <n v="0"/>
    <n v="13774.451279999997"/>
    <n v="11898.651389999999"/>
    <n v="0"/>
    <n v="15403.977331323051"/>
    <n v="14876.102460633792"/>
  </r>
  <r>
    <s v="Sistema Isolado - Regular"/>
    <x v="3"/>
    <x v="3"/>
    <x v="2"/>
    <x v="0"/>
    <x v="0"/>
    <x v="0"/>
    <x v="2"/>
    <x v="0"/>
    <n v="0"/>
    <n v="0"/>
    <n v="558.31700000000001"/>
    <n v="558.31700000000001"/>
    <n v="558.31700000000001"/>
    <n v="558.31700000000001"/>
    <n v="334"/>
    <x v="0"/>
    <n v="0"/>
    <n v="0"/>
    <n v="33"/>
    <n v="87"/>
    <n v="0"/>
    <n v="311.27999999999997"/>
    <n v="268.89"/>
    <m/>
    <n v="348.10461529283072"/>
    <n v="336.17550926835082"/>
    <n v="0"/>
    <n v="173792.91575999997"/>
    <n v="150125.85813000001"/>
    <n v="0"/>
    <n v="194352.72449644736"/>
    <n v="187692.50180817783"/>
  </r>
  <r>
    <s v="Sistema Isolado - Refaturamento"/>
    <x v="3"/>
    <x v="3"/>
    <x v="2"/>
    <x v="0"/>
    <x v="0"/>
    <x v="0"/>
    <x v="2"/>
    <x v="0"/>
    <n v="0"/>
    <n v="0"/>
    <n v="0.98299999999999998"/>
    <n v="0.98299999999999998"/>
    <n v="0.98299999999999998"/>
    <n v="0.98299999999999998"/>
    <n v="-2"/>
    <x v="0"/>
    <n v="0"/>
    <n v="0"/>
    <n v="33"/>
    <n v="87"/>
    <n v="0"/>
    <n v="311.27999999999997"/>
    <n v="268.89"/>
    <m/>
    <n v="348.10461529283072"/>
    <n v="336.17550926835082"/>
    <n v="0"/>
    <n v="305.98823999999996"/>
    <n v="264.31887"/>
    <n v="0"/>
    <n v="342.18683683285258"/>
    <n v="330.46052561078886"/>
  </r>
  <r>
    <s v="Sistema de Compensação"/>
    <x v="3"/>
    <x v="3"/>
    <x v="2"/>
    <x v="0"/>
    <x v="0"/>
    <x v="0"/>
    <x v="2"/>
    <x v="0"/>
    <n v="0"/>
    <n v="0"/>
    <n v="4.9359999999999999"/>
    <n v="4.9359999999999999"/>
    <n v="4.9359999999999999"/>
    <n v="4.9359999999999999"/>
    <n v="2"/>
    <x v="0"/>
    <n v="0"/>
    <n v="0"/>
    <n v="33"/>
    <n v="87"/>
    <n v="0"/>
    <n v="311.27999999999997"/>
    <n v="268.89"/>
    <m/>
    <n v="348.10461529283072"/>
    <n v="336.17550926835082"/>
    <n v="0"/>
    <n v="1536.4780799999999"/>
    <n v="1327.2410399999999"/>
    <n v="0"/>
    <n v="1718.2443810854124"/>
    <n v="1659.3623137485797"/>
  </r>
  <r>
    <s v="Sistema Isolado - Regular"/>
    <x v="3"/>
    <x v="3"/>
    <x v="2"/>
    <x v="0"/>
    <x v="0"/>
    <x v="0"/>
    <x v="2"/>
    <x v="1"/>
    <n v="0"/>
    <n v="0"/>
    <n v="584.803"/>
    <n v="584.803"/>
    <n v="584.803"/>
    <n v="584.803"/>
    <n v="330"/>
    <x v="0"/>
    <n v="0"/>
    <n v="0"/>
    <n v="33"/>
    <n v="87"/>
    <n v="0"/>
    <n v="311.27999999999997"/>
    <n v="268.89"/>
    <m/>
    <n v="348.10461529283072"/>
    <n v="336.17550926835082"/>
    <n v="0"/>
    <n v="182037.47783999998"/>
    <n v="157247.67866999999"/>
    <n v="0"/>
    <n v="203572.62333709328"/>
    <n v="196596.44634665936"/>
  </r>
  <r>
    <s v="Sistema Isolado - Refaturamento"/>
    <x v="3"/>
    <x v="3"/>
    <x v="2"/>
    <x v="0"/>
    <x v="0"/>
    <x v="0"/>
    <x v="2"/>
    <x v="1"/>
    <n v="0"/>
    <n v="0"/>
    <n v="0.56499999999999995"/>
    <n v="0.56499999999999995"/>
    <n v="0.56499999999999995"/>
    <n v="0.56499999999999995"/>
    <n v="0"/>
    <x v="0"/>
    <n v="0"/>
    <n v="0"/>
    <n v="33"/>
    <n v="87"/>
    <n v="0"/>
    <n v="311.27999999999997"/>
    <n v="268.89"/>
    <m/>
    <n v="348.10461529283072"/>
    <n v="336.17550926835082"/>
    <n v="0"/>
    <n v="175.87319999999997"/>
    <n v="151.92284999999998"/>
    <n v="0"/>
    <n v="196.67910764044933"/>
    <n v="189.93916273661819"/>
  </r>
  <r>
    <s v="Sistema de Compensação"/>
    <x v="3"/>
    <x v="3"/>
    <x v="2"/>
    <x v="0"/>
    <x v="0"/>
    <x v="0"/>
    <x v="2"/>
    <x v="1"/>
    <n v="0"/>
    <n v="0"/>
    <n v="5.1429999999999998"/>
    <n v="5.1429999999999998"/>
    <n v="5.1429999999999998"/>
    <n v="5.1429999999999998"/>
    <n v="2"/>
    <x v="0"/>
    <n v="0"/>
    <n v="0"/>
    <n v="33"/>
    <n v="87"/>
    <n v="0"/>
    <n v="311.27999999999997"/>
    <n v="268.89"/>
    <m/>
    <n v="348.10461529283072"/>
    <n v="336.17550926835082"/>
    <n v="0"/>
    <n v="1600.9130399999997"/>
    <n v="1382.9012699999998"/>
    <n v="0"/>
    <n v="1790.3020364510282"/>
    <n v="1728.9506441671283"/>
  </r>
  <r>
    <s v="Sistema Isolado - Regular"/>
    <x v="3"/>
    <x v="3"/>
    <x v="2"/>
    <x v="0"/>
    <x v="0"/>
    <x v="0"/>
    <x v="2"/>
    <x v="2"/>
    <n v="0"/>
    <n v="0"/>
    <n v="558.44200000000001"/>
    <n v="558.44200000000001"/>
    <n v="558.44200000000001"/>
    <n v="558.44200000000001"/>
    <n v="333"/>
    <x v="0"/>
    <n v="0"/>
    <n v="0"/>
    <n v="33"/>
    <n v="87"/>
    <n v="0"/>
    <n v="311.27999999999997"/>
    <n v="268.89"/>
    <m/>
    <n v="348.10461529283072"/>
    <n v="336.17550926835082"/>
    <n v="0"/>
    <n v="173831.82575999998"/>
    <n v="150159.46937999999"/>
    <n v="0"/>
    <n v="194396.23757335899"/>
    <n v="187734.52374683638"/>
  </r>
  <r>
    <s v="Sistema de Compensação"/>
    <x v="3"/>
    <x v="3"/>
    <x v="2"/>
    <x v="0"/>
    <x v="0"/>
    <x v="0"/>
    <x v="2"/>
    <x v="2"/>
    <n v="0"/>
    <n v="0"/>
    <n v="5.7690000000000001"/>
    <n v="5.7690000000000001"/>
    <n v="5.7690000000000001"/>
    <n v="5.7690000000000001"/>
    <n v="2"/>
    <x v="0"/>
    <n v="0"/>
    <n v="0"/>
    <n v="33"/>
    <n v="87"/>
    <n v="0"/>
    <n v="311.27999999999997"/>
    <n v="268.89"/>
    <m/>
    <n v="348.10461529283072"/>
    <n v="336.17550926835082"/>
    <n v="0"/>
    <n v="1795.77432"/>
    <n v="1551.22641"/>
    <n v="0"/>
    <n v="2008.2155256243404"/>
    <n v="1939.396512969116"/>
  </r>
  <r>
    <s v="Sistema Isolado - Regular"/>
    <x v="3"/>
    <x v="3"/>
    <x v="2"/>
    <x v="0"/>
    <x v="0"/>
    <x v="0"/>
    <x v="2"/>
    <x v="3"/>
    <n v="0"/>
    <n v="0"/>
    <n v="593.94299999999998"/>
    <n v="593.94299999999998"/>
    <n v="593.94299999999998"/>
    <n v="593.94299999999998"/>
    <n v="332"/>
    <x v="0"/>
    <n v="0"/>
    <n v="0"/>
    <n v="33"/>
    <n v="87"/>
    <n v="0"/>
    <n v="311.27999999999997"/>
    <n v="268.89"/>
    <m/>
    <n v="348.10461529283072"/>
    <n v="336.17550926835082"/>
    <n v="0"/>
    <n v="184882.57703999997"/>
    <n v="159705.33326999997"/>
    <n v="0"/>
    <n v="206754.29952086974"/>
    <n v="199669.09050137209"/>
  </r>
  <r>
    <s v="Sistema Isolado - Refaturamento"/>
    <x v="3"/>
    <x v="3"/>
    <x v="2"/>
    <x v="0"/>
    <x v="0"/>
    <x v="0"/>
    <x v="2"/>
    <x v="3"/>
    <n v="0"/>
    <n v="0"/>
    <n v="0.251"/>
    <n v="0.251"/>
    <n v="0.251"/>
    <n v="0.251"/>
    <n v="-3"/>
    <x v="0"/>
    <n v="0"/>
    <n v="0"/>
    <n v="33"/>
    <n v="87"/>
    <n v="0"/>
    <n v="311.27999999999997"/>
    <n v="268.89"/>
    <m/>
    <n v="348.10461529283072"/>
    <n v="336.17550926835082"/>
    <n v="0"/>
    <n v="78.13127999999999"/>
    <n v="67.491389999999996"/>
    <n v="0"/>
    <n v="87.374258438500505"/>
    <n v="84.380052826356064"/>
  </r>
  <r>
    <s v="Sistema de Compensação"/>
    <x v="3"/>
    <x v="3"/>
    <x v="2"/>
    <x v="0"/>
    <x v="0"/>
    <x v="0"/>
    <x v="2"/>
    <x v="3"/>
    <n v="0"/>
    <n v="0"/>
    <n v="6.0030000000000001"/>
    <n v="6.0030000000000001"/>
    <n v="6.0030000000000001"/>
    <n v="6.0030000000000001"/>
    <n v="2"/>
    <x v="0"/>
    <n v="0"/>
    <n v="0"/>
    <n v="33"/>
    <n v="87"/>
    <n v="0"/>
    <n v="311.27999999999997"/>
    <n v="268.89"/>
    <m/>
    <n v="348.10461529283072"/>
    <n v="336.17550926835082"/>
    <n v="0"/>
    <n v="1868.61384"/>
    <n v="1614.1466699999999"/>
    <n v="0"/>
    <n v="2089.672005602863"/>
    <n v="2018.0615821379101"/>
  </r>
  <r>
    <s v="Sistema Isolado - Regular"/>
    <x v="3"/>
    <x v="3"/>
    <x v="2"/>
    <x v="0"/>
    <x v="0"/>
    <x v="0"/>
    <x v="2"/>
    <x v="4"/>
    <n v="0"/>
    <n v="0"/>
    <n v="622.48699999999997"/>
    <n v="622.48699999999997"/>
    <n v="622.48699999999997"/>
    <n v="622.48699999999997"/>
    <n v="336"/>
    <x v="0"/>
    <n v="0"/>
    <n v="0"/>
    <n v="33"/>
    <n v="87"/>
    <n v="0"/>
    <n v="311.27999999999997"/>
    <n v="268.89"/>
    <m/>
    <n v="348.10461529283072"/>
    <n v="336.17550926835082"/>
    <n v="0"/>
    <n v="193767.75335999997"/>
    <n v="167380.52943"/>
    <n v="0"/>
    <n v="216690.5976597883"/>
    <n v="209264.88423792788"/>
  </r>
  <r>
    <s v="Sistema de Compensação"/>
    <x v="3"/>
    <x v="3"/>
    <x v="2"/>
    <x v="0"/>
    <x v="0"/>
    <x v="0"/>
    <x v="2"/>
    <x v="4"/>
    <n v="0"/>
    <n v="0"/>
    <n v="6.26"/>
    <n v="6.26"/>
    <n v="6.26"/>
    <n v="6.26"/>
    <n v="2"/>
    <x v="0"/>
    <n v="0"/>
    <n v="0"/>
    <n v="33"/>
    <n v="87"/>
    <n v="0"/>
    <n v="311.27999999999997"/>
    <n v="268.89"/>
    <m/>
    <n v="348.10461529283072"/>
    <n v="336.17550926835082"/>
    <n v="0"/>
    <n v="1948.6127999999997"/>
    <n v="1683.2513999999999"/>
    <n v="0"/>
    <n v="2179.1348917331202"/>
    <n v="2104.4586880198763"/>
  </r>
  <r>
    <s v="Sistema Isolado - Regular"/>
    <x v="3"/>
    <x v="3"/>
    <x v="2"/>
    <x v="0"/>
    <x v="0"/>
    <x v="0"/>
    <x v="2"/>
    <x v="5"/>
    <n v="0"/>
    <n v="0"/>
    <n v="622.48699999999997"/>
    <n v="622.48699999999997"/>
    <n v="622.48699999999997"/>
    <n v="622.48699999999997"/>
    <n v="336"/>
    <x v="0"/>
    <n v="0"/>
    <n v="0"/>
    <n v="33"/>
    <n v="87"/>
    <n v="0"/>
    <n v="311.27999999999997"/>
    <n v="268.89"/>
    <m/>
    <n v="348.10461529283072"/>
    <n v="336.17550926835082"/>
    <n v="0"/>
    <n v="193767.75335999997"/>
    <n v="167380.52943"/>
    <n v="0"/>
    <n v="216690.5976597883"/>
    <n v="209264.88423792788"/>
  </r>
  <r>
    <s v="Sistema de Compensação"/>
    <x v="3"/>
    <x v="3"/>
    <x v="2"/>
    <x v="0"/>
    <x v="0"/>
    <x v="0"/>
    <x v="2"/>
    <x v="5"/>
    <n v="0"/>
    <n v="0"/>
    <n v="6.26"/>
    <n v="6.26"/>
    <n v="6.26"/>
    <n v="6.26"/>
    <n v="2"/>
    <x v="0"/>
    <n v="0"/>
    <n v="0"/>
    <n v="33"/>
    <n v="87"/>
    <n v="0"/>
    <n v="311.27999999999997"/>
    <n v="268.89"/>
    <m/>
    <n v="348.10461529283072"/>
    <n v="336.17550926835082"/>
    <n v="0"/>
    <n v="1948.6127999999997"/>
    <n v="1683.2513999999999"/>
    <n v="0"/>
    <n v="2179.1348917331202"/>
    <n v="2104.4586880198763"/>
  </r>
  <r>
    <s v="Sistema Isolado - Regular"/>
    <x v="3"/>
    <x v="3"/>
    <x v="2"/>
    <x v="0"/>
    <x v="0"/>
    <x v="0"/>
    <x v="2"/>
    <x v="6"/>
    <n v="0"/>
    <n v="0"/>
    <n v="566.77200000000005"/>
    <n v="566.77200000000005"/>
    <n v="566.77200000000005"/>
    <n v="566.77200000000005"/>
    <n v="334"/>
    <x v="0"/>
    <n v="0"/>
    <n v="0"/>
    <n v="33"/>
    <n v="87"/>
    <n v="0"/>
    <n v="311.27999999999997"/>
    <n v="268.89"/>
    <m/>
    <n v="348.10461529283072"/>
    <n v="336.17550926835082"/>
    <n v="0"/>
    <n v="176424.78816"/>
    <n v="152399.32308"/>
    <n v="0"/>
    <n v="197295.94901874827"/>
    <n v="190534.86573904174"/>
  </r>
  <r>
    <s v="Sistema Isolado - Refaturamento"/>
    <x v="3"/>
    <x v="3"/>
    <x v="2"/>
    <x v="0"/>
    <x v="0"/>
    <x v="0"/>
    <x v="2"/>
    <x v="6"/>
    <n v="0"/>
    <n v="0"/>
    <n v="-2.74"/>
    <n v="-2.74"/>
    <n v="-2.74"/>
    <n v="-2.74"/>
    <n v="0"/>
    <x v="0"/>
    <n v="0"/>
    <n v="0"/>
    <n v="33"/>
    <n v="87"/>
    <n v="0"/>
    <n v="311.27999999999997"/>
    <n v="268.89"/>
    <m/>
    <n v="348.10461529283072"/>
    <n v="336.17550926835082"/>
    <n v="0"/>
    <n v="-852.90719999999999"/>
    <n v="-736.7586"/>
    <n v="0"/>
    <n v="-953.80664590235619"/>
    <n v="-921.12089539528131"/>
  </r>
  <r>
    <s v="Sistema de Compensação"/>
    <x v="3"/>
    <x v="3"/>
    <x v="2"/>
    <x v="0"/>
    <x v="0"/>
    <x v="0"/>
    <x v="2"/>
    <x v="6"/>
    <n v="0"/>
    <n v="0"/>
    <n v="23.172000000000001"/>
    <n v="23.172000000000001"/>
    <n v="23.172000000000001"/>
    <n v="23.172000000000001"/>
    <n v="8"/>
    <x v="0"/>
    <n v="0"/>
    <n v="0"/>
    <n v="33"/>
    <n v="87"/>
    <n v="0"/>
    <n v="311.27999999999997"/>
    <n v="268.89"/>
    <m/>
    <n v="348.10461529283072"/>
    <n v="336.17550926835082"/>
    <n v="0"/>
    <n v="7212.9801599999992"/>
    <n v="6230.7190799999998"/>
    <n v="0"/>
    <n v="8066.2801455654735"/>
    <n v="7789.8589007662258"/>
  </r>
  <r>
    <s v="Sistema Isolado - Regular"/>
    <x v="3"/>
    <x v="3"/>
    <x v="2"/>
    <x v="0"/>
    <x v="0"/>
    <x v="0"/>
    <x v="2"/>
    <x v="7"/>
    <n v="0"/>
    <n v="0"/>
    <n v="551.89300000000003"/>
    <n v="551.89300000000003"/>
    <n v="551.89300000000003"/>
    <n v="551.89300000000003"/>
    <n v="335"/>
    <x v="0"/>
    <n v="0"/>
    <n v="0"/>
    <n v="33"/>
    <n v="87"/>
    <n v="0"/>
    <n v="311.27999999999997"/>
    <n v="268.89"/>
    <m/>
    <n v="348.10461529283072"/>
    <n v="336.17550926835082"/>
    <n v="0"/>
    <n v="171793.25303999998"/>
    <n v="148398.50876999999"/>
    <n v="0"/>
    <n v="192116.50044780623"/>
    <n v="185532.91033663796"/>
  </r>
  <r>
    <s v="Sistema de Compensação"/>
    <x v="3"/>
    <x v="3"/>
    <x v="2"/>
    <x v="0"/>
    <x v="0"/>
    <x v="0"/>
    <x v="2"/>
    <x v="7"/>
    <n v="0"/>
    <n v="0"/>
    <n v="4.8869999999999996"/>
    <n v="4.8869999999999996"/>
    <n v="4.8869999999999996"/>
    <n v="4.8869999999999996"/>
    <n v="2"/>
    <x v="0"/>
    <n v="0"/>
    <n v="0"/>
    <n v="33"/>
    <n v="87"/>
    <n v="0"/>
    <n v="311.27999999999997"/>
    <n v="268.89"/>
    <m/>
    <n v="348.10461529283072"/>
    <n v="336.17550926835082"/>
    <n v="0"/>
    <n v="1521.2253599999997"/>
    <n v="1314.0654299999999"/>
    <n v="0"/>
    <n v="1701.1872549360635"/>
    <n v="1642.8897137944302"/>
  </r>
  <r>
    <s v="Sistema Isolado - Regular"/>
    <x v="3"/>
    <x v="3"/>
    <x v="2"/>
    <x v="0"/>
    <x v="0"/>
    <x v="0"/>
    <x v="2"/>
    <x v="8"/>
    <n v="0"/>
    <n v="0"/>
    <n v="553.22799999999995"/>
    <n v="553.22799999999995"/>
    <n v="553.22799999999995"/>
    <n v="553.22799999999995"/>
    <n v="332"/>
    <x v="0"/>
    <n v="0"/>
    <n v="0"/>
    <n v="33"/>
    <n v="87"/>
    <n v="0"/>
    <n v="311.27999999999997"/>
    <n v="268.89"/>
    <m/>
    <n v="348.10461529283072"/>
    <n v="336.17550926835082"/>
    <n v="0"/>
    <n v="172208.81183999998"/>
    <n v="148757.47691999999"/>
    <n v="0"/>
    <n v="192581.22010922214"/>
    <n v="185981.70464151117"/>
  </r>
  <r>
    <s v="Sistema Isolado - Refaturamento"/>
    <x v="3"/>
    <x v="3"/>
    <x v="2"/>
    <x v="0"/>
    <x v="0"/>
    <x v="0"/>
    <x v="2"/>
    <x v="8"/>
    <n v="0"/>
    <n v="0"/>
    <n v="7.07"/>
    <n v="7.07"/>
    <n v="7.07"/>
    <n v="7.07"/>
    <n v="0"/>
    <x v="0"/>
    <n v="0"/>
    <n v="0"/>
    <n v="33"/>
    <n v="87"/>
    <n v="0"/>
    <n v="311.27999999999997"/>
    <n v="268.89"/>
    <m/>
    <n v="348.10461529283072"/>
    <n v="336.17550926835082"/>
    <n v="0"/>
    <n v="2200.7496000000001"/>
    <n v="1901.0523000000001"/>
    <n v="0"/>
    <n v="2461.0996301203131"/>
    <n v="2376.7608505272406"/>
  </r>
  <r>
    <s v="Sistema de Compensação"/>
    <x v="3"/>
    <x v="3"/>
    <x v="2"/>
    <x v="0"/>
    <x v="0"/>
    <x v="0"/>
    <x v="2"/>
    <x v="8"/>
    <n v="0"/>
    <n v="0"/>
    <n v="7.875"/>
    <n v="7.875"/>
    <n v="7.875"/>
    <n v="7.875"/>
    <n v="2"/>
    <x v="0"/>
    <n v="0"/>
    <n v="0"/>
    <n v="33"/>
    <n v="87"/>
    <n v="0"/>
    <n v="311.27999999999997"/>
    <n v="268.89"/>
    <m/>
    <n v="348.10461529283072"/>
    <n v="336.17550926835082"/>
    <n v="0"/>
    <n v="2451.33"/>
    <n v="2117.50875"/>
    <n v="0"/>
    <n v="2741.3238454310417"/>
    <n v="2647.3821354882625"/>
  </r>
  <r>
    <s v="Sistema Isolado - Regular"/>
    <x v="3"/>
    <x v="3"/>
    <x v="2"/>
    <x v="0"/>
    <x v="0"/>
    <x v="0"/>
    <x v="2"/>
    <x v="9"/>
    <n v="0"/>
    <n v="0"/>
    <n v="594.38"/>
    <n v="594.38"/>
    <n v="594.38"/>
    <n v="594.38"/>
    <n v="333"/>
    <x v="0"/>
    <n v="0"/>
    <n v="0"/>
    <n v="33"/>
    <n v="87"/>
    <n v="0"/>
    <n v="311.27999999999997"/>
    <n v="268.89"/>
    <m/>
    <n v="348.10461529283072"/>
    <n v="336.17550926835082"/>
    <n v="0"/>
    <n v="185018.60639999999"/>
    <n v="159822.8382"/>
    <n v="0"/>
    <n v="206906.42123775271"/>
    <n v="199815.99919892236"/>
  </r>
  <r>
    <s v="Sistema Isolado - Refaturamento"/>
    <x v="3"/>
    <x v="3"/>
    <x v="2"/>
    <x v="0"/>
    <x v="0"/>
    <x v="0"/>
    <x v="2"/>
    <x v="9"/>
    <n v="0"/>
    <n v="0"/>
    <n v="-0.4"/>
    <n v="-0.4"/>
    <n v="-0.4"/>
    <n v="-0.4"/>
    <n v="-8"/>
    <x v="0"/>
    <n v="0"/>
    <n v="0"/>
    <n v="33"/>
    <n v="87"/>
    <n v="0"/>
    <n v="311.27999999999997"/>
    <n v="268.89"/>
    <m/>
    <n v="348.10461529283072"/>
    <n v="336.17550926835082"/>
    <n v="0"/>
    <n v="-124.512"/>
    <n v="-107.556"/>
    <n v="0"/>
    <n v="-139.2418461171323"/>
    <n v="-134.47020370734035"/>
  </r>
  <r>
    <s v="Sistema de Compensação"/>
    <x v="3"/>
    <x v="3"/>
    <x v="2"/>
    <x v="0"/>
    <x v="0"/>
    <x v="0"/>
    <x v="2"/>
    <x v="9"/>
    <n v="0"/>
    <n v="0"/>
    <n v="8.7149999999999999"/>
    <n v="8.7149999999999999"/>
    <n v="8.7149999999999999"/>
    <n v="8.7149999999999999"/>
    <n v="2"/>
    <x v="0"/>
    <n v="0"/>
    <n v="0"/>
    <n v="33"/>
    <n v="87"/>
    <n v="0"/>
    <n v="311.27999999999997"/>
    <n v="268.89"/>
    <m/>
    <n v="348.10461529283072"/>
    <n v="336.17550926835082"/>
    <n v="0"/>
    <n v="2712.8051999999998"/>
    <n v="2343.37635"/>
    <n v="0"/>
    <n v="3033.7317222770198"/>
    <n v="2929.7695632736772"/>
  </r>
  <r>
    <s v="Sistema Isolado - Regular"/>
    <x v="3"/>
    <x v="3"/>
    <x v="2"/>
    <x v="0"/>
    <x v="0"/>
    <x v="0"/>
    <x v="2"/>
    <x v="10"/>
    <n v="0"/>
    <n v="0"/>
    <n v="609.09699999999998"/>
    <n v="609.09699999999998"/>
    <n v="609.09699999999998"/>
    <n v="609.09699999999998"/>
    <n v="332"/>
    <x v="0"/>
    <n v="0"/>
    <n v="0"/>
    <n v="33"/>
    <n v="87"/>
    <n v="0"/>
    <n v="311.27999999999997"/>
    <n v="268.89"/>
    <m/>
    <n v="348.10461529283072"/>
    <n v="336.17550926835082"/>
    <n v="0"/>
    <n v="189599.71415999997"/>
    <n v="163780.09232999998"/>
    <n v="0"/>
    <n v="212029.47686101729"/>
    <n v="204763.49416882466"/>
  </r>
  <r>
    <s v="Sistema de Compensação"/>
    <x v="3"/>
    <x v="3"/>
    <x v="2"/>
    <x v="0"/>
    <x v="0"/>
    <x v="0"/>
    <x v="2"/>
    <x v="10"/>
    <n v="0"/>
    <n v="0"/>
    <n v="14.805"/>
    <n v="14.805"/>
    <n v="14.805"/>
    <n v="14.805"/>
    <n v="3"/>
    <x v="0"/>
    <n v="0"/>
    <n v="0"/>
    <n v="33"/>
    <n v="87"/>
    <n v="0"/>
    <n v="311.27999999999997"/>
    <n v="268.89"/>
    <m/>
    <n v="348.10461529283072"/>
    <n v="336.17550926835082"/>
    <n v="0"/>
    <n v="4608.5003999999999"/>
    <n v="3980.9164499999997"/>
    <n v="0"/>
    <n v="5153.6888294103583"/>
    <n v="4977.0784147179338"/>
  </r>
  <r>
    <s v="PROJETADO"/>
    <x v="3"/>
    <x v="3"/>
    <x v="2"/>
    <x v="0"/>
    <x v="0"/>
    <x v="0"/>
    <x v="2"/>
    <x v="11"/>
    <n v="0"/>
    <n v="0"/>
    <n v="609.09699999999998"/>
    <n v="609.09699999999998"/>
    <n v="609.09699999999998"/>
    <n v="609.09699999999998"/>
    <n v="332"/>
    <x v="0"/>
    <n v="0"/>
    <n v="0"/>
    <n v="33"/>
    <n v="87"/>
    <n v="0"/>
    <n v="311.27999999999997"/>
    <n v="268.89"/>
    <m/>
    <n v="348.10461529283072"/>
    <n v="336.17550926835082"/>
    <n v="0"/>
    <n v="189599.71415999997"/>
    <n v="163780.09232999998"/>
    <n v="0"/>
    <n v="212029.47686101729"/>
    <n v="204763.49416882466"/>
  </r>
  <r>
    <s v="PROJETADO"/>
    <x v="3"/>
    <x v="3"/>
    <x v="2"/>
    <x v="0"/>
    <x v="0"/>
    <x v="0"/>
    <x v="2"/>
    <x v="11"/>
    <n v="0"/>
    <n v="0"/>
    <n v="14.805"/>
    <n v="14.805"/>
    <n v="14.805"/>
    <n v="14.805"/>
    <n v="3"/>
    <x v="0"/>
    <n v="0"/>
    <n v="0"/>
    <n v="33"/>
    <n v="87"/>
    <n v="0"/>
    <n v="311.27999999999997"/>
    <n v="268.89"/>
    <m/>
    <n v="348.10461529283072"/>
    <n v="336.17550926835082"/>
    <n v="0"/>
    <n v="4608.5003999999999"/>
    <n v="3980.9164499999997"/>
    <n v="0"/>
    <n v="5153.6888294103583"/>
    <n v="4977.0784147179338"/>
  </r>
  <r>
    <s v="Sistema Isolado - Regular"/>
    <x v="3"/>
    <x v="3"/>
    <x v="3"/>
    <x v="0"/>
    <x v="0"/>
    <x v="0"/>
    <x v="2"/>
    <x v="0"/>
    <n v="0"/>
    <n v="0"/>
    <n v="1688.6949999999999"/>
    <n v="1688.6949999999999"/>
    <n v="1688.6949999999999"/>
    <n v="1688.6949999999999"/>
    <n v="1600"/>
    <x v="0"/>
    <n v="0"/>
    <n v="0"/>
    <n v="33"/>
    <n v="87"/>
    <n v="0"/>
    <n v="311.27999999999997"/>
    <n v="268.89"/>
    <m/>
    <n v="348.10461529283072"/>
    <n v="336.17550926835082"/>
    <n v="0"/>
    <n v="525656.97959999996"/>
    <n v="454073.19854999997"/>
    <n v="0"/>
    <n v="587842.52332192671"/>
    <n v="567697.90162391763"/>
  </r>
  <r>
    <s v="Sistema Isolado - Refaturamento"/>
    <x v="3"/>
    <x v="3"/>
    <x v="3"/>
    <x v="0"/>
    <x v="0"/>
    <x v="0"/>
    <x v="2"/>
    <x v="0"/>
    <n v="0"/>
    <n v="0"/>
    <n v="19.978999999999999"/>
    <n v="19.978999999999999"/>
    <n v="19.978999999999999"/>
    <n v="19.978999999999999"/>
    <n v="2"/>
    <x v="0"/>
    <n v="0"/>
    <n v="0"/>
    <n v="33"/>
    <n v="87"/>
    <n v="0"/>
    <n v="311.27999999999997"/>
    <n v="268.89"/>
    <m/>
    <n v="348.10461529283072"/>
    <n v="336.17550926835082"/>
    <n v="0"/>
    <n v="6219.0631199999989"/>
    <n v="5372.1533099999997"/>
    <n v="0"/>
    <n v="6954.7821089354647"/>
    <n v="6716.4504996723808"/>
  </r>
  <r>
    <s v="Sistema de Compensação"/>
    <x v="3"/>
    <x v="3"/>
    <x v="3"/>
    <x v="0"/>
    <x v="0"/>
    <x v="0"/>
    <x v="2"/>
    <x v="0"/>
    <n v="0"/>
    <n v="0"/>
    <n v="841.68600000000004"/>
    <n v="841.68600000000004"/>
    <n v="841.68600000000004"/>
    <n v="841.68600000000004"/>
    <n v="238"/>
    <x v="0"/>
    <n v="0"/>
    <n v="0"/>
    <n v="33"/>
    <n v="87"/>
    <n v="0"/>
    <n v="311.27999999999997"/>
    <n v="268.89"/>
    <m/>
    <n v="348.10461529283072"/>
    <n v="336.17550926835082"/>
    <n v="0"/>
    <n v="262000.01807999998"/>
    <n v="226320.94854000001"/>
    <n v="0"/>
    <n v="292994.78122736153"/>
    <n v="282954.21969404112"/>
  </r>
  <r>
    <s v="Sistema de Compensação"/>
    <x v="3"/>
    <x v="3"/>
    <x v="3"/>
    <x v="0"/>
    <x v="0"/>
    <x v="0"/>
    <x v="2"/>
    <x v="0"/>
    <n v="0"/>
    <n v="0"/>
    <n v="-0.52100000000000002"/>
    <n v="-0.52100000000000002"/>
    <n v="-0.52100000000000002"/>
    <n v="-0.52100000000000002"/>
    <n v="0"/>
    <x v="0"/>
    <n v="0"/>
    <n v="0"/>
    <n v="33"/>
    <n v="87"/>
    <n v="0"/>
    <n v="311.27999999999997"/>
    <n v="268.89"/>
    <m/>
    <n v="348.10461529283072"/>
    <n v="336.17550926835082"/>
    <n v="0"/>
    <n v="-162.17687999999998"/>
    <n v="-140.09169"/>
    <n v="0"/>
    <n v="-181.3625045675648"/>
    <n v="-175.14744032881077"/>
  </r>
  <r>
    <s v="Sistema Isolado - Regular"/>
    <x v="3"/>
    <x v="3"/>
    <x v="3"/>
    <x v="0"/>
    <x v="0"/>
    <x v="0"/>
    <x v="2"/>
    <x v="1"/>
    <n v="0"/>
    <n v="0"/>
    <n v="1591.17"/>
    <n v="1591.17"/>
    <n v="1591.17"/>
    <n v="1591.17"/>
    <n v="1603"/>
    <x v="0"/>
    <n v="0"/>
    <n v="0"/>
    <n v="33"/>
    <n v="87"/>
    <n v="0"/>
    <n v="311.27999999999997"/>
    <n v="268.89"/>
    <m/>
    <n v="348.10461529283072"/>
    <n v="336.17550926835082"/>
    <n v="0"/>
    <n v="495299.39759999997"/>
    <n v="427849.70130000002"/>
    <n v="0"/>
    <n v="553893.62071549345"/>
    <n v="534912.38508252183"/>
  </r>
  <r>
    <s v="Sistema Isolado - Refaturamento"/>
    <x v="3"/>
    <x v="3"/>
    <x v="3"/>
    <x v="0"/>
    <x v="0"/>
    <x v="0"/>
    <x v="2"/>
    <x v="1"/>
    <n v="0"/>
    <n v="0"/>
    <n v="3.7080000000000002"/>
    <n v="3.7080000000000002"/>
    <n v="3.7080000000000002"/>
    <n v="3.7080000000000002"/>
    <n v="4"/>
    <x v="0"/>
    <n v="0"/>
    <n v="0"/>
    <n v="33"/>
    <n v="87"/>
    <n v="0"/>
    <n v="311.27999999999997"/>
    <n v="268.89"/>
    <m/>
    <n v="348.10461529283072"/>
    <n v="336.17550926835082"/>
    <n v="0"/>
    <n v="1154.22624"/>
    <n v="997.04412000000002"/>
    <n v="0"/>
    <n v="1290.7719135058164"/>
    <n v="1246.5387883670448"/>
  </r>
  <r>
    <s v="Sistema de Compensação"/>
    <x v="3"/>
    <x v="3"/>
    <x v="3"/>
    <x v="0"/>
    <x v="0"/>
    <x v="0"/>
    <x v="2"/>
    <x v="1"/>
    <n v="0"/>
    <n v="0"/>
    <n v="781.03800000000001"/>
    <n v="781.03800000000001"/>
    <n v="781.03800000000001"/>
    <n v="781.03800000000001"/>
    <n v="237"/>
    <x v="0"/>
    <n v="0"/>
    <n v="0"/>
    <n v="33"/>
    <n v="87"/>
    <n v="0"/>
    <n v="311.27999999999997"/>
    <n v="268.89"/>
    <m/>
    <n v="348.10461529283072"/>
    <n v="336.17550926835082"/>
    <n v="0"/>
    <n v="243121.50863999999"/>
    <n v="210013.30781999999"/>
    <n v="0"/>
    <n v="271882.93251908192"/>
    <n v="262565.8474079342"/>
  </r>
  <r>
    <s v="Sistema de Compensação"/>
    <x v="3"/>
    <x v="3"/>
    <x v="3"/>
    <x v="0"/>
    <x v="0"/>
    <x v="0"/>
    <x v="2"/>
    <x v="1"/>
    <n v="0"/>
    <n v="0"/>
    <n v="-0.1"/>
    <n v="-0.1"/>
    <n v="-0.1"/>
    <n v="-0.1"/>
    <n v="0"/>
    <x v="0"/>
    <n v="0"/>
    <n v="0"/>
    <n v="33"/>
    <n v="87"/>
    <n v="0"/>
    <n v="311.27999999999997"/>
    <n v="268.89"/>
    <m/>
    <n v="348.10461529283072"/>
    <n v="336.17550926835082"/>
    <n v="0"/>
    <n v="-31.128"/>
    <n v="-26.888999999999999"/>
    <n v="0"/>
    <n v="-34.810461529283074"/>
    <n v="-33.617550926835086"/>
  </r>
  <r>
    <s v="Sistema Isolado - Regular"/>
    <x v="3"/>
    <x v="3"/>
    <x v="3"/>
    <x v="0"/>
    <x v="0"/>
    <x v="0"/>
    <x v="2"/>
    <x v="2"/>
    <n v="0"/>
    <n v="0"/>
    <n v="1404.723"/>
    <n v="1404.723"/>
    <n v="1404.723"/>
    <n v="1404.723"/>
    <n v="1613"/>
    <x v="0"/>
    <n v="0"/>
    <n v="0"/>
    <n v="33"/>
    <n v="87"/>
    <n v="0"/>
    <n v="311.27999999999997"/>
    <n v="268.89"/>
    <m/>
    <n v="348.10461529283072"/>
    <n v="336.17550926835082"/>
    <n v="0"/>
    <n v="437262.17543999996"/>
    <n v="377715.96746999997"/>
    <n v="0"/>
    <n v="488990.55950799101"/>
    <n v="472233.46990596555"/>
  </r>
  <r>
    <s v="Sistema Isolado - Refaturamento"/>
    <x v="3"/>
    <x v="3"/>
    <x v="3"/>
    <x v="0"/>
    <x v="0"/>
    <x v="0"/>
    <x v="2"/>
    <x v="2"/>
    <n v="0"/>
    <n v="0"/>
    <n v="5.4480000000000004"/>
    <n v="5.4480000000000004"/>
    <n v="5.4480000000000004"/>
    <n v="5.4480000000000004"/>
    <n v="4"/>
    <x v="0"/>
    <n v="0"/>
    <n v="0"/>
    <n v="33"/>
    <n v="87"/>
    <n v="0"/>
    <n v="311.27999999999997"/>
    <n v="268.89"/>
    <m/>
    <n v="348.10461529283072"/>
    <n v="336.17550926835082"/>
    <n v="0"/>
    <n v="1695.8534399999999"/>
    <n v="1464.91272"/>
    <n v="0"/>
    <n v="1896.473944115342"/>
    <n v="1831.4841744939754"/>
  </r>
  <r>
    <s v="Sistema de Compensação"/>
    <x v="3"/>
    <x v="3"/>
    <x v="3"/>
    <x v="0"/>
    <x v="0"/>
    <x v="0"/>
    <x v="2"/>
    <x v="2"/>
    <n v="0"/>
    <n v="0"/>
    <n v="582.83699999999999"/>
    <n v="582.83699999999999"/>
    <n v="582.83699999999999"/>
    <n v="582.83699999999999"/>
    <n v="236"/>
    <x v="0"/>
    <n v="0"/>
    <n v="0"/>
    <n v="33"/>
    <n v="87"/>
    <n v="0"/>
    <n v="311.27999999999997"/>
    <n v="268.89"/>
    <m/>
    <n v="348.10461529283072"/>
    <n v="336.17550926835082"/>
    <n v="0"/>
    <n v="181425.50135999999"/>
    <n v="156719.04092999999"/>
    <n v="0"/>
    <n v="202888.24966342756"/>
    <n v="195935.52529543778"/>
  </r>
  <r>
    <s v="Sistema Isolado - Regular"/>
    <x v="3"/>
    <x v="3"/>
    <x v="3"/>
    <x v="0"/>
    <x v="0"/>
    <x v="0"/>
    <x v="2"/>
    <x v="3"/>
    <n v="0"/>
    <n v="0"/>
    <n v="1523.3779999999999"/>
    <n v="1523.3779999999999"/>
    <n v="1523.3779999999999"/>
    <n v="1523.3779999999999"/>
    <n v="1612"/>
    <x v="0"/>
    <n v="0"/>
    <n v="0"/>
    <n v="33"/>
    <n v="87"/>
    <n v="0"/>
    <n v="311.27999999999997"/>
    <n v="268.89"/>
    <m/>
    <n v="348.10461529283072"/>
    <n v="336.17550926835082"/>
    <n v="0"/>
    <n v="474197.10383999994"/>
    <n v="409621.11041999998"/>
    <n v="0"/>
    <n v="530294.91263556189"/>
    <n v="512122.37495820172"/>
  </r>
  <r>
    <s v="Sistema Isolado - Refaturamento"/>
    <x v="3"/>
    <x v="3"/>
    <x v="3"/>
    <x v="0"/>
    <x v="0"/>
    <x v="0"/>
    <x v="2"/>
    <x v="3"/>
    <n v="0"/>
    <n v="0"/>
    <n v="-0.29099999999999998"/>
    <n v="-0.29099999999999998"/>
    <n v="-0.29099999999999998"/>
    <n v="-0.29099999999999998"/>
    <n v="0"/>
    <x v="0"/>
    <n v="0"/>
    <n v="0"/>
    <n v="33"/>
    <n v="87"/>
    <n v="0"/>
    <n v="311.27999999999997"/>
    <n v="268.89"/>
    <m/>
    <n v="348.10461529283072"/>
    <n v="336.17550926835082"/>
    <n v="0"/>
    <n v="-90.58247999999999"/>
    <n v="-78.246989999999997"/>
    <n v="0"/>
    <n v="-101.29844305021373"/>
    <n v="-97.827073197090087"/>
  </r>
  <r>
    <s v="Sistema de Compensação"/>
    <x v="3"/>
    <x v="3"/>
    <x v="3"/>
    <x v="0"/>
    <x v="0"/>
    <x v="0"/>
    <x v="2"/>
    <x v="3"/>
    <n v="0"/>
    <n v="0"/>
    <n v="738.68299999999999"/>
    <n v="738.68299999999999"/>
    <n v="738.68299999999999"/>
    <n v="738.68299999999999"/>
    <n v="233"/>
    <x v="0"/>
    <n v="0"/>
    <n v="0"/>
    <n v="33"/>
    <n v="87"/>
    <n v="0"/>
    <n v="311.27999999999997"/>
    <n v="268.89"/>
    <m/>
    <n v="348.10461529283072"/>
    <n v="336.17550926835082"/>
    <n v="0"/>
    <n v="229937.24423999997"/>
    <n v="198624.47186999998"/>
    <n v="0"/>
    <n v="257138.96153835408"/>
    <n v="248327.13371287318"/>
  </r>
  <r>
    <s v="Sistema Isolado - Regular"/>
    <x v="3"/>
    <x v="3"/>
    <x v="3"/>
    <x v="0"/>
    <x v="0"/>
    <x v="0"/>
    <x v="2"/>
    <x v="4"/>
    <n v="0"/>
    <n v="0"/>
    <n v="1688.0550000000001"/>
    <n v="1688.0550000000001"/>
    <n v="1688.0550000000001"/>
    <n v="1688.0550000000001"/>
    <n v="1616"/>
    <x v="0"/>
    <n v="0"/>
    <n v="0"/>
    <n v="33"/>
    <n v="87"/>
    <n v="0"/>
    <n v="311.27999999999997"/>
    <n v="268.89"/>
    <m/>
    <n v="348.10461529283072"/>
    <n v="336.17550926835082"/>
    <n v="0"/>
    <n v="525457.76040000003"/>
    <n v="453901.10894999997"/>
    <n v="0"/>
    <n v="587619.73636813939"/>
    <n v="567482.74929798592"/>
  </r>
  <r>
    <s v="Sistema de Compensação"/>
    <x v="3"/>
    <x v="3"/>
    <x v="3"/>
    <x v="0"/>
    <x v="0"/>
    <x v="0"/>
    <x v="2"/>
    <x v="4"/>
    <n v="0"/>
    <n v="0"/>
    <n v="778.11"/>
    <n v="778.11"/>
    <n v="778.11"/>
    <n v="778.11"/>
    <n v="233"/>
    <x v="0"/>
    <n v="0"/>
    <n v="0"/>
    <n v="33"/>
    <n v="87"/>
    <n v="0"/>
    <n v="311.27999999999997"/>
    <n v="268.89"/>
    <m/>
    <n v="348.10461529283072"/>
    <n v="336.17550926835082"/>
    <n v="0"/>
    <n v="242210.0808"/>
    <n v="209225.99789999999"/>
    <n v="0"/>
    <n v="270863.6822055045"/>
    <n v="261581.52551679645"/>
  </r>
  <r>
    <s v="Sistema Isolado - Regular"/>
    <x v="3"/>
    <x v="3"/>
    <x v="3"/>
    <x v="0"/>
    <x v="0"/>
    <x v="0"/>
    <x v="2"/>
    <x v="5"/>
    <n v="0"/>
    <n v="0"/>
    <n v="1688.0550000000001"/>
    <n v="1688.0550000000001"/>
    <n v="1688.0550000000001"/>
    <n v="1688.0550000000001"/>
    <n v="1616"/>
    <x v="0"/>
    <n v="0"/>
    <n v="0"/>
    <n v="33"/>
    <n v="87"/>
    <n v="0"/>
    <n v="311.27999999999997"/>
    <n v="268.89"/>
    <m/>
    <n v="348.10461529283072"/>
    <n v="336.17550926835082"/>
    <n v="0"/>
    <n v="525457.76040000003"/>
    <n v="453901.10894999997"/>
    <n v="0"/>
    <n v="587619.73636813939"/>
    <n v="567482.74929798592"/>
  </r>
  <r>
    <s v="Sistema de Compensação"/>
    <x v="3"/>
    <x v="3"/>
    <x v="3"/>
    <x v="0"/>
    <x v="0"/>
    <x v="0"/>
    <x v="2"/>
    <x v="5"/>
    <n v="0"/>
    <n v="0"/>
    <n v="778.11"/>
    <n v="778.11"/>
    <n v="778.11"/>
    <n v="778.11"/>
    <n v="233"/>
    <x v="0"/>
    <n v="0"/>
    <n v="0"/>
    <n v="33"/>
    <n v="87"/>
    <n v="0"/>
    <n v="311.27999999999997"/>
    <n v="268.89"/>
    <m/>
    <n v="348.10461529283072"/>
    <n v="336.17550926835082"/>
    <n v="0"/>
    <n v="242210.0808"/>
    <n v="209225.99789999999"/>
    <n v="0"/>
    <n v="270863.6822055045"/>
    <n v="261581.52551679645"/>
  </r>
  <r>
    <s v="Sistema Isolado - Regular"/>
    <x v="3"/>
    <x v="3"/>
    <x v="3"/>
    <x v="0"/>
    <x v="0"/>
    <x v="0"/>
    <x v="2"/>
    <x v="6"/>
    <n v="0"/>
    <n v="0"/>
    <n v="1610.2909999999999"/>
    <n v="1610.2909999999999"/>
    <n v="1610.2909999999999"/>
    <n v="1610.2909999999999"/>
    <n v="1664"/>
    <x v="0"/>
    <n v="0"/>
    <n v="0"/>
    <n v="33"/>
    <n v="87"/>
    <n v="0"/>
    <n v="311.27999999999997"/>
    <n v="268.89"/>
    <m/>
    <n v="348.10461529283072"/>
    <n v="336.17550926835082"/>
    <n v="0"/>
    <n v="501251.38247999991"/>
    <n v="432991.14698999998"/>
    <n v="0"/>
    <n v="560549.72906450764"/>
    <n v="541340.39699524187"/>
  </r>
  <r>
    <s v="Sistema Isolado - Refaturamento"/>
    <x v="3"/>
    <x v="3"/>
    <x v="3"/>
    <x v="0"/>
    <x v="0"/>
    <x v="0"/>
    <x v="2"/>
    <x v="6"/>
    <n v="0"/>
    <n v="0"/>
    <n v="0.2"/>
    <n v="0.2"/>
    <n v="0.2"/>
    <n v="0.2"/>
    <n v="4"/>
    <x v="0"/>
    <n v="0"/>
    <n v="0"/>
    <n v="33"/>
    <n v="87"/>
    <n v="0"/>
    <n v="311.27999999999997"/>
    <n v="268.89"/>
    <m/>
    <n v="348.10461529283072"/>
    <n v="336.17550926835082"/>
    <n v="0"/>
    <n v="62.256"/>
    <n v="53.777999999999999"/>
    <n v="0"/>
    <n v="69.620923058566149"/>
    <n v="67.235101853670173"/>
  </r>
  <r>
    <s v="Sistema de Compensação"/>
    <x v="3"/>
    <x v="3"/>
    <x v="3"/>
    <x v="0"/>
    <x v="0"/>
    <x v="0"/>
    <x v="2"/>
    <x v="6"/>
    <n v="0"/>
    <n v="0"/>
    <n v="2902.1239999999998"/>
    <n v="2902.1239999999998"/>
    <n v="2902.1239999999998"/>
    <n v="2902.1239999999998"/>
    <n v="928"/>
    <x v="0"/>
    <n v="0"/>
    <n v="0"/>
    <n v="33"/>
    <n v="87"/>
    <n v="0"/>
    <n v="311.27999999999997"/>
    <n v="268.89"/>
    <m/>
    <n v="348.10461529283072"/>
    <n v="336.17550926835082"/>
    <n v="0"/>
    <n v="903373.15871999983"/>
    <n v="780352.12235999992"/>
    <n v="0"/>
    <n v="1010242.758552091"/>
    <n v="975623.01365990331"/>
  </r>
  <r>
    <s v="Sistema Isolado - Regular"/>
    <x v="3"/>
    <x v="3"/>
    <x v="3"/>
    <x v="0"/>
    <x v="0"/>
    <x v="0"/>
    <x v="2"/>
    <x v="7"/>
    <n v="0"/>
    <n v="0"/>
    <n v="1578.172"/>
    <n v="1578.172"/>
    <n v="1578.172"/>
    <n v="1578.172"/>
    <n v="1665"/>
    <x v="0"/>
    <n v="0"/>
    <n v="0"/>
    <n v="33"/>
    <n v="87"/>
    <n v="0"/>
    <n v="311.27999999999997"/>
    <n v="268.89"/>
    <m/>
    <n v="348.10461529283072"/>
    <n v="336.17550926835082"/>
    <n v="0"/>
    <n v="491253.38015999994"/>
    <n v="424354.66907999996"/>
    <n v="0"/>
    <n v="549368.9569259173"/>
    <n v="530542.77581305173"/>
  </r>
  <r>
    <s v="Sistema Isolado - Refaturamento"/>
    <x v="3"/>
    <x v="3"/>
    <x v="3"/>
    <x v="0"/>
    <x v="0"/>
    <x v="0"/>
    <x v="2"/>
    <x v="7"/>
    <n v="0"/>
    <n v="0"/>
    <n v="-6.2140000000000004"/>
    <n v="-6.2140000000000004"/>
    <n v="-6.2140000000000004"/>
    <n v="-6.2140000000000004"/>
    <n v="-2"/>
    <x v="0"/>
    <n v="0"/>
    <n v="0"/>
    <n v="33"/>
    <n v="87"/>
    <n v="0"/>
    <n v="311.27999999999997"/>
    <n v="268.89"/>
    <m/>
    <n v="348.10461529283072"/>
    <n v="336.17550926835082"/>
    <n v="0"/>
    <n v="-1934.2939200000001"/>
    <n v="-1670.88246"/>
    <n v="0"/>
    <n v="-2163.1220794296501"/>
    <n v="-2088.9946145935323"/>
  </r>
  <r>
    <s v="Sistema de Compensação"/>
    <x v="3"/>
    <x v="3"/>
    <x v="3"/>
    <x v="0"/>
    <x v="0"/>
    <x v="0"/>
    <x v="2"/>
    <x v="7"/>
    <n v="0"/>
    <n v="0"/>
    <n v="720.51700000000005"/>
    <n v="720.51700000000005"/>
    <n v="720.51700000000005"/>
    <n v="720.51700000000005"/>
    <n v="232"/>
    <x v="0"/>
    <n v="0"/>
    <n v="0"/>
    <n v="33"/>
    <n v="87"/>
    <n v="0"/>
    <n v="311.27999999999997"/>
    <n v="268.89"/>
    <m/>
    <n v="348.10461529283072"/>
    <n v="336.17550926835082"/>
    <n v="0"/>
    <n v="224282.53175999998"/>
    <n v="193739.81612999999"/>
    <n v="0"/>
    <n v="250815.29309694452"/>
    <n v="242220.16941150435"/>
  </r>
  <r>
    <s v="Sistema Isolado - Regular"/>
    <x v="3"/>
    <x v="3"/>
    <x v="3"/>
    <x v="0"/>
    <x v="0"/>
    <x v="0"/>
    <x v="2"/>
    <x v="8"/>
    <n v="0"/>
    <n v="0"/>
    <n v="1497.865"/>
    <n v="1497.865"/>
    <n v="1497.865"/>
    <n v="1497.865"/>
    <n v="1654"/>
    <x v="0"/>
    <n v="0"/>
    <n v="0"/>
    <n v="33"/>
    <n v="87"/>
    <n v="0"/>
    <n v="311.27999999999997"/>
    <n v="268.89"/>
    <m/>
    <n v="348.10461529283072"/>
    <n v="336.17550926835082"/>
    <n v="0"/>
    <n v="466255.41719999997"/>
    <n v="402760.91985000001"/>
    <n v="0"/>
    <n v="521413.71958559589"/>
    <n v="503545.52919023833"/>
  </r>
  <r>
    <s v="Sistema Isolado - Refaturamento"/>
    <x v="3"/>
    <x v="3"/>
    <x v="3"/>
    <x v="0"/>
    <x v="0"/>
    <x v="0"/>
    <x v="2"/>
    <x v="8"/>
    <n v="0"/>
    <n v="0"/>
    <n v="-1.038"/>
    <n v="-1.038"/>
    <n v="-1.038"/>
    <n v="-1.038"/>
    <n v="-4"/>
    <x v="0"/>
    <n v="0"/>
    <n v="0"/>
    <n v="33"/>
    <n v="87"/>
    <n v="0"/>
    <n v="311.27999999999997"/>
    <n v="268.89"/>
    <m/>
    <n v="348.10461529283072"/>
    <n v="336.17550926835082"/>
    <n v="0"/>
    <n v="-323.10863999999998"/>
    <n v="-279.10782"/>
    <n v="0"/>
    <n v="-361.33259067395829"/>
    <n v="-348.95017862054817"/>
  </r>
  <r>
    <s v="Sistema de Compensação"/>
    <x v="3"/>
    <x v="3"/>
    <x v="3"/>
    <x v="0"/>
    <x v="0"/>
    <x v="0"/>
    <x v="2"/>
    <x v="8"/>
    <n v="0"/>
    <n v="0"/>
    <n v="651.04999999999995"/>
    <n v="651.04999999999995"/>
    <n v="651.04999999999995"/>
    <n v="651.04999999999995"/>
    <n v="235"/>
    <x v="0"/>
    <n v="0"/>
    <n v="0"/>
    <n v="33"/>
    <n v="87"/>
    <n v="0"/>
    <n v="311.27999999999997"/>
    <n v="268.89"/>
    <m/>
    <n v="348.10461529283072"/>
    <n v="336.17550926835082"/>
    <n v="0"/>
    <n v="202658.84399999995"/>
    <n v="175060.83449999997"/>
    <n v="0"/>
    <n v="226633.50978639742"/>
    <n v="218867.06530915978"/>
  </r>
  <r>
    <s v="Sistema Isolado - Regular"/>
    <x v="3"/>
    <x v="3"/>
    <x v="3"/>
    <x v="0"/>
    <x v="0"/>
    <x v="0"/>
    <x v="2"/>
    <x v="9"/>
    <n v="0"/>
    <n v="0"/>
    <n v="1896.625"/>
    <n v="1896.625"/>
    <n v="1896.625"/>
    <n v="1896.625"/>
    <n v="1656"/>
    <x v="0"/>
    <n v="0"/>
    <n v="0"/>
    <n v="33"/>
    <n v="87"/>
    <n v="0"/>
    <n v="311.27999999999997"/>
    <n v="268.89"/>
    <m/>
    <n v="348.10461529283072"/>
    <n v="336.17550926835082"/>
    <n v="0"/>
    <n v="590381.42999999993"/>
    <n v="509983.49624999997"/>
    <n v="0"/>
    <n v="660223.91597976501"/>
    <n v="637598.87526608584"/>
  </r>
  <r>
    <s v="Sistema Isolado - Refaturamento"/>
    <x v="3"/>
    <x v="3"/>
    <x v="3"/>
    <x v="0"/>
    <x v="0"/>
    <x v="0"/>
    <x v="2"/>
    <x v="9"/>
    <n v="0"/>
    <n v="0"/>
    <n v="-13.897"/>
    <n v="-13.897"/>
    <n v="-13.897"/>
    <n v="-13.897"/>
    <n v="-3"/>
    <x v="0"/>
    <n v="0"/>
    <n v="0"/>
    <n v="33"/>
    <n v="87"/>
    <n v="0"/>
    <n v="311.27999999999997"/>
    <n v="268.89"/>
    <m/>
    <n v="348.10461529283072"/>
    <n v="336.17550926835082"/>
    <n v="0"/>
    <n v="-4325.8581599999998"/>
    <n v="-3736.76433"/>
    <n v="0"/>
    <n v="-4837.6098387244683"/>
    <n v="-4671.831052302271"/>
  </r>
  <r>
    <s v="Sistema de Compensação"/>
    <x v="3"/>
    <x v="3"/>
    <x v="3"/>
    <x v="0"/>
    <x v="0"/>
    <x v="0"/>
    <x v="2"/>
    <x v="9"/>
    <n v="0"/>
    <n v="0"/>
    <n v="891.13300000000004"/>
    <n v="891.13300000000004"/>
    <n v="891.13300000000004"/>
    <n v="891.13300000000004"/>
    <n v="236"/>
    <x v="0"/>
    <n v="0"/>
    <n v="0"/>
    <n v="33"/>
    <n v="87"/>
    <n v="0"/>
    <n v="311.27999999999997"/>
    <n v="268.89"/>
    <m/>
    <n v="348.10461529283072"/>
    <n v="336.17550926835082"/>
    <n v="0"/>
    <n v="277391.88023999997"/>
    <n v="239616.75237"/>
    <n v="0"/>
    <n v="310207.51013974613"/>
    <n v="299577.09010083327"/>
  </r>
  <r>
    <s v="Sistema Isolado - Regular"/>
    <x v="3"/>
    <x v="3"/>
    <x v="3"/>
    <x v="0"/>
    <x v="0"/>
    <x v="0"/>
    <x v="2"/>
    <x v="10"/>
    <n v="0"/>
    <n v="0"/>
    <n v="1919.9480000000001"/>
    <n v="1919.9480000000001"/>
    <n v="1919.9480000000001"/>
    <n v="1919.9480000000001"/>
    <n v="1665"/>
    <x v="0"/>
    <n v="0"/>
    <n v="0"/>
    <n v="33"/>
    <n v="87"/>
    <n v="0"/>
    <n v="311.27999999999997"/>
    <n v="268.89"/>
    <m/>
    <n v="348.10461529283072"/>
    <n v="336.17550926835082"/>
    <n v="0"/>
    <n v="597641.41344000003"/>
    <n v="516254.81771999999"/>
    <n v="0"/>
    <n v="668342.75992223981"/>
    <n v="645439.4966687517"/>
  </r>
  <r>
    <s v="Sistema Isolado - Refaturamento"/>
    <x v="3"/>
    <x v="3"/>
    <x v="3"/>
    <x v="0"/>
    <x v="0"/>
    <x v="0"/>
    <x v="2"/>
    <x v="10"/>
    <n v="0"/>
    <n v="0"/>
    <n v="-0.56899999999999995"/>
    <n v="-0.56899999999999995"/>
    <n v="-0.56899999999999995"/>
    <n v="-0.56899999999999995"/>
    <n v="-1"/>
    <x v="0"/>
    <n v="0"/>
    <n v="0"/>
    <n v="33"/>
    <n v="87"/>
    <n v="0"/>
    <n v="311.27999999999997"/>
    <n v="268.89"/>
    <m/>
    <n v="348.10461529283072"/>
    <n v="336.17550926835082"/>
    <n v="0"/>
    <n v="-177.11831999999998"/>
    <n v="-152.99840999999998"/>
    <n v="0"/>
    <n v="-198.07152610162066"/>
    <n v="-191.28386477369159"/>
  </r>
  <r>
    <s v="Sistema de Compensação"/>
    <x v="3"/>
    <x v="3"/>
    <x v="3"/>
    <x v="0"/>
    <x v="0"/>
    <x v="0"/>
    <x v="2"/>
    <x v="10"/>
    <n v="0"/>
    <n v="0"/>
    <n v="871.98199999999997"/>
    <n v="871.98199999999997"/>
    <n v="871.98199999999997"/>
    <n v="871.98199999999997"/>
    <n v="239"/>
    <x v="0"/>
    <n v="0"/>
    <n v="0"/>
    <n v="33"/>
    <n v="87"/>
    <n v="0"/>
    <n v="311.27999999999997"/>
    <n v="268.89"/>
    <m/>
    <n v="348.10461529283072"/>
    <n v="336.17550926835082"/>
    <n v="0"/>
    <n v="271430.55695999996"/>
    <n v="234467.23997999998"/>
    <n v="0"/>
    <n v="303540.95865227311"/>
    <n v="293138.99292283505"/>
  </r>
  <r>
    <s v="PROJETADO"/>
    <x v="3"/>
    <x v="3"/>
    <x v="3"/>
    <x v="0"/>
    <x v="0"/>
    <x v="0"/>
    <x v="2"/>
    <x v="11"/>
    <n v="0"/>
    <n v="0"/>
    <n v="1919.9480000000001"/>
    <n v="1919.9480000000001"/>
    <n v="1919.9480000000001"/>
    <n v="1919.9480000000001"/>
    <n v="1665"/>
    <x v="0"/>
    <n v="0"/>
    <n v="0"/>
    <n v="33"/>
    <n v="87"/>
    <n v="0"/>
    <n v="311.27999999999997"/>
    <n v="268.89"/>
    <m/>
    <n v="348.10461529283072"/>
    <n v="336.17550926835082"/>
    <n v="0"/>
    <n v="597641.41344000003"/>
    <n v="516254.81771999999"/>
    <n v="0"/>
    <n v="668342.75992223981"/>
    <n v="645439.4966687517"/>
  </r>
  <r>
    <s v="PROJETADO"/>
    <x v="3"/>
    <x v="3"/>
    <x v="3"/>
    <x v="0"/>
    <x v="0"/>
    <x v="0"/>
    <x v="2"/>
    <x v="11"/>
    <n v="0"/>
    <n v="0"/>
    <n v="-0.56899999999999995"/>
    <n v="-0.56899999999999995"/>
    <n v="-0.56899999999999995"/>
    <n v="-0.56899999999999995"/>
    <n v="-1"/>
    <x v="0"/>
    <n v="0"/>
    <n v="0"/>
    <n v="33"/>
    <n v="87"/>
    <n v="0"/>
    <n v="311.27999999999997"/>
    <n v="268.89"/>
    <m/>
    <n v="348.10461529283072"/>
    <n v="336.17550926835082"/>
    <n v="0"/>
    <n v="-177.11831999999998"/>
    <n v="-152.99840999999998"/>
    <n v="0"/>
    <n v="-198.07152610162066"/>
    <n v="-191.28386477369159"/>
  </r>
  <r>
    <s v="PROJETADO"/>
    <x v="3"/>
    <x v="3"/>
    <x v="3"/>
    <x v="0"/>
    <x v="0"/>
    <x v="0"/>
    <x v="2"/>
    <x v="11"/>
    <n v="0"/>
    <n v="0"/>
    <n v="871.98199999999997"/>
    <n v="871.98199999999997"/>
    <n v="871.98199999999997"/>
    <n v="871.98199999999997"/>
    <n v="239"/>
    <x v="0"/>
    <n v="0"/>
    <n v="0"/>
    <n v="33"/>
    <n v="87"/>
    <n v="0"/>
    <n v="311.27999999999997"/>
    <n v="268.89"/>
    <m/>
    <n v="348.10461529283072"/>
    <n v="336.17550926835082"/>
    <n v="0"/>
    <n v="271430.55695999996"/>
    <n v="234467.23997999998"/>
    <n v="0"/>
    <n v="303540.95865227311"/>
    <n v="293138.99292283505"/>
  </r>
  <r>
    <s v="Sistema Isolado - Regular"/>
    <x v="3"/>
    <x v="3"/>
    <x v="4"/>
    <x v="1"/>
    <x v="0"/>
    <x v="0"/>
    <x v="2"/>
    <x v="0"/>
    <n v="0"/>
    <n v="0"/>
    <n v="846.09400000000005"/>
    <n v="795.32835999999998"/>
    <n v="846.09400000000005"/>
    <n v="795.32835999999998"/>
    <n v="281"/>
    <x v="0"/>
    <n v="0"/>
    <n v="0"/>
    <n v="33"/>
    <n v="87"/>
    <n v="0"/>
    <n v="311.27999999999997"/>
    <n v="268.89"/>
    <m/>
    <n v="348.10461529283072"/>
    <n v="336.17550926835082"/>
    <n v="0"/>
    <n v="247569.81190079998"/>
    <n v="213855.84272039999"/>
    <n v="0"/>
    <n v="276857.47278927796"/>
    <n v="267369.91645856225"/>
  </r>
  <r>
    <s v="Sistema Isolado - Refaturamento"/>
    <x v="3"/>
    <x v="3"/>
    <x v="4"/>
    <x v="1"/>
    <x v="0"/>
    <x v="0"/>
    <x v="2"/>
    <x v="0"/>
    <n v="0"/>
    <n v="0"/>
    <n v="-10.592000000000001"/>
    <n v="-9.9564799999999991"/>
    <n v="-10.592000000000001"/>
    <n v="-9.9564799999999991"/>
    <n v="0"/>
    <x v="0"/>
    <n v="0"/>
    <n v="0"/>
    <n v="33"/>
    <n v="87"/>
    <n v="0"/>
    <n v="311.27999999999997"/>
    <n v="268.89"/>
    <m/>
    <n v="348.10461529283072"/>
    <n v="336.17550926835082"/>
    <n v="0"/>
    <n v="-3099.2530943999996"/>
    <n v="-2677.1979071999995"/>
    <n v="0"/>
    <n v="-3465.8966400707627"/>
    <n v="-3347.1247345201491"/>
  </r>
  <r>
    <s v="Sistema Isolado - Regular"/>
    <x v="3"/>
    <x v="3"/>
    <x v="4"/>
    <x v="1"/>
    <x v="0"/>
    <x v="0"/>
    <x v="2"/>
    <x v="1"/>
    <n v="0"/>
    <n v="0"/>
    <n v="825.83399999999995"/>
    <n v="776.28395999999998"/>
    <n v="825.83399999999995"/>
    <n v="776.28395999999998"/>
    <n v="280"/>
    <x v="0"/>
    <n v="0"/>
    <n v="0"/>
    <n v="33"/>
    <n v="87"/>
    <n v="0"/>
    <n v="311.27999999999997"/>
    <n v="268.89"/>
    <m/>
    <n v="348.10461529283072"/>
    <n v="336.17550926835082"/>
    <n v="0"/>
    <n v="241641.67106879997"/>
    <n v="208734.99400439998"/>
    <n v="0"/>
    <n v="270228.02925379516"/>
    <n v="260967.65558985207"/>
  </r>
  <r>
    <s v="Sistema Isolado - Refaturamento"/>
    <x v="3"/>
    <x v="3"/>
    <x v="4"/>
    <x v="1"/>
    <x v="0"/>
    <x v="0"/>
    <x v="2"/>
    <x v="1"/>
    <n v="0"/>
    <n v="0"/>
    <n v="-1.276"/>
    <n v="-1.1994400000000001"/>
    <n v="-1.276"/>
    <n v="-1.1994400000000001"/>
    <n v="-1"/>
    <x v="0"/>
    <n v="0"/>
    <n v="0"/>
    <n v="33"/>
    <n v="87"/>
    <n v="0"/>
    <n v="311.27999999999997"/>
    <n v="268.89"/>
    <m/>
    <n v="348.10461529283072"/>
    <n v="336.17550926835082"/>
    <n v="0"/>
    <n v="-373.36168319999996"/>
    <n v="-322.51742159999998"/>
    <n v="0"/>
    <n v="-417.53059976683289"/>
    <n v="-403.22235283683074"/>
  </r>
  <r>
    <s v="Sistema Isolado - Regular"/>
    <x v="3"/>
    <x v="3"/>
    <x v="4"/>
    <x v="1"/>
    <x v="0"/>
    <x v="0"/>
    <x v="2"/>
    <x v="2"/>
    <n v="0"/>
    <n v="0"/>
    <n v="770.93499999999995"/>
    <n v="724.6789"/>
    <n v="770.93499999999995"/>
    <n v="724.6789"/>
    <n v="279"/>
    <x v="0"/>
    <n v="0"/>
    <n v="0"/>
    <n v="33"/>
    <n v="87"/>
    <n v="0"/>
    <n v="311.27999999999997"/>
    <n v="268.89"/>
    <m/>
    <n v="348.10461529283072"/>
    <n v="336.17550926835082"/>
    <n v="0"/>
    <n v="225578.04799199998"/>
    <n v="194858.90942099999"/>
    <n v="0"/>
    <n v="252264.06969533174"/>
    <n v="243619.29826352827"/>
  </r>
  <r>
    <s v="Sistema Isolado - Regular"/>
    <x v="3"/>
    <x v="3"/>
    <x v="4"/>
    <x v="1"/>
    <x v="0"/>
    <x v="0"/>
    <x v="2"/>
    <x v="3"/>
    <n v="0"/>
    <n v="0"/>
    <n v="771.96199999999999"/>
    <n v="725.64427999999998"/>
    <n v="771.96199999999999"/>
    <n v="725.64427999999998"/>
    <n v="282"/>
    <x v="0"/>
    <n v="0"/>
    <n v="0"/>
    <n v="33"/>
    <n v="87"/>
    <n v="0"/>
    <n v="311.27999999999997"/>
    <n v="268.89"/>
    <m/>
    <n v="348.10461529283072"/>
    <n v="336.17550926835082"/>
    <n v="0"/>
    <n v="225878.55147839998"/>
    <n v="195118.49044919998"/>
    <n v="0"/>
    <n v="252600.12292884314"/>
    <n v="243943.83537666575"/>
  </r>
  <r>
    <s v="Sistema Isolado - Regular"/>
    <x v="3"/>
    <x v="3"/>
    <x v="4"/>
    <x v="1"/>
    <x v="0"/>
    <x v="0"/>
    <x v="2"/>
    <x v="4"/>
    <n v="0"/>
    <n v="0"/>
    <n v="825.13499999999999"/>
    <n v="775.62689999999998"/>
    <n v="825.13499999999999"/>
    <n v="775.62689999999998"/>
    <n v="288"/>
    <x v="0"/>
    <n v="0"/>
    <n v="0"/>
    <n v="33"/>
    <n v="87"/>
    <n v="0"/>
    <n v="311.27999999999997"/>
    <n v="268.89"/>
    <m/>
    <n v="348.10461529283072"/>
    <n v="336.17550926835082"/>
    <n v="0"/>
    <n v="241437.14143199997"/>
    <n v="208558.31714099998"/>
    <n v="0"/>
    <n v="269999.30363527086"/>
    <n v="260746.76810973222"/>
  </r>
  <r>
    <s v="Sistema Isolado - Regular"/>
    <x v="3"/>
    <x v="3"/>
    <x v="4"/>
    <x v="1"/>
    <x v="0"/>
    <x v="0"/>
    <x v="2"/>
    <x v="5"/>
    <n v="0"/>
    <n v="0"/>
    <n v="825.13499999999999"/>
    <n v="775.62689999999998"/>
    <n v="825.13499999999999"/>
    <n v="775.62689999999998"/>
    <n v="288"/>
    <x v="0"/>
    <n v="0"/>
    <n v="0"/>
    <n v="33"/>
    <n v="87"/>
    <n v="0"/>
    <n v="311.27999999999997"/>
    <n v="268.89"/>
    <m/>
    <n v="348.10461529283072"/>
    <n v="336.17550926835082"/>
    <n v="0"/>
    <n v="241437.14143199997"/>
    <n v="208558.31714099998"/>
    <n v="0"/>
    <n v="269999.30363527086"/>
    <n v="260746.76810973222"/>
  </r>
  <r>
    <s v="Sistema Isolado - Regular"/>
    <x v="3"/>
    <x v="3"/>
    <x v="4"/>
    <x v="1"/>
    <x v="0"/>
    <x v="0"/>
    <x v="2"/>
    <x v="6"/>
    <n v="0"/>
    <n v="0"/>
    <n v="801.51499999999999"/>
    <n v="753.42409999999995"/>
    <n v="801.51499999999999"/>
    <n v="753.42409999999995"/>
    <n v="288"/>
    <x v="0"/>
    <n v="0"/>
    <n v="0"/>
    <n v="33"/>
    <n v="87"/>
    <n v="0"/>
    <n v="311.27999999999997"/>
    <n v="268.89"/>
    <m/>
    <n v="348.10461529283072"/>
    <n v="336.17550926835082"/>
    <n v="0"/>
    <n v="234525.85384799997"/>
    <n v="202588.20624899998"/>
    <n v="0"/>
    <n v="262270.40648284717"/>
    <n v="253282.73051254885"/>
  </r>
  <r>
    <s v="Sistema Isolado - Refaturamento"/>
    <x v="3"/>
    <x v="3"/>
    <x v="4"/>
    <x v="1"/>
    <x v="0"/>
    <x v="0"/>
    <x v="2"/>
    <x v="6"/>
    <n v="0"/>
    <n v="0"/>
    <n v="69.284000000000006"/>
    <n v="65.126959999999997"/>
    <n v="69.284000000000006"/>
    <n v="65.126959999999997"/>
    <n v="16"/>
    <x v="0"/>
    <n v="0"/>
    <n v="0"/>
    <n v="33"/>
    <n v="87"/>
    <n v="0"/>
    <n v="311.27999999999997"/>
    <n v="268.89"/>
    <m/>
    <n v="348.10461529283072"/>
    <n v="336.17550926835082"/>
    <n v="0"/>
    <n v="20272.720108799997"/>
    <n v="17511.988274399999"/>
    <n v="0"/>
    <n v="22670.995355991574"/>
    <n v="21894.088945099513"/>
  </r>
  <r>
    <s v="Sistema Isolado - Regular"/>
    <x v="3"/>
    <x v="3"/>
    <x v="4"/>
    <x v="1"/>
    <x v="0"/>
    <x v="0"/>
    <x v="2"/>
    <x v="7"/>
    <n v="0"/>
    <n v="0"/>
    <n v="794.80899999999997"/>
    <n v="747.12045999999998"/>
    <n v="794.80899999999997"/>
    <n v="747.12045999999998"/>
    <n v="288"/>
    <x v="0"/>
    <n v="0"/>
    <n v="0"/>
    <n v="33"/>
    <n v="87"/>
    <n v="0"/>
    <n v="311.27999999999997"/>
    <n v="268.89"/>
    <m/>
    <n v="348.10461529283072"/>
    <n v="336.17550926835082"/>
    <n v="0"/>
    <n v="232563.65678879997"/>
    <n v="200893.22048939997"/>
    <n v="0"/>
    <n v="260076.08030570272"/>
    <n v="251163.60112530453"/>
  </r>
  <r>
    <s v="Sistema Isolado - Refaturamento"/>
    <x v="3"/>
    <x v="3"/>
    <x v="4"/>
    <x v="1"/>
    <x v="0"/>
    <x v="0"/>
    <x v="2"/>
    <x v="7"/>
    <n v="0"/>
    <n v="0"/>
    <n v="-4.0949999999999998"/>
    <n v="-3.8492999999999995"/>
    <n v="-4.0949999999999998"/>
    <n v="-3.8492999999999995"/>
    <n v="1"/>
    <x v="0"/>
    <n v="0"/>
    <n v="0"/>
    <n v="33"/>
    <n v="87"/>
    <n v="0"/>
    <n v="311.27999999999997"/>
    <n v="268.89"/>
    <m/>
    <n v="348.10461529283072"/>
    <n v="336.17550926835082"/>
    <n v="0"/>
    <n v="-1198.2101039999998"/>
    <n v="-1035.0382769999999"/>
    <n v="0"/>
    <n v="-1339.9590956466932"/>
    <n v="-1294.0403878266627"/>
  </r>
  <r>
    <s v="Sistema Isolado - Regular"/>
    <x v="3"/>
    <x v="3"/>
    <x v="4"/>
    <x v="1"/>
    <x v="0"/>
    <x v="0"/>
    <x v="2"/>
    <x v="8"/>
    <n v="0"/>
    <n v="0"/>
    <n v="772.72500000000002"/>
    <n v="726.36149999999998"/>
    <n v="772.72500000000002"/>
    <n v="726.36149999999998"/>
    <n v="293"/>
    <x v="0"/>
    <n v="0"/>
    <n v="0"/>
    <n v="33"/>
    <n v="87"/>
    <n v="0"/>
    <n v="311.27999999999997"/>
    <n v="268.89"/>
    <m/>
    <n v="348.10461529283072"/>
    <n v="336.17550926835082"/>
    <n v="0"/>
    <n v="226101.80771999998"/>
    <n v="195311.34373499997"/>
    <n v="0"/>
    <n v="252849.79052102345"/>
    <n v="244184.94717542321"/>
  </r>
  <r>
    <s v="Sistema Isolado - Refaturamento"/>
    <x v="3"/>
    <x v="3"/>
    <x v="4"/>
    <x v="1"/>
    <x v="0"/>
    <x v="0"/>
    <x v="2"/>
    <x v="8"/>
    <n v="0"/>
    <n v="0"/>
    <n v="4.7789999999999999"/>
    <n v="4.4922599999999999"/>
    <n v="4.7789999999999999"/>
    <n v="4.4922599999999999"/>
    <n v="3"/>
    <x v="0"/>
    <n v="0"/>
    <n v="0"/>
    <n v="33"/>
    <n v="87"/>
    <n v="0"/>
    <n v="311.27999999999997"/>
    <n v="268.89"/>
    <m/>
    <n v="348.10461529283072"/>
    <n v="336.17550926835082"/>
    <n v="0"/>
    <n v="1398.3506927999999"/>
    <n v="1207.9237914"/>
    <n v="0"/>
    <n v="1563.7764390953716"/>
    <n v="1510.1877932658417"/>
  </r>
  <r>
    <s v="Sistema Isolado - Regular"/>
    <x v="3"/>
    <x v="3"/>
    <x v="4"/>
    <x v="1"/>
    <x v="0"/>
    <x v="0"/>
    <x v="2"/>
    <x v="9"/>
    <n v="0"/>
    <n v="0"/>
    <n v="860.15499999999997"/>
    <n v="808.54570000000001"/>
    <n v="860.15499999999997"/>
    <n v="808.54570000000001"/>
    <n v="297"/>
    <x v="0"/>
    <n v="0"/>
    <n v="0"/>
    <n v="33"/>
    <n v="87"/>
    <n v="0"/>
    <n v="311.27999999999997"/>
    <n v="268.89"/>
    <m/>
    <n v="348.10461529283072"/>
    <n v="336.17550926835082"/>
    <n v="0"/>
    <n v="251684.10549599997"/>
    <n v="217409.85327299999"/>
    <n v="0"/>
    <n v="281458.4898451725"/>
    <n v="271813.26246423519"/>
  </r>
  <r>
    <s v="Sistema Isolado - Refaturamento"/>
    <x v="3"/>
    <x v="3"/>
    <x v="4"/>
    <x v="1"/>
    <x v="0"/>
    <x v="0"/>
    <x v="2"/>
    <x v="9"/>
    <n v="0"/>
    <n v="0"/>
    <n v="4.7990000000000004"/>
    <n v="4.5110600000000005"/>
    <n v="4.7990000000000004"/>
    <n v="4.5110600000000005"/>
    <n v="3"/>
    <x v="0"/>
    <n v="0"/>
    <n v="0"/>
    <n v="33"/>
    <n v="87"/>
    <n v="0"/>
    <n v="311.27999999999997"/>
    <n v="268.89"/>
    <m/>
    <n v="348.10461529283072"/>
    <n v="336.17550926835082"/>
    <n v="0"/>
    <n v="1404.2027568000001"/>
    <n v="1212.9789234"/>
    <n v="0"/>
    <n v="1570.320805862877"/>
    <n v="1516.5078928400869"/>
  </r>
  <r>
    <s v="Sistema Isolado - Regular"/>
    <x v="3"/>
    <x v="3"/>
    <x v="4"/>
    <x v="1"/>
    <x v="0"/>
    <x v="0"/>
    <x v="2"/>
    <x v="10"/>
    <n v="0"/>
    <n v="0"/>
    <n v="807.41300000000001"/>
    <n v="758.96821999999997"/>
    <n v="807.41300000000001"/>
    <n v="758.96821999999997"/>
    <n v="300"/>
    <x v="0"/>
    <n v="0"/>
    <n v="0"/>
    <n v="33"/>
    <n v="87"/>
    <n v="0"/>
    <n v="311.27999999999997"/>
    <n v="268.89"/>
    <m/>
    <n v="348.10461529283072"/>
    <n v="336.17550926835082"/>
    <n v="0"/>
    <n v="236251.62752159996"/>
    <n v="204078.96467579997"/>
    <n v="0"/>
    <n v="264200.34024258447"/>
    <n v="255146.52787699373"/>
  </r>
  <r>
    <s v="Sistema Isolado - Refaturamento"/>
    <x v="3"/>
    <x v="3"/>
    <x v="4"/>
    <x v="1"/>
    <x v="0"/>
    <x v="0"/>
    <x v="2"/>
    <x v="10"/>
    <n v="0"/>
    <n v="0"/>
    <n v="0.92600000000000005"/>
    <n v="0.87043999999999999"/>
    <n v="0.92600000000000005"/>
    <n v="0.87043999999999999"/>
    <n v="1"/>
    <x v="0"/>
    <n v="0"/>
    <n v="0"/>
    <n v="33"/>
    <n v="87"/>
    <n v="0"/>
    <n v="311.27999999999997"/>
    <n v="268.89"/>
    <m/>
    <n v="348.10461529283072"/>
    <n v="336.17550926835082"/>
    <n v="0"/>
    <n v="270.95056319999998"/>
    <n v="234.05261159999998"/>
    <n v="0"/>
    <n v="303.00418133549158"/>
    <n v="292.62061028754329"/>
  </r>
  <r>
    <s v="PROJETADO"/>
    <x v="3"/>
    <x v="3"/>
    <x v="4"/>
    <x v="1"/>
    <x v="0"/>
    <x v="0"/>
    <x v="2"/>
    <x v="11"/>
    <n v="0"/>
    <n v="0"/>
    <n v="807.41300000000001"/>
    <n v="758.96821999999997"/>
    <n v="807.41300000000001"/>
    <n v="758.96821999999997"/>
    <n v="300"/>
    <x v="0"/>
    <n v="0"/>
    <n v="0"/>
    <n v="33"/>
    <n v="87"/>
    <n v="0"/>
    <n v="311.27999999999997"/>
    <n v="268.89"/>
    <m/>
    <n v="348.10461529283072"/>
    <n v="336.17550926835082"/>
    <n v="0"/>
    <n v="236251.62752159996"/>
    <n v="204078.96467579997"/>
    <n v="0"/>
    <n v="264200.34024258447"/>
    <n v="255146.52787699373"/>
  </r>
  <r>
    <s v="PROJETADO"/>
    <x v="3"/>
    <x v="3"/>
    <x v="4"/>
    <x v="1"/>
    <x v="0"/>
    <x v="0"/>
    <x v="2"/>
    <x v="11"/>
    <n v="0"/>
    <n v="0"/>
    <n v="0.92600000000000005"/>
    <n v="0.87043999999999999"/>
    <n v="0.92600000000000005"/>
    <n v="0.87043999999999999"/>
    <n v="1"/>
    <x v="0"/>
    <n v="0"/>
    <n v="0"/>
    <n v="33"/>
    <n v="87"/>
    <n v="0"/>
    <n v="311.27999999999997"/>
    <n v="268.89"/>
    <m/>
    <n v="348.10461529283072"/>
    <n v="336.17550926835082"/>
    <n v="0"/>
    <n v="270.95056319999998"/>
    <n v="234.05261159999998"/>
    <n v="0"/>
    <n v="303.00418133549158"/>
    <n v="292.62061028754329"/>
  </r>
  <r>
    <s v="Sistema Isolado - Regular"/>
    <x v="4"/>
    <x v="3"/>
    <x v="7"/>
    <x v="8"/>
    <x v="0"/>
    <x v="0"/>
    <x v="2"/>
    <x v="0"/>
    <n v="0"/>
    <n v="0"/>
    <n v="3233.0050000000001"/>
    <n v="3233.0050000000001"/>
    <n v="3233.0050000000001"/>
    <n v="3233.0050000000001"/>
    <n v="76"/>
    <x v="0"/>
    <n v="0"/>
    <n v="0"/>
    <n v="58"/>
    <n v="86"/>
    <n v="0"/>
    <n v="171.21"/>
    <n v="147.88999999999999"/>
    <m/>
    <n v="191.45753841105696"/>
    <n v="184.89653009759297"/>
    <n v="0"/>
    <n v="553522.78605"/>
    <n v="478129.10944999999"/>
    <n v="0"/>
    <n v="618983.17897063924"/>
    <n v="597771.40628816863"/>
  </r>
  <r>
    <s v="Sistema de Compensação"/>
    <x v="4"/>
    <x v="3"/>
    <x v="7"/>
    <x v="8"/>
    <x v="0"/>
    <x v="0"/>
    <x v="2"/>
    <x v="0"/>
    <n v="0"/>
    <n v="0"/>
    <n v="280.19799999999998"/>
    <n v="280.19799999999998"/>
    <n v="280.19799999999998"/>
    <n v="280.19799999999998"/>
    <n v="92"/>
    <x v="0"/>
    <n v="0"/>
    <n v="0"/>
    <n v="58"/>
    <n v="86"/>
    <n v="0"/>
    <n v="171.21"/>
    <n v="147.88999999999999"/>
    <m/>
    <n v="191.45753841105696"/>
    <n v="184.89653009759297"/>
    <n v="0"/>
    <n v="47972.69958"/>
    <n v="41438.482219999991"/>
    <n v="0"/>
    <n v="53646.019347701331"/>
    <n v="51807.637940285349"/>
  </r>
  <r>
    <s v="Sistema Isolado - Regular"/>
    <x v="4"/>
    <x v="3"/>
    <x v="7"/>
    <x v="8"/>
    <x v="0"/>
    <x v="0"/>
    <x v="2"/>
    <x v="1"/>
    <n v="0"/>
    <n v="0"/>
    <n v="3371.1030000000001"/>
    <n v="3371.1030000000001"/>
    <n v="3371.1030000000001"/>
    <n v="3371.1030000000001"/>
    <n v="76"/>
    <x v="0"/>
    <n v="0"/>
    <n v="0"/>
    <n v="58"/>
    <n v="86"/>
    <n v="0"/>
    <n v="171.21"/>
    <n v="147.88999999999999"/>
    <m/>
    <n v="191.45753841105696"/>
    <n v="184.89653009759297"/>
    <n v="0"/>
    <n v="577166.54463000002"/>
    <n v="498552.42266999994"/>
    <n v="0"/>
    <n v="645423.08211012941"/>
    <n v="623305.24730158597"/>
  </r>
  <r>
    <s v="Sistema de Compensação"/>
    <x v="4"/>
    <x v="3"/>
    <x v="7"/>
    <x v="8"/>
    <x v="0"/>
    <x v="0"/>
    <x v="2"/>
    <x v="1"/>
    <n v="0"/>
    <n v="0"/>
    <n v="291.54000000000002"/>
    <n v="291.54000000000002"/>
    <n v="291.54000000000002"/>
    <n v="291.54000000000002"/>
    <n v="92"/>
    <x v="0"/>
    <n v="0"/>
    <n v="0"/>
    <n v="58"/>
    <n v="86"/>
    <n v="0"/>
    <n v="171.21"/>
    <n v="147.88999999999999"/>
    <m/>
    <n v="191.45753841105696"/>
    <n v="184.89653009759297"/>
    <n v="0"/>
    <n v="49914.563400000006"/>
    <n v="43115.850599999998"/>
    <n v="0"/>
    <n v="55817.530748359546"/>
    <n v="53904.734384652256"/>
  </r>
  <r>
    <s v="Sistema Isolado - Regular"/>
    <x v="4"/>
    <x v="3"/>
    <x v="7"/>
    <x v="8"/>
    <x v="0"/>
    <x v="0"/>
    <x v="2"/>
    <x v="2"/>
    <n v="0"/>
    <n v="0"/>
    <n v="3335.0120000000002"/>
    <n v="3335.0120000000002"/>
    <n v="3335.0120000000002"/>
    <n v="3335.0120000000002"/>
    <n v="76"/>
    <x v="0"/>
    <n v="0"/>
    <n v="0"/>
    <n v="58"/>
    <n v="86"/>
    <n v="0"/>
    <n v="171.21"/>
    <n v="147.88999999999999"/>
    <m/>
    <n v="191.45753841105696"/>
    <n v="184.89653009759297"/>
    <n v="0"/>
    <n v="570987.4045200001"/>
    <n v="493214.92468"/>
    <n v="0"/>
    <n v="638513.18809133593"/>
    <n v="616632.14663383376"/>
  </r>
  <r>
    <s v="Sistema de Compensação"/>
    <x v="4"/>
    <x v="3"/>
    <x v="7"/>
    <x v="8"/>
    <x v="0"/>
    <x v="0"/>
    <x v="2"/>
    <x v="2"/>
    <n v="0"/>
    <n v="0"/>
    <n v="273.601"/>
    <n v="273.601"/>
    <n v="273.601"/>
    <n v="273.601"/>
    <n v="92"/>
    <x v="0"/>
    <n v="0"/>
    <n v="0"/>
    <n v="58"/>
    <n v="86"/>
    <n v="0"/>
    <n v="171.21"/>
    <n v="147.88999999999999"/>
    <m/>
    <n v="191.45753841105696"/>
    <n v="184.89653009759297"/>
    <n v="0"/>
    <n v="46843.227210000005"/>
    <n v="40462.851889999998"/>
    <n v="0"/>
    <n v="52382.973966803598"/>
    <n v="50587.875531231533"/>
  </r>
  <r>
    <s v="Sistema Isolado - Regular"/>
    <x v="4"/>
    <x v="3"/>
    <x v="7"/>
    <x v="8"/>
    <x v="0"/>
    <x v="0"/>
    <x v="2"/>
    <x v="3"/>
    <n v="0"/>
    <n v="0"/>
    <n v="2936.7840000000001"/>
    <n v="2936.7840000000001"/>
    <n v="2936.7840000000001"/>
    <n v="2936.7840000000001"/>
    <n v="76"/>
    <x v="0"/>
    <n v="0"/>
    <n v="0"/>
    <n v="58"/>
    <n v="86"/>
    <n v="0"/>
    <n v="171.21"/>
    <n v="147.88999999999999"/>
    <m/>
    <n v="191.45753841105696"/>
    <n v="184.89653009759297"/>
    <n v="0"/>
    <n v="502806.78864000004"/>
    <n v="434320.98575999995"/>
    <n v="0"/>
    <n v="562269.43548497756"/>
    <n v="543001.17124612955"/>
  </r>
  <r>
    <s v="Sistema de Compensação"/>
    <x v="4"/>
    <x v="3"/>
    <x v="7"/>
    <x v="8"/>
    <x v="0"/>
    <x v="0"/>
    <x v="2"/>
    <x v="3"/>
    <n v="0"/>
    <n v="0"/>
    <n v="267.79599999999999"/>
    <n v="267.79599999999999"/>
    <n v="267.79599999999999"/>
    <n v="267.79599999999999"/>
    <n v="92"/>
    <x v="0"/>
    <n v="0"/>
    <n v="0"/>
    <n v="58"/>
    <n v="86"/>
    <n v="0"/>
    <n v="171.21"/>
    <n v="147.88999999999999"/>
    <m/>
    <n v="191.45753841105696"/>
    <n v="184.89653009759297"/>
    <n v="0"/>
    <n v="45849.353159999999"/>
    <n v="39604.350439999995"/>
    <n v="0"/>
    <n v="51271.562956327405"/>
    <n v="49514.551174015003"/>
  </r>
  <r>
    <s v="Sistema Isolado - Regular"/>
    <x v="4"/>
    <x v="3"/>
    <x v="7"/>
    <x v="8"/>
    <x v="0"/>
    <x v="0"/>
    <x v="2"/>
    <x v="4"/>
    <n v="0"/>
    <n v="0"/>
    <n v="3251.8850000000002"/>
    <n v="3251.8850000000002"/>
    <n v="3251.8850000000002"/>
    <n v="3251.8850000000002"/>
    <n v="78"/>
    <x v="0"/>
    <n v="0"/>
    <n v="0"/>
    <n v="58"/>
    <n v="86"/>
    <n v="0"/>
    <n v="171.21"/>
    <n v="147.88999999999999"/>
    <m/>
    <n v="191.45753841105696"/>
    <n v="184.89653009759297"/>
    <n v="0"/>
    <n v="556755.23085000005"/>
    <n v="480921.27265"/>
    <n v="0"/>
    <n v="622597.89729583997"/>
    <n v="601262.25277641113"/>
  </r>
  <r>
    <s v="Sistema de Compensação"/>
    <x v="4"/>
    <x v="3"/>
    <x v="7"/>
    <x v="8"/>
    <x v="0"/>
    <x v="0"/>
    <x v="2"/>
    <x v="4"/>
    <n v="0"/>
    <n v="0"/>
    <n v="302.46800000000002"/>
    <n v="302.46800000000002"/>
    <n v="302.46800000000002"/>
    <n v="302.46800000000002"/>
    <n v="92"/>
    <x v="0"/>
    <n v="0"/>
    <n v="0"/>
    <n v="58"/>
    <n v="86"/>
    <n v="0"/>
    <n v="171.21"/>
    <n v="147.88999999999999"/>
    <m/>
    <n v="191.45753841105696"/>
    <n v="184.89653009759297"/>
    <n v="0"/>
    <n v="51785.546280000002"/>
    <n v="44731.99252"/>
    <n v="0"/>
    <n v="57909.778728115576"/>
    <n v="55925.283665558753"/>
  </r>
  <r>
    <s v="Sistema Isolado - Regular"/>
    <x v="4"/>
    <x v="3"/>
    <x v="7"/>
    <x v="8"/>
    <x v="0"/>
    <x v="0"/>
    <x v="2"/>
    <x v="5"/>
    <n v="0"/>
    <n v="0"/>
    <n v="3251.8850000000002"/>
    <n v="3251.8850000000002"/>
    <n v="3251.8850000000002"/>
    <n v="3251.8850000000002"/>
    <n v="78"/>
    <x v="0"/>
    <n v="0"/>
    <n v="0"/>
    <n v="58"/>
    <n v="86"/>
    <n v="0"/>
    <n v="171.21"/>
    <n v="147.88999999999999"/>
    <m/>
    <n v="191.45753841105696"/>
    <n v="184.89653009759297"/>
    <n v="0"/>
    <n v="556755.23085000005"/>
    <n v="480921.27265"/>
    <n v="0"/>
    <n v="622597.89729583997"/>
    <n v="601262.25277641113"/>
  </r>
  <r>
    <s v="Sistema de Compensação"/>
    <x v="4"/>
    <x v="3"/>
    <x v="7"/>
    <x v="8"/>
    <x v="0"/>
    <x v="0"/>
    <x v="2"/>
    <x v="5"/>
    <n v="0"/>
    <n v="0"/>
    <n v="302.46800000000002"/>
    <n v="302.46800000000002"/>
    <n v="302.46800000000002"/>
    <n v="302.46800000000002"/>
    <n v="92"/>
    <x v="0"/>
    <n v="0"/>
    <n v="0"/>
    <n v="58"/>
    <n v="86"/>
    <n v="0"/>
    <n v="171.21"/>
    <n v="147.88999999999999"/>
    <m/>
    <n v="191.45753841105696"/>
    <n v="184.89653009759297"/>
    <n v="0"/>
    <n v="51785.546280000002"/>
    <n v="44731.99252"/>
    <n v="0"/>
    <n v="57909.778728115576"/>
    <n v="55925.283665558753"/>
  </r>
  <r>
    <s v="Sistema Isolado - Regular"/>
    <x v="4"/>
    <x v="3"/>
    <x v="7"/>
    <x v="8"/>
    <x v="0"/>
    <x v="0"/>
    <x v="2"/>
    <x v="6"/>
    <n v="0"/>
    <n v="0"/>
    <n v="3242.1950000000002"/>
    <n v="3242.1950000000002"/>
    <n v="3242.1950000000002"/>
    <n v="3242.1950000000002"/>
    <n v="78"/>
    <x v="0"/>
    <n v="0"/>
    <n v="0"/>
    <n v="58"/>
    <n v="86"/>
    <n v="0"/>
    <n v="171.21"/>
    <n v="147.88999999999999"/>
    <m/>
    <n v="191.45753841105696"/>
    <n v="184.89653009759297"/>
    <n v="0"/>
    <n v="555096.20595000009"/>
    <n v="479488.21854999999"/>
    <n v="0"/>
    <n v="620742.67374863685"/>
    <n v="599470.60539976542"/>
  </r>
  <r>
    <s v="Sistema de Compensação"/>
    <x v="4"/>
    <x v="3"/>
    <x v="7"/>
    <x v="8"/>
    <x v="0"/>
    <x v="0"/>
    <x v="2"/>
    <x v="6"/>
    <n v="0"/>
    <n v="0"/>
    <n v="1157.3"/>
    <n v="1157.3"/>
    <n v="1157.3"/>
    <n v="1157.3"/>
    <n v="368"/>
    <x v="0"/>
    <n v="0"/>
    <n v="0"/>
    <n v="58"/>
    <n v="86"/>
    <n v="0"/>
    <n v="171.21"/>
    <n v="147.88999999999999"/>
    <m/>
    <n v="191.45753841105696"/>
    <n v="184.89653009759297"/>
    <n v="0"/>
    <n v="198141.33300000001"/>
    <n v="171153.09699999998"/>
    <n v="0"/>
    <n v="221573.80920311622"/>
    <n v="213980.75428194433"/>
  </r>
  <r>
    <s v="Sistema Isolado - Regular"/>
    <x v="4"/>
    <x v="3"/>
    <x v="7"/>
    <x v="8"/>
    <x v="0"/>
    <x v="0"/>
    <x v="2"/>
    <x v="7"/>
    <n v="0"/>
    <n v="0"/>
    <n v="3145.337"/>
    <n v="3145.337"/>
    <n v="3145.337"/>
    <n v="3145.337"/>
    <n v="77"/>
    <x v="0"/>
    <n v="0"/>
    <n v="0"/>
    <n v="58"/>
    <n v="86"/>
    <n v="0"/>
    <n v="171.21"/>
    <n v="147.88999999999999"/>
    <m/>
    <n v="191.45753841105696"/>
    <n v="184.89653009759297"/>
    <n v="0"/>
    <n v="538513.14777000004"/>
    <n v="465163.88892999996"/>
    <n v="0"/>
    <n v="602198.47949321871"/>
    <n v="581561.89728757273"/>
  </r>
  <r>
    <s v="Sistema Isolado - Refaturamento"/>
    <x v="4"/>
    <x v="3"/>
    <x v="7"/>
    <x v="8"/>
    <x v="0"/>
    <x v="0"/>
    <x v="2"/>
    <x v="7"/>
    <n v="0"/>
    <n v="0"/>
    <n v="-411.89499999999998"/>
    <n v="-411.89499999999998"/>
    <n v="-411.89499999999998"/>
    <n v="-411.89499999999998"/>
    <n v="0"/>
    <x v="0"/>
    <n v="0"/>
    <n v="0"/>
    <n v="58"/>
    <n v="86"/>
    <n v="0"/>
    <n v="171.21"/>
    <n v="147.88999999999999"/>
    <m/>
    <n v="191.45753841105696"/>
    <n v="184.89653009759297"/>
    <n v="0"/>
    <n v="-70520.542950000003"/>
    <n v="-60915.151549999995"/>
    <n v="0"/>
    <n v="-78860.402783822297"/>
    <n v="-76157.956264548047"/>
  </r>
  <r>
    <s v="Sistema de Compensação"/>
    <x v="4"/>
    <x v="3"/>
    <x v="7"/>
    <x v="8"/>
    <x v="0"/>
    <x v="0"/>
    <x v="2"/>
    <x v="7"/>
    <n v="0"/>
    <n v="0"/>
    <n v="292.27800000000002"/>
    <n v="292.27800000000002"/>
    <n v="292.27800000000002"/>
    <n v="292.27800000000002"/>
    <n v="90"/>
    <x v="0"/>
    <n v="0"/>
    <n v="0"/>
    <n v="58"/>
    <n v="86"/>
    <n v="0"/>
    <n v="171.21"/>
    <n v="147.88999999999999"/>
    <m/>
    <n v="191.45753841105696"/>
    <n v="184.89653009759297"/>
    <n v="0"/>
    <n v="50040.916380000002"/>
    <n v="43224.993419999999"/>
    <n v="0"/>
    <n v="55958.826411706912"/>
    <n v="54041.188023864284"/>
  </r>
  <r>
    <s v="Sistema Isolado - Regular"/>
    <x v="4"/>
    <x v="3"/>
    <x v="7"/>
    <x v="8"/>
    <x v="0"/>
    <x v="0"/>
    <x v="2"/>
    <x v="8"/>
    <n v="0"/>
    <n v="0"/>
    <n v="3269.2910000000002"/>
    <n v="3269.2910000000002"/>
    <n v="3269.2910000000002"/>
    <n v="3269.2910000000002"/>
    <n v="78"/>
    <x v="0"/>
    <n v="0"/>
    <n v="0"/>
    <n v="58"/>
    <n v="86"/>
    <n v="0"/>
    <n v="171.21"/>
    <n v="147.88999999999999"/>
    <m/>
    <n v="191.45753841105696"/>
    <n v="184.89653009759297"/>
    <n v="0"/>
    <n v="559735.31211000006"/>
    <n v="483495.44598999998"/>
    <n v="0"/>
    <n v="625930.4072094229"/>
    <n v="604480.56177928986"/>
  </r>
  <r>
    <s v="Sistema de Compensação"/>
    <x v="4"/>
    <x v="3"/>
    <x v="7"/>
    <x v="8"/>
    <x v="0"/>
    <x v="0"/>
    <x v="2"/>
    <x v="8"/>
    <n v="0"/>
    <n v="0"/>
    <n v="272.54899999999998"/>
    <n v="272.54899999999998"/>
    <n v="272.54899999999998"/>
    <n v="272.54899999999998"/>
    <n v="91"/>
    <x v="0"/>
    <n v="0"/>
    <n v="0"/>
    <n v="58"/>
    <n v="86"/>
    <n v="0"/>
    <n v="171.21"/>
    <n v="147.88999999999999"/>
    <m/>
    <n v="191.45753841105696"/>
    <n v="184.89653009759297"/>
    <n v="0"/>
    <n v="46663.114289999998"/>
    <n v="40307.271609999996"/>
    <n v="0"/>
    <n v="52181.560636395159"/>
    <n v="50393.364381568863"/>
  </r>
  <r>
    <s v="Sistema Isolado - Regular"/>
    <x v="4"/>
    <x v="3"/>
    <x v="7"/>
    <x v="8"/>
    <x v="0"/>
    <x v="0"/>
    <x v="2"/>
    <x v="9"/>
    <n v="0"/>
    <n v="0"/>
    <n v="3249.4989999999998"/>
    <n v="3249.4989999999998"/>
    <n v="3249.4989999999998"/>
    <n v="3249.4989999999998"/>
    <n v="78"/>
    <x v="0"/>
    <n v="0"/>
    <n v="0"/>
    <n v="58"/>
    <n v="86"/>
    <n v="0"/>
    <n v="171.21"/>
    <n v="147.88999999999999"/>
    <m/>
    <n v="191.45753841105696"/>
    <n v="184.89653009759297"/>
    <n v="0"/>
    <n v="556346.72378999996"/>
    <n v="480568.40710999991"/>
    <n v="0"/>
    <n v="622141.07960919116"/>
    <n v="600821.08965559828"/>
  </r>
  <r>
    <s v="Sistema de Compensação"/>
    <x v="4"/>
    <x v="3"/>
    <x v="7"/>
    <x v="8"/>
    <x v="0"/>
    <x v="0"/>
    <x v="2"/>
    <x v="9"/>
    <n v="0"/>
    <n v="0"/>
    <n v="312.15699999999998"/>
    <n v="312.15699999999998"/>
    <n v="312.15699999999998"/>
    <n v="312.15699999999998"/>
    <n v="91"/>
    <x v="0"/>
    <n v="0"/>
    <n v="0"/>
    <n v="58"/>
    <n v="86"/>
    <n v="0"/>
    <n v="171.21"/>
    <n v="147.88999999999999"/>
    <m/>
    <n v="191.45753841105696"/>
    <n v="184.89653009759297"/>
    <n v="0"/>
    <n v="53444.399969999999"/>
    <n v="46164.898729999994"/>
    <n v="0"/>
    <n v="59764.810817780301"/>
    <n v="57716.746145674326"/>
  </r>
  <r>
    <s v="Sistema Isolado - Regular"/>
    <x v="4"/>
    <x v="3"/>
    <x v="7"/>
    <x v="8"/>
    <x v="0"/>
    <x v="0"/>
    <x v="2"/>
    <x v="10"/>
    <n v="0"/>
    <n v="0"/>
    <n v="3150.6469999999999"/>
    <n v="3150.6469999999999"/>
    <n v="3150.6469999999999"/>
    <n v="3150.6469999999999"/>
    <n v="78"/>
    <x v="0"/>
    <n v="0"/>
    <n v="0"/>
    <n v="58"/>
    <n v="86"/>
    <n v="0"/>
    <n v="171.21"/>
    <n v="147.88999999999999"/>
    <m/>
    <n v="191.45753841105696"/>
    <n v="184.89653009759297"/>
    <n v="0"/>
    <n v="539422.27286999999"/>
    <n v="465949.18482999993"/>
    <n v="0"/>
    <n v="603215.11902218137"/>
    <n v="582543.69786239101"/>
  </r>
  <r>
    <s v="Sistema de Compensação"/>
    <x v="4"/>
    <x v="3"/>
    <x v="7"/>
    <x v="8"/>
    <x v="0"/>
    <x v="0"/>
    <x v="2"/>
    <x v="10"/>
    <n v="0"/>
    <n v="0"/>
    <n v="284.16000000000003"/>
    <n v="284.16000000000003"/>
    <n v="284.16000000000003"/>
    <n v="284.16000000000003"/>
    <n v="91"/>
    <x v="0"/>
    <n v="0"/>
    <n v="0"/>
    <n v="58"/>
    <n v="86"/>
    <n v="0"/>
    <n v="171.21"/>
    <n v="147.88999999999999"/>
    <m/>
    <n v="191.45753841105696"/>
    <n v="184.89653009759297"/>
    <n v="0"/>
    <n v="48651.03360000001"/>
    <n v="42024.422400000003"/>
    <n v="0"/>
    <n v="54404.574114885952"/>
    <n v="52540.197992532027"/>
  </r>
  <r>
    <s v="PROJETADO"/>
    <x v="4"/>
    <x v="3"/>
    <x v="7"/>
    <x v="8"/>
    <x v="0"/>
    <x v="0"/>
    <x v="2"/>
    <x v="11"/>
    <n v="0"/>
    <n v="0"/>
    <n v="3150.6469999999999"/>
    <n v="3150.6469999999999"/>
    <n v="3150.6469999999999"/>
    <n v="3150.6469999999999"/>
    <n v="78"/>
    <x v="0"/>
    <n v="0"/>
    <n v="0"/>
    <n v="58"/>
    <n v="86"/>
    <n v="0"/>
    <n v="171.21"/>
    <n v="147.88999999999999"/>
    <m/>
    <n v="191.45753841105696"/>
    <n v="184.89653009759297"/>
    <n v="0"/>
    <n v="539422.27286999999"/>
    <n v="465949.18482999993"/>
    <n v="0"/>
    <n v="603215.11902218137"/>
    <n v="582543.69786239101"/>
  </r>
  <r>
    <s v="PROJETADO"/>
    <x v="4"/>
    <x v="3"/>
    <x v="7"/>
    <x v="8"/>
    <x v="0"/>
    <x v="0"/>
    <x v="2"/>
    <x v="11"/>
    <n v="0"/>
    <n v="0"/>
    <n v="284.16000000000003"/>
    <n v="284.16000000000003"/>
    <n v="284.16000000000003"/>
    <n v="284.16000000000003"/>
    <n v="91"/>
    <x v="0"/>
    <n v="0"/>
    <n v="0"/>
    <n v="58"/>
    <n v="86"/>
    <n v="0"/>
    <n v="171.21"/>
    <n v="147.88999999999999"/>
    <m/>
    <n v="191.45753841105696"/>
    <n v="184.89653009759297"/>
    <n v="0"/>
    <n v="48651.03360000001"/>
    <n v="42024.422400000003"/>
    <n v="0"/>
    <n v="54404.574114885952"/>
    <n v="52540.1979925320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">
  <r>
    <s v="Sistema Isolado - Regular"/>
    <x v="0"/>
    <x v="0"/>
    <x v="0"/>
    <x v="0"/>
    <x v="0"/>
    <x v="0"/>
    <x v="0"/>
    <x v="0"/>
    <n v="2202"/>
    <n v="1871.7"/>
    <n v="1090.395"/>
    <n v="1024.9712999999999"/>
    <n v="1090.395"/>
    <n v="1024.9712999999999"/>
    <n v="0"/>
    <s v="CATIVO"/>
    <n v="0"/>
    <n v="27"/>
    <n v="23"/>
    <n v="59"/>
    <n v="14.64"/>
    <n v="87.73"/>
    <n v="253.9"/>
    <n v="19.024476785546895"/>
    <n v="67.376989053363516"/>
    <n v="317.3874512882154"/>
    <n v="4835.5919999999996"/>
    <n v="22350.698631000021"/>
    <n v="6283.7846822661386"/>
    <n v="25172.71331557538"/>
    <x v="0"/>
  </r>
  <r>
    <s v="Sistema Isolado - Regular"/>
    <x v="0"/>
    <x v="0"/>
    <x v="0"/>
    <x v="0"/>
    <x v="0"/>
    <x v="0"/>
    <x v="0"/>
    <x v="1"/>
    <n v="2253"/>
    <n v="1915.05"/>
    <n v="1100.5360000000001"/>
    <n v="1034.5038400000001"/>
    <n v="1100.5360000000001"/>
    <n v="1034.5038400000001"/>
    <n v="0"/>
    <s v="CATIVO"/>
    <n v="0"/>
    <n v="27"/>
    <n v="23"/>
    <n v="59"/>
    <n v="14.64"/>
    <n v="87.73"/>
    <n v="253.9"/>
    <n v="19.024476785546895"/>
    <n v="67.376989053363516"/>
    <n v="317.3874512882154"/>
    <n v="4947.5880000000006"/>
    <n v="22558.566820799992"/>
    <n v="6429.3219296755742"/>
    <n v="25406.827086945581"/>
    <x v="0"/>
  </r>
  <r>
    <s v="Sistema Isolado - Regular"/>
    <x v="0"/>
    <x v="0"/>
    <x v="0"/>
    <x v="0"/>
    <x v="0"/>
    <x v="0"/>
    <x v="0"/>
    <x v="2"/>
    <n v="2175"/>
    <n v="1848.75"/>
    <n v="1078.173"/>
    <n v="1013.48262"/>
    <n v="1078.173"/>
    <n v="1013.48262"/>
    <n v="0"/>
    <s v="CATIVO"/>
    <n v="0"/>
    <n v="27"/>
    <n v="23"/>
    <n v="59"/>
    <n v="14.64"/>
    <n v="87.73"/>
    <n v="253.9"/>
    <n v="19.024476785546895"/>
    <n v="67.376989053363516"/>
    <n v="317.3874512882154"/>
    <n v="4776.3"/>
    <n v="22100.174519400003"/>
    <n v="6206.7355512846743"/>
    <n v="24890.55785618407"/>
    <x v="0"/>
  </r>
  <r>
    <s v="Sistema Isolado - Regular"/>
    <x v="0"/>
    <x v="0"/>
    <x v="0"/>
    <x v="0"/>
    <x v="0"/>
    <x v="0"/>
    <x v="0"/>
    <x v="3"/>
    <n v="2198"/>
    <n v="1868.3"/>
    <n v="1021.213"/>
    <n v="959.94021999999995"/>
    <n v="1021.213"/>
    <n v="959.94021999999995"/>
    <n v="0"/>
    <s v="CATIVO"/>
    <n v="0"/>
    <n v="27"/>
    <n v="23"/>
    <n v="59"/>
    <n v="14.64"/>
    <n v="87.73"/>
    <n v="253.9"/>
    <n v="19.024476785546895"/>
    <n v="67.376989053363516"/>
    <n v="317.3874512882154"/>
    <n v="4826.8080000000009"/>
    <n v="20932.619831400003"/>
    <n v="6272.3699961948123"/>
    <n v="23575.586904872696"/>
    <x v="0"/>
  </r>
  <r>
    <s v="Sistema Isolado - Regular"/>
    <x v="0"/>
    <x v="0"/>
    <x v="0"/>
    <x v="0"/>
    <x v="0"/>
    <x v="0"/>
    <x v="0"/>
    <x v="4"/>
    <n v="2223"/>
    <n v="1889.55"/>
    <n v="1125.261"/>
    <n v="1057.7453399999999"/>
    <n v="1125.261"/>
    <n v="1057.7453399999999"/>
    <n v="0"/>
    <s v="CATIVO"/>
    <n v="0"/>
    <n v="27"/>
    <n v="23"/>
    <n v="59"/>
    <n v="14.64"/>
    <n v="87.73"/>
    <n v="253.9"/>
    <n v="19.024476785546895"/>
    <n v="67.376989053363516"/>
    <n v="317.3874512882154"/>
    <n v="4881.7080000000005"/>
    <n v="23065.37492580001"/>
    <n v="6343.7117841406134"/>
    <n v="25977.625134192334"/>
    <x v="0"/>
  </r>
  <r>
    <s v="Sistema Isolado - Regular"/>
    <x v="0"/>
    <x v="0"/>
    <x v="0"/>
    <x v="0"/>
    <x v="0"/>
    <x v="0"/>
    <x v="0"/>
    <x v="5"/>
    <n v="2223"/>
    <n v="1889.55"/>
    <n v="1125.261"/>
    <n v="1057.7453399999999"/>
    <n v="1125.261"/>
    <n v="1057.7453399999999"/>
    <n v="0"/>
    <s v="CATIVO"/>
    <n v="0"/>
    <n v="27"/>
    <n v="23"/>
    <n v="59"/>
    <n v="14.64"/>
    <n v="87.73"/>
    <n v="253.9"/>
    <n v="19.024476785546895"/>
    <n v="67.376989053363516"/>
    <n v="317.3874512882154"/>
    <n v="4881.7080000000005"/>
    <n v="23065.37492580001"/>
    <n v="6343.7117841406134"/>
    <n v="25977.625134192334"/>
    <x v="0"/>
  </r>
  <r>
    <s v="Sistema Isolado - Regular"/>
    <x v="0"/>
    <x v="0"/>
    <x v="0"/>
    <x v="0"/>
    <x v="0"/>
    <x v="0"/>
    <x v="0"/>
    <x v="6"/>
    <n v="2164"/>
    <n v="1839.3999999999999"/>
    <n v="1054.4939999999999"/>
    <n v="991.22435999999982"/>
    <n v="1054.4939999999999"/>
    <n v="991.22435999999982"/>
    <n v="0"/>
    <s v="CATIVO"/>
    <n v="0"/>
    <n v="27"/>
    <n v="23"/>
    <n v="59"/>
    <n v="14.64"/>
    <n v="87.73"/>
    <n v="253.9"/>
    <n v="19.024476785546895"/>
    <n v="67.376989053363516"/>
    <n v="317.3874512882154"/>
    <n v="4752.1440000000021"/>
    <n v="21614.807113200033"/>
    <n v="6175.3451645885243"/>
    <n v="24343.907625213211"/>
    <x v="0"/>
  </r>
  <r>
    <s v="Sistema Isolado - Regular"/>
    <x v="0"/>
    <x v="0"/>
    <x v="0"/>
    <x v="0"/>
    <x v="0"/>
    <x v="0"/>
    <x v="0"/>
    <x v="7"/>
    <n v="2162"/>
    <n v="1837.7"/>
    <n v="1015.821"/>
    <n v="954.87173999999993"/>
    <n v="1015.821"/>
    <n v="954.87173999999993"/>
    <n v="0"/>
    <s v="CATIVO"/>
    <n v="0"/>
    <n v="27"/>
    <n v="23"/>
    <n v="59"/>
    <n v="14.64"/>
    <n v="87.73"/>
    <n v="253.9"/>
    <n v="19.024476785546895"/>
    <n v="67.376989053363516"/>
    <n v="317.3874512882154"/>
    <n v="4747.7519999999995"/>
    <n v="20822.095693800031"/>
    <n v="6169.6378215528575"/>
    <n v="23451.107913133419"/>
    <x v="0"/>
  </r>
  <r>
    <s v="Sistema Isolado - Regular"/>
    <x v="0"/>
    <x v="0"/>
    <x v="0"/>
    <x v="0"/>
    <x v="0"/>
    <x v="0"/>
    <x v="0"/>
    <x v="8"/>
    <n v="2199"/>
    <n v="1869.1499999999999"/>
    <n v="998.71199999999999"/>
    <n v="938.78927999999996"/>
    <n v="998.71199999999999"/>
    <n v="938.78927999999996"/>
    <n v="0"/>
    <s v="CATIVO"/>
    <n v="0"/>
    <n v="27"/>
    <n v="23"/>
    <n v="59"/>
    <n v="14.64"/>
    <n v="87.73"/>
    <n v="253.9"/>
    <n v="19.024476785546895"/>
    <n v="67.376989053363516"/>
    <n v="317.3874512882154"/>
    <n v="4829.0040000000026"/>
    <n v="20471.398833600011"/>
    <n v="6275.2236677126457"/>
    <n v="23056.131824545148"/>
    <x v="0"/>
  </r>
  <r>
    <s v="Sistema Isolado - Regular"/>
    <x v="0"/>
    <x v="0"/>
    <x v="0"/>
    <x v="0"/>
    <x v="0"/>
    <x v="0"/>
    <x v="0"/>
    <x v="9"/>
    <n v="2176"/>
    <n v="1849.6"/>
    <n v="1021.486"/>
    <n v="960.19683999999995"/>
    <n v="1021.486"/>
    <n v="960.19683999999995"/>
    <n v="0"/>
    <s v="CATIVO"/>
    <n v="0"/>
    <n v="27"/>
    <n v="23"/>
    <n v="59"/>
    <n v="14.64"/>
    <n v="87.73"/>
    <n v="253.9"/>
    <n v="19.024476785546895"/>
    <n v="67.376989053363516"/>
    <n v="317.3874512882154"/>
    <n v="4778.4960000000019"/>
    <n v="20938.215730800013"/>
    <n v="6209.5892228025086"/>
    <n v="23581.8893464055"/>
    <x v="0"/>
  </r>
  <r>
    <s v="Sistema Isolado - Regular"/>
    <x v="0"/>
    <x v="0"/>
    <x v="0"/>
    <x v="0"/>
    <x v="0"/>
    <x v="0"/>
    <x v="0"/>
    <x v="10"/>
    <n v="2196"/>
    <n v="1866.6"/>
    <n v="1073.4110000000001"/>
    <n v="1009.00634"/>
    <n v="1073.4110000000001"/>
    <n v="1009.00634"/>
    <n v="0"/>
    <s v="CATIVO"/>
    <n v="0"/>
    <n v="27"/>
    <n v="23"/>
    <n v="59"/>
    <n v="14.64"/>
    <n v="87.73"/>
    <n v="253.9"/>
    <n v="19.024476785546895"/>
    <n v="67.376989053363516"/>
    <n v="317.3874512882154"/>
    <n v="4822.4160000000011"/>
    <n v="22002.56399580001"/>
    <n v="6266.6626531591492"/>
    <n v="24780.622960289686"/>
    <x v="0"/>
  </r>
  <r>
    <s v="PROJETADO"/>
    <x v="0"/>
    <x v="0"/>
    <x v="0"/>
    <x v="0"/>
    <x v="0"/>
    <x v="0"/>
    <x v="0"/>
    <x v="11"/>
    <n v="2196"/>
    <n v="1866.6"/>
    <n v="1073.4110000000001"/>
    <n v="1009.00634"/>
    <n v="1073.4110000000001"/>
    <n v="1009.00634"/>
    <n v="0"/>
    <s v="CATIVO"/>
    <n v="0"/>
    <n v="27"/>
    <n v="23"/>
    <n v="59"/>
    <n v="14.64"/>
    <n v="87.73"/>
    <n v="253.9"/>
    <n v="19.024476785546895"/>
    <n v="67.376989053363516"/>
    <n v="317.3874512882154"/>
    <n v="4822.4160000000011"/>
    <n v="22002.56399580001"/>
    <n v="6266.6626531591492"/>
    <n v="24780.622960289686"/>
    <x v="0"/>
  </r>
  <r>
    <s v="Sistema Isolado - Regular"/>
    <x v="0"/>
    <x v="0"/>
    <x v="0"/>
    <x v="0"/>
    <x v="0"/>
    <x v="0"/>
    <x v="1"/>
    <x v="0"/>
    <n v="2125"/>
    <n v="1806.25"/>
    <n v="102.19199999999999"/>
    <n v="96.060479999999984"/>
    <n v="102.19199999999999"/>
    <n v="96.060479999999984"/>
    <n v="0"/>
    <s v="CATIVO"/>
    <n v="0"/>
    <n v="34"/>
    <n v="23"/>
    <n v="71"/>
    <n v="44"/>
    <n v="87.73"/>
    <n v="433.77"/>
    <n v="57.091253741473494"/>
    <n v="67.376989053363516"/>
    <n v="542.84414704984056"/>
    <n v="14025"/>
    <n v="3197.5876800000046"/>
    <n v="18197.837130094675"/>
    <n v="3741.5831004395236"/>
    <x v="0"/>
  </r>
  <r>
    <s v="Sistema Isolado - Regular"/>
    <x v="0"/>
    <x v="0"/>
    <x v="0"/>
    <x v="0"/>
    <x v="0"/>
    <x v="0"/>
    <x v="1"/>
    <x v="1"/>
    <n v="2097"/>
    <n v="1782.45"/>
    <n v="114.267"/>
    <n v="107.41098"/>
    <n v="114.267"/>
    <n v="107.41098"/>
    <n v="0"/>
    <s v="CATIVO"/>
    <n v="0"/>
    <n v="34"/>
    <n v="23"/>
    <n v="71"/>
    <n v="44"/>
    <n v="87.73"/>
    <n v="433.77"/>
    <n v="57.091253741473494"/>
    <n v="67.376989053363516"/>
    <n v="542.84414704984056"/>
    <n v="13840.199999999997"/>
    <n v="3575.4144300000003"/>
    <n v="17958.053864380487"/>
    <n v="4183.6883135462895"/>
    <x v="0"/>
  </r>
  <r>
    <s v="Sistema Isolado - Regular"/>
    <x v="0"/>
    <x v="0"/>
    <x v="0"/>
    <x v="0"/>
    <x v="0"/>
    <x v="0"/>
    <x v="1"/>
    <x v="2"/>
    <n v="2096"/>
    <n v="1781.6"/>
    <n v="105.336"/>
    <n v="99.015839999999997"/>
    <n v="105.336"/>
    <n v="99.015839999999997"/>
    <n v="0"/>
    <s v="CATIVO"/>
    <n v="0"/>
    <n v="34"/>
    <n v="23"/>
    <n v="71"/>
    <n v="44"/>
    <n v="87.73"/>
    <n v="433.77"/>
    <n v="57.091253741473494"/>
    <n v="67.376989053363516"/>
    <n v="542.84414704984056"/>
    <n v="13833.600000000004"/>
    <n v="3295.9634400000004"/>
    <n v="17949.490176319272"/>
    <n v="3856.6952155540275"/>
    <x v="0"/>
  </r>
  <r>
    <s v="Sistema Isolado - Regular"/>
    <x v="0"/>
    <x v="0"/>
    <x v="0"/>
    <x v="0"/>
    <x v="0"/>
    <x v="0"/>
    <x v="1"/>
    <x v="3"/>
    <n v="2122"/>
    <n v="1803.7"/>
    <n v="102.905"/>
    <n v="96.730699999999999"/>
    <n v="102.905"/>
    <n v="96.730699999999999"/>
    <n v="0"/>
    <s v="CATIVO"/>
    <n v="0"/>
    <n v="34"/>
    <n v="23"/>
    <n v="71"/>
    <n v="44"/>
    <n v="87.73"/>
    <n v="433.77"/>
    <n v="57.091253741473494"/>
    <n v="67.376989053363516"/>
    <n v="542.84414704984056"/>
    <n v="14005.199999999997"/>
    <n v="3219.8974500000013"/>
    <n v="18172.146065911009"/>
    <n v="3767.6883606420142"/>
    <x v="0"/>
  </r>
  <r>
    <s v="Sistema Isolado - Regular"/>
    <x v="0"/>
    <x v="0"/>
    <x v="0"/>
    <x v="0"/>
    <x v="0"/>
    <x v="0"/>
    <x v="1"/>
    <x v="4"/>
    <n v="2159"/>
    <n v="1835.1499999999999"/>
    <n v="112.5"/>
    <n v="105.75"/>
    <n v="112.5"/>
    <n v="105.75"/>
    <n v="0"/>
    <s v="CATIVO"/>
    <n v="0"/>
    <n v="34"/>
    <n v="23"/>
    <n v="71"/>
    <n v="44"/>
    <n v="87.73"/>
    <n v="433.77"/>
    <n v="57.091253741473494"/>
    <n v="67.376989053363516"/>
    <n v="542.84414704984056"/>
    <n v="14249.400000000005"/>
    <n v="3520.125"/>
    <n v="18489.002524176198"/>
    <n v="4118.9926686966273"/>
    <x v="0"/>
  </r>
  <r>
    <s v="Sistema Isolado - Regular"/>
    <x v="0"/>
    <x v="0"/>
    <x v="0"/>
    <x v="0"/>
    <x v="0"/>
    <x v="0"/>
    <x v="1"/>
    <x v="5"/>
    <n v="2159"/>
    <n v="1835.1499999999999"/>
    <n v="112.5"/>
    <n v="105.75"/>
    <n v="112.5"/>
    <n v="105.75"/>
    <n v="0"/>
    <s v="CATIVO"/>
    <n v="0"/>
    <n v="34"/>
    <n v="23"/>
    <n v="71"/>
    <n v="44"/>
    <n v="87.73"/>
    <n v="433.77"/>
    <n v="57.091253741473494"/>
    <n v="67.376989053363516"/>
    <n v="542.84414704984056"/>
    <n v="14249.400000000005"/>
    <n v="3520.125"/>
    <n v="18489.002524176198"/>
    <n v="4118.9926686966273"/>
    <x v="0"/>
  </r>
  <r>
    <s v="Sistema Isolado - Regular"/>
    <x v="0"/>
    <x v="0"/>
    <x v="0"/>
    <x v="0"/>
    <x v="0"/>
    <x v="0"/>
    <x v="1"/>
    <x v="6"/>
    <n v="2087"/>
    <n v="1773.95"/>
    <n v="106.291"/>
    <n v="99.913539999999998"/>
    <n v="106.291"/>
    <n v="99.913539999999998"/>
    <n v="0"/>
    <s v="CATIVO"/>
    <n v="0"/>
    <n v="34"/>
    <n v="23"/>
    <n v="71"/>
    <n v="44"/>
    <n v="87.73"/>
    <n v="433.77"/>
    <n v="57.091253741473494"/>
    <n v="67.376989053363516"/>
    <n v="542.84414704984056"/>
    <n v="13774.199999999997"/>
    <n v="3325.8453899999995"/>
    <n v="17872.416983768275"/>
    <n v="3891.6608866527395"/>
    <x v="0"/>
  </r>
  <r>
    <s v="Sistema Isolado - Regular"/>
    <x v="0"/>
    <x v="0"/>
    <x v="0"/>
    <x v="0"/>
    <x v="0"/>
    <x v="0"/>
    <x v="1"/>
    <x v="7"/>
    <n v="2100"/>
    <n v="1785"/>
    <n v="97.468999999999994"/>
    <n v="91.620859999999993"/>
    <n v="97.468999999999994"/>
    <n v="91.620859999999993"/>
    <n v="0"/>
    <s v="CATIVO"/>
    <n v="0"/>
    <n v="34"/>
    <n v="23"/>
    <n v="71"/>
    <n v="44"/>
    <n v="87.73"/>
    <n v="433.77"/>
    <n v="57.091253741473494"/>
    <n v="67.376989053363516"/>
    <n v="542.84414704984056"/>
    <n v="13860"/>
    <n v="3049.80501"/>
    <n v="17983.744928564152"/>
    <n v="3568.6586348905921"/>
    <x v="0"/>
  </r>
  <r>
    <s v="Sistema Isolado - Regular"/>
    <x v="0"/>
    <x v="0"/>
    <x v="0"/>
    <x v="0"/>
    <x v="0"/>
    <x v="0"/>
    <x v="1"/>
    <x v="8"/>
    <n v="2110"/>
    <n v="1793.5"/>
    <n v="93.695999999999998"/>
    <n v="88.074239999999989"/>
    <n v="93.695999999999998"/>
    <n v="88.074239999999989"/>
    <n v="0"/>
    <s v="CATIVO"/>
    <n v="0"/>
    <n v="34"/>
    <n v="23"/>
    <n v="71"/>
    <n v="44"/>
    <n v="87.73"/>
    <n v="433.77"/>
    <n v="57.091253741473494"/>
    <n v="67.376989053363516"/>
    <n v="542.84414704984056"/>
    <n v="13926"/>
    <n v="2931.7478400000045"/>
    <n v="18069.381809176361"/>
    <n v="3430.5167740995539"/>
    <x v="0"/>
  </r>
  <r>
    <s v="Sistema Isolado - Regular"/>
    <x v="0"/>
    <x v="0"/>
    <x v="0"/>
    <x v="0"/>
    <x v="0"/>
    <x v="0"/>
    <x v="1"/>
    <x v="9"/>
    <n v="2101"/>
    <n v="1785.85"/>
    <n v="105.64"/>
    <n v="99.301599999999993"/>
    <n v="105.64"/>
    <n v="99.301599999999993"/>
    <n v="0"/>
    <s v="CATIVO"/>
    <n v="0"/>
    <n v="34"/>
    <n v="23"/>
    <n v="71"/>
    <n v="44"/>
    <n v="87.73"/>
    <n v="433.77"/>
    <n v="57.091253741473494"/>
    <n v="67.376989053363516"/>
    <n v="542.84414704984056"/>
    <n v="13866.600000000004"/>
    <n v="3305.4756000000034"/>
    <n v="17992.308616625378"/>
    <n v="3867.825649076553"/>
    <x v="0"/>
  </r>
  <r>
    <s v="Sistema Isolado - Regular"/>
    <x v="0"/>
    <x v="0"/>
    <x v="0"/>
    <x v="0"/>
    <x v="0"/>
    <x v="0"/>
    <x v="1"/>
    <x v="10"/>
    <n v="2131"/>
    <n v="1811.35"/>
    <n v="106.55"/>
    <n v="100.157"/>
    <n v="106.55"/>
    <n v="100.157"/>
    <n v="0"/>
    <s v="CATIVO"/>
    <n v="0"/>
    <n v="34"/>
    <n v="23"/>
    <n v="71"/>
    <n v="44"/>
    <n v="87.73"/>
    <n v="433.77"/>
    <n v="57.091253741473494"/>
    <n v="67.376989053363516"/>
    <n v="542.84414704984056"/>
    <n v="14064.600000000004"/>
    <n v="3333.9495000000006"/>
    <n v="18249.219258462006"/>
    <n v="3901.1437231077839"/>
    <x v="0"/>
  </r>
  <r>
    <s v="PROJETADO"/>
    <x v="0"/>
    <x v="0"/>
    <x v="0"/>
    <x v="0"/>
    <x v="0"/>
    <x v="0"/>
    <x v="1"/>
    <x v="11"/>
    <n v="2131"/>
    <n v="1811.35"/>
    <n v="106.55"/>
    <n v="100.157"/>
    <n v="106.55"/>
    <n v="100.157"/>
    <n v="0"/>
    <s v="CATIVO"/>
    <n v="0"/>
    <n v="34"/>
    <n v="23"/>
    <n v="71"/>
    <n v="44"/>
    <n v="87.73"/>
    <n v="433.77"/>
    <n v="57.091253741473494"/>
    <n v="67.376989053363516"/>
    <n v="542.84414704984056"/>
    <n v="14064.600000000004"/>
    <n v="3333.9495000000006"/>
    <n v="18249.219258462006"/>
    <n v="3901.1437231077839"/>
    <x v="0"/>
  </r>
  <r>
    <s v="Sistema Isolado - Regular"/>
    <x v="0"/>
    <x v="1"/>
    <x v="1"/>
    <x v="1"/>
    <x v="1"/>
    <x v="0"/>
    <x v="0"/>
    <x v="0"/>
    <n v="0"/>
    <n v="0"/>
    <n v="223.65299999999999"/>
    <n v="44.730600000000003"/>
    <n v="223.65299999999999"/>
    <n v="44.730600000000003"/>
    <n v="0"/>
    <s v="CATIVO"/>
    <n v="0"/>
    <n v="0"/>
    <n v="31"/>
    <n v="59"/>
    <n v="0"/>
    <n v="87.73"/>
    <n v="253.9"/>
    <m/>
    <n v="67.376989053363516"/>
    <n v="317.3874512882154"/>
    <n v="0"/>
    <n v="61125.259511999997"/>
    <n v="0"/>
    <n v="68842.977100572112"/>
    <x v="1"/>
  </r>
  <r>
    <s v="Sistema Isolado - Regular"/>
    <x v="0"/>
    <x v="1"/>
    <x v="1"/>
    <x v="1"/>
    <x v="1"/>
    <x v="0"/>
    <x v="0"/>
    <x v="1"/>
    <n v="0"/>
    <n v="0"/>
    <n v="319.72300000000001"/>
    <n v="63.944600000000001"/>
    <n v="319.72300000000001"/>
    <n v="63.944600000000001"/>
    <n v="0"/>
    <s v="CATIVO"/>
    <n v="0"/>
    <n v="0"/>
    <n v="31"/>
    <n v="59"/>
    <n v="0"/>
    <n v="87.73"/>
    <n v="253.9"/>
    <m/>
    <n v="67.376989053363516"/>
    <n v="317.3874512882154"/>
    <n v="0"/>
    <n v="87381.574791999999"/>
    <n v="0"/>
    <n v="98414.432927464513"/>
    <x v="1"/>
  </r>
  <r>
    <s v="Sistema Isolado - Regular"/>
    <x v="0"/>
    <x v="1"/>
    <x v="1"/>
    <x v="1"/>
    <x v="1"/>
    <x v="0"/>
    <x v="0"/>
    <x v="2"/>
    <n v="0"/>
    <n v="0"/>
    <n v="375.005"/>
    <n v="75.001000000000005"/>
    <n v="375.005"/>
    <n v="75.001000000000005"/>
    <n v="0"/>
    <s v="CATIVO"/>
    <n v="0"/>
    <n v="0"/>
    <n v="31"/>
    <n v="59"/>
    <n v="0"/>
    <n v="87.73"/>
    <n v="253.9"/>
    <m/>
    <n v="67.376989053363516"/>
    <n v="317.3874512882154"/>
    <n v="0"/>
    <n v="102490.36652000001"/>
    <n v="0"/>
    <n v="115430.87116023505"/>
    <x v="1"/>
  </r>
  <r>
    <s v="Sistema Isolado - Regular"/>
    <x v="0"/>
    <x v="1"/>
    <x v="1"/>
    <x v="1"/>
    <x v="1"/>
    <x v="0"/>
    <x v="0"/>
    <x v="3"/>
    <n v="0"/>
    <n v="0"/>
    <n v="331.98099999999999"/>
    <n v="66.396199999999993"/>
    <n v="331.98099999999999"/>
    <n v="66.396199999999993"/>
    <n v="0"/>
    <s v="CATIVO"/>
    <n v="0"/>
    <n v="0"/>
    <n v="31"/>
    <n v="59"/>
    <n v="0"/>
    <n v="87.73"/>
    <n v="253.9"/>
    <m/>
    <n v="67.376989053363516"/>
    <n v="317.3874512882154"/>
    <n v="0"/>
    <n v="90731.735223999989"/>
    <n v="0"/>
    <n v="102187.58693523015"/>
    <x v="1"/>
  </r>
  <r>
    <s v="Sistema Isolado - Refaturamento"/>
    <x v="0"/>
    <x v="1"/>
    <x v="1"/>
    <x v="1"/>
    <x v="1"/>
    <x v="0"/>
    <x v="0"/>
    <x v="3"/>
    <n v="0"/>
    <n v="0"/>
    <n v="-36.448999999999998"/>
    <n v="-7.2897999999999996"/>
    <n v="-36.448999999999998"/>
    <n v="-7.2897999999999996"/>
    <n v="0"/>
    <s v="CATIVO"/>
    <n v="0"/>
    <n v="0"/>
    <n v="31"/>
    <n v="59"/>
    <n v="0"/>
    <n v="87.73"/>
    <n v="253.9"/>
    <m/>
    <n v="67.376989053363516"/>
    <n v="317.3874512882154"/>
    <n v="0"/>
    <n v="-9961.6574959999998"/>
    <n v="0"/>
    <n v="-11219.423268808167"/>
    <x v="1"/>
  </r>
  <r>
    <s v="Sistema Isolado - Regular"/>
    <x v="0"/>
    <x v="1"/>
    <x v="1"/>
    <x v="1"/>
    <x v="1"/>
    <x v="0"/>
    <x v="0"/>
    <x v="4"/>
    <n v="0"/>
    <n v="0"/>
    <n v="72.680999999999997"/>
    <n v="14.536199999999999"/>
    <n v="72.680999999999997"/>
    <n v="14.536199999999999"/>
    <n v="0"/>
    <s v="CATIVO"/>
    <n v="0"/>
    <n v="0"/>
    <n v="31"/>
    <n v="59"/>
    <n v="0"/>
    <n v="87.73"/>
    <n v="253.9"/>
    <m/>
    <n v="67.376989053363516"/>
    <n v="317.3874512882154"/>
    <n v="0"/>
    <n v="19864.008023999999"/>
    <n v="0"/>
    <n v="22372.051430773037"/>
    <x v="1"/>
  </r>
  <r>
    <s v="Sistema Isolado - Regular"/>
    <x v="0"/>
    <x v="1"/>
    <x v="1"/>
    <x v="1"/>
    <x v="1"/>
    <x v="0"/>
    <x v="0"/>
    <x v="5"/>
    <n v="0"/>
    <n v="0"/>
    <n v="72.680999999999997"/>
    <n v="14.536199999999999"/>
    <n v="72.680999999999997"/>
    <n v="14.536199999999999"/>
    <n v="0"/>
    <s v="CATIVO"/>
    <n v="0"/>
    <n v="0"/>
    <n v="31"/>
    <n v="59"/>
    <n v="0"/>
    <n v="87.73"/>
    <n v="253.9"/>
    <m/>
    <n v="67.376989053363516"/>
    <n v="317.3874512882154"/>
    <n v="0"/>
    <n v="19864.008023999999"/>
    <n v="0"/>
    <n v="22372.051430773037"/>
    <x v="1"/>
  </r>
  <r>
    <s v="Sistema Isolado - Regular"/>
    <x v="0"/>
    <x v="1"/>
    <x v="1"/>
    <x v="1"/>
    <x v="1"/>
    <x v="0"/>
    <x v="0"/>
    <x v="6"/>
    <n v="0"/>
    <n v="0"/>
    <n v="13.135999999999999"/>
    <n v="2.6272000000000002"/>
    <n v="13.135999999999999"/>
    <n v="2.6272000000000002"/>
    <n v="0"/>
    <s v="CATIVO"/>
    <n v="0"/>
    <n v="0"/>
    <n v="31"/>
    <n v="59"/>
    <n v="0"/>
    <n v="87.73"/>
    <n v="253.9"/>
    <m/>
    <n v="67.376989053363516"/>
    <n v="317.3874512882154"/>
    <n v="0"/>
    <n v="3590.1213439999997"/>
    <n v="0"/>
    <n v="4043.4125506615842"/>
    <x v="1"/>
  </r>
  <r>
    <s v="Sistema Isolado - Refaturamento"/>
    <x v="0"/>
    <x v="1"/>
    <x v="1"/>
    <x v="1"/>
    <x v="1"/>
    <x v="0"/>
    <x v="0"/>
    <x v="6"/>
    <n v="0"/>
    <n v="0"/>
    <n v="20.076000000000001"/>
    <n v="4.0152000000000001"/>
    <n v="20.076000000000001"/>
    <n v="4.0152000000000001"/>
    <n v="0"/>
    <s v="CATIVO"/>
    <n v="0"/>
    <n v="0"/>
    <n v="31"/>
    <n v="59"/>
    <n v="0"/>
    <n v="87.73"/>
    <n v="253.9"/>
    <m/>
    <n v="67.376989053363516"/>
    <n v="317.3874512882154"/>
    <n v="0"/>
    <n v="5486.8511040000003"/>
    <n v="0"/>
    <n v="6179.6247234380307"/>
    <x v="1"/>
  </r>
  <r>
    <s v="Sistema Isolado - Regular"/>
    <x v="0"/>
    <x v="1"/>
    <x v="1"/>
    <x v="1"/>
    <x v="1"/>
    <x v="0"/>
    <x v="0"/>
    <x v="7"/>
    <n v="0"/>
    <n v="0"/>
    <n v="7.2789999999999999"/>
    <n v="1.4558"/>
    <n v="7.2789999999999999"/>
    <n v="1.4558"/>
    <n v="0"/>
    <s v="CATIVO"/>
    <n v="0"/>
    <n v="0"/>
    <n v="31"/>
    <n v="59"/>
    <n v="0"/>
    <n v="87.73"/>
    <n v="253.9"/>
    <m/>
    <n v="67.376989053363516"/>
    <n v="317.3874512882154"/>
    <n v="0"/>
    <n v="1989.3798159999999"/>
    <n v="0"/>
    <n v="2240.5602889970824"/>
    <x v="1"/>
  </r>
  <r>
    <s v="Sistema Isolado - Regular"/>
    <x v="0"/>
    <x v="1"/>
    <x v="1"/>
    <x v="1"/>
    <x v="1"/>
    <x v="0"/>
    <x v="0"/>
    <x v="8"/>
    <n v="0"/>
    <n v="0"/>
    <n v="6.7130000000000001"/>
    <n v="1.3426"/>
    <n v="6.7130000000000001"/>
    <n v="1.3426"/>
    <n v="0"/>
    <s v="CATIVO"/>
    <n v="0"/>
    <n v="0"/>
    <n v="31"/>
    <n v="59"/>
    <n v="0"/>
    <n v="87.73"/>
    <n v="253.9"/>
    <m/>
    <n v="67.376989053363516"/>
    <n v="317.3874512882154"/>
    <n v="0"/>
    <n v="1834.689752"/>
    <n v="0"/>
    <n v="2066.3389504104152"/>
    <x v="1"/>
  </r>
  <r>
    <s v="Sistema Isolado - Regular"/>
    <x v="0"/>
    <x v="1"/>
    <x v="1"/>
    <x v="1"/>
    <x v="1"/>
    <x v="0"/>
    <x v="0"/>
    <x v="9"/>
    <n v="0"/>
    <n v="0"/>
    <n v="41.603000000000002"/>
    <n v="8.3206000000000007"/>
    <n v="41.603000000000002"/>
    <n v="8.3206000000000007"/>
    <n v="0"/>
    <s v="CATIVO"/>
    <n v="0"/>
    <n v="0"/>
    <n v="31"/>
    <n v="59"/>
    <n v="0"/>
    <n v="87.73"/>
    <n v="253.9"/>
    <m/>
    <n v="67.376989053363516"/>
    <n v="317.3874512882154"/>
    <n v="0"/>
    <n v="11370.266312000002"/>
    <n v="0"/>
    <n v="12805.884009224568"/>
    <x v="1"/>
  </r>
  <r>
    <s v="Sistema Isolado - Regular"/>
    <x v="0"/>
    <x v="1"/>
    <x v="1"/>
    <x v="1"/>
    <x v="1"/>
    <x v="0"/>
    <x v="0"/>
    <x v="10"/>
    <n v="0"/>
    <n v="0"/>
    <n v="101.09099999999999"/>
    <n v="20.2182"/>
    <n v="101.09099999999999"/>
    <n v="20.2182"/>
    <n v="0"/>
    <s v="CATIVO"/>
    <n v="0"/>
    <n v="0"/>
    <n v="31"/>
    <n v="59"/>
    <n v="0"/>
    <n v="87.73"/>
    <n v="253.9"/>
    <m/>
    <n v="67.376989053363516"/>
    <n v="317.3874512882154"/>
    <n v="0"/>
    <n v="27628.574664"/>
    <n v="0"/>
    <n v="31116.97763085644"/>
    <x v="1"/>
  </r>
  <r>
    <s v="PROJETADO"/>
    <x v="0"/>
    <x v="1"/>
    <x v="1"/>
    <x v="1"/>
    <x v="1"/>
    <x v="0"/>
    <x v="0"/>
    <x v="11"/>
    <n v="0"/>
    <n v="0"/>
    <n v="101.09099999999999"/>
    <n v="20.2182"/>
    <n v="101.09099999999999"/>
    <n v="20.2182"/>
    <n v="0"/>
    <s v="CATIVO"/>
    <n v="0"/>
    <n v="0"/>
    <n v="31"/>
    <n v="59"/>
    <n v="0"/>
    <n v="87.73"/>
    <n v="253.9"/>
    <m/>
    <n v="67.376989053363516"/>
    <n v="317.3874512882154"/>
    <n v="0"/>
    <n v="27628.574664"/>
    <n v="0"/>
    <n v="31116.97763085644"/>
    <x v="1"/>
  </r>
  <r>
    <s v="Sistema Isolado - Regular"/>
    <x v="0"/>
    <x v="1"/>
    <x v="1"/>
    <x v="1"/>
    <x v="0"/>
    <x v="0"/>
    <x v="0"/>
    <x v="0"/>
    <n v="0"/>
    <n v="0"/>
    <n v="374.07400000000001"/>
    <n v="359.11104"/>
    <n v="374.07400000000001"/>
    <n v="359.11104"/>
    <n v="0"/>
    <s v="CATIVO"/>
    <n v="0"/>
    <n v="0"/>
    <n v="31"/>
    <n v="59"/>
    <n v="0"/>
    <n v="87.73"/>
    <n v="253.9"/>
    <m/>
    <n v="67.376989053363516"/>
    <n v="317.3874512882154"/>
    <n v="0"/>
    <n v="5111.7960248000036"/>
    <n v="0"/>
    <n v="5757.2149302534353"/>
    <x v="2"/>
  </r>
  <r>
    <s v="Sistema Isolado - Regular"/>
    <x v="0"/>
    <x v="1"/>
    <x v="1"/>
    <x v="1"/>
    <x v="0"/>
    <x v="0"/>
    <x v="0"/>
    <x v="1"/>
    <n v="0"/>
    <n v="0"/>
    <n v="522.27499999999998"/>
    <n v="501.38399999999996"/>
    <n v="522.27499999999998"/>
    <n v="501.38399999999996"/>
    <n v="0"/>
    <s v="CATIVO"/>
    <n v="0"/>
    <n v="0"/>
    <n v="31"/>
    <n v="59"/>
    <n v="0"/>
    <n v="87.73"/>
    <n v="253.9"/>
    <m/>
    <n v="67.376989053363516"/>
    <n v="317.3874512882154"/>
    <n v="0"/>
    <n v="7136.9923300000064"/>
    <n v="0"/>
    <n v="8038.1139231759335"/>
    <x v="2"/>
  </r>
  <r>
    <s v="Sistema Isolado - Regular"/>
    <x v="0"/>
    <x v="1"/>
    <x v="1"/>
    <x v="1"/>
    <x v="0"/>
    <x v="0"/>
    <x v="0"/>
    <x v="2"/>
    <n v="0"/>
    <n v="0"/>
    <n v="533.25800000000004"/>
    <n v="511.92768000000001"/>
    <n v="533.25800000000004"/>
    <n v="511.92768000000001"/>
    <n v="0"/>
    <s v="CATIVO"/>
    <n v="0"/>
    <n v="0"/>
    <n v="31"/>
    <n v="59"/>
    <n v="0"/>
    <n v="87.73"/>
    <n v="253.9"/>
    <m/>
    <n v="67.376989053363516"/>
    <n v="317.3874512882154"/>
    <n v="0"/>
    <n v="7287.0772216000105"/>
    <n v="0"/>
    <n v="8207.1486371067986"/>
    <x v="2"/>
  </r>
  <r>
    <s v="Sistema Isolado - Regular"/>
    <x v="0"/>
    <x v="1"/>
    <x v="1"/>
    <x v="1"/>
    <x v="0"/>
    <x v="0"/>
    <x v="0"/>
    <x v="3"/>
    <n v="0"/>
    <n v="0"/>
    <n v="513.38699999999994"/>
    <n v="492.85151999999994"/>
    <n v="513.38699999999994"/>
    <n v="492.85151999999994"/>
    <n v="0"/>
    <s v="CATIVO"/>
    <n v="0"/>
    <n v="0"/>
    <n v="31"/>
    <n v="59"/>
    <n v="0"/>
    <n v="87.73"/>
    <n v="253.9"/>
    <m/>
    <n v="67.376989053363516"/>
    <n v="317.3874512882154"/>
    <n v="0"/>
    <n v="7015.536032400003"/>
    <n v="0"/>
    <n v="7901.3224693456896"/>
    <x v="2"/>
  </r>
  <r>
    <s v="Sistema Isolado - Refaturamento"/>
    <x v="0"/>
    <x v="1"/>
    <x v="1"/>
    <x v="1"/>
    <x v="0"/>
    <x v="0"/>
    <x v="0"/>
    <x v="3"/>
    <n v="0"/>
    <n v="0"/>
    <n v="-49.314"/>
    <n v="-47.341439999999999"/>
    <n v="-49.314"/>
    <n v="-47.341439999999999"/>
    <n v="0"/>
    <s v="CATIVO"/>
    <n v="0"/>
    <n v="0"/>
    <n v="31"/>
    <n v="59"/>
    <n v="0"/>
    <n v="87.73"/>
    <n v="253.9"/>
    <m/>
    <n v="67.376989053363516"/>
    <n v="317.3874512882154"/>
    <n v="0"/>
    <n v="-673.88567280000052"/>
    <n v="0"/>
    <n v="-758.97094444018546"/>
    <x v="2"/>
  </r>
  <r>
    <s v="Sistema Isolado - Regular"/>
    <x v="0"/>
    <x v="1"/>
    <x v="1"/>
    <x v="1"/>
    <x v="0"/>
    <x v="0"/>
    <x v="0"/>
    <x v="4"/>
    <n v="0"/>
    <n v="0"/>
    <n v="113.63500000000001"/>
    <n v="109.0896"/>
    <n v="113.63500000000001"/>
    <n v="109.0896"/>
    <n v="0"/>
    <s v="CATIVO"/>
    <n v="0"/>
    <n v="0"/>
    <n v="31"/>
    <n v="59"/>
    <n v="0"/>
    <n v="87.73"/>
    <n v="253.9"/>
    <m/>
    <n v="67.376989053363516"/>
    <n v="317.3874512882154"/>
    <n v="0"/>
    <n v="1552.8450020000005"/>
    <n v="0"/>
    <n v="1748.9082871286132"/>
    <x v="2"/>
  </r>
  <r>
    <s v="Sistema Isolado - Refaturamento"/>
    <x v="0"/>
    <x v="1"/>
    <x v="1"/>
    <x v="1"/>
    <x v="0"/>
    <x v="0"/>
    <x v="0"/>
    <x v="4"/>
    <n v="0"/>
    <n v="0"/>
    <n v="83.165000000000006"/>
    <n v="79.838400000000007"/>
    <n v="83.165000000000006"/>
    <n v="79.838400000000007"/>
    <n v="0"/>
    <s v="CATIVO"/>
    <n v="0"/>
    <n v="0"/>
    <n v="31"/>
    <n v="59"/>
    <n v="0"/>
    <n v="87.73"/>
    <n v="253.9"/>
    <m/>
    <n v="67.376989053363516"/>
    <n v="317.3874512882154"/>
    <n v="0"/>
    <n v="1136.4663579999997"/>
    <n v="0"/>
    <n v="1279.9573872402959"/>
    <x v="2"/>
  </r>
  <r>
    <s v="Sistema Isolado - Regular"/>
    <x v="0"/>
    <x v="1"/>
    <x v="1"/>
    <x v="1"/>
    <x v="0"/>
    <x v="0"/>
    <x v="0"/>
    <x v="5"/>
    <n v="0"/>
    <n v="0"/>
    <n v="113.63500000000001"/>
    <n v="109.0896"/>
    <n v="113.63500000000001"/>
    <n v="109.0896"/>
    <n v="0"/>
    <s v="CATIVO"/>
    <n v="0"/>
    <n v="0"/>
    <n v="31"/>
    <n v="59"/>
    <n v="0"/>
    <n v="87.73"/>
    <n v="253.9"/>
    <m/>
    <n v="67.376989053363516"/>
    <n v="317.3874512882154"/>
    <n v="0"/>
    <n v="1552.8450020000005"/>
    <n v="0"/>
    <n v="1748.9082871286132"/>
    <x v="2"/>
  </r>
  <r>
    <s v="Sistema Isolado - Refaturamento"/>
    <x v="0"/>
    <x v="1"/>
    <x v="1"/>
    <x v="1"/>
    <x v="0"/>
    <x v="0"/>
    <x v="0"/>
    <x v="5"/>
    <n v="0"/>
    <n v="0"/>
    <n v="83.165000000000006"/>
    <n v="79.838400000000007"/>
    <n v="83.165000000000006"/>
    <n v="79.838400000000007"/>
    <n v="0"/>
    <s v="CATIVO"/>
    <n v="0"/>
    <n v="0"/>
    <n v="31"/>
    <n v="59"/>
    <n v="0"/>
    <n v="87.73"/>
    <n v="253.9"/>
    <m/>
    <n v="67.376989053363516"/>
    <n v="317.3874512882154"/>
    <n v="0"/>
    <n v="1136.4663579999997"/>
    <n v="0"/>
    <n v="1279.9573872402959"/>
    <x v="2"/>
  </r>
  <r>
    <s v="Sistema Isolado - Regular"/>
    <x v="0"/>
    <x v="1"/>
    <x v="1"/>
    <x v="1"/>
    <x v="0"/>
    <x v="0"/>
    <x v="0"/>
    <x v="6"/>
    <n v="0"/>
    <n v="0"/>
    <n v="24.876999999999999"/>
    <n v="23.881919999999997"/>
    <n v="24.876999999999999"/>
    <n v="23.881919999999997"/>
    <n v="0"/>
    <s v="CATIVO"/>
    <n v="0"/>
    <n v="0"/>
    <n v="31"/>
    <n v="59"/>
    <n v="0"/>
    <n v="87.73"/>
    <n v="253.9"/>
    <m/>
    <n v="67.376989053363516"/>
    <n v="317.3874512882154"/>
    <n v="0"/>
    <n v="339.94918040000056"/>
    <n v="0"/>
    <n v="382.87139929509897"/>
    <x v="2"/>
  </r>
  <r>
    <s v="Sistema Isolado - Refaturamento"/>
    <x v="0"/>
    <x v="1"/>
    <x v="1"/>
    <x v="1"/>
    <x v="0"/>
    <x v="0"/>
    <x v="0"/>
    <x v="6"/>
    <n v="0"/>
    <n v="0"/>
    <n v="-270.83999999999997"/>
    <n v="-260.00639999999999"/>
    <n v="-270.83999999999997"/>
    <n v="-260.00639999999999"/>
    <n v="0"/>
    <s v="CATIVO"/>
    <n v="0"/>
    <n v="0"/>
    <n v="31"/>
    <n v="59"/>
    <n v="0"/>
    <n v="87.73"/>
    <n v="253.9"/>
    <m/>
    <n v="67.376989053363516"/>
    <n v="317.3874512882154"/>
    <n v="0"/>
    <n v="-3701.0827679999966"/>
    <n v="0"/>
    <n v="-4168.3840408845253"/>
    <x v="2"/>
  </r>
  <r>
    <s v="Sistema Isolado - Regular"/>
    <x v="0"/>
    <x v="1"/>
    <x v="1"/>
    <x v="1"/>
    <x v="0"/>
    <x v="0"/>
    <x v="0"/>
    <x v="7"/>
    <n v="0"/>
    <n v="0"/>
    <n v="15.004"/>
    <n v="14.403839999999999"/>
    <n v="15.004"/>
    <n v="14.403839999999999"/>
    <n v="0"/>
    <s v="CATIVO"/>
    <n v="0"/>
    <n v="0"/>
    <n v="31"/>
    <n v="59"/>
    <n v="0"/>
    <n v="87.73"/>
    <n v="253.9"/>
    <m/>
    <n v="67.376989053363516"/>
    <n v="317.3874512882154"/>
    <n v="0"/>
    <n v="205.03266080000026"/>
    <n v="0"/>
    <n v="230.92022651540228"/>
    <x v="2"/>
  </r>
  <r>
    <s v="Sistema Isolado - Regular"/>
    <x v="0"/>
    <x v="1"/>
    <x v="1"/>
    <x v="1"/>
    <x v="0"/>
    <x v="0"/>
    <x v="0"/>
    <x v="8"/>
    <n v="0"/>
    <n v="0"/>
    <n v="16.501000000000001"/>
    <n v="15.840960000000001"/>
    <n v="16.501000000000001"/>
    <n v="15.840960000000001"/>
    <n v="0"/>
    <s v="CATIVO"/>
    <n v="0"/>
    <n v="0"/>
    <n v="31"/>
    <n v="59"/>
    <n v="0"/>
    <n v="87.73"/>
    <n v="253.9"/>
    <m/>
    <n v="67.376989053363516"/>
    <n v="317.3874512882154"/>
    <n v="0"/>
    <n v="225.48946520000013"/>
    <n v="0"/>
    <n v="253.9599212030559"/>
    <x v="2"/>
  </r>
  <r>
    <s v="Sistema Isolado - Regular"/>
    <x v="0"/>
    <x v="1"/>
    <x v="1"/>
    <x v="1"/>
    <x v="0"/>
    <x v="0"/>
    <x v="0"/>
    <x v="9"/>
    <n v="0"/>
    <n v="0"/>
    <n v="87.394000000000005"/>
    <n v="83.898240000000001"/>
    <n v="87.394000000000005"/>
    <n v="83.898240000000001"/>
    <n v="0"/>
    <s v="CATIVO"/>
    <n v="0"/>
    <n v="0"/>
    <n v="31"/>
    <n v="59"/>
    <n v="0"/>
    <n v="87.73"/>
    <n v="253.9"/>
    <m/>
    <n v="67.376989053363516"/>
    <n v="317.3874512882154"/>
    <n v="0"/>
    <n v="1194.2564888000015"/>
    <n v="0"/>
    <n v="1345.0441399684796"/>
    <x v="2"/>
  </r>
  <r>
    <s v="Sistema Isolado - Regular"/>
    <x v="0"/>
    <x v="1"/>
    <x v="1"/>
    <x v="1"/>
    <x v="0"/>
    <x v="0"/>
    <x v="0"/>
    <x v="10"/>
    <n v="0"/>
    <n v="0"/>
    <n v="147.00399999999999"/>
    <n v="141.12383999999997"/>
    <n v="147.00399999999999"/>
    <n v="141.12383999999997"/>
    <n v="0"/>
    <s v="CATIVO"/>
    <n v="0"/>
    <n v="0"/>
    <n v="31"/>
    <n v="59"/>
    <n v="0"/>
    <n v="87.73"/>
    <n v="253.9"/>
    <m/>
    <n v="67.376989053363516"/>
    <n v="317.3874512882154"/>
    <n v="0"/>
    <n v="2008.8390608000061"/>
    <n v="0"/>
    <n v="2262.4764715189458"/>
    <x v="2"/>
  </r>
  <r>
    <s v="PROJETADO"/>
    <x v="0"/>
    <x v="1"/>
    <x v="1"/>
    <x v="1"/>
    <x v="0"/>
    <x v="0"/>
    <x v="0"/>
    <x v="11"/>
    <n v="0"/>
    <n v="0"/>
    <n v="147.00399999999999"/>
    <n v="141.12383999999997"/>
    <n v="147.00399999999999"/>
    <n v="141.12383999999997"/>
    <n v="0"/>
    <s v="CATIVO"/>
    <n v="0"/>
    <n v="0"/>
    <n v="31"/>
    <n v="59"/>
    <n v="0"/>
    <n v="87.73"/>
    <n v="253.9"/>
    <m/>
    <n v="67.376989053363516"/>
    <n v="317.3874512882154"/>
    <n v="0"/>
    <n v="2008.8390608000061"/>
    <n v="0"/>
    <n v="2262.4764715189458"/>
    <x v="2"/>
  </r>
  <r>
    <s v="Sistema Isolado - Regular"/>
    <x v="0"/>
    <x v="1"/>
    <x v="1"/>
    <x v="1"/>
    <x v="0"/>
    <x v="0"/>
    <x v="2"/>
    <x v="0"/>
    <n v="2001"/>
    <n v="1920.96"/>
    <n v="0"/>
    <n v="0"/>
    <n v="0"/>
    <n v="0"/>
    <n v="13"/>
    <s v="CATIVO"/>
    <n v="0"/>
    <n v="18"/>
    <n v="0"/>
    <n v="0"/>
    <n v="14.64"/>
    <n v="0"/>
    <n v="0"/>
    <n v="19.024476785546895"/>
    <m/>
    <m/>
    <n v="1171.7855999999995"/>
    <n v="0"/>
    <n v="1522.7191219151728"/>
    <n v="0"/>
    <x v="2"/>
  </r>
  <r>
    <s v="Sistema Isolado - Regular"/>
    <x v="0"/>
    <x v="1"/>
    <x v="1"/>
    <x v="1"/>
    <x v="0"/>
    <x v="0"/>
    <x v="2"/>
    <x v="1"/>
    <n v="2081"/>
    <n v="1997.76"/>
    <n v="0"/>
    <n v="0"/>
    <n v="0"/>
    <n v="0"/>
    <n v="13"/>
    <s v="CATIVO"/>
    <n v="0"/>
    <n v="18"/>
    <n v="0"/>
    <n v="0"/>
    <n v="14.64"/>
    <n v="0"/>
    <n v="0"/>
    <n v="19.024476785546895"/>
    <m/>
    <m/>
    <n v="1218.6336000000001"/>
    <n v="0"/>
    <n v="1583.5974476289236"/>
    <n v="0"/>
    <x v="2"/>
  </r>
  <r>
    <s v="Sistema Isolado - Regular"/>
    <x v="0"/>
    <x v="1"/>
    <x v="1"/>
    <x v="1"/>
    <x v="0"/>
    <x v="0"/>
    <x v="2"/>
    <x v="2"/>
    <n v="2954"/>
    <n v="2835.8399999999997"/>
    <n v="0"/>
    <n v="0"/>
    <n v="0"/>
    <n v="0"/>
    <n v="16"/>
    <s v="CATIVO"/>
    <n v="0"/>
    <n v="18"/>
    <n v="0"/>
    <n v="0"/>
    <n v="14.64"/>
    <n v="0"/>
    <n v="0"/>
    <n v="19.024476785546895"/>
    <m/>
    <m/>
    <n v="1729.8624000000045"/>
    <n v="0"/>
    <n v="2247.9321769802268"/>
    <n v="0"/>
    <x v="2"/>
  </r>
  <r>
    <s v="Sistema Isolado - Regular"/>
    <x v="0"/>
    <x v="1"/>
    <x v="1"/>
    <x v="1"/>
    <x v="0"/>
    <x v="0"/>
    <x v="2"/>
    <x v="3"/>
    <n v="2358"/>
    <n v="2263.6799999999998"/>
    <n v="0"/>
    <n v="0"/>
    <n v="0"/>
    <n v="0"/>
    <n v="16"/>
    <s v="CATIVO"/>
    <n v="0"/>
    <n v="18"/>
    <n v="0"/>
    <n v="0"/>
    <n v="14.64"/>
    <n v="0"/>
    <n v="0"/>
    <n v="19.024476785546895"/>
    <m/>
    <m/>
    <n v="1380.8448000000024"/>
    <n v="0"/>
    <n v="1794.3886504127863"/>
    <n v="0"/>
    <x v="2"/>
  </r>
  <r>
    <s v="Sistema Isolado - Refaturamento"/>
    <x v="0"/>
    <x v="1"/>
    <x v="1"/>
    <x v="1"/>
    <x v="0"/>
    <x v="0"/>
    <x v="2"/>
    <x v="3"/>
    <n v="-307"/>
    <n v="-294.71999999999997"/>
    <n v="0"/>
    <n v="0"/>
    <n v="0"/>
    <n v="0"/>
    <n v="-1"/>
    <s v="CATIVO"/>
    <n v="0"/>
    <n v="18"/>
    <n v="0"/>
    <n v="0"/>
    <n v="14.64"/>
    <n v="0"/>
    <n v="0"/>
    <n v="19.024476785546895"/>
    <m/>
    <m/>
    <n v="-179.77920000000043"/>
    <n v="0"/>
    <n v="-233.62057492651644"/>
    <n v="0"/>
    <x v="2"/>
  </r>
  <r>
    <s v="Sistema Isolado - Regular"/>
    <x v="0"/>
    <x v="1"/>
    <x v="1"/>
    <x v="1"/>
    <x v="0"/>
    <x v="0"/>
    <x v="2"/>
    <x v="4"/>
    <n v="2578"/>
    <n v="2474.88"/>
    <n v="0"/>
    <n v="0"/>
    <n v="0"/>
    <n v="0"/>
    <n v="15"/>
    <s v="CATIVO"/>
    <n v="0"/>
    <n v="18"/>
    <n v="0"/>
    <n v="0"/>
    <n v="14.64"/>
    <n v="0"/>
    <n v="0"/>
    <n v="19.024476785546895"/>
    <m/>
    <m/>
    <n v="1509.6767999999984"/>
    <n v="0"/>
    <n v="1961.8040461255937"/>
    <n v="0"/>
    <x v="2"/>
  </r>
  <r>
    <s v="Sistema Isolado - Refaturamento"/>
    <x v="0"/>
    <x v="1"/>
    <x v="1"/>
    <x v="1"/>
    <x v="0"/>
    <x v="0"/>
    <x v="2"/>
    <x v="4"/>
    <n v="211"/>
    <n v="202.56"/>
    <n v="0"/>
    <n v="0"/>
    <n v="0"/>
    <n v="0"/>
    <n v="0"/>
    <s v="CATIVO"/>
    <n v="0"/>
    <n v="18"/>
    <n v="0"/>
    <n v="0"/>
    <n v="14.64"/>
    <n v="0"/>
    <n v="0"/>
    <n v="19.024476785546895"/>
    <m/>
    <m/>
    <n v="123.56159999999997"/>
    <n v="0"/>
    <n v="160.56658407001575"/>
    <n v="0"/>
    <x v="2"/>
  </r>
  <r>
    <s v="Sistema Isolado - Regular"/>
    <x v="0"/>
    <x v="1"/>
    <x v="1"/>
    <x v="1"/>
    <x v="0"/>
    <x v="0"/>
    <x v="2"/>
    <x v="5"/>
    <n v="2578"/>
    <n v="2474.88"/>
    <n v="0"/>
    <n v="0"/>
    <n v="0"/>
    <n v="0"/>
    <n v="15"/>
    <s v="CATIVO"/>
    <n v="0"/>
    <n v="18"/>
    <n v="0"/>
    <n v="0"/>
    <n v="14.64"/>
    <n v="0"/>
    <n v="0"/>
    <n v="19.024476785546895"/>
    <m/>
    <m/>
    <n v="1509.6767999999984"/>
    <n v="0"/>
    <n v="1961.8040461255937"/>
    <n v="0"/>
    <x v="2"/>
  </r>
  <r>
    <s v="Sistema Isolado - Refaturamento"/>
    <x v="0"/>
    <x v="1"/>
    <x v="1"/>
    <x v="1"/>
    <x v="0"/>
    <x v="0"/>
    <x v="2"/>
    <x v="5"/>
    <n v="211"/>
    <n v="202.56"/>
    <n v="0"/>
    <n v="0"/>
    <n v="0"/>
    <n v="0"/>
    <n v="0"/>
    <s v="CATIVO"/>
    <n v="0"/>
    <n v="18"/>
    <n v="0"/>
    <n v="0"/>
    <n v="14.64"/>
    <n v="0"/>
    <n v="0"/>
    <n v="19.024476785546895"/>
    <m/>
    <m/>
    <n v="123.56159999999997"/>
    <n v="0"/>
    <n v="160.56658407001575"/>
    <n v="0"/>
    <x v="2"/>
  </r>
  <r>
    <s v="Sistema Isolado - Regular"/>
    <x v="0"/>
    <x v="1"/>
    <x v="1"/>
    <x v="1"/>
    <x v="0"/>
    <x v="0"/>
    <x v="2"/>
    <x v="6"/>
    <n v="480"/>
    <n v="460.79999999999995"/>
    <n v="0"/>
    <n v="0"/>
    <n v="0"/>
    <n v="0"/>
    <n v="14"/>
    <s v="CATIVO"/>
    <n v="0"/>
    <n v="18"/>
    <n v="0"/>
    <n v="0"/>
    <n v="14.64"/>
    <n v="0"/>
    <n v="0"/>
    <n v="19.024476785546895"/>
    <m/>
    <m/>
    <n v="281.0880000000007"/>
    <n v="0"/>
    <n v="365.26995428250126"/>
    <n v="0"/>
    <x v="2"/>
  </r>
  <r>
    <s v="Sistema Isolado - Regular"/>
    <x v="0"/>
    <x v="1"/>
    <x v="1"/>
    <x v="1"/>
    <x v="0"/>
    <x v="0"/>
    <x v="2"/>
    <x v="7"/>
    <n v="651"/>
    <n v="624.95999999999992"/>
    <n v="0"/>
    <n v="0"/>
    <n v="0"/>
    <n v="0"/>
    <n v="15"/>
    <s v="CATIVO"/>
    <n v="0"/>
    <n v="18"/>
    <n v="0"/>
    <n v="0"/>
    <n v="14.64"/>
    <n v="0"/>
    <n v="0"/>
    <n v="19.024476785546895"/>
    <m/>
    <m/>
    <n v="381.22560000000112"/>
    <n v="0"/>
    <n v="495.39737549564262"/>
    <n v="0"/>
    <x v="2"/>
  </r>
  <r>
    <s v="Sistema Isolado - Regular"/>
    <x v="0"/>
    <x v="1"/>
    <x v="1"/>
    <x v="1"/>
    <x v="0"/>
    <x v="0"/>
    <x v="2"/>
    <x v="8"/>
    <n v="464"/>
    <n v="445.44"/>
    <n v="0"/>
    <n v="0"/>
    <n v="0"/>
    <n v="0"/>
    <n v="14"/>
    <s v="CATIVO"/>
    <n v="0"/>
    <n v="18"/>
    <n v="0"/>
    <n v="0"/>
    <n v="14.64"/>
    <n v="0"/>
    <n v="0"/>
    <n v="19.024476785546895"/>
    <m/>
    <m/>
    <n v="271.71840000000003"/>
    <n v="0"/>
    <n v="353.0942891397504"/>
    <n v="0"/>
    <x v="2"/>
  </r>
  <r>
    <s v="Sistema Isolado - Regular"/>
    <x v="0"/>
    <x v="1"/>
    <x v="1"/>
    <x v="1"/>
    <x v="0"/>
    <x v="0"/>
    <x v="2"/>
    <x v="9"/>
    <n v="1392"/>
    <n v="1336.32"/>
    <n v="0"/>
    <n v="0"/>
    <n v="0"/>
    <n v="0"/>
    <n v="15"/>
    <s v="CATIVO"/>
    <n v="0"/>
    <n v="18"/>
    <n v="0"/>
    <n v="0"/>
    <n v="14.64"/>
    <n v="0"/>
    <n v="0"/>
    <n v="19.024476785546895"/>
    <m/>
    <m/>
    <n v="815.15520000000095"/>
    <n v="0"/>
    <n v="1059.2828674192524"/>
    <n v="0"/>
    <x v="2"/>
  </r>
  <r>
    <s v="Sistema Isolado - Regular"/>
    <x v="0"/>
    <x v="1"/>
    <x v="1"/>
    <x v="1"/>
    <x v="0"/>
    <x v="0"/>
    <x v="2"/>
    <x v="10"/>
    <n v="1521"/>
    <n v="1460.1599999999999"/>
    <n v="0"/>
    <n v="0"/>
    <n v="0"/>
    <n v="0"/>
    <n v="16"/>
    <s v="CATIVO"/>
    <n v="0"/>
    <n v="18"/>
    <n v="0"/>
    <n v="0"/>
    <n v="14.64"/>
    <n v="0"/>
    <n v="0"/>
    <n v="19.024476785546895"/>
    <m/>
    <m/>
    <n v="890.69760000000213"/>
    <n v="0"/>
    <n v="1157.4491676326759"/>
    <n v="0"/>
    <x v="2"/>
  </r>
  <r>
    <s v="PROJETADO"/>
    <x v="0"/>
    <x v="1"/>
    <x v="1"/>
    <x v="1"/>
    <x v="0"/>
    <x v="0"/>
    <x v="2"/>
    <x v="11"/>
    <n v="1521"/>
    <n v="1460.1599999999999"/>
    <n v="0"/>
    <n v="0"/>
    <n v="0"/>
    <n v="0"/>
    <n v="16"/>
    <s v="CATIVO"/>
    <n v="0"/>
    <n v="18"/>
    <n v="0"/>
    <n v="0"/>
    <n v="14.64"/>
    <n v="0"/>
    <n v="0"/>
    <n v="19.024476785546895"/>
    <m/>
    <m/>
    <n v="890.69760000000213"/>
    <n v="0"/>
    <n v="1157.4491676326759"/>
    <n v="0"/>
    <x v="2"/>
  </r>
  <r>
    <s v="Sistema Isolado - Regular"/>
    <x v="0"/>
    <x v="1"/>
    <x v="1"/>
    <x v="1"/>
    <x v="0"/>
    <x v="0"/>
    <x v="1"/>
    <x v="0"/>
    <n v="0"/>
    <n v="0"/>
    <n v="11.041"/>
    <n v="10.599360000000001"/>
    <n v="11.041"/>
    <n v="10.599360000000001"/>
    <n v="0"/>
    <s v="CATIVO"/>
    <n v="0"/>
    <n v="0"/>
    <n v="11"/>
    <n v="71"/>
    <n v="0"/>
    <n v="1155.51"/>
    <n v="433.77"/>
    <m/>
    <n v="1456.3363071141353"/>
    <n v="542.84414704984056"/>
    <n v="0"/>
    <n v="701.88961919999929"/>
    <n v="0"/>
    <n v="882.91805577697744"/>
    <x v="2"/>
  </r>
  <r>
    <s v="Sistema Isolado - Regular"/>
    <x v="0"/>
    <x v="1"/>
    <x v="1"/>
    <x v="1"/>
    <x v="0"/>
    <x v="0"/>
    <x v="1"/>
    <x v="1"/>
    <n v="0"/>
    <n v="0"/>
    <n v="20.324000000000002"/>
    <n v="19.511040000000001"/>
    <n v="20.324000000000002"/>
    <n v="19.511040000000001"/>
    <n v="0"/>
    <s v="CATIVO"/>
    <n v="0"/>
    <n v="0"/>
    <n v="11"/>
    <n v="71"/>
    <n v="0"/>
    <n v="1155.51"/>
    <n v="433.77"/>
    <m/>
    <n v="1456.3363071141353"/>
    <n v="542.84414704984056"/>
    <n v="0"/>
    <n v="1292.0210688000006"/>
    <n v="0"/>
    <n v="1625.2537420171464"/>
    <x v="2"/>
  </r>
  <r>
    <s v="Sistema Isolado - Regular"/>
    <x v="0"/>
    <x v="1"/>
    <x v="1"/>
    <x v="1"/>
    <x v="0"/>
    <x v="0"/>
    <x v="1"/>
    <x v="2"/>
    <n v="0"/>
    <n v="0"/>
    <n v="21.841000000000001"/>
    <n v="20.967359999999999"/>
    <n v="21.841000000000001"/>
    <n v="20.967359999999999"/>
    <n v="0"/>
    <s v="CATIVO"/>
    <n v="0"/>
    <n v="0"/>
    <n v="11"/>
    <n v="71"/>
    <n v="0"/>
    <n v="1155.51"/>
    <n v="433.77"/>
    <m/>
    <n v="1456.3363071141353"/>
    <n v="542.84414704984056"/>
    <n v="0"/>
    <n v="1388.4585792000028"/>
    <n v="0"/>
    <n v="1746.5640119758193"/>
    <x v="2"/>
  </r>
  <r>
    <s v="Sistema Isolado - Regular"/>
    <x v="0"/>
    <x v="1"/>
    <x v="1"/>
    <x v="1"/>
    <x v="0"/>
    <x v="0"/>
    <x v="1"/>
    <x v="3"/>
    <n v="0"/>
    <n v="0"/>
    <n v="24.782"/>
    <n v="23.79072"/>
    <n v="24.782"/>
    <n v="23.79072"/>
    <n v="0"/>
    <s v="CATIVO"/>
    <n v="0"/>
    <n v="0"/>
    <n v="11"/>
    <n v="71"/>
    <n v="0"/>
    <n v="1155.51"/>
    <n v="433.77"/>
    <m/>
    <n v="1456.3363071141353"/>
    <n v="542.84414704984056"/>
    <n v="0"/>
    <n v="1575.4214783999994"/>
    <n v="0"/>
    <n v="1981.7476006036654"/>
    <x v="2"/>
  </r>
  <r>
    <s v="Sistema Isolado - Refaturamento"/>
    <x v="0"/>
    <x v="1"/>
    <x v="1"/>
    <x v="1"/>
    <x v="0"/>
    <x v="0"/>
    <x v="1"/>
    <x v="3"/>
    <n v="0"/>
    <n v="0"/>
    <n v="-1.3069999999999999"/>
    <n v="-1.2547199999999998"/>
    <n v="-1.3069999999999999"/>
    <n v="-1.2547199999999998"/>
    <n v="0"/>
    <s v="CATIVO"/>
    <n v="0"/>
    <n v="0"/>
    <n v="11"/>
    <n v="71"/>
    <n v="0"/>
    <n v="1155.51"/>
    <n v="433.77"/>
    <m/>
    <n v="1456.3363071141353"/>
    <n v="542.84414704984056"/>
    <n v="0"/>
    <n v="-83.087558400000162"/>
    <n v="0"/>
    <n v="-104.51715414369286"/>
    <x v="2"/>
  </r>
  <r>
    <s v="Sistema Isolado - Regular"/>
    <x v="0"/>
    <x v="1"/>
    <x v="1"/>
    <x v="1"/>
    <x v="0"/>
    <x v="0"/>
    <x v="1"/>
    <x v="4"/>
    <n v="0"/>
    <n v="0"/>
    <n v="12.180999999999999"/>
    <n v="11.693759999999999"/>
    <n v="12.180999999999999"/>
    <n v="11.693759999999999"/>
    <n v="0"/>
    <s v="CATIVO"/>
    <n v="0"/>
    <n v="0"/>
    <n v="11"/>
    <n v="71"/>
    <n v="0"/>
    <n v="1155.51"/>
    <n v="433.77"/>
    <m/>
    <n v="1456.3363071141353"/>
    <n v="542.84414704984056"/>
    <n v="0"/>
    <n v="774.36078719999989"/>
    <n v="0"/>
    <n v="974.08068448685538"/>
    <x v="2"/>
  </r>
  <r>
    <s v="Sistema Isolado - Refaturamento"/>
    <x v="0"/>
    <x v="1"/>
    <x v="1"/>
    <x v="1"/>
    <x v="0"/>
    <x v="0"/>
    <x v="1"/>
    <x v="4"/>
    <n v="0"/>
    <n v="0"/>
    <n v="8.8490000000000002"/>
    <n v="8.4950399999999995"/>
    <n v="8.8490000000000002"/>
    <n v="8.4950399999999995"/>
    <n v="0"/>
    <s v="CATIVO"/>
    <n v="0"/>
    <n v="0"/>
    <n v="11"/>
    <n v="71"/>
    <n v="0"/>
    <n v="1155.51"/>
    <n v="433.77"/>
    <m/>
    <n v="1456.3363071141353"/>
    <n v="542.84414704984056"/>
    <n v="0"/>
    <n v="562.54154880000112"/>
    <n v="0"/>
    <n v="707.62991355588235"/>
    <x v="2"/>
  </r>
  <r>
    <s v="Sistema Isolado - Regular"/>
    <x v="0"/>
    <x v="1"/>
    <x v="1"/>
    <x v="1"/>
    <x v="0"/>
    <x v="0"/>
    <x v="1"/>
    <x v="5"/>
    <n v="0"/>
    <n v="0"/>
    <n v="12.180999999999999"/>
    <n v="11.693759999999999"/>
    <n v="12.180999999999999"/>
    <n v="11.693759999999999"/>
    <n v="0"/>
    <s v="CATIVO"/>
    <n v="0"/>
    <n v="0"/>
    <n v="11"/>
    <n v="71"/>
    <n v="0"/>
    <n v="1155.51"/>
    <n v="433.77"/>
    <m/>
    <n v="1456.3363071141353"/>
    <n v="542.84414704984056"/>
    <n v="0"/>
    <n v="774.36078719999989"/>
    <n v="0"/>
    <n v="974.08068448685538"/>
    <x v="2"/>
  </r>
  <r>
    <s v="Sistema Isolado - Refaturamento"/>
    <x v="0"/>
    <x v="1"/>
    <x v="1"/>
    <x v="1"/>
    <x v="0"/>
    <x v="0"/>
    <x v="1"/>
    <x v="5"/>
    <n v="0"/>
    <n v="0"/>
    <n v="8.8490000000000002"/>
    <n v="8.4950399999999995"/>
    <n v="8.8490000000000002"/>
    <n v="8.4950399999999995"/>
    <n v="0"/>
    <s v="CATIVO"/>
    <n v="0"/>
    <n v="0"/>
    <n v="11"/>
    <n v="71"/>
    <n v="0"/>
    <n v="1155.51"/>
    <n v="433.77"/>
    <m/>
    <n v="1456.3363071141353"/>
    <n v="542.84414704984056"/>
    <n v="0"/>
    <n v="562.54154880000112"/>
    <n v="0"/>
    <n v="707.62991355588235"/>
    <x v="2"/>
  </r>
  <r>
    <s v="Sistema Isolado - Regular"/>
    <x v="0"/>
    <x v="1"/>
    <x v="1"/>
    <x v="1"/>
    <x v="0"/>
    <x v="0"/>
    <x v="1"/>
    <x v="6"/>
    <n v="0"/>
    <n v="0"/>
    <n v="2.996"/>
    <n v="2.87616"/>
    <n v="2.996"/>
    <n v="2.87616"/>
    <n v="0"/>
    <s v="CATIVO"/>
    <n v="0"/>
    <n v="0"/>
    <n v="11"/>
    <n v="71"/>
    <n v="0"/>
    <n v="1155.51"/>
    <n v="433.77"/>
    <m/>
    <n v="1456.3363071141353"/>
    <n v="542.84414704984056"/>
    <n v="0"/>
    <n v="190.45931519999991"/>
    <n v="0"/>
    <n v="239.58178562701073"/>
    <x v="2"/>
  </r>
  <r>
    <s v="Sistema Isolado - Refaturamento"/>
    <x v="0"/>
    <x v="1"/>
    <x v="1"/>
    <x v="1"/>
    <x v="0"/>
    <x v="0"/>
    <x v="1"/>
    <x v="6"/>
    <n v="0"/>
    <n v="0"/>
    <n v="-31.196000000000002"/>
    <n v="-29.948160000000001"/>
    <n v="-31.196000000000002"/>
    <n v="-29.948160000000001"/>
    <n v="0"/>
    <s v="CATIVO"/>
    <n v="0"/>
    <n v="0"/>
    <n v="11"/>
    <n v="71"/>
    <n v="0"/>
    <n v="1155.51"/>
    <n v="433.77"/>
    <m/>
    <n v="1456.3363071141353"/>
    <n v="542.84414704984056"/>
    <n v="0"/>
    <n v="-1983.1671552"/>
    <n v="0"/>
    <n v="-2494.6573379239753"/>
    <x v="2"/>
  </r>
  <r>
    <s v="Sistema Isolado - Regular"/>
    <x v="0"/>
    <x v="1"/>
    <x v="1"/>
    <x v="1"/>
    <x v="0"/>
    <x v="0"/>
    <x v="1"/>
    <x v="7"/>
    <n v="0"/>
    <n v="0"/>
    <n v="1.722"/>
    <n v="1.6531199999999999"/>
    <n v="1.722"/>
    <n v="1.6531199999999999"/>
    <n v="0"/>
    <s v="CATIVO"/>
    <n v="0"/>
    <n v="0"/>
    <n v="11"/>
    <n v="71"/>
    <n v="0"/>
    <n v="1155.51"/>
    <n v="433.77"/>
    <m/>
    <n v="1456.3363071141353"/>
    <n v="542.84414704984056"/>
    <n v="0"/>
    <n v="109.46960640000009"/>
    <n v="0"/>
    <n v="137.70354968281475"/>
    <x v="2"/>
  </r>
  <r>
    <s v="Sistema Isolado - Regular"/>
    <x v="0"/>
    <x v="1"/>
    <x v="1"/>
    <x v="1"/>
    <x v="0"/>
    <x v="0"/>
    <x v="1"/>
    <x v="8"/>
    <n v="0"/>
    <n v="0"/>
    <n v="1.9039999999999999"/>
    <n v="1.8278399999999999"/>
    <n v="1.9039999999999999"/>
    <n v="1.8278399999999999"/>
    <n v="0"/>
    <s v="CATIVO"/>
    <n v="0"/>
    <n v="0"/>
    <n v="11"/>
    <n v="71"/>
    <n v="0"/>
    <n v="1155.51"/>
    <n v="433.77"/>
    <m/>
    <n v="1456.3363071141353"/>
    <n v="542.84414704984056"/>
    <n v="0"/>
    <n v="121.03956480000001"/>
    <n v="0"/>
    <n v="152.2575833891284"/>
    <x v="2"/>
  </r>
  <r>
    <s v="Sistema Isolado - Regular"/>
    <x v="0"/>
    <x v="1"/>
    <x v="1"/>
    <x v="1"/>
    <x v="0"/>
    <x v="0"/>
    <x v="1"/>
    <x v="9"/>
    <n v="0"/>
    <n v="0"/>
    <n v="4.9359999999999999"/>
    <n v="4.7385599999999997"/>
    <n v="4.9359999999999999"/>
    <n v="4.7385599999999997"/>
    <n v="0"/>
    <s v="CATIVO"/>
    <n v="0"/>
    <n v="0"/>
    <n v="11"/>
    <n v="71"/>
    <n v="0"/>
    <n v="1155.51"/>
    <n v="433.77"/>
    <m/>
    <n v="1456.3363071141353"/>
    <n v="542.84414704984056"/>
    <n v="0"/>
    <n v="313.78744320000044"/>
    <n v="0"/>
    <n v="394.71818887013598"/>
    <x v="2"/>
  </r>
  <r>
    <s v="Sistema Isolado - Regular"/>
    <x v="0"/>
    <x v="1"/>
    <x v="1"/>
    <x v="1"/>
    <x v="0"/>
    <x v="0"/>
    <x v="1"/>
    <x v="10"/>
    <n v="0"/>
    <n v="0"/>
    <n v="3.6779999999999999"/>
    <n v="3.5308799999999998"/>
    <n v="3.6779999999999999"/>
    <n v="3.5308799999999998"/>
    <n v="0"/>
    <s v="CATIVO"/>
    <n v="0"/>
    <n v="0"/>
    <n v="11"/>
    <n v="71"/>
    <n v="0"/>
    <n v="1155.51"/>
    <n v="433.77"/>
    <m/>
    <n v="1456.3363071141353"/>
    <n v="542.84414704984056"/>
    <n v="0"/>
    <n v="233.8148736000002"/>
    <n v="0"/>
    <n v="294.11942841660436"/>
    <x v="2"/>
  </r>
  <r>
    <s v="PROJETADO"/>
    <x v="0"/>
    <x v="1"/>
    <x v="1"/>
    <x v="1"/>
    <x v="0"/>
    <x v="0"/>
    <x v="1"/>
    <x v="11"/>
    <n v="0"/>
    <n v="0"/>
    <n v="3.6779999999999999"/>
    <n v="3.5308799999999998"/>
    <n v="3.6779999999999999"/>
    <n v="3.5308799999999998"/>
    <n v="0"/>
    <s v="CATIVO"/>
    <n v="0"/>
    <n v="0"/>
    <n v="11"/>
    <n v="71"/>
    <n v="0"/>
    <n v="1155.51"/>
    <n v="433.77"/>
    <m/>
    <n v="1456.3363071141353"/>
    <n v="542.84414704984056"/>
    <n v="0"/>
    <n v="233.8148736000002"/>
    <n v="0"/>
    <n v="294.11942841660436"/>
    <x v="2"/>
  </r>
  <r>
    <s v="Sistema Isolado - Regular"/>
    <x v="0"/>
    <x v="1"/>
    <x v="1"/>
    <x v="2"/>
    <x v="0"/>
    <x v="0"/>
    <x v="0"/>
    <x v="0"/>
    <n v="0"/>
    <n v="0"/>
    <n v="362.14699999999999"/>
    <n v="347.66111999999998"/>
    <n v="362.14699999999999"/>
    <n v="347.66111999999998"/>
    <n v="0"/>
    <s v="CATIVO"/>
    <n v="0"/>
    <n v="0"/>
    <n v="31"/>
    <n v="59"/>
    <n v="0"/>
    <n v="87.73"/>
    <n v="253.9"/>
    <m/>
    <n v="67.376989053363516"/>
    <n v="317.3874512882154"/>
    <n v="0"/>
    <n v="4948.8111844000032"/>
    <n v="0"/>
    <n v="5573.6515110552746"/>
    <x v="2"/>
  </r>
  <r>
    <s v="Sistema Isolado - Regular"/>
    <x v="0"/>
    <x v="1"/>
    <x v="1"/>
    <x v="2"/>
    <x v="0"/>
    <x v="0"/>
    <x v="0"/>
    <x v="1"/>
    <n v="0"/>
    <n v="0"/>
    <n v="496.774"/>
    <n v="476.90303999999998"/>
    <n v="496.774"/>
    <n v="476.90303999999998"/>
    <n v="0"/>
    <s v="CATIVO"/>
    <n v="0"/>
    <n v="0"/>
    <n v="31"/>
    <n v="59"/>
    <n v="0"/>
    <n v="87.73"/>
    <n v="253.9"/>
    <m/>
    <n v="67.376989053363516"/>
    <n v="317.3874512882154"/>
    <n v="0"/>
    <n v="6788.5160648000083"/>
    <n v="0"/>
    <n v="7645.6388034499105"/>
    <x v="2"/>
  </r>
  <r>
    <s v="Sistema Isolado - Regular"/>
    <x v="0"/>
    <x v="1"/>
    <x v="1"/>
    <x v="2"/>
    <x v="0"/>
    <x v="0"/>
    <x v="0"/>
    <x v="2"/>
    <n v="0"/>
    <n v="0"/>
    <n v="838.00699999999995"/>
    <n v="804.48671999999988"/>
    <n v="838.00699999999995"/>
    <n v="804.48671999999988"/>
    <n v="0"/>
    <s v="CATIVO"/>
    <n v="0"/>
    <n v="0"/>
    <n v="31"/>
    <n v="59"/>
    <n v="0"/>
    <n v="87.73"/>
    <n v="253.9"/>
    <m/>
    <n v="67.376989053363516"/>
    <n v="317.3874512882154"/>
    <n v="0"/>
    <n v="11451.533256400024"/>
    <n v="0"/>
    <n v="12897.411774293048"/>
    <x v="2"/>
  </r>
  <r>
    <s v="Sistema Isolado - Regular"/>
    <x v="0"/>
    <x v="1"/>
    <x v="1"/>
    <x v="2"/>
    <x v="0"/>
    <x v="0"/>
    <x v="0"/>
    <x v="3"/>
    <n v="0"/>
    <n v="0"/>
    <n v="546.04499999999996"/>
    <n v="524.20319999999992"/>
    <n v="546.04499999999996"/>
    <n v="524.20319999999992"/>
    <n v="0"/>
    <s v="CATIVO"/>
    <n v="0"/>
    <n v="0"/>
    <n v="31"/>
    <n v="59"/>
    <n v="0"/>
    <n v="87.73"/>
    <n v="253.9"/>
    <m/>
    <n v="67.376989053363516"/>
    <n v="317.3874512882154"/>
    <n v="0"/>
    <n v="7461.8141340000129"/>
    <n v="0"/>
    <n v="8403.9479530527115"/>
    <x v="2"/>
  </r>
  <r>
    <s v="Sistema Isolado - Regular"/>
    <x v="0"/>
    <x v="1"/>
    <x v="1"/>
    <x v="2"/>
    <x v="0"/>
    <x v="0"/>
    <x v="0"/>
    <x v="4"/>
    <n v="0"/>
    <n v="0"/>
    <n v="193.53800000000001"/>
    <n v="185.79648"/>
    <n v="193.53800000000001"/>
    <n v="185.79648"/>
    <n v="0"/>
    <s v="CATIVO"/>
    <n v="0"/>
    <n v="0"/>
    <n v="31"/>
    <n v="59"/>
    <n v="0"/>
    <n v="87.73"/>
    <n v="253.9"/>
    <m/>
    <n v="67.376989053363516"/>
    <n v="317.3874512882154"/>
    <n v="0"/>
    <n v="2644.7354776000029"/>
    <n v="0"/>
    <n v="2978.6616101931431"/>
    <x v="2"/>
  </r>
  <r>
    <s v="Sistema Isolado - Regular"/>
    <x v="0"/>
    <x v="1"/>
    <x v="1"/>
    <x v="2"/>
    <x v="0"/>
    <x v="0"/>
    <x v="0"/>
    <x v="5"/>
    <n v="0"/>
    <n v="0"/>
    <n v="193.53800000000001"/>
    <n v="185.79648"/>
    <n v="193.53800000000001"/>
    <n v="185.79648"/>
    <n v="0"/>
    <s v="CATIVO"/>
    <n v="0"/>
    <n v="0"/>
    <n v="31"/>
    <n v="59"/>
    <n v="0"/>
    <n v="87.73"/>
    <n v="253.9"/>
    <m/>
    <n v="67.376989053363516"/>
    <n v="317.3874512882154"/>
    <n v="0"/>
    <n v="2644.7354776000029"/>
    <n v="0"/>
    <n v="2978.6616101931431"/>
    <x v="2"/>
  </r>
  <r>
    <s v="Sistema Isolado - Regular"/>
    <x v="0"/>
    <x v="1"/>
    <x v="1"/>
    <x v="2"/>
    <x v="0"/>
    <x v="0"/>
    <x v="0"/>
    <x v="6"/>
    <n v="0"/>
    <n v="0"/>
    <n v="128.68899999999999"/>
    <n v="123.54143999999999"/>
    <n v="128.68899999999999"/>
    <n v="123.54143999999999"/>
    <n v="0"/>
    <s v="CATIVO"/>
    <n v="0"/>
    <n v="0"/>
    <n v="31"/>
    <n v="59"/>
    <n v="0"/>
    <n v="87.73"/>
    <n v="253.9"/>
    <m/>
    <n v="67.376989053363516"/>
    <n v="317.3874512882154"/>
    <n v="0"/>
    <n v="1758.5609227999994"/>
    <n v="0"/>
    <n v="1980.5980425246973"/>
    <x v="2"/>
  </r>
  <r>
    <s v="Sistema de Compensação"/>
    <x v="0"/>
    <x v="1"/>
    <x v="1"/>
    <x v="2"/>
    <x v="0"/>
    <x v="0"/>
    <x v="0"/>
    <x v="6"/>
    <n v="0"/>
    <n v="0"/>
    <n v="188.392"/>
    <n v="180.85631999999998"/>
    <n v="188.392"/>
    <n v="180.85631999999998"/>
    <n v="0"/>
    <s v="CATIVO"/>
    <n v="0"/>
    <n v="0"/>
    <n v="31"/>
    <n v="59"/>
    <n v="0"/>
    <n v="87.73"/>
    <n v="253.9"/>
    <m/>
    <n v="67.376989053363516"/>
    <n v="317.3874512882154"/>
    <n v="0"/>
    <n v="2574.4143584000049"/>
    <n v="0"/>
    <n v="2899.4616977932346"/>
    <x v="2"/>
  </r>
  <r>
    <s v="Sistema Isolado - Regular"/>
    <x v="0"/>
    <x v="1"/>
    <x v="1"/>
    <x v="2"/>
    <x v="0"/>
    <x v="0"/>
    <x v="0"/>
    <x v="7"/>
    <n v="0"/>
    <n v="0"/>
    <n v="116.25"/>
    <n v="111.6"/>
    <n v="116.25"/>
    <n v="111.6"/>
    <n v="0"/>
    <s v="CATIVO"/>
    <n v="0"/>
    <n v="0"/>
    <n v="31"/>
    <n v="59"/>
    <n v="0"/>
    <n v="87.73"/>
    <n v="253.9"/>
    <m/>
    <n v="67.376989053363516"/>
    <n v="317.3874512882154"/>
    <n v="0"/>
    <n v="1588.5795000000021"/>
    <n v="0"/>
    <n v="1789.1546475883442"/>
    <x v="2"/>
  </r>
  <r>
    <s v="Sistema de Compensação"/>
    <x v="0"/>
    <x v="1"/>
    <x v="1"/>
    <x v="2"/>
    <x v="0"/>
    <x v="0"/>
    <x v="0"/>
    <x v="7"/>
    <n v="0"/>
    <n v="0"/>
    <n v="45.506999999999998"/>
    <n v="43.686719999999994"/>
    <n v="45.506999999999998"/>
    <n v="43.686719999999994"/>
    <n v="0"/>
    <s v="CATIVO"/>
    <n v="0"/>
    <n v="0"/>
    <n v="31"/>
    <n v="59"/>
    <n v="0"/>
    <n v="87.73"/>
    <n v="253.9"/>
    <m/>
    <n v="67.376989053363516"/>
    <n v="317.3874512882154"/>
    <n v="0"/>
    <n v="621.86225640000134"/>
    <n v="0"/>
    <n v="700.37901546497073"/>
    <x v="2"/>
  </r>
  <r>
    <s v="Sistema Isolado - Regular"/>
    <x v="0"/>
    <x v="1"/>
    <x v="1"/>
    <x v="2"/>
    <x v="0"/>
    <x v="0"/>
    <x v="0"/>
    <x v="8"/>
    <n v="0"/>
    <n v="0"/>
    <n v="141.434"/>
    <n v="135.77663999999999"/>
    <n v="141.434"/>
    <n v="135.77663999999999"/>
    <n v="0"/>
    <s v="CATIVO"/>
    <n v="0"/>
    <n v="0"/>
    <n v="31"/>
    <n v="59"/>
    <n v="0"/>
    <n v="87.73"/>
    <n v="253.9"/>
    <m/>
    <n v="67.376989053363516"/>
    <n v="317.3874512882154"/>
    <n v="0"/>
    <n v="1932.7238968000038"/>
    <n v="0"/>
    <n v="2176.7509542108392"/>
    <x v="2"/>
  </r>
  <r>
    <s v="Sistema de Compensação"/>
    <x v="0"/>
    <x v="1"/>
    <x v="1"/>
    <x v="2"/>
    <x v="0"/>
    <x v="0"/>
    <x v="0"/>
    <x v="8"/>
    <n v="0"/>
    <n v="0"/>
    <n v="48.308"/>
    <n v="46.375679999999996"/>
    <n v="48.308"/>
    <n v="46.375679999999996"/>
    <n v="0"/>
    <s v="CATIVO"/>
    <n v="0"/>
    <n v="0"/>
    <n v="31"/>
    <n v="59"/>
    <n v="0"/>
    <n v="87.73"/>
    <n v="253.9"/>
    <m/>
    <n v="67.376989053363516"/>
    <n v="317.3874512882154"/>
    <n v="0"/>
    <n v="660.13848160000146"/>
    <n v="0"/>
    <n v="743.48802336084145"/>
    <x v="2"/>
  </r>
  <r>
    <s v="Sistema Isolado - Regular"/>
    <x v="0"/>
    <x v="1"/>
    <x v="1"/>
    <x v="2"/>
    <x v="0"/>
    <x v="0"/>
    <x v="0"/>
    <x v="9"/>
    <n v="0"/>
    <n v="0"/>
    <n v="138.553"/>
    <n v="133.01087999999999"/>
    <n v="138.553"/>
    <n v="133.01087999999999"/>
    <n v="0"/>
    <s v="CATIVO"/>
    <n v="0"/>
    <n v="0"/>
    <n v="31"/>
    <n v="59"/>
    <n v="0"/>
    <n v="87.73"/>
    <n v="253.9"/>
    <m/>
    <n v="67.376989053363516"/>
    <n v="317.3874512882154"/>
    <n v="0"/>
    <n v="1893.354455600004"/>
    <n v="0"/>
    <n v="2132.4107001058755"/>
    <x v="2"/>
  </r>
  <r>
    <s v="Sistema de Compensação"/>
    <x v="0"/>
    <x v="1"/>
    <x v="1"/>
    <x v="2"/>
    <x v="0"/>
    <x v="0"/>
    <x v="0"/>
    <x v="9"/>
    <n v="0"/>
    <n v="0"/>
    <n v="49.478000000000002"/>
    <n v="47.49888"/>
    <n v="49.478000000000002"/>
    <n v="47.49888"/>
    <n v="0"/>
    <s v="CATIVO"/>
    <n v="0"/>
    <n v="0"/>
    <n v="31"/>
    <n v="59"/>
    <n v="0"/>
    <n v="87.73"/>
    <n v="253.9"/>
    <m/>
    <n v="67.376989053363516"/>
    <n v="317.3874512882154"/>
    <n v="0"/>
    <n v="676.12676560000057"/>
    <n v="0"/>
    <n v="761.49499916882633"/>
    <x v="2"/>
  </r>
  <r>
    <s v="Sistema Isolado - Regular"/>
    <x v="0"/>
    <x v="1"/>
    <x v="1"/>
    <x v="2"/>
    <x v="0"/>
    <x v="0"/>
    <x v="0"/>
    <x v="10"/>
    <n v="0"/>
    <n v="0"/>
    <n v="147.29400000000001"/>
    <n v="141.40224000000001"/>
    <n v="147.29400000000001"/>
    <n v="141.40224000000001"/>
    <n v="0"/>
    <s v="CATIVO"/>
    <n v="0"/>
    <n v="0"/>
    <n v="31"/>
    <n v="59"/>
    <n v="0"/>
    <n v="87.73"/>
    <n v="253.9"/>
    <m/>
    <n v="67.376989053363516"/>
    <n v="317.3874512882154"/>
    <n v="0"/>
    <n v="2012.8019688000018"/>
    <n v="0"/>
    <n v="2266.9397390269028"/>
    <x v="2"/>
  </r>
  <r>
    <s v="Sistema de Compensação"/>
    <x v="0"/>
    <x v="1"/>
    <x v="1"/>
    <x v="2"/>
    <x v="0"/>
    <x v="0"/>
    <x v="0"/>
    <x v="10"/>
    <n v="0"/>
    <n v="0"/>
    <n v="41.61"/>
    <n v="39.945599999999999"/>
    <n v="41.61"/>
    <n v="39.945599999999999"/>
    <n v="0"/>
    <s v="CATIVO"/>
    <n v="0"/>
    <n v="0"/>
    <n v="31"/>
    <n v="59"/>
    <n v="0"/>
    <n v="87.73"/>
    <n v="253.9"/>
    <m/>
    <n v="67.376989053363516"/>
    <n v="317.3874512882154"/>
    <n v="0"/>
    <n v="568.60897200000022"/>
    <n v="0"/>
    <n v="640.40193450452409"/>
    <x v="2"/>
  </r>
  <r>
    <s v="PROJETADO"/>
    <x v="0"/>
    <x v="1"/>
    <x v="1"/>
    <x v="2"/>
    <x v="0"/>
    <x v="0"/>
    <x v="0"/>
    <x v="11"/>
    <n v="0"/>
    <n v="0"/>
    <n v="147.29400000000001"/>
    <n v="141.40224000000001"/>
    <n v="147.29400000000001"/>
    <n v="141.40224000000001"/>
    <n v="0"/>
    <s v="CATIVO"/>
    <n v="0"/>
    <n v="0"/>
    <n v="31"/>
    <n v="59"/>
    <n v="0"/>
    <n v="87.73"/>
    <n v="253.9"/>
    <m/>
    <n v="67.376989053363516"/>
    <n v="317.3874512882154"/>
    <n v="0"/>
    <n v="2012.8019688000018"/>
    <n v="0"/>
    <n v="2266.9397390269028"/>
    <x v="2"/>
  </r>
  <r>
    <s v="PROJETADO"/>
    <x v="0"/>
    <x v="1"/>
    <x v="1"/>
    <x v="2"/>
    <x v="0"/>
    <x v="0"/>
    <x v="0"/>
    <x v="11"/>
    <n v="0"/>
    <n v="0"/>
    <n v="41.61"/>
    <n v="39.945599999999999"/>
    <n v="41.61"/>
    <n v="39.945599999999999"/>
    <n v="0"/>
    <s v="CATIVO"/>
    <n v="0"/>
    <n v="0"/>
    <n v="31"/>
    <n v="59"/>
    <n v="0"/>
    <n v="87.73"/>
    <n v="253.9"/>
    <m/>
    <n v="67.376989053363516"/>
    <n v="317.3874512882154"/>
    <n v="0"/>
    <n v="568.60897200000022"/>
    <n v="0"/>
    <n v="640.40193450452409"/>
    <x v="2"/>
  </r>
  <r>
    <s v="Sistema Isolado - Regular"/>
    <x v="0"/>
    <x v="1"/>
    <x v="1"/>
    <x v="2"/>
    <x v="0"/>
    <x v="0"/>
    <x v="2"/>
    <x v="0"/>
    <n v="2435"/>
    <n v="2337.6"/>
    <n v="0"/>
    <n v="0"/>
    <n v="0"/>
    <n v="0"/>
    <n v="14"/>
    <s v="CATIVO"/>
    <n v="0"/>
    <n v="18"/>
    <n v="0"/>
    <n v="0"/>
    <n v="14.64"/>
    <n v="0"/>
    <n v="0"/>
    <n v="19.024476785546895"/>
    <m/>
    <m/>
    <n v="1425.9360000000013"/>
    <n v="0"/>
    <n v="1852.9840389122694"/>
    <n v="0"/>
    <x v="2"/>
  </r>
  <r>
    <s v="Sistema Isolado - Regular"/>
    <x v="0"/>
    <x v="1"/>
    <x v="1"/>
    <x v="2"/>
    <x v="0"/>
    <x v="0"/>
    <x v="2"/>
    <x v="1"/>
    <n v="2329"/>
    <n v="2235.8399999999997"/>
    <n v="0"/>
    <n v="0"/>
    <n v="0"/>
    <n v="0"/>
    <n v="13"/>
    <s v="CATIVO"/>
    <n v="0"/>
    <n v="18"/>
    <n v="0"/>
    <n v="0"/>
    <n v="14.64"/>
    <n v="0"/>
    <n v="0"/>
    <n v="19.024476785546895"/>
    <m/>
    <m/>
    <n v="1363.8624000000045"/>
    <n v="0"/>
    <n v="1772.3202573415547"/>
    <n v="0"/>
    <x v="2"/>
  </r>
  <r>
    <s v="Sistema Isolado - Regular"/>
    <x v="0"/>
    <x v="1"/>
    <x v="1"/>
    <x v="2"/>
    <x v="0"/>
    <x v="0"/>
    <x v="2"/>
    <x v="2"/>
    <n v="2483"/>
    <n v="2383.6799999999998"/>
    <n v="0"/>
    <n v="0"/>
    <n v="0"/>
    <n v="0"/>
    <n v="13"/>
    <s v="CATIVO"/>
    <n v="0"/>
    <n v="18"/>
    <n v="0"/>
    <n v="0"/>
    <n v="14.64"/>
    <n v="0"/>
    <n v="0"/>
    <n v="19.024476785546895"/>
    <m/>
    <m/>
    <n v="1454.0448000000024"/>
    <n v="0"/>
    <n v="1889.5110343405208"/>
    <n v="0"/>
    <x v="2"/>
  </r>
  <r>
    <s v="Sistema Isolado - Regular"/>
    <x v="0"/>
    <x v="1"/>
    <x v="1"/>
    <x v="2"/>
    <x v="0"/>
    <x v="0"/>
    <x v="2"/>
    <x v="3"/>
    <n v="2976"/>
    <n v="2856.96"/>
    <n v="0"/>
    <n v="0"/>
    <n v="0"/>
    <n v="0"/>
    <n v="14"/>
    <s v="CATIVO"/>
    <n v="0"/>
    <n v="18"/>
    <n v="0"/>
    <n v="0"/>
    <n v="14.64"/>
    <n v="0"/>
    <n v="0"/>
    <n v="19.024476785546895"/>
    <m/>
    <m/>
    <n v="1742.7455999999995"/>
    <n v="0"/>
    <n v="2264.6737165515019"/>
    <n v="0"/>
    <x v="2"/>
  </r>
  <r>
    <s v="Sistema Isolado - Regular"/>
    <x v="0"/>
    <x v="1"/>
    <x v="1"/>
    <x v="2"/>
    <x v="0"/>
    <x v="0"/>
    <x v="2"/>
    <x v="4"/>
    <n v="2120"/>
    <n v="2035.1999999999998"/>
    <n v="0"/>
    <n v="0"/>
    <n v="0"/>
    <n v="0"/>
    <n v="14"/>
    <s v="CATIVO"/>
    <n v="0"/>
    <n v="18"/>
    <n v="0"/>
    <n v="0"/>
    <n v="14.64"/>
    <n v="0"/>
    <n v="0"/>
    <n v="19.024476785546895"/>
    <m/>
    <m/>
    <n v="1241.4720000000027"/>
    <n v="0"/>
    <n v="1613.2756314143801"/>
    <n v="0"/>
    <x v="2"/>
  </r>
  <r>
    <s v="Sistema Isolado - Regular"/>
    <x v="0"/>
    <x v="1"/>
    <x v="1"/>
    <x v="2"/>
    <x v="0"/>
    <x v="0"/>
    <x v="2"/>
    <x v="5"/>
    <n v="2120"/>
    <n v="2035.1999999999998"/>
    <n v="0"/>
    <n v="0"/>
    <n v="0"/>
    <n v="0"/>
    <n v="14"/>
    <s v="CATIVO"/>
    <n v="0"/>
    <n v="18"/>
    <n v="0"/>
    <n v="0"/>
    <n v="14.64"/>
    <n v="0"/>
    <n v="0"/>
    <n v="19.024476785546895"/>
    <m/>
    <m/>
    <n v="1241.4720000000027"/>
    <n v="0"/>
    <n v="1613.2756314143801"/>
    <n v="0"/>
    <x v="2"/>
  </r>
  <r>
    <s v="Sistema Isolado - Regular"/>
    <x v="0"/>
    <x v="1"/>
    <x v="1"/>
    <x v="2"/>
    <x v="0"/>
    <x v="0"/>
    <x v="2"/>
    <x v="6"/>
    <n v="950"/>
    <n v="912"/>
    <n v="0"/>
    <n v="0"/>
    <n v="0"/>
    <n v="0"/>
    <n v="15"/>
    <s v="CATIVO"/>
    <n v="0"/>
    <n v="18"/>
    <n v="0"/>
    <n v="0"/>
    <n v="14.64"/>
    <n v="0"/>
    <n v="0"/>
    <n v="19.024476785546895"/>
    <m/>
    <m/>
    <n v="556.32000000000005"/>
    <n v="0"/>
    <n v="722.93011785078204"/>
    <n v="0"/>
    <x v="2"/>
  </r>
  <r>
    <s v="Sistema de Compensação"/>
    <x v="0"/>
    <x v="1"/>
    <x v="1"/>
    <x v="2"/>
    <x v="0"/>
    <x v="0"/>
    <x v="2"/>
    <x v="6"/>
    <n v="1028"/>
    <n v="986.88"/>
    <n v="0"/>
    <n v="0"/>
    <n v="0"/>
    <n v="0"/>
    <n v="8"/>
    <s v="CATIVO"/>
    <n v="0"/>
    <n v="18"/>
    <n v="0"/>
    <n v="0"/>
    <n v="14.64"/>
    <n v="0"/>
    <n v="0"/>
    <n v="19.024476785546895"/>
    <m/>
    <m/>
    <n v="601.99680000000012"/>
    <n v="0"/>
    <n v="782.28648542168844"/>
    <n v="0"/>
    <x v="2"/>
  </r>
  <r>
    <s v="Sistema Isolado - Regular"/>
    <x v="0"/>
    <x v="1"/>
    <x v="1"/>
    <x v="2"/>
    <x v="0"/>
    <x v="0"/>
    <x v="2"/>
    <x v="7"/>
    <n v="1156"/>
    <n v="1109.76"/>
    <n v="0"/>
    <n v="0"/>
    <n v="0"/>
    <n v="0"/>
    <n v="17"/>
    <s v="CATIVO"/>
    <n v="0"/>
    <n v="18"/>
    <n v="0"/>
    <n v="0"/>
    <n v="14.64"/>
    <n v="0"/>
    <n v="0"/>
    <n v="19.024476785546895"/>
    <m/>
    <m/>
    <n v="676.95360000000016"/>
    <n v="0"/>
    <n v="879.6918065636886"/>
    <n v="0"/>
    <x v="2"/>
  </r>
  <r>
    <s v="Sistema de Compensação"/>
    <x v="0"/>
    <x v="1"/>
    <x v="1"/>
    <x v="2"/>
    <x v="0"/>
    <x v="0"/>
    <x v="2"/>
    <x v="7"/>
    <n v="268"/>
    <n v="257.27999999999997"/>
    <n v="0"/>
    <n v="0"/>
    <n v="0"/>
    <n v="0"/>
    <n v="2"/>
    <s v="CATIVO"/>
    <n v="0"/>
    <n v="18"/>
    <n v="0"/>
    <n v="0"/>
    <n v="14.64"/>
    <n v="0"/>
    <n v="0"/>
    <n v="19.024476785546895"/>
    <m/>
    <m/>
    <n v="156.94080000000039"/>
    <n v="0"/>
    <n v="203.94239114106324"/>
    <n v="0"/>
    <x v="2"/>
  </r>
  <r>
    <s v="Sistema Isolado - Regular"/>
    <x v="0"/>
    <x v="1"/>
    <x v="1"/>
    <x v="2"/>
    <x v="0"/>
    <x v="0"/>
    <x v="2"/>
    <x v="8"/>
    <n v="1113"/>
    <n v="1068.48"/>
    <n v="0"/>
    <n v="0"/>
    <n v="0"/>
    <n v="0"/>
    <n v="16"/>
    <s v="CATIVO"/>
    <n v="0"/>
    <n v="18"/>
    <n v="0"/>
    <n v="0"/>
    <n v="14.64"/>
    <n v="0"/>
    <n v="0"/>
    <n v="19.024476785546895"/>
    <m/>
    <m/>
    <n v="651.77279999999973"/>
    <n v="0"/>
    <n v="846.9697064925474"/>
    <n v="0"/>
    <x v="2"/>
  </r>
  <r>
    <s v="Sistema de Compensação"/>
    <x v="0"/>
    <x v="1"/>
    <x v="1"/>
    <x v="2"/>
    <x v="0"/>
    <x v="0"/>
    <x v="2"/>
    <x v="8"/>
    <n v="249"/>
    <n v="239.04"/>
    <n v="0"/>
    <n v="0"/>
    <n v="0"/>
    <n v="0"/>
    <n v="2"/>
    <s v="CATIVO"/>
    <n v="0"/>
    <n v="18"/>
    <n v="0"/>
    <n v="0"/>
    <n v="14.64"/>
    <n v="0"/>
    <n v="0"/>
    <n v="19.024476785546895"/>
    <m/>
    <m/>
    <n v="145.81440000000012"/>
    <n v="0"/>
    <n v="189.48378878404722"/>
    <n v="0"/>
    <x v="2"/>
  </r>
  <r>
    <s v="Sistema Isolado - Regular"/>
    <x v="0"/>
    <x v="1"/>
    <x v="1"/>
    <x v="2"/>
    <x v="0"/>
    <x v="0"/>
    <x v="2"/>
    <x v="9"/>
    <n v="965"/>
    <n v="926.4"/>
    <n v="0"/>
    <n v="0"/>
    <n v="0"/>
    <n v="0"/>
    <n v="13"/>
    <s v="CATIVO"/>
    <n v="0"/>
    <n v="18"/>
    <n v="0"/>
    <n v="0"/>
    <n v="14.64"/>
    <n v="0"/>
    <n v="0"/>
    <n v="19.024476785546895"/>
    <m/>
    <m/>
    <n v="565.10400000000038"/>
    <n v="0"/>
    <n v="734.3448039221106"/>
    <n v="0"/>
    <x v="2"/>
  </r>
  <r>
    <s v="Sistema de Compensação"/>
    <x v="0"/>
    <x v="1"/>
    <x v="1"/>
    <x v="2"/>
    <x v="0"/>
    <x v="0"/>
    <x v="2"/>
    <x v="9"/>
    <n v="499"/>
    <n v="479.03999999999996"/>
    <n v="0"/>
    <n v="0"/>
    <n v="0"/>
    <n v="0"/>
    <n v="3"/>
    <s v="CATIVO"/>
    <n v="0"/>
    <n v="18"/>
    <n v="0"/>
    <n v="0"/>
    <n v="14.64"/>
    <n v="0"/>
    <n v="0"/>
    <n v="19.024476785546895"/>
    <m/>
    <m/>
    <n v="292.21440000000052"/>
    <n v="0"/>
    <n v="379.72855663951674"/>
    <n v="0"/>
    <x v="2"/>
  </r>
  <r>
    <s v="Sistema Isolado - Regular"/>
    <x v="0"/>
    <x v="1"/>
    <x v="1"/>
    <x v="2"/>
    <x v="0"/>
    <x v="0"/>
    <x v="2"/>
    <x v="10"/>
    <n v="974"/>
    <n v="935.04"/>
    <n v="0"/>
    <n v="0"/>
    <n v="0"/>
    <n v="0"/>
    <n v="12"/>
    <s v="CATIVO"/>
    <n v="0"/>
    <n v="18"/>
    <n v="0"/>
    <n v="0"/>
    <n v="14.64"/>
    <n v="0"/>
    <n v="0"/>
    <n v="19.024476785546895"/>
    <m/>
    <m/>
    <n v="570.37440000000061"/>
    <n v="0"/>
    <n v="741.19361556490776"/>
    <n v="0"/>
    <x v="2"/>
  </r>
  <r>
    <s v="Sistema de Compensação"/>
    <x v="0"/>
    <x v="1"/>
    <x v="1"/>
    <x v="2"/>
    <x v="0"/>
    <x v="0"/>
    <x v="2"/>
    <x v="10"/>
    <n v="251"/>
    <n v="240.95999999999998"/>
    <n v="0"/>
    <n v="0"/>
    <n v="0"/>
    <n v="0"/>
    <n v="2"/>
    <s v="CATIVO"/>
    <n v="0"/>
    <n v="18"/>
    <n v="0"/>
    <n v="0"/>
    <n v="14.64"/>
    <n v="0"/>
    <n v="0"/>
    <n v="19.024476785546895"/>
    <m/>
    <m/>
    <n v="146.98560000000032"/>
    <n v="0"/>
    <n v="191.00574692689122"/>
    <n v="0"/>
    <x v="2"/>
  </r>
  <r>
    <s v="PROJETADO"/>
    <x v="0"/>
    <x v="1"/>
    <x v="1"/>
    <x v="2"/>
    <x v="0"/>
    <x v="0"/>
    <x v="2"/>
    <x v="11"/>
    <n v="974"/>
    <n v="935.04"/>
    <n v="0"/>
    <n v="0"/>
    <n v="0"/>
    <n v="0"/>
    <n v="12"/>
    <s v="CATIVO"/>
    <n v="0"/>
    <n v="18"/>
    <n v="0"/>
    <n v="0"/>
    <n v="14.64"/>
    <n v="0"/>
    <n v="0"/>
    <n v="19.024476785546895"/>
    <m/>
    <m/>
    <n v="570.37440000000061"/>
    <n v="0"/>
    <n v="741.19361556490776"/>
    <n v="0"/>
    <x v="2"/>
  </r>
  <r>
    <s v="PROJETADO"/>
    <x v="0"/>
    <x v="1"/>
    <x v="1"/>
    <x v="2"/>
    <x v="0"/>
    <x v="0"/>
    <x v="2"/>
    <x v="11"/>
    <n v="251"/>
    <n v="240.95999999999998"/>
    <n v="0"/>
    <n v="0"/>
    <n v="0"/>
    <n v="0"/>
    <n v="2"/>
    <s v="CATIVO"/>
    <n v="0"/>
    <n v="18"/>
    <n v="0"/>
    <n v="0"/>
    <n v="14.64"/>
    <n v="0"/>
    <n v="0"/>
    <n v="19.024476785546895"/>
    <m/>
    <m/>
    <n v="146.98560000000032"/>
    <n v="0"/>
    <n v="191.00574692689122"/>
    <n v="0"/>
    <x v="2"/>
  </r>
  <r>
    <s v="Sistema Isolado - Regular"/>
    <x v="0"/>
    <x v="1"/>
    <x v="1"/>
    <x v="2"/>
    <x v="0"/>
    <x v="0"/>
    <x v="1"/>
    <x v="0"/>
    <n v="0"/>
    <n v="0"/>
    <n v="11.599"/>
    <n v="11.13504"/>
    <n v="11.599"/>
    <n v="11.13504"/>
    <n v="0"/>
    <s v="CATIVO"/>
    <n v="0"/>
    <n v="0"/>
    <n v="11"/>
    <n v="71"/>
    <n v="0"/>
    <n v="1155.51"/>
    <n v="433.77"/>
    <m/>
    <n v="1456.3363071141353"/>
    <n v="542.84414704984056"/>
    <n v="0"/>
    <n v="737.36234880000018"/>
    <n v="0"/>
    <n v="927.5397635139185"/>
    <x v="2"/>
  </r>
  <r>
    <s v="Sistema Isolado - Regular"/>
    <x v="0"/>
    <x v="1"/>
    <x v="1"/>
    <x v="2"/>
    <x v="0"/>
    <x v="0"/>
    <x v="1"/>
    <x v="1"/>
    <n v="0"/>
    <n v="0"/>
    <n v="23.734999999999999"/>
    <n v="22.785599999999999"/>
    <n v="23.734999999999999"/>
    <n v="22.785599999999999"/>
    <n v="0"/>
    <s v="CATIVO"/>
    <n v="0"/>
    <n v="0"/>
    <n v="11"/>
    <n v="71"/>
    <n v="0"/>
    <n v="1155.51"/>
    <n v="433.77"/>
    <m/>
    <n v="1456.3363071141353"/>
    <n v="542.84414704984056"/>
    <n v="0"/>
    <n v="1508.862432000001"/>
    <n v="0"/>
    <n v="1898.0219231832803"/>
    <x v="2"/>
  </r>
  <r>
    <s v="Sistema Isolado - Regular"/>
    <x v="0"/>
    <x v="1"/>
    <x v="1"/>
    <x v="2"/>
    <x v="0"/>
    <x v="0"/>
    <x v="1"/>
    <x v="2"/>
    <n v="0"/>
    <n v="0"/>
    <n v="42.036000000000001"/>
    <n v="40.354559999999999"/>
    <n v="42.036000000000001"/>
    <n v="40.354559999999999"/>
    <n v="0"/>
    <s v="CATIVO"/>
    <n v="0"/>
    <n v="0"/>
    <n v="11"/>
    <n v="71"/>
    <n v="0"/>
    <n v="1155.51"/>
    <n v="433.77"/>
    <m/>
    <n v="1456.3363071141353"/>
    <n v="542.84414704984056"/>
    <n v="0"/>
    <n v="2672.2789632000031"/>
    <n v="0"/>
    <n v="3361.5019828494796"/>
    <x v="2"/>
  </r>
  <r>
    <s v="Sistema Isolado - Regular"/>
    <x v="0"/>
    <x v="1"/>
    <x v="1"/>
    <x v="2"/>
    <x v="0"/>
    <x v="0"/>
    <x v="1"/>
    <x v="3"/>
    <n v="0"/>
    <n v="0"/>
    <n v="23.89"/>
    <n v="22.9344"/>
    <n v="23.89"/>
    <n v="22.9344"/>
    <n v="0"/>
    <s v="CATIVO"/>
    <n v="0"/>
    <n v="0"/>
    <n v="11"/>
    <n v="71"/>
    <n v="0"/>
    <n v="1155.51"/>
    <n v="433.77"/>
    <m/>
    <n v="1456.3363071141353"/>
    <n v="542.84414704984056"/>
    <n v="0"/>
    <n v="1518.7159680000009"/>
    <n v="0"/>
    <n v="1910.4168419990961"/>
    <x v="2"/>
  </r>
  <r>
    <s v="Sistema Isolado - Regular"/>
    <x v="0"/>
    <x v="1"/>
    <x v="1"/>
    <x v="2"/>
    <x v="0"/>
    <x v="0"/>
    <x v="1"/>
    <x v="4"/>
    <n v="0"/>
    <n v="0"/>
    <n v="10.209"/>
    <n v="9.8006399999999996"/>
    <n v="10.209"/>
    <n v="9.8006399999999996"/>
    <n v="0"/>
    <s v="CATIVO"/>
    <n v="0"/>
    <n v="0"/>
    <n v="11"/>
    <n v="71"/>
    <n v="0"/>
    <n v="1155.51"/>
    <n v="433.77"/>
    <m/>
    <n v="1456.3363071141353"/>
    <n v="542.84414704984056"/>
    <n v="0"/>
    <n v="648.99838080000006"/>
    <n v="0"/>
    <n v="816.38533026240123"/>
    <x v="2"/>
  </r>
  <r>
    <s v="Sistema Isolado - Regular"/>
    <x v="0"/>
    <x v="1"/>
    <x v="1"/>
    <x v="2"/>
    <x v="0"/>
    <x v="0"/>
    <x v="1"/>
    <x v="5"/>
    <n v="0"/>
    <n v="0"/>
    <n v="10.209"/>
    <n v="9.8006399999999996"/>
    <n v="10.209"/>
    <n v="9.8006399999999996"/>
    <n v="0"/>
    <s v="CATIVO"/>
    <n v="0"/>
    <n v="0"/>
    <n v="11"/>
    <n v="71"/>
    <n v="0"/>
    <n v="1155.51"/>
    <n v="433.77"/>
    <m/>
    <n v="1456.3363071141353"/>
    <n v="542.84414704984056"/>
    <n v="0"/>
    <n v="648.99838080000006"/>
    <n v="0"/>
    <n v="816.38533026240123"/>
    <x v="2"/>
  </r>
  <r>
    <s v="Sistema Isolado - Regular"/>
    <x v="0"/>
    <x v="1"/>
    <x v="1"/>
    <x v="2"/>
    <x v="0"/>
    <x v="0"/>
    <x v="1"/>
    <x v="6"/>
    <n v="0"/>
    <n v="0"/>
    <n v="6.5140000000000002"/>
    <n v="6.2534400000000003"/>
    <n v="6.5140000000000002"/>
    <n v="6.2534400000000003"/>
    <n v="0"/>
    <s v="CATIVO"/>
    <n v="0"/>
    <n v="0"/>
    <n v="11"/>
    <n v="71"/>
    <n v="0"/>
    <n v="1155.51"/>
    <n v="433.77"/>
    <m/>
    <n v="1456.3363071141353"/>
    <n v="542.84414704984056"/>
    <n v="0"/>
    <n v="414.10279679999985"/>
    <n v="0"/>
    <n v="520.9064591369654"/>
    <x v="2"/>
  </r>
  <r>
    <s v="Sistema de Compensação"/>
    <x v="0"/>
    <x v="1"/>
    <x v="1"/>
    <x v="2"/>
    <x v="0"/>
    <x v="0"/>
    <x v="1"/>
    <x v="6"/>
    <n v="0"/>
    <n v="0"/>
    <n v="22.812000000000001"/>
    <n v="21.899519999999999"/>
    <n v="22.812000000000001"/>
    <n v="21.899519999999999"/>
    <n v="0"/>
    <s v="CATIVO"/>
    <n v="0"/>
    <n v="0"/>
    <n v="11"/>
    <n v="71"/>
    <n v="0"/>
    <n v="1155.51"/>
    <n v="433.77"/>
    <m/>
    <n v="1456.3363071141353"/>
    <n v="542.84414704984056"/>
    <n v="0"/>
    <n v="1450.1862144000033"/>
    <n v="0"/>
    <n v="1824.2121808155489"/>
    <x v="2"/>
  </r>
  <r>
    <s v="Sistema Isolado - Regular"/>
    <x v="0"/>
    <x v="1"/>
    <x v="1"/>
    <x v="2"/>
    <x v="0"/>
    <x v="0"/>
    <x v="1"/>
    <x v="7"/>
    <n v="0"/>
    <n v="0"/>
    <n v="5.7629999999999999"/>
    <n v="5.5324799999999996"/>
    <n v="5.7629999999999999"/>
    <n v="5.5324799999999996"/>
    <n v="0"/>
    <s v="CATIVO"/>
    <n v="0"/>
    <n v="0"/>
    <n v="11"/>
    <n v="71"/>
    <n v="0"/>
    <n v="1155.51"/>
    <n v="433.77"/>
    <m/>
    <n v="1456.3363071141353"/>
    <n v="542.84414704984056"/>
    <n v="0"/>
    <n v="366.36082560000045"/>
    <n v="0"/>
    <n v="460.85107829388028"/>
    <x v="2"/>
  </r>
  <r>
    <s v="Sistema de Compensação"/>
    <x v="0"/>
    <x v="1"/>
    <x v="1"/>
    <x v="2"/>
    <x v="0"/>
    <x v="0"/>
    <x v="1"/>
    <x v="7"/>
    <n v="0"/>
    <n v="0"/>
    <n v="3.472"/>
    <n v="3.3331199999999996"/>
    <n v="3.472"/>
    <n v="3.3331199999999996"/>
    <n v="0"/>
    <s v="CATIVO"/>
    <n v="0"/>
    <n v="0"/>
    <n v="11"/>
    <n v="71"/>
    <n v="0"/>
    <n v="1155.51"/>
    <n v="433.77"/>
    <m/>
    <n v="1456.3363071141353"/>
    <n v="542.84414704984056"/>
    <n v="0"/>
    <n v="220.71920640000053"/>
    <n v="0"/>
    <n v="277.6461814742936"/>
    <x v="2"/>
  </r>
  <r>
    <s v="Sistema Isolado - Regular"/>
    <x v="0"/>
    <x v="1"/>
    <x v="1"/>
    <x v="2"/>
    <x v="0"/>
    <x v="0"/>
    <x v="1"/>
    <x v="8"/>
    <n v="0"/>
    <n v="0"/>
    <n v="9.3849999999999998"/>
    <n v="9.0095999999999989"/>
    <n v="9.3849999999999998"/>
    <n v="9.0095999999999989"/>
    <n v="0"/>
    <s v="CATIVO"/>
    <n v="0"/>
    <n v="0"/>
    <n v="11"/>
    <n v="71"/>
    <n v="0"/>
    <n v="1155.51"/>
    <n v="433.77"/>
    <m/>
    <n v="1456.3363071141353"/>
    <n v="542.84414704984056"/>
    <n v="0"/>
    <n v="596.61571200000139"/>
    <n v="0"/>
    <n v="750.49234249315816"/>
    <x v="2"/>
  </r>
  <r>
    <s v="Sistema de Compensação"/>
    <x v="0"/>
    <x v="1"/>
    <x v="1"/>
    <x v="2"/>
    <x v="0"/>
    <x v="0"/>
    <x v="1"/>
    <x v="8"/>
    <n v="0"/>
    <n v="0"/>
    <n v="3.8210000000000002"/>
    <n v="3.6681599999999999"/>
    <n v="3.8210000000000002"/>
    <n v="3.6681599999999999"/>
    <n v="0"/>
    <s v="CATIVO"/>
    <n v="0"/>
    <n v="0"/>
    <n v="11"/>
    <n v="71"/>
    <n v="0"/>
    <n v="1155.51"/>
    <n v="433.77"/>
    <m/>
    <n v="1456.3363071141353"/>
    <n v="542.84414704984056"/>
    <n v="0"/>
    <n v="242.90555520000049"/>
    <n v="0"/>
    <n v="305.55474061442271"/>
    <x v="2"/>
  </r>
  <r>
    <s v="Sistema Isolado - Regular"/>
    <x v="0"/>
    <x v="1"/>
    <x v="1"/>
    <x v="2"/>
    <x v="0"/>
    <x v="0"/>
    <x v="1"/>
    <x v="9"/>
    <n v="0"/>
    <n v="0"/>
    <n v="7.2969999999999997"/>
    <n v="7.0051199999999998"/>
    <n v="7.2969999999999997"/>
    <n v="7.0051199999999998"/>
    <n v="0"/>
    <s v="CATIVO"/>
    <n v="0"/>
    <n v="0"/>
    <n v="11"/>
    <n v="71"/>
    <n v="0"/>
    <n v="1155.51"/>
    <n v="433.77"/>
    <m/>
    <n v="1456.3363071141353"/>
    <n v="542.84414704984056"/>
    <n v="0"/>
    <n v="463.87904639999988"/>
    <n v="0"/>
    <n v="583.52079096138107"/>
    <x v="2"/>
  </r>
  <r>
    <s v="Sistema de Compensação"/>
    <x v="0"/>
    <x v="1"/>
    <x v="1"/>
    <x v="2"/>
    <x v="0"/>
    <x v="0"/>
    <x v="1"/>
    <x v="9"/>
    <n v="0"/>
    <n v="0"/>
    <n v="4.4569999999999999"/>
    <n v="4.2787199999999999"/>
    <n v="4.4569999999999999"/>
    <n v="4.2787199999999999"/>
    <n v="0"/>
    <s v="CATIVO"/>
    <n v="0"/>
    <n v="0"/>
    <n v="11"/>
    <n v="71"/>
    <n v="0"/>
    <n v="1155.51"/>
    <n v="433.77"/>
    <m/>
    <n v="1456.3363071141353"/>
    <n v="542.84414704984056"/>
    <n v="0"/>
    <n v="283.33683839999998"/>
    <n v="0"/>
    <n v="356.41389136835357"/>
    <x v="2"/>
  </r>
  <r>
    <s v="Sistema Isolado - Regular"/>
    <x v="0"/>
    <x v="1"/>
    <x v="1"/>
    <x v="2"/>
    <x v="0"/>
    <x v="0"/>
    <x v="1"/>
    <x v="10"/>
    <n v="0"/>
    <n v="0"/>
    <n v="6.9470000000000001"/>
    <n v="6.6691199999999995"/>
    <n v="6.9470000000000001"/>
    <n v="6.6691199999999995"/>
    <n v="0"/>
    <s v="CATIVO"/>
    <n v="0"/>
    <n v="0"/>
    <n v="11"/>
    <n v="71"/>
    <n v="0"/>
    <n v="1155.51"/>
    <n v="433.77"/>
    <m/>
    <n v="1456.3363071141353"/>
    <n v="542.84414704984056"/>
    <n v="0"/>
    <n v="441.62912640000087"/>
    <n v="0"/>
    <n v="555.53226460308679"/>
    <x v="2"/>
  </r>
  <r>
    <s v="Sistema de Compensação"/>
    <x v="0"/>
    <x v="1"/>
    <x v="1"/>
    <x v="2"/>
    <x v="0"/>
    <x v="0"/>
    <x v="1"/>
    <x v="10"/>
    <n v="0"/>
    <n v="0"/>
    <n v="3.3580000000000001"/>
    <n v="3.2236799999999999"/>
    <n v="3.3580000000000001"/>
    <n v="3.2236799999999999"/>
    <n v="0"/>
    <s v="CATIVO"/>
    <n v="0"/>
    <n v="0"/>
    <n v="11"/>
    <n v="71"/>
    <n v="0"/>
    <n v="1155.51"/>
    <n v="433.77"/>
    <m/>
    <n v="1456.3363071141353"/>
    <n v="542.84414704984056"/>
    <n v="0"/>
    <n v="213.47208960000034"/>
    <n v="0"/>
    <n v="268.52991860330565"/>
    <x v="2"/>
  </r>
  <r>
    <s v="PROJETADO"/>
    <x v="0"/>
    <x v="1"/>
    <x v="1"/>
    <x v="2"/>
    <x v="0"/>
    <x v="0"/>
    <x v="1"/>
    <x v="11"/>
    <n v="0"/>
    <n v="0"/>
    <n v="6.9470000000000001"/>
    <n v="6.6691199999999995"/>
    <n v="6.9470000000000001"/>
    <n v="6.6691199999999995"/>
    <n v="0"/>
    <s v="CATIVO"/>
    <n v="0"/>
    <n v="0"/>
    <n v="11"/>
    <n v="71"/>
    <n v="0"/>
    <n v="1155.51"/>
    <n v="433.77"/>
    <m/>
    <n v="1456.3363071141353"/>
    <n v="542.84414704984056"/>
    <n v="0"/>
    <n v="441.62912640000087"/>
    <n v="0"/>
    <n v="555.53226460308679"/>
    <x v="2"/>
  </r>
  <r>
    <s v="PROJETADO"/>
    <x v="0"/>
    <x v="1"/>
    <x v="1"/>
    <x v="2"/>
    <x v="0"/>
    <x v="0"/>
    <x v="1"/>
    <x v="11"/>
    <n v="0"/>
    <n v="0"/>
    <n v="3.3580000000000001"/>
    <n v="3.2236799999999999"/>
    <n v="3.3580000000000001"/>
    <n v="3.2236799999999999"/>
    <n v="0"/>
    <s v="CATIVO"/>
    <n v="0"/>
    <n v="0"/>
    <n v="11"/>
    <n v="71"/>
    <n v="0"/>
    <n v="1155.51"/>
    <n v="433.77"/>
    <m/>
    <n v="1456.3363071141353"/>
    <n v="542.84414704984056"/>
    <n v="0"/>
    <n v="213.47208960000034"/>
    <n v="0"/>
    <n v="268.52991860330565"/>
    <x v="2"/>
  </r>
  <r>
    <s v="Sistema Isolado - Regular"/>
    <x v="0"/>
    <x v="1"/>
    <x v="0"/>
    <x v="0"/>
    <x v="0"/>
    <x v="0"/>
    <x v="0"/>
    <x v="0"/>
    <n v="0"/>
    <n v="0"/>
    <n v="735.952"/>
    <n v="691.79487999999992"/>
    <n v="735.952"/>
    <n v="691.79487999999992"/>
    <n v="0"/>
    <s v="CATIVO"/>
    <n v="0"/>
    <n v="0"/>
    <n v="31"/>
    <n v="59"/>
    <n v="0"/>
    <n v="87.73"/>
    <n v="253.9"/>
    <m/>
    <n v="67.376989053363516"/>
    <n v="317.3874512882154"/>
    <n v="0"/>
    <n v="15085.396905600028"/>
    <n v="0"/>
    <n v="16990.08956389597"/>
    <x v="0"/>
  </r>
  <r>
    <s v="Sistema Isolado - Regular"/>
    <x v="0"/>
    <x v="1"/>
    <x v="0"/>
    <x v="0"/>
    <x v="0"/>
    <x v="0"/>
    <x v="0"/>
    <x v="1"/>
    <n v="0"/>
    <n v="0"/>
    <n v="712.923"/>
    <n v="670.14761999999996"/>
    <n v="712.923"/>
    <n v="670.14761999999996"/>
    <n v="0"/>
    <s v="CATIVO"/>
    <n v="0"/>
    <n v="0"/>
    <n v="31"/>
    <n v="59"/>
    <n v="0"/>
    <n v="87.73"/>
    <n v="253.9"/>
    <m/>
    <n v="67.376989053363516"/>
    <n v="317.3874512882154"/>
    <n v="0"/>
    <n v="14613.353069400015"/>
    <n v="0"/>
    <n v="16458.445146098384"/>
    <x v="0"/>
  </r>
  <r>
    <s v="Sistema Isolado - Regular"/>
    <x v="0"/>
    <x v="1"/>
    <x v="0"/>
    <x v="0"/>
    <x v="0"/>
    <x v="0"/>
    <x v="0"/>
    <x v="2"/>
    <n v="0"/>
    <n v="0"/>
    <n v="710.61199999999997"/>
    <n v="667.97527999999988"/>
    <n v="710.61199999999997"/>
    <n v="667.97527999999988"/>
    <n v="0"/>
    <s v="CATIVO"/>
    <n v="0"/>
    <n v="0"/>
    <n v="31"/>
    <n v="59"/>
    <n v="0"/>
    <n v="87.73"/>
    <n v="253.9"/>
    <m/>
    <n v="67.376989053363516"/>
    <n v="317.3874512882154"/>
    <n v="0"/>
    <n v="14565.982653600029"/>
    <n v="0"/>
    <n v="16405.093708800636"/>
    <x v="0"/>
  </r>
  <r>
    <s v="Sistema Isolado - Regular"/>
    <x v="0"/>
    <x v="1"/>
    <x v="0"/>
    <x v="0"/>
    <x v="0"/>
    <x v="0"/>
    <x v="0"/>
    <x v="3"/>
    <n v="0"/>
    <n v="0"/>
    <n v="661.45600000000002"/>
    <n v="621.76864"/>
    <n v="661.45600000000002"/>
    <n v="621.76864"/>
    <n v="0"/>
    <s v="CATIVO"/>
    <n v="0"/>
    <n v="0"/>
    <n v="31"/>
    <n v="59"/>
    <n v="0"/>
    <n v="87.73"/>
    <n v="253.9"/>
    <m/>
    <n v="67.376989053363516"/>
    <n v="317.3874512882154"/>
    <n v="0"/>
    <n v="13558.392796800004"/>
    <n v="0"/>
    <n v="15270.284859034769"/>
    <x v="0"/>
  </r>
  <r>
    <s v="Sistema Isolado - Regular"/>
    <x v="0"/>
    <x v="1"/>
    <x v="0"/>
    <x v="0"/>
    <x v="0"/>
    <x v="0"/>
    <x v="0"/>
    <x v="4"/>
    <n v="0"/>
    <n v="0"/>
    <n v="785.90200000000004"/>
    <n v="738.74788000000001"/>
    <n v="785.90200000000004"/>
    <n v="738.74788000000001"/>
    <n v="0"/>
    <s v="CATIVO"/>
    <n v="0"/>
    <n v="0"/>
    <n v="31"/>
    <n v="59"/>
    <n v="0"/>
    <n v="87.73"/>
    <n v="253.9"/>
    <m/>
    <n v="67.376989053363516"/>
    <n v="317.3874512882154"/>
    <n v="0"/>
    <n v="16109.262015600012"/>
    <n v="0"/>
    <n v="18143.228591599665"/>
    <x v="0"/>
  </r>
  <r>
    <s v="Sistema Isolado - Regular"/>
    <x v="0"/>
    <x v="1"/>
    <x v="0"/>
    <x v="0"/>
    <x v="0"/>
    <x v="0"/>
    <x v="0"/>
    <x v="5"/>
    <n v="0"/>
    <n v="0"/>
    <n v="785.90200000000004"/>
    <n v="738.74788000000001"/>
    <n v="785.90200000000004"/>
    <n v="738.74788000000001"/>
    <n v="0"/>
    <s v="CATIVO"/>
    <n v="0"/>
    <n v="0"/>
    <n v="31"/>
    <n v="59"/>
    <n v="0"/>
    <n v="87.73"/>
    <n v="253.9"/>
    <m/>
    <n v="67.376989053363516"/>
    <n v="317.3874512882154"/>
    <n v="0"/>
    <n v="16109.262015600012"/>
    <n v="0"/>
    <n v="18143.228591599665"/>
    <x v="0"/>
  </r>
  <r>
    <s v="Sistema Isolado - Regular"/>
    <x v="0"/>
    <x v="1"/>
    <x v="0"/>
    <x v="0"/>
    <x v="0"/>
    <x v="0"/>
    <x v="0"/>
    <x v="6"/>
    <n v="0"/>
    <n v="0"/>
    <n v="795.62699999999995"/>
    <n v="747.88937999999996"/>
    <n v="795.62699999999995"/>
    <n v="747.88937999999996"/>
    <n v="0"/>
    <s v="CATIVO"/>
    <n v="0"/>
    <n v="0"/>
    <n v="31"/>
    <n v="59"/>
    <n v="0"/>
    <n v="87.73"/>
    <n v="253.9"/>
    <m/>
    <n v="67.376989053363516"/>
    <n v="317.3874512882154"/>
    <n v="0"/>
    <n v="16308.603120599997"/>
    <n v="0"/>
    <n v="18367.738642538963"/>
    <x v="0"/>
  </r>
  <r>
    <s v="Sistema Isolado - Regular"/>
    <x v="0"/>
    <x v="1"/>
    <x v="0"/>
    <x v="0"/>
    <x v="0"/>
    <x v="0"/>
    <x v="0"/>
    <x v="7"/>
    <n v="0"/>
    <n v="0"/>
    <n v="766.27700000000004"/>
    <n v="720.30038000000002"/>
    <n v="766.27700000000004"/>
    <n v="720.30038000000002"/>
    <n v="0"/>
    <s v="CATIVO"/>
    <n v="0"/>
    <n v="0"/>
    <n v="31"/>
    <n v="59"/>
    <n v="0"/>
    <n v="87.73"/>
    <n v="253.9"/>
    <m/>
    <n v="67.376989053363516"/>
    <n v="317.3874512882154"/>
    <n v="0"/>
    <n v="15706.992690600011"/>
    <n v="0"/>
    <n v="17690.168463097452"/>
    <x v="0"/>
  </r>
  <r>
    <s v="Sistema Isolado - Regular"/>
    <x v="0"/>
    <x v="1"/>
    <x v="0"/>
    <x v="0"/>
    <x v="0"/>
    <x v="0"/>
    <x v="0"/>
    <x v="8"/>
    <n v="0"/>
    <n v="0"/>
    <n v="777.91300000000001"/>
    <n v="731.23821999999996"/>
    <n v="777.91300000000001"/>
    <n v="731.23821999999996"/>
    <n v="0"/>
    <s v="CATIVO"/>
    <n v="0"/>
    <n v="0"/>
    <n v="31"/>
    <n v="59"/>
    <n v="0"/>
    <n v="87.73"/>
    <n v="253.9"/>
    <m/>
    <n v="67.376989053363516"/>
    <n v="317.3874512882154"/>
    <n v="0"/>
    <n v="15945.50509140002"/>
    <n v="0"/>
    <n v="17958.795604766343"/>
    <x v="0"/>
  </r>
  <r>
    <s v="Sistema Isolado - Regular"/>
    <x v="0"/>
    <x v="1"/>
    <x v="0"/>
    <x v="0"/>
    <x v="0"/>
    <x v="0"/>
    <x v="0"/>
    <x v="9"/>
    <n v="0"/>
    <n v="0"/>
    <n v="751.85199999999998"/>
    <n v="706.74087999999995"/>
    <n v="751.85199999999998"/>
    <n v="706.74087999999995"/>
    <n v="0"/>
    <s v="CATIVO"/>
    <n v="0"/>
    <n v="0"/>
    <n v="31"/>
    <n v="59"/>
    <n v="0"/>
    <n v="87.73"/>
    <n v="253.9"/>
    <m/>
    <n v="67.376989053363516"/>
    <n v="317.3874512882154"/>
    <n v="0"/>
    <n v="15411.31192560001"/>
    <n v="0"/>
    <n v="17357.154839981817"/>
    <x v="0"/>
  </r>
  <r>
    <s v="Sistema Isolado - Regular"/>
    <x v="0"/>
    <x v="1"/>
    <x v="0"/>
    <x v="0"/>
    <x v="0"/>
    <x v="0"/>
    <x v="0"/>
    <x v="10"/>
    <n v="0"/>
    <n v="0"/>
    <n v="748.60699999999997"/>
    <n v="703.69057999999995"/>
    <n v="748.60699999999997"/>
    <n v="703.69057999999995"/>
    <n v="0"/>
    <s v="CATIVO"/>
    <n v="0"/>
    <n v="0"/>
    <n v="31"/>
    <n v="59"/>
    <n v="0"/>
    <n v="87.73"/>
    <n v="253.9"/>
    <m/>
    <n v="67.376989053363516"/>
    <n v="317.3874512882154"/>
    <n v="0"/>
    <n v="15344.796564600005"/>
    <n v="0"/>
    <n v="17282.241203447309"/>
    <x v="0"/>
  </r>
  <r>
    <s v="PROJETADO"/>
    <x v="0"/>
    <x v="1"/>
    <x v="0"/>
    <x v="0"/>
    <x v="0"/>
    <x v="0"/>
    <x v="0"/>
    <x v="11"/>
    <n v="0"/>
    <n v="0"/>
    <n v="748.60699999999997"/>
    <n v="703.69057999999995"/>
    <n v="748.60699999999997"/>
    <n v="703.69057999999995"/>
    <n v="0"/>
    <s v="CATIVO"/>
    <n v="0"/>
    <n v="0"/>
    <n v="31"/>
    <n v="59"/>
    <n v="0"/>
    <n v="87.73"/>
    <n v="253.9"/>
    <m/>
    <n v="67.376989053363516"/>
    <n v="317.3874512882154"/>
    <n v="0"/>
    <n v="15344.796564600005"/>
    <n v="0"/>
    <n v="17282.241203447309"/>
    <x v="0"/>
  </r>
  <r>
    <s v="Sistema Isolado - Regular"/>
    <x v="0"/>
    <x v="1"/>
    <x v="0"/>
    <x v="0"/>
    <x v="0"/>
    <x v="0"/>
    <x v="2"/>
    <x v="0"/>
    <n v="3540"/>
    <n v="3009"/>
    <n v="0"/>
    <n v="0"/>
    <n v="0"/>
    <n v="0"/>
    <n v="28"/>
    <s v="CATIVO"/>
    <n v="0"/>
    <n v="18"/>
    <n v="0"/>
    <n v="0"/>
    <n v="14.64"/>
    <n v="0"/>
    <n v="0"/>
    <n v="19.024476785546895"/>
    <m/>
    <m/>
    <n v="7773.84"/>
    <n v="0"/>
    <n v="10101.997173125401"/>
    <n v="0"/>
    <x v="0"/>
  </r>
  <r>
    <s v="Sistema Isolado - Regular"/>
    <x v="0"/>
    <x v="1"/>
    <x v="0"/>
    <x v="0"/>
    <x v="0"/>
    <x v="0"/>
    <x v="2"/>
    <x v="1"/>
    <n v="3535"/>
    <n v="3004.75"/>
    <n v="0"/>
    <n v="0"/>
    <n v="0"/>
    <n v="0"/>
    <n v="28"/>
    <s v="CATIVO"/>
    <n v="0"/>
    <n v="18"/>
    <n v="0"/>
    <n v="0"/>
    <n v="14.64"/>
    <n v="0"/>
    <n v="0"/>
    <n v="19.024476785546895"/>
    <m/>
    <m/>
    <n v="7762.8600000000006"/>
    <n v="0"/>
    <n v="10087.72881553624"/>
    <n v="0"/>
    <x v="0"/>
  </r>
  <r>
    <s v="Sistema Isolado - Regular"/>
    <x v="0"/>
    <x v="1"/>
    <x v="0"/>
    <x v="0"/>
    <x v="0"/>
    <x v="0"/>
    <x v="2"/>
    <x v="2"/>
    <n v="3535"/>
    <n v="3004.75"/>
    <n v="0"/>
    <n v="0"/>
    <n v="0"/>
    <n v="0"/>
    <n v="28"/>
    <s v="CATIVO"/>
    <n v="0"/>
    <n v="18"/>
    <n v="0"/>
    <n v="0"/>
    <n v="14.64"/>
    <n v="0"/>
    <n v="0"/>
    <n v="19.024476785546895"/>
    <m/>
    <m/>
    <n v="7762.8600000000006"/>
    <n v="0"/>
    <n v="10087.72881553624"/>
    <n v="0"/>
    <x v="0"/>
  </r>
  <r>
    <s v="Sistema Isolado - Regular"/>
    <x v="0"/>
    <x v="1"/>
    <x v="0"/>
    <x v="0"/>
    <x v="0"/>
    <x v="0"/>
    <x v="2"/>
    <x v="3"/>
    <n v="3545"/>
    <n v="3013.25"/>
    <n v="0"/>
    <n v="0"/>
    <n v="0"/>
    <n v="0"/>
    <n v="28"/>
    <s v="CATIVO"/>
    <n v="0"/>
    <n v="18"/>
    <n v="0"/>
    <n v="0"/>
    <n v="14.64"/>
    <n v="0"/>
    <n v="0"/>
    <n v="19.024476785546895"/>
    <m/>
    <m/>
    <n v="7784.8200000000006"/>
    <n v="0"/>
    <n v="10116.265530714561"/>
    <n v="0"/>
    <x v="0"/>
  </r>
  <r>
    <s v="Sistema Isolado - Regular"/>
    <x v="0"/>
    <x v="1"/>
    <x v="0"/>
    <x v="0"/>
    <x v="0"/>
    <x v="0"/>
    <x v="2"/>
    <x v="4"/>
    <n v="3562"/>
    <n v="3027.7"/>
    <n v="0"/>
    <n v="0"/>
    <n v="0"/>
    <n v="0"/>
    <n v="28"/>
    <s v="CATIVO"/>
    <n v="0"/>
    <n v="18"/>
    <n v="0"/>
    <n v="0"/>
    <n v="14.64"/>
    <n v="0"/>
    <n v="0"/>
    <n v="19.024476785546895"/>
    <m/>
    <m/>
    <n v="7822.1520000000028"/>
    <n v="0"/>
    <n v="10164.77794651771"/>
    <n v="0"/>
    <x v="0"/>
  </r>
  <r>
    <s v="Sistema Isolado - Regular"/>
    <x v="0"/>
    <x v="1"/>
    <x v="0"/>
    <x v="0"/>
    <x v="0"/>
    <x v="0"/>
    <x v="2"/>
    <x v="5"/>
    <n v="3562"/>
    <n v="3027.7"/>
    <n v="0"/>
    <n v="0"/>
    <n v="0"/>
    <n v="0"/>
    <n v="28"/>
    <s v="CATIVO"/>
    <n v="0"/>
    <n v="18"/>
    <n v="0"/>
    <n v="0"/>
    <n v="14.64"/>
    <n v="0"/>
    <n v="0"/>
    <n v="19.024476785546895"/>
    <m/>
    <m/>
    <n v="7822.1520000000028"/>
    <n v="0"/>
    <n v="10164.77794651771"/>
    <n v="0"/>
    <x v="0"/>
  </r>
  <r>
    <s v="Sistema Isolado - Regular"/>
    <x v="0"/>
    <x v="1"/>
    <x v="0"/>
    <x v="0"/>
    <x v="0"/>
    <x v="0"/>
    <x v="2"/>
    <x v="6"/>
    <n v="4028"/>
    <n v="3423.7999999999997"/>
    <n v="0"/>
    <n v="0"/>
    <n v="0"/>
    <n v="0"/>
    <n v="30"/>
    <s v="CATIVO"/>
    <n v="0"/>
    <n v="18"/>
    <n v="0"/>
    <n v="0"/>
    <n v="14.64"/>
    <n v="0"/>
    <n v="0"/>
    <n v="19.024476785546895"/>
    <m/>
    <m/>
    <n v="8845.4880000000048"/>
    <n v="0"/>
    <n v="11494.588873827439"/>
    <n v="0"/>
    <x v="0"/>
  </r>
  <r>
    <s v="Sistema Isolado - Regular"/>
    <x v="0"/>
    <x v="1"/>
    <x v="0"/>
    <x v="0"/>
    <x v="0"/>
    <x v="0"/>
    <x v="2"/>
    <x v="7"/>
    <n v="3612"/>
    <n v="3070.2"/>
    <n v="0"/>
    <n v="0"/>
    <n v="0"/>
    <n v="0"/>
    <n v="30"/>
    <s v="CATIVO"/>
    <n v="0"/>
    <n v="18"/>
    <n v="0"/>
    <n v="0"/>
    <n v="14.64"/>
    <n v="0"/>
    <n v="0"/>
    <n v="19.024476785546895"/>
    <m/>
    <m/>
    <n v="7931.952000000003"/>
    <n v="0"/>
    <n v="10307.46152240931"/>
    <n v="0"/>
    <x v="0"/>
  </r>
  <r>
    <s v="Sistema Isolado - Refaturamento"/>
    <x v="0"/>
    <x v="1"/>
    <x v="0"/>
    <x v="0"/>
    <x v="0"/>
    <x v="0"/>
    <x v="2"/>
    <x v="7"/>
    <n v="-420"/>
    <n v="-357"/>
    <n v="0"/>
    <n v="0"/>
    <n v="0"/>
    <n v="0"/>
    <n v="0"/>
    <s v="CATIVO"/>
    <n v="0"/>
    <n v="18"/>
    <n v="0"/>
    <n v="0"/>
    <n v="14.64"/>
    <n v="0"/>
    <n v="0"/>
    <n v="19.024476785546895"/>
    <m/>
    <m/>
    <n v="-922.32"/>
    <n v="0"/>
    <n v="-1198.5420374894543"/>
    <n v="0"/>
    <x v="0"/>
  </r>
  <r>
    <s v="Sistema Isolado - Regular"/>
    <x v="0"/>
    <x v="1"/>
    <x v="0"/>
    <x v="0"/>
    <x v="0"/>
    <x v="0"/>
    <x v="2"/>
    <x v="8"/>
    <n v="3611"/>
    <n v="3069.35"/>
    <n v="0"/>
    <n v="0"/>
    <n v="0"/>
    <n v="0"/>
    <n v="30"/>
    <s v="CATIVO"/>
    <n v="0"/>
    <n v="18"/>
    <n v="0"/>
    <n v="0"/>
    <n v="14.64"/>
    <n v="0"/>
    <n v="0"/>
    <n v="19.024476785546895"/>
    <m/>
    <m/>
    <n v="7929.7560000000012"/>
    <n v="0"/>
    <n v="10304.607850891478"/>
    <n v="0"/>
    <x v="0"/>
  </r>
  <r>
    <s v="Sistema Isolado - Regular"/>
    <x v="0"/>
    <x v="1"/>
    <x v="0"/>
    <x v="0"/>
    <x v="0"/>
    <x v="0"/>
    <x v="2"/>
    <x v="9"/>
    <n v="3617"/>
    <n v="3074.45"/>
    <n v="0"/>
    <n v="0"/>
    <n v="0"/>
    <n v="0"/>
    <n v="30"/>
    <s v="CATIVO"/>
    <n v="0"/>
    <n v="18"/>
    <n v="0"/>
    <n v="0"/>
    <n v="14.64"/>
    <n v="0"/>
    <n v="0"/>
    <n v="19.024476785546895"/>
    <m/>
    <m/>
    <n v="7942.9320000000025"/>
    <n v="0"/>
    <n v="10321.729879998471"/>
    <n v="0"/>
    <x v="0"/>
  </r>
  <r>
    <s v="Sistema Isolado - Regular"/>
    <x v="0"/>
    <x v="1"/>
    <x v="0"/>
    <x v="0"/>
    <x v="0"/>
    <x v="0"/>
    <x v="2"/>
    <x v="10"/>
    <n v="3633"/>
    <n v="3088.0499999999997"/>
    <n v="0"/>
    <n v="0"/>
    <n v="0"/>
    <n v="0"/>
    <n v="30"/>
    <s v="CATIVO"/>
    <n v="0"/>
    <n v="18"/>
    <n v="0"/>
    <n v="0"/>
    <n v="14.64"/>
    <n v="0"/>
    <n v="0"/>
    <n v="19.024476785546895"/>
    <m/>
    <m/>
    <n v="7978.0680000000048"/>
    <n v="0"/>
    <n v="10367.388624283785"/>
    <n v="0"/>
    <x v="0"/>
  </r>
  <r>
    <s v="PROJETADO"/>
    <x v="0"/>
    <x v="1"/>
    <x v="0"/>
    <x v="0"/>
    <x v="0"/>
    <x v="0"/>
    <x v="2"/>
    <x v="11"/>
    <n v="3633"/>
    <n v="3088.0499999999997"/>
    <n v="0"/>
    <n v="0"/>
    <n v="0"/>
    <n v="0"/>
    <n v="30"/>
    <s v="CATIVO"/>
    <n v="0"/>
    <n v="18"/>
    <n v="0"/>
    <n v="0"/>
    <n v="14.64"/>
    <n v="0"/>
    <n v="0"/>
    <n v="19.024476785546895"/>
    <m/>
    <m/>
    <n v="7978.0680000000048"/>
    <n v="0"/>
    <n v="10367.388624283785"/>
    <n v="0"/>
    <x v="0"/>
  </r>
  <r>
    <s v="Sistema Isolado - Regular"/>
    <x v="0"/>
    <x v="1"/>
    <x v="0"/>
    <x v="0"/>
    <x v="0"/>
    <x v="0"/>
    <x v="1"/>
    <x v="0"/>
    <n v="0"/>
    <n v="0"/>
    <n v="70.024000000000001"/>
    <n v="65.822559999999996"/>
    <n v="70.024000000000001"/>
    <n v="65.822559999999996"/>
    <n v="0"/>
    <s v="CATIVO"/>
    <n v="0"/>
    <n v="0"/>
    <n v="11"/>
    <n v="71"/>
    <n v="0"/>
    <n v="1155.51"/>
    <n v="433.77"/>
    <m/>
    <n v="1456.3363071141353"/>
    <n v="542.84414704984056"/>
    <n v="0"/>
    <n v="6677.2645632000076"/>
    <n v="0"/>
    <n v="8399.4367273427051"/>
    <x v="0"/>
  </r>
  <r>
    <s v="Sistema Isolado - Regular"/>
    <x v="0"/>
    <x v="1"/>
    <x v="0"/>
    <x v="0"/>
    <x v="0"/>
    <x v="0"/>
    <x v="1"/>
    <x v="1"/>
    <n v="0"/>
    <n v="0"/>
    <n v="76.138000000000005"/>
    <n v="71.569720000000004"/>
    <n v="76.138000000000005"/>
    <n v="71.569720000000004"/>
    <n v="0"/>
    <s v="CATIVO"/>
    <n v="0"/>
    <n v="0"/>
    <n v="11"/>
    <n v="71"/>
    <n v="0"/>
    <n v="1155.51"/>
    <n v="433.77"/>
    <m/>
    <n v="1456.3363071141353"/>
    <n v="542.84414704984056"/>
    <n v="0"/>
    <n v="7260.2760384000021"/>
    <n v="0"/>
    <n v="9132.8160851482098"/>
    <x v="0"/>
  </r>
  <r>
    <s v="Sistema Isolado - Regular"/>
    <x v="0"/>
    <x v="1"/>
    <x v="0"/>
    <x v="0"/>
    <x v="0"/>
    <x v="0"/>
    <x v="1"/>
    <x v="2"/>
    <n v="0"/>
    <n v="0"/>
    <n v="69.722999999999999"/>
    <n v="65.539619999999999"/>
    <n v="69.722999999999999"/>
    <n v="65.539619999999999"/>
    <n v="0"/>
    <s v="CATIVO"/>
    <n v="0"/>
    <n v="0"/>
    <n v="11"/>
    <n v="71"/>
    <n v="0"/>
    <n v="1155.51"/>
    <n v="433.77"/>
    <m/>
    <n v="1456.3363071141353"/>
    <n v="542.84414704984056"/>
    <n v="0"/>
    <n v="6648.5621663999991"/>
    <n v="0"/>
    <n v="8363.3315283404918"/>
    <x v="0"/>
  </r>
  <r>
    <s v="Sistema Isolado - Regular"/>
    <x v="0"/>
    <x v="1"/>
    <x v="0"/>
    <x v="0"/>
    <x v="0"/>
    <x v="0"/>
    <x v="1"/>
    <x v="3"/>
    <n v="0"/>
    <n v="0"/>
    <n v="67.254000000000005"/>
    <n v="63.218760000000003"/>
    <n v="67.254000000000005"/>
    <n v="63.218760000000003"/>
    <n v="0"/>
    <s v="CATIVO"/>
    <n v="0"/>
    <n v="0"/>
    <n v="11"/>
    <n v="71"/>
    <n v="0"/>
    <n v="1155.51"/>
    <n v="433.77"/>
    <m/>
    <n v="1456.3363071141353"/>
    <n v="542.84414704984056"/>
    <n v="0"/>
    <n v="6413.1262272000031"/>
    <n v="0"/>
    <n v="8067.1729358606453"/>
    <x v="0"/>
  </r>
  <r>
    <s v="Sistema Isolado - Regular"/>
    <x v="0"/>
    <x v="1"/>
    <x v="0"/>
    <x v="0"/>
    <x v="0"/>
    <x v="0"/>
    <x v="1"/>
    <x v="4"/>
    <n v="0"/>
    <n v="0"/>
    <n v="79.739000000000004"/>
    <n v="74.954660000000004"/>
    <n v="79.739000000000004"/>
    <n v="74.954660000000004"/>
    <n v="0"/>
    <s v="CATIVO"/>
    <n v="0"/>
    <n v="0"/>
    <n v="11"/>
    <n v="71"/>
    <n v="0"/>
    <n v="1155.51"/>
    <n v="433.77"/>
    <m/>
    <n v="1456.3363071141353"/>
    <n v="542.84414704984056"/>
    <n v="0"/>
    <n v="7603.6558752000001"/>
    <n v="0"/>
    <n v="9564.7590140748762"/>
    <x v="0"/>
  </r>
  <r>
    <s v="Sistema Isolado - Regular"/>
    <x v="0"/>
    <x v="1"/>
    <x v="0"/>
    <x v="0"/>
    <x v="0"/>
    <x v="0"/>
    <x v="1"/>
    <x v="5"/>
    <n v="0"/>
    <n v="0"/>
    <n v="79.739000000000004"/>
    <n v="74.954660000000004"/>
    <n v="79.739000000000004"/>
    <n v="74.954660000000004"/>
    <n v="0"/>
    <s v="CATIVO"/>
    <n v="0"/>
    <n v="0"/>
    <n v="11"/>
    <n v="71"/>
    <n v="0"/>
    <n v="1155.51"/>
    <n v="433.77"/>
    <m/>
    <n v="1456.3363071141353"/>
    <n v="542.84414704984056"/>
    <n v="0"/>
    <n v="7603.6558752000001"/>
    <n v="0"/>
    <n v="9564.7590140748762"/>
    <x v="0"/>
  </r>
  <r>
    <s v="Sistema Isolado - Regular"/>
    <x v="0"/>
    <x v="1"/>
    <x v="0"/>
    <x v="0"/>
    <x v="0"/>
    <x v="0"/>
    <x v="1"/>
    <x v="6"/>
    <n v="0"/>
    <n v="0"/>
    <n v="79.894999999999996"/>
    <n v="75.101299999999995"/>
    <n v="79.894999999999996"/>
    <n v="75.101299999999995"/>
    <n v="0"/>
    <s v="CATIVO"/>
    <n v="0"/>
    <n v="0"/>
    <n v="11"/>
    <n v="71"/>
    <n v="0"/>
    <n v="1155.51"/>
    <n v="433.77"/>
    <m/>
    <n v="1456.3363071141353"/>
    <n v="542.84414704984056"/>
    <n v="0"/>
    <n v="7618.5315360000022"/>
    <n v="0"/>
    <n v="9583.4713431258533"/>
    <x v="0"/>
  </r>
  <r>
    <s v="Sistema Isolado - Regular"/>
    <x v="0"/>
    <x v="1"/>
    <x v="0"/>
    <x v="0"/>
    <x v="0"/>
    <x v="0"/>
    <x v="1"/>
    <x v="7"/>
    <n v="0"/>
    <n v="0"/>
    <n v="74.900999999999996"/>
    <n v="70.406939999999992"/>
    <n v="74.900999999999996"/>
    <n v="70.406939999999992"/>
    <n v="0"/>
    <s v="CATIVO"/>
    <n v="0"/>
    <n v="0"/>
    <n v="11"/>
    <n v="71"/>
    <n v="0"/>
    <n v="1155.51"/>
    <n v="433.77"/>
    <m/>
    <n v="1456.3363071141353"/>
    <n v="542.84414704984056"/>
    <n v="0"/>
    <n v="7142.3196768000071"/>
    <n v="0"/>
    <n v="8984.4369118401664"/>
    <x v="0"/>
  </r>
  <r>
    <s v="Sistema Isolado - Regular"/>
    <x v="0"/>
    <x v="1"/>
    <x v="0"/>
    <x v="0"/>
    <x v="0"/>
    <x v="0"/>
    <x v="1"/>
    <x v="8"/>
    <n v="0"/>
    <n v="0"/>
    <n v="73.212999999999994"/>
    <n v="68.820219999999992"/>
    <n v="73.212999999999994"/>
    <n v="68.820219999999992"/>
    <n v="0"/>
    <s v="CATIVO"/>
    <n v="0"/>
    <n v="0"/>
    <n v="11"/>
    <n v="71"/>
    <n v="0"/>
    <n v="1155.51"/>
    <n v="433.77"/>
    <m/>
    <n v="1456.3363071141353"/>
    <n v="542.84414704984056"/>
    <n v="0"/>
    <n v="6981.3573984000031"/>
    <n v="0"/>
    <n v="8781.9599154424341"/>
    <x v="0"/>
  </r>
  <r>
    <s v="Sistema Isolado - Regular"/>
    <x v="0"/>
    <x v="1"/>
    <x v="0"/>
    <x v="0"/>
    <x v="0"/>
    <x v="0"/>
    <x v="1"/>
    <x v="9"/>
    <n v="0"/>
    <n v="0"/>
    <n v="78.441999999999993"/>
    <n v="73.735479999999995"/>
    <n v="78.441999999999993"/>
    <n v="73.735479999999995"/>
    <n v="0"/>
    <s v="CATIVO"/>
    <n v="0"/>
    <n v="0"/>
    <n v="11"/>
    <n v="71"/>
    <n v="0"/>
    <n v="1155.51"/>
    <n v="433.77"/>
    <m/>
    <n v="1456.3363071141353"/>
    <n v="542.84414704984056"/>
    <n v="0"/>
    <n v="7479.9781055999965"/>
    <n v="0"/>
    <n v="9409.1827911318305"/>
    <x v="0"/>
  </r>
  <r>
    <s v="Sistema Isolado - Regular"/>
    <x v="0"/>
    <x v="1"/>
    <x v="0"/>
    <x v="0"/>
    <x v="0"/>
    <x v="0"/>
    <x v="1"/>
    <x v="10"/>
    <n v="0"/>
    <n v="0"/>
    <n v="74.682000000000002"/>
    <n v="70.201080000000005"/>
    <n v="74.682000000000002"/>
    <n v="70.201080000000005"/>
    <n v="0"/>
    <s v="CATIVO"/>
    <n v="0"/>
    <n v="0"/>
    <n v="11"/>
    <n v="71"/>
    <n v="0"/>
    <n v="1155.51"/>
    <n v="433.77"/>
    <m/>
    <n v="1456.3363071141353"/>
    <n v="542.84414704984056"/>
    <n v="0"/>
    <n v="7121.436537599996"/>
    <n v="0"/>
    <n v="8958.1676806724372"/>
    <x v="0"/>
  </r>
  <r>
    <s v="PROJETADO"/>
    <x v="0"/>
    <x v="1"/>
    <x v="0"/>
    <x v="0"/>
    <x v="0"/>
    <x v="0"/>
    <x v="1"/>
    <x v="11"/>
    <n v="0"/>
    <n v="0"/>
    <n v="74.682000000000002"/>
    <n v="70.201080000000005"/>
    <n v="74.682000000000002"/>
    <n v="70.201080000000005"/>
    <n v="0"/>
    <s v="CATIVO"/>
    <n v="0"/>
    <n v="0"/>
    <n v="11"/>
    <n v="71"/>
    <n v="0"/>
    <n v="1155.51"/>
    <n v="433.77"/>
    <m/>
    <n v="1456.3363071141353"/>
    <n v="542.84414704984056"/>
    <n v="0"/>
    <n v="7121.436537599996"/>
    <n v="0"/>
    <n v="8958.1676806724372"/>
    <x v="0"/>
  </r>
  <r>
    <s v="Sistema Isolado - Regular"/>
    <x v="1"/>
    <x v="2"/>
    <x v="2"/>
    <x v="3"/>
    <x v="0"/>
    <x v="0"/>
    <x v="2"/>
    <x v="0"/>
    <n v="0"/>
    <n v="0"/>
    <n v="49041.118999999999"/>
    <n v="49041.118999999999"/>
    <n v="49041.118999999999"/>
    <n v="49041.118999999999"/>
    <n v="124757"/>
    <s v="CATIVO"/>
    <n v="0"/>
    <n v="0"/>
    <n v="24"/>
    <n v="40"/>
    <n v="0"/>
    <n v="311.27999999999997"/>
    <n v="268.89"/>
    <m/>
    <n v="348.10461529283072"/>
    <n v="336.17550926835082"/>
    <n v="0"/>
    <n v="0"/>
    <n v="0"/>
    <n v="0"/>
    <x v="3"/>
  </r>
  <r>
    <s v="Sistema Isolado - Regular"/>
    <x v="1"/>
    <x v="2"/>
    <x v="2"/>
    <x v="4"/>
    <x v="0"/>
    <x v="0"/>
    <x v="2"/>
    <x v="0"/>
    <n v="0"/>
    <n v="0"/>
    <n v="824.10400000000004"/>
    <n v="824.10400000000004"/>
    <n v="824.10400000000004"/>
    <n v="824.10400000000004"/>
    <n v="992"/>
    <s v="CATIVO"/>
    <n v="0"/>
    <n v="0"/>
    <n v="17"/>
    <n v="60"/>
    <n v="0"/>
    <n v="94.27"/>
    <n v="94.11"/>
    <m/>
    <n v="101.14776600861428"/>
    <n v="117.66142824392278"/>
    <n v="0"/>
    <n v="288312.78440000006"/>
    <n v="0"/>
    <n v="334882.84555197234"/>
    <x v="4"/>
  </r>
  <r>
    <s v="Sistema Isolado - Refaturamento"/>
    <x v="1"/>
    <x v="2"/>
    <x v="2"/>
    <x v="4"/>
    <x v="0"/>
    <x v="0"/>
    <x v="2"/>
    <x v="0"/>
    <n v="0"/>
    <n v="0"/>
    <n v="-0.87"/>
    <n v="-0.87"/>
    <n v="-0.87"/>
    <n v="-0.87"/>
    <n v="2"/>
    <s v="CATIVO"/>
    <n v="0"/>
    <n v="0"/>
    <n v="17"/>
    <n v="60"/>
    <n v="0"/>
    <n v="94.27"/>
    <n v="94.11"/>
    <m/>
    <n v="101.14776600861428"/>
    <n v="117.66142824392278"/>
    <n v="0"/>
    <n v="-304.36950000000002"/>
    <n v="0"/>
    <n v="-353.53314099945629"/>
    <x v="4"/>
  </r>
  <r>
    <s v="Sistema Isolado - Regular"/>
    <x v="1"/>
    <x v="2"/>
    <x v="2"/>
    <x v="4"/>
    <x v="0"/>
    <x v="0"/>
    <x v="2"/>
    <x v="1"/>
    <n v="0"/>
    <n v="0"/>
    <n v="827.75900000000001"/>
    <n v="827.75900000000001"/>
    <n v="827.75900000000001"/>
    <n v="827.75900000000001"/>
    <n v="1015"/>
    <s v="CATIVO"/>
    <n v="0"/>
    <n v="0"/>
    <n v="17"/>
    <n v="60"/>
    <n v="0"/>
    <n v="94.27"/>
    <n v="94.11"/>
    <m/>
    <n v="101.14776600861428"/>
    <n v="117.66142824392278"/>
    <n v="0"/>
    <n v="289591.48615000001"/>
    <n v="0"/>
    <n v="336368.09110410226"/>
    <x v="4"/>
  </r>
  <r>
    <s v="Sistema Isolado - Regular"/>
    <x v="1"/>
    <x v="2"/>
    <x v="2"/>
    <x v="4"/>
    <x v="0"/>
    <x v="0"/>
    <x v="2"/>
    <x v="2"/>
    <n v="0"/>
    <n v="0"/>
    <n v="837.77499999999998"/>
    <n v="837.77499999999998"/>
    <n v="837.77499999999998"/>
    <n v="837.77499999999998"/>
    <n v="1061"/>
    <s v="CATIVO"/>
    <n v="0"/>
    <n v="0"/>
    <n v="17"/>
    <n v="60"/>
    <n v="0"/>
    <n v="94.27"/>
    <n v="94.11"/>
    <m/>
    <n v="101.14776600861428"/>
    <n v="117.66142824392278"/>
    <n v="0"/>
    <n v="293095.58374999999"/>
    <n v="0"/>
    <n v="340438.19218484999"/>
    <x v="4"/>
  </r>
  <r>
    <s v="Sistema Isolado - Regular"/>
    <x v="1"/>
    <x v="2"/>
    <x v="2"/>
    <x v="4"/>
    <x v="0"/>
    <x v="0"/>
    <x v="2"/>
    <x v="3"/>
    <n v="0"/>
    <n v="0"/>
    <n v="848.42499999999995"/>
    <n v="848.42499999999995"/>
    <n v="848.42499999999995"/>
    <n v="848.42499999999995"/>
    <n v="1078"/>
    <s v="CATIVO"/>
    <n v="0"/>
    <n v="0"/>
    <n v="17"/>
    <n v="60"/>
    <n v="0"/>
    <n v="94.27"/>
    <n v="94.11"/>
    <m/>
    <n v="101.14776600861428"/>
    <n v="117.66142824392278"/>
    <n v="0"/>
    <n v="296821.48625000002"/>
    <n v="0"/>
    <n v="344765.92546260194"/>
    <x v="4"/>
  </r>
  <r>
    <s v="Sistema Isolado - Refaturamento"/>
    <x v="1"/>
    <x v="2"/>
    <x v="2"/>
    <x v="4"/>
    <x v="0"/>
    <x v="0"/>
    <x v="2"/>
    <x v="3"/>
    <n v="0"/>
    <n v="0"/>
    <n v="-0.12"/>
    <n v="-0.12"/>
    <n v="-0.12"/>
    <n v="-0.12"/>
    <n v="0"/>
    <s v="CATIVO"/>
    <n v="0"/>
    <n v="0"/>
    <n v="17"/>
    <n v="60"/>
    <n v="0"/>
    <n v="94.27"/>
    <n v="94.11"/>
    <m/>
    <n v="101.14776600861428"/>
    <n v="117.66142824392278"/>
    <n v="0"/>
    <n v="-41.981999999999999"/>
    <n v="0"/>
    <n v="-48.763191861993967"/>
    <x v="4"/>
  </r>
  <r>
    <s v="Sistema Isolado - Regular"/>
    <x v="1"/>
    <x v="2"/>
    <x v="2"/>
    <x v="4"/>
    <x v="0"/>
    <x v="0"/>
    <x v="2"/>
    <x v="4"/>
    <n v="0"/>
    <n v="0"/>
    <n v="866.26"/>
    <n v="866.26"/>
    <n v="866.26"/>
    <n v="866.26"/>
    <n v="1089"/>
    <s v="CATIVO"/>
    <n v="0"/>
    <n v="0"/>
    <n v="17"/>
    <n v="60"/>
    <n v="0"/>
    <n v="94.27"/>
    <n v="94.11"/>
    <m/>
    <n v="101.14776600861428"/>
    <n v="117.66142824392278"/>
    <n v="0"/>
    <n v="303061.06100000005"/>
    <n v="0"/>
    <n v="352013.35485309083"/>
    <x v="4"/>
  </r>
  <r>
    <s v="Sistema Isolado - Regular"/>
    <x v="1"/>
    <x v="2"/>
    <x v="2"/>
    <x v="4"/>
    <x v="0"/>
    <x v="0"/>
    <x v="2"/>
    <x v="5"/>
    <n v="0"/>
    <n v="0"/>
    <n v="866.26"/>
    <n v="866.26"/>
    <n v="866.26"/>
    <n v="866.26"/>
    <n v="1089"/>
    <s v="CATIVO"/>
    <n v="0"/>
    <n v="0"/>
    <n v="17"/>
    <n v="60"/>
    <n v="0"/>
    <n v="94.27"/>
    <n v="94.11"/>
    <m/>
    <n v="101.14776600861428"/>
    <n v="117.66142824392278"/>
    <n v="0"/>
    <n v="303061.06100000005"/>
    <n v="0"/>
    <n v="352013.35485309083"/>
    <x v="4"/>
  </r>
  <r>
    <s v="Sistema Isolado - Regular"/>
    <x v="1"/>
    <x v="2"/>
    <x v="2"/>
    <x v="4"/>
    <x v="0"/>
    <x v="0"/>
    <x v="2"/>
    <x v="6"/>
    <n v="0"/>
    <n v="0"/>
    <n v="871.81600000000003"/>
    <n v="871.81600000000003"/>
    <n v="871.81600000000003"/>
    <n v="871.81600000000003"/>
    <n v="1182"/>
    <s v="CATIVO"/>
    <n v="0"/>
    <n v="0"/>
    <n v="17"/>
    <n v="60"/>
    <n v="0"/>
    <n v="94.27"/>
    <n v="94.11"/>
    <m/>
    <n v="101.14776600861428"/>
    <n v="117.66142824392278"/>
    <n v="0"/>
    <n v="305004.82760000002"/>
    <n v="0"/>
    <n v="354271.09063630115"/>
    <x v="4"/>
  </r>
  <r>
    <s v="Sistema Isolado - Refaturamento"/>
    <x v="1"/>
    <x v="2"/>
    <x v="2"/>
    <x v="4"/>
    <x v="0"/>
    <x v="0"/>
    <x v="2"/>
    <x v="6"/>
    <n v="0"/>
    <n v="0"/>
    <n v="0.24"/>
    <n v="0.24"/>
    <n v="0.24"/>
    <n v="0.24"/>
    <n v="0"/>
    <s v="CATIVO"/>
    <n v="0"/>
    <n v="0"/>
    <n v="17"/>
    <n v="60"/>
    <n v="0"/>
    <n v="94.27"/>
    <n v="94.11"/>
    <m/>
    <n v="101.14776600861428"/>
    <n v="117.66142824392278"/>
    <n v="0"/>
    <n v="83.963999999999999"/>
    <n v="0"/>
    <n v="97.526383723987934"/>
    <x v="4"/>
  </r>
  <r>
    <s v="Sistema Isolado - Regular"/>
    <x v="1"/>
    <x v="2"/>
    <x v="2"/>
    <x v="4"/>
    <x v="0"/>
    <x v="0"/>
    <x v="2"/>
    <x v="7"/>
    <n v="0"/>
    <n v="0"/>
    <n v="882.245"/>
    <n v="882.245"/>
    <n v="882.245"/>
    <n v="882.245"/>
    <n v="1182"/>
    <s v="CATIVO"/>
    <n v="0"/>
    <n v="0"/>
    <n v="17"/>
    <n v="60"/>
    <n v="0"/>
    <n v="94.27"/>
    <n v="94.11"/>
    <m/>
    <n v="101.14776600861428"/>
    <n v="117.66142824392278"/>
    <n v="0"/>
    <n v="308653.41325000004"/>
    <n v="0"/>
    <n v="358509.01836904057"/>
    <x v="4"/>
  </r>
  <r>
    <s v="Sistema Isolado - Refaturamento"/>
    <x v="1"/>
    <x v="2"/>
    <x v="2"/>
    <x v="4"/>
    <x v="0"/>
    <x v="0"/>
    <x v="2"/>
    <x v="7"/>
    <n v="0"/>
    <n v="0"/>
    <n v="-0.15"/>
    <n v="-0.15"/>
    <n v="-0.15"/>
    <n v="-0.15"/>
    <n v="-3"/>
    <s v="CATIVO"/>
    <n v="0"/>
    <n v="0"/>
    <n v="17"/>
    <n v="60"/>
    <n v="0"/>
    <n v="94.27"/>
    <n v="94.11"/>
    <m/>
    <n v="101.14776600861428"/>
    <n v="117.66142824392278"/>
    <n v="0"/>
    <n v="-52.477499999999999"/>
    <n v="0"/>
    <n v="-60.953989827492464"/>
    <x v="4"/>
  </r>
  <r>
    <s v="Sistema Isolado - Regular"/>
    <x v="1"/>
    <x v="2"/>
    <x v="2"/>
    <x v="4"/>
    <x v="0"/>
    <x v="0"/>
    <x v="2"/>
    <x v="8"/>
    <n v="0"/>
    <n v="0"/>
    <n v="883.91099999999994"/>
    <n v="883.91099999999994"/>
    <n v="883.91099999999994"/>
    <n v="883.91099999999994"/>
    <n v="1212"/>
    <s v="CATIVO"/>
    <n v="0"/>
    <n v="0"/>
    <n v="17"/>
    <n v="60"/>
    <n v="0"/>
    <n v="94.27"/>
    <n v="94.11"/>
    <m/>
    <n v="101.14776600861428"/>
    <n v="117.66142824392278"/>
    <n v="0"/>
    <n v="309236.26335000002"/>
    <n v="0"/>
    <n v="359186.01401605795"/>
    <x v="4"/>
  </r>
  <r>
    <s v="Sistema Isolado - Refaturamento"/>
    <x v="1"/>
    <x v="2"/>
    <x v="2"/>
    <x v="4"/>
    <x v="0"/>
    <x v="0"/>
    <x v="2"/>
    <x v="8"/>
    <n v="0"/>
    <n v="0"/>
    <n v="0.03"/>
    <n v="0.03"/>
    <n v="0.03"/>
    <n v="0.03"/>
    <n v="0"/>
    <s v="CATIVO"/>
    <n v="0"/>
    <n v="0"/>
    <n v="17"/>
    <n v="60"/>
    <n v="0"/>
    <n v="94.27"/>
    <n v="94.11"/>
    <m/>
    <n v="101.14776600861428"/>
    <n v="117.66142824392278"/>
    <n v="0"/>
    <n v="10.4955"/>
    <n v="0"/>
    <n v="12.190797965498492"/>
    <x v="4"/>
  </r>
  <r>
    <s v="Sistema Isolado - Regular"/>
    <x v="1"/>
    <x v="2"/>
    <x v="2"/>
    <x v="4"/>
    <x v="0"/>
    <x v="0"/>
    <x v="2"/>
    <x v="9"/>
    <n v="0"/>
    <n v="0"/>
    <n v="888.11099999999999"/>
    <n v="888.11099999999999"/>
    <n v="888.11099999999999"/>
    <n v="888.11099999999999"/>
    <n v="1182"/>
    <s v="CATIVO"/>
    <n v="0"/>
    <n v="0"/>
    <n v="17"/>
    <n v="60"/>
    <n v="0"/>
    <n v="94.27"/>
    <n v="94.11"/>
    <m/>
    <n v="101.14776600861428"/>
    <n v="117.66142824392278"/>
    <n v="0"/>
    <n v="310705.63335000002"/>
    <n v="0"/>
    <n v="360892.72573122772"/>
    <x v="4"/>
  </r>
  <r>
    <s v="Sistema Isolado - Refaturamento"/>
    <x v="1"/>
    <x v="2"/>
    <x v="2"/>
    <x v="4"/>
    <x v="0"/>
    <x v="0"/>
    <x v="2"/>
    <x v="9"/>
    <n v="0"/>
    <n v="0"/>
    <n v="0.15"/>
    <n v="0.15"/>
    <n v="0.15"/>
    <n v="0.15"/>
    <n v="-2"/>
    <s v="CATIVO"/>
    <n v="0"/>
    <n v="0"/>
    <n v="17"/>
    <n v="60"/>
    <n v="0"/>
    <n v="94.27"/>
    <n v="94.11"/>
    <m/>
    <n v="101.14776600861428"/>
    <n v="117.66142824392278"/>
    <n v="0"/>
    <n v="52.477499999999999"/>
    <n v="0"/>
    <n v="60.953989827492464"/>
    <x v="4"/>
  </r>
  <r>
    <s v="Sistema de Compensação"/>
    <x v="1"/>
    <x v="2"/>
    <x v="2"/>
    <x v="4"/>
    <x v="0"/>
    <x v="0"/>
    <x v="2"/>
    <x v="9"/>
    <n v="0"/>
    <n v="0"/>
    <n v="5.5090000000000003"/>
    <n v="5.5090000000000003"/>
    <n v="5.5090000000000003"/>
    <n v="5.5090000000000003"/>
    <n v="9"/>
    <s v="CATIVO"/>
    <n v="0"/>
    <n v="0"/>
    <n v="17"/>
    <n v="60"/>
    <n v="0"/>
    <n v="94.27"/>
    <n v="94.11"/>
    <m/>
    <n v="101.14776600861428"/>
    <n v="117.66142824392278"/>
    <n v="0"/>
    <n v="1927.3236500000003"/>
    <n v="0"/>
    <n v="2238.6368663977069"/>
    <x v="4"/>
  </r>
  <r>
    <s v="Sistema Isolado - Regular"/>
    <x v="1"/>
    <x v="2"/>
    <x v="2"/>
    <x v="4"/>
    <x v="0"/>
    <x v="0"/>
    <x v="2"/>
    <x v="10"/>
    <n v="0"/>
    <n v="0"/>
    <n v="892.39700000000005"/>
    <n v="892.39700000000005"/>
    <n v="892.39700000000005"/>
    <n v="892.39700000000005"/>
    <n v="1259"/>
    <s v="CATIVO"/>
    <n v="0"/>
    <n v="0"/>
    <n v="17"/>
    <n v="60"/>
    <n v="0"/>
    <n v="94.27"/>
    <n v="94.11"/>
    <m/>
    <n v="101.14776600861428"/>
    <n v="117.66142824392278"/>
    <n v="0"/>
    <n v="312205.09045000002"/>
    <n v="0"/>
    <n v="362634.38440056529"/>
    <x v="4"/>
  </r>
  <r>
    <s v="Sistema Isolado - Refaturamento"/>
    <x v="1"/>
    <x v="2"/>
    <x v="2"/>
    <x v="4"/>
    <x v="0"/>
    <x v="0"/>
    <x v="2"/>
    <x v="10"/>
    <n v="0"/>
    <n v="0"/>
    <n v="-0.03"/>
    <n v="-0.03"/>
    <n v="-0.03"/>
    <n v="-0.03"/>
    <n v="4"/>
    <s v="CATIVO"/>
    <n v="0"/>
    <n v="0"/>
    <n v="17"/>
    <n v="60"/>
    <n v="0"/>
    <n v="94.27"/>
    <n v="94.11"/>
    <m/>
    <n v="101.14776600861428"/>
    <n v="117.66142824392278"/>
    <n v="0"/>
    <n v="-10.4955"/>
    <n v="0"/>
    <n v="-12.190797965498492"/>
    <x v="4"/>
  </r>
  <r>
    <s v="Sistema de Compensação"/>
    <x v="1"/>
    <x v="2"/>
    <x v="2"/>
    <x v="4"/>
    <x v="0"/>
    <x v="0"/>
    <x v="2"/>
    <x v="10"/>
    <n v="0"/>
    <n v="0"/>
    <n v="7.8840000000000003"/>
    <n v="7.8840000000000003"/>
    <n v="7.8840000000000003"/>
    <n v="7.8840000000000003"/>
    <n v="18"/>
    <s v="CATIVO"/>
    <n v="0"/>
    <n v="0"/>
    <n v="17"/>
    <n v="60"/>
    <n v="0"/>
    <n v="94.27"/>
    <n v="94.11"/>
    <m/>
    <n v="101.14776600861428"/>
    <n v="117.66142824392278"/>
    <n v="0"/>
    <n v="2758.2174000000005"/>
    <n v="0"/>
    <n v="3203.7417053330041"/>
    <x v="4"/>
  </r>
  <r>
    <s v="Sistema de Compensação"/>
    <x v="1"/>
    <x v="2"/>
    <x v="2"/>
    <x v="4"/>
    <x v="0"/>
    <x v="0"/>
    <x v="2"/>
    <x v="10"/>
    <n v="0"/>
    <n v="0"/>
    <n v="-0.44500000000000001"/>
    <n v="-0.44500000000000001"/>
    <n v="-0.44500000000000001"/>
    <n v="-0.44500000000000001"/>
    <n v="1"/>
    <s v="CATIVO"/>
    <n v="0"/>
    <n v="0"/>
    <n v="17"/>
    <n v="60"/>
    <n v="0"/>
    <n v="94.27"/>
    <n v="94.11"/>
    <m/>
    <n v="101.14776600861428"/>
    <n v="117.66142824392278"/>
    <n v="0"/>
    <n v="-155.68325000000002"/>
    <n v="0"/>
    <n v="-180.83016982156099"/>
    <x v="4"/>
  </r>
  <r>
    <s v="PROJETADO"/>
    <x v="1"/>
    <x v="2"/>
    <x v="2"/>
    <x v="4"/>
    <x v="0"/>
    <x v="0"/>
    <x v="2"/>
    <x v="11"/>
    <n v="0"/>
    <n v="0"/>
    <n v="892.39700000000005"/>
    <n v="892.39700000000005"/>
    <n v="892.39700000000005"/>
    <n v="892.39700000000005"/>
    <n v="1259"/>
    <s v="CATIVO"/>
    <n v="0"/>
    <n v="0"/>
    <n v="17"/>
    <n v="60"/>
    <n v="0"/>
    <n v="94.27"/>
    <n v="94.11"/>
    <m/>
    <n v="101.14776600861428"/>
    <n v="117.66142824392278"/>
    <n v="0"/>
    <n v="312205.09045000002"/>
    <n v="0"/>
    <n v="362634.38440056529"/>
    <x v="4"/>
  </r>
  <r>
    <s v="PROJETADO"/>
    <x v="1"/>
    <x v="2"/>
    <x v="2"/>
    <x v="4"/>
    <x v="0"/>
    <x v="0"/>
    <x v="2"/>
    <x v="11"/>
    <n v="0"/>
    <n v="0"/>
    <n v="-0.03"/>
    <n v="-0.03"/>
    <n v="-0.03"/>
    <n v="-0.03"/>
    <n v="4"/>
    <s v="CATIVO"/>
    <n v="0"/>
    <n v="0"/>
    <n v="17"/>
    <n v="60"/>
    <n v="0"/>
    <n v="94.27"/>
    <n v="94.11"/>
    <m/>
    <n v="101.14776600861428"/>
    <n v="117.66142824392278"/>
    <n v="0"/>
    <n v="-10.4955"/>
    <n v="0"/>
    <n v="-12.190797965498492"/>
    <x v="4"/>
  </r>
  <r>
    <s v="PROJETADO"/>
    <x v="1"/>
    <x v="2"/>
    <x v="2"/>
    <x v="4"/>
    <x v="0"/>
    <x v="0"/>
    <x v="2"/>
    <x v="11"/>
    <n v="0"/>
    <n v="0"/>
    <n v="7.8840000000000003"/>
    <n v="7.8840000000000003"/>
    <n v="7.8840000000000003"/>
    <n v="7.8840000000000003"/>
    <n v="18"/>
    <s v="CATIVO"/>
    <n v="0"/>
    <n v="0"/>
    <n v="17"/>
    <n v="60"/>
    <n v="0"/>
    <n v="94.27"/>
    <n v="94.11"/>
    <m/>
    <n v="101.14776600861428"/>
    <n v="117.66142824392278"/>
    <n v="0"/>
    <n v="2758.2174000000005"/>
    <n v="0"/>
    <n v="3203.7417053330041"/>
    <x v="4"/>
  </r>
  <r>
    <s v="PROJETADO"/>
    <x v="1"/>
    <x v="2"/>
    <x v="2"/>
    <x v="4"/>
    <x v="0"/>
    <x v="0"/>
    <x v="2"/>
    <x v="11"/>
    <n v="0"/>
    <n v="0"/>
    <n v="-0.44500000000000001"/>
    <n v="-0.44500000000000001"/>
    <n v="-0.44500000000000001"/>
    <n v="-0.44500000000000001"/>
    <n v="1"/>
    <s v="CATIVO"/>
    <n v="0"/>
    <n v="0"/>
    <n v="17"/>
    <n v="60"/>
    <n v="0"/>
    <n v="94.27"/>
    <n v="94.11"/>
    <m/>
    <n v="101.14776600861428"/>
    <n v="117.66142824392278"/>
    <n v="0"/>
    <n v="-155.68325000000002"/>
    <n v="0"/>
    <n v="-180.83016982156099"/>
    <x v="4"/>
  </r>
  <r>
    <s v="Sistema Isolado - Regular"/>
    <x v="1"/>
    <x v="2"/>
    <x v="2"/>
    <x v="5"/>
    <x v="0"/>
    <x v="0"/>
    <x v="2"/>
    <x v="0"/>
    <n v="0"/>
    <n v="0"/>
    <n v="1731.1079999999999"/>
    <n v="1731.1079999999999"/>
    <n v="1731.1079999999999"/>
    <n v="1731.1079999999999"/>
    <n v="3868"/>
    <s v="CATIVO"/>
    <n v="0"/>
    <n v="0"/>
    <n v="39"/>
    <n v="80"/>
    <n v="0"/>
    <n v="161.61000000000001"/>
    <n v="161.34"/>
    <m/>
    <n v="173.39617030048163"/>
    <n v="201.70530556101048"/>
    <n v="0"/>
    <n v="372672.93024000002"/>
    <n v="0"/>
    <n v="432894.11045042396"/>
    <x v="4"/>
  </r>
  <r>
    <s v="Sistema Isolado - Refaturamento"/>
    <x v="1"/>
    <x v="2"/>
    <x v="2"/>
    <x v="5"/>
    <x v="0"/>
    <x v="0"/>
    <x v="2"/>
    <x v="0"/>
    <n v="0"/>
    <n v="0"/>
    <n v="-1.635"/>
    <n v="-1.635"/>
    <n v="-1.635"/>
    <n v="-1.635"/>
    <n v="-9"/>
    <s v="CATIVO"/>
    <n v="0"/>
    <n v="0"/>
    <n v="39"/>
    <n v="80"/>
    <n v="0"/>
    <n v="161.61000000000001"/>
    <n v="161.34"/>
    <m/>
    <n v="173.39617030048163"/>
    <n v="201.70530556101048"/>
    <n v="0"/>
    <n v="-351.9828"/>
    <n v="0"/>
    <n v="-408.86060868902644"/>
    <x v="4"/>
  </r>
  <r>
    <s v="Sistema Isolado - Regular"/>
    <x v="1"/>
    <x v="2"/>
    <x v="2"/>
    <x v="5"/>
    <x v="0"/>
    <x v="0"/>
    <x v="2"/>
    <x v="1"/>
    <n v="0"/>
    <n v="0"/>
    <n v="1730.51"/>
    <n v="1730.51"/>
    <n v="1730.51"/>
    <n v="1730.51"/>
    <n v="4163"/>
    <s v="CATIVO"/>
    <n v="0"/>
    <n v="0"/>
    <n v="39"/>
    <n v="80"/>
    <n v="0"/>
    <n v="161.61000000000001"/>
    <n v="161.34"/>
    <m/>
    <n v="173.39617030048163"/>
    <n v="201.70530556101048"/>
    <n v="0"/>
    <n v="372544.19280000002"/>
    <n v="0"/>
    <n v="432744.56999538053"/>
    <x v="4"/>
  </r>
  <r>
    <s v="Sistema Isolado - Refaturamento"/>
    <x v="1"/>
    <x v="2"/>
    <x v="2"/>
    <x v="5"/>
    <x v="0"/>
    <x v="0"/>
    <x v="2"/>
    <x v="1"/>
    <n v="0"/>
    <n v="0"/>
    <n v="-0.10199999999999999"/>
    <n v="-0.10199999999999999"/>
    <n v="-0.10199999999999999"/>
    <n v="-0.10199999999999999"/>
    <n v="1"/>
    <s v="CATIVO"/>
    <n v="0"/>
    <n v="0"/>
    <n v="39"/>
    <n v="80"/>
    <n v="0"/>
    <n v="161.61000000000001"/>
    <n v="161.34"/>
    <m/>
    <n v="173.39617030048163"/>
    <n v="201.70530556101048"/>
    <n v="0"/>
    <n v="-21.958559999999999"/>
    <n v="0"/>
    <n v="-25.506900358581465"/>
    <x v="4"/>
  </r>
  <r>
    <s v="Sistema Isolado - Regular"/>
    <x v="1"/>
    <x v="2"/>
    <x v="2"/>
    <x v="5"/>
    <x v="0"/>
    <x v="0"/>
    <x v="2"/>
    <x v="2"/>
    <n v="0"/>
    <n v="0"/>
    <n v="1734.8710000000001"/>
    <n v="1734.8710000000001"/>
    <n v="1734.8710000000001"/>
    <n v="1734.8710000000001"/>
    <n v="4783"/>
    <s v="CATIVO"/>
    <n v="0"/>
    <n v="0"/>
    <n v="39"/>
    <n v="80"/>
    <n v="0"/>
    <n v="161.61000000000001"/>
    <n v="161.34"/>
    <m/>
    <n v="173.39617030048163"/>
    <n v="201.70530556101048"/>
    <n v="0"/>
    <n v="373483.02888"/>
    <n v="0"/>
    <n v="433835.11501953518"/>
    <x v="4"/>
  </r>
  <r>
    <s v="Sistema Isolado - Refaturamento"/>
    <x v="1"/>
    <x v="2"/>
    <x v="2"/>
    <x v="5"/>
    <x v="0"/>
    <x v="0"/>
    <x v="2"/>
    <x v="2"/>
    <n v="0"/>
    <n v="0"/>
    <n v="8.5000000000000006E-2"/>
    <n v="8.5000000000000006E-2"/>
    <n v="8.5000000000000006E-2"/>
    <n v="8.5000000000000006E-2"/>
    <n v="2"/>
    <s v="CATIVO"/>
    <n v="0"/>
    <n v="0"/>
    <n v="39"/>
    <n v="80"/>
    <n v="0"/>
    <n v="161.61000000000001"/>
    <n v="161.34"/>
    <m/>
    <n v="173.39617030048163"/>
    <n v="201.70530556101048"/>
    <n v="0"/>
    <n v="18.2988"/>
    <n v="0"/>
    <n v="21.25575029881789"/>
    <x v="4"/>
  </r>
  <r>
    <s v="Sistema Isolado - Regular"/>
    <x v="1"/>
    <x v="2"/>
    <x v="2"/>
    <x v="5"/>
    <x v="0"/>
    <x v="0"/>
    <x v="2"/>
    <x v="3"/>
    <n v="0"/>
    <n v="0"/>
    <n v="1761.0409999999999"/>
    <n v="1761.0409999999999"/>
    <n v="1761.0409999999999"/>
    <n v="1761.0409999999999"/>
    <n v="4598"/>
    <s v="CATIVO"/>
    <n v="0"/>
    <n v="0"/>
    <n v="39"/>
    <n v="80"/>
    <n v="0"/>
    <n v="161.61000000000001"/>
    <n v="161.34"/>
    <m/>
    <n v="173.39617030048163"/>
    <n v="201.70530556101048"/>
    <n v="0"/>
    <n v="379116.90648000001"/>
    <n v="0"/>
    <n v="440379.38543506531"/>
    <x v="4"/>
  </r>
  <r>
    <s v="Sistema Isolado - Refaturamento"/>
    <x v="1"/>
    <x v="2"/>
    <x v="2"/>
    <x v="5"/>
    <x v="0"/>
    <x v="0"/>
    <x v="2"/>
    <x v="3"/>
    <n v="0"/>
    <n v="0"/>
    <n v="-0.42799999999999999"/>
    <n v="-0.42799999999999999"/>
    <n v="-0.42799999999999999"/>
    <n v="-0.42799999999999999"/>
    <n v="4"/>
    <s v="CATIVO"/>
    <n v="0"/>
    <n v="0"/>
    <n v="39"/>
    <n v="80"/>
    <n v="0"/>
    <n v="161.61000000000001"/>
    <n v="161.34"/>
    <m/>
    <n v="173.39617030048163"/>
    <n v="201.70530556101048"/>
    <n v="0"/>
    <n v="-92.139839999999992"/>
    <n v="0"/>
    <n v="-107.02895444581242"/>
    <x v="4"/>
  </r>
  <r>
    <s v="Sistema Isolado - Regular"/>
    <x v="1"/>
    <x v="2"/>
    <x v="2"/>
    <x v="5"/>
    <x v="0"/>
    <x v="0"/>
    <x v="2"/>
    <x v="4"/>
    <n v="0"/>
    <n v="0"/>
    <n v="1807.567"/>
    <n v="1807.567"/>
    <n v="1807.567"/>
    <n v="1807.567"/>
    <n v="4461"/>
    <s v="CATIVO"/>
    <n v="0"/>
    <n v="0"/>
    <n v="39"/>
    <n v="80"/>
    <n v="0"/>
    <n v="161.61000000000001"/>
    <n v="161.34"/>
    <m/>
    <n v="173.39617030048163"/>
    <n v="201.70530556101048"/>
    <n v="0"/>
    <n v="389133.02376000001"/>
    <n v="0"/>
    <n v="452014.03294568654"/>
    <x v="4"/>
  </r>
  <r>
    <s v="Sistema Isolado - Refaturamento"/>
    <x v="1"/>
    <x v="2"/>
    <x v="2"/>
    <x v="5"/>
    <x v="0"/>
    <x v="0"/>
    <x v="2"/>
    <x v="4"/>
    <n v="0"/>
    <n v="0"/>
    <n v="0.02"/>
    <n v="0.02"/>
    <n v="0.02"/>
    <n v="0.02"/>
    <n v="1"/>
    <s v="CATIVO"/>
    <n v="0"/>
    <n v="0"/>
    <n v="39"/>
    <n v="80"/>
    <n v="0"/>
    <n v="161.61000000000001"/>
    <n v="161.34"/>
    <m/>
    <n v="173.39617030048163"/>
    <n v="201.70530556101048"/>
    <n v="0"/>
    <n v="4.3056000000000001"/>
    <n v="0"/>
    <n v="5.0013530114865619"/>
    <x v="4"/>
  </r>
  <r>
    <s v="Sistema Isolado - Regular"/>
    <x v="1"/>
    <x v="2"/>
    <x v="2"/>
    <x v="5"/>
    <x v="0"/>
    <x v="0"/>
    <x v="2"/>
    <x v="5"/>
    <n v="0"/>
    <n v="0"/>
    <n v="1807.567"/>
    <n v="1807.567"/>
    <n v="1807.567"/>
    <n v="1807.567"/>
    <n v="4461"/>
    <s v="CATIVO"/>
    <n v="0"/>
    <n v="0"/>
    <n v="39"/>
    <n v="80"/>
    <n v="0"/>
    <n v="161.61000000000001"/>
    <n v="161.34"/>
    <m/>
    <n v="173.39617030048163"/>
    <n v="201.70530556101048"/>
    <n v="0"/>
    <n v="389133.02376000001"/>
    <n v="0"/>
    <n v="452014.03294568654"/>
    <x v="4"/>
  </r>
  <r>
    <s v="Sistema Isolado - Refaturamento"/>
    <x v="1"/>
    <x v="2"/>
    <x v="2"/>
    <x v="5"/>
    <x v="0"/>
    <x v="0"/>
    <x v="2"/>
    <x v="5"/>
    <n v="0"/>
    <n v="0"/>
    <n v="0.02"/>
    <n v="0.02"/>
    <n v="0.02"/>
    <n v="0.02"/>
    <n v="1"/>
    <s v="CATIVO"/>
    <n v="0"/>
    <n v="0"/>
    <n v="39"/>
    <n v="80"/>
    <n v="0"/>
    <n v="161.61000000000001"/>
    <n v="161.34"/>
    <m/>
    <n v="173.39617030048163"/>
    <n v="201.70530556101048"/>
    <n v="0"/>
    <n v="4.3056000000000001"/>
    <n v="0"/>
    <n v="5.0013530114865619"/>
    <x v="4"/>
  </r>
  <r>
    <s v="Sistema Isolado - Regular"/>
    <x v="1"/>
    <x v="2"/>
    <x v="2"/>
    <x v="5"/>
    <x v="0"/>
    <x v="0"/>
    <x v="2"/>
    <x v="6"/>
    <n v="0"/>
    <n v="0"/>
    <n v="1802.001"/>
    <n v="1802.001"/>
    <n v="1802.001"/>
    <n v="1802.001"/>
    <n v="4835"/>
    <s v="CATIVO"/>
    <n v="0"/>
    <n v="0"/>
    <n v="39"/>
    <n v="80"/>
    <n v="0"/>
    <n v="161.61000000000001"/>
    <n v="161.34"/>
    <m/>
    <n v="173.39617030048163"/>
    <n v="201.70530556101048"/>
    <n v="0"/>
    <n v="387934.77528"/>
    <n v="0"/>
    <n v="450622.15640258981"/>
    <x v="4"/>
  </r>
  <r>
    <s v="Sistema Isolado - Refaturamento"/>
    <x v="1"/>
    <x v="2"/>
    <x v="2"/>
    <x v="5"/>
    <x v="0"/>
    <x v="0"/>
    <x v="2"/>
    <x v="6"/>
    <n v="0"/>
    <n v="0"/>
    <n v="0.14399999999999999"/>
    <n v="0.14399999999999999"/>
    <n v="0.14399999999999999"/>
    <n v="0.14399999999999999"/>
    <n v="16"/>
    <s v="CATIVO"/>
    <n v="0"/>
    <n v="0"/>
    <n v="39"/>
    <n v="80"/>
    <n v="0"/>
    <n v="161.61000000000001"/>
    <n v="161.34"/>
    <m/>
    <n v="173.39617030048163"/>
    <n v="201.70530556101048"/>
    <n v="0"/>
    <n v="31.000319999999999"/>
    <n v="0"/>
    <n v="36.009741682703243"/>
    <x v="4"/>
  </r>
  <r>
    <s v="Sistema Isolado - Regular"/>
    <x v="1"/>
    <x v="2"/>
    <x v="2"/>
    <x v="5"/>
    <x v="0"/>
    <x v="0"/>
    <x v="2"/>
    <x v="7"/>
    <n v="0"/>
    <n v="0"/>
    <n v="1820.7850000000001"/>
    <n v="1820.7850000000001"/>
    <n v="1820.7850000000001"/>
    <n v="1820.7850000000001"/>
    <n v="5009"/>
    <s v="CATIVO"/>
    <n v="0"/>
    <n v="0"/>
    <n v="39"/>
    <n v="80"/>
    <n v="0"/>
    <n v="161.61000000000001"/>
    <n v="161.34"/>
    <m/>
    <n v="173.39617030048163"/>
    <n v="201.70530556101048"/>
    <n v="0"/>
    <n v="391978.59480000002"/>
    <n v="0"/>
    <n v="455319.42715097801"/>
    <x v="4"/>
  </r>
  <r>
    <s v="Sistema Isolado - Refaturamento"/>
    <x v="1"/>
    <x v="2"/>
    <x v="2"/>
    <x v="5"/>
    <x v="0"/>
    <x v="0"/>
    <x v="2"/>
    <x v="7"/>
    <n v="0"/>
    <n v="0"/>
    <n v="-0.25900000000000001"/>
    <n v="-0.25900000000000001"/>
    <n v="-0.25900000000000001"/>
    <n v="-0.25900000000000001"/>
    <n v="2"/>
    <s v="CATIVO"/>
    <n v="0"/>
    <n v="0"/>
    <n v="39"/>
    <n v="80"/>
    <n v="0"/>
    <n v="161.61000000000001"/>
    <n v="161.34"/>
    <m/>
    <n v="173.39617030048163"/>
    <n v="201.70530556101048"/>
    <n v="0"/>
    <n v="-55.75752"/>
    <n v="0"/>
    <n v="-64.76752149875098"/>
    <x v="4"/>
  </r>
  <r>
    <s v="Sistema Isolado - Regular"/>
    <x v="1"/>
    <x v="2"/>
    <x v="2"/>
    <x v="5"/>
    <x v="0"/>
    <x v="0"/>
    <x v="2"/>
    <x v="8"/>
    <n v="0"/>
    <n v="0"/>
    <n v="1813.701"/>
    <n v="1813.701"/>
    <n v="1813.701"/>
    <n v="1813.701"/>
    <n v="5311"/>
    <s v="CATIVO"/>
    <n v="0"/>
    <n v="0"/>
    <n v="39"/>
    <n v="80"/>
    <n v="0"/>
    <n v="161.61000000000001"/>
    <n v="161.34"/>
    <m/>
    <n v="173.39617030048163"/>
    <n v="201.70530556101048"/>
    <n v="0"/>
    <n v="390453.55128000001"/>
    <n v="0"/>
    <n v="453547.94791430945"/>
    <x v="4"/>
  </r>
  <r>
    <s v="Sistema Isolado - Refaturamento"/>
    <x v="1"/>
    <x v="2"/>
    <x v="2"/>
    <x v="5"/>
    <x v="0"/>
    <x v="0"/>
    <x v="2"/>
    <x v="8"/>
    <n v="0"/>
    <n v="0"/>
    <n v="3.3000000000000002E-2"/>
    <n v="3.3000000000000002E-2"/>
    <n v="3.3000000000000002E-2"/>
    <n v="3.3000000000000002E-2"/>
    <n v="2"/>
    <s v="CATIVO"/>
    <n v="0"/>
    <n v="0"/>
    <n v="39"/>
    <n v="80"/>
    <n v="0"/>
    <n v="161.61000000000001"/>
    <n v="161.34"/>
    <m/>
    <n v="173.39617030048163"/>
    <n v="201.70530556101048"/>
    <n v="0"/>
    <n v="7.1042400000000008"/>
    <n v="0"/>
    <n v="8.2522324689528279"/>
    <x v="4"/>
  </r>
  <r>
    <s v="Sistema Isolado - Regular"/>
    <x v="1"/>
    <x v="2"/>
    <x v="2"/>
    <x v="5"/>
    <x v="0"/>
    <x v="0"/>
    <x v="2"/>
    <x v="9"/>
    <n v="0"/>
    <n v="0"/>
    <n v="1855.4280000000001"/>
    <n v="1855.4280000000001"/>
    <n v="1855.4280000000001"/>
    <n v="1855.4280000000001"/>
    <n v="4297"/>
    <s v="CATIVO"/>
    <n v="0"/>
    <n v="0"/>
    <n v="39"/>
    <n v="80"/>
    <n v="0"/>
    <n v="161.61000000000001"/>
    <n v="161.34"/>
    <m/>
    <n v="173.39617030048163"/>
    <n v="201.70530556101048"/>
    <n v="0"/>
    <n v="399436.53984000004"/>
    <n v="0"/>
    <n v="463982.52076982445"/>
    <x v="4"/>
  </r>
  <r>
    <s v="Sistema Isolado - Refaturamento"/>
    <x v="1"/>
    <x v="2"/>
    <x v="2"/>
    <x v="5"/>
    <x v="0"/>
    <x v="0"/>
    <x v="2"/>
    <x v="9"/>
    <n v="0"/>
    <n v="0"/>
    <n v="-0.14799999999999999"/>
    <n v="-0.14799999999999999"/>
    <n v="-0.14799999999999999"/>
    <n v="-0.14799999999999999"/>
    <n v="13"/>
    <s v="CATIVO"/>
    <n v="0"/>
    <n v="0"/>
    <n v="39"/>
    <n v="80"/>
    <n v="0"/>
    <n v="161.61000000000001"/>
    <n v="161.34"/>
    <m/>
    <n v="173.39617030048163"/>
    <n v="201.70530556101048"/>
    <n v="0"/>
    <n v="-31.861439999999998"/>
    <n v="0"/>
    <n v="-37.010012285000556"/>
    <x v="4"/>
  </r>
  <r>
    <s v="Sistema Isolado - Regular"/>
    <x v="1"/>
    <x v="2"/>
    <x v="2"/>
    <x v="5"/>
    <x v="0"/>
    <x v="0"/>
    <x v="2"/>
    <x v="10"/>
    <n v="0"/>
    <n v="0"/>
    <n v="1857.8969999999999"/>
    <n v="1857.8969999999999"/>
    <n v="1857.8969999999999"/>
    <n v="1857.8969999999999"/>
    <n v="4429"/>
    <s v="CATIVO"/>
    <n v="0"/>
    <n v="0"/>
    <n v="39"/>
    <n v="80"/>
    <n v="0"/>
    <n v="161.61000000000001"/>
    <n v="161.34"/>
    <m/>
    <n v="173.39617030048163"/>
    <n v="201.70530556101048"/>
    <n v="0"/>
    <n v="399968.06615999999"/>
    <n v="0"/>
    <n v="464599.93779909244"/>
    <x v="4"/>
  </r>
  <r>
    <s v="Sistema Isolado - Refaturamento"/>
    <x v="1"/>
    <x v="2"/>
    <x v="2"/>
    <x v="5"/>
    <x v="0"/>
    <x v="0"/>
    <x v="2"/>
    <x v="10"/>
    <n v="0"/>
    <n v="0"/>
    <n v="-0.4"/>
    <n v="-0.4"/>
    <n v="-0.4"/>
    <n v="-0.4"/>
    <n v="3"/>
    <s v="CATIVO"/>
    <n v="0"/>
    <n v="0"/>
    <n v="39"/>
    <n v="80"/>
    <n v="0"/>
    <n v="161.61000000000001"/>
    <n v="161.34"/>
    <m/>
    <n v="173.39617030048163"/>
    <n v="201.70530556101048"/>
    <n v="0"/>
    <n v="-86.112000000000009"/>
    <n v="0"/>
    <n v="-100.02706022973125"/>
    <x v="4"/>
  </r>
  <r>
    <s v="PROJETADO"/>
    <x v="1"/>
    <x v="2"/>
    <x v="2"/>
    <x v="5"/>
    <x v="0"/>
    <x v="0"/>
    <x v="2"/>
    <x v="11"/>
    <n v="0"/>
    <n v="0"/>
    <n v="1857.8969999999999"/>
    <n v="1857.8969999999999"/>
    <n v="1857.8969999999999"/>
    <n v="1857.8969999999999"/>
    <n v="4429"/>
    <s v="CATIVO"/>
    <n v="0"/>
    <n v="0"/>
    <n v="39"/>
    <n v="80"/>
    <n v="0"/>
    <n v="161.61000000000001"/>
    <n v="161.34"/>
    <m/>
    <n v="173.39617030048163"/>
    <n v="201.70530556101048"/>
    <n v="0"/>
    <n v="399968.06615999999"/>
    <n v="0"/>
    <n v="464599.93779909244"/>
    <x v="4"/>
  </r>
  <r>
    <s v="PROJETADO"/>
    <x v="1"/>
    <x v="2"/>
    <x v="2"/>
    <x v="5"/>
    <x v="0"/>
    <x v="0"/>
    <x v="2"/>
    <x v="11"/>
    <n v="0"/>
    <n v="0"/>
    <n v="-0.4"/>
    <n v="-0.4"/>
    <n v="-0.4"/>
    <n v="-0.4"/>
    <n v="3"/>
    <s v="CATIVO"/>
    <n v="0"/>
    <n v="0"/>
    <n v="39"/>
    <n v="80"/>
    <n v="0"/>
    <n v="161.61000000000001"/>
    <n v="161.34"/>
    <m/>
    <n v="173.39617030048163"/>
    <n v="201.70530556101048"/>
    <n v="0"/>
    <n v="-86.112000000000009"/>
    <n v="0"/>
    <n v="-100.02706022973125"/>
    <x v="4"/>
  </r>
  <r>
    <s v="Sistema Isolado - Regular"/>
    <x v="1"/>
    <x v="2"/>
    <x v="2"/>
    <x v="6"/>
    <x v="0"/>
    <x v="0"/>
    <x v="2"/>
    <x v="0"/>
    <n v="0"/>
    <n v="0"/>
    <n v="2145.4"/>
    <n v="2145.4"/>
    <n v="2145.4"/>
    <n v="2145.4"/>
    <n v="9435"/>
    <s v="CATIVO"/>
    <n v="0"/>
    <n v="0"/>
    <n v="61"/>
    <n v="65"/>
    <n v="0"/>
    <n v="242.41"/>
    <n v="242"/>
    <m/>
    <n v="260.09425545072247"/>
    <n v="302.55795834151576"/>
    <n v="0"/>
    <n v="115465.42800000012"/>
    <n v="0"/>
    <n v="134123.78438554078"/>
    <x v="4"/>
  </r>
  <r>
    <s v="Sistema Isolado - Refaturamento"/>
    <x v="1"/>
    <x v="2"/>
    <x v="2"/>
    <x v="6"/>
    <x v="0"/>
    <x v="0"/>
    <x v="2"/>
    <x v="0"/>
    <n v="0"/>
    <n v="0"/>
    <n v="-1.8240000000000001"/>
    <n v="-1.8240000000000001"/>
    <n v="-1.8240000000000001"/>
    <n v="-1.8240000000000001"/>
    <n v="-6"/>
    <s v="CATIVO"/>
    <n v="0"/>
    <n v="0"/>
    <n v="61"/>
    <n v="65"/>
    <n v="0"/>
    <n v="242.41"/>
    <n v="242"/>
    <m/>
    <n v="260.09425545072247"/>
    <n v="302.55795834151576"/>
    <n v="0"/>
    <n v="-98.16768000000009"/>
    <n v="0"/>
    <n v="-114.03084866189353"/>
    <x v="4"/>
  </r>
  <r>
    <s v="Sistema Isolado - Regular"/>
    <x v="1"/>
    <x v="2"/>
    <x v="2"/>
    <x v="6"/>
    <x v="0"/>
    <x v="0"/>
    <x v="2"/>
    <x v="1"/>
    <n v="0"/>
    <n v="0"/>
    <n v="2095.386"/>
    <n v="2095.386"/>
    <n v="2095.386"/>
    <n v="2095.386"/>
    <n v="9714"/>
    <s v="CATIVO"/>
    <n v="0"/>
    <n v="0"/>
    <n v="61"/>
    <n v="65"/>
    <n v="0"/>
    <n v="242.41"/>
    <n v="242"/>
    <m/>
    <n v="260.09425545072247"/>
    <n v="302.55795834151576"/>
    <n v="0"/>
    <n v="112773.6745200001"/>
    <n v="0"/>
    <n v="130997.06351658466"/>
    <x v="4"/>
  </r>
  <r>
    <s v="Sistema Isolado - Refaturamento"/>
    <x v="1"/>
    <x v="2"/>
    <x v="2"/>
    <x v="6"/>
    <x v="0"/>
    <x v="0"/>
    <x v="2"/>
    <x v="1"/>
    <n v="0"/>
    <n v="0"/>
    <n v="-0.437"/>
    <n v="-0.437"/>
    <n v="-0.437"/>
    <n v="-0.437"/>
    <n v="2"/>
    <s v="CATIVO"/>
    <n v="0"/>
    <n v="0"/>
    <n v="61"/>
    <n v="65"/>
    <n v="0"/>
    <n v="242.41"/>
    <n v="242"/>
    <m/>
    <n v="260.09425545072247"/>
    <n v="302.55795834151576"/>
    <n v="0"/>
    <n v="-23.519340000000021"/>
    <n v="0"/>
    <n v="-27.319890825245324"/>
    <x v="4"/>
  </r>
  <r>
    <s v="Sistema Isolado - Regular"/>
    <x v="1"/>
    <x v="2"/>
    <x v="2"/>
    <x v="6"/>
    <x v="0"/>
    <x v="0"/>
    <x v="2"/>
    <x v="2"/>
    <n v="0"/>
    <n v="0"/>
    <n v="2007.2349999999999"/>
    <n v="2007.2349999999999"/>
    <n v="2007.2349999999999"/>
    <n v="2007.2349999999999"/>
    <n v="10293"/>
    <s v="CATIVO"/>
    <n v="0"/>
    <n v="0"/>
    <n v="61"/>
    <n v="65"/>
    <n v="0"/>
    <n v="242.41"/>
    <n v="242"/>
    <m/>
    <n v="260.09425545072247"/>
    <n v="302.55795834151576"/>
    <n v="0"/>
    <n v="108029.38770000009"/>
    <n v="0"/>
    <n v="125486.13515014025"/>
    <x v="4"/>
  </r>
  <r>
    <s v="Sistema Isolado - Refaturamento"/>
    <x v="1"/>
    <x v="2"/>
    <x v="2"/>
    <x v="6"/>
    <x v="0"/>
    <x v="0"/>
    <x v="2"/>
    <x v="2"/>
    <n v="0"/>
    <n v="0"/>
    <n v="-0.16500000000000001"/>
    <n v="-0.16500000000000001"/>
    <n v="-0.16500000000000001"/>
    <n v="-0.16500000000000001"/>
    <n v="3"/>
    <s v="CATIVO"/>
    <n v="0"/>
    <n v="0"/>
    <n v="61"/>
    <n v="65"/>
    <n v="0"/>
    <n v="242.41"/>
    <n v="242"/>
    <m/>
    <n v="260.09425545072247"/>
    <n v="302.55795834151576"/>
    <n v="0"/>
    <n v="-8.880300000000009"/>
    <n v="0"/>
    <n v="-10.315290586191026"/>
    <x v="4"/>
  </r>
  <r>
    <s v="Sistema Isolado - Regular"/>
    <x v="1"/>
    <x v="2"/>
    <x v="2"/>
    <x v="6"/>
    <x v="0"/>
    <x v="0"/>
    <x v="2"/>
    <x v="3"/>
    <n v="0"/>
    <n v="0"/>
    <n v="2077.3789999999999"/>
    <n v="2077.3789999999999"/>
    <n v="2077.3789999999999"/>
    <n v="2077.3789999999999"/>
    <n v="10155"/>
    <s v="CATIVO"/>
    <n v="0"/>
    <n v="0"/>
    <n v="61"/>
    <n v="65"/>
    <n v="0"/>
    <n v="242.41"/>
    <n v="242"/>
    <m/>
    <n v="260.09425545072247"/>
    <n v="302.55795834151576"/>
    <n v="0"/>
    <n v="111804.5377800001"/>
    <n v="0"/>
    <n v="129871.32147061167"/>
    <x v="4"/>
  </r>
  <r>
    <s v="Sistema Isolado - Refaturamento"/>
    <x v="1"/>
    <x v="2"/>
    <x v="2"/>
    <x v="6"/>
    <x v="0"/>
    <x v="0"/>
    <x v="2"/>
    <x v="3"/>
    <n v="0"/>
    <n v="0"/>
    <n v="-0.8"/>
    <n v="-0.8"/>
    <n v="-0.8"/>
    <n v="-0.8"/>
    <n v="-3"/>
    <s v="CATIVO"/>
    <n v="0"/>
    <n v="0"/>
    <n v="61"/>
    <n v="65"/>
    <n v="0"/>
    <n v="242.41"/>
    <n v="242"/>
    <m/>
    <n v="260.09425545072247"/>
    <n v="302.55795834151576"/>
    <n v="0"/>
    <n v="-43.05600000000004"/>
    <n v="0"/>
    <n v="-50.013530114865581"/>
    <x v="4"/>
  </r>
  <r>
    <s v="Sistema Isolado - Regular"/>
    <x v="1"/>
    <x v="2"/>
    <x v="2"/>
    <x v="6"/>
    <x v="0"/>
    <x v="0"/>
    <x v="2"/>
    <x v="4"/>
    <n v="0"/>
    <n v="0"/>
    <n v="2154.9009999999998"/>
    <n v="2154.9009999999998"/>
    <n v="2154.9009999999998"/>
    <n v="2154.9009999999998"/>
    <n v="10453"/>
    <s v="CATIVO"/>
    <n v="0"/>
    <n v="0"/>
    <n v="61"/>
    <n v="65"/>
    <n v="0"/>
    <n v="242.41"/>
    <n v="242"/>
    <m/>
    <n v="260.09425545072247"/>
    <n v="302.55795834151576"/>
    <n v="0"/>
    <n v="115976.7718200001"/>
    <n v="0"/>
    <n v="134717.75757256744"/>
    <x v="4"/>
  </r>
  <r>
    <s v="Sistema Isolado - Refaturamento"/>
    <x v="1"/>
    <x v="2"/>
    <x v="2"/>
    <x v="6"/>
    <x v="0"/>
    <x v="0"/>
    <x v="2"/>
    <x v="4"/>
    <n v="0"/>
    <n v="0"/>
    <n v="4.4999999999999998E-2"/>
    <n v="4.4999999999999998E-2"/>
    <n v="4.4999999999999998E-2"/>
    <n v="4.4999999999999998E-2"/>
    <n v="0"/>
    <s v="CATIVO"/>
    <n v="0"/>
    <n v="0"/>
    <n v="61"/>
    <n v="65"/>
    <n v="0"/>
    <n v="242.41"/>
    <n v="242"/>
    <m/>
    <n v="260.09425545072247"/>
    <n v="302.55795834151576"/>
    <n v="0"/>
    <n v="2.4219000000000022"/>
    <n v="0"/>
    <n v="2.8132610689611885"/>
    <x v="4"/>
  </r>
  <r>
    <s v="Sistema Isolado - Regular"/>
    <x v="1"/>
    <x v="2"/>
    <x v="2"/>
    <x v="6"/>
    <x v="0"/>
    <x v="0"/>
    <x v="2"/>
    <x v="5"/>
    <n v="0"/>
    <n v="0"/>
    <n v="2154.9009999999998"/>
    <n v="2154.9009999999998"/>
    <n v="2154.9009999999998"/>
    <n v="2154.9009999999998"/>
    <n v="10453"/>
    <s v="CATIVO"/>
    <n v="0"/>
    <n v="0"/>
    <n v="61"/>
    <n v="65"/>
    <n v="0"/>
    <n v="242.41"/>
    <n v="242"/>
    <m/>
    <n v="260.09425545072247"/>
    <n v="302.55795834151576"/>
    <n v="0"/>
    <n v="115976.7718200001"/>
    <n v="0"/>
    <n v="134717.75757256744"/>
    <x v="4"/>
  </r>
  <r>
    <s v="Sistema Isolado - Refaturamento"/>
    <x v="1"/>
    <x v="2"/>
    <x v="2"/>
    <x v="6"/>
    <x v="0"/>
    <x v="0"/>
    <x v="2"/>
    <x v="5"/>
    <n v="0"/>
    <n v="0"/>
    <n v="4.4999999999999998E-2"/>
    <n v="4.4999999999999998E-2"/>
    <n v="4.4999999999999998E-2"/>
    <n v="4.4999999999999998E-2"/>
    <n v="0"/>
    <s v="CATIVO"/>
    <n v="0"/>
    <n v="0"/>
    <n v="61"/>
    <n v="65"/>
    <n v="0"/>
    <n v="242.41"/>
    <n v="242"/>
    <m/>
    <n v="260.09425545072247"/>
    <n v="302.55795834151576"/>
    <n v="0"/>
    <n v="2.4219000000000022"/>
    <n v="0"/>
    <n v="2.8132610689611885"/>
    <x v="4"/>
  </r>
  <r>
    <s v="Sistema Isolado - Regular"/>
    <x v="1"/>
    <x v="2"/>
    <x v="2"/>
    <x v="6"/>
    <x v="0"/>
    <x v="0"/>
    <x v="2"/>
    <x v="6"/>
    <n v="0"/>
    <n v="0"/>
    <n v="2075.8119999999999"/>
    <n v="2075.8119999999999"/>
    <n v="2075.8119999999999"/>
    <n v="2075.8119999999999"/>
    <n v="11083"/>
    <s v="CATIVO"/>
    <n v="0"/>
    <n v="0"/>
    <n v="61"/>
    <n v="65"/>
    <n v="0"/>
    <n v="242.41"/>
    <n v="242"/>
    <m/>
    <n v="260.09425545072247"/>
    <n v="302.55795834151576"/>
    <n v="0"/>
    <n v="111720.2018400001"/>
    <n v="0"/>
    <n v="129773.35746849918"/>
    <x v="4"/>
  </r>
  <r>
    <s v="Sistema Isolado - Refaturamento"/>
    <x v="1"/>
    <x v="2"/>
    <x v="2"/>
    <x v="6"/>
    <x v="0"/>
    <x v="0"/>
    <x v="2"/>
    <x v="6"/>
    <n v="0"/>
    <n v="0"/>
    <n v="-1.6479999999999999"/>
    <n v="-1.6479999999999999"/>
    <n v="-1.6479999999999999"/>
    <n v="-1.6479999999999999"/>
    <n v="4"/>
    <s v="CATIVO"/>
    <n v="0"/>
    <n v="0"/>
    <n v="61"/>
    <n v="65"/>
    <n v="0"/>
    <n v="242.41"/>
    <n v="242"/>
    <m/>
    <n v="260.09425545072247"/>
    <n v="302.55795834151576"/>
    <n v="0"/>
    <n v="-88.695360000000079"/>
    <n v="0"/>
    <n v="-103.02787203662309"/>
    <x v="4"/>
  </r>
  <r>
    <s v="Sistema Isolado - Regular"/>
    <x v="1"/>
    <x v="2"/>
    <x v="2"/>
    <x v="6"/>
    <x v="0"/>
    <x v="0"/>
    <x v="2"/>
    <x v="7"/>
    <n v="0"/>
    <n v="0"/>
    <n v="2074.1880000000001"/>
    <n v="2074.1880000000001"/>
    <n v="2074.1880000000001"/>
    <n v="2074.1880000000001"/>
    <n v="11491"/>
    <s v="CATIVO"/>
    <n v="0"/>
    <n v="0"/>
    <n v="61"/>
    <n v="65"/>
    <n v="0"/>
    <n v="242.41"/>
    <n v="242"/>
    <m/>
    <n v="260.09425545072247"/>
    <n v="302.55795834151576"/>
    <n v="0"/>
    <n v="111632.79816000011"/>
    <n v="0"/>
    <n v="129671.83000236601"/>
    <x v="4"/>
  </r>
  <r>
    <s v="Sistema Isolado - Refaturamento"/>
    <x v="1"/>
    <x v="2"/>
    <x v="2"/>
    <x v="6"/>
    <x v="0"/>
    <x v="0"/>
    <x v="2"/>
    <x v="7"/>
    <n v="0"/>
    <n v="0"/>
    <n v="-0.48"/>
    <n v="-0.48"/>
    <n v="-0.48"/>
    <n v="-0.48"/>
    <n v="0"/>
    <s v="CATIVO"/>
    <n v="0"/>
    <n v="0"/>
    <n v="61"/>
    <n v="65"/>
    <n v="0"/>
    <n v="242.41"/>
    <n v="242"/>
    <m/>
    <n v="260.09425545072247"/>
    <n v="302.55795834151576"/>
    <n v="0"/>
    <n v="-25.833600000000022"/>
    <n v="0"/>
    <n v="-30.008118068919348"/>
    <x v="4"/>
  </r>
  <r>
    <s v="Sistema Isolado - Regular"/>
    <x v="1"/>
    <x v="2"/>
    <x v="2"/>
    <x v="6"/>
    <x v="0"/>
    <x v="0"/>
    <x v="2"/>
    <x v="8"/>
    <n v="0"/>
    <n v="0"/>
    <n v="2027.6849999999999"/>
    <n v="2027.6849999999999"/>
    <n v="2027.6849999999999"/>
    <n v="2027.6849999999999"/>
    <n v="11515"/>
    <s v="CATIVO"/>
    <n v="0"/>
    <n v="0"/>
    <n v="61"/>
    <n v="65"/>
    <n v="0"/>
    <n v="242.41"/>
    <n v="242"/>
    <m/>
    <n v="260.09425545072247"/>
    <n v="302.55795834151576"/>
    <n v="0"/>
    <n v="109130.0067000001"/>
    <n v="0"/>
    <n v="126764.60601370152"/>
    <x v="4"/>
  </r>
  <r>
    <s v="Sistema Isolado - Refaturamento"/>
    <x v="1"/>
    <x v="2"/>
    <x v="2"/>
    <x v="6"/>
    <x v="0"/>
    <x v="0"/>
    <x v="2"/>
    <x v="8"/>
    <n v="0"/>
    <n v="0"/>
    <n v="-0.54600000000000004"/>
    <n v="-0.54600000000000004"/>
    <n v="-0.54600000000000004"/>
    <n v="-0.54600000000000004"/>
    <n v="3"/>
    <s v="CATIVO"/>
    <n v="0"/>
    <n v="0"/>
    <n v="61"/>
    <n v="65"/>
    <n v="0"/>
    <n v="242.41"/>
    <n v="242"/>
    <m/>
    <n v="260.09425545072247"/>
    <n v="302.55795834151576"/>
    <n v="0"/>
    <n v="-29.385720000000031"/>
    <n v="0"/>
    <n v="-34.134234303395758"/>
    <x v="4"/>
  </r>
  <r>
    <s v="Sistema Isolado - Regular"/>
    <x v="1"/>
    <x v="2"/>
    <x v="2"/>
    <x v="6"/>
    <x v="0"/>
    <x v="0"/>
    <x v="2"/>
    <x v="9"/>
    <n v="0"/>
    <n v="0"/>
    <n v="2259.4780000000001"/>
    <n v="2259.4780000000001"/>
    <n v="2259.4780000000001"/>
    <n v="2259.4780000000001"/>
    <n v="10407"/>
    <s v="CATIVO"/>
    <n v="0"/>
    <n v="0"/>
    <n v="61"/>
    <n v="65"/>
    <n v="0"/>
    <n v="242.41"/>
    <n v="242"/>
    <m/>
    <n v="260.09425545072247"/>
    <n v="302.55795834151576"/>
    <n v="0"/>
    <n v="121605.10596000012"/>
    <n v="0"/>
    <n v="141255.58874609531"/>
    <x v="4"/>
  </r>
  <r>
    <s v="Sistema Isolado - Refaturamento"/>
    <x v="1"/>
    <x v="2"/>
    <x v="2"/>
    <x v="6"/>
    <x v="0"/>
    <x v="0"/>
    <x v="2"/>
    <x v="9"/>
    <n v="0"/>
    <n v="0"/>
    <n v="-0.36599999999999999"/>
    <n v="-0.36599999999999999"/>
    <n v="-0.36599999999999999"/>
    <n v="-0.36599999999999999"/>
    <n v="-3"/>
    <s v="CATIVO"/>
    <n v="0"/>
    <n v="0"/>
    <n v="61"/>
    <n v="65"/>
    <n v="0"/>
    <n v="242.41"/>
    <n v="242"/>
    <m/>
    <n v="260.09425545072247"/>
    <n v="302.55795834151576"/>
    <n v="0"/>
    <n v="-19.698120000000017"/>
    <n v="0"/>
    <n v="-22.881190027551003"/>
    <x v="4"/>
  </r>
  <r>
    <s v="Sistema Isolado - Regular"/>
    <x v="1"/>
    <x v="2"/>
    <x v="2"/>
    <x v="6"/>
    <x v="0"/>
    <x v="0"/>
    <x v="2"/>
    <x v="10"/>
    <n v="0"/>
    <n v="0"/>
    <n v="2240.3069999999998"/>
    <n v="2240.3069999999998"/>
    <n v="2240.3069999999998"/>
    <n v="2240.3069999999998"/>
    <n v="10535"/>
    <s v="CATIVO"/>
    <n v="0"/>
    <n v="0"/>
    <n v="61"/>
    <n v="65"/>
    <n v="0"/>
    <n v="242.41"/>
    <n v="242"/>
    <m/>
    <n v="260.09425545072247"/>
    <n v="302.55795834151576"/>
    <n v="0"/>
    <n v="120573.32274000011"/>
    <n v="0"/>
    <n v="140057.07701380519"/>
    <x v="4"/>
  </r>
  <r>
    <s v="Sistema Isolado - Refaturamento"/>
    <x v="1"/>
    <x v="2"/>
    <x v="2"/>
    <x v="6"/>
    <x v="0"/>
    <x v="0"/>
    <x v="2"/>
    <x v="10"/>
    <n v="0"/>
    <n v="0"/>
    <n v="-0.69499999999999995"/>
    <n v="-0.69499999999999995"/>
    <n v="-0.69499999999999995"/>
    <n v="-0.69499999999999995"/>
    <n v="-3"/>
    <s v="CATIVO"/>
    <n v="0"/>
    <n v="0"/>
    <n v="61"/>
    <n v="65"/>
    <n v="0"/>
    <n v="242.41"/>
    <n v="242"/>
    <m/>
    <n v="260.09425545072247"/>
    <n v="302.55795834151576"/>
    <n v="0"/>
    <n v="-37.404900000000033"/>
    <n v="0"/>
    <n v="-43.44925428728947"/>
    <x v="4"/>
  </r>
  <r>
    <s v="PROJETADO"/>
    <x v="1"/>
    <x v="2"/>
    <x v="2"/>
    <x v="6"/>
    <x v="0"/>
    <x v="0"/>
    <x v="2"/>
    <x v="11"/>
    <n v="0"/>
    <n v="0"/>
    <n v="2240.3069999999998"/>
    <n v="2240.3069999999998"/>
    <n v="2240.3069999999998"/>
    <n v="2240.3069999999998"/>
    <n v="10535"/>
    <s v="CATIVO"/>
    <n v="0"/>
    <n v="0"/>
    <n v="61"/>
    <n v="65"/>
    <n v="0"/>
    <n v="242.41"/>
    <n v="242"/>
    <m/>
    <n v="260.09425545072247"/>
    <n v="302.55795834151576"/>
    <n v="0"/>
    <n v="120573.32274000011"/>
    <n v="0"/>
    <n v="140057.07701380519"/>
    <x v="4"/>
  </r>
  <r>
    <s v="PROJETADO"/>
    <x v="1"/>
    <x v="2"/>
    <x v="2"/>
    <x v="6"/>
    <x v="0"/>
    <x v="0"/>
    <x v="2"/>
    <x v="11"/>
    <n v="0"/>
    <n v="0"/>
    <n v="-0.69499999999999995"/>
    <n v="-0.69499999999999995"/>
    <n v="-0.69499999999999995"/>
    <n v="-0.69499999999999995"/>
    <n v="-3"/>
    <s v="CATIVO"/>
    <n v="0"/>
    <n v="0"/>
    <n v="61"/>
    <n v="65"/>
    <n v="0"/>
    <n v="242.41"/>
    <n v="242"/>
    <m/>
    <n v="260.09425545072247"/>
    <n v="302.55795834151576"/>
    <n v="0"/>
    <n v="-37.404900000000033"/>
    <n v="0"/>
    <n v="-43.44925428728947"/>
    <x v="4"/>
  </r>
  <r>
    <s v="Sistema Isolado - Regular"/>
    <x v="1"/>
    <x v="2"/>
    <x v="2"/>
    <x v="7"/>
    <x v="0"/>
    <x v="0"/>
    <x v="2"/>
    <x v="0"/>
    <n v="0"/>
    <n v="0"/>
    <n v="2719.3229999999999"/>
    <n v="2719.3229999999999"/>
    <n v="2719.3229999999999"/>
    <n v="2719.3229999999999"/>
    <n v="13185"/>
    <s v="CATIVO"/>
    <n v="0"/>
    <n v="0"/>
    <n v="12"/>
    <n v="52"/>
    <n v="0"/>
    <n v="269.33999999999997"/>
    <n v="268.89"/>
    <m/>
    <n v="288.99361716746938"/>
    <n v="336.17550926835082"/>
    <n v="0"/>
    <n v="1.5457561630682903E-10"/>
    <n v="0"/>
    <n v="0"/>
    <x v="4"/>
  </r>
  <r>
    <s v="Sistema Isolado - Refaturamento"/>
    <x v="1"/>
    <x v="2"/>
    <x v="2"/>
    <x v="7"/>
    <x v="0"/>
    <x v="0"/>
    <x v="2"/>
    <x v="0"/>
    <n v="0"/>
    <n v="0"/>
    <n v="-6.7809999999999997"/>
    <n v="-6.7809999999999997"/>
    <n v="-6.7809999999999997"/>
    <n v="-6.7809999999999997"/>
    <n v="-13"/>
    <s v="CATIVO"/>
    <n v="0"/>
    <n v="0"/>
    <n v="12"/>
    <n v="52"/>
    <n v="0"/>
    <n v="269.33999999999997"/>
    <n v="268.89"/>
    <m/>
    <n v="288.99361716746938"/>
    <n v="336.17550926835082"/>
    <n v="0"/>
    <n v="-3.8545522329513913E-13"/>
    <n v="0"/>
    <n v="0"/>
    <x v="4"/>
  </r>
  <r>
    <s v="Sistema Isolado - Regular"/>
    <x v="1"/>
    <x v="2"/>
    <x v="2"/>
    <x v="7"/>
    <x v="0"/>
    <x v="0"/>
    <x v="2"/>
    <x v="1"/>
    <n v="0"/>
    <n v="0"/>
    <n v="2468.0030000000002"/>
    <n v="2468.0030000000002"/>
    <n v="2468.0030000000002"/>
    <n v="2468.0030000000002"/>
    <n v="12705"/>
    <s v="CATIVO"/>
    <n v="0"/>
    <n v="0"/>
    <n v="12"/>
    <n v="52"/>
    <n v="0"/>
    <n v="269.33999999999997"/>
    <n v="268.89"/>
    <m/>
    <n v="288.99361716746938"/>
    <n v="336.17550926835082"/>
    <n v="0"/>
    <n v="1.4028972827873077E-10"/>
    <n v="0"/>
    <n v="0"/>
    <x v="4"/>
  </r>
  <r>
    <s v="Sistema Isolado - Refaturamento"/>
    <x v="1"/>
    <x v="2"/>
    <x v="2"/>
    <x v="7"/>
    <x v="0"/>
    <x v="0"/>
    <x v="2"/>
    <x v="1"/>
    <n v="0"/>
    <n v="0"/>
    <n v="-2.0510000000000002"/>
    <n v="-2.0510000000000002"/>
    <n v="-2.0510000000000002"/>
    <n v="-2.0510000000000002"/>
    <n v="-4"/>
    <s v="CATIVO"/>
    <n v="0"/>
    <n v="0"/>
    <n v="12"/>
    <n v="52"/>
    <n v="0"/>
    <n v="269.33999999999997"/>
    <n v="268.89"/>
    <m/>
    <n v="288.99361716746938"/>
    <n v="336.17550926835082"/>
    <n v="0"/>
    <n v="-1.1658585208351725E-13"/>
    <n v="0"/>
    <n v="0"/>
    <x v="4"/>
  </r>
  <r>
    <s v="Sistema Isolado - Regular"/>
    <x v="1"/>
    <x v="2"/>
    <x v="2"/>
    <x v="7"/>
    <x v="0"/>
    <x v="0"/>
    <x v="2"/>
    <x v="2"/>
    <n v="0"/>
    <n v="0"/>
    <n v="2111.3409999999999"/>
    <n v="2111.3409999999999"/>
    <n v="2111.3409999999999"/>
    <n v="2111.3409999999999"/>
    <n v="11798"/>
    <s v="CATIVO"/>
    <n v="0"/>
    <n v="0"/>
    <n v="12"/>
    <n v="52"/>
    <n v="0"/>
    <n v="269.33999999999997"/>
    <n v="268.89"/>
    <m/>
    <n v="288.99361716746938"/>
    <n v="336.17550926835082"/>
    <n v="0"/>
    <n v="1.2001584082099725E-10"/>
    <n v="0"/>
    <n v="0"/>
    <x v="4"/>
  </r>
  <r>
    <s v="Sistema Isolado - Refaturamento"/>
    <x v="1"/>
    <x v="2"/>
    <x v="2"/>
    <x v="7"/>
    <x v="0"/>
    <x v="0"/>
    <x v="2"/>
    <x v="2"/>
    <n v="0"/>
    <n v="0"/>
    <n v="-5.3890000000000002"/>
    <n v="-5.3890000000000002"/>
    <n v="-5.3890000000000002"/>
    <n v="-5.3890000000000002"/>
    <n v="-3"/>
    <s v="CATIVO"/>
    <n v="0"/>
    <n v="0"/>
    <n v="12"/>
    <n v="52"/>
    <n v="0"/>
    <n v="269.33999999999997"/>
    <n v="268.89"/>
    <m/>
    <n v="288.99361716746938"/>
    <n v="336.17550926835082"/>
    <n v="0"/>
    <n v="-3.0632918424089441E-13"/>
    <n v="0"/>
    <n v="0"/>
    <x v="4"/>
  </r>
  <r>
    <s v="Sistema Isolado - Regular"/>
    <x v="1"/>
    <x v="2"/>
    <x v="2"/>
    <x v="7"/>
    <x v="0"/>
    <x v="0"/>
    <x v="2"/>
    <x v="3"/>
    <n v="0"/>
    <n v="0"/>
    <n v="2431.8009999999999"/>
    <n v="2431.8009999999999"/>
    <n v="2431.8009999999999"/>
    <n v="2431.8009999999999"/>
    <n v="12459"/>
    <s v="CATIVO"/>
    <n v="0"/>
    <n v="0"/>
    <n v="12"/>
    <n v="52"/>
    <n v="0"/>
    <n v="269.33999999999997"/>
    <n v="268.89"/>
    <m/>
    <n v="288.99361716746938"/>
    <n v="336.17550926835082"/>
    <n v="0"/>
    <n v="1.3823188282913179E-10"/>
    <n v="0"/>
    <n v="0"/>
    <x v="4"/>
  </r>
  <r>
    <s v="Sistema Isolado - Refaturamento"/>
    <x v="1"/>
    <x v="2"/>
    <x v="2"/>
    <x v="7"/>
    <x v="0"/>
    <x v="0"/>
    <x v="2"/>
    <x v="3"/>
    <n v="0"/>
    <n v="0"/>
    <n v="-1.526"/>
    <n v="-1.526"/>
    <n v="-1.526"/>
    <n v="-1.526"/>
    <n v="-4"/>
    <s v="CATIVO"/>
    <n v="0"/>
    <n v="0"/>
    <n v="12"/>
    <n v="52"/>
    <n v="0"/>
    <n v="269.33999999999997"/>
    <n v="268.89"/>
    <m/>
    <n v="288.99361716746938"/>
    <n v="336.17550926835082"/>
    <n v="0"/>
    <n v="-8.6743057181593032E-14"/>
    <n v="0"/>
    <n v="0"/>
    <x v="4"/>
  </r>
  <r>
    <s v="Sistema Isolado - Regular"/>
    <x v="1"/>
    <x v="2"/>
    <x v="2"/>
    <x v="7"/>
    <x v="0"/>
    <x v="0"/>
    <x v="2"/>
    <x v="4"/>
    <n v="0"/>
    <n v="0"/>
    <n v="2401.2710000000002"/>
    <n v="2401.2710000000002"/>
    <n v="2401.2710000000002"/>
    <n v="2401.2710000000002"/>
    <n v="12885"/>
    <s v="CATIVO"/>
    <n v="0"/>
    <n v="0"/>
    <n v="12"/>
    <n v="52"/>
    <n v="0"/>
    <n v="269.33999999999997"/>
    <n v="268.89"/>
    <m/>
    <n v="288.99361716746938"/>
    <n v="336.17550926835082"/>
    <n v="0"/>
    <n v="1.3649645325131133E-10"/>
    <n v="0"/>
    <n v="0"/>
    <x v="4"/>
  </r>
  <r>
    <s v="Sistema Isolado - Refaturamento"/>
    <x v="1"/>
    <x v="2"/>
    <x v="2"/>
    <x v="7"/>
    <x v="0"/>
    <x v="0"/>
    <x v="2"/>
    <x v="4"/>
    <n v="0"/>
    <n v="0"/>
    <n v="-1"/>
    <n v="-1"/>
    <n v="-1"/>
    <n v="-1"/>
    <n v="0"/>
    <s v="CATIVO"/>
    <n v="0"/>
    <n v="0"/>
    <n v="12"/>
    <n v="52"/>
    <n v="0"/>
    <n v="269.33999999999997"/>
    <n v="268.89"/>
    <m/>
    <n v="288.99361716746938"/>
    <n v="336.17550926835082"/>
    <n v="0"/>
    <n v="-5.6843418860808015E-14"/>
    <n v="0"/>
    <n v="0"/>
    <x v="4"/>
  </r>
  <r>
    <s v="Sistema Isolado - Regular"/>
    <x v="1"/>
    <x v="2"/>
    <x v="2"/>
    <x v="7"/>
    <x v="0"/>
    <x v="0"/>
    <x v="2"/>
    <x v="5"/>
    <n v="0"/>
    <n v="0"/>
    <n v="2401.2710000000002"/>
    <n v="2401.2710000000002"/>
    <n v="2401.2710000000002"/>
    <n v="2401.2710000000002"/>
    <n v="12885"/>
    <s v="CATIVO"/>
    <n v="0"/>
    <n v="0"/>
    <n v="12"/>
    <n v="52"/>
    <n v="0"/>
    <n v="269.33999999999997"/>
    <n v="268.89"/>
    <m/>
    <n v="288.99361716746938"/>
    <n v="336.17550926835082"/>
    <n v="0"/>
    <n v="1.3649645325131133E-10"/>
    <n v="0"/>
    <n v="0"/>
    <x v="4"/>
  </r>
  <r>
    <s v="Sistema Isolado - Refaturamento"/>
    <x v="1"/>
    <x v="2"/>
    <x v="2"/>
    <x v="7"/>
    <x v="0"/>
    <x v="0"/>
    <x v="2"/>
    <x v="5"/>
    <n v="0"/>
    <n v="0"/>
    <n v="-1"/>
    <n v="-1"/>
    <n v="-1"/>
    <n v="-1"/>
    <n v="0"/>
    <s v="CATIVO"/>
    <n v="0"/>
    <n v="0"/>
    <n v="12"/>
    <n v="52"/>
    <n v="0"/>
    <n v="269.33999999999997"/>
    <n v="268.89"/>
    <m/>
    <n v="288.99361716746938"/>
    <n v="336.17550926835082"/>
    <n v="0"/>
    <n v="-5.6843418860808015E-14"/>
    <n v="0"/>
    <n v="0"/>
    <x v="4"/>
  </r>
  <r>
    <s v="Sistema Isolado - Regular"/>
    <x v="1"/>
    <x v="2"/>
    <x v="2"/>
    <x v="7"/>
    <x v="0"/>
    <x v="0"/>
    <x v="2"/>
    <x v="6"/>
    <n v="0"/>
    <n v="0"/>
    <n v="2022.807"/>
    <n v="2022.807"/>
    <n v="2022.807"/>
    <n v="2022.807"/>
    <n v="11976"/>
    <s v="CATIVO"/>
    <n v="0"/>
    <n v="0"/>
    <n v="12"/>
    <n v="52"/>
    <n v="0"/>
    <n v="269.33999999999997"/>
    <n v="268.89"/>
    <m/>
    <n v="288.99361716746938"/>
    <n v="336.17550926835082"/>
    <n v="0"/>
    <n v="1.1498326557557448E-10"/>
    <n v="0"/>
    <n v="0"/>
    <x v="4"/>
  </r>
  <r>
    <s v="Sistema Isolado - Refaturamento"/>
    <x v="1"/>
    <x v="2"/>
    <x v="2"/>
    <x v="7"/>
    <x v="0"/>
    <x v="0"/>
    <x v="2"/>
    <x v="6"/>
    <n v="0"/>
    <n v="0"/>
    <n v="-9.1880000000000006"/>
    <n v="-9.1880000000000006"/>
    <n v="-9.1880000000000006"/>
    <n v="-9.1880000000000006"/>
    <n v="-12"/>
    <s v="CATIVO"/>
    <n v="0"/>
    <n v="0"/>
    <n v="12"/>
    <n v="52"/>
    <n v="0"/>
    <n v="269.33999999999997"/>
    <n v="268.89"/>
    <m/>
    <n v="288.99361716746938"/>
    <n v="336.17550926835082"/>
    <n v="0"/>
    <n v="-5.2227733249310408E-13"/>
    <n v="0"/>
    <n v="0"/>
    <x v="4"/>
  </r>
  <r>
    <s v="Sistema Isolado - Regular"/>
    <x v="1"/>
    <x v="2"/>
    <x v="2"/>
    <x v="7"/>
    <x v="0"/>
    <x v="0"/>
    <x v="2"/>
    <x v="7"/>
    <n v="0"/>
    <n v="0"/>
    <n v="1881.3389999999999"/>
    <n v="1881.3389999999999"/>
    <n v="1881.3389999999999"/>
    <n v="1881.3389999999999"/>
    <n v="11750"/>
    <s v="CATIVO"/>
    <n v="0"/>
    <n v="0"/>
    <n v="12"/>
    <n v="52"/>
    <n v="0"/>
    <n v="269.33999999999997"/>
    <n v="268.89"/>
    <m/>
    <n v="288.99361716746938"/>
    <n v="336.17550926835082"/>
    <n v="0"/>
    <n v="1.0694174079617369E-10"/>
    <n v="0"/>
    <n v="0"/>
    <x v="4"/>
  </r>
  <r>
    <s v="Sistema Isolado - Refaturamento"/>
    <x v="1"/>
    <x v="2"/>
    <x v="2"/>
    <x v="7"/>
    <x v="0"/>
    <x v="0"/>
    <x v="2"/>
    <x v="7"/>
    <n v="0"/>
    <n v="0"/>
    <n v="-1.528"/>
    <n v="-1.528"/>
    <n v="-1.528"/>
    <n v="-1.528"/>
    <n v="-4"/>
    <s v="CATIVO"/>
    <n v="0"/>
    <n v="0"/>
    <n v="12"/>
    <n v="52"/>
    <n v="0"/>
    <n v="269.33999999999997"/>
    <n v="268.89"/>
    <m/>
    <n v="288.99361716746938"/>
    <n v="336.17550926835082"/>
    <n v="0"/>
    <n v="-8.6856744019314648E-14"/>
    <n v="0"/>
    <n v="0"/>
    <x v="4"/>
  </r>
  <r>
    <s v="Sistema Isolado - Regular"/>
    <x v="1"/>
    <x v="2"/>
    <x v="2"/>
    <x v="7"/>
    <x v="0"/>
    <x v="0"/>
    <x v="2"/>
    <x v="8"/>
    <n v="0"/>
    <n v="0"/>
    <n v="2822.0010000000002"/>
    <n v="2822.0010000000002"/>
    <n v="2822.0010000000002"/>
    <n v="2822.0010000000002"/>
    <n v="11437"/>
    <s v="CATIVO"/>
    <n v="0"/>
    <n v="0"/>
    <n v="12"/>
    <n v="52"/>
    <n v="0"/>
    <n v="269.33999999999997"/>
    <n v="268.89"/>
    <m/>
    <n v="288.99361716746938"/>
    <n v="336.17550926835082"/>
    <n v="0"/>
    <n v="1.6041218486861909E-10"/>
    <n v="0"/>
    <n v="0"/>
    <x v="4"/>
  </r>
  <r>
    <s v="Sistema Isolado - Refaturamento"/>
    <x v="1"/>
    <x v="2"/>
    <x v="2"/>
    <x v="7"/>
    <x v="0"/>
    <x v="0"/>
    <x v="2"/>
    <x v="8"/>
    <n v="0"/>
    <n v="0"/>
    <n v="-1.2849999999999999"/>
    <n v="-1.2849999999999999"/>
    <n v="-1.2849999999999999"/>
    <n v="-1.2849999999999999"/>
    <n v="-4"/>
    <s v="CATIVO"/>
    <n v="0"/>
    <n v="0"/>
    <n v="12"/>
    <n v="52"/>
    <n v="0"/>
    <n v="269.33999999999997"/>
    <n v="268.89"/>
    <m/>
    <n v="288.99361716746938"/>
    <n v="336.17550926835082"/>
    <n v="0"/>
    <n v="-7.3043793236138295E-14"/>
    <n v="0"/>
    <n v="0"/>
    <x v="4"/>
  </r>
  <r>
    <s v="Sistema Isolado - Regular"/>
    <x v="1"/>
    <x v="2"/>
    <x v="2"/>
    <x v="7"/>
    <x v="0"/>
    <x v="0"/>
    <x v="2"/>
    <x v="9"/>
    <n v="0"/>
    <n v="0"/>
    <n v="2604.6489999999999"/>
    <n v="2604.6489999999999"/>
    <n v="2604.6489999999999"/>
    <n v="2604.6489999999999"/>
    <n v="13729"/>
    <s v="CATIVO"/>
    <n v="0"/>
    <n v="0"/>
    <n v="12"/>
    <n v="52"/>
    <n v="0"/>
    <n v="269.33999999999997"/>
    <n v="268.89"/>
    <m/>
    <n v="288.99361716746938"/>
    <n v="336.17550926835082"/>
    <n v="0"/>
    <n v="1.4805715409238473E-10"/>
    <n v="0"/>
    <n v="0"/>
    <x v="4"/>
  </r>
  <r>
    <s v="Sistema Isolado - Refaturamento"/>
    <x v="1"/>
    <x v="2"/>
    <x v="2"/>
    <x v="7"/>
    <x v="0"/>
    <x v="0"/>
    <x v="2"/>
    <x v="9"/>
    <n v="0"/>
    <n v="0"/>
    <n v="-1002.128"/>
    <n v="-1002.128"/>
    <n v="-1002.128"/>
    <n v="-1002.128"/>
    <n v="-3"/>
    <s v="CATIVO"/>
    <n v="0"/>
    <n v="0"/>
    <n v="12"/>
    <n v="52"/>
    <n v="0"/>
    <n v="269.33999999999997"/>
    <n v="268.89"/>
    <m/>
    <n v="288.99361716746938"/>
    <n v="336.17550926835082"/>
    <n v="0"/>
    <n v="-5.6964381656143817E-11"/>
    <n v="0"/>
    <n v="0"/>
    <x v="4"/>
  </r>
  <r>
    <s v="Sistema Isolado - Regular"/>
    <x v="1"/>
    <x v="2"/>
    <x v="2"/>
    <x v="7"/>
    <x v="0"/>
    <x v="0"/>
    <x v="2"/>
    <x v="10"/>
    <n v="0"/>
    <n v="0"/>
    <n v="2634.4989999999998"/>
    <n v="2634.4989999999998"/>
    <n v="2634.4989999999998"/>
    <n v="2634.4989999999998"/>
    <n v="13544"/>
    <s v="CATIVO"/>
    <n v="0"/>
    <n v="0"/>
    <n v="12"/>
    <n v="52"/>
    <n v="0"/>
    <n v="269.33999999999997"/>
    <n v="268.89"/>
    <m/>
    <n v="288.99361716746938"/>
    <n v="336.17550926835082"/>
    <n v="0"/>
    <n v="1.4975393014537984E-10"/>
    <n v="0"/>
    <n v="0"/>
    <x v="4"/>
  </r>
  <r>
    <s v="Sistema Isolado - Refaturamento"/>
    <x v="1"/>
    <x v="2"/>
    <x v="2"/>
    <x v="7"/>
    <x v="0"/>
    <x v="0"/>
    <x v="2"/>
    <x v="10"/>
    <n v="0"/>
    <n v="0"/>
    <n v="-2.8319999999999999"/>
    <n v="-2.8319999999999999"/>
    <n v="-2.8319999999999999"/>
    <n v="-2.8319999999999999"/>
    <n v="-5"/>
    <s v="CATIVO"/>
    <n v="0"/>
    <n v="0"/>
    <n v="12"/>
    <n v="52"/>
    <n v="0"/>
    <n v="269.33999999999997"/>
    <n v="268.89"/>
    <m/>
    <n v="288.99361716746938"/>
    <n v="336.17550926835082"/>
    <n v="0"/>
    <n v="-1.6098056221380829E-13"/>
    <n v="0"/>
    <n v="0"/>
    <x v="4"/>
  </r>
  <r>
    <s v="PROJETADO"/>
    <x v="1"/>
    <x v="2"/>
    <x v="2"/>
    <x v="7"/>
    <x v="0"/>
    <x v="0"/>
    <x v="2"/>
    <x v="11"/>
    <n v="0"/>
    <n v="0"/>
    <n v="2634.4989999999998"/>
    <n v="2634.4989999999998"/>
    <n v="2634.4989999999998"/>
    <n v="2634.4989999999998"/>
    <n v="13544"/>
    <s v="CATIVO"/>
    <n v="0"/>
    <n v="0"/>
    <n v="12"/>
    <n v="52"/>
    <n v="0"/>
    <n v="269.33999999999997"/>
    <n v="268.89"/>
    <m/>
    <n v="288.99361716746938"/>
    <n v="336.17550926835082"/>
    <n v="0"/>
    <n v="1.4975393014537984E-10"/>
    <n v="0"/>
    <n v="0"/>
    <x v="4"/>
  </r>
  <r>
    <s v="PROJETADO"/>
    <x v="1"/>
    <x v="2"/>
    <x v="2"/>
    <x v="7"/>
    <x v="0"/>
    <x v="0"/>
    <x v="2"/>
    <x v="11"/>
    <n v="0"/>
    <n v="0"/>
    <n v="-2.8319999999999999"/>
    <n v="-2.8319999999999999"/>
    <n v="-2.8319999999999999"/>
    <n v="-2.8319999999999999"/>
    <n v="-5"/>
    <s v="CATIVO"/>
    <n v="0"/>
    <n v="0"/>
    <n v="12"/>
    <n v="52"/>
    <n v="0"/>
    <n v="269.33999999999997"/>
    <n v="268.89"/>
    <m/>
    <n v="288.99361716746938"/>
    <n v="336.17550926835082"/>
    <n v="0"/>
    <n v="-1.6098056221380829E-13"/>
    <n v="0"/>
    <n v="0"/>
    <x v="4"/>
  </r>
  <r>
    <s v="Sistema Isolado - Regular"/>
    <x v="2"/>
    <x v="3"/>
    <x v="1"/>
    <x v="2"/>
    <x v="0"/>
    <x v="0"/>
    <x v="0"/>
    <x v="0"/>
    <n v="0"/>
    <n v="0"/>
    <n v="0.129"/>
    <n v="0.129"/>
    <n v="0.129"/>
    <n v="0.129"/>
    <n v="0"/>
    <s v="CATIVO"/>
    <n v="0"/>
    <n v="0"/>
    <n v="70"/>
    <n v="69"/>
    <n v="0"/>
    <n v="212.32"/>
    <n v="223.44"/>
    <m/>
    <n v="241.78758407829528"/>
    <n v="298.34420421092244"/>
    <n v="0"/>
    <n v="3.5880663829787234"/>
    <n v="0"/>
    <n v="4.447468129104835"/>
    <x v="2"/>
  </r>
  <r>
    <s v="Sistema Isolado - Regular"/>
    <x v="2"/>
    <x v="3"/>
    <x v="1"/>
    <x v="2"/>
    <x v="0"/>
    <x v="0"/>
    <x v="0"/>
    <x v="1"/>
    <n v="0"/>
    <n v="0"/>
    <n v="0.115"/>
    <n v="0.115"/>
    <n v="0.115"/>
    <n v="0.115"/>
    <n v="0"/>
    <s v="CATIVO"/>
    <n v="0"/>
    <n v="0"/>
    <n v="70"/>
    <n v="69"/>
    <n v="0"/>
    <n v="212.32"/>
    <n v="223.44"/>
    <m/>
    <n v="241.78758407829528"/>
    <n v="298.34420421092244"/>
    <n v="0"/>
    <n v="3.1986638297872343"/>
    <n v="0"/>
    <n v="3.9647971693570243"/>
    <x v="2"/>
  </r>
  <r>
    <s v="Sistema Isolado - Regular"/>
    <x v="2"/>
    <x v="3"/>
    <x v="1"/>
    <x v="2"/>
    <x v="0"/>
    <x v="0"/>
    <x v="0"/>
    <x v="2"/>
    <n v="0"/>
    <n v="0"/>
    <n v="0.17699999999999999"/>
    <n v="0.17699999999999999"/>
    <n v="0.17699999999999999"/>
    <n v="0.17699999999999999"/>
    <n v="0"/>
    <s v="CATIVO"/>
    <n v="0"/>
    <n v="0"/>
    <n v="70"/>
    <n v="69"/>
    <n v="0"/>
    <n v="212.32"/>
    <n v="223.44"/>
    <m/>
    <n v="241.78758407829528"/>
    <n v="298.34420421092244"/>
    <n v="0"/>
    <n v="4.9231608510638285"/>
    <n v="0"/>
    <n v="6.1023399910973328"/>
    <x v="2"/>
  </r>
  <r>
    <s v="Sistema Isolado - Regular"/>
    <x v="2"/>
    <x v="3"/>
    <x v="1"/>
    <x v="2"/>
    <x v="0"/>
    <x v="0"/>
    <x v="0"/>
    <x v="3"/>
    <n v="0"/>
    <n v="0"/>
    <n v="0.13400000000000001"/>
    <n v="0.13400000000000001"/>
    <n v="0.13400000000000001"/>
    <n v="0.13400000000000001"/>
    <n v="0"/>
    <s v="CATIVO"/>
    <n v="0"/>
    <n v="0"/>
    <n v="70"/>
    <n v="69"/>
    <n v="0"/>
    <n v="212.32"/>
    <n v="223.44"/>
    <m/>
    <n v="241.78758407829528"/>
    <n v="298.34420421092244"/>
    <n v="0"/>
    <n v="3.7271387234042557"/>
    <n v="0"/>
    <n v="4.6198506147290539"/>
    <x v="2"/>
  </r>
  <r>
    <s v="Sistema Isolado - Regular"/>
    <x v="2"/>
    <x v="3"/>
    <x v="1"/>
    <x v="2"/>
    <x v="0"/>
    <x v="0"/>
    <x v="0"/>
    <x v="4"/>
    <n v="0"/>
    <n v="0"/>
    <n v="0.11700000000000001"/>
    <n v="0.11700000000000001"/>
    <n v="0.11700000000000001"/>
    <n v="0.11700000000000001"/>
    <n v="0"/>
    <s v="CATIVO"/>
    <n v="0"/>
    <n v="0"/>
    <n v="70"/>
    <n v="69"/>
    <n v="0"/>
    <n v="212.32"/>
    <n v="223.44"/>
    <m/>
    <n v="241.78758407829528"/>
    <n v="298.34420421092244"/>
    <n v="0"/>
    <n v="3.2542927659574472"/>
    <n v="0"/>
    <n v="4.0337501636067117"/>
    <x v="2"/>
  </r>
  <r>
    <s v="Sistema Isolado - Regular"/>
    <x v="2"/>
    <x v="3"/>
    <x v="1"/>
    <x v="2"/>
    <x v="0"/>
    <x v="0"/>
    <x v="0"/>
    <x v="5"/>
    <n v="0"/>
    <n v="0"/>
    <n v="0.11700000000000001"/>
    <n v="0.11700000000000001"/>
    <n v="0.11700000000000001"/>
    <n v="0.11700000000000001"/>
    <n v="0"/>
    <s v="CATIVO"/>
    <n v="0"/>
    <n v="0"/>
    <n v="70"/>
    <n v="69"/>
    <n v="0"/>
    <n v="212.32"/>
    <n v="223.44"/>
    <m/>
    <n v="241.78758407829528"/>
    <n v="298.34420421092244"/>
    <n v="0"/>
    <n v="3.2542927659574472"/>
    <n v="0"/>
    <n v="4.0337501636067117"/>
    <x v="2"/>
  </r>
  <r>
    <s v="Sistema Isolado - Regular"/>
    <x v="2"/>
    <x v="3"/>
    <x v="1"/>
    <x v="2"/>
    <x v="0"/>
    <x v="0"/>
    <x v="0"/>
    <x v="6"/>
    <n v="0"/>
    <n v="0"/>
    <n v="0.127"/>
    <n v="0.127"/>
    <n v="0.127"/>
    <n v="0.127"/>
    <n v="0"/>
    <s v="CATIVO"/>
    <n v="0"/>
    <n v="0"/>
    <n v="70"/>
    <n v="69"/>
    <n v="0"/>
    <n v="212.32"/>
    <n v="223.44"/>
    <m/>
    <n v="241.78758407829528"/>
    <n v="298.34420421092244"/>
    <n v="0"/>
    <n v="3.5324374468085109"/>
    <n v="0"/>
    <n v="4.3785151348551477"/>
    <x v="2"/>
  </r>
  <r>
    <s v="Sistema Isolado - Regular"/>
    <x v="2"/>
    <x v="3"/>
    <x v="1"/>
    <x v="2"/>
    <x v="0"/>
    <x v="0"/>
    <x v="3"/>
    <x v="0"/>
    <n v="0"/>
    <n v="0"/>
    <n v="0.01"/>
    <n v="0.01"/>
    <n v="0.01"/>
    <n v="0.01"/>
    <n v="0"/>
    <s v="CATIVO"/>
    <n v="0"/>
    <n v="0"/>
    <n v="22"/>
    <n v="47"/>
    <n v="0"/>
    <n v="431.37"/>
    <n v="223.44"/>
    <m/>
    <n v="545.53806737775699"/>
    <n v="298.34420421092244"/>
    <n v="0"/>
    <n v="0.41796382978723406"/>
    <n v="0"/>
    <n v="0.53864825846085918"/>
    <x v="2"/>
  </r>
  <r>
    <s v="Sistema Isolado - Regular"/>
    <x v="2"/>
    <x v="3"/>
    <x v="1"/>
    <x v="2"/>
    <x v="0"/>
    <x v="0"/>
    <x v="3"/>
    <x v="1"/>
    <n v="0"/>
    <n v="0"/>
    <n v="8.9999999999999993E-3"/>
    <n v="8.9999999999999993E-3"/>
    <n v="8.9999999999999993E-3"/>
    <n v="8.9999999999999993E-3"/>
    <n v="0"/>
    <s v="CATIVO"/>
    <n v="0"/>
    <n v="0"/>
    <n v="22"/>
    <n v="47"/>
    <n v="0"/>
    <n v="431.37"/>
    <n v="223.44"/>
    <m/>
    <n v="545.53806737775699"/>
    <n v="298.34420421092244"/>
    <n v="0"/>
    <n v="0.37616744680851061"/>
    <n v="0"/>
    <n v="0.4847834326147733"/>
    <x v="2"/>
  </r>
  <r>
    <s v="Sistema Isolado - Regular"/>
    <x v="2"/>
    <x v="3"/>
    <x v="1"/>
    <x v="2"/>
    <x v="0"/>
    <x v="0"/>
    <x v="3"/>
    <x v="2"/>
    <n v="0"/>
    <n v="0"/>
    <n v="1.2999999999999999E-2"/>
    <n v="1.2999999999999999E-2"/>
    <n v="1.2999999999999999E-2"/>
    <n v="1.2999999999999999E-2"/>
    <n v="0"/>
    <s v="CATIVO"/>
    <n v="0"/>
    <n v="0"/>
    <n v="22"/>
    <n v="47"/>
    <n v="0"/>
    <n v="431.37"/>
    <n v="223.44"/>
    <m/>
    <n v="545.53806737775699"/>
    <n v="298.34420421092244"/>
    <n v="0"/>
    <n v="0.54335297872340427"/>
    <n v="0"/>
    <n v="0.70024273599911691"/>
    <x v="2"/>
  </r>
  <r>
    <s v="Sistema Isolado - Regular"/>
    <x v="2"/>
    <x v="3"/>
    <x v="1"/>
    <x v="2"/>
    <x v="0"/>
    <x v="0"/>
    <x v="3"/>
    <x v="3"/>
    <n v="0"/>
    <n v="0"/>
    <n v="1.2E-2"/>
    <n v="1.2E-2"/>
    <n v="1.2E-2"/>
    <n v="1.2E-2"/>
    <n v="0"/>
    <s v="CATIVO"/>
    <n v="0"/>
    <n v="0"/>
    <n v="22"/>
    <n v="47"/>
    <n v="0"/>
    <n v="431.37"/>
    <n v="223.44"/>
    <m/>
    <n v="545.53806737775699"/>
    <n v="298.34420421092244"/>
    <n v="0"/>
    <n v="0.50155659574468092"/>
    <n v="0"/>
    <n v="0.64637791015303114"/>
    <x v="2"/>
  </r>
  <r>
    <s v="Sistema Isolado - Regular"/>
    <x v="2"/>
    <x v="3"/>
    <x v="1"/>
    <x v="2"/>
    <x v="0"/>
    <x v="0"/>
    <x v="3"/>
    <x v="4"/>
    <n v="0"/>
    <n v="0"/>
    <n v="0.01"/>
    <n v="0.01"/>
    <n v="0.01"/>
    <n v="0.01"/>
    <n v="0"/>
    <s v="CATIVO"/>
    <n v="0"/>
    <n v="0"/>
    <n v="22"/>
    <n v="47"/>
    <n v="0"/>
    <n v="431.37"/>
    <n v="223.44"/>
    <m/>
    <n v="545.53806737775699"/>
    <n v="298.34420421092244"/>
    <n v="0"/>
    <n v="0.41796382978723406"/>
    <n v="0"/>
    <n v="0.53864825846085918"/>
    <x v="2"/>
  </r>
  <r>
    <s v="Sistema Isolado - Regular"/>
    <x v="2"/>
    <x v="3"/>
    <x v="1"/>
    <x v="2"/>
    <x v="0"/>
    <x v="0"/>
    <x v="3"/>
    <x v="5"/>
    <n v="0"/>
    <n v="0"/>
    <n v="0.01"/>
    <n v="0.01"/>
    <n v="0.01"/>
    <n v="0.01"/>
    <n v="0"/>
    <s v="CATIVO"/>
    <n v="0"/>
    <n v="0"/>
    <n v="22"/>
    <n v="47"/>
    <n v="0"/>
    <n v="431.37"/>
    <n v="223.44"/>
    <m/>
    <n v="545.53806737775699"/>
    <n v="298.34420421092244"/>
    <n v="0"/>
    <n v="0.41796382978723406"/>
    <n v="0"/>
    <n v="0.53864825846085918"/>
    <x v="2"/>
  </r>
  <r>
    <s v="Sistema Isolado - Regular"/>
    <x v="2"/>
    <x v="3"/>
    <x v="1"/>
    <x v="2"/>
    <x v="0"/>
    <x v="0"/>
    <x v="3"/>
    <x v="6"/>
    <n v="0"/>
    <n v="0"/>
    <n v="1.0999999999999999E-2"/>
    <n v="1.0999999999999999E-2"/>
    <n v="1.0999999999999999E-2"/>
    <n v="1.0999999999999999E-2"/>
    <n v="0"/>
    <s v="CATIVO"/>
    <n v="0"/>
    <n v="0"/>
    <n v="22"/>
    <n v="47"/>
    <n v="0"/>
    <n v="431.37"/>
    <n v="223.44"/>
    <m/>
    <n v="545.53806737775699"/>
    <n v="298.34420421092244"/>
    <n v="0"/>
    <n v="0.45976021276595747"/>
    <n v="0"/>
    <n v="0.59251308430694505"/>
    <x v="2"/>
  </r>
  <r>
    <s v="Sistema Isolado - Regular"/>
    <x v="2"/>
    <x v="3"/>
    <x v="1"/>
    <x v="2"/>
    <x v="0"/>
    <x v="0"/>
    <x v="1"/>
    <x v="0"/>
    <n v="0"/>
    <n v="0"/>
    <n v="1.4999999999999999E-2"/>
    <n v="1.4999999999999999E-2"/>
    <n v="1.4999999999999999E-2"/>
    <n v="1.4999999999999999E-2"/>
    <n v="0"/>
    <s v="CATIVO"/>
    <n v="0"/>
    <n v="0"/>
    <n v="14"/>
    <n v="62"/>
    <n v="0"/>
    <n v="650.42999999999995"/>
    <n v="381.72"/>
    <m/>
    <n v="849.28855067721861"/>
    <n v="510.27349822685011"/>
    <n v="0"/>
    <n v="0.98822872340425527"/>
    <n v="0"/>
    <n v="1.301708344695385"/>
    <x v="2"/>
  </r>
  <r>
    <s v="Sistema Isolado - Regular"/>
    <x v="2"/>
    <x v="3"/>
    <x v="1"/>
    <x v="2"/>
    <x v="0"/>
    <x v="0"/>
    <x v="1"/>
    <x v="1"/>
    <n v="0"/>
    <n v="0"/>
    <n v="1.2999999999999999E-2"/>
    <n v="1.2999999999999999E-2"/>
    <n v="1.2999999999999999E-2"/>
    <n v="1.2999999999999999E-2"/>
    <n v="0"/>
    <s v="CATIVO"/>
    <n v="0"/>
    <n v="0"/>
    <n v="14"/>
    <n v="62"/>
    <n v="0"/>
    <n v="650.42999999999995"/>
    <n v="381.72"/>
    <m/>
    <n v="849.28855067721861"/>
    <n v="510.27349822685011"/>
    <n v="0"/>
    <n v="0.85646489361702116"/>
    <n v="0"/>
    <n v="1.1281472320693335"/>
    <x v="2"/>
  </r>
  <r>
    <s v="Sistema Isolado - Regular"/>
    <x v="2"/>
    <x v="3"/>
    <x v="1"/>
    <x v="2"/>
    <x v="0"/>
    <x v="0"/>
    <x v="1"/>
    <x v="2"/>
    <n v="0"/>
    <n v="0"/>
    <n v="1.9E-2"/>
    <n v="1.9E-2"/>
    <n v="1.9E-2"/>
    <n v="1.9E-2"/>
    <n v="0"/>
    <s v="CATIVO"/>
    <n v="0"/>
    <n v="0"/>
    <n v="14"/>
    <n v="62"/>
    <n v="0"/>
    <n v="650.42999999999995"/>
    <n v="381.72"/>
    <m/>
    <n v="849.28855067721861"/>
    <n v="510.27349822685011"/>
    <n v="0"/>
    <n v="1.2517563829787233"/>
    <n v="0"/>
    <n v="1.6488305699474877"/>
    <x v="2"/>
  </r>
  <r>
    <s v="Sistema Isolado - Regular"/>
    <x v="2"/>
    <x v="3"/>
    <x v="1"/>
    <x v="2"/>
    <x v="0"/>
    <x v="0"/>
    <x v="1"/>
    <x v="3"/>
    <n v="0"/>
    <n v="0"/>
    <n v="1.7999999999999999E-2"/>
    <n v="1.7999999999999999E-2"/>
    <n v="1.7999999999999999E-2"/>
    <n v="1.7999999999999999E-2"/>
    <n v="0"/>
    <s v="CATIVO"/>
    <n v="0"/>
    <n v="0"/>
    <n v="14"/>
    <n v="62"/>
    <n v="0"/>
    <n v="650.42999999999995"/>
    <n v="381.72"/>
    <m/>
    <n v="849.28855067721861"/>
    <n v="510.27349822685011"/>
    <n v="0"/>
    <n v="1.1858744680851063"/>
    <n v="0"/>
    <n v="1.5620500136344617"/>
    <x v="2"/>
  </r>
  <r>
    <s v="Sistema Isolado - Regular"/>
    <x v="2"/>
    <x v="3"/>
    <x v="1"/>
    <x v="2"/>
    <x v="0"/>
    <x v="0"/>
    <x v="1"/>
    <x v="4"/>
    <n v="0"/>
    <n v="0"/>
    <n v="1.4999999999999999E-2"/>
    <n v="1.4999999999999999E-2"/>
    <n v="1.4999999999999999E-2"/>
    <n v="1.4999999999999999E-2"/>
    <n v="0"/>
    <s v="CATIVO"/>
    <n v="0"/>
    <n v="0"/>
    <n v="14"/>
    <n v="62"/>
    <n v="0"/>
    <n v="650.42999999999995"/>
    <n v="381.72"/>
    <m/>
    <n v="849.28855067721861"/>
    <n v="510.27349822685011"/>
    <n v="0"/>
    <n v="0.98822872340425527"/>
    <n v="0"/>
    <n v="1.301708344695385"/>
    <x v="2"/>
  </r>
  <r>
    <s v="Sistema Isolado - Regular"/>
    <x v="2"/>
    <x v="3"/>
    <x v="1"/>
    <x v="2"/>
    <x v="0"/>
    <x v="0"/>
    <x v="1"/>
    <x v="5"/>
    <n v="0"/>
    <n v="0"/>
    <n v="1.4999999999999999E-2"/>
    <n v="1.4999999999999999E-2"/>
    <n v="1.4999999999999999E-2"/>
    <n v="1.4999999999999999E-2"/>
    <n v="0"/>
    <s v="CATIVO"/>
    <n v="0"/>
    <n v="0"/>
    <n v="14"/>
    <n v="62"/>
    <n v="0"/>
    <n v="650.42999999999995"/>
    <n v="381.72"/>
    <m/>
    <n v="849.28855067721861"/>
    <n v="510.27349822685011"/>
    <n v="0"/>
    <n v="0.98822872340425527"/>
    <n v="0"/>
    <n v="1.301708344695385"/>
    <x v="2"/>
  </r>
  <r>
    <s v="Sistema Isolado - Regular"/>
    <x v="2"/>
    <x v="3"/>
    <x v="1"/>
    <x v="2"/>
    <x v="0"/>
    <x v="0"/>
    <x v="1"/>
    <x v="6"/>
    <n v="0"/>
    <n v="0"/>
    <n v="1.7000000000000001E-2"/>
    <n v="1.7000000000000001E-2"/>
    <n v="1.7000000000000001E-2"/>
    <n v="1.7000000000000001E-2"/>
    <n v="0"/>
    <s v="CATIVO"/>
    <n v="0"/>
    <n v="0"/>
    <n v="14"/>
    <n v="62"/>
    <n v="0"/>
    <n v="650.42999999999995"/>
    <n v="381.72"/>
    <m/>
    <n v="849.28855067721861"/>
    <n v="510.27349822685011"/>
    <n v="0"/>
    <n v="1.1199925531914894"/>
    <n v="0"/>
    <n v="1.4752694573214364"/>
    <x v="2"/>
  </r>
  <r>
    <s v="Sistema Isolado - Regular"/>
    <x v="2"/>
    <x v="2"/>
    <x v="1"/>
    <x v="1"/>
    <x v="2"/>
    <x v="0"/>
    <x v="2"/>
    <x v="0"/>
    <n v="0"/>
    <n v="0"/>
    <n v="33.698999999999998"/>
    <n v="33.698999999999998"/>
    <n v="33.698999999999998"/>
    <n v="33.698999999999998"/>
    <n v="0"/>
    <s v="CATIVO"/>
    <n v="0"/>
    <n v="0"/>
    <n v="45"/>
    <n v="77"/>
    <n v="0"/>
    <n v="273.93"/>
    <n v="236.63"/>
    <m/>
    <n v="327.21833837526083"/>
    <n v="316.00497871224974"/>
    <n v="0"/>
    <n v="2345.7873899999986"/>
    <n v="0"/>
    <n v="1383.5733550552379"/>
    <x v="2"/>
  </r>
  <r>
    <s v="Sistema Isolado - Regular"/>
    <x v="2"/>
    <x v="2"/>
    <x v="1"/>
    <x v="1"/>
    <x v="2"/>
    <x v="0"/>
    <x v="2"/>
    <x v="1"/>
    <n v="0"/>
    <n v="0"/>
    <n v="27.946999999999999"/>
    <n v="27.946999999999999"/>
    <n v="27.946999999999999"/>
    <n v="27.946999999999999"/>
    <n v="0"/>
    <s v="CATIVO"/>
    <n v="0"/>
    <n v="0"/>
    <n v="45"/>
    <n v="77"/>
    <n v="0"/>
    <n v="273.93"/>
    <n v="236.63"/>
    <m/>
    <n v="327.21833837526083"/>
    <n v="316.00497871224974"/>
    <n v="0"/>
    <n v="1945.3906699999986"/>
    <n v="0"/>
    <n v="1147.4145984666827"/>
    <x v="2"/>
  </r>
  <r>
    <s v="Sistema Isolado - Regular"/>
    <x v="2"/>
    <x v="2"/>
    <x v="1"/>
    <x v="1"/>
    <x v="2"/>
    <x v="0"/>
    <x v="2"/>
    <x v="2"/>
    <n v="0"/>
    <n v="0"/>
    <n v="52.139000000000003"/>
    <n v="52.139000000000003"/>
    <n v="52.139000000000003"/>
    <n v="52.139000000000003"/>
    <n v="0"/>
    <s v="CATIVO"/>
    <n v="0"/>
    <n v="0"/>
    <n v="45"/>
    <n v="77"/>
    <n v="0"/>
    <n v="273.93"/>
    <n v="236.63"/>
    <m/>
    <n v="327.21833837526083"/>
    <n v="316.00497871224974"/>
    <n v="0"/>
    <n v="3629.3957899999978"/>
    <n v="0"/>
    <n v="2140.660884869731"/>
    <x v="2"/>
  </r>
  <r>
    <s v="Sistema Isolado - Regular"/>
    <x v="2"/>
    <x v="2"/>
    <x v="1"/>
    <x v="1"/>
    <x v="2"/>
    <x v="0"/>
    <x v="2"/>
    <x v="3"/>
    <n v="0"/>
    <n v="0"/>
    <n v="56.188000000000002"/>
    <n v="56.188000000000002"/>
    <n v="56.188000000000002"/>
    <n v="56.188000000000002"/>
    <n v="0"/>
    <s v="CATIVO"/>
    <n v="0"/>
    <n v="0"/>
    <n v="45"/>
    <n v="77"/>
    <n v="0"/>
    <n v="273.93"/>
    <n v="236.63"/>
    <m/>
    <n v="327.21833837526083"/>
    <n v="316.00497871224974"/>
    <n v="0"/>
    <n v="3911.2466799999979"/>
    <n v="0"/>
    <n v="2306.8998983306246"/>
    <x v="2"/>
  </r>
  <r>
    <s v="Sistema Isolado - Regular"/>
    <x v="2"/>
    <x v="2"/>
    <x v="1"/>
    <x v="1"/>
    <x v="2"/>
    <x v="0"/>
    <x v="2"/>
    <x v="4"/>
    <n v="0"/>
    <n v="0"/>
    <n v="23.486000000000001"/>
    <n v="23.486000000000001"/>
    <n v="23.486000000000001"/>
    <n v="23.486000000000001"/>
    <n v="0"/>
    <s v="CATIVO"/>
    <n v="0"/>
    <n v="0"/>
    <n v="45"/>
    <n v="77"/>
    <n v="0"/>
    <n v="273.93"/>
    <n v="236.63"/>
    <m/>
    <n v="327.21833837526083"/>
    <n v="316.00497871224974"/>
    <n v="0"/>
    <n v="1634.860459999999"/>
    <n v="0"/>
    <n v="964.26018032663649"/>
    <x v="2"/>
  </r>
  <r>
    <s v="Sistema Isolado - Refaturamento"/>
    <x v="2"/>
    <x v="2"/>
    <x v="1"/>
    <x v="1"/>
    <x v="2"/>
    <x v="0"/>
    <x v="2"/>
    <x v="4"/>
    <n v="0"/>
    <n v="0"/>
    <n v="-7.391"/>
    <n v="-7.391"/>
    <n v="-7.391"/>
    <n v="-7.391"/>
    <n v="0"/>
    <s v="CATIVO"/>
    <n v="0"/>
    <n v="0"/>
    <n v="45"/>
    <n v="77"/>
    <n v="0"/>
    <n v="273.93"/>
    <n v="236.63"/>
    <m/>
    <n v="327.21833837526083"/>
    <n v="316.00497871224974"/>
    <n v="0"/>
    <n v="-514.4875099999997"/>
    <n v="0"/>
    <n v="-303.45086403790214"/>
    <x v="2"/>
  </r>
  <r>
    <s v="Sistema Isolado - Regular"/>
    <x v="2"/>
    <x v="2"/>
    <x v="1"/>
    <x v="1"/>
    <x v="2"/>
    <x v="0"/>
    <x v="2"/>
    <x v="5"/>
    <n v="0"/>
    <n v="0"/>
    <n v="23.486000000000001"/>
    <n v="23.486000000000001"/>
    <n v="23.486000000000001"/>
    <n v="23.486000000000001"/>
    <n v="0"/>
    <s v="CATIVO"/>
    <n v="0"/>
    <n v="0"/>
    <n v="45"/>
    <n v="77"/>
    <n v="0"/>
    <n v="273.93"/>
    <n v="236.63"/>
    <m/>
    <n v="327.21833837526083"/>
    <n v="316.00497871224974"/>
    <n v="0"/>
    <n v="1634.860459999999"/>
    <n v="0"/>
    <n v="964.26018032663649"/>
    <x v="2"/>
  </r>
  <r>
    <s v="Sistema Isolado - Refaturamento"/>
    <x v="2"/>
    <x v="2"/>
    <x v="1"/>
    <x v="1"/>
    <x v="2"/>
    <x v="0"/>
    <x v="2"/>
    <x v="5"/>
    <n v="0"/>
    <n v="0"/>
    <n v="-7.391"/>
    <n v="-7.391"/>
    <n v="-7.391"/>
    <n v="-7.391"/>
    <n v="0"/>
    <s v="CATIVO"/>
    <n v="0"/>
    <n v="0"/>
    <n v="45"/>
    <n v="77"/>
    <n v="0"/>
    <n v="273.93"/>
    <n v="236.63"/>
    <m/>
    <n v="327.21833837526083"/>
    <n v="316.00497871224974"/>
    <n v="0"/>
    <n v="-514.4875099999997"/>
    <n v="0"/>
    <n v="-303.45086403790214"/>
    <x v="2"/>
  </r>
  <r>
    <s v="Sistema Isolado - Regular"/>
    <x v="2"/>
    <x v="2"/>
    <x v="1"/>
    <x v="1"/>
    <x v="2"/>
    <x v="0"/>
    <x v="2"/>
    <x v="6"/>
    <n v="0"/>
    <n v="0"/>
    <n v="12.192"/>
    <n v="12.192"/>
    <n v="12.192"/>
    <n v="12.192"/>
    <n v="0"/>
    <s v="CATIVO"/>
    <n v="0"/>
    <n v="0"/>
    <n v="45"/>
    <n v="77"/>
    <n v="0"/>
    <n v="273.93"/>
    <n v="236.63"/>
    <m/>
    <n v="327.21833837526083"/>
    <n v="316.00497871224974"/>
    <n v="0"/>
    <n v="848.68511999999953"/>
    <n v="0"/>
    <n v="500.56459671899648"/>
    <x v="2"/>
  </r>
  <r>
    <s v="Sistema Isolado - Refaturamento"/>
    <x v="2"/>
    <x v="2"/>
    <x v="1"/>
    <x v="1"/>
    <x v="2"/>
    <x v="0"/>
    <x v="2"/>
    <x v="6"/>
    <n v="0"/>
    <n v="0"/>
    <n v="-18.808"/>
    <n v="-18.808"/>
    <n v="-18.808"/>
    <n v="-18.808"/>
    <n v="0"/>
    <s v="CATIVO"/>
    <n v="0"/>
    <n v="0"/>
    <n v="45"/>
    <n v="77"/>
    <n v="0"/>
    <n v="273.93"/>
    <n v="236.63"/>
    <m/>
    <n v="327.21833837526083"/>
    <n v="316.00497871224974"/>
    <n v="0"/>
    <n v="-1309.2248799999991"/>
    <n v="0"/>
    <n v="-772.19643496480364"/>
    <x v="2"/>
  </r>
  <r>
    <s v="Sistema Isolado - Regular"/>
    <x v="2"/>
    <x v="2"/>
    <x v="1"/>
    <x v="1"/>
    <x v="2"/>
    <x v="0"/>
    <x v="2"/>
    <x v="7"/>
    <n v="0"/>
    <n v="0"/>
    <n v="8.4719999999999995"/>
    <n v="8.4719999999999995"/>
    <n v="8.4719999999999995"/>
    <n v="8.4719999999999995"/>
    <n v="0"/>
    <s v="CATIVO"/>
    <n v="0"/>
    <n v="0"/>
    <n v="45"/>
    <n v="77"/>
    <n v="0"/>
    <n v="273.93"/>
    <n v="236.63"/>
    <m/>
    <n v="327.21833837526083"/>
    <n v="316.00497871224974"/>
    <n v="0"/>
    <n v="589.73591999999962"/>
    <n v="0"/>
    <n v="347.83327291694047"/>
    <x v="2"/>
  </r>
  <r>
    <s v="Sistema Isolado - Refaturamento"/>
    <x v="2"/>
    <x v="2"/>
    <x v="1"/>
    <x v="1"/>
    <x v="2"/>
    <x v="0"/>
    <x v="2"/>
    <x v="7"/>
    <n v="0"/>
    <n v="0"/>
    <n v="-1.696"/>
    <n v="-1.696"/>
    <n v="-1.696"/>
    <n v="-1.696"/>
    <n v="0"/>
    <s v="CATIVO"/>
    <n v="0"/>
    <n v="0"/>
    <n v="45"/>
    <n v="77"/>
    <n v="0"/>
    <n v="273.93"/>
    <n v="236.63"/>
    <m/>
    <n v="327.21833837526083"/>
    <n v="316.00497871224974"/>
    <n v="0"/>
    <n v="-118.05855999999993"/>
    <n v="0"/>
    <n v="-69.632345475345971"/>
    <x v="2"/>
  </r>
  <r>
    <s v="Sistema Isolado - Regular"/>
    <x v="2"/>
    <x v="2"/>
    <x v="1"/>
    <x v="1"/>
    <x v="2"/>
    <x v="0"/>
    <x v="2"/>
    <x v="8"/>
    <n v="0"/>
    <n v="0"/>
    <n v="7.734"/>
    <n v="7.734"/>
    <n v="7.734"/>
    <n v="7.734"/>
    <n v="0"/>
    <s v="CATIVO"/>
    <n v="0"/>
    <n v="0"/>
    <n v="45"/>
    <n v="77"/>
    <n v="0"/>
    <n v="273.93"/>
    <n v="236.63"/>
    <m/>
    <n v="327.21833837526083"/>
    <n v="316.00497871224974"/>
    <n v="0"/>
    <n v="538.36373999999967"/>
    <n v="0"/>
    <n v="317.53334900137128"/>
    <x v="2"/>
  </r>
  <r>
    <s v="Sistema Isolado - Regular"/>
    <x v="2"/>
    <x v="2"/>
    <x v="1"/>
    <x v="1"/>
    <x v="2"/>
    <x v="0"/>
    <x v="2"/>
    <x v="9"/>
    <n v="0"/>
    <n v="0"/>
    <n v="11.044"/>
    <n v="11.044"/>
    <n v="11.044"/>
    <n v="11.044"/>
    <n v="0"/>
    <s v="CATIVO"/>
    <n v="0"/>
    <n v="0"/>
    <n v="45"/>
    <n v="77"/>
    <n v="0"/>
    <n v="273.93"/>
    <n v="236.63"/>
    <m/>
    <n v="327.21833837526083"/>
    <n v="316.00497871224974"/>
    <n v="0"/>
    <n v="768.77283999999952"/>
    <n v="0"/>
    <n v="453.43138173922222"/>
    <x v="2"/>
  </r>
  <r>
    <s v="Sistema Isolado - Regular"/>
    <x v="2"/>
    <x v="2"/>
    <x v="1"/>
    <x v="1"/>
    <x v="2"/>
    <x v="0"/>
    <x v="2"/>
    <x v="10"/>
    <n v="0"/>
    <n v="0"/>
    <n v="24.166"/>
    <n v="24.166"/>
    <n v="24.166"/>
    <n v="24.166"/>
    <n v="0"/>
    <s v="CATIVO"/>
    <n v="0"/>
    <n v="0"/>
    <n v="45"/>
    <n v="77"/>
    <n v="0"/>
    <n v="273.93"/>
    <n v="236.63"/>
    <m/>
    <n v="327.21833837526083"/>
    <n v="316.00497871224974"/>
    <n v="0"/>
    <n v="1682.1952599999991"/>
    <n v="0"/>
    <n v="992.17880940873272"/>
    <x v="2"/>
  </r>
  <r>
    <s v="Sistema Isolado - Refaturamento"/>
    <x v="2"/>
    <x v="2"/>
    <x v="1"/>
    <x v="1"/>
    <x v="2"/>
    <x v="0"/>
    <x v="2"/>
    <x v="10"/>
    <n v="0"/>
    <n v="0"/>
    <n v="8.843"/>
    <n v="8.843"/>
    <n v="8.843"/>
    <n v="8.843"/>
    <n v="0"/>
    <s v="CATIVO"/>
    <n v="0"/>
    <n v="0"/>
    <n v="45"/>
    <n v="77"/>
    <n v="0"/>
    <n v="273.93"/>
    <n v="236.63"/>
    <m/>
    <n v="327.21833837526083"/>
    <n v="316.00497871224974"/>
    <n v="0"/>
    <n v="615.56122999999957"/>
    <n v="0"/>
    <n v="363.06534848967243"/>
    <x v="2"/>
  </r>
  <r>
    <s v="PROJETADO"/>
    <x v="2"/>
    <x v="2"/>
    <x v="1"/>
    <x v="1"/>
    <x v="2"/>
    <x v="0"/>
    <x v="2"/>
    <x v="11"/>
    <n v="0"/>
    <n v="0"/>
    <n v="24.166"/>
    <n v="24.166"/>
    <n v="24.166"/>
    <n v="24.166"/>
    <n v="0"/>
    <s v="CATIVO"/>
    <n v="0"/>
    <n v="0"/>
    <n v="45"/>
    <n v="77"/>
    <n v="0"/>
    <n v="273.93"/>
    <n v="236.63"/>
    <m/>
    <n v="327.21833837526083"/>
    <n v="316.00497871224974"/>
    <n v="0"/>
    <n v="1682.1952599999991"/>
    <n v="0"/>
    <n v="992.17880940873272"/>
    <x v="2"/>
  </r>
  <r>
    <s v="PROJETADO"/>
    <x v="2"/>
    <x v="2"/>
    <x v="1"/>
    <x v="1"/>
    <x v="2"/>
    <x v="0"/>
    <x v="2"/>
    <x v="11"/>
    <n v="0"/>
    <n v="0"/>
    <n v="8.843"/>
    <n v="8.843"/>
    <n v="8.843"/>
    <n v="8.843"/>
    <n v="0"/>
    <s v="CATIVO"/>
    <n v="0"/>
    <n v="0"/>
    <n v="45"/>
    <n v="77"/>
    <n v="0"/>
    <n v="273.93"/>
    <n v="236.63"/>
    <m/>
    <n v="327.21833837526083"/>
    <n v="316.00497871224974"/>
    <n v="0"/>
    <n v="615.56122999999957"/>
    <n v="0"/>
    <n v="363.06534848967243"/>
    <x v="2"/>
  </r>
  <r>
    <s v="Sistema Isolado - Regular"/>
    <x v="2"/>
    <x v="2"/>
    <x v="1"/>
    <x v="1"/>
    <x v="1"/>
    <x v="0"/>
    <x v="2"/>
    <x v="0"/>
    <n v="0"/>
    <n v="0"/>
    <n v="51.384999999999998"/>
    <n v="16.957049999999999"/>
    <n v="51.384999999999998"/>
    <n v="16.957049999999999"/>
    <n v="0"/>
    <s v="CATIVO"/>
    <n v="0"/>
    <n v="0"/>
    <n v="25"/>
    <n v="77"/>
    <n v="0"/>
    <n v="261.48"/>
    <n v="236.63"/>
    <m/>
    <n v="327.21833837526083"/>
    <n v="316.00497871224974"/>
    <n v="0"/>
    <n v="21365.559274499996"/>
    <n v="0"/>
    <n v="24254.564251557542"/>
    <x v="1"/>
  </r>
  <r>
    <s v="Sistema Isolado - Regular"/>
    <x v="2"/>
    <x v="2"/>
    <x v="1"/>
    <x v="1"/>
    <x v="1"/>
    <x v="0"/>
    <x v="2"/>
    <x v="1"/>
    <n v="0"/>
    <n v="0"/>
    <n v="56.213999999999999"/>
    <n v="18.550619999999999"/>
    <n v="56.213999999999999"/>
    <n v="18.550619999999999"/>
    <n v="0"/>
    <s v="CATIVO"/>
    <n v="0"/>
    <n v="0"/>
    <n v="25"/>
    <n v="77"/>
    <n v="0"/>
    <n v="261.48"/>
    <n v="236.63"/>
    <m/>
    <n v="327.21833837526083"/>
    <n v="316.00497871224974"/>
    <n v="0"/>
    <n v="23373.427051799998"/>
    <n v="0"/>
    <n v="26533.931591652348"/>
    <x v="1"/>
  </r>
  <r>
    <s v="Sistema Isolado - Regular"/>
    <x v="2"/>
    <x v="2"/>
    <x v="1"/>
    <x v="1"/>
    <x v="1"/>
    <x v="0"/>
    <x v="2"/>
    <x v="2"/>
    <n v="0"/>
    <n v="0"/>
    <n v="114.125"/>
    <n v="37.661250000000003"/>
    <n v="114.125"/>
    <n v="37.661250000000003"/>
    <n v="0"/>
    <s v="CATIVO"/>
    <n v="0"/>
    <n v="0"/>
    <n v="25"/>
    <n v="77"/>
    <n v="0"/>
    <n v="261.48"/>
    <n v="236.63"/>
    <m/>
    <n v="327.21833837526083"/>
    <n v="316.00497871224974"/>
    <n v="0"/>
    <n v="47452.456012499999"/>
    <n v="0"/>
    <n v="53868.875064882843"/>
    <x v="1"/>
  </r>
  <r>
    <s v="Sistema Isolado - Regular"/>
    <x v="2"/>
    <x v="2"/>
    <x v="1"/>
    <x v="1"/>
    <x v="1"/>
    <x v="0"/>
    <x v="2"/>
    <x v="3"/>
    <n v="0"/>
    <n v="0"/>
    <n v="101.014"/>
    <n v="33.334620000000001"/>
    <n v="101.014"/>
    <n v="33.334620000000001"/>
    <n v="0"/>
    <s v="CATIVO"/>
    <n v="0"/>
    <n v="0"/>
    <n v="25"/>
    <n v="77"/>
    <n v="0"/>
    <n v="261.48"/>
    <n v="236.63"/>
    <m/>
    <n v="327.21833837526083"/>
    <n v="316.00497871224974"/>
    <n v="0"/>
    <n v="42000.984811799994"/>
    <n v="0"/>
    <n v="47680.267652171518"/>
    <x v="1"/>
  </r>
  <r>
    <s v="Sistema Isolado - Regular"/>
    <x v="2"/>
    <x v="2"/>
    <x v="1"/>
    <x v="1"/>
    <x v="1"/>
    <x v="0"/>
    <x v="2"/>
    <x v="4"/>
    <n v="0"/>
    <n v="0"/>
    <n v="40.966000000000001"/>
    <n v="13.51878"/>
    <n v="40.966000000000001"/>
    <n v="13.51878"/>
    <n v="0"/>
    <s v="CATIVO"/>
    <n v="0"/>
    <n v="0"/>
    <n v="25"/>
    <n v="77"/>
    <n v="0"/>
    <n v="261.48"/>
    <n v="236.63"/>
    <m/>
    <n v="327.21833837526083"/>
    <n v="316.00497871224974"/>
    <n v="0"/>
    <n v="17033.404714199998"/>
    <n v="0"/>
    <n v="19336.625068197071"/>
    <x v="1"/>
  </r>
  <r>
    <s v="Sistema Isolado - Refaturamento"/>
    <x v="2"/>
    <x v="2"/>
    <x v="1"/>
    <x v="1"/>
    <x v="1"/>
    <x v="0"/>
    <x v="2"/>
    <x v="4"/>
    <n v="0"/>
    <n v="0"/>
    <n v="7.3369999999999997"/>
    <n v="2.4212099999999999"/>
    <n v="7.3369999999999997"/>
    <n v="2.4212099999999999"/>
    <n v="0"/>
    <s v="CATIVO"/>
    <n v="0"/>
    <n v="0"/>
    <n v="25"/>
    <n v="77"/>
    <n v="0"/>
    <n v="261.48"/>
    <n v="236.63"/>
    <m/>
    <n v="327.21833837526083"/>
    <n v="316.00497871224974"/>
    <n v="0"/>
    <n v="3050.6783768999994"/>
    <n v="0"/>
    <n v="3463.1845463399372"/>
    <x v="1"/>
  </r>
  <r>
    <s v="Sistema Isolado - Regular"/>
    <x v="2"/>
    <x v="2"/>
    <x v="1"/>
    <x v="1"/>
    <x v="1"/>
    <x v="0"/>
    <x v="2"/>
    <x v="5"/>
    <n v="0"/>
    <n v="0"/>
    <n v="40.966000000000001"/>
    <n v="13.51878"/>
    <n v="40.966000000000001"/>
    <n v="13.51878"/>
    <n v="0"/>
    <s v="CATIVO"/>
    <n v="0"/>
    <n v="0"/>
    <n v="25"/>
    <n v="77"/>
    <n v="0"/>
    <n v="261.48"/>
    <n v="236.63"/>
    <m/>
    <n v="327.21833837526083"/>
    <n v="316.00497871224974"/>
    <n v="0"/>
    <n v="17033.404714199998"/>
    <n v="0"/>
    <n v="19336.625068197071"/>
    <x v="1"/>
  </r>
  <r>
    <s v="Sistema Isolado - Refaturamento"/>
    <x v="2"/>
    <x v="2"/>
    <x v="1"/>
    <x v="1"/>
    <x v="1"/>
    <x v="0"/>
    <x v="2"/>
    <x v="5"/>
    <n v="0"/>
    <n v="0"/>
    <n v="7.3369999999999997"/>
    <n v="2.4212099999999999"/>
    <n v="7.3369999999999997"/>
    <n v="2.4212099999999999"/>
    <n v="0"/>
    <s v="CATIVO"/>
    <n v="0"/>
    <n v="0"/>
    <n v="25"/>
    <n v="77"/>
    <n v="0"/>
    <n v="261.48"/>
    <n v="236.63"/>
    <m/>
    <n v="327.21833837526083"/>
    <n v="316.00497871224974"/>
    <n v="0"/>
    <n v="3050.6783768999994"/>
    <n v="0"/>
    <n v="3463.1845463399372"/>
    <x v="1"/>
  </r>
  <r>
    <s v="Sistema Isolado - Regular"/>
    <x v="2"/>
    <x v="2"/>
    <x v="1"/>
    <x v="1"/>
    <x v="1"/>
    <x v="0"/>
    <x v="2"/>
    <x v="6"/>
    <n v="0"/>
    <n v="0"/>
    <n v="28.706"/>
    <n v="9.4729799999999997"/>
    <n v="28.706"/>
    <n v="9.4729799999999997"/>
    <n v="0"/>
    <s v="CATIVO"/>
    <n v="0"/>
    <n v="0"/>
    <n v="25"/>
    <n v="77"/>
    <n v="0"/>
    <n v="261.48"/>
    <n v="236.63"/>
    <m/>
    <n v="327.21833837526083"/>
    <n v="316.00497871224974"/>
    <n v="0"/>
    <n v="11935.773952199997"/>
    <n v="0"/>
    <n v="13549.703637349632"/>
    <x v="1"/>
  </r>
  <r>
    <s v="Sistema Isolado - Refaturamento"/>
    <x v="2"/>
    <x v="2"/>
    <x v="1"/>
    <x v="1"/>
    <x v="1"/>
    <x v="0"/>
    <x v="2"/>
    <x v="6"/>
    <n v="0"/>
    <n v="0"/>
    <n v="18.808"/>
    <n v="6.2066400000000002"/>
    <n v="18.808"/>
    <n v="6.2066400000000002"/>
    <n v="0"/>
    <s v="CATIVO"/>
    <n v="0"/>
    <n v="0"/>
    <n v="25"/>
    <n v="77"/>
    <n v="0"/>
    <n v="261.48"/>
    <n v="236.63"/>
    <m/>
    <n v="327.21833837526083"/>
    <n v="316.00497871224974"/>
    <n v="0"/>
    <n v="7820.2479095999988"/>
    <n v="0"/>
    <n v="8877.6850139786766"/>
    <x v="1"/>
  </r>
  <r>
    <s v="Sistema Isolado - Regular"/>
    <x v="2"/>
    <x v="2"/>
    <x v="1"/>
    <x v="1"/>
    <x v="1"/>
    <x v="0"/>
    <x v="2"/>
    <x v="7"/>
    <n v="0"/>
    <n v="0"/>
    <n v="12.865"/>
    <n v="4.2454499999999999"/>
    <n v="12.865"/>
    <n v="4.2454499999999999"/>
    <n v="0"/>
    <s v="CATIVO"/>
    <n v="0"/>
    <n v="0"/>
    <n v="25"/>
    <n v="77"/>
    <n v="0"/>
    <n v="261.48"/>
    <n v="236.63"/>
    <m/>
    <n v="327.21833837526083"/>
    <n v="316.00497871224974"/>
    <n v="0"/>
    <n v="5349.1859504999993"/>
    <n v="0"/>
    <n v="6072.491370950429"/>
    <x v="1"/>
  </r>
  <r>
    <s v="Sistema Isolado - Refaturamento"/>
    <x v="2"/>
    <x v="2"/>
    <x v="1"/>
    <x v="1"/>
    <x v="1"/>
    <x v="0"/>
    <x v="2"/>
    <x v="7"/>
    <n v="0"/>
    <n v="0"/>
    <n v="-12.435"/>
    <n v="-4.1035500000000003"/>
    <n v="-12.435"/>
    <n v="-4.1035500000000003"/>
    <n v="0"/>
    <s v="CATIVO"/>
    <n v="0"/>
    <n v="0"/>
    <n v="25"/>
    <n v="77"/>
    <n v="0"/>
    <n v="261.48"/>
    <n v="236.63"/>
    <m/>
    <n v="327.21833837526083"/>
    <n v="316.00497871224974"/>
    <n v="0"/>
    <n v="-5170.3946594999998"/>
    <n v="0"/>
    <n v="-5869.5243060838393"/>
    <x v="1"/>
  </r>
  <r>
    <s v="Sistema Isolado - Regular"/>
    <x v="2"/>
    <x v="2"/>
    <x v="1"/>
    <x v="1"/>
    <x v="1"/>
    <x v="0"/>
    <x v="2"/>
    <x v="8"/>
    <n v="0"/>
    <n v="0"/>
    <n v="11.131"/>
    <n v="3.6732300000000002"/>
    <n v="11.131"/>
    <n v="3.6732300000000002"/>
    <n v="0"/>
    <s v="CATIVO"/>
    <n v="0"/>
    <n v="0"/>
    <n v="25"/>
    <n v="77"/>
    <n v="0"/>
    <n v="261.48"/>
    <n v="236.63"/>
    <m/>
    <n v="327.21833837526083"/>
    <n v="316.00497871224974"/>
    <n v="0"/>
    <n v="4628.1996746999994"/>
    <n v="0"/>
    <n v="5254.0148814651557"/>
    <x v="1"/>
  </r>
  <r>
    <s v="Sistema Isolado - Regular"/>
    <x v="2"/>
    <x v="2"/>
    <x v="1"/>
    <x v="1"/>
    <x v="1"/>
    <x v="0"/>
    <x v="2"/>
    <x v="9"/>
    <n v="0"/>
    <n v="0"/>
    <n v="17.03"/>
    <n v="5.6199000000000003"/>
    <n v="17.03"/>
    <n v="5.6199000000000003"/>
    <n v="0"/>
    <s v="CATIVO"/>
    <n v="0"/>
    <n v="0"/>
    <n v="25"/>
    <n v="77"/>
    <n v="0"/>
    <n v="261.48"/>
    <n v="236.63"/>
    <m/>
    <n v="327.21833837526083"/>
    <n v="316.00497871224974"/>
    <n v="0"/>
    <n v="7080.9667109999991"/>
    <n v="0"/>
    <n v="8038.439801576822"/>
    <x v="1"/>
  </r>
  <r>
    <s v="Sistema Isolado - Regular"/>
    <x v="2"/>
    <x v="2"/>
    <x v="1"/>
    <x v="1"/>
    <x v="1"/>
    <x v="0"/>
    <x v="2"/>
    <x v="10"/>
    <n v="0"/>
    <n v="0"/>
    <n v="26.576000000000001"/>
    <n v="8.7700800000000001"/>
    <n v="26.576000000000001"/>
    <n v="8.7700800000000001"/>
    <n v="0"/>
    <s v="CATIVO"/>
    <n v="0"/>
    <n v="0"/>
    <n v="25"/>
    <n v="77"/>
    <n v="0"/>
    <n v="261.48"/>
    <n v="236.63"/>
    <m/>
    <n v="327.21833837526083"/>
    <n v="316.00497871224974"/>
    <n v="0"/>
    <n v="11050.133371199998"/>
    <n v="0"/>
    <n v="12544.308641615127"/>
    <x v="1"/>
  </r>
  <r>
    <s v="Sistema Isolado - Refaturamento"/>
    <x v="2"/>
    <x v="2"/>
    <x v="1"/>
    <x v="1"/>
    <x v="1"/>
    <x v="0"/>
    <x v="2"/>
    <x v="10"/>
    <n v="0"/>
    <n v="0"/>
    <n v="4.5650000000000004"/>
    <n v="1.5064500000000001"/>
    <n v="4.5650000000000004"/>
    <n v="1.5064500000000001"/>
    <n v="0"/>
    <s v="CATIVO"/>
    <n v="0"/>
    <n v="0"/>
    <n v="25"/>
    <n v="77"/>
    <n v="0"/>
    <n v="261.48"/>
    <n v="236.63"/>
    <m/>
    <n v="327.21833837526083"/>
    <n v="316.00497871224974"/>
    <n v="0"/>
    <n v="1898.0982405"/>
    <n v="0"/>
    <n v="2154.7550025953137"/>
    <x v="1"/>
  </r>
  <r>
    <s v="PROJETADO"/>
    <x v="2"/>
    <x v="2"/>
    <x v="1"/>
    <x v="1"/>
    <x v="1"/>
    <x v="0"/>
    <x v="2"/>
    <x v="11"/>
    <n v="0"/>
    <n v="0"/>
    <n v="26.576000000000001"/>
    <n v="8.7700800000000001"/>
    <n v="26.576000000000001"/>
    <n v="8.7700800000000001"/>
    <n v="0"/>
    <s v="CATIVO"/>
    <n v="0"/>
    <n v="0"/>
    <n v="25"/>
    <n v="77"/>
    <n v="0"/>
    <n v="261.48"/>
    <n v="236.63"/>
    <m/>
    <n v="327.21833837526083"/>
    <n v="316.00497871224974"/>
    <n v="0"/>
    <n v="11050.133371199998"/>
    <n v="0"/>
    <n v="12544.308641615127"/>
    <x v="1"/>
  </r>
  <r>
    <s v="PROJETADO"/>
    <x v="2"/>
    <x v="2"/>
    <x v="1"/>
    <x v="1"/>
    <x v="1"/>
    <x v="0"/>
    <x v="2"/>
    <x v="11"/>
    <n v="0"/>
    <n v="0"/>
    <n v="4.5650000000000004"/>
    <n v="1.5064500000000001"/>
    <n v="4.5650000000000004"/>
    <n v="1.5064500000000001"/>
    <n v="0"/>
    <s v="CATIVO"/>
    <n v="0"/>
    <n v="0"/>
    <n v="25"/>
    <n v="77"/>
    <n v="0"/>
    <n v="261.48"/>
    <n v="236.63"/>
    <m/>
    <n v="327.21833837526083"/>
    <n v="316.00497871224974"/>
    <n v="0"/>
    <n v="1898.0982405"/>
    <n v="0"/>
    <n v="2154.7550025953137"/>
    <x v="1"/>
  </r>
  <r>
    <s v="Sistema Isolado - Regular"/>
    <x v="2"/>
    <x v="2"/>
    <x v="1"/>
    <x v="2"/>
    <x v="0"/>
    <x v="0"/>
    <x v="2"/>
    <x v="0"/>
    <n v="0"/>
    <n v="0"/>
    <n v="4749.16"/>
    <n v="4749.16"/>
    <n v="4749.16"/>
    <n v="4749.16"/>
    <n v="20785"/>
    <s v="CATIVO"/>
    <n v="0"/>
    <n v="0"/>
    <n v="45"/>
    <n v="77"/>
    <n v="0"/>
    <n v="273.93"/>
    <n v="236.63"/>
    <m/>
    <n v="327.21833837526083"/>
    <n v="316.00497871224974"/>
    <n v="0"/>
    <n v="330589.0275999998"/>
    <n v="0"/>
    <n v="194985.34778165922"/>
    <x v="2"/>
  </r>
  <r>
    <s v="Sistema Isolado - Refaturamento"/>
    <x v="2"/>
    <x v="2"/>
    <x v="1"/>
    <x v="2"/>
    <x v="0"/>
    <x v="0"/>
    <x v="2"/>
    <x v="0"/>
    <n v="0"/>
    <n v="0"/>
    <n v="-12.611000000000001"/>
    <n v="-12.611000000000001"/>
    <n v="-12.611000000000001"/>
    <n v="-12.611000000000001"/>
    <n v="-141"/>
    <s v="CATIVO"/>
    <n v="0"/>
    <n v="0"/>
    <n v="45"/>
    <n v="77"/>
    <n v="0"/>
    <n v="273.93"/>
    <n v="236.63"/>
    <m/>
    <n v="327.21833837526083"/>
    <n v="316.00497871224974"/>
    <n v="0"/>
    <n v="-877.85170999999946"/>
    <n v="0"/>
    <n v="-517.76739905046463"/>
    <x v="2"/>
  </r>
  <r>
    <s v="Sistema de Compensação"/>
    <x v="2"/>
    <x v="2"/>
    <x v="1"/>
    <x v="2"/>
    <x v="0"/>
    <x v="0"/>
    <x v="2"/>
    <x v="0"/>
    <n v="0"/>
    <n v="0"/>
    <n v="10.558"/>
    <n v="10.558"/>
    <n v="10.558"/>
    <n v="10.558"/>
    <n v="18"/>
    <s v="CATIVO"/>
    <n v="0"/>
    <n v="0"/>
    <n v="45"/>
    <n v="77"/>
    <n v="0"/>
    <n v="273.93"/>
    <n v="236.63"/>
    <m/>
    <n v="327.21833837526083"/>
    <n v="316.00497871224974"/>
    <n v="0"/>
    <n v="734.9423799999995"/>
    <n v="0"/>
    <n v="433.47777330701814"/>
    <x v="2"/>
  </r>
  <r>
    <s v="Sistema Isolado - Regular"/>
    <x v="2"/>
    <x v="2"/>
    <x v="1"/>
    <x v="2"/>
    <x v="0"/>
    <x v="0"/>
    <x v="2"/>
    <x v="1"/>
    <n v="0"/>
    <n v="0"/>
    <n v="4572.6369999999997"/>
    <n v="4572.6369999999997"/>
    <n v="4572.6369999999997"/>
    <n v="4572.6369999999997"/>
    <n v="20901"/>
    <s v="CATIVO"/>
    <n v="0"/>
    <n v="0"/>
    <n v="45"/>
    <n v="77"/>
    <n v="0"/>
    <n v="273.93"/>
    <n v="236.63"/>
    <m/>
    <n v="327.21833837526083"/>
    <n v="316.00497871224974"/>
    <n v="0"/>
    <n v="318301.2615699998"/>
    <n v="0"/>
    <n v="187737.87695598439"/>
    <x v="2"/>
  </r>
  <r>
    <s v="Sistema Isolado - Refaturamento"/>
    <x v="2"/>
    <x v="2"/>
    <x v="1"/>
    <x v="2"/>
    <x v="0"/>
    <x v="0"/>
    <x v="2"/>
    <x v="1"/>
    <n v="0"/>
    <n v="0"/>
    <n v="-1.2390000000000001"/>
    <n v="-1.2390000000000001"/>
    <n v="-1.2390000000000001"/>
    <n v="-1.2390000000000001"/>
    <n v="-1"/>
    <s v="CATIVO"/>
    <n v="0"/>
    <n v="0"/>
    <n v="45"/>
    <n v="77"/>
    <n v="0"/>
    <n v="273.93"/>
    <n v="236.63"/>
    <m/>
    <n v="327.21833837526083"/>
    <n v="316.00497871224974"/>
    <n v="0"/>
    <n v="-86.246789999999947"/>
    <n v="0"/>
    <n v="-50.86938445987834"/>
    <x v="2"/>
  </r>
  <r>
    <s v="Sistema de Compensação"/>
    <x v="2"/>
    <x v="2"/>
    <x v="1"/>
    <x v="2"/>
    <x v="0"/>
    <x v="0"/>
    <x v="2"/>
    <x v="1"/>
    <n v="0"/>
    <n v="0"/>
    <n v="12.677"/>
    <n v="12.677"/>
    <n v="12.677"/>
    <n v="12.677"/>
    <n v="22"/>
    <s v="CATIVO"/>
    <n v="0"/>
    <n v="0"/>
    <n v="45"/>
    <n v="77"/>
    <n v="0"/>
    <n v="273.93"/>
    <n v="236.63"/>
    <m/>
    <n v="327.21833837526083"/>
    <n v="316.00497871224974"/>
    <n v="0"/>
    <n v="882.44596999999942"/>
    <n v="0"/>
    <n v="520.47714834372687"/>
    <x v="2"/>
  </r>
  <r>
    <s v="Sistema Isolado - Regular"/>
    <x v="2"/>
    <x v="2"/>
    <x v="1"/>
    <x v="2"/>
    <x v="0"/>
    <x v="0"/>
    <x v="2"/>
    <x v="2"/>
    <n v="0"/>
    <n v="0"/>
    <n v="4610.8729999999996"/>
    <n v="4610.8729999999996"/>
    <n v="4610.8729999999996"/>
    <n v="4610.8729999999996"/>
    <n v="21236"/>
    <s v="CATIVO"/>
    <n v="0"/>
    <n v="0"/>
    <n v="45"/>
    <n v="77"/>
    <n v="0"/>
    <n v="273.93"/>
    <n v="236.63"/>
    <m/>
    <n v="327.21833837526083"/>
    <n v="316.00497871224974"/>
    <n v="0"/>
    <n v="320962.86952999979"/>
    <n v="0"/>
    <n v="189307.72504654768"/>
    <x v="2"/>
  </r>
  <r>
    <s v="Sistema Isolado - Refaturamento"/>
    <x v="2"/>
    <x v="2"/>
    <x v="1"/>
    <x v="2"/>
    <x v="0"/>
    <x v="0"/>
    <x v="2"/>
    <x v="2"/>
    <n v="0"/>
    <n v="0"/>
    <n v="-35.445999999999998"/>
    <n v="-35.445999999999998"/>
    <n v="-35.445999999999998"/>
    <n v="-35.445999999999998"/>
    <n v="-10"/>
    <s v="CATIVO"/>
    <n v="0"/>
    <n v="0"/>
    <n v="45"/>
    <n v="77"/>
    <n v="0"/>
    <n v="273.93"/>
    <n v="236.63"/>
    <m/>
    <n v="327.21833837526083"/>
    <n v="316.00497871224974"/>
    <n v="0"/>
    <n v="-2467.3960599999982"/>
    <n v="0"/>
    <n v="-1455.2995977117412"/>
    <x v="2"/>
  </r>
  <r>
    <s v="Sistema de Compensação"/>
    <x v="2"/>
    <x v="2"/>
    <x v="1"/>
    <x v="2"/>
    <x v="0"/>
    <x v="0"/>
    <x v="2"/>
    <x v="2"/>
    <n v="0"/>
    <n v="0"/>
    <n v="12.787000000000001"/>
    <n v="12.787000000000001"/>
    <n v="12.787000000000001"/>
    <n v="12.787000000000001"/>
    <n v="23"/>
    <s v="CATIVO"/>
    <n v="0"/>
    <n v="0"/>
    <n v="45"/>
    <n v="77"/>
    <n v="0"/>
    <n v="273.93"/>
    <n v="236.63"/>
    <m/>
    <n v="327.21833837526083"/>
    <n v="316.00497871224974"/>
    <n v="0"/>
    <n v="890.10306999999955"/>
    <n v="0"/>
    <n v="524.99339716583074"/>
    <x v="2"/>
  </r>
  <r>
    <s v="Sistema Isolado - Regular"/>
    <x v="2"/>
    <x v="2"/>
    <x v="1"/>
    <x v="2"/>
    <x v="0"/>
    <x v="0"/>
    <x v="2"/>
    <x v="3"/>
    <n v="0"/>
    <n v="0"/>
    <n v="4667.0829999999996"/>
    <n v="4667.0829999999996"/>
    <n v="4667.0829999999996"/>
    <n v="4667.0829999999996"/>
    <n v="21352"/>
    <s v="CATIVO"/>
    <n v="0"/>
    <n v="0"/>
    <n v="45"/>
    <n v="77"/>
    <n v="0"/>
    <n v="273.93"/>
    <n v="236.63"/>
    <m/>
    <n v="327.21833837526083"/>
    <n v="316.00497871224974"/>
    <n v="0"/>
    <n v="324875.64762999979"/>
    <n v="0"/>
    <n v="191615.52819464271"/>
    <x v="2"/>
  </r>
  <r>
    <s v="Sistema Isolado - Refaturamento"/>
    <x v="2"/>
    <x v="2"/>
    <x v="1"/>
    <x v="2"/>
    <x v="0"/>
    <x v="0"/>
    <x v="2"/>
    <x v="3"/>
    <n v="0"/>
    <n v="0"/>
    <n v="-10.644"/>
    <n v="-10.644"/>
    <n v="-10.644"/>
    <n v="-10.644"/>
    <n v="-119"/>
    <s v="CATIVO"/>
    <n v="0"/>
    <n v="0"/>
    <n v="45"/>
    <n v="77"/>
    <n v="0"/>
    <n v="273.93"/>
    <n v="236.63"/>
    <m/>
    <n v="327.21833837526083"/>
    <n v="316.00497871224974"/>
    <n v="0"/>
    <n v="-740.92883999999958"/>
    <n v="0"/>
    <n v="-437.00865874975381"/>
    <x v="2"/>
  </r>
  <r>
    <s v="Sistema de Compensação"/>
    <x v="2"/>
    <x v="2"/>
    <x v="1"/>
    <x v="2"/>
    <x v="0"/>
    <x v="0"/>
    <x v="2"/>
    <x v="3"/>
    <n v="0"/>
    <n v="0"/>
    <n v="15.285"/>
    <n v="15.285"/>
    <n v="15.285"/>
    <n v="15.285"/>
    <n v="23"/>
    <s v="CATIVO"/>
    <n v="0"/>
    <n v="0"/>
    <n v="45"/>
    <n v="77"/>
    <n v="0"/>
    <n v="273.93"/>
    <n v="236.63"/>
    <m/>
    <n v="327.21833837526083"/>
    <n v="316.00497871224974"/>
    <n v="0"/>
    <n v="1063.9888499999993"/>
    <n v="0"/>
    <n v="627.55330223506076"/>
    <x v="2"/>
  </r>
  <r>
    <s v="Sistema Isolado - Regular"/>
    <x v="2"/>
    <x v="2"/>
    <x v="1"/>
    <x v="2"/>
    <x v="0"/>
    <x v="0"/>
    <x v="2"/>
    <x v="4"/>
    <n v="0"/>
    <n v="0"/>
    <n v="4556.893"/>
    <n v="4556.893"/>
    <n v="4556.893"/>
    <n v="4556.893"/>
    <n v="21403"/>
    <s v="CATIVO"/>
    <n v="0"/>
    <n v="0"/>
    <n v="45"/>
    <n v="77"/>
    <n v="0"/>
    <n v="273.93"/>
    <n v="236.63"/>
    <m/>
    <n v="327.21833837526083"/>
    <n v="316.00497871224974"/>
    <n v="0"/>
    <n v="317205.32172999979"/>
    <n v="0"/>
    <n v="187091.47857911894"/>
    <x v="2"/>
  </r>
  <r>
    <s v="Sistema Isolado - Refaturamento"/>
    <x v="2"/>
    <x v="2"/>
    <x v="1"/>
    <x v="2"/>
    <x v="0"/>
    <x v="0"/>
    <x v="2"/>
    <x v="4"/>
    <n v="0"/>
    <n v="0"/>
    <n v="-10.068"/>
    <n v="-10.068"/>
    <n v="-10.068"/>
    <n v="-10.068"/>
    <n v="-23"/>
    <s v="CATIVO"/>
    <n v="0"/>
    <n v="0"/>
    <n v="45"/>
    <n v="77"/>
    <n v="0"/>
    <n v="273.93"/>
    <n v="236.63"/>
    <m/>
    <n v="327.21833837526083"/>
    <n v="316.00497871224974"/>
    <n v="0"/>
    <n v="-700.83347999999955"/>
    <n v="0"/>
    <n v="-413.35993764491934"/>
    <x v="2"/>
  </r>
  <r>
    <s v="Sistema de Compensação"/>
    <x v="2"/>
    <x v="2"/>
    <x v="1"/>
    <x v="2"/>
    <x v="0"/>
    <x v="0"/>
    <x v="2"/>
    <x v="4"/>
    <n v="0"/>
    <n v="0"/>
    <n v="14.442"/>
    <n v="14.442"/>
    <n v="14.442"/>
    <n v="14.442"/>
    <n v="24"/>
    <s v="CATIVO"/>
    <n v="0"/>
    <n v="0"/>
    <n v="45"/>
    <n v="77"/>
    <n v="0"/>
    <n v="273.93"/>
    <n v="236.63"/>
    <m/>
    <n v="327.21833837526083"/>
    <n v="316.00497871224974"/>
    <n v="0"/>
    <n v="1005.3076199999994"/>
    <n v="0"/>
    <n v="592.94241353475616"/>
    <x v="2"/>
  </r>
  <r>
    <s v="Sistema Isolado - Regular"/>
    <x v="2"/>
    <x v="2"/>
    <x v="1"/>
    <x v="2"/>
    <x v="0"/>
    <x v="0"/>
    <x v="2"/>
    <x v="5"/>
    <n v="0"/>
    <n v="0"/>
    <n v="4556.893"/>
    <n v="4556.893"/>
    <n v="4556.893"/>
    <n v="4556.893"/>
    <n v="21403"/>
    <s v="CATIVO"/>
    <n v="0"/>
    <n v="0"/>
    <n v="45"/>
    <n v="77"/>
    <n v="0"/>
    <n v="273.93"/>
    <n v="236.63"/>
    <m/>
    <n v="327.21833837526083"/>
    <n v="316.00497871224974"/>
    <n v="0"/>
    <n v="317205.32172999979"/>
    <n v="0"/>
    <n v="187091.47857911894"/>
    <x v="2"/>
  </r>
  <r>
    <s v="Sistema Isolado - Refaturamento"/>
    <x v="2"/>
    <x v="2"/>
    <x v="1"/>
    <x v="2"/>
    <x v="0"/>
    <x v="0"/>
    <x v="2"/>
    <x v="5"/>
    <n v="0"/>
    <n v="0"/>
    <n v="-10.068"/>
    <n v="-10.068"/>
    <n v="-10.068"/>
    <n v="-10.068"/>
    <n v="-23"/>
    <s v="CATIVO"/>
    <n v="0"/>
    <n v="0"/>
    <n v="45"/>
    <n v="77"/>
    <n v="0"/>
    <n v="273.93"/>
    <n v="236.63"/>
    <m/>
    <n v="327.21833837526083"/>
    <n v="316.00497871224974"/>
    <n v="0"/>
    <n v="-700.83347999999955"/>
    <n v="0"/>
    <n v="-413.35993764491934"/>
    <x v="2"/>
  </r>
  <r>
    <s v="Sistema de Compensação"/>
    <x v="2"/>
    <x v="2"/>
    <x v="1"/>
    <x v="2"/>
    <x v="0"/>
    <x v="0"/>
    <x v="2"/>
    <x v="5"/>
    <n v="0"/>
    <n v="0"/>
    <n v="14.442"/>
    <n v="14.442"/>
    <n v="14.442"/>
    <n v="14.442"/>
    <n v="24"/>
    <s v="CATIVO"/>
    <n v="0"/>
    <n v="0"/>
    <n v="45"/>
    <n v="77"/>
    <n v="0"/>
    <n v="273.93"/>
    <n v="236.63"/>
    <m/>
    <n v="327.21833837526083"/>
    <n v="316.00497871224974"/>
    <n v="0"/>
    <n v="1005.3076199999994"/>
    <n v="0"/>
    <n v="592.94241353475616"/>
    <x v="2"/>
  </r>
  <r>
    <s v="Sistema Isolado - Regular"/>
    <x v="2"/>
    <x v="2"/>
    <x v="1"/>
    <x v="2"/>
    <x v="0"/>
    <x v="0"/>
    <x v="2"/>
    <x v="6"/>
    <n v="0"/>
    <n v="0"/>
    <n v="4387.3059999999996"/>
    <n v="4387.3059999999996"/>
    <n v="4387.3059999999996"/>
    <n v="4387.3059999999996"/>
    <n v="21390"/>
    <s v="CATIVO"/>
    <n v="0"/>
    <n v="0"/>
    <n v="45"/>
    <n v="77"/>
    <n v="0"/>
    <n v="273.93"/>
    <n v="236.63"/>
    <m/>
    <n v="327.21833837526083"/>
    <n v="316.00497871224974"/>
    <n v="0"/>
    <n v="305400.37065999978"/>
    <n v="0"/>
    <n v="180128.77777008148"/>
    <x v="2"/>
  </r>
  <r>
    <s v="Sistema Isolado - Refaturamento"/>
    <x v="2"/>
    <x v="2"/>
    <x v="1"/>
    <x v="2"/>
    <x v="0"/>
    <x v="0"/>
    <x v="2"/>
    <x v="6"/>
    <n v="0"/>
    <n v="0"/>
    <n v="-14.311999999999999"/>
    <n v="-14.311999999999999"/>
    <n v="-14.311999999999999"/>
    <n v="-14.311999999999999"/>
    <n v="0"/>
    <s v="CATIVO"/>
    <n v="0"/>
    <n v="0"/>
    <n v="45"/>
    <n v="77"/>
    <n v="0"/>
    <n v="273.93"/>
    <n v="236.63"/>
    <m/>
    <n v="327.21833837526083"/>
    <n v="316.00497871224974"/>
    <n v="0"/>
    <n v="-996.25831999999934"/>
    <n v="0"/>
    <n v="-587.60502856317896"/>
    <x v="2"/>
  </r>
  <r>
    <s v="Sistema de Compensação"/>
    <x v="2"/>
    <x v="2"/>
    <x v="1"/>
    <x v="2"/>
    <x v="0"/>
    <x v="0"/>
    <x v="2"/>
    <x v="6"/>
    <n v="0"/>
    <n v="0"/>
    <n v="64.147999999999996"/>
    <n v="64.147999999999996"/>
    <n v="64.147999999999996"/>
    <n v="64.147999999999996"/>
    <n v="120"/>
    <s v="CATIVO"/>
    <n v="0"/>
    <n v="0"/>
    <n v="45"/>
    <n v="77"/>
    <n v="0"/>
    <n v="273.93"/>
    <n v="236.63"/>
    <m/>
    <n v="327.21833837526083"/>
    <n v="316.00497871224974"/>
    <n v="0"/>
    <n v="4465.3422799999971"/>
    <n v="0"/>
    <n v="2633.7120858210455"/>
    <x v="2"/>
  </r>
  <r>
    <s v="Sistema Isolado - Regular"/>
    <x v="2"/>
    <x v="2"/>
    <x v="1"/>
    <x v="2"/>
    <x v="0"/>
    <x v="0"/>
    <x v="2"/>
    <x v="7"/>
    <n v="0"/>
    <n v="0"/>
    <n v="4146.3980000000001"/>
    <n v="4146.3980000000001"/>
    <n v="4146.3980000000001"/>
    <n v="4146.3980000000001"/>
    <n v="21395"/>
    <s v="CATIVO"/>
    <n v="0"/>
    <n v="0"/>
    <n v="45"/>
    <n v="77"/>
    <n v="0"/>
    <n v="273.93"/>
    <n v="236.63"/>
    <m/>
    <n v="327.21833837526083"/>
    <n v="316.00497871224974"/>
    <n v="0"/>
    <n v="288630.76477999985"/>
    <n v="0"/>
    <n v="170237.86439521439"/>
    <x v="2"/>
  </r>
  <r>
    <s v="Sistema Isolado - Refaturamento"/>
    <x v="2"/>
    <x v="2"/>
    <x v="1"/>
    <x v="2"/>
    <x v="0"/>
    <x v="0"/>
    <x v="2"/>
    <x v="7"/>
    <n v="0"/>
    <n v="0"/>
    <n v="-4.468"/>
    <n v="-4.468"/>
    <n v="-4.468"/>
    <n v="-4.468"/>
    <n v="-1"/>
    <s v="CATIVO"/>
    <n v="0"/>
    <n v="0"/>
    <n v="45"/>
    <n v="77"/>
    <n v="0"/>
    <n v="273.93"/>
    <n v="236.63"/>
    <m/>
    <n v="327.21833837526083"/>
    <n v="316.00497871224974"/>
    <n v="0"/>
    <n v="-311.01747999999981"/>
    <n v="0"/>
    <n v="-183.44181579236189"/>
    <x v="2"/>
  </r>
  <r>
    <s v="Sistema de Compensação"/>
    <x v="2"/>
    <x v="2"/>
    <x v="1"/>
    <x v="2"/>
    <x v="0"/>
    <x v="0"/>
    <x v="2"/>
    <x v="7"/>
    <n v="0"/>
    <n v="0"/>
    <n v="15.835000000000001"/>
    <n v="15.835000000000001"/>
    <n v="15.835000000000001"/>
    <n v="15.835000000000001"/>
    <n v="33"/>
    <s v="CATIVO"/>
    <n v="0"/>
    <n v="0"/>
    <n v="45"/>
    <n v="77"/>
    <n v="0"/>
    <n v="273.93"/>
    <n v="236.63"/>
    <m/>
    <n v="327.21833837526083"/>
    <n v="316.00497871224974"/>
    <n v="0"/>
    <n v="1102.2743499999995"/>
    <n v="0"/>
    <n v="650.13454634557991"/>
    <x v="2"/>
  </r>
  <r>
    <s v="Sistema Isolado - Regular"/>
    <x v="2"/>
    <x v="2"/>
    <x v="1"/>
    <x v="2"/>
    <x v="0"/>
    <x v="0"/>
    <x v="2"/>
    <x v="8"/>
    <n v="0"/>
    <n v="0"/>
    <n v="4019.98"/>
    <n v="4019.98"/>
    <n v="4019.98"/>
    <n v="4019.98"/>
    <n v="21381"/>
    <s v="CATIVO"/>
    <n v="0"/>
    <n v="0"/>
    <n v="45"/>
    <n v="77"/>
    <n v="0"/>
    <n v="273.93"/>
    <n v="236.63"/>
    <m/>
    <n v="327.21833837526083"/>
    <n v="316.00497871224974"/>
    <n v="0"/>
    <n v="279830.80779999983"/>
    <n v="0"/>
    <n v="165047.54490800784"/>
    <x v="2"/>
  </r>
  <r>
    <s v="Sistema Isolado - Refaturamento"/>
    <x v="2"/>
    <x v="2"/>
    <x v="1"/>
    <x v="2"/>
    <x v="0"/>
    <x v="0"/>
    <x v="2"/>
    <x v="8"/>
    <n v="0"/>
    <n v="0"/>
    <n v="-7.952"/>
    <n v="-7.952"/>
    <n v="-7.952"/>
    <n v="-7.952"/>
    <n v="-17"/>
    <s v="CATIVO"/>
    <n v="0"/>
    <n v="0"/>
    <n v="45"/>
    <n v="77"/>
    <n v="0"/>
    <n v="273.93"/>
    <n v="236.63"/>
    <m/>
    <n v="327.21833837526083"/>
    <n v="316.00497871224974"/>
    <n v="0"/>
    <n v="-553.53871999999967"/>
    <n v="0"/>
    <n v="-326.48373303063158"/>
    <x v="2"/>
  </r>
  <r>
    <s v="Sistema de Compensação"/>
    <x v="2"/>
    <x v="2"/>
    <x v="1"/>
    <x v="2"/>
    <x v="0"/>
    <x v="0"/>
    <x v="2"/>
    <x v="8"/>
    <n v="0"/>
    <n v="0"/>
    <n v="30.071999999999999"/>
    <n v="30.071999999999999"/>
    <n v="30.071999999999999"/>
    <n v="30.071999999999999"/>
    <n v="36"/>
    <s v="CATIVO"/>
    <n v="0"/>
    <n v="0"/>
    <n v="45"/>
    <n v="77"/>
    <n v="0"/>
    <n v="273.93"/>
    <n v="236.63"/>
    <m/>
    <n v="327.21833837526083"/>
    <n v="316.00497871224974"/>
    <n v="0"/>
    <n v="2093.3119199999987"/>
    <n v="0"/>
    <n v="1234.6603143482334"/>
    <x v="2"/>
  </r>
  <r>
    <s v="Sistema Isolado - Regular"/>
    <x v="2"/>
    <x v="2"/>
    <x v="1"/>
    <x v="2"/>
    <x v="0"/>
    <x v="0"/>
    <x v="2"/>
    <x v="9"/>
    <n v="0"/>
    <n v="0"/>
    <n v="4611.3069999999998"/>
    <n v="4611.3069999999998"/>
    <n v="4611.3069999999998"/>
    <n v="4611.3069999999998"/>
    <n v="21359"/>
    <s v="CATIVO"/>
    <n v="0"/>
    <n v="0"/>
    <n v="45"/>
    <n v="77"/>
    <n v="0"/>
    <n v="273.93"/>
    <n v="236.63"/>
    <m/>
    <n v="327.21833837526083"/>
    <n v="316.00497871224974"/>
    <n v="0"/>
    <n v="320993.0802699998"/>
    <n v="0"/>
    <n v="189325.54370099126"/>
    <x v="2"/>
  </r>
  <r>
    <s v="Sistema Isolado - Refaturamento"/>
    <x v="2"/>
    <x v="2"/>
    <x v="1"/>
    <x v="2"/>
    <x v="0"/>
    <x v="0"/>
    <x v="2"/>
    <x v="9"/>
    <n v="0"/>
    <n v="0"/>
    <n v="-6.3239999999999998"/>
    <n v="-6.3239999999999998"/>
    <n v="-6.3239999999999998"/>
    <n v="-6.3239999999999998"/>
    <n v="-87"/>
    <s v="CATIVO"/>
    <n v="0"/>
    <n v="0"/>
    <n v="45"/>
    <n v="77"/>
    <n v="0"/>
    <n v="273.93"/>
    <n v="236.63"/>
    <m/>
    <n v="327.21833837526083"/>
    <n v="316.00497871224974"/>
    <n v="0"/>
    <n v="-440.21363999999971"/>
    <n v="0"/>
    <n v="-259.64325046349524"/>
    <x v="2"/>
  </r>
  <r>
    <s v="Sistema de Compensação"/>
    <x v="2"/>
    <x v="2"/>
    <x v="1"/>
    <x v="2"/>
    <x v="0"/>
    <x v="0"/>
    <x v="2"/>
    <x v="9"/>
    <n v="0"/>
    <n v="0"/>
    <n v="29.541"/>
    <n v="29.541"/>
    <n v="29.541"/>
    <n v="29.541"/>
    <n v="39"/>
    <s v="CATIVO"/>
    <n v="0"/>
    <n v="0"/>
    <n v="45"/>
    <n v="77"/>
    <n v="0"/>
    <n v="273.93"/>
    <n v="236.63"/>
    <m/>
    <n v="327.21833837526083"/>
    <n v="316.00497871224974"/>
    <n v="0"/>
    <n v="2056.3490099999985"/>
    <n v="0"/>
    <n v="1212.8591495797141"/>
    <x v="2"/>
  </r>
  <r>
    <s v="Sistema Isolado - Regular"/>
    <x v="2"/>
    <x v="2"/>
    <x v="1"/>
    <x v="2"/>
    <x v="0"/>
    <x v="0"/>
    <x v="2"/>
    <x v="10"/>
    <n v="0"/>
    <n v="0"/>
    <n v="4477.0479999999998"/>
    <n v="4477.0479999999998"/>
    <n v="4477.0479999999998"/>
    <n v="4477.0479999999998"/>
    <n v="21315"/>
    <s v="CATIVO"/>
    <n v="0"/>
    <n v="0"/>
    <n v="45"/>
    <n v="77"/>
    <n v="0"/>
    <n v="273.93"/>
    <n v="236.63"/>
    <m/>
    <n v="327.21833837526083"/>
    <n v="316.00497871224974"/>
    <n v="0"/>
    <n v="311647.31127999979"/>
    <n v="0"/>
    <n v="183813.29778638366"/>
    <x v="2"/>
  </r>
  <r>
    <s v="Sistema Isolado - Refaturamento"/>
    <x v="2"/>
    <x v="2"/>
    <x v="1"/>
    <x v="2"/>
    <x v="0"/>
    <x v="0"/>
    <x v="2"/>
    <x v="10"/>
    <n v="0"/>
    <n v="0"/>
    <n v="-17.190999999999999"/>
    <n v="-17.190999999999999"/>
    <n v="-17.190999999999999"/>
    <n v="-17.190999999999999"/>
    <n v="-48"/>
    <s v="CATIVO"/>
    <n v="0"/>
    <n v="0"/>
    <n v="45"/>
    <n v="77"/>
    <n v="0"/>
    <n v="273.93"/>
    <n v="236.63"/>
    <m/>
    <n v="327.21833837526083"/>
    <n v="316.00497871224974"/>
    <n v="0"/>
    <n v="-1196.6655099999991"/>
    <n v="0"/>
    <n v="-705.80757727987759"/>
    <x v="2"/>
  </r>
  <r>
    <s v="Sistema de Compensação"/>
    <x v="2"/>
    <x v="2"/>
    <x v="1"/>
    <x v="2"/>
    <x v="0"/>
    <x v="0"/>
    <x v="2"/>
    <x v="10"/>
    <n v="0"/>
    <n v="0"/>
    <n v="33.85"/>
    <n v="33.85"/>
    <n v="33.85"/>
    <n v="33.85"/>
    <n v="40"/>
    <s v="CATIVO"/>
    <n v="0"/>
    <n v="0"/>
    <n v="45"/>
    <n v="77"/>
    <n v="0"/>
    <n v="273.93"/>
    <n v="236.63"/>
    <m/>
    <n v="327.21833837526083"/>
    <n v="316.00497871224974"/>
    <n v="0"/>
    <n v="2356.2984999999985"/>
    <n v="0"/>
    <n v="1389.7729329837625"/>
    <x v="2"/>
  </r>
  <r>
    <s v="PROJETADO"/>
    <x v="2"/>
    <x v="2"/>
    <x v="1"/>
    <x v="2"/>
    <x v="0"/>
    <x v="0"/>
    <x v="2"/>
    <x v="11"/>
    <n v="0"/>
    <n v="0"/>
    <n v="4477.0479999999998"/>
    <n v="4477.0479999999998"/>
    <n v="4477.0479999999998"/>
    <n v="4477.0479999999998"/>
    <n v="21315"/>
    <s v="CATIVO"/>
    <n v="0"/>
    <n v="0"/>
    <n v="45"/>
    <n v="77"/>
    <n v="0"/>
    <n v="273.93"/>
    <n v="236.63"/>
    <m/>
    <n v="327.21833837526083"/>
    <n v="316.00497871224974"/>
    <n v="0"/>
    <n v="311647.31127999979"/>
    <n v="0"/>
    <n v="183813.29778638366"/>
    <x v="2"/>
  </r>
  <r>
    <s v="PROJETADO"/>
    <x v="2"/>
    <x v="2"/>
    <x v="1"/>
    <x v="2"/>
    <x v="0"/>
    <x v="0"/>
    <x v="2"/>
    <x v="11"/>
    <n v="0"/>
    <n v="0"/>
    <n v="-17.190999999999999"/>
    <n v="-17.190999999999999"/>
    <n v="-17.190999999999999"/>
    <n v="-17.190999999999999"/>
    <n v="-48"/>
    <s v="CATIVO"/>
    <n v="0"/>
    <n v="0"/>
    <n v="45"/>
    <n v="77"/>
    <n v="0"/>
    <n v="273.93"/>
    <n v="236.63"/>
    <m/>
    <n v="327.21833837526083"/>
    <n v="316.00497871224974"/>
    <n v="0"/>
    <n v="-1196.6655099999991"/>
    <n v="0"/>
    <n v="-705.80757727987759"/>
    <x v="2"/>
  </r>
  <r>
    <s v="PROJETADO"/>
    <x v="2"/>
    <x v="2"/>
    <x v="1"/>
    <x v="2"/>
    <x v="0"/>
    <x v="0"/>
    <x v="2"/>
    <x v="11"/>
    <n v="0"/>
    <n v="0"/>
    <n v="33.85"/>
    <n v="33.85"/>
    <n v="33.85"/>
    <n v="33.85"/>
    <n v="40"/>
    <s v="CATIVO"/>
    <n v="0"/>
    <n v="0"/>
    <n v="45"/>
    <n v="77"/>
    <n v="0"/>
    <n v="273.93"/>
    <n v="236.63"/>
    <m/>
    <n v="327.21833837526083"/>
    <n v="316.00497871224974"/>
    <n v="0"/>
    <n v="2356.2984999999985"/>
    <n v="0"/>
    <n v="1389.7729329837625"/>
    <x v="2"/>
  </r>
  <r>
    <s v="Sistema Isolado - Regular"/>
    <x v="3"/>
    <x v="2"/>
    <x v="0"/>
    <x v="0"/>
    <x v="0"/>
    <x v="0"/>
    <x v="2"/>
    <x v="0"/>
    <n v="0"/>
    <n v="0"/>
    <n v="846.09400000000005"/>
    <n v="795.32835999999998"/>
    <n v="846.09400000000005"/>
    <n v="795.32835999999998"/>
    <n v="281"/>
    <s v="CATIVO"/>
    <n v="0"/>
    <n v="0"/>
    <n v="33"/>
    <n v="87"/>
    <n v="0"/>
    <n v="311.27999999999997"/>
    <n v="268.89"/>
    <m/>
    <n v="348.10461529283072"/>
    <n v="336.17550926835082"/>
    <n v="0"/>
    <n v="29452.701358800041"/>
    <n v="0"/>
    <n v="34737.918462628149"/>
    <x v="0"/>
  </r>
  <r>
    <s v="Sistema Isolado - Refaturamento"/>
    <x v="3"/>
    <x v="2"/>
    <x v="0"/>
    <x v="0"/>
    <x v="0"/>
    <x v="0"/>
    <x v="2"/>
    <x v="0"/>
    <n v="0"/>
    <n v="0"/>
    <n v="-10.592000000000001"/>
    <n v="-9.9564799999999991"/>
    <n v="-10.592000000000001"/>
    <n v="-9.9564799999999991"/>
    <n v="0"/>
    <s v="CATIVO"/>
    <n v="0"/>
    <n v="0"/>
    <n v="33"/>
    <n v="87"/>
    <n v="0"/>
    <n v="311.27999999999997"/>
    <n v="268.89"/>
    <m/>
    <n v="348.10461529283072"/>
    <n v="336.17550926835082"/>
    <n v="0"/>
    <n v="-368.70963840000081"/>
    <n v="0"/>
    <n v="-434.87370476112307"/>
    <x v="0"/>
  </r>
  <r>
    <s v="Sistema Isolado - Regular"/>
    <x v="3"/>
    <x v="2"/>
    <x v="0"/>
    <x v="0"/>
    <x v="0"/>
    <x v="0"/>
    <x v="2"/>
    <x v="1"/>
    <n v="0"/>
    <n v="0"/>
    <n v="825.83399999999995"/>
    <n v="776.28395999999998"/>
    <n v="825.83399999999995"/>
    <n v="776.28395999999998"/>
    <n v="280"/>
    <s v="CATIVO"/>
    <n v="0"/>
    <n v="0"/>
    <n v="33"/>
    <n v="87"/>
    <n v="0"/>
    <n v="311.27999999999997"/>
    <n v="268.89"/>
    <m/>
    <n v="348.10461529283072"/>
    <n v="336.17550926835082"/>
    <n v="0"/>
    <n v="28747.446706799979"/>
    <n v="0"/>
    <n v="33906.107543211503"/>
    <x v="0"/>
  </r>
  <r>
    <s v="Sistema Isolado - Refaturamento"/>
    <x v="3"/>
    <x v="2"/>
    <x v="0"/>
    <x v="0"/>
    <x v="0"/>
    <x v="0"/>
    <x v="2"/>
    <x v="1"/>
    <n v="0"/>
    <n v="0"/>
    <n v="-1.276"/>
    <n v="-1.1994400000000001"/>
    <n v="-1.276"/>
    <n v="-1.1994400000000001"/>
    <n v="-1"/>
    <s v="CATIVO"/>
    <n v="0"/>
    <n v="0"/>
    <n v="33"/>
    <n v="87"/>
    <n v="0"/>
    <n v="311.27999999999997"/>
    <n v="268.89"/>
    <m/>
    <n v="348.10461529283072"/>
    <n v="336.17550926835082"/>
    <n v="0"/>
    <n v="-44.417815199999978"/>
    <n v="0"/>
    <n v="-52.388486336404029"/>
    <x v="0"/>
  </r>
  <r>
    <s v="Sistema Isolado - Regular"/>
    <x v="3"/>
    <x v="2"/>
    <x v="0"/>
    <x v="0"/>
    <x v="0"/>
    <x v="0"/>
    <x v="2"/>
    <x v="2"/>
    <n v="0"/>
    <n v="0"/>
    <n v="770.93499999999995"/>
    <n v="724.6789"/>
    <n v="770.93499999999995"/>
    <n v="724.6789"/>
    <n v="279"/>
    <s v="CATIVO"/>
    <n v="0"/>
    <n v="0"/>
    <n v="33"/>
    <n v="87"/>
    <n v="0"/>
    <n v="311.27999999999997"/>
    <n v="268.89"/>
    <m/>
    <n v="348.10461529283072"/>
    <n v="336.17550926835082"/>
    <n v="0"/>
    <n v="26836.401536999969"/>
    <n v="0"/>
    <n v="31652.12986971443"/>
    <x v="0"/>
  </r>
  <r>
    <s v="Sistema Isolado - Regular"/>
    <x v="3"/>
    <x v="2"/>
    <x v="0"/>
    <x v="0"/>
    <x v="0"/>
    <x v="0"/>
    <x v="2"/>
    <x v="3"/>
    <n v="0"/>
    <n v="0"/>
    <n v="771.96199999999999"/>
    <n v="725.64427999999998"/>
    <n v="771.96199999999999"/>
    <n v="725.64427999999998"/>
    <n v="282"/>
    <s v="CATIVO"/>
    <n v="0"/>
    <n v="0"/>
    <n v="33"/>
    <n v="87"/>
    <n v="0"/>
    <n v="311.27999999999997"/>
    <n v="268.89"/>
    <m/>
    <n v="348.10461529283072"/>
    <n v="336.17550926835082"/>
    <n v="0"/>
    <n v="26872.151612400005"/>
    <n v="0"/>
    <n v="31694.295210989934"/>
    <x v="0"/>
  </r>
  <r>
    <s v="Sistema Isolado - Regular"/>
    <x v="3"/>
    <x v="2"/>
    <x v="0"/>
    <x v="0"/>
    <x v="0"/>
    <x v="0"/>
    <x v="2"/>
    <x v="4"/>
    <n v="0"/>
    <n v="0"/>
    <n v="825.13499999999999"/>
    <n v="775.62689999999998"/>
    <n v="825.13499999999999"/>
    <n v="775.62689999999998"/>
    <n v="288"/>
    <s v="CATIVO"/>
    <n v="0"/>
    <n v="0"/>
    <n v="33"/>
    <n v="87"/>
    <n v="0"/>
    <n v="311.27999999999997"/>
    <n v="268.89"/>
    <m/>
    <n v="348.10461529283072"/>
    <n v="336.17550926835082"/>
    <n v="0"/>
    <n v="28723.114377000005"/>
    <n v="0"/>
    <n v="33877.408834787435"/>
    <x v="0"/>
  </r>
  <r>
    <s v="Sistema Isolado - Regular"/>
    <x v="3"/>
    <x v="2"/>
    <x v="0"/>
    <x v="0"/>
    <x v="0"/>
    <x v="0"/>
    <x v="2"/>
    <x v="5"/>
    <n v="0"/>
    <n v="0"/>
    <n v="825.13499999999999"/>
    <n v="775.62689999999998"/>
    <n v="825.13499999999999"/>
    <n v="775.62689999999998"/>
    <n v="288"/>
    <s v="CATIVO"/>
    <n v="0"/>
    <n v="0"/>
    <n v="33"/>
    <n v="87"/>
    <n v="0"/>
    <n v="311.27999999999997"/>
    <n v="268.89"/>
    <m/>
    <n v="348.10461529283072"/>
    <n v="336.17550926835082"/>
    <n v="0"/>
    <n v="28723.114377000005"/>
    <n v="0"/>
    <n v="33877.408834787435"/>
    <x v="0"/>
  </r>
  <r>
    <s v="Sistema Isolado - Regular"/>
    <x v="3"/>
    <x v="2"/>
    <x v="0"/>
    <x v="0"/>
    <x v="0"/>
    <x v="0"/>
    <x v="2"/>
    <x v="6"/>
    <n v="0"/>
    <n v="0"/>
    <n v="801.51499999999999"/>
    <n v="753.42409999999995"/>
    <n v="801.51499999999999"/>
    <n v="753.42409999999995"/>
    <n v="288"/>
    <s v="CATIVO"/>
    <n v="0"/>
    <n v="0"/>
    <n v="33"/>
    <n v="87"/>
    <n v="0"/>
    <n v="311.27999999999997"/>
    <n v="268.89"/>
    <m/>
    <n v="348.10461529283072"/>
    <n v="336.17550926835082"/>
    <n v="0"/>
    <n v="27900.89745300002"/>
    <n v="0"/>
    <n v="32907.647042259348"/>
    <x v="0"/>
  </r>
  <r>
    <s v="Sistema Isolado - Refaturamento"/>
    <x v="3"/>
    <x v="2"/>
    <x v="0"/>
    <x v="0"/>
    <x v="0"/>
    <x v="0"/>
    <x v="2"/>
    <x v="6"/>
    <n v="0"/>
    <n v="0"/>
    <n v="69.284000000000006"/>
    <n v="65.126959999999997"/>
    <n v="69.284000000000006"/>
    <n v="65.126959999999997"/>
    <n v="16"/>
    <s v="CATIVO"/>
    <n v="0"/>
    <n v="0"/>
    <n v="33"/>
    <n v="87"/>
    <n v="0"/>
    <n v="311.27999999999997"/>
    <n v="268.89"/>
    <m/>
    <n v="348.10461529283072"/>
    <n v="336.17550926835082"/>
    <n v="0"/>
    <n v="2411.7898968000054"/>
    <n v="0"/>
    <n v="2844.5798490058205"/>
    <x v="0"/>
  </r>
  <r>
    <s v="Sistema Isolado - Regular"/>
    <x v="3"/>
    <x v="2"/>
    <x v="0"/>
    <x v="0"/>
    <x v="0"/>
    <x v="0"/>
    <x v="2"/>
    <x v="7"/>
    <n v="0"/>
    <n v="0"/>
    <n v="794.80899999999997"/>
    <n v="747.12045999999998"/>
    <n v="794.80899999999997"/>
    <n v="747.12045999999998"/>
    <n v="288"/>
    <s v="CATIVO"/>
    <n v="0"/>
    <n v="0"/>
    <n v="33"/>
    <n v="87"/>
    <n v="0"/>
    <n v="311.27999999999997"/>
    <n v="268.89"/>
    <m/>
    <n v="348.10461529283072"/>
    <n v="336.17550926835082"/>
    <n v="0"/>
    <n v="27667.460251799992"/>
    <n v="0"/>
    <n v="32632.32009134088"/>
    <x v="0"/>
  </r>
  <r>
    <s v="Sistema Isolado - Refaturamento"/>
    <x v="3"/>
    <x v="2"/>
    <x v="0"/>
    <x v="0"/>
    <x v="0"/>
    <x v="0"/>
    <x v="2"/>
    <x v="7"/>
    <n v="0"/>
    <n v="0"/>
    <n v="-4.0949999999999998"/>
    <n v="-3.8492999999999995"/>
    <n v="-4.0949999999999998"/>
    <n v="-3.8492999999999995"/>
    <n v="1"/>
    <s v="CATIVO"/>
    <n v="0"/>
    <n v="0"/>
    <n v="33"/>
    <n v="87"/>
    <n v="0"/>
    <n v="311.27999999999997"/>
    <n v="268.89"/>
    <m/>
    <n v="348.10461529283072"/>
    <n v="336.17550926835082"/>
    <n v="0"/>
    <n v="-142.54776900000013"/>
    <n v="0"/>
    <n v="-168.12762660468246"/>
    <x v="0"/>
  </r>
  <r>
    <s v="Sistema Isolado - Regular"/>
    <x v="3"/>
    <x v="2"/>
    <x v="0"/>
    <x v="0"/>
    <x v="0"/>
    <x v="0"/>
    <x v="2"/>
    <x v="8"/>
    <n v="0"/>
    <n v="0"/>
    <n v="772.72500000000002"/>
    <n v="726.36149999999998"/>
    <n v="772.72500000000002"/>
    <n v="726.36149999999998"/>
    <n v="293"/>
    <s v="CATIVO"/>
    <n v="0"/>
    <n v="0"/>
    <n v="33"/>
    <n v="87"/>
    <n v="0"/>
    <n v="311.27999999999997"/>
    <n v="268.89"/>
    <m/>
    <n v="348.10461529283072"/>
    <n v="336.17550926835082"/>
    <n v="0"/>
    <n v="26898.711795000025"/>
    <n v="0"/>
    <n v="31725.621555092373"/>
    <x v="0"/>
  </r>
  <r>
    <s v="Sistema Isolado - Refaturamento"/>
    <x v="3"/>
    <x v="2"/>
    <x v="0"/>
    <x v="0"/>
    <x v="0"/>
    <x v="0"/>
    <x v="2"/>
    <x v="8"/>
    <n v="0"/>
    <n v="0"/>
    <n v="4.7789999999999999"/>
    <n v="4.4922599999999999"/>
    <n v="4.7789999999999999"/>
    <n v="4.4922599999999999"/>
    <n v="3"/>
    <s v="CATIVO"/>
    <n v="0"/>
    <n v="0"/>
    <n v="33"/>
    <n v="87"/>
    <n v="0"/>
    <n v="311.27999999999997"/>
    <n v="268.89"/>
    <m/>
    <n v="348.10461529283072"/>
    <n v="336.17550926835082"/>
    <n v="0"/>
    <n v="166.35794579999998"/>
    <n v="0"/>
    <n v="196.21048291667319"/>
    <x v="0"/>
  </r>
  <r>
    <s v="Sistema Isolado - Regular"/>
    <x v="3"/>
    <x v="2"/>
    <x v="0"/>
    <x v="0"/>
    <x v="0"/>
    <x v="0"/>
    <x v="2"/>
    <x v="9"/>
    <n v="0"/>
    <n v="0"/>
    <n v="860.15499999999997"/>
    <n v="808.54570000000001"/>
    <n v="860.15499999999997"/>
    <n v="808.54570000000001"/>
    <n v="297"/>
    <s v="CATIVO"/>
    <n v="0"/>
    <n v="0"/>
    <n v="33"/>
    <n v="87"/>
    <n v="0"/>
    <n v="311.27999999999997"/>
    <n v="268.89"/>
    <m/>
    <n v="348.10461529283072"/>
    <n v="336.17550926835082"/>
    <n v="0"/>
    <n v="29942.167580999976"/>
    <n v="0"/>
    <n v="35315.218232515363"/>
    <x v="0"/>
  </r>
  <r>
    <s v="Sistema Isolado - Refaturamento"/>
    <x v="3"/>
    <x v="2"/>
    <x v="0"/>
    <x v="0"/>
    <x v="0"/>
    <x v="0"/>
    <x v="2"/>
    <x v="9"/>
    <n v="0"/>
    <n v="0"/>
    <n v="4.7990000000000004"/>
    <n v="4.5110600000000005"/>
    <n v="4.7990000000000004"/>
    <n v="4.5110600000000005"/>
    <n v="3"/>
    <s v="CATIVO"/>
    <n v="0"/>
    <n v="0"/>
    <n v="33"/>
    <n v="87"/>
    <n v="0"/>
    <n v="311.27999999999997"/>
    <n v="268.89"/>
    <m/>
    <n v="348.10461529283072"/>
    <n v="336.17550926835082"/>
    <n v="0"/>
    <n v="167.05414979999989"/>
    <n v="0"/>
    <n v="197.0316190661465"/>
    <x v="0"/>
  </r>
  <r>
    <s v="Sistema Isolado - Regular"/>
    <x v="3"/>
    <x v="2"/>
    <x v="0"/>
    <x v="0"/>
    <x v="0"/>
    <x v="0"/>
    <x v="2"/>
    <x v="10"/>
    <n v="0"/>
    <n v="0"/>
    <n v="807.41300000000001"/>
    <n v="758.96821999999997"/>
    <n v="807.41300000000001"/>
    <n v="758.96821999999997"/>
    <n v="300"/>
    <s v="CATIVO"/>
    <n v="0"/>
    <n v="0"/>
    <n v="33"/>
    <n v="87"/>
    <n v="0"/>
    <n v="311.27999999999997"/>
    <n v="268.89"/>
    <m/>
    <n v="348.10461529283072"/>
    <n v="336.17550926835082"/>
    <n v="0"/>
    <n v="28106.208012600018"/>
    <n v="0"/>
    <n v="33149.80009273906"/>
    <x v="0"/>
  </r>
  <r>
    <s v="Sistema Isolado - Refaturamento"/>
    <x v="3"/>
    <x v="2"/>
    <x v="0"/>
    <x v="0"/>
    <x v="0"/>
    <x v="0"/>
    <x v="2"/>
    <x v="10"/>
    <n v="0"/>
    <n v="0"/>
    <n v="0.92600000000000005"/>
    <n v="0.87043999999999999"/>
    <n v="0.92600000000000005"/>
    <n v="0.87043999999999999"/>
    <n v="1"/>
    <s v="CATIVO"/>
    <n v="0"/>
    <n v="0"/>
    <n v="33"/>
    <n v="87"/>
    <n v="0"/>
    <n v="311.27999999999997"/>
    <n v="268.89"/>
    <m/>
    <n v="348.10461529283072"/>
    <n v="336.17550926835082"/>
    <n v="0"/>
    <n v="32.234245200000032"/>
    <n v="0"/>
    <n v="38.018603720619282"/>
    <x v="0"/>
  </r>
  <r>
    <s v="PROJETADO"/>
    <x v="3"/>
    <x v="2"/>
    <x v="0"/>
    <x v="0"/>
    <x v="0"/>
    <x v="0"/>
    <x v="2"/>
    <x v="11"/>
    <n v="0"/>
    <n v="0"/>
    <n v="807.41300000000001"/>
    <n v="758.96821999999997"/>
    <n v="807.41300000000001"/>
    <n v="758.96821999999997"/>
    <n v="300"/>
    <s v="CATIVO"/>
    <n v="0"/>
    <n v="0"/>
    <n v="33"/>
    <n v="87"/>
    <n v="0"/>
    <n v="311.27999999999997"/>
    <n v="268.89"/>
    <m/>
    <n v="348.10461529283072"/>
    <n v="336.17550926835082"/>
    <n v="0"/>
    <n v="28106.208012600018"/>
    <n v="0"/>
    <n v="33149.80009273906"/>
    <x v="0"/>
  </r>
  <r>
    <s v="PROJETADO"/>
    <x v="3"/>
    <x v="2"/>
    <x v="0"/>
    <x v="0"/>
    <x v="0"/>
    <x v="0"/>
    <x v="2"/>
    <x v="11"/>
    <n v="0"/>
    <n v="0"/>
    <n v="0.92600000000000005"/>
    <n v="0.87043999999999999"/>
    <n v="0.92600000000000005"/>
    <n v="0.87043999999999999"/>
    <n v="1"/>
    <s v="CATIVO"/>
    <n v="0"/>
    <n v="0"/>
    <n v="33"/>
    <n v="87"/>
    <n v="0"/>
    <n v="311.27999999999997"/>
    <n v="268.89"/>
    <m/>
    <n v="348.10461529283072"/>
    <n v="336.17550926835082"/>
    <n v="0"/>
    <n v="32.234245200000032"/>
    <n v="0"/>
    <n v="38.0186037206192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262A-C672-481E-A94E-D14902B62F44}" name="Efeit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826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0"/>
        <item x="1"/>
        <item x="7"/>
        <item x="2"/>
        <item x="3"/>
        <item x="6"/>
        <item x="5"/>
        <item x="4"/>
        <item t="default"/>
      </items>
    </pivotField>
    <pivotField axis="axisRow" showAll="0">
      <items count="10">
        <item x="2"/>
        <item x="1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2"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25">
    <i>
      <x/>
    </i>
    <i r="1">
      <x/>
    </i>
    <i r="2">
      <x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5"/>
    </i>
    <i r="4">
      <x v="4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5"/>
    </i>
    <i r="4">
      <x v="4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2">
      <x v="2"/>
    </i>
    <i r="3">
      <x v="6"/>
    </i>
    <i r="4">
      <x/>
    </i>
    <i r="5">
      <x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2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74">
    <format dxfId="852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5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50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49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48">
      <pivotArea type="all" dataOnly="0" outline="0" fieldPosition="0"/>
    </format>
    <format dxfId="847">
      <pivotArea outline="0" collapsedLevelsAreSubtotals="1" fieldPosition="0"/>
    </format>
    <format dxfId="846">
      <pivotArea field="16" type="button" dataOnly="0" labelOnly="1" outline="0" axis="axisRow" fieldPosition="0"/>
    </format>
    <format dxfId="845">
      <pivotArea dataOnly="0" labelOnly="1" fieldPosition="0">
        <references count="1">
          <reference field="16" count="0"/>
        </references>
      </pivotArea>
    </format>
    <format dxfId="844">
      <pivotArea dataOnly="0" labelOnly="1" fieldPosition="0">
        <references count="2">
          <reference field="1" count="0"/>
          <reference field="16" count="0" selected="0"/>
        </references>
      </pivotArea>
    </format>
    <format dxfId="84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0" selected="0"/>
        </references>
      </pivotArea>
    </format>
    <format dxfId="842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0" selected="0"/>
        </references>
      </pivotArea>
    </format>
    <format dxfId="841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0" selected="0"/>
        </references>
      </pivotArea>
    </format>
    <format dxfId="840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0" selected="0"/>
        </references>
      </pivotArea>
    </format>
    <format dxfId="839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0" selected="0"/>
        </references>
      </pivotArea>
    </format>
    <format dxfId="83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83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6">
            <x v="0"/>
            <x v="1"/>
            <x v="3"/>
            <x v="4"/>
            <x v="6"/>
            <x v="7"/>
          </reference>
          <reference field="16" count="0" selected="0"/>
        </references>
      </pivotArea>
    </format>
    <format dxfId="83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0" selected="0"/>
        </references>
      </pivotArea>
    </format>
    <format dxfId="835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0" selected="0"/>
        </references>
      </pivotArea>
    </format>
    <format dxfId="83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0" selected="0"/>
        </references>
      </pivotArea>
    </format>
    <format dxfId="83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0" selected="0"/>
        </references>
      </pivotArea>
    </format>
    <format dxfId="83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0" selected="0"/>
        </references>
      </pivotArea>
    </format>
    <format dxfId="83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83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0" selected="0"/>
        </references>
      </pivotArea>
    </format>
    <format dxfId="82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82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82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8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82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82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82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82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8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82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81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81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0" selected="0"/>
        </references>
      </pivotArea>
    </format>
    <format dxfId="81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0" selected="0"/>
        </references>
      </pivotArea>
    </format>
    <format dxfId="81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0" selected="0"/>
        </references>
      </pivotArea>
    </format>
    <format dxfId="81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81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81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81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81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81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80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80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0" selected="0"/>
        </references>
      </pivotArea>
    </format>
    <format dxfId="80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80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80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9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9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0" selected="0"/>
        </references>
      </pivotArea>
    </format>
    <format dxfId="79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9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79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79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79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2"/>
          </reference>
          <reference field="16" count="0" selected="0"/>
        </references>
      </pivotArea>
    </format>
    <format dxfId="79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6" count="0" selected="0"/>
        </references>
      </pivotArea>
    </format>
    <format dxfId="79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2"/>
          </reference>
          <reference field="16" count="0" selected="0"/>
        </references>
      </pivotArea>
    </format>
    <format dxfId="79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2"/>
          </reference>
          <reference field="16" count="0" selected="0"/>
        </references>
      </pivotArea>
    </format>
    <format dxfId="78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0"/>
            <x v="1"/>
          </reference>
          <reference field="16" count="0" selected="0"/>
        </references>
      </pivotArea>
    </format>
    <format dxfId="78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78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78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16" count="0" selected="0"/>
        </references>
      </pivotArea>
    </format>
    <format dxfId="7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7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76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6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16" count="0" selected="0"/>
        </references>
      </pivotArea>
    </format>
    <format dxfId="7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7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74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74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74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74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74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74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4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4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4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16" count="0" selected="0"/>
        </references>
      </pivotArea>
    </format>
    <format dxfId="7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73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73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3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3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3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3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3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72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72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2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7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1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1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1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1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1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1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1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7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7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7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70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7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8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8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68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8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8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8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8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8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67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67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6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7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7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7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6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6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6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66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63">
      <pivotArea type="all" dataOnly="0" outline="0" fieldPosition="0"/>
    </format>
    <format dxfId="662">
      <pivotArea outline="0" collapsedLevelsAreSubtotals="1" fieldPosition="0"/>
    </format>
    <format dxfId="661">
      <pivotArea field="16" type="button" dataOnly="0" labelOnly="1" outline="0" axis="axisRow" fieldPosition="0"/>
    </format>
    <format dxfId="660">
      <pivotArea dataOnly="0" labelOnly="1" fieldPosition="0">
        <references count="1">
          <reference field="16" count="0"/>
        </references>
      </pivotArea>
    </format>
    <format dxfId="659">
      <pivotArea dataOnly="0" labelOnly="1" fieldPosition="0">
        <references count="2">
          <reference field="1" count="0"/>
          <reference field="16" count="0" selected="0"/>
        </references>
      </pivotArea>
    </format>
    <format dxfId="658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0" selected="0"/>
        </references>
      </pivotArea>
    </format>
    <format dxfId="657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0" selected="0"/>
        </references>
      </pivotArea>
    </format>
    <format dxfId="656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0" selected="0"/>
        </references>
      </pivotArea>
    </format>
    <format dxfId="655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0" selected="0"/>
        </references>
      </pivotArea>
    </format>
    <format dxfId="65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0" selected="0"/>
        </references>
      </pivotArea>
    </format>
    <format dxfId="65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65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6">
            <x v="0"/>
            <x v="1"/>
            <x v="3"/>
            <x v="4"/>
            <x v="6"/>
            <x v="7"/>
          </reference>
          <reference field="16" count="0" selected="0"/>
        </references>
      </pivotArea>
    </format>
    <format dxfId="65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0" selected="0"/>
        </references>
      </pivotArea>
    </format>
    <format dxfId="65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0" selected="0"/>
        </references>
      </pivotArea>
    </format>
    <format dxfId="64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0" selected="0"/>
        </references>
      </pivotArea>
    </format>
    <format dxfId="64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0" selected="0"/>
        </references>
      </pivotArea>
    </format>
    <format dxfId="64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0" selected="0"/>
        </references>
      </pivotArea>
    </format>
    <format dxfId="64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645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0" selected="0"/>
        </references>
      </pivotArea>
    </format>
    <format dxfId="64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64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64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64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64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6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63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63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63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63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63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63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0" selected="0"/>
        </references>
      </pivotArea>
    </format>
    <format dxfId="632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0" selected="0"/>
        </references>
      </pivotArea>
    </format>
    <format dxfId="63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0" selected="0"/>
        </references>
      </pivotArea>
    </format>
    <format dxfId="63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62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62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62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62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62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62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62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0" selected="0"/>
        </references>
      </pivotArea>
    </format>
    <format dxfId="6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2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2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61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0" selected="0"/>
        </references>
      </pivotArea>
    </format>
    <format dxfId="61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1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61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60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60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2"/>
          </reference>
          <reference field="16" count="0" selected="0"/>
        </references>
      </pivotArea>
    </format>
    <format dxfId="60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6" count="0" selected="0"/>
        </references>
      </pivotArea>
    </format>
    <format dxfId="60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2"/>
          </reference>
          <reference field="16" count="0" selected="0"/>
        </references>
      </pivotArea>
    </format>
    <format dxfId="60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2"/>
          </reference>
          <reference field="16" count="0" selected="0"/>
        </references>
      </pivotArea>
    </format>
    <format dxfId="60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0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0"/>
            <x v="1"/>
          </reference>
          <reference field="16" count="0" selected="0"/>
        </references>
      </pivotArea>
    </format>
    <format dxfId="60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6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9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9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9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59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16" count="0" selected="0"/>
        </references>
      </pivotArea>
    </format>
    <format dxfId="59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9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9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9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58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8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16" count="0" selected="0"/>
        </references>
      </pivotArea>
    </format>
    <format dxfId="57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57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7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6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56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56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56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56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55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16" count="0" selected="0"/>
        </references>
      </pivotArea>
    </format>
    <format dxfId="55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55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55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5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4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54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5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3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3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2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2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1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1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1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5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50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50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50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9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49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49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16" count="0" selected="0"/>
        </references>
      </pivotArea>
    </format>
    <format dxfId="49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9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8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48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8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8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7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E6992-4DE0-4FCB-BCAB-7EE4C1730650}" name="Subsidi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65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9">
        <item x="1"/>
        <item x="0"/>
        <item x="2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6">
        <item x="0"/>
        <item x="4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64">
    <i>
      <x/>
    </i>
    <i r="1">
      <x/>
    </i>
    <i r="2">
      <x/>
    </i>
    <i r="3">
      <x v="2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2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2"/>
    </i>
    <i r="4">
      <x v="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/>
    </i>
    <i r="4">
      <x v="4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 v="1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1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1"/>
    </i>
    <i r="4">
      <x v="2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2">
      <x v="2"/>
    </i>
    <i r="3">
      <x v="1"/>
    </i>
    <i r="4">
      <x/>
    </i>
    <i r="5">
      <x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2"/>
    </i>
    <i r="3">
      <x/>
    </i>
    <i r="4">
      <x v="3"/>
    </i>
    <i r="5">
      <x v="2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16">
    <format dxfId="478">
      <pivotArea outline="0" collapsedLevelsAreSubtotals="1" fieldPosition="0"/>
    </format>
    <format dxfId="47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field="31" type="button" dataOnly="0" labelOnly="1" outline="0" axis="axisRow" fieldPosition="0"/>
    </format>
    <format dxfId="473">
      <pivotArea dataOnly="0" labelOnly="1" fieldPosition="0">
        <references count="1">
          <reference field="31" count="0"/>
        </references>
      </pivotArea>
    </format>
    <format dxfId="47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7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70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2"/>
          </reference>
        </references>
      </pivotArea>
    </format>
    <format dxfId="46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468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46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466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465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46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46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46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461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3"/>
          </reference>
        </references>
      </pivotArea>
    </format>
    <format dxfId="460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45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45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45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45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1"/>
          </reference>
        </references>
      </pivotArea>
    </format>
    <format dxfId="45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45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45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5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5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5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4"/>
          </reference>
        </references>
      </pivotArea>
    </format>
    <format dxfId="44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4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4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4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44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44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44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44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4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44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43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43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43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43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43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43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43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43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43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43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2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2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2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42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2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2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4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42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42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2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1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1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1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41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41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1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1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1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31" count="1" selected="0">
            <x v="3"/>
          </reference>
        </references>
      </pivotArea>
    </format>
    <format dxfId="4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1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40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0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0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40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40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40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40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40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31" count="1" selected="0">
            <x v="2"/>
          </reference>
        </references>
      </pivotArea>
    </format>
    <format dxfId="40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2"/>
          </reference>
        </references>
      </pivotArea>
    </format>
    <format dxfId="40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39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39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39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39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39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3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3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3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3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37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37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37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37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37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field="31" type="button" dataOnly="0" labelOnly="1" outline="0" axis="axisRow" fieldPosition="0"/>
    </format>
    <format dxfId="366">
      <pivotArea dataOnly="0" labelOnly="1" fieldPosition="0">
        <references count="1">
          <reference field="31" count="0"/>
        </references>
      </pivotArea>
    </format>
    <format dxfId="365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64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63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2"/>
          </reference>
        </references>
      </pivotArea>
    </format>
    <format dxfId="362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61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36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359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5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5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56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35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54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3"/>
          </reference>
        </references>
      </pivotArea>
    </format>
    <format dxfId="353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5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35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350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349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1"/>
          </reference>
        </references>
      </pivotArea>
    </format>
    <format dxfId="34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347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34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4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4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337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33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3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33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33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33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2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2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2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32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32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31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1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31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31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31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31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31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31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31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30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30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31" count="1" selected="0">
            <x v="3"/>
          </reference>
        </references>
      </pivotArea>
    </format>
    <format dxfId="30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30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29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31" count="1" selected="0">
            <x v="2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2"/>
          </reference>
        </references>
      </pivotArea>
    </format>
    <format dxfId="29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9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29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8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8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8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8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26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26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26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7">
            <x v="0"/>
            <x v="1"/>
            <x v="2"/>
            <x v="3"/>
            <x v="4"/>
            <x v="5"/>
            <x v="6"/>
          </reference>
          <reference field="31" count="1" selected="0">
            <x v="3"/>
          </reference>
        </references>
      </pivotArea>
    </format>
    <format dxfId="26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6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6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26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FFD06D1-25DD-4EFB-AF45-A6C16E080CEE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5E3A37F-F323-4E7C-BDDA-88E1F176724F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C3415663-3389-4713-B98D-097B9312B931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09BCB6-14E1-46B1-865B-A48108E6763D}" name="Efeito" displayName="Efeito" ref="A1:AG1156" totalsRowShown="0" headerRowDxfId="921" dataDxfId="920">
  <autoFilter ref="A1:AG1156" xr:uid="{2809BCB6-14E1-46B1-865B-A48108E6763D}"/>
  <tableColumns count="33">
    <tableColumn id="1" xr3:uid="{B6CFB533-AA1C-4EC7-A36E-D25B26046B79}" name="TipoMercado" dataDxfId="919"/>
    <tableColumn id="2" xr3:uid="{1C8317E0-9755-4877-BA24-22DB4117A15B}" name="Subgrupo" dataDxfId="918"/>
    <tableColumn id="3" xr3:uid="{93A34210-E1C6-400A-9437-0EB4428F051B}" name="Modalidade" dataDxfId="917"/>
    <tableColumn id="4" xr3:uid="{031E629D-CC5F-4BB1-A278-A50111C53039}" name="Classe" dataDxfId="916"/>
    <tableColumn id="5" xr3:uid="{1800570B-C8BB-4F84-B0C1-7F068987FAA5}" name="Subclasse" dataDxfId="915"/>
    <tableColumn id="6" xr3:uid="{439CFB8E-84D9-4DD4-953A-D80BF083B033}" name="Detalhe" dataDxfId="914"/>
    <tableColumn id="7" xr3:uid="{FE460CD1-F4C7-4AB7-9E52-B6CC61663491}" name="Agente" dataDxfId="913"/>
    <tableColumn id="8" xr3:uid="{A12F4B8B-26B4-4FD4-820A-0E1343554349}" name="Posto" dataDxfId="912"/>
    <tableColumn id="9" xr3:uid="{E2DDFADA-DEBF-44ED-8100-7B5EA777357E}" name="AnoMes" dataDxfId="911"/>
    <tableColumn id="10" xr3:uid="{D38774BA-F2E7-4EF9-9C92-37E129B8DE42}" name="D" dataDxfId="910"/>
    <tableColumn id="11" xr3:uid="{E66BBCD1-E267-4D04-800F-F2E6B057BFCA}" name="Daj" dataDxfId="909"/>
    <tableColumn id="12" xr3:uid="{5A270246-253F-4CDF-8B37-D99470E1A751}" name="TUSD_E" dataDxfId="908"/>
    <tableColumn id="13" xr3:uid="{7F8C2DA1-6ACD-4074-9EAE-AABCD094A262}" name="TUSD_Eaj" dataDxfId="907"/>
    <tableColumn id="14" xr3:uid="{23F437DA-4853-4411-979F-2F5B3160676D}" name="TE_E" dataDxfId="906"/>
    <tableColumn id="15" xr3:uid="{FC5BD50E-0EAD-4C76-A8A8-5AF3CEF20973}" name="TE_Eaj" dataDxfId="905"/>
    <tableColumn id="16" xr3:uid="{58495A8D-AB49-4E3E-8B32-B5AC90A246BA}" name="UC" dataDxfId="904"/>
    <tableColumn id="17" xr3:uid="{C16BC290-8C4C-422E-B530-6D5B6C707742}" name="OPÇÃO" dataDxfId="903"/>
    <tableColumn id="18" xr3:uid="{C641946C-97BB-4AA6-B64D-6DBB1D099F8C}" name="CóD. AUX." dataDxfId="902"/>
    <tableColumn id="19" xr3:uid="{73468649-93E2-4A3D-A68D-78249EDE7451}" name="CóD. AUX. TUSD R$/kW" dataDxfId="901"/>
    <tableColumn id="20" xr3:uid="{96183F1A-A9AF-45B8-B736-56B1E79AC791}" name="CóD. AUX. TUSD R$/MWh" dataDxfId="900"/>
    <tableColumn id="21" xr3:uid="{53141443-C052-4991-B311-7CE073803011}" name="CóD. AUX. TE R$/MWh" dataDxfId="899"/>
    <tableColumn id="22" xr3:uid="{16E195E0-B616-4DD5-97E9-42FB7A211A8F}" name="TUSD (R$/kW)" dataDxfId="898"/>
    <tableColumn id="23" xr3:uid="{9C98842D-89C3-40B3-BDD0-E9779CBD7715}" name="TUSD (R$/MWh)" dataDxfId="897"/>
    <tableColumn id="24" xr3:uid="{C817C200-9E29-4391-884B-09C8E352F775}" name="TE (R$/MWh)" dataDxfId="896"/>
    <tableColumn id="25" xr3:uid="{7595CB78-A4FD-46F9-BE73-5D5F2FC69331}" name="TUSD (R$/kW) NOVA" dataDxfId="895"/>
    <tableColumn id="26" xr3:uid="{292DA8A9-534F-4C63-9540-ACDD7413CA9D}" name="TUSD (R$/MWh) NOVA" dataDxfId="894">
      <calculatedColumnFormula>('TUSD BE'!$AM$50+'TUSD BF'!$AM$50+'TUSD CVA'!$AM$50)*1</calculatedColumnFormula>
    </tableColumn>
    <tableColumn id="27" xr3:uid="{38050050-0CB3-4CCB-8CDF-89458EBBCB24}" name="TE (R$/MWh) NOVA" dataDxfId="893">
      <calculatedColumnFormula>('TE BE'!$AB$41+'TE BF'!$AB$41+'TE CVA'!$AB$41)*1</calculatedColumnFormula>
    </tableColumn>
    <tableColumn id="28" xr3:uid="{9D2F4388-6C8C-483F-87E1-6C351418CF6C}" name="RA0 ou RV - TUSD (kW)" dataDxfId="892"/>
    <tableColumn id="29" xr3:uid="{DA6E603D-3956-4934-B737-357195E45959}" name="RA0 ou RV - TUSD (MWh)" dataDxfId="891"/>
    <tableColumn id="30" xr3:uid="{5791356B-D0DF-44BE-B8BD-498861D6F92B}" name="RA0 ou RV - TE (MWh)" dataDxfId="890"/>
    <tableColumn id="31" xr3:uid="{B3CD965C-F9F0-42A9-BD18-3932B46C198A}" name="RA1 ou RRD - TUSD (kW)" dataDxfId="889"/>
    <tableColumn id="32" xr3:uid="{CCD4FFB3-2890-43C1-B669-F04E9ADB8FEA}" name="RA1 ou RRD - TUSD (MWh)" dataDxfId="888"/>
    <tableColumn id="33" xr3:uid="{10B345EA-030B-4E61-AC37-400D2EDEBD66}" name="RA1 ou RRD - TE (MWh)" dataDxfId="88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F79231-AEBB-4903-8CEE-1E11410708A6}" name="Subsidio" displayName="Subsidio" ref="A1:AF388" totalsRowShown="0" headerRowDxfId="886" dataDxfId="885">
  <autoFilter ref="A1:AF388" xr:uid="{95F79231-AEBB-4903-8CEE-1E11410708A6}"/>
  <tableColumns count="32">
    <tableColumn id="1" xr3:uid="{62008A33-76C4-4C12-8CD3-8EE49F1B6783}" name="TipoMercado" dataDxfId="884"/>
    <tableColumn id="2" xr3:uid="{1D0089E3-AD6E-43D8-9BAB-EEA3E7F9169A}" name="Subgrupo" dataDxfId="883"/>
    <tableColumn id="3" xr3:uid="{A0DE86C5-DCA7-45B7-8420-AF0CCE544911}" name="Modalidade" dataDxfId="882"/>
    <tableColumn id="4" xr3:uid="{A5B6CE48-303B-417E-89EB-0EBA81B643C9}" name="Classe" dataDxfId="881"/>
    <tableColumn id="5" xr3:uid="{CCF52327-9F2D-4325-96F4-3242461B9023}" name="Subclasse" dataDxfId="880"/>
    <tableColumn id="6" xr3:uid="{D0EAE090-72B0-4A20-B9C8-0CAAE2B59938}" name="Detalhe" dataDxfId="879"/>
    <tableColumn id="7" xr3:uid="{FB6C1D77-B0CF-4D07-80DE-304C1FBBCA50}" name="Agente" dataDxfId="878"/>
    <tableColumn id="8" xr3:uid="{1860F316-57C4-46DC-B6ED-7AE17BBECFD4}" name="Posto" dataDxfId="877"/>
    <tableColumn id="9" xr3:uid="{1EC8D516-8272-4CA2-B8F7-F5676E20B9E7}" name="AnoMes" dataDxfId="876"/>
    <tableColumn id="10" xr3:uid="{77C6F4CD-3F25-4014-90F5-B9B42080711F}" name="D" dataDxfId="875"/>
    <tableColumn id="11" xr3:uid="{65119A4B-EDEF-410B-8A5F-991A108421F3}" name="Daj" dataDxfId="874"/>
    <tableColumn id="12" xr3:uid="{D7273AEF-DEDF-46F0-8AED-34971F7D1453}" name="TUSD_E" dataDxfId="873"/>
    <tableColumn id="13" xr3:uid="{7E84D4DE-7F02-4EE5-9B39-BF15BD2A45C4}" name="TUSD_Eaj" dataDxfId="872"/>
    <tableColumn id="14" xr3:uid="{FD22E228-7B98-4700-A740-A628761C2846}" name="TE_E" dataDxfId="871"/>
    <tableColumn id="15" xr3:uid="{CC6A4547-D1D8-4F49-AE13-23FA3D442DE6}" name="TE_Eaj" dataDxfId="870"/>
    <tableColumn id="16" xr3:uid="{CC6DC09A-1F17-4799-9D8D-FA7E5583A093}" name="UC" dataDxfId="869"/>
    <tableColumn id="17" xr3:uid="{B1BEB1F1-BC56-4865-921B-35A6D9C6025D}" name="OPÇÃO" dataDxfId="868"/>
    <tableColumn id="18" xr3:uid="{4B4CA71F-E46A-4AD5-A602-28DD251675CC}" name="CóD. AUX." dataDxfId="867"/>
    <tableColumn id="19" xr3:uid="{6D8C1ADE-A2BE-4ACD-98B7-C0F6D0FB7753}" name="CóD. AUX. TUSD R$/kW" dataDxfId="866"/>
    <tableColumn id="20" xr3:uid="{32C508E5-7F26-428C-A695-03283D380C8A}" name="CóD. AUX. TUSD R$/MWh" dataDxfId="865"/>
    <tableColumn id="21" xr3:uid="{C055508F-366F-44BB-A6CF-1B552CF789C6}" name="CóD. AUX. TE R$/MWh" dataDxfId="864"/>
    <tableColumn id="22" xr3:uid="{0A21E56A-D5E6-4716-A916-704C0839B38A}" name="TUSD (R$/kW)" dataDxfId="863"/>
    <tableColumn id="23" xr3:uid="{1FE28188-CC15-4252-8490-FEFC87B63024}" name="TUSD (R$/MWh)" dataDxfId="862"/>
    <tableColumn id="24" xr3:uid="{2A1F0FB8-3909-4709-94D7-9BCAF166D5B8}" name="TE (R$/MWh)" dataDxfId="861"/>
    <tableColumn id="25" xr3:uid="{0868E61B-7C83-4DCB-980E-AB7FD8142259}" name="TUSD (R$/kW) NOVA" dataDxfId="860"/>
    <tableColumn id="26" xr3:uid="{F3F48FF4-5123-4F78-B209-0D6BA75B5856}" name="TUSD (R$/MWh) NOVA" dataDxfId="859">
      <calculatedColumnFormula>('TUSD BE'!$AM$48+'TUSD BF'!$AM$48+'TUSD CVA'!$AM$48)*1</calculatedColumnFormula>
    </tableColumn>
    <tableColumn id="27" xr3:uid="{3BEB6A77-B5C7-4B7A-8B25-8E90FCCAF614}" name="TE (R$/MWh) NOVA" dataDxfId="858">
      <calculatedColumnFormula>('TE BE'!$AB$39+'TE BF'!$AB$39+'TE CVA'!$AB$39)*1</calculatedColumnFormula>
    </tableColumn>
    <tableColumn id="28" xr3:uid="{05F8A5E9-1C69-44B0-AAFD-E345E158D6F3}" name="SUBSIDIO kW - TV" dataDxfId="857">
      <calculatedColumnFormula>(J2-K2)*V2</calculatedColumnFormula>
    </tableColumn>
    <tableColumn id="29" xr3:uid="{BFC89EA7-3965-436B-88F0-181B9A5E221B}" name="SUBSIDIO MWh - TV" dataDxfId="856">
      <calculatedColumnFormula>(L2-M2)*W2+(N2-O2)*X2</calculatedColumnFormula>
    </tableColumn>
    <tableColumn id="30" xr3:uid="{4E443F3C-CB02-4DDF-8320-F300D46A6062}" name="SUBSIDIO kW - TN" dataDxfId="855">
      <calculatedColumnFormula>(J2-K2)*Y2</calculatedColumnFormula>
    </tableColumn>
    <tableColumn id="31" xr3:uid="{F3E11609-6D74-4D85-92E2-2B029D97D31D}" name="SUBSIDIO MWh - TN" dataDxfId="854">
      <calculatedColumnFormula>(L2-M2)*Z2+(N2-O2)*AA2</calculatedColumnFormula>
    </tableColumn>
    <tableColumn id="32" xr3:uid="{DBF3B78C-9FE4-4630-8740-55E9C7FEB10E}" name="TIPO" dataDxfId="85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59199D-ADCF-4632-906D-861858389EBF}" name="TabelaFin" displayName="TabelaFin" ref="B3:AT50" tableType="queryTable" totalsRowShown="0" headerRowDxfId="262" dataDxfId="260" headerRowBorderDxfId="261" tableBorderDxfId="259" totalsRowBorderDxfId="258">
  <autoFilter ref="B3:AT50" xr:uid="{E759199D-ADCF-4632-906D-861858389EBF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EB0481FE-D90A-4877-9765-E98FEAD13C81}" uniqueName="46" name="SUBGRUPO" queryTableFieldId="1" dataDxfId="257"/>
    <tableColumn id="47" xr3:uid="{5812CBF7-2F90-4C61-BB9F-3AB19AC69C9C}" uniqueName="47" name="MODALIDADE" queryTableFieldId="2" dataDxfId="256"/>
    <tableColumn id="48" xr3:uid="{586D9FAE-7586-4E90-BFC9-2E6363C1F2E3}" uniqueName="48" name="CLASSE" queryTableFieldId="3" dataDxfId="255"/>
    <tableColumn id="49" xr3:uid="{1FCB87E8-05AA-4280-89AE-7AAD90779E93}" uniqueName="49" name="SUBCLASSE" queryTableFieldId="4" dataDxfId="254"/>
    <tableColumn id="50" xr3:uid="{CA654754-CB60-495C-B529-B5F2DEEEB99E}" uniqueName="50" name="DETALHE" queryTableFieldId="5" dataDxfId="253"/>
    <tableColumn id="51" xr3:uid="{DD23787B-1FC2-429C-8CCF-43A4E0C26A48}" uniqueName="51" name="POSTO" queryTableFieldId="6" dataDxfId="252"/>
    <tableColumn id="52" xr3:uid="{D2B50E23-8B2E-4304-90F6-12AFBCB42CA8}" uniqueName="52" name="UNIDADE" queryTableFieldId="7" dataDxfId="251"/>
    <tableColumn id="53" xr3:uid="{4D66D284-21CD-4880-8AD6-4EFDADB1FF54}" uniqueName="53" name="ACESSANTE" queryTableFieldId="8" dataDxfId="250"/>
    <tableColumn id="54" xr3:uid="{6EE25254-8920-4066-9A34-D745ADCC2984}" uniqueName="54" name="Total TUSD" queryTableFieldId="9" dataDxfId="249"/>
    <tableColumn id="55" xr3:uid="{F5D0461E-9430-4D46-9F77-A45E1063DE7F}" uniqueName="55" name="Total TE" queryTableFieldId="10" dataDxfId="248"/>
    <tableColumn id="56" xr3:uid="{24FD1A5E-53BB-4DCB-B2A2-C48AA5F9B954}" uniqueName="56" name="TUSD_CDE_COVID" queryTableFieldId="11" dataDxfId="247"/>
    <tableColumn id="57" xr3:uid="{49AC47FF-7B5A-4DC7-BA7A-DF32B1AF890D}" uniqueName="57" name="TUSD_TFSEE" queryTableFieldId="12" dataDxfId="246"/>
    <tableColumn id="58" xr3:uid="{478FD9AF-881B-401B-85FF-62E3218344BE}" uniqueName="58" name="TUSD_PeD" queryTableFieldId="13" dataDxfId="245"/>
    <tableColumn id="59" xr3:uid="{D8960D5C-ABB6-408E-A5E3-F2455AC72DAC}" uniqueName="59" name="TUSD_ONS" queryTableFieldId="14" dataDxfId="244"/>
    <tableColumn id="60" xr3:uid="{E725F764-EA2D-45E2-8CE2-19AF99D18DDD}" uniqueName="60" name="TUSD_CCC" queryTableFieldId="15" dataDxfId="243"/>
    <tableColumn id="61" xr3:uid="{1305CDA2-9CB3-46A5-AF36-782F42321DAD}" uniqueName="61" name="TUSD_CDE" queryTableFieldId="16" dataDxfId="242"/>
    <tableColumn id="62" xr3:uid="{5383E9C4-BB8A-408B-B148-2F10FAE528FD}" uniqueName="62" name="TUSD_PROINFA" queryTableFieldId="17" dataDxfId="241"/>
    <tableColumn id="63" xr3:uid="{D8470A77-7A5F-42C5-9AF6-9FA020137260}" uniqueName="63" name="Liminar1" queryTableFieldId="18" dataDxfId="240"/>
    <tableColumn id="64" xr3:uid="{949E93F5-1F81-4005-9A17-43E6426590B5}" uniqueName="64" name="TUSD_RB" queryTableFieldId="19" dataDxfId="239"/>
    <tableColumn id="65" xr3:uid="{9BA27357-6CF8-4E03-A719-1FB2C7690066}" uniqueName="65" name="TUSD_FR" queryTableFieldId="20" dataDxfId="238"/>
    <tableColumn id="66" xr3:uid="{32D94FCB-5D78-4A21-91A9-15E1CA714E75}" uniqueName="66" name="TUSD_CCT" queryTableFieldId="21" dataDxfId="237"/>
    <tableColumn id="67" xr3:uid="{0ABF4466-406B-403D-AAA4-6A779F893D4F}" uniqueName="67" name="TUSD_CCD" queryTableFieldId="22" dataDxfId="236"/>
    <tableColumn id="68" xr3:uid="{182734BE-6C2C-476B-9F9E-D137CAE2137F}" uniqueName="68" name="TUSD_CUSD" queryTableFieldId="23" dataDxfId="235"/>
    <tableColumn id="69" xr3:uid="{024CE5CD-D3ED-47D6-B1A5-7E9CC6277FE0}" uniqueName="69" name="TUSDG_T" queryTableFieldId="24" dataDxfId="234"/>
    <tableColumn id="70" xr3:uid="{DA390279-4403-4504-BB0B-63B1699B40C2}" uniqueName="70" name="TUSDG_ONS" queryTableFieldId="25" dataDxfId="233"/>
    <tableColumn id="71" xr3:uid="{C4EB812D-611E-4BE5-8A83-DE83E931759F}" uniqueName="71" name="TUSD_FioB" queryTableFieldId="26" dataDxfId="232"/>
    <tableColumn id="72" xr3:uid="{1A852520-3852-4FD0-8480-719DA48D33F0}" uniqueName="72" name="TUSD Subsidio" queryTableFieldId="27" dataDxfId="231"/>
    <tableColumn id="73" xr3:uid="{BA535CE5-5C67-4845-8AAA-EC6628949ED3}" uniqueName="73" name="TUSD BENEFICIO_L14299" queryTableFieldId="28" dataDxfId="230"/>
    <tableColumn id="74" xr3:uid="{8B7BA2B3-7F7A-4941-99A9-5B4DFF32E961}" uniqueName="74" name="TUSD Outros" queryTableFieldId="29" dataDxfId="229"/>
    <tableColumn id="75" xr3:uid="{E8B64478-24DA-4510-A13B-0B34A6E98153}" uniqueName="75" name="TUSD_PT" queryTableFieldId="30" dataDxfId="228"/>
    <tableColumn id="76" xr3:uid="{32D3C2BB-FE08-44AC-BB3D-478D6E324685}" uniqueName="76" name="TUSD_Per_RB_D" queryTableFieldId="31" dataDxfId="227"/>
    <tableColumn id="77" xr3:uid="{F4097945-BAB2-44FF-B595-5266E8A86AAE}" uniqueName="77" name="TUSD_PNT" queryTableFieldId="32" dataDxfId="226"/>
    <tableColumn id="78" xr3:uid="{E6B5071F-3BFA-438D-9805-0BA155769C98}" uniqueName="78" name="TUSD_RI" queryTableFieldId="33" dataDxfId="225"/>
    <tableColumn id="79" xr3:uid="{DEFA68D0-1926-4AA0-8BA4-9B82EF4120D9}" uniqueName="79" name="TE_CDE_COVID" queryTableFieldId="34" dataDxfId="224"/>
    <tableColumn id="80" xr3:uid="{A25994B2-4A9C-42BA-A63C-BB9A06EA64A9}" uniqueName="80" name="TE_CDE_ELET" queryTableFieldId="35" dataDxfId="223"/>
    <tableColumn id="81" xr3:uid="{2AC118DF-FF21-4669-B650-3BD77424410C}" uniqueName="81" name="TE_PeD" queryTableFieldId="36" dataDxfId="222"/>
    <tableColumn id="82" xr3:uid="{34ED90A8-D7C9-42A9-A6E1-06732C8705CE}" uniqueName="82" name="TE_ESSERR" queryTableFieldId="37" dataDxfId="221"/>
    <tableColumn id="83" xr3:uid="{8B118ED0-B3A7-43E8-A9EC-D82678196F2B}" uniqueName="83" name="TE_CFURH" queryTableFieldId="38" dataDxfId="220"/>
    <tableColumn id="84" xr3:uid="{B0C8D242-318E-4183-9B4D-70DA5D4AF277}" uniqueName="84" name="TE_ENERGIA" queryTableFieldId="39" dataDxfId="219"/>
    <tableColumn id="85" xr3:uid="{F3AED393-7368-46C0-B38B-4C385673EEDC}" uniqueName="85" name="TE_TRANSPORTE_ITAIPU" queryTableFieldId="40" dataDxfId="218"/>
    <tableColumn id="86" xr3:uid="{9C74F69B-6179-4B0E-8A44-0450A8DA7E36}" uniqueName="86" name="TE_TUST_ITAIPU" queryTableFieldId="41" dataDxfId="217"/>
    <tableColumn id="87" xr3:uid="{09A0A4C7-4660-405B-9523-57A51C54E74D}" uniqueName="87" name="TE_TUST_CI" queryTableFieldId="42" dataDxfId="216"/>
    <tableColumn id="88" xr3:uid="{4B770C2F-39FD-4379-AB6B-2694AB8E4ABA}" uniqueName="88" name="TE Subsidio" queryTableFieldId="43" dataDxfId="215"/>
    <tableColumn id="89" xr3:uid="{8AF8AD93-1228-4D10-B54F-2E0269146678}" uniqueName="89" name="TE BENEFICIO_L14299" queryTableFieldId="44" dataDxfId="214"/>
    <tableColumn id="90" xr3:uid="{35745621-DF98-48DC-BA72-3D2681EDFA4E}" uniqueName="90" name="TE_Per_RB" queryTableFieldId="45" dataDxfId="2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F9317E-733E-451C-8953-00C8991CEFF4}" name="TabelaEc" displayName="TabelaEc" ref="B3:AT50" tableType="queryTable" totalsRowShown="0" headerRowDxfId="212" dataDxfId="210" headerRowBorderDxfId="211" tableBorderDxfId="209" totalsRowBorderDxfId="208">
  <autoFilter ref="B3:AT50" xr:uid="{87F9317E-733E-451C-8953-00C8991CEFF4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18589879-C9DD-4891-960E-6D665FD92175}" uniqueName="46" name="SUBGRUPO" queryTableFieldId="1" dataDxfId="207"/>
    <tableColumn id="47" xr3:uid="{5319F493-9C95-4F2F-9818-E0726478ED6A}" uniqueName="47" name="MODALIDADE" queryTableFieldId="2" dataDxfId="206"/>
    <tableColumn id="48" xr3:uid="{3B01DAAB-F899-4D69-835D-E59150A312FB}" uniqueName="48" name="CLASSE" queryTableFieldId="3" dataDxfId="205"/>
    <tableColumn id="49" xr3:uid="{CE5079C4-2E4A-4545-B94A-F27DFEE572B0}" uniqueName="49" name="SUBCLASSE" queryTableFieldId="4" dataDxfId="204"/>
    <tableColumn id="50" xr3:uid="{0A028C06-C78E-41F7-A35B-3A3942D33A4C}" uniqueName="50" name="DETALHE" queryTableFieldId="5" dataDxfId="203"/>
    <tableColumn id="51" xr3:uid="{72F5DB5F-5B90-4BE2-AE64-E5FF049AD158}" uniqueName="51" name="POSTO" queryTableFieldId="6" dataDxfId="202"/>
    <tableColumn id="52" xr3:uid="{0FF3BB4E-C5FD-494A-933D-71492CC050CC}" uniqueName="52" name="UNIDADE" queryTableFieldId="7" dataDxfId="201"/>
    <tableColumn id="53" xr3:uid="{E7969605-D261-4FCE-88BF-42FBFB7E8F5A}" uniqueName="53" name="ACESSANTE" queryTableFieldId="8" dataDxfId="200"/>
    <tableColumn id="54" xr3:uid="{C2E32DF9-6311-4608-B610-821C57967D83}" uniqueName="54" name="Total TUSD" queryTableFieldId="9" dataDxfId="199"/>
    <tableColumn id="55" xr3:uid="{0709817D-41AD-434E-AB34-198A0D2D622F}" uniqueName="55" name="Total TE" queryTableFieldId="10" dataDxfId="198"/>
    <tableColumn id="56" xr3:uid="{A1633F04-C74A-4E9A-9B40-6EF11F27E244}" uniqueName="56" name="TUSD_CDE_COVID" queryTableFieldId="11" dataDxfId="197"/>
    <tableColumn id="57" xr3:uid="{7CA3FA07-71B3-4D6E-B343-3B836CAD8172}" uniqueName="57" name="TUSD_TFSEE" queryTableFieldId="12" dataDxfId="196"/>
    <tableColumn id="58" xr3:uid="{F07C9B10-328D-47CE-81AC-EB4C13E97F30}" uniqueName="58" name="TUSD_PeD" queryTableFieldId="13" dataDxfId="195"/>
    <tableColumn id="59" xr3:uid="{91560F50-AE71-46C3-B65A-C4215DDB9684}" uniqueName="59" name="TUSD_ONS" queryTableFieldId="14" dataDxfId="194"/>
    <tableColumn id="60" xr3:uid="{30D36DFD-0F98-406B-B95C-598777330677}" uniqueName="60" name="TUSD_CCC" queryTableFieldId="15" dataDxfId="193"/>
    <tableColumn id="61" xr3:uid="{A92779A6-BBB9-4788-BD40-AEAB56372B83}" uniqueName="61" name="TUSD_CDE" queryTableFieldId="16" dataDxfId="192"/>
    <tableColumn id="62" xr3:uid="{AC2142E7-011E-4CD7-85FB-EB459222B2B4}" uniqueName="62" name="TUSD_PROINFA" queryTableFieldId="17" dataDxfId="191"/>
    <tableColumn id="63" xr3:uid="{5EEC5F87-877D-46A7-B83B-FA25703F0662}" uniqueName="63" name="Liminar1" queryTableFieldId="18" dataDxfId="190"/>
    <tableColumn id="64" xr3:uid="{AE73A914-8EF1-43A3-A44F-13EBA3BC896F}" uniqueName="64" name="TUSD_RB" queryTableFieldId="19" dataDxfId="189"/>
    <tableColumn id="65" xr3:uid="{D77D0F8E-A49F-4D74-8077-842A88856D5E}" uniqueName="65" name="TUSD_FR" queryTableFieldId="20" dataDxfId="188"/>
    <tableColumn id="66" xr3:uid="{EE4BB176-AA9E-4359-AB5E-03A08F093DAA}" uniqueName="66" name="TUSD_CCT" queryTableFieldId="21" dataDxfId="187"/>
    <tableColumn id="67" xr3:uid="{F22BD034-AD41-4633-AD22-67432E6F382F}" uniqueName="67" name="TUSD_CCD" queryTableFieldId="22" dataDxfId="186"/>
    <tableColumn id="68" xr3:uid="{FD246C04-11B2-4F3C-BA01-2D6AE5233E48}" uniqueName="68" name="TUSD_CUSD" queryTableFieldId="23" dataDxfId="185"/>
    <tableColumn id="69" xr3:uid="{4D9BF164-F429-400B-8C31-82E9EDB2E9B9}" uniqueName="69" name="TUSDG_T" queryTableFieldId="24" dataDxfId="184"/>
    <tableColumn id="70" xr3:uid="{EFDA63DF-C2F1-4255-BF76-EFA0E53A5896}" uniqueName="70" name="TUSDG_ONS" queryTableFieldId="25" dataDxfId="183"/>
    <tableColumn id="71" xr3:uid="{47141142-0B3B-4326-9FC2-3CF6153B0EAE}" uniqueName="71" name="TUSD_FioB" queryTableFieldId="26" dataDxfId="182"/>
    <tableColumn id="72" xr3:uid="{9A7E2356-B880-4E61-9447-5F9C7C5FF84A}" uniqueName="72" name="TUSD Subsidio" queryTableFieldId="27" dataDxfId="181"/>
    <tableColumn id="73" xr3:uid="{F52BF597-BEC3-4EC9-8D33-963E11D0EB01}" uniqueName="73" name="TUSD BENEFICIO_L14299" queryTableFieldId="28" dataDxfId="180"/>
    <tableColumn id="74" xr3:uid="{FC832CB6-61FE-4702-B7D6-688378C699E2}" uniqueName="74" name="TUSD Outros" queryTableFieldId="29" dataDxfId="179"/>
    <tableColumn id="75" xr3:uid="{7D8C2D52-55A5-4820-A89C-C19934DC314C}" uniqueName="75" name="TUSD_PT" queryTableFieldId="30" dataDxfId="178"/>
    <tableColumn id="76" xr3:uid="{AD9F4F73-BC71-4AB7-AB14-80AB9E9F65A4}" uniqueName="76" name="TUSD_Per_RB_D" queryTableFieldId="31" dataDxfId="177"/>
    <tableColumn id="77" xr3:uid="{F9CEF01C-5D31-4CB9-B341-F3AB3A89DE9E}" uniqueName="77" name="TUSD_PNT" queryTableFieldId="32" dataDxfId="176"/>
    <tableColumn id="78" xr3:uid="{4E1D760C-2DF7-4A07-8B13-F8A36763E9CE}" uniqueName="78" name="TUSD_RI" queryTableFieldId="33" dataDxfId="175"/>
    <tableColumn id="79" xr3:uid="{6D61DFFC-61FC-43AF-8402-79024AF016F6}" uniqueName="79" name="TE_CDE_COVID" queryTableFieldId="34" dataDxfId="174"/>
    <tableColumn id="80" xr3:uid="{53CBDBB3-E98E-4242-B74A-8C914C08FCD9}" uniqueName="80" name="TE_CDE_ELET" queryTableFieldId="35" dataDxfId="173"/>
    <tableColumn id="81" xr3:uid="{FFABE8A9-9EFD-4458-977A-C87C9DCED337}" uniqueName="81" name="TE_PeD" queryTableFieldId="36" dataDxfId="172"/>
    <tableColumn id="82" xr3:uid="{A5C11BC0-C1AA-4A3C-B4B1-FCC2D8EE7015}" uniqueName="82" name="TE_ESSERR" queryTableFieldId="37" dataDxfId="171"/>
    <tableColumn id="83" xr3:uid="{D4C1E319-90C5-49F6-BA24-975D69C0493A}" uniqueName="83" name="TE_CFURH" queryTableFieldId="38" dataDxfId="170"/>
    <tableColumn id="84" xr3:uid="{62C0F8E0-58A3-43BC-850D-F18307BDFA09}" uniqueName="84" name="TE_ENERGIA" queryTableFieldId="39" dataDxfId="169"/>
    <tableColumn id="85" xr3:uid="{459B65DD-3EF3-4489-9C63-061B8E968FAD}" uniqueName="85" name="TE_TRANSPORTE_ITAIPU" queryTableFieldId="40" dataDxfId="168"/>
    <tableColumn id="86" xr3:uid="{F7031E9F-4753-4E42-8AB7-A60F82B9F39C}" uniqueName="86" name="TE_TUST_ITAIPU" queryTableFieldId="41" dataDxfId="167"/>
    <tableColumn id="87" xr3:uid="{B4121A48-F93D-4EB2-98FC-1F3683AB1E56}" uniqueName="87" name="TE_TUST_CI" queryTableFieldId="42" dataDxfId="166"/>
    <tableColumn id="88" xr3:uid="{06EC4D07-FE77-4AB1-A367-8E672385A5A5}" uniqueName="88" name="TE Subsidio" queryTableFieldId="43" dataDxfId="165"/>
    <tableColumn id="89" xr3:uid="{CEE5F0BD-7465-4274-96A1-1D166F6F0CE5}" uniqueName="89" name="TE BENEFICIO_L14299" queryTableFieldId="44" dataDxfId="164"/>
    <tableColumn id="90" xr3:uid="{37F81272-8D92-4FC7-A305-4D7B23E95A5C}" uniqueName="90" name="TE_Per_RB" queryTableFieldId="45" dataDxfId="16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476A4E0-1CEF-4ACF-80EA-5F069B529A15}" name="TabelaCVA" displayName="TabelaCVA" ref="B3:AT50" tableType="queryTable" totalsRowShown="0" headerRowDxfId="162" dataDxfId="160" headerRowBorderDxfId="161" tableBorderDxfId="159" totalsRowBorderDxfId="158">
  <autoFilter ref="B3:AT50" xr:uid="{4476A4E0-1CEF-4ACF-80EA-5F069B529A15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C488281D-69A1-4955-AF6D-E0786A2A3D16}" uniqueName="46" name="SUBGRUPO" queryTableFieldId="1" dataDxfId="157"/>
    <tableColumn id="47" xr3:uid="{5DB2D996-9CF8-477C-A4F3-F068313F3F34}" uniqueName="47" name="MODALIDADE" queryTableFieldId="2" dataDxfId="156"/>
    <tableColumn id="48" xr3:uid="{2745FD93-F914-4367-B671-BB10984EDBF7}" uniqueName="48" name="CLASSE" queryTableFieldId="3" dataDxfId="155"/>
    <tableColumn id="49" xr3:uid="{8CF9AF53-B9AF-416A-A659-308BD0452D49}" uniqueName="49" name="SUBCLASSE" queryTableFieldId="4" dataDxfId="154"/>
    <tableColumn id="50" xr3:uid="{5C587708-54BC-4C73-9774-A7F01A43B6F5}" uniqueName="50" name="DETALHE" queryTableFieldId="5" dataDxfId="153"/>
    <tableColumn id="51" xr3:uid="{B3A243EB-E12F-40D5-8B67-4855D475C08B}" uniqueName="51" name="POSTO" queryTableFieldId="6" dataDxfId="152"/>
    <tableColumn id="52" xr3:uid="{6229F0E9-6658-4927-B49F-7F6199773116}" uniqueName="52" name="UNIDADE" queryTableFieldId="7" dataDxfId="151"/>
    <tableColumn id="53" xr3:uid="{790741AB-E46A-44C8-98FF-ED5242F8FBE6}" uniqueName="53" name="ACESSANTE" queryTableFieldId="8" dataDxfId="150"/>
    <tableColumn id="54" xr3:uid="{8F2D992F-A1D5-474B-A5FB-F5FE6045D60D}" uniqueName="54" name="Total TUSD" queryTableFieldId="9" dataDxfId="149"/>
    <tableColumn id="55" xr3:uid="{CB218D47-A641-49D6-9C1A-7FA68F50F652}" uniqueName="55" name="Total TE" queryTableFieldId="10" dataDxfId="148"/>
    <tableColumn id="56" xr3:uid="{9DF04E3C-DD8A-480D-B6ED-D18E2AA4BD9F}" uniqueName="56" name="TUSD_CDE_COVID" queryTableFieldId="11" dataDxfId="147"/>
    <tableColumn id="57" xr3:uid="{878C7B66-2622-4F56-AA86-F2C04EF5BF28}" uniqueName="57" name="TUSD_TFSEE" queryTableFieldId="12" dataDxfId="146"/>
    <tableColumn id="58" xr3:uid="{87380DB1-D72E-41A3-8F5E-CD8564485FBE}" uniqueName="58" name="TUSD_PeD" queryTableFieldId="13" dataDxfId="145"/>
    <tableColumn id="59" xr3:uid="{BA892CB3-8AA5-404B-98F9-F73FF51E1AF3}" uniqueName="59" name="TUSD_ONS" queryTableFieldId="14" dataDxfId="144"/>
    <tableColumn id="60" xr3:uid="{98AB02A7-BF00-48E4-8111-B62528BA62AB}" uniqueName="60" name="TUSD_CCC" queryTableFieldId="15" dataDxfId="143"/>
    <tableColumn id="61" xr3:uid="{FAD65E0D-EBA3-4C95-B784-156E5F251CF9}" uniqueName="61" name="TUSD_CDE" queryTableFieldId="16" dataDxfId="142"/>
    <tableColumn id="62" xr3:uid="{842F0B8C-4477-478A-A308-C5BCDA94A87C}" uniqueName="62" name="TUSD_PROINFA" queryTableFieldId="17" dataDxfId="141"/>
    <tableColumn id="63" xr3:uid="{21A503AC-1FA3-45A0-8AD2-995FD1B8C686}" uniqueName="63" name="Liminar1" queryTableFieldId="18" dataDxfId="140"/>
    <tableColumn id="64" xr3:uid="{FBD81F6C-BD1B-4D90-97AC-8AED682FC32F}" uniqueName="64" name="TUSD_RB" queryTableFieldId="19" dataDxfId="139"/>
    <tableColumn id="65" xr3:uid="{923F2E04-26C6-41FD-9147-AF726F237F8C}" uniqueName="65" name="TUSD_FR" queryTableFieldId="20" dataDxfId="138"/>
    <tableColumn id="66" xr3:uid="{F38AAAD8-746F-44C7-862A-72ADD8E41991}" uniqueName="66" name="TUSD_CCT" queryTableFieldId="21" dataDxfId="137"/>
    <tableColumn id="67" xr3:uid="{93587428-D50A-4170-98E6-7295804E215C}" uniqueName="67" name="TUSD_CCD" queryTableFieldId="22" dataDxfId="136"/>
    <tableColumn id="68" xr3:uid="{C630AFC6-5B39-4FE1-9B93-39C84A1CD2B8}" uniqueName="68" name="TUSD_CUSD" queryTableFieldId="23" dataDxfId="135"/>
    <tableColumn id="69" xr3:uid="{9AC9EB03-0292-430F-B4D2-DBA75DBCB5E4}" uniqueName="69" name="TUSDG_T" queryTableFieldId="24" dataDxfId="134"/>
    <tableColumn id="70" xr3:uid="{14E03540-1C9A-4A45-87D9-64668BA6D9EE}" uniqueName="70" name="TUSDG_ONS" queryTableFieldId="25" dataDxfId="133"/>
    <tableColumn id="71" xr3:uid="{F1278735-DF69-419A-8DAB-E563069F08B6}" uniqueName="71" name="TUSD_FioB" queryTableFieldId="26" dataDxfId="132"/>
    <tableColumn id="72" xr3:uid="{ABC7C4F9-6190-44BA-856D-849B980E1BA0}" uniqueName="72" name="TUSD Subsidio" queryTableFieldId="27" dataDxfId="131"/>
    <tableColumn id="73" xr3:uid="{8A4FD29F-F528-492F-A30E-DB75190CA3A9}" uniqueName="73" name="TUSD BENEFICIO_L14299" queryTableFieldId="28" dataDxfId="130"/>
    <tableColumn id="74" xr3:uid="{AFCD9EDE-F06E-4823-8849-074E6E743DFF}" uniqueName="74" name="TUSD Outros" queryTableFieldId="29" dataDxfId="129"/>
    <tableColumn id="75" xr3:uid="{F6643E82-EA8A-4B8B-97F6-EC04252AEBFA}" uniqueName="75" name="TUSD_PT" queryTableFieldId="30" dataDxfId="128"/>
    <tableColumn id="76" xr3:uid="{F557DC7D-284E-46B0-8421-4869FC39E375}" uniqueName="76" name="TUSD_Per_RB_D" queryTableFieldId="31" dataDxfId="127"/>
    <tableColumn id="77" xr3:uid="{05F3E26B-416F-42C6-9ACE-5A73A883F43A}" uniqueName="77" name="TUSD_PNT" queryTableFieldId="32" dataDxfId="126"/>
    <tableColumn id="78" xr3:uid="{F4A60913-3F5F-4028-86C0-C775BDA7249F}" uniqueName="78" name="TUSD_RI" queryTableFieldId="33" dataDxfId="125"/>
    <tableColumn id="79" xr3:uid="{145C17B8-0192-4047-99F4-F0DFDDBC1756}" uniqueName="79" name="TE_CDE_COVID" queryTableFieldId="34" dataDxfId="124"/>
    <tableColumn id="80" xr3:uid="{CE5C3086-002C-41E1-AC8A-29A57B15570F}" uniqueName="80" name="TE_CDE_ELET" queryTableFieldId="35" dataDxfId="123"/>
    <tableColumn id="81" xr3:uid="{87647520-3A5C-4653-9AD3-35399277D5B9}" uniqueName="81" name="TE_PeD" queryTableFieldId="36" dataDxfId="122"/>
    <tableColumn id="82" xr3:uid="{C320DF79-CE88-4AD4-ACE0-FB4142DDC1A2}" uniqueName="82" name="TE_ESSERR" queryTableFieldId="37" dataDxfId="121"/>
    <tableColumn id="83" xr3:uid="{CD4D1EDD-FF41-4759-8D7D-A62653A8D1DD}" uniqueName="83" name="TE_CFURH" queryTableFieldId="38" dataDxfId="120"/>
    <tableColumn id="84" xr3:uid="{D35BD18F-5F28-4920-8BB0-075C533D7211}" uniqueName="84" name="TE_ENERGIA" queryTableFieldId="39" dataDxfId="119"/>
    <tableColumn id="85" xr3:uid="{99FBEC89-5415-437D-A35C-4E4FE475C4B6}" uniqueName="85" name="TE_TRANSPORTE_ITAIPU" queryTableFieldId="40" dataDxfId="118"/>
    <tableColumn id="86" xr3:uid="{9F1FA21A-FFF8-4173-B6EA-8DDAC3F89F8F}" uniqueName="86" name="TE_TUST_ITAIPU" queryTableFieldId="41" dataDxfId="117"/>
    <tableColumn id="87" xr3:uid="{89ED8506-0EF9-4DDB-9AFB-9EEDD6CA5E8B}" uniqueName="87" name="TE_TUST_CI" queryTableFieldId="42" dataDxfId="116"/>
    <tableColumn id="88" xr3:uid="{3BF58ED3-29A5-45C3-9169-24192CCC368E}" uniqueName="88" name="TE Subsidio" queryTableFieldId="43" dataDxfId="115"/>
    <tableColumn id="89" xr3:uid="{D59D5926-18E6-47DA-B62A-7248F806A405}" uniqueName="89" name="TE BENEFICIO_L14299" queryTableFieldId="44" dataDxfId="114"/>
    <tableColumn id="90" xr3:uid="{27F03961-940D-4781-8C67-EBA788FAE928}" uniqueName="90" name="TE_Per_RB" queryTableFieldId="45" dataDxfId="1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F6D1-0225-46B0-B602-483251E5F292}">
  <sheetPr codeName="Planilha1"/>
  <dimension ref="A1:W1156"/>
  <sheetViews>
    <sheetView showGridLines="0" topLeftCell="O1141" workbookViewId="0">
      <selection activeCell="T1157" sqref="T1157"/>
    </sheetView>
  </sheetViews>
  <sheetFormatPr defaultRowHeight="11.25" customHeight="1" x14ac:dyDescent="0.25"/>
  <cols>
    <col min="1" max="1" width="23.710937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8" width="10.28515625" style="3" bestFit="1" customWidth="1"/>
    <col min="9" max="9" width="8.7109375" style="6" bestFit="1" customWidth="1"/>
    <col min="10" max="12" width="7.85546875" style="4" bestFit="1" customWidth="1"/>
    <col min="13" max="13" width="8" style="4" bestFit="1" customWidth="1"/>
    <col min="14" max="15" width="7.85546875" style="4" bestFit="1" customWidth="1"/>
    <col min="16" max="16" width="8.7109375" style="4" bestFit="1" customWidth="1"/>
    <col min="17" max="17" width="6.5703125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91</v>
      </c>
      <c r="T1" s="1" t="s">
        <v>341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39</v>
      </c>
      <c r="C2" s="3" t="s">
        <v>40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35</v>
      </c>
      <c r="I2" s="6">
        <v>44501</v>
      </c>
      <c r="J2" s="4">
        <v>6851</v>
      </c>
      <c r="K2" s="4">
        <v>6851</v>
      </c>
      <c r="L2" s="4">
        <v>2162.8110000000001</v>
      </c>
      <c r="M2" s="4">
        <v>2162.8110000000001</v>
      </c>
      <c r="N2" s="4">
        <v>2162.8110000000001</v>
      </c>
      <c r="O2" s="4">
        <v>2162.8110000000001</v>
      </c>
      <c r="P2" s="4">
        <v>0</v>
      </c>
      <c r="Q2" s="3" t="s">
        <v>26</v>
      </c>
      <c r="R2" s="3">
        <v>0</v>
      </c>
      <c r="S2" s="3" t="s">
        <v>92</v>
      </c>
      <c r="T2" s="3" t="s">
        <v>342</v>
      </c>
      <c r="U2" s="3">
        <v>27</v>
      </c>
      <c r="V2" s="3">
        <v>23</v>
      </c>
      <c r="W2" s="3">
        <v>59</v>
      </c>
    </row>
    <row r="3" spans="1:23" ht="11.25" customHeight="1" x14ac:dyDescent="0.25">
      <c r="A3" s="3" t="s">
        <v>28</v>
      </c>
      <c r="B3" s="3" t="s">
        <v>39</v>
      </c>
      <c r="C3" s="3" t="s">
        <v>40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35</v>
      </c>
      <c r="I3" s="6">
        <v>44501</v>
      </c>
      <c r="J3" s="4">
        <v>45</v>
      </c>
      <c r="K3" s="4">
        <v>45</v>
      </c>
      <c r="L3" s="4">
        <v>4.9859999999999998</v>
      </c>
      <c r="M3" s="4">
        <v>4.9859999999999998</v>
      </c>
      <c r="N3" s="4">
        <v>4.9859999999999998</v>
      </c>
      <c r="O3" s="4">
        <v>4.9859999999999998</v>
      </c>
      <c r="P3" s="4">
        <v>0</v>
      </c>
      <c r="Q3" s="3" t="s">
        <v>26</v>
      </c>
      <c r="R3" s="3">
        <v>0</v>
      </c>
      <c r="S3" s="3" t="s">
        <v>92</v>
      </c>
      <c r="T3" s="3" t="s">
        <v>342</v>
      </c>
      <c r="U3" s="3">
        <v>27</v>
      </c>
      <c r="V3" s="3">
        <v>23</v>
      </c>
      <c r="W3" s="3">
        <v>59</v>
      </c>
    </row>
    <row r="4" spans="1:23" ht="11.25" customHeight="1" x14ac:dyDescent="0.25">
      <c r="A4" s="3" t="s">
        <v>21</v>
      </c>
      <c r="B4" s="3" t="s">
        <v>39</v>
      </c>
      <c r="C4" s="3" t="s">
        <v>40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35</v>
      </c>
      <c r="I4" s="6">
        <v>44531</v>
      </c>
      <c r="J4" s="4">
        <v>6503</v>
      </c>
      <c r="K4" s="4">
        <v>6503</v>
      </c>
      <c r="L4" s="4">
        <v>2177.9250000000002</v>
      </c>
      <c r="M4" s="4">
        <v>2177.9250000000002</v>
      </c>
      <c r="N4" s="4">
        <v>2177.9250000000002</v>
      </c>
      <c r="O4" s="4">
        <v>2177.9250000000002</v>
      </c>
      <c r="P4" s="4">
        <v>0</v>
      </c>
      <c r="Q4" s="3" t="s">
        <v>26</v>
      </c>
      <c r="R4" s="3">
        <v>0</v>
      </c>
      <c r="S4" s="3" t="s">
        <v>93</v>
      </c>
      <c r="T4" s="3" t="s">
        <v>343</v>
      </c>
      <c r="U4" s="3">
        <v>27</v>
      </c>
      <c r="V4" s="3">
        <v>23</v>
      </c>
      <c r="W4" s="3">
        <v>59</v>
      </c>
    </row>
    <row r="5" spans="1:23" ht="11.25" customHeight="1" x14ac:dyDescent="0.25">
      <c r="A5" s="3" t="s">
        <v>27</v>
      </c>
      <c r="B5" s="3" t="s">
        <v>39</v>
      </c>
      <c r="C5" s="3" t="s">
        <v>40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35</v>
      </c>
      <c r="I5" s="6">
        <v>44531</v>
      </c>
      <c r="J5" s="4">
        <v>-300</v>
      </c>
      <c r="K5" s="4">
        <v>-300</v>
      </c>
      <c r="L5" s="4">
        <v>-4.2889999999999997</v>
      </c>
      <c r="M5" s="4">
        <v>-4.2889999999999997</v>
      </c>
      <c r="N5" s="4">
        <v>-4.2889999999999997</v>
      </c>
      <c r="O5" s="4">
        <v>-4.2889999999999997</v>
      </c>
      <c r="P5" s="4">
        <v>0</v>
      </c>
      <c r="Q5" s="3" t="s">
        <v>26</v>
      </c>
      <c r="R5" s="3">
        <v>0</v>
      </c>
      <c r="S5" s="3" t="s">
        <v>93</v>
      </c>
      <c r="T5" s="3" t="s">
        <v>343</v>
      </c>
      <c r="U5" s="3">
        <v>27</v>
      </c>
      <c r="V5" s="3">
        <v>23</v>
      </c>
      <c r="W5" s="3">
        <v>59</v>
      </c>
    </row>
    <row r="6" spans="1:23" ht="11.25" customHeight="1" x14ac:dyDescent="0.25">
      <c r="A6" s="3" t="s">
        <v>28</v>
      </c>
      <c r="B6" s="3" t="s">
        <v>39</v>
      </c>
      <c r="C6" s="3" t="s">
        <v>40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35</v>
      </c>
      <c r="I6" s="6">
        <v>44531</v>
      </c>
      <c r="J6" s="4">
        <v>45</v>
      </c>
      <c r="K6" s="4">
        <v>45</v>
      </c>
      <c r="L6" s="4">
        <v>3.9359999999999999</v>
      </c>
      <c r="M6" s="4">
        <v>3.9359999999999999</v>
      </c>
      <c r="N6" s="4">
        <v>3.9359999999999999</v>
      </c>
      <c r="O6" s="4">
        <v>3.9359999999999999</v>
      </c>
      <c r="P6" s="4">
        <v>0</v>
      </c>
      <c r="Q6" s="3" t="s">
        <v>26</v>
      </c>
      <c r="R6" s="3">
        <v>0</v>
      </c>
      <c r="S6" s="3" t="s">
        <v>93</v>
      </c>
      <c r="T6" s="3" t="s">
        <v>343</v>
      </c>
      <c r="U6" s="3">
        <v>27</v>
      </c>
      <c r="V6" s="3">
        <v>23</v>
      </c>
      <c r="W6" s="3">
        <v>59</v>
      </c>
    </row>
    <row r="7" spans="1:23" ht="11.25" customHeight="1" x14ac:dyDescent="0.25">
      <c r="A7" s="3" t="s">
        <v>21</v>
      </c>
      <c r="B7" s="3" t="s">
        <v>39</v>
      </c>
      <c r="C7" s="3" t="s">
        <v>40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35</v>
      </c>
      <c r="I7" s="6">
        <v>44562</v>
      </c>
      <c r="J7" s="4">
        <v>6464</v>
      </c>
      <c r="K7" s="4">
        <v>6464</v>
      </c>
      <c r="L7" s="4">
        <v>2135.6469999999999</v>
      </c>
      <c r="M7" s="4">
        <v>2135.6469999999999</v>
      </c>
      <c r="N7" s="4">
        <v>2135.6469999999999</v>
      </c>
      <c r="O7" s="4">
        <v>2135.6469999999999</v>
      </c>
      <c r="P7" s="4">
        <v>0</v>
      </c>
      <c r="Q7" s="3" t="s">
        <v>26</v>
      </c>
      <c r="R7" s="3">
        <v>0</v>
      </c>
      <c r="S7" s="3" t="s">
        <v>94</v>
      </c>
      <c r="T7" s="3" t="s">
        <v>344</v>
      </c>
      <c r="U7" s="3">
        <v>27</v>
      </c>
      <c r="V7" s="3">
        <v>23</v>
      </c>
      <c r="W7" s="3">
        <v>59</v>
      </c>
    </row>
    <row r="8" spans="1:23" ht="11.25" customHeight="1" x14ac:dyDescent="0.25">
      <c r="A8" s="3" t="s">
        <v>28</v>
      </c>
      <c r="B8" s="3" t="s">
        <v>39</v>
      </c>
      <c r="C8" s="3" t="s">
        <v>40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35</v>
      </c>
      <c r="I8" s="6">
        <v>44562</v>
      </c>
      <c r="J8" s="4">
        <v>45</v>
      </c>
      <c r="K8" s="4">
        <v>45</v>
      </c>
      <c r="L8" s="4">
        <v>3.8570000000000002</v>
      </c>
      <c r="M8" s="4">
        <v>3.8570000000000002</v>
      </c>
      <c r="N8" s="4">
        <v>3.8570000000000002</v>
      </c>
      <c r="O8" s="4">
        <v>3.8570000000000002</v>
      </c>
      <c r="P8" s="4">
        <v>0</v>
      </c>
      <c r="Q8" s="3" t="s">
        <v>26</v>
      </c>
      <c r="R8" s="3">
        <v>0</v>
      </c>
      <c r="S8" s="3" t="s">
        <v>94</v>
      </c>
      <c r="T8" s="3" t="s">
        <v>344</v>
      </c>
      <c r="U8" s="3">
        <v>27</v>
      </c>
      <c r="V8" s="3">
        <v>23</v>
      </c>
      <c r="W8" s="3">
        <v>59</v>
      </c>
    </row>
    <row r="9" spans="1:23" ht="11.25" customHeight="1" x14ac:dyDescent="0.25">
      <c r="A9" s="3" t="s">
        <v>21</v>
      </c>
      <c r="B9" s="3" t="s">
        <v>39</v>
      </c>
      <c r="C9" s="3" t="s">
        <v>40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35</v>
      </c>
      <c r="I9" s="6">
        <v>44593</v>
      </c>
      <c r="J9" s="4">
        <v>6207</v>
      </c>
      <c r="K9" s="4">
        <v>6207</v>
      </c>
      <c r="L9" s="4">
        <v>1806.096</v>
      </c>
      <c r="M9" s="4">
        <v>1806.096</v>
      </c>
      <c r="N9" s="4">
        <v>1806.096</v>
      </c>
      <c r="O9" s="4">
        <v>1806.096</v>
      </c>
      <c r="P9" s="4">
        <v>0</v>
      </c>
      <c r="Q9" s="3" t="s">
        <v>26</v>
      </c>
      <c r="R9" s="3">
        <v>0</v>
      </c>
      <c r="S9" s="3" t="s">
        <v>95</v>
      </c>
      <c r="T9" s="3" t="s">
        <v>345</v>
      </c>
      <c r="U9" s="3">
        <v>27</v>
      </c>
      <c r="V9" s="3">
        <v>23</v>
      </c>
      <c r="W9" s="3">
        <v>59</v>
      </c>
    </row>
    <row r="10" spans="1:23" ht="11.25" customHeight="1" x14ac:dyDescent="0.25">
      <c r="A10" s="3" t="s">
        <v>28</v>
      </c>
      <c r="B10" s="3" t="s">
        <v>39</v>
      </c>
      <c r="C10" s="3" t="s">
        <v>40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35</v>
      </c>
      <c r="I10" s="6">
        <v>44593</v>
      </c>
      <c r="J10" s="4">
        <v>454</v>
      </c>
      <c r="K10" s="4">
        <v>454</v>
      </c>
      <c r="L10" s="4">
        <v>180.262</v>
      </c>
      <c r="M10" s="4">
        <v>180.262</v>
      </c>
      <c r="N10" s="4">
        <v>180.262</v>
      </c>
      <c r="O10" s="4">
        <v>180.262</v>
      </c>
      <c r="P10" s="4">
        <v>0</v>
      </c>
      <c r="Q10" s="3" t="s">
        <v>26</v>
      </c>
      <c r="R10" s="3">
        <v>0</v>
      </c>
      <c r="S10" s="3" t="s">
        <v>95</v>
      </c>
      <c r="T10" s="3" t="s">
        <v>345</v>
      </c>
      <c r="U10" s="3">
        <v>27</v>
      </c>
      <c r="V10" s="3">
        <v>23</v>
      </c>
      <c r="W10" s="3">
        <v>59</v>
      </c>
    </row>
    <row r="11" spans="1:23" ht="11.25" customHeight="1" x14ac:dyDescent="0.25">
      <c r="A11" s="3" t="s">
        <v>21</v>
      </c>
      <c r="B11" s="3" t="s">
        <v>39</v>
      </c>
      <c r="C11" s="3" t="s">
        <v>40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35</v>
      </c>
      <c r="I11" s="6">
        <v>44621</v>
      </c>
      <c r="J11" s="4">
        <v>6130</v>
      </c>
      <c r="K11" s="4">
        <v>6130</v>
      </c>
      <c r="L11" s="4">
        <v>1925.5060000000001</v>
      </c>
      <c r="M11" s="4">
        <v>1925.5060000000001</v>
      </c>
      <c r="N11" s="4">
        <v>1925.5060000000001</v>
      </c>
      <c r="O11" s="4">
        <v>1925.5060000000001</v>
      </c>
      <c r="P11" s="4">
        <v>0</v>
      </c>
      <c r="Q11" s="3" t="s">
        <v>26</v>
      </c>
      <c r="R11" s="3">
        <v>0</v>
      </c>
      <c r="S11" s="3" t="s">
        <v>96</v>
      </c>
      <c r="T11" s="3" t="s">
        <v>346</v>
      </c>
      <c r="U11" s="3">
        <v>27</v>
      </c>
      <c r="V11" s="3">
        <v>23</v>
      </c>
      <c r="W11" s="3">
        <v>59</v>
      </c>
    </row>
    <row r="12" spans="1:23" ht="11.25" customHeight="1" x14ac:dyDescent="0.25">
      <c r="A12" s="3" t="s">
        <v>28</v>
      </c>
      <c r="B12" s="3" t="s">
        <v>39</v>
      </c>
      <c r="C12" s="3" t="s">
        <v>40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35</v>
      </c>
      <c r="I12" s="6">
        <v>44621</v>
      </c>
      <c r="J12" s="4">
        <v>447</v>
      </c>
      <c r="K12" s="4">
        <v>447</v>
      </c>
      <c r="L12" s="4">
        <v>192.25299999999999</v>
      </c>
      <c r="M12" s="4">
        <v>192.25299999999999</v>
      </c>
      <c r="N12" s="4">
        <v>192.25299999999999</v>
      </c>
      <c r="O12" s="4">
        <v>192.25299999999999</v>
      </c>
      <c r="P12" s="4">
        <v>0</v>
      </c>
      <c r="Q12" s="3" t="s">
        <v>26</v>
      </c>
      <c r="R12" s="3">
        <v>0</v>
      </c>
      <c r="S12" s="3" t="s">
        <v>96</v>
      </c>
      <c r="T12" s="3" t="s">
        <v>346</v>
      </c>
      <c r="U12" s="3">
        <v>27</v>
      </c>
      <c r="V12" s="3">
        <v>23</v>
      </c>
      <c r="W12" s="3">
        <v>59</v>
      </c>
    </row>
    <row r="13" spans="1:23" ht="11.25" customHeight="1" x14ac:dyDescent="0.25">
      <c r="A13" s="3" t="s">
        <v>21</v>
      </c>
      <c r="B13" s="3" t="s">
        <v>39</v>
      </c>
      <c r="C13" s="3" t="s">
        <v>40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35</v>
      </c>
      <c r="I13" s="6">
        <v>44652</v>
      </c>
      <c r="J13" s="4">
        <v>6130</v>
      </c>
      <c r="K13" s="4">
        <v>6130</v>
      </c>
      <c r="L13" s="4">
        <v>1925.5060000000001</v>
      </c>
      <c r="M13" s="4">
        <v>1925.5060000000001</v>
      </c>
      <c r="N13" s="4">
        <v>1925.5060000000001</v>
      </c>
      <c r="O13" s="4">
        <v>1925.5060000000001</v>
      </c>
      <c r="P13" s="4">
        <v>0</v>
      </c>
      <c r="Q13" s="3" t="s">
        <v>26</v>
      </c>
      <c r="R13" s="3">
        <v>0</v>
      </c>
      <c r="S13" s="3" t="s">
        <v>97</v>
      </c>
      <c r="T13" s="3" t="s">
        <v>347</v>
      </c>
      <c r="U13" s="3">
        <v>27</v>
      </c>
      <c r="V13" s="3">
        <v>23</v>
      </c>
      <c r="W13" s="3">
        <v>59</v>
      </c>
    </row>
    <row r="14" spans="1:23" ht="11.25" customHeight="1" x14ac:dyDescent="0.25">
      <c r="A14" s="3" t="s">
        <v>28</v>
      </c>
      <c r="B14" s="3" t="s">
        <v>39</v>
      </c>
      <c r="C14" s="3" t="s">
        <v>40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35</v>
      </c>
      <c r="I14" s="6">
        <v>44652</v>
      </c>
      <c r="J14" s="4">
        <v>447</v>
      </c>
      <c r="K14" s="4">
        <v>447</v>
      </c>
      <c r="L14" s="4">
        <v>192.25299999999999</v>
      </c>
      <c r="M14" s="4">
        <v>192.25299999999999</v>
      </c>
      <c r="N14" s="4">
        <v>192.25299999999999</v>
      </c>
      <c r="O14" s="4">
        <v>192.25299999999999</v>
      </c>
      <c r="P14" s="4">
        <v>0</v>
      </c>
      <c r="Q14" s="3" t="s">
        <v>26</v>
      </c>
      <c r="R14" s="3">
        <v>0</v>
      </c>
      <c r="S14" s="3" t="s">
        <v>97</v>
      </c>
      <c r="T14" s="3" t="s">
        <v>347</v>
      </c>
      <c r="U14" s="3">
        <v>27</v>
      </c>
      <c r="V14" s="3">
        <v>23</v>
      </c>
      <c r="W14" s="3">
        <v>59</v>
      </c>
    </row>
    <row r="15" spans="1:23" ht="11.25" customHeight="1" x14ac:dyDescent="0.25">
      <c r="A15" s="3" t="s">
        <v>21</v>
      </c>
      <c r="B15" s="3" t="s">
        <v>39</v>
      </c>
      <c r="C15" s="3" t="s">
        <v>40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35</v>
      </c>
      <c r="I15" s="6">
        <v>44682</v>
      </c>
      <c r="J15" s="4">
        <v>6101</v>
      </c>
      <c r="K15" s="4">
        <v>6101</v>
      </c>
      <c r="L15" s="4">
        <v>1845.6110000000001</v>
      </c>
      <c r="M15" s="4">
        <v>1845.6110000000001</v>
      </c>
      <c r="N15" s="4">
        <v>1845.6110000000001</v>
      </c>
      <c r="O15" s="4">
        <v>1845.6110000000001</v>
      </c>
      <c r="P15" s="4">
        <v>0</v>
      </c>
      <c r="Q15" s="3" t="s">
        <v>26</v>
      </c>
      <c r="R15" s="3">
        <v>0</v>
      </c>
      <c r="S15" s="3" t="s">
        <v>98</v>
      </c>
      <c r="T15" s="3" t="s">
        <v>348</v>
      </c>
      <c r="U15" s="3">
        <v>27</v>
      </c>
      <c r="V15" s="3">
        <v>23</v>
      </c>
      <c r="W15" s="3">
        <v>59</v>
      </c>
    </row>
    <row r="16" spans="1:23" ht="11.25" customHeight="1" x14ac:dyDescent="0.25">
      <c r="A16" s="3" t="s">
        <v>28</v>
      </c>
      <c r="B16" s="3" t="s">
        <v>39</v>
      </c>
      <c r="C16" s="3" t="s">
        <v>40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35</v>
      </c>
      <c r="I16" s="6">
        <v>44682</v>
      </c>
      <c r="J16" s="4">
        <v>1820</v>
      </c>
      <c r="K16" s="4">
        <v>1820</v>
      </c>
      <c r="L16" s="4">
        <v>752.96400000000006</v>
      </c>
      <c r="M16" s="4">
        <v>752.96400000000006</v>
      </c>
      <c r="N16" s="4">
        <v>752.96400000000006</v>
      </c>
      <c r="O16" s="4">
        <v>752.96400000000006</v>
      </c>
      <c r="P16" s="4">
        <v>0</v>
      </c>
      <c r="Q16" s="3" t="s">
        <v>26</v>
      </c>
      <c r="R16" s="3">
        <v>0</v>
      </c>
      <c r="S16" s="3" t="s">
        <v>98</v>
      </c>
      <c r="T16" s="3" t="s">
        <v>348</v>
      </c>
      <c r="U16" s="3">
        <v>27</v>
      </c>
      <c r="V16" s="3">
        <v>23</v>
      </c>
      <c r="W16" s="3">
        <v>59</v>
      </c>
    </row>
    <row r="17" spans="1:23" ht="11.25" customHeight="1" x14ac:dyDescent="0.25">
      <c r="A17" s="3" t="s">
        <v>21</v>
      </c>
      <c r="B17" s="3" t="s">
        <v>39</v>
      </c>
      <c r="C17" s="3" t="s">
        <v>40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35</v>
      </c>
      <c r="I17" s="6">
        <v>44713</v>
      </c>
      <c r="J17" s="4">
        <v>6024</v>
      </c>
      <c r="K17" s="4">
        <v>6024</v>
      </c>
      <c r="L17" s="4">
        <v>1795.8879999999999</v>
      </c>
      <c r="M17" s="4">
        <v>1795.8879999999999</v>
      </c>
      <c r="N17" s="4">
        <v>1795.8879999999999</v>
      </c>
      <c r="O17" s="4">
        <v>1795.8879999999999</v>
      </c>
      <c r="P17" s="4">
        <v>0</v>
      </c>
      <c r="Q17" s="3" t="s">
        <v>26</v>
      </c>
      <c r="R17" s="3">
        <v>0</v>
      </c>
      <c r="S17" s="3" t="s">
        <v>99</v>
      </c>
      <c r="T17" s="3" t="s">
        <v>349</v>
      </c>
      <c r="U17" s="3">
        <v>27</v>
      </c>
      <c r="V17" s="3">
        <v>23</v>
      </c>
      <c r="W17" s="3">
        <v>59</v>
      </c>
    </row>
    <row r="18" spans="1:23" ht="11.25" customHeight="1" x14ac:dyDescent="0.25">
      <c r="A18" s="3" t="s">
        <v>28</v>
      </c>
      <c r="B18" s="3" t="s">
        <v>39</v>
      </c>
      <c r="C18" s="3" t="s">
        <v>40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35</v>
      </c>
      <c r="I18" s="6">
        <v>44713</v>
      </c>
      <c r="J18" s="4">
        <v>445</v>
      </c>
      <c r="K18" s="4">
        <v>445</v>
      </c>
      <c r="L18" s="4">
        <v>181.529</v>
      </c>
      <c r="M18" s="4">
        <v>181.529</v>
      </c>
      <c r="N18" s="4">
        <v>181.529</v>
      </c>
      <c r="O18" s="4">
        <v>181.529</v>
      </c>
      <c r="P18" s="4">
        <v>0</v>
      </c>
      <c r="Q18" s="3" t="s">
        <v>26</v>
      </c>
      <c r="R18" s="3">
        <v>0</v>
      </c>
      <c r="S18" s="3" t="s">
        <v>99</v>
      </c>
      <c r="T18" s="3" t="s">
        <v>349</v>
      </c>
      <c r="U18" s="3">
        <v>27</v>
      </c>
      <c r="V18" s="3">
        <v>23</v>
      </c>
      <c r="W18" s="3">
        <v>59</v>
      </c>
    </row>
    <row r="19" spans="1:23" ht="11.25" customHeight="1" x14ac:dyDescent="0.25">
      <c r="A19" s="3" t="s">
        <v>21</v>
      </c>
      <c r="B19" s="3" t="s">
        <v>39</v>
      </c>
      <c r="C19" s="3" t="s">
        <v>40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35</v>
      </c>
      <c r="I19" s="6">
        <v>44743</v>
      </c>
      <c r="J19" s="4">
        <v>6086</v>
      </c>
      <c r="K19" s="4">
        <v>6086</v>
      </c>
      <c r="L19" s="4">
        <v>1875.912</v>
      </c>
      <c r="M19" s="4">
        <v>1875.912</v>
      </c>
      <c r="N19" s="4">
        <v>1875.912</v>
      </c>
      <c r="O19" s="4">
        <v>1875.912</v>
      </c>
      <c r="P19" s="4">
        <v>0</v>
      </c>
      <c r="Q19" s="3" t="s">
        <v>26</v>
      </c>
      <c r="R19" s="3">
        <v>0</v>
      </c>
      <c r="S19" s="3" t="s">
        <v>100</v>
      </c>
      <c r="T19" s="3" t="s">
        <v>350</v>
      </c>
      <c r="U19" s="3">
        <v>27</v>
      </c>
      <c r="V19" s="3">
        <v>23</v>
      </c>
      <c r="W19" s="3">
        <v>59</v>
      </c>
    </row>
    <row r="20" spans="1:23" ht="11.25" customHeight="1" x14ac:dyDescent="0.25">
      <c r="A20" s="3" t="s">
        <v>28</v>
      </c>
      <c r="B20" s="3" t="s">
        <v>39</v>
      </c>
      <c r="C20" s="3" t="s">
        <v>40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35</v>
      </c>
      <c r="I20" s="6">
        <v>44743</v>
      </c>
      <c r="J20" s="4">
        <v>460</v>
      </c>
      <c r="K20" s="4">
        <v>460</v>
      </c>
      <c r="L20" s="4">
        <v>190.63900000000001</v>
      </c>
      <c r="M20" s="4">
        <v>190.63900000000001</v>
      </c>
      <c r="N20" s="4">
        <v>190.63900000000001</v>
      </c>
      <c r="O20" s="4">
        <v>190.63900000000001</v>
      </c>
      <c r="P20" s="4">
        <v>0</v>
      </c>
      <c r="Q20" s="3" t="s">
        <v>26</v>
      </c>
      <c r="R20" s="3">
        <v>0</v>
      </c>
      <c r="S20" s="3" t="s">
        <v>100</v>
      </c>
      <c r="T20" s="3" t="s">
        <v>350</v>
      </c>
      <c r="U20" s="3">
        <v>27</v>
      </c>
      <c r="V20" s="3">
        <v>23</v>
      </c>
      <c r="W20" s="3">
        <v>59</v>
      </c>
    </row>
    <row r="21" spans="1:23" ht="11.25" customHeight="1" x14ac:dyDescent="0.25">
      <c r="A21" s="3" t="s">
        <v>21</v>
      </c>
      <c r="B21" s="3" t="s">
        <v>39</v>
      </c>
      <c r="C21" s="3" t="s">
        <v>40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35</v>
      </c>
      <c r="I21" s="6">
        <v>44774</v>
      </c>
      <c r="J21" s="4">
        <v>6289</v>
      </c>
      <c r="K21" s="4">
        <v>6289</v>
      </c>
      <c r="L21" s="4">
        <v>1967.2159999999999</v>
      </c>
      <c r="M21" s="4">
        <v>1967.2159999999999</v>
      </c>
      <c r="N21" s="4">
        <v>1967.2159999999999</v>
      </c>
      <c r="O21" s="4">
        <v>1967.2159999999999</v>
      </c>
      <c r="P21" s="4">
        <v>0</v>
      </c>
      <c r="Q21" s="3" t="s">
        <v>26</v>
      </c>
      <c r="R21" s="3">
        <v>0</v>
      </c>
      <c r="S21" s="3" t="s">
        <v>101</v>
      </c>
      <c r="T21" s="3" t="s">
        <v>351</v>
      </c>
      <c r="U21" s="3">
        <v>27</v>
      </c>
      <c r="V21" s="3">
        <v>23</v>
      </c>
      <c r="W21" s="3">
        <v>59</v>
      </c>
    </row>
    <row r="22" spans="1:23" ht="11.25" customHeight="1" x14ac:dyDescent="0.25">
      <c r="A22" s="3" t="s">
        <v>27</v>
      </c>
      <c r="B22" s="3" t="s">
        <v>39</v>
      </c>
      <c r="C22" s="3" t="s">
        <v>40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35</v>
      </c>
      <c r="I22" s="6">
        <v>44774</v>
      </c>
      <c r="J22" s="4">
        <v>88</v>
      </c>
      <c r="K22" s="4">
        <v>88</v>
      </c>
      <c r="L22" s="4">
        <v>39.893000000000001</v>
      </c>
      <c r="M22" s="4">
        <v>39.893000000000001</v>
      </c>
      <c r="N22" s="4">
        <v>39.893000000000001</v>
      </c>
      <c r="O22" s="4">
        <v>39.893000000000001</v>
      </c>
      <c r="P22" s="4">
        <v>0</v>
      </c>
      <c r="Q22" s="3" t="s">
        <v>26</v>
      </c>
      <c r="R22" s="3">
        <v>0</v>
      </c>
      <c r="S22" s="3" t="s">
        <v>101</v>
      </c>
      <c r="T22" s="3" t="s">
        <v>351</v>
      </c>
      <c r="U22" s="3">
        <v>27</v>
      </c>
      <c r="V22" s="3">
        <v>23</v>
      </c>
      <c r="W22" s="3">
        <v>59</v>
      </c>
    </row>
    <row r="23" spans="1:23" ht="11.25" customHeight="1" x14ac:dyDescent="0.25">
      <c r="A23" s="3" t="s">
        <v>28</v>
      </c>
      <c r="B23" s="3" t="s">
        <v>39</v>
      </c>
      <c r="C23" s="3" t="s">
        <v>40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35</v>
      </c>
      <c r="I23" s="6">
        <v>44774</v>
      </c>
      <c r="J23" s="4">
        <v>453</v>
      </c>
      <c r="K23" s="4">
        <v>453</v>
      </c>
      <c r="L23" s="4">
        <v>193.75800000000001</v>
      </c>
      <c r="M23" s="4">
        <v>193.75800000000001</v>
      </c>
      <c r="N23" s="4">
        <v>193.75800000000001</v>
      </c>
      <c r="O23" s="4">
        <v>193.75800000000001</v>
      </c>
      <c r="P23" s="4">
        <v>0</v>
      </c>
      <c r="Q23" s="3" t="s">
        <v>26</v>
      </c>
      <c r="R23" s="3">
        <v>0</v>
      </c>
      <c r="S23" s="3" t="s">
        <v>101</v>
      </c>
      <c r="T23" s="3" t="s">
        <v>351</v>
      </c>
      <c r="U23" s="3">
        <v>27</v>
      </c>
      <c r="V23" s="3">
        <v>23</v>
      </c>
      <c r="W23" s="3">
        <v>59</v>
      </c>
    </row>
    <row r="24" spans="1:23" ht="11.25" customHeight="1" x14ac:dyDescent="0.25">
      <c r="A24" s="3" t="s">
        <v>21</v>
      </c>
      <c r="B24" s="3" t="s">
        <v>39</v>
      </c>
      <c r="C24" s="3" t="s">
        <v>40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35</v>
      </c>
      <c r="I24" s="6">
        <v>44805</v>
      </c>
      <c r="J24" s="4">
        <v>6404</v>
      </c>
      <c r="K24" s="4">
        <v>6404</v>
      </c>
      <c r="L24" s="4">
        <v>2043.204</v>
      </c>
      <c r="M24" s="4">
        <v>2043.204</v>
      </c>
      <c r="N24" s="4">
        <v>2043.204</v>
      </c>
      <c r="O24" s="4">
        <v>2043.204</v>
      </c>
      <c r="P24" s="4">
        <v>0</v>
      </c>
      <c r="Q24" s="3" t="s">
        <v>26</v>
      </c>
      <c r="R24" s="3">
        <v>0</v>
      </c>
      <c r="S24" s="3" t="s">
        <v>102</v>
      </c>
      <c r="T24" s="3" t="s">
        <v>352</v>
      </c>
      <c r="U24" s="3">
        <v>27</v>
      </c>
      <c r="V24" s="3">
        <v>23</v>
      </c>
      <c r="W24" s="3">
        <v>59</v>
      </c>
    </row>
    <row r="25" spans="1:23" ht="11.25" customHeight="1" x14ac:dyDescent="0.25">
      <c r="A25" s="3" t="s">
        <v>28</v>
      </c>
      <c r="B25" s="3" t="s">
        <v>39</v>
      </c>
      <c r="C25" s="3" t="s">
        <v>40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35</v>
      </c>
      <c r="I25" s="6">
        <v>44805</v>
      </c>
      <c r="J25" s="4">
        <v>302</v>
      </c>
      <c r="K25" s="4">
        <v>302</v>
      </c>
      <c r="L25" s="4">
        <v>125.75</v>
      </c>
      <c r="M25" s="4">
        <v>125.75</v>
      </c>
      <c r="N25" s="4">
        <v>125.75</v>
      </c>
      <c r="O25" s="4">
        <v>125.75</v>
      </c>
      <c r="P25" s="4">
        <v>0</v>
      </c>
      <c r="Q25" s="3" t="s">
        <v>26</v>
      </c>
      <c r="R25" s="3">
        <v>0</v>
      </c>
      <c r="S25" s="3" t="s">
        <v>102</v>
      </c>
      <c r="T25" s="3" t="s">
        <v>352</v>
      </c>
      <c r="U25" s="3">
        <v>27</v>
      </c>
      <c r="V25" s="3">
        <v>23</v>
      </c>
      <c r="W25" s="3">
        <v>59</v>
      </c>
    </row>
    <row r="26" spans="1:23" ht="11.25" customHeight="1" x14ac:dyDescent="0.25">
      <c r="A26" s="3" t="s">
        <v>55</v>
      </c>
      <c r="B26" s="3" t="s">
        <v>39</v>
      </c>
      <c r="C26" s="3" t="s">
        <v>40</v>
      </c>
      <c r="D26" s="3" t="s">
        <v>42</v>
      </c>
      <c r="E26" s="3" t="s">
        <v>25</v>
      </c>
      <c r="F26" s="3" t="s">
        <v>25</v>
      </c>
      <c r="G26" s="3" t="s">
        <v>25</v>
      </c>
      <c r="H26" s="3" t="s">
        <v>35</v>
      </c>
      <c r="I26" s="6">
        <v>44835</v>
      </c>
      <c r="J26" s="4">
        <v>6404</v>
      </c>
      <c r="K26" s="4">
        <v>6404</v>
      </c>
      <c r="L26" s="4">
        <v>2043.204</v>
      </c>
      <c r="M26" s="4">
        <v>2043.204</v>
      </c>
      <c r="N26" s="4">
        <v>2043.204</v>
      </c>
      <c r="O26" s="4">
        <v>2043.204</v>
      </c>
      <c r="P26" s="4">
        <v>0</v>
      </c>
      <c r="Q26" s="3" t="s">
        <v>26</v>
      </c>
      <c r="R26" s="3">
        <v>0</v>
      </c>
      <c r="S26" s="3" t="s">
        <v>103</v>
      </c>
      <c r="T26" s="3" t="s">
        <v>353</v>
      </c>
      <c r="U26" s="3">
        <v>27</v>
      </c>
      <c r="V26" s="3">
        <v>23</v>
      </c>
      <c r="W26" s="3">
        <v>59</v>
      </c>
    </row>
    <row r="27" spans="1:23" ht="11.25" customHeight="1" x14ac:dyDescent="0.25">
      <c r="A27" s="3" t="s">
        <v>55</v>
      </c>
      <c r="B27" s="3" t="s">
        <v>39</v>
      </c>
      <c r="C27" s="3" t="s">
        <v>40</v>
      </c>
      <c r="D27" s="3" t="s">
        <v>42</v>
      </c>
      <c r="E27" s="3" t="s">
        <v>25</v>
      </c>
      <c r="F27" s="3" t="s">
        <v>25</v>
      </c>
      <c r="G27" s="3" t="s">
        <v>25</v>
      </c>
      <c r="H27" s="3" t="s">
        <v>35</v>
      </c>
      <c r="I27" s="6">
        <v>44835</v>
      </c>
      <c r="J27" s="4">
        <v>302</v>
      </c>
      <c r="K27" s="4">
        <v>302</v>
      </c>
      <c r="L27" s="4">
        <v>125.75</v>
      </c>
      <c r="M27" s="4">
        <v>125.75</v>
      </c>
      <c r="N27" s="4">
        <v>125.75</v>
      </c>
      <c r="O27" s="4">
        <v>125.75</v>
      </c>
      <c r="P27" s="4">
        <v>0</v>
      </c>
      <c r="Q27" s="3" t="s">
        <v>26</v>
      </c>
      <c r="R27" s="3">
        <v>0</v>
      </c>
      <c r="S27" s="3" t="s">
        <v>103</v>
      </c>
      <c r="T27" s="3" t="s">
        <v>353</v>
      </c>
      <c r="U27" s="3">
        <v>27</v>
      </c>
      <c r="V27" s="3">
        <v>23</v>
      </c>
      <c r="W27" s="3">
        <v>59</v>
      </c>
    </row>
    <row r="28" spans="1:23" ht="11.25" customHeight="1" x14ac:dyDescent="0.25">
      <c r="A28" s="3" t="s">
        <v>21</v>
      </c>
      <c r="B28" s="3" t="s">
        <v>39</v>
      </c>
      <c r="C28" s="3" t="s">
        <v>40</v>
      </c>
      <c r="D28" s="3" t="s">
        <v>42</v>
      </c>
      <c r="E28" s="3" t="s">
        <v>25</v>
      </c>
      <c r="F28" s="3" t="s">
        <v>25</v>
      </c>
      <c r="G28" s="3" t="s">
        <v>25</v>
      </c>
      <c r="H28" s="3" t="s">
        <v>34</v>
      </c>
      <c r="I28" s="6">
        <v>44501</v>
      </c>
      <c r="J28" s="4">
        <v>5925</v>
      </c>
      <c r="K28" s="4">
        <v>5925</v>
      </c>
      <c r="L28" s="4">
        <v>191.62899999999999</v>
      </c>
      <c r="M28" s="4">
        <v>191.62899999999999</v>
      </c>
      <c r="N28" s="4">
        <v>191.62899999999999</v>
      </c>
      <c r="O28" s="4">
        <v>191.62899999999999</v>
      </c>
      <c r="P28" s="4">
        <v>0</v>
      </c>
      <c r="Q28" s="3" t="s">
        <v>26</v>
      </c>
      <c r="R28" s="3">
        <v>0</v>
      </c>
      <c r="S28" s="3" t="s">
        <v>104</v>
      </c>
      <c r="T28" s="3" t="s">
        <v>354</v>
      </c>
      <c r="U28" s="3">
        <v>34</v>
      </c>
      <c r="V28" s="3">
        <v>23</v>
      </c>
      <c r="W28" s="3">
        <v>71</v>
      </c>
    </row>
    <row r="29" spans="1:23" ht="11.25" customHeight="1" x14ac:dyDescent="0.25">
      <c r="A29" s="3" t="s">
        <v>28</v>
      </c>
      <c r="B29" s="3" t="s">
        <v>39</v>
      </c>
      <c r="C29" s="3" t="s">
        <v>40</v>
      </c>
      <c r="D29" s="3" t="s">
        <v>42</v>
      </c>
      <c r="E29" s="3" t="s">
        <v>25</v>
      </c>
      <c r="F29" s="3" t="s">
        <v>25</v>
      </c>
      <c r="G29" s="3" t="s">
        <v>25</v>
      </c>
      <c r="H29" s="3" t="s">
        <v>34</v>
      </c>
      <c r="I29" s="6">
        <v>44501</v>
      </c>
      <c r="J29" s="4">
        <v>20</v>
      </c>
      <c r="K29" s="4">
        <v>20</v>
      </c>
      <c r="L29" s="4">
        <v>0.81</v>
      </c>
      <c r="M29" s="4">
        <v>0.81</v>
      </c>
      <c r="N29" s="4">
        <v>0.81</v>
      </c>
      <c r="O29" s="4">
        <v>0.81</v>
      </c>
      <c r="P29" s="4">
        <v>0</v>
      </c>
      <c r="Q29" s="3" t="s">
        <v>26</v>
      </c>
      <c r="R29" s="3">
        <v>0</v>
      </c>
      <c r="S29" s="3" t="s">
        <v>104</v>
      </c>
      <c r="T29" s="3" t="s">
        <v>354</v>
      </c>
      <c r="U29" s="3">
        <v>34</v>
      </c>
      <c r="V29" s="3">
        <v>23</v>
      </c>
      <c r="W29" s="3">
        <v>71</v>
      </c>
    </row>
    <row r="30" spans="1:23" ht="11.25" customHeight="1" x14ac:dyDescent="0.25">
      <c r="A30" s="3" t="s">
        <v>21</v>
      </c>
      <c r="B30" s="3" t="s">
        <v>39</v>
      </c>
      <c r="C30" s="3" t="s">
        <v>40</v>
      </c>
      <c r="D30" s="3" t="s">
        <v>42</v>
      </c>
      <c r="E30" s="3" t="s">
        <v>25</v>
      </c>
      <c r="F30" s="3" t="s">
        <v>25</v>
      </c>
      <c r="G30" s="3" t="s">
        <v>25</v>
      </c>
      <c r="H30" s="3" t="s">
        <v>34</v>
      </c>
      <c r="I30" s="6">
        <v>44531</v>
      </c>
      <c r="J30" s="4">
        <v>5468</v>
      </c>
      <c r="K30" s="4">
        <v>5468</v>
      </c>
      <c r="L30" s="4">
        <v>221.39</v>
      </c>
      <c r="M30" s="4">
        <v>221.39</v>
      </c>
      <c r="N30" s="4">
        <v>221.39</v>
      </c>
      <c r="O30" s="4">
        <v>221.39</v>
      </c>
      <c r="P30" s="4">
        <v>0</v>
      </c>
      <c r="Q30" s="3" t="s">
        <v>26</v>
      </c>
      <c r="R30" s="3">
        <v>0</v>
      </c>
      <c r="S30" s="3" t="s">
        <v>105</v>
      </c>
      <c r="T30" s="3" t="s">
        <v>355</v>
      </c>
      <c r="U30" s="3">
        <v>34</v>
      </c>
      <c r="V30" s="3">
        <v>23</v>
      </c>
      <c r="W30" s="3">
        <v>71</v>
      </c>
    </row>
    <row r="31" spans="1:23" ht="11.25" customHeight="1" x14ac:dyDescent="0.25">
      <c r="A31" s="3" t="s">
        <v>27</v>
      </c>
      <c r="B31" s="3" t="s">
        <v>39</v>
      </c>
      <c r="C31" s="3" t="s">
        <v>40</v>
      </c>
      <c r="D31" s="3" t="s">
        <v>42</v>
      </c>
      <c r="E31" s="3" t="s">
        <v>25</v>
      </c>
      <c r="F31" s="3" t="s">
        <v>25</v>
      </c>
      <c r="G31" s="3" t="s">
        <v>25</v>
      </c>
      <c r="H31" s="3" t="s">
        <v>34</v>
      </c>
      <c r="I31" s="6">
        <v>44531</v>
      </c>
      <c r="J31" s="4">
        <v>-456</v>
      </c>
      <c r="K31" s="4">
        <v>-456</v>
      </c>
      <c r="L31" s="4">
        <v>-0.129</v>
      </c>
      <c r="M31" s="4">
        <v>-0.129</v>
      </c>
      <c r="N31" s="4">
        <v>-0.129</v>
      </c>
      <c r="O31" s="4">
        <v>-0.129</v>
      </c>
      <c r="P31" s="4">
        <v>0</v>
      </c>
      <c r="Q31" s="3" t="s">
        <v>26</v>
      </c>
      <c r="R31" s="3">
        <v>0</v>
      </c>
      <c r="S31" s="3" t="s">
        <v>105</v>
      </c>
      <c r="T31" s="3" t="s">
        <v>355</v>
      </c>
      <c r="U31" s="3">
        <v>34</v>
      </c>
      <c r="V31" s="3">
        <v>23</v>
      </c>
      <c r="W31" s="3">
        <v>71</v>
      </c>
    </row>
    <row r="32" spans="1:23" ht="11.25" customHeight="1" x14ac:dyDescent="0.25">
      <c r="A32" s="3" t="s">
        <v>28</v>
      </c>
      <c r="B32" s="3" t="s">
        <v>39</v>
      </c>
      <c r="C32" s="3" t="s">
        <v>40</v>
      </c>
      <c r="D32" s="3" t="s">
        <v>42</v>
      </c>
      <c r="E32" s="3" t="s">
        <v>25</v>
      </c>
      <c r="F32" s="3" t="s">
        <v>25</v>
      </c>
      <c r="G32" s="3" t="s">
        <v>25</v>
      </c>
      <c r="H32" s="3" t="s">
        <v>34</v>
      </c>
      <c r="I32" s="6">
        <v>44531</v>
      </c>
      <c r="J32" s="4">
        <v>20</v>
      </c>
      <c r="K32" s="4">
        <v>20</v>
      </c>
      <c r="L32" s="4">
        <v>0.91600000000000004</v>
      </c>
      <c r="M32" s="4">
        <v>0.91600000000000004</v>
      </c>
      <c r="N32" s="4">
        <v>0.91600000000000004</v>
      </c>
      <c r="O32" s="4">
        <v>0.91600000000000004</v>
      </c>
      <c r="P32" s="4">
        <v>0</v>
      </c>
      <c r="Q32" s="3" t="s">
        <v>26</v>
      </c>
      <c r="R32" s="3">
        <v>0</v>
      </c>
      <c r="S32" s="3" t="s">
        <v>105</v>
      </c>
      <c r="T32" s="3" t="s">
        <v>355</v>
      </c>
      <c r="U32" s="3">
        <v>34</v>
      </c>
      <c r="V32" s="3">
        <v>23</v>
      </c>
      <c r="W32" s="3">
        <v>71</v>
      </c>
    </row>
    <row r="33" spans="1:23" ht="11.25" customHeight="1" x14ac:dyDescent="0.25">
      <c r="A33" s="3" t="s">
        <v>21</v>
      </c>
      <c r="B33" s="3" t="s">
        <v>39</v>
      </c>
      <c r="C33" s="3" t="s">
        <v>40</v>
      </c>
      <c r="D33" s="3" t="s">
        <v>42</v>
      </c>
      <c r="E33" s="3" t="s">
        <v>25</v>
      </c>
      <c r="F33" s="3" t="s">
        <v>25</v>
      </c>
      <c r="G33" s="3" t="s">
        <v>25</v>
      </c>
      <c r="H33" s="3" t="s">
        <v>34</v>
      </c>
      <c r="I33" s="6">
        <v>44562</v>
      </c>
      <c r="J33" s="4">
        <v>5432</v>
      </c>
      <c r="K33" s="4">
        <v>5432</v>
      </c>
      <c r="L33" s="4">
        <v>199.643</v>
      </c>
      <c r="M33" s="4">
        <v>199.643</v>
      </c>
      <c r="N33" s="4">
        <v>199.643</v>
      </c>
      <c r="O33" s="4">
        <v>199.643</v>
      </c>
      <c r="P33" s="4">
        <v>0</v>
      </c>
      <c r="Q33" s="3" t="s">
        <v>26</v>
      </c>
      <c r="R33" s="3">
        <v>0</v>
      </c>
      <c r="S33" s="3" t="s">
        <v>106</v>
      </c>
      <c r="T33" s="3" t="s">
        <v>356</v>
      </c>
      <c r="U33" s="3">
        <v>34</v>
      </c>
      <c r="V33" s="3">
        <v>23</v>
      </c>
      <c r="W33" s="3">
        <v>71</v>
      </c>
    </row>
    <row r="34" spans="1:23" ht="11.25" customHeight="1" x14ac:dyDescent="0.25">
      <c r="A34" s="3" t="s">
        <v>28</v>
      </c>
      <c r="B34" s="3" t="s">
        <v>39</v>
      </c>
      <c r="C34" s="3" t="s">
        <v>40</v>
      </c>
      <c r="D34" s="3" t="s">
        <v>42</v>
      </c>
      <c r="E34" s="3" t="s">
        <v>25</v>
      </c>
      <c r="F34" s="3" t="s">
        <v>25</v>
      </c>
      <c r="G34" s="3" t="s">
        <v>25</v>
      </c>
      <c r="H34" s="3" t="s">
        <v>34</v>
      </c>
      <c r="I34" s="6">
        <v>44562</v>
      </c>
      <c r="J34" s="4">
        <v>20</v>
      </c>
      <c r="K34" s="4">
        <v>20</v>
      </c>
      <c r="L34" s="4">
        <v>0.83299999999999996</v>
      </c>
      <c r="M34" s="4">
        <v>0.83299999999999996</v>
      </c>
      <c r="N34" s="4">
        <v>0.83299999999999996</v>
      </c>
      <c r="O34" s="4">
        <v>0.83299999999999996</v>
      </c>
      <c r="P34" s="4">
        <v>0</v>
      </c>
      <c r="Q34" s="3" t="s">
        <v>26</v>
      </c>
      <c r="R34" s="3">
        <v>0</v>
      </c>
      <c r="S34" s="3" t="s">
        <v>106</v>
      </c>
      <c r="T34" s="3" t="s">
        <v>356</v>
      </c>
      <c r="U34" s="3">
        <v>34</v>
      </c>
      <c r="V34" s="3">
        <v>23</v>
      </c>
      <c r="W34" s="3">
        <v>71</v>
      </c>
    </row>
    <row r="35" spans="1:23" ht="11.25" customHeight="1" x14ac:dyDescent="0.25">
      <c r="A35" s="3" t="s">
        <v>21</v>
      </c>
      <c r="B35" s="3" t="s">
        <v>39</v>
      </c>
      <c r="C35" s="3" t="s">
        <v>40</v>
      </c>
      <c r="D35" s="3" t="s">
        <v>42</v>
      </c>
      <c r="E35" s="3" t="s">
        <v>25</v>
      </c>
      <c r="F35" s="3" t="s">
        <v>25</v>
      </c>
      <c r="G35" s="3" t="s">
        <v>25</v>
      </c>
      <c r="H35" s="3" t="s">
        <v>34</v>
      </c>
      <c r="I35" s="6">
        <v>44593</v>
      </c>
      <c r="J35" s="4">
        <v>5201</v>
      </c>
      <c r="K35" s="4">
        <v>5201</v>
      </c>
      <c r="L35" s="4">
        <v>175.922</v>
      </c>
      <c r="M35" s="4">
        <v>175.922</v>
      </c>
      <c r="N35" s="4">
        <v>175.922</v>
      </c>
      <c r="O35" s="4">
        <v>175.922</v>
      </c>
      <c r="P35" s="4">
        <v>0</v>
      </c>
      <c r="Q35" s="3" t="s">
        <v>26</v>
      </c>
      <c r="R35" s="3">
        <v>0</v>
      </c>
      <c r="S35" s="3" t="s">
        <v>107</v>
      </c>
      <c r="T35" s="3" t="s">
        <v>357</v>
      </c>
      <c r="U35" s="3">
        <v>34</v>
      </c>
      <c r="V35" s="3">
        <v>23</v>
      </c>
      <c r="W35" s="3">
        <v>71</v>
      </c>
    </row>
    <row r="36" spans="1:23" ht="11.25" customHeight="1" x14ac:dyDescent="0.25">
      <c r="A36" s="3" t="s">
        <v>28</v>
      </c>
      <c r="B36" s="3" t="s">
        <v>39</v>
      </c>
      <c r="C36" s="3" t="s">
        <v>40</v>
      </c>
      <c r="D36" s="3" t="s">
        <v>42</v>
      </c>
      <c r="E36" s="3" t="s">
        <v>25</v>
      </c>
      <c r="F36" s="3" t="s">
        <v>25</v>
      </c>
      <c r="G36" s="3" t="s">
        <v>25</v>
      </c>
      <c r="H36" s="3" t="s">
        <v>34</v>
      </c>
      <c r="I36" s="6">
        <v>44593</v>
      </c>
      <c r="J36" s="4">
        <v>376</v>
      </c>
      <c r="K36" s="4">
        <v>376</v>
      </c>
      <c r="L36" s="4">
        <v>17.963999999999999</v>
      </c>
      <c r="M36" s="4">
        <v>17.963999999999999</v>
      </c>
      <c r="N36" s="4">
        <v>17.963999999999999</v>
      </c>
      <c r="O36" s="4">
        <v>17.963999999999999</v>
      </c>
      <c r="P36" s="4">
        <v>0</v>
      </c>
      <c r="Q36" s="3" t="s">
        <v>26</v>
      </c>
      <c r="R36" s="3">
        <v>0</v>
      </c>
      <c r="S36" s="3" t="s">
        <v>107</v>
      </c>
      <c r="T36" s="3" t="s">
        <v>357</v>
      </c>
      <c r="U36" s="3">
        <v>34</v>
      </c>
      <c r="V36" s="3">
        <v>23</v>
      </c>
      <c r="W36" s="3">
        <v>71</v>
      </c>
    </row>
    <row r="37" spans="1:23" ht="11.25" customHeight="1" x14ac:dyDescent="0.25">
      <c r="A37" s="3" t="s">
        <v>21</v>
      </c>
      <c r="B37" s="3" t="s">
        <v>39</v>
      </c>
      <c r="C37" s="3" t="s">
        <v>40</v>
      </c>
      <c r="D37" s="3" t="s">
        <v>42</v>
      </c>
      <c r="E37" s="3" t="s">
        <v>25</v>
      </c>
      <c r="F37" s="3" t="s">
        <v>25</v>
      </c>
      <c r="G37" s="3" t="s">
        <v>25</v>
      </c>
      <c r="H37" s="3" t="s">
        <v>34</v>
      </c>
      <c r="I37" s="6">
        <v>44621</v>
      </c>
      <c r="J37" s="4">
        <v>5243</v>
      </c>
      <c r="K37" s="4">
        <v>5243</v>
      </c>
      <c r="L37" s="4">
        <v>187.71299999999999</v>
      </c>
      <c r="M37" s="4">
        <v>187.71299999999999</v>
      </c>
      <c r="N37" s="4">
        <v>187.71299999999999</v>
      </c>
      <c r="O37" s="4">
        <v>187.71299999999999</v>
      </c>
      <c r="P37" s="4">
        <v>0</v>
      </c>
      <c r="Q37" s="3" t="s">
        <v>26</v>
      </c>
      <c r="R37" s="3">
        <v>0</v>
      </c>
      <c r="S37" s="3" t="s">
        <v>108</v>
      </c>
      <c r="T37" s="3" t="s">
        <v>358</v>
      </c>
      <c r="U37" s="3">
        <v>34</v>
      </c>
      <c r="V37" s="3">
        <v>23</v>
      </c>
      <c r="W37" s="3">
        <v>71</v>
      </c>
    </row>
    <row r="38" spans="1:23" ht="11.25" customHeight="1" x14ac:dyDescent="0.25">
      <c r="A38" s="3" t="s">
        <v>28</v>
      </c>
      <c r="B38" s="3" t="s">
        <v>39</v>
      </c>
      <c r="C38" s="3" t="s">
        <v>40</v>
      </c>
      <c r="D38" s="3" t="s">
        <v>42</v>
      </c>
      <c r="E38" s="3" t="s">
        <v>25</v>
      </c>
      <c r="F38" s="3" t="s">
        <v>25</v>
      </c>
      <c r="G38" s="3" t="s">
        <v>25</v>
      </c>
      <c r="H38" s="3" t="s">
        <v>34</v>
      </c>
      <c r="I38" s="6">
        <v>44621</v>
      </c>
      <c r="J38" s="4">
        <v>361</v>
      </c>
      <c r="K38" s="4">
        <v>361</v>
      </c>
      <c r="L38" s="4">
        <v>19.593</v>
      </c>
      <c r="M38" s="4">
        <v>19.593</v>
      </c>
      <c r="N38" s="4">
        <v>19.593</v>
      </c>
      <c r="O38" s="4">
        <v>19.593</v>
      </c>
      <c r="P38" s="4">
        <v>0</v>
      </c>
      <c r="Q38" s="3" t="s">
        <v>26</v>
      </c>
      <c r="R38" s="3">
        <v>0</v>
      </c>
      <c r="S38" s="3" t="s">
        <v>108</v>
      </c>
      <c r="T38" s="3" t="s">
        <v>358</v>
      </c>
      <c r="U38" s="3">
        <v>34</v>
      </c>
      <c r="V38" s="3">
        <v>23</v>
      </c>
      <c r="W38" s="3">
        <v>71</v>
      </c>
    </row>
    <row r="39" spans="1:23" ht="11.25" customHeight="1" x14ac:dyDescent="0.25">
      <c r="A39" s="3" t="s">
        <v>21</v>
      </c>
      <c r="B39" s="3" t="s">
        <v>39</v>
      </c>
      <c r="C39" s="3" t="s">
        <v>40</v>
      </c>
      <c r="D39" s="3" t="s">
        <v>42</v>
      </c>
      <c r="E39" s="3" t="s">
        <v>25</v>
      </c>
      <c r="F39" s="3" t="s">
        <v>25</v>
      </c>
      <c r="G39" s="3" t="s">
        <v>25</v>
      </c>
      <c r="H39" s="3" t="s">
        <v>34</v>
      </c>
      <c r="I39" s="6">
        <v>44652</v>
      </c>
      <c r="J39" s="4">
        <v>5243</v>
      </c>
      <c r="K39" s="4">
        <v>5243</v>
      </c>
      <c r="L39" s="4">
        <v>187.71299999999999</v>
      </c>
      <c r="M39" s="4">
        <v>187.71299999999999</v>
      </c>
      <c r="N39" s="4">
        <v>187.71299999999999</v>
      </c>
      <c r="O39" s="4">
        <v>187.71299999999999</v>
      </c>
      <c r="P39" s="4">
        <v>0</v>
      </c>
      <c r="Q39" s="3" t="s">
        <v>26</v>
      </c>
      <c r="R39" s="3">
        <v>0</v>
      </c>
      <c r="S39" s="3" t="s">
        <v>109</v>
      </c>
      <c r="T39" s="3" t="s">
        <v>359</v>
      </c>
      <c r="U39" s="3">
        <v>34</v>
      </c>
      <c r="V39" s="3">
        <v>23</v>
      </c>
      <c r="W39" s="3">
        <v>71</v>
      </c>
    </row>
    <row r="40" spans="1:23" ht="11.25" customHeight="1" x14ac:dyDescent="0.25">
      <c r="A40" s="3" t="s">
        <v>28</v>
      </c>
      <c r="B40" s="3" t="s">
        <v>39</v>
      </c>
      <c r="C40" s="3" t="s">
        <v>40</v>
      </c>
      <c r="D40" s="3" t="s">
        <v>42</v>
      </c>
      <c r="E40" s="3" t="s">
        <v>25</v>
      </c>
      <c r="F40" s="3" t="s">
        <v>25</v>
      </c>
      <c r="G40" s="3" t="s">
        <v>25</v>
      </c>
      <c r="H40" s="3" t="s">
        <v>34</v>
      </c>
      <c r="I40" s="6">
        <v>44652</v>
      </c>
      <c r="J40" s="4">
        <v>361</v>
      </c>
      <c r="K40" s="4">
        <v>361</v>
      </c>
      <c r="L40" s="4">
        <v>19.593</v>
      </c>
      <c r="M40" s="4">
        <v>19.593</v>
      </c>
      <c r="N40" s="4">
        <v>19.593</v>
      </c>
      <c r="O40" s="4">
        <v>19.593</v>
      </c>
      <c r="P40" s="4">
        <v>0</v>
      </c>
      <c r="Q40" s="3" t="s">
        <v>26</v>
      </c>
      <c r="R40" s="3">
        <v>0</v>
      </c>
      <c r="S40" s="3" t="s">
        <v>109</v>
      </c>
      <c r="T40" s="3" t="s">
        <v>359</v>
      </c>
      <c r="U40" s="3">
        <v>34</v>
      </c>
      <c r="V40" s="3">
        <v>23</v>
      </c>
      <c r="W40" s="3">
        <v>71</v>
      </c>
    </row>
    <row r="41" spans="1:23" ht="11.25" customHeight="1" x14ac:dyDescent="0.25">
      <c r="A41" s="3" t="s">
        <v>21</v>
      </c>
      <c r="B41" s="3" t="s">
        <v>39</v>
      </c>
      <c r="C41" s="3" t="s">
        <v>40</v>
      </c>
      <c r="D41" s="3" t="s">
        <v>42</v>
      </c>
      <c r="E41" s="3" t="s">
        <v>25</v>
      </c>
      <c r="F41" s="3" t="s">
        <v>25</v>
      </c>
      <c r="G41" s="3" t="s">
        <v>25</v>
      </c>
      <c r="H41" s="3" t="s">
        <v>34</v>
      </c>
      <c r="I41" s="6">
        <v>44682</v>
      </c>
      <c r="J41" s="4">
        <v>5251</v>
      </c>
      <c r="K41" s="4">
        <v>5251</v>
      </c>
      <c r="L41" s="4">
        <v>182.58799999999999</v>
      </c>
      <c r="M41" s="4">
        <v>182.58799999999999</v>
      </c>
      <c r="N41" s="4">
        <v>182.58799999999999</v>
      </c>
      <c r="O41" s="4">
        <v>182.58799999999999</v>
      </c>
      <c r="P41" s="4">
        <v>0</v>
      </c>
      <c r="Q41" s="3" t="s">
        <v>26</v>
      </c>
      <c r="R41" s="3">
        <v>0</v>
      </c>
      <c r="S41" s="3" t="s">
        <v>110</v>
      </c>
      <c r="T41" s="3" t="s">
        <v>360</v>
      </c>
      <c r="U41" s="3">
        <v>34</v>
      </c>
      <c r="V41" s="3">
        <v>23</v>
      </c>
      <c r="W41" s="3">
        <v>71</v>
      </c>
    </row>
    <row r="42" spans="1:23" ht="11.25" customHeight="1" x14ac:dyDescent="0.25">
      <c r="A42" s="3" t="s">
        <v>28</v>
      </c>
      <c r="B42" s="3" t="s">
        <v>39</v>
      </c>
      <c r="C42" s="3" t="s">
        <v>40</v>
      </c>
      <c r="D42" s="3" t="s">
        <v>42</v>
      </c>
      <c r="E42" s="3" t="s">
        <v>25</v>
      </c>
      <c r="F42" s="3" t="s">
        <v>25</v>
      </c>
      <c r="G42" s="3" t="s">
        <v>25</v>
      </c>
      <c r="H42" s="3" t="s">
        <v>34</v>
      </c>
      <c r="I42" s="6">
        <v>44682</v>
      </c>
      <c r="J42" s="4">
        <v>1480</v>
      </c>
      <c r="K42" s="4">
        <v>1480</v>
      </c>
      <c r="L42" s="4">
        <v>73.14</v>
      </c>
      <c r="M42" s="4">
        <v>73.14</v>
      </c>
      <c r="N42" s="4">
        <v>73.14</v>
      </c>
      <c r="O42" s="4">
        <v>73.14</v>
      </c>
      <c r="P42" s="4">
        <v>0</v>
      </c>
      <c r="Q42" s="3" t="s">
        <v>26</v>
      </c>
      <c r="R42" s="3">
        <v>0</v>
      </c>
      <c r="S42" s="3" t="s">
        <v>110</v>
      </c>
      <c r="T42" s="3" t="s">
        <v>360</v>
      </c>
      <c r="U42" s="3">
        <v>34</v>
      </c>
      <c r="V42" s="3">
        <v>23</v>
      </c>
      <c r="W42" s="3">
        <v>71</v>
      </c>
    </row>
    <row r="43" spans="1:23" ht="11.25" customHeight="1" x14ac:dyDescent="0.25">
      <c r="A43" s="3" t="s">
        <v>21</v>
      </c>
      <c r="B43" s="3" t="s">
        <v>39</v>
      </c>
      <c r="C43" s="3" t="s">
        <v>40</v>
      </c>
      <c r="D43" s="3" t="s">
        <v>42</v>
      </c>
      <c r="E43" s="3" t="s">
        <v>25</v>
      </c>
      <c r="F43" s="3" t="s">
        <v>25</v>
      </c>
      <c r="G43" s="3" t="s">
        <v>25</v>
      </c>
      <c r="H43" s="3" t="s">
        <v>34</v>
      </c>
      <c r="I43" s="6">
        <v>44713</v>
      </c>
      <c r="J43" s="4">
        <v>5256</v>
      </c>
      <c r="K43" s="4">
        <v>5256</v>
      </c>
      <c r="L43" s="4">
        <v>175.76</v>
      </c>
      <c r="M43" s="4">
        <v>175.76</v>
      </c>
      <c r="N43" s="4">
        <v>175.76</v>
      </c>
      <c r="O43" s="4">
        <v>175.76</v>
      </c>
      <c r="P43" s="4">
        <v>0</v>
      </c>
      <c r="Q43" s="3" t="s">
        <v>26</v>
      </c>
      <c r="R43" s="3">
        <v>0</v>
      </c>
      <c r="S43" s="3" t="s">
        <v>111</v>
      </c>
      <c r="T43" s="3" t="s">
        <v>361</v>
      </c>
      <c r="U43" s="3">
        <v>34</v>
      </c>
      <c r="V43" s="3">
        <v>23</v>
      </c>
      <c r="W43" s="3">
        <v>71</v>
      </c>
    </row>
    <row r="44" spans="1:23" ht="11.25" customHeight="1" x14ac:dyDescent="0.25">
      <c r="A44" s="3" t="s">
        <v>28</v>
      </c>
      <c r="B44" s="3" t="s">
        <v>39</v>
      </c>
      <c r="C44" s="3" t="s">
        <v>40</v>
      </c>
      <c r="D44" s="3" t="s">
        <v>42</v>
      </c>
      <c r="E44" s="3" t="s">
        <v>25</v>
      </c>
      <c r="F44" s="3" t="s">
        <v>25</v>
      </c>
      <c r="G44" s="3" t="s">
        <v>25</v>
      </c>
      <c r="H44" s="3" t="s">
        <v>34</v>
      </c>
      <c r="I44" s="6">
        <v>44713</v>
      </c>
      <c r="J44" s="4">
        <v>390</v>
      </c>
      <c r="K44" s="4">
        <v>390</v>
      </c>
      <c r="L44" s="4">
        <v>18.045000000000002</v>
      </c>
      <c r="M44" s="4">
        <v>18.045000000000002</v>
      </c>
      <c r="N44" s="4">
        <v>18.045000000000002</v>
      </c>
      <c r="O44" s="4">
        <v>18.045000000000002</v>
      </c>
      <c r="P44" s="4">
        <v>0</v>
      </c>
      <c r="Q44" s="3" t="s">
        <v>26</v>
      </c>
      <c r="R44" s="3">
        <v>0</v>
      </c>
      <c r="S44" s="3" t="s">
        <v>111</v>
      </c>
      <c r="T44" s="3" t="s">
        <v>361</v>
      </c>
      <c r="U44" s="3">
        <v>34</v>
      </c>
      <c r="V44" s="3">
        <v>23</v>
      </c>
      <c r="W44" s="3">
        <v>71</v>
      </c>
    </row>
    <row r="45" spans="1:23" ht="11.25" customHeight="1" x14ac:dyDescent="0.25">
      <c r="A45" s="3" t="s">
        <v>21</v>
      </c>
      <c r="B45" s="3" t="s">
        <v>39</v>
      </c>
      <c r="C45" s="3" t="s">
        <v>40</v>
      </c>
      <c r="D45" s="3" t="s">
        <v>42</v>
      </c>
      <c r="E45" s="3" t="s">
        <v>25</v>
      </c>
      <c r="F45" s="3" t="s">
        <v>25</v>
      </c>
      <c r="G45" s="3" t="s">
        <v>25</v>
      </c>
      <c r="H45" s="3" t="s">
        <v>34</v>
      </c>
      <c r="I45" s="6">
        <v>44743</v>
      </c>
      <c r="J45" s="4">
        <v>5248</v>
      </c>
      <c r="K45" s="4">
        <v>5248</v>
      </c>
      <c r="L45" s="4">
        <v>175.38200000000001</v>
      </c>
      <c r="M45" s="4">
        <v>175.38200000000001</v>
      </c>
      <c r="N45" s="4">
        <v>175.38200000000001</v>
      </c>
      <c r="O45" s="4">
        <v>175.38200000000001</v>
      </c>
      <c r="P45" s="4">
        <v>0</v>
      </c>
      <c r="Q45" s="3" t="s">
        <v>26</v>
      </c>
      <c r="R45" s="3">
        <v>0</v>
      </c>
      <c r="S45" s="3" t="s">
        <v>112</v>
      </c>
      <c r="T45" s="3" t="s">
        <v>362</v>
      </c>
      <c r="U45" s="3">
        <v>34</v>
      </c>
      <c r="V45" s="3">
        <v>23</v>
      </c>
      <c r="W45" s="3">
        <v>71</v>
      </c>
    </row>
    <row r="46" spans="1:23" ht="11.25" customHeight="1" x14ac:dyDescent="0.25">
      <c r="A46" s="3" t="s">
        <v>28</v>
      </c>
      <c r="B46" s="3" t="s">
        <v>39</v>
      </c>
      <c r="C46" s="3" t="s">
        <v>40</v>
      </c>
      <c r="D46" s="3" t="s">
        <v>42</v>
      </c>
      <c r="E46" s="3" t="s">
        <v>25</v>
      </c>
      <c r="F46" s="3" t="s">
        <v>25</v>
      </c>
      <c r="G46" s="3" t="s">
        <v>25</v>
      </c>
      <c r="H46" s="3" t="s">
        <v>34</v>
      </c>
      <c r="I46" s="6">
        <v>44743</v>
      </c>
      <c r="J46" s="4">
        <v>359</v>
      </c>
      <c r="K46" s="4">
        <v>359</v>
      </c>
      <c r="L46" s="4">
        <v>17.533999999999999</v>
      </c>
      <c r="M46" s="4">
        <v>17.533999999999999</v>
      </c>
      <c r="N46" s="4">
        <v>17.533999999999999</v>
      </c>
      <c r="O46" s="4">
        <v>17.533999999999999</v>
      </c>
      <c r="P46" s="4">
        <v>0</v>
      </c>
      <c r="Q46" s="3" t="s">
        <v>26</v>
      </c>
      <c r="R46" s="3">
        <v>0</v>
      </c>
      <c r="S46" s="3" t="s">
        <v>112</v>
      </c>
      <c r="T46" s="3" t="s">
        <v>362</v>
      </c>
      <c r="U46" s="3">
        <v>34</v>
      </c>
      <c r="V46" s="3">
        <v>23</v>
      </c>
      <c r="W46" s="3">
        <v>71</v>
      </c>
    </row>
    <row r="47" spans="1:23" ht="11.25" customHeight="1" x14ac:dyDescent="0.25">
      <c r="A47" s="3" t="s">
        <v>21</v>
      </c>
      <c r="B47" s="3" t="s">
        <v>39</v>
      </c>
      <c r="C47" s="3" t="s">
        <v>40</v>
      </c>
      <c r="D47" s="3" t="s">
        <v>42</v>
      </c>
      <c r="E47" s="3" t="s">
        <v>25</v>
      </c>
      <c r="F47" s="3" t="s">
        <v>25</v>
      </c>
      <c r="G47" s="3" t="s">
        <v>25</v>
      </c>
      <c r="H47" s="3" t="s">
        <v>34</v>
      </c>
      <c r="I47" s="6">
        <v>44774</v>
      </c>
      <c r="J47" s="4">
        <v>5369</v>
      </c>
      <c r="K47" s="4">
        <v>5369</v>
      </c>
      <c r="L47" s="4">
        <v>203.72800000000001</v>
      </c>
      <c r="M47" s="4">
        <v>203.72800000000001</v>
      </c>
      <c r="N47" s="4">
        <v>203.72800000000001</v>
      </c>
      <c r="O47" s="4">
        <v>203.72800000000001</v>
      </c>
      <c r="P47" s="4">
        <v>0</v>
      </c>
      <c r="Q47" s="3" t="s">
        <v>26</v>
      </c>
      <c r="R47" s="3">
        <v>0</v>
      </c>
      <c r="S47" s="3" t="s">
        <v>113</v>
      </c>
      <c r="T47" s="3" t="s">
        <v>363</v>
      </c>
      <c r="U47" s="3">
        <v>34</v>
      </c>
      <c r="V47" s="3">
        <v>23</v>
      </c>
      <c r="W47" s="3">
        <v>71</v>
      </c>
    </row>
    <row r="48" spans="1:23" ht="11.25" customHeight="1" x14ac:dyDescent="0.25">
      <c r="A48" s="3" t="s">
        <v>27</v>
      </c>
      <c r="B48" s="3" t="s">
        <v>39</v>
      </c>
      <c r="C48" s="3" t="s">
        <v>40</v>
      </c>
      <c r="D48" s="3" t="s">
        <v>42</v>
      </c>
      <c r="E48" s="3" t="s">
        <v>25</v>
      </c>
      <c r="F48" s="3" t="s">
        <v>25</v>
      </c>
      <c r="G48" s="3" t="s">
        <v>25</v>
      </c>
      <c r="H48" s="3" t="s">
        <v>34</v>
      </c>
      <c r="I48" s="6">
        <v>44774</v>
      </c>
      <c r="J48" s="4">
        <v>72</v>
      </c>
      <c r="K48" s="4">
        <v>72</v>
      </c>
      <c r="L48" s="4">
        <v>3.5289999999999999</v>
      </c>
      <c r="M48" s="4">
        <v>3.5289999999999999</v>
      </c>
      <c r="N48" s="4">
        <v>3.5289999999999999</v>
      </c>
      <c r="O48" s="4">
        <v>3.5289999999999999</v>
      </c>
      <c r="P48" s="4">
        <v>0</v>
      </c>
      <c r="Q48" s="3" t="s">
        <v>26</v>
      </c>
      <c r="R48" s="3">
        <v>0</v>
      </c>
      <c r="S48" s="3" t="s">
        <v>113</v>
      </c>
      <c r="T48" s="3" t="s">
        <v>363</v>
      </c>
      <c r="U48" s="3">
        <v>34</v>
      </c>
      <c r="V48" s="3">
        <v>23</v>
      </c>
      <c r="W48" s="3">
        <v>71</v>
      </c>
    </row>
    <row r="49" spans="1:23" ht="11.25" customHeight="1" x14ac:dyDescent="0.25">
      <c r="A49" s="3" t="s">
        <v>28</v>
      </c>
      <c r="B49" s="3" t="s">
        <v>39</v>
      </c>
      <c r="C49" s="3" t="s">
        <v>40</v>
      </c>
      <c r="D49" s="3" t="s">
        <v>42</v>
      </c>
      <c r="E49" s="3" t="s">
        <v>25</v>
      </c>
      <c r="F49" s="3" t="s">
        <v>25</v>
      </c>
      <c r="G49" s="3" t="s">
        <v>25</v>
      </c>
      <c r="H49" s="3" t="s">
        <v>34</v>
      </c>
      <c r="I49" s="6">
        <v>44774</v>
      </c>
      <c r="J49" s="4">
        <v>377</v>
      </c>
      <c r="K49" s="4">
        <v>377</v>
      </c>
      <c r="L49" s="4">
        <v>19.803000000000001</v>
      </c>
      <c r="M49" s="4">
        <v>19.803000000000001</v>
      </c>
      <c r="N49" s="4">
        <v>19.803000000000001</v>
      </c>
      <c r="O49" s="4">
        <v>19.803000000000001</v>
      </c>
      <c r="P49" s="4">
        <v>0</v>
      </c>
      <c r="Q49" s="3" t="s">
        <v>26</v>
      </c>
      <c r="R49" s="3">
        <v>0</v>
      </c>
      <c r="S49" s="3" t="s">
        <v>113</v>
      </c>
      <c r="T49" s="3" t="s">
        <v>363</v>
      </c>
      <c r="U49" s="3">
        <v>34</v>
      </c>
      <c r="V49" s="3">
        <v>23</v>
      </c>
      <c r="W49" s="3">
        <v>71</v>
      </c>
    </row>
    <row r="50" spans="1:23" ht="11.25" customHeight="1" x14ac:dyDescent="0.25">
      <c r="A50" s="3" t="s">
        <v>21</v>
      </c>
      <c r="B50" s="3" t="s">
        <v>39</v>
      </c>
      <c r="C50" s="3" t="s">
        <v>40</v>
      </c>
      <c r="D50" s="3" t="s">
        <v>42</v>
      </c>
      <c r="E50" s="3" t="s">
        <v>25</v>
      </c>
      <c r="F50" s="3" t="s">
        <v>25</v>
      </c>
      <c r="G50" s="3" t="s">
        <v>25</v>
      </c>
      <c r="H50" s="3" t="s">
        <v>34</v>
      </c>
      <c r="I50" s="6">
        <v>44805</v>
      </c>
      <c r="J50" s="4">
        <v>5449</v>
      </c>
      <c r="K50" s="4">
        <v>5449</v>
      </c>
      <c r="L50" s="4">
        <v>201.02199999999999</v>
      </c>
      <c r="M50" s="4">
        <v>201.02199999999999</v>
      </c>
      <c r="N50" s="4">
        <v>201.02199999999999</v>
      </c>
      <c r="O50" s="4">
        <v>201.02199999999999</v>
      </c>
      <c r="P50" s="4">
        <v>0</v>
      </c>
      <c r="Q50" s="3" t="s">
        <v>26</v>
      </c>
      <c r="R50" s="3">
        <v>0</v>
      </c>
      <c r="S50" s="3" t="s">
        <v>114</v>
      </c>
      <c r="T50" s="3" t="s">
        <v>364</v>
      </c>
      <c r="U50" s="3">
        <v>34</v>
      </c>
      <c r="V50" s="3">
        <v>23</v>
      </c>
      <c r="W50" s="3">
        <v>71</v>
      </c>
    </row>
    <row r="51" spans="1:23" ht="11.25" customHeight="1" x14ac:dyDescent="0.25">
      <c r="A51" s="3" t="s">
        <v>28</v>
      </c>
      <c r="B51" s="3" t="s">
        <v>39</v>
      </c>
      <c r="C51" s="3" t="s">
        <v>40</v>
      </c>
      <c r="D51" s="3" t="s">
        <v>42</v>
      </c>
      <c r="E51" s="3" t="s">
        <v>25</v>
      </c>
      <c r="F51" s="3" t="s">
        <v>25</v>
      </c>
      <c r="G51" s="3" t="s">
        <v>25</v>
      </c>
      <c r="H51" s="3" t="s">
        <v>34</v>
      </c>
      <c r="I51" s="6">
        <v>44805</v>
      </c>
      <c r="J51" s="4">
        <v>239</v>
      </c>
      <c r="K51" s="4">
        <v>239</v>
      </c>
      <c r="L51" s="4">
        <v>12.212999999999999</v>
      </c>
      <c r="M51" s="4">
        <v>12.212999999999999</v>
      </c>
      <c r="N51" s="4">
        <v>12.212999999999999</v>
      </c>
      <c r="O51" s="4">
        <v>12.212999999999999</v>
      </c>
      <c r="P51" s="4">
        <v>0</v>
      </c>
      <c r="Q51" s="3" t="s">
        <v>26</v>
      </c>
      <c r="R51" s="3">
        <v>0</v>
      </c>
      <c r="S51" s="3" t="s">
        <v>114</v>
      </c>
      <c r="T51" s="3" t="s">
        <v>364</v>
      </c>
      <c r="U51" s="3">
        <v>34</v>
      </c>
      <c r="V51" s="3">
        <v>23</v>
      </c>
      <c r="W51" s="3">
        <v>71</v>
      </c>
    </row>
    <row r="52" spans="1:23" ht="11.25" customHeight="1" x14ac:dyDescent="0.25">
      <c r="A52" s="3" t="s">
        <v>55</v>
      </c>
      <c r="B52" s="3" t="s">
        <v>39</v>
      </c>
      <c r="C52" s="3" t="s">
        <v>40</v>
      </c>
      <c r="D52" s="3" t="s">
        <v>42</v>
      </c>
      <c r="E52" s="3" t="s">
        <v>25</v>
      </c>
      <c r="F52" s="3" t="s">
        <v>25</v>
      </c>
      <c r="G52" s="3" t="s">
        <v>25</v>
      </c>
      <c r="H52" s="3" t="s">
        <v>34</v>
      </c>
      <c r="I52" s="6">
        <v>44835</v>
      </c>
      <c r="J52" s="4">
        <v>5449</v>
      </c>
      <c r="K52" s="4">
        <v>5449</v>
      </c>
      <c r="L52" s="4">
        <v>201.02199999999999</v>
      </c>
      <c r="M52" s="4">
        <v>201.02199999999999</v>
      </c>
      <c r="N52" s="4">
        <v>201.02199999999999</v>
      </c>
      <c r="O52" s="4">
        <v>201.02199999999999</v>
      </c>
      <c r="P52" s="4">
        <v>0</v>
      </c>
      <c r="Q52" s="3" t="s">
        <v>26</v>
      </c>
      <c r="R52" s="3">
        <v>0</v>
      </c>
      <c r="S52" s="3" t="s">
        <v>115</v>
      </c>
      <c r="T52" s="3" t="s">
        <v>365</v>
      </c>
      <c r="U52" s="3">
        <v>34</v>
      </c>
      <c r="V52" s="3">
        <v>23</v>
      </c>
      <c r="W52" s="3">
        <v>71</v>
      </c>
    </row>
    <row r="53" spans="1:23" ht="11.25" customHeight="1" x14ac:dyDescent="0.25">
      <c r="A53" s="3" t="s">
        <v>55</v>
      </c>
      <c r="B53" s="3" t="s">
        <v>39</v>
      </c>
      <c r="C53" s="3" t="s">
        <v>40</v>
      </c>
      <c r="D53" s="3" t="s">
        <v>42</v>
      </c>
      <c r="E53" s="3" t="s">
        <v>25</v>
      </c>
      <c r="F53" s="3" t="s">
        <v>25</v>
      </c>
      <c r="G53" s="3" t="s">
        <v>25</v>
      </c>
      <c r="H53" s="3" t="s">
        <v>34</v>
      </c>
      <c r="I53" s="6">
        <v>44835</v>
      </c>
      <c r="J53" s="4">
        <v>239</v>
      </c>
      <c r="K53" s="4">
        <v>239</v>
      </c>
      <c r="L53" s="4">
        <v>12.212999999999999</v>
      </c>
      <c r="M53" s="4">
        <v>12.212999999999999</v>
      </c>
      <c r="N53" s="4">
        <v>12.212999999999999</v>
      </c>
      <c r="O53" s="4">
        <v>12.212999999999999</v>
      </c>
      <c r="P53" s="4">
        <v>0</v>
      </c>
      <c r="Q53" s="3" t="s">
        <v>26</v>
      </c>
      <c r="R53" s="3">
        <v>0</v>
      </c>
      <c r="S53" s="3" t="s">
        <v>115</v>
      </c>
      <c r="T53" s="3" t="s">
        <v>365</v>
      </c>
      <c r="U53" s="3">
        <v>34</v>
      </c>
      <c r="V53" s="3">
        <v>23</v>
      </c>
      <c r="W53" s="3">
        <v>71</v>
      </c>
    </row>
    <row r="54" spans="1:23" ht="11.25" customHeight="1" x14ac:dyDescent="0.25">
      <c r="A54" s="3" t="s">
        <v>21</v>
      </c>
      <c r="B54" s="3" t="s">
        <v>39</v>
      </c>
      <c r="C54" s="3" t="s">
        <v>40</v>
      </c>
      <c r="D54" s="3" t="s">
        <v>51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44501</v>
      </c>
      <c r="J54" s="4">
        <v>50</v>
      </c>
      <c r="K54" s="4">
        <v>50</v>
      </c>
      <c r="L54" s="4">
        <v>7.6890000000000001</v>
      </c>
      <c r="M54" s="4">
        <v>7.6890000000000001</v>
      </c>
      <c r="N54" s="4">
        <v>7.6890000000000001</v>
      </c>
      <c r="O54" s="4">
        <v>7.6890000000000001</v>
      </c>
      <c r="P54" s="4">
        <v>0</v>
      </c>
      <c r="Q54" s="3" t="s">
        <v>26</v>
      </c>
      <c r="R54" s="3">
        <v>0</v>
      </c>
      <c r="S54" s="3" t="s">
        <v>92</v>
      </c>
      <c r="T54" s="3" t="s">
        <v>342</v>
      </c>
      <c r="U54" s="3">
        <v>27</v>
      </c>
      <c r="V54" s="3">
        <v>23</v>
      </c>
      <c r="W54" s="3">
        <v>59</v>
      </c>
    </row>
    <row r="55" spans="1:23" ht="11.25" customHeight="1" x14ac:dyDescent="0.25">
      <c r="A55" s="3" t="s">
        <v>21</v>
      </c>
      <c r="B55" s="3" t="s">
        <v>39</v>
      </c>
      <c r="C55" s="3" t="s">
        <v>40</v>
      </c>
      <c r="D55" s="3" t="s">
        <v>51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44531</v>
      </c>
      <c r="J55" s="4">
        <v>47</v>
      </c>
      <c r="K55" s="4">
        <v>47</v>
      </c>
      <c r="L55" s="4">
        <v>8.0129999999999999</v>
      </c>
      <c r="M55" s="4">
        <v>8.0129999999999999</v>
      </c>
      <c r="N55" s="4">
        <v>8.0129999999999999</v>
      </c>
      <c r="O55" s="4">
        <v>8.0129999999999999</v>
      </c>
      <c r="P55" s="4">
        <v>0</v>
      </c>
      <c r="Q55" s="3" t="s">
        <v>26</v>
      </c>
      <c r="R55" s="3">
        <v>0</v>
      </c>
      <c r="S55" s="3" t="s">
        <v>93</v>
      </c>
      <c r="T55" s="3" t="s">
        <v>343</v>
      </c>
      <c r="U55" s="3">
        <v>27</v>
      </c>
      <c r="V55" s="3">
        <v>23</v>
      </c>
      <c r="W55" s="3">
        <v>59</v>
      </c>
    </row>
    <row r="56" spans="1:23" ht="11.25" customHeight="1" x14ac:dyDescent="0.25">
      <c r="A56" s="3" t="s">
        <v>21</v>
      </c>
      <c r="B56" s="3" t="s">
        <v>39</v>
      </c>
      <c r="C56" s="3" t="s">
        <v>40</v>
      </c>
      <c r="D56" s="3" t="s">
        <v>51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44562</v>
      </c>
      <c r="J56" s="4">
        <v>46</v>
      </c>
      <c r="K56" s="4">
        <v>46</v>
      </c>
      <c r="L56" s="4">
        <v>8.6379999999999999</v>
      </c>
      <c r="M56" s="4">
        <v>8.6379999999999999</v>
      </c>
      <c r="N56" s="4">
        <v>8.6379999999999999</v>
      </c>
      <c r="O56" s="4">
        <v>8.6379999999999999</v>
      </c>
      <c r="P56" s="4">
        <v>0</v>
      </c>
      <c r="Q56" s="3" t="s">
        <v>26</v>
      </c>
      <c r="R56" s="3">
        <v>0</v>
      </c>
      <c r="S56" s="3" t="s">
        <v>94</v>
      </c>
      <c r="T56" s="3" t="s">
        <v>344</v>
      </c>
      <c r="U56" s="3">
        <v>27</v>
      </c>
      <c r="V56" s="3">
        <v>23</v>
      </c>
      <c r="W56" s="3">
        <v>59</v>
      </c>
    </row>
    <row r="57" spans="1:23" ht="11.25" customHeight="1" x14ac:dyDescent="0.25">
      <c r="A57" s="3" t="s">
        <v>21</v>
      </c>
      <c r="B57" s="3" t="s">
        <v>39</v>
      </c>
      <c r="C57" s="3" t="s">
        <v>40</v>
      </c>
      <c r="D57" s="3" t="s">
        <v>51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44593</v>
      </c>
      <c r="J57" s="4">
        <v>49</v>
      </c>
      <c r="K57" s="4">
        <v>49</v>
      </c>
      <c r="L57" s="4">
        <v>8.4809999999999999</v>
      </c>
      <c r="M57" s="4">
        <v>8.4809999999999999</v>
      </c>
      <c r="N57" s="4">
        <v>8.4809999999999999</v>
      </c>
      <c r="O57" s="4">
        <v>8.4809999999999999</v>
      </c>
      <c r="P57" s="4">
        <v>0</v>
      </c>
      <c r="Q57" s="3" t="s">
        <v>26</v>
      </c>
      <c r="R57" s="3">
        <v>0</v>
      </c>
      <c r="S57" s="3" t="s">
        <v>95</v>
      </c>
      <c r="T57" s="3" t="s">
        <v>345</v>
      </c>
      <c r="U57" s="3">
        <v>27</v>
      </c>
      <c r="V57" s="3">
        <v>23</v>
      </c>
      <c r="W57" s="3">
        <v>59</v>
      </c>
    </row>
    <row r="58" spans="1:23" ht="11.25" customHeight="1" x14ac:dyDescent="0.25">
      <c r="A58" s="3" t="s">
        <v>21</v>
      </c>
      <c r="B58" s="3" t="s">
        <v>39</v>
      </c>
      <c r="C58" s="3" t="s">
        <v>40</v>
      </c>
      <c r="D58" s="3" t="s">
        <v>51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44621</v>
      </c>
      <c r="J58" s="4">
        <v>47</v>
      </c>
      <c r="K58" s="4">
        <v>47</v>
      </c>
      <c r="L58" s="4">
        <v>8.6129999999999995</v>
      </c>
      <c r="M58" s="4">
        <v>8.6129999999999995</v>
      </c>
      <c r="N58" s="4">
        <v>8.6129999999999995</v>
      </c>
      <c r="O58" s="4">
        <v>8.6129999999999995</v>
      </c>
      <c r="P58" s="4">
        <v>0</v>
      </c>
      <c r="Q58" s="3" t="s">
        <v>26</v>
      </c>
      <c r="R58" s="3">
        <v>0</v>
      </c>
      <c r="S58" s="3" t="s">
        <v>96</v>
      </c>
      <c r="T58" s="3" t="s">
        <v>346</v>
      </c>
      <c r="U58" s="3">
        <v>27</v>
      </c>
      <c r="V58" s="3">
        <v>23</v>
      </c>
      <c r="W58" s="3">
        <v>59</v>
      </c>
    </row>
    <row r="59" spans="1:23" ht="11.25" customHeight="1" x14ac:dyDescent="0.25">
      <c r="A59" s="3" t="s">
        <v>21</v>
      </c>
      <c r="B59" s="3" t="s">
        <v>39</v>
      </c>
      <c r="C59" s="3" t="s">
        <v>40</v>
      </c>
      <c r="D59" s="3" t="s">
        <v>51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44652</v>
      </c>
      <c r="J59" s="4">
        <v>47</v>
      </c>
      <c r="K59" s="4">
        <v>47</v>
      </c>
      <c r="L59" s="4">
        <v>8.6129999999999995</v>
      </c>
      <c r="M59" s="4">
        <v>8.6129999999999995</v>
      </c>
      <c r="N59" s="4">
        <v>8.6129999999999995</v>
      </c>
      <c r="O59" s="4">
        <v>8.6129999999999995</v>
      </c>
      <c r="P59" s="4">
        <v>0</v>
      </c>
      <c r="Q59" s="3" t="s">
        <v>26</v>
      </c>
      <c r="R59" s="3">
        <v>0</v>
      </c>
      <c r="S59" s="3" t="s">
        <v>97</v>
      </c>
      <c r="T59" s="3" t="s">
        <v>347</v>
      </c>
      <c r="U59" s="3">
        <v>27</v>
      </c>
      <c r="V59" s="3">
        <v>23</v>
      </c>
      <c r="W59" s="3">
        <v>59</v>
      </c>
    </row>
    <row r="60" spans="1:23" ht="11.25" customHeight="1" x14ac:dyDescent="0.25">
      <c r="A60" s="3" t="s">
        <v>21</v>
      </c>
      <c r="B60" s="3" t="s">
        <v>39</v>
      </c>
      <c r="C60" s="3" t="s">
        <v>40</v>
      </c>
      <c r="D60" s="3" t="s">
        <v>51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44682</v>
      </c>
      <c r="J60" s="4">
        <v>42</v>
      </c>
      <c r="K60" s="4">
        <v>42</v>
      </c>
      <c r="L60" s="4">
        <v>7.6230000000000002</v>
      </c>
      <c r="M60" s="4">
        <v>7.6230000000000002</v>
      </c>
      <c r="N60" s="4">
        <v>7.6230000000000002</v>
      </c>
      <c r="O60" s="4">
        <v>7.6230000000000002</v>
      </c>
      <c r="P60" s="4">
        <v>0</v>
      </c>
      <c r="Q60" s="3" t="s">
        <v>26</v>
      </c>
      <c r="R60" s="3">
        <v>0</v>
      </c>
      <c r="S60" s="3" t="s">
        <v>98</v>
      </c>
      <c r="T60" s="3" t="s">
        <v>348</v>
      </c>
      <c r="U60" s="3">
        <v>27</v>
      </c>
      <c r="V60" s="3">
        <v>23</v>
      </c>
      <c r="W60" s="3">
        <v>59</v>
      </c>
    </row>
    <row r="61" spans="1:23" ht="11.25" customHeight="1" x14ac:dyDescent="0.25">
      <c r="A61" s="3" t="s">
        <v>21</v>
      </c>
      <c r="B61" s="3" t="s">
        <v>39</v>
      </c>
      <c r="C61" s="3" t="s">
        <v>40</v>
      </c>
      <c r="D61" s="3" t="s">
        <v>51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44713</v>
      </c>
      <c r="J61" s="4">
        <v>38</v>
      </c>
      <c r="K61" s="4">
        <v>38</v>
      </c>
      <c r="L61" s="4">
        <v>6.5430000000000001</v>
      </c>
      <c r="M61" s="4">
        <v>6.5430000000000001</v>
      </c>
      <c r="N61" s="4">
        <v>6.5430000000000001</v>
      </c>
      <c r="O61" s="4">
        <v>6.5430000000000001</v>
      </c>
      <c r="P61" s="4">
        <v>0</v>
      </c>
      <c r="Q61" s="3" t="s">
        <v>26</v>
      </c>
      <c r="R61" s="3">
        <v>0</v>
      </c>
      <c r="S61" s="3" t="s">
        <v>99</v>
      </c>
      <c r="T61" s="3" t="s">
        <v>349</v>
      </c>
      <c r="U61" s="3">
        <v>27</v>
      </c>
      <c r="V61" s="3">
        <v>23</v>
      </c>
      <c r="W61" s="3">
        <v>59</v>
      </c>
    </row>
    <row r="62" spans="1:23" ht="11.25" customHeight="1" x14ac:dyDescent="0.25">
      <c r="A62" s="3" t="s">
        <v>21</v>
      </c>
      <c r="B62" s="3" t="s">
        <v>39</v>
      </c>
      <c r="C62" s="3" t="s">
        <v>40</v>
      </c>
      <c r="D62" s="3" t="s">
        <v>51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44743</v>
      </c>
      <c r="J62" s="4">
        <v>42</v>
      </c>
      <c r="K62" s="4">
        <v>42</v>
      </c>
      <c r="L62" s="4">
        <v>7.8470000000000004</v>
      </c>
      <c r="M62" s="4">
        <v>7.8470000000000004</v>
      </c>
      <c r="N62" s="4">
        <v>7.8470000000000004</v>
      </c>
      <c r="O62" s="4">
        <v>7.8470000000000004</v>
      </c>
      <c r="P62" s="4">
        <v>0</v>
      </c>
      <c r="Q62" s="3" t="s">
        <v>26</v>
      </c>
      <c r="R62" s="3">
        <v>0</v>
      </c>
      <c r="S62" s="3" t="s">
        <v>100</v>
      </c>
      <c r="T62" s="3" t="s">
        <v>350</v>
      </c>
      <c r="U62" s="3">
        <v>27</v>
      </c>
      <c r="V62" s="3">
        <v>23</v>
      </c>
      <c r="W62" s="3">
        <v>59</v>
      </c>
    </row>
    <row r="63" spans="1:23" ht="11.25" customHeight="1" x14ac:dyDescent="0.25">
      <c r="A63" s="3" t="s">
        <v>21</v>
      </c>
      <c r="B63" s="3" t="s">
        <v>39</v>
      </c>
      <c r="C63" s="3" t="s">
        <v>40</v>
      </c>
      <c r="D63" s="3" t="s">
        <v>51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44774</v>
      </c>
      <c r="J63" s="4">
        <v>49</v>
      </c>
      <c r="K63" s="4">
        <v>49</v>
      </c>
      <c r="L63" s="4">
        <v>8.9969999999999999</v>
      </c>
      <c r="M63" s="4">
        <v>8.9969999999999999</v>
      </c>
      <c r="N63" s="4">
        <v>8.9969999999999999</v>
      </c>
      <c r="O63" s="4">
        <v>8.9969999999999999</v>
      </c>
      <c r="P63" s="4">
        <v>0</v>
      </c>
      <c r="Q63" s="3" t="s">
        <v>26</v>
      </c>
      <c r="R63" s="3">
        <v>0</v>
      </c>
      <c r="S63" s="3" t="s">
        <v>101</v>
      </c>
      <c r="T63" s="3" t="s">
        <v>351</v>
      </c>
      <c r="U63" s="3">
        <v>27</v>
      </c>
      <c r="V63" s="3">
        <v>23</v>
      </c>
      <c r="W63" s="3">
        <v>59</v>
      </c>
    </row>
    <row r="64" spans="1:23" ht="11.25" customHeight="1" x14ac:dyDescent="0.25">
      <c r="A64" s="3" t="s">
        <v>21</v>
      </c>
      <c r="B64" s="3" t="s">
        <v>39</v>
      </c>
      <c r="C64" s="3" t="s">
        <v>40</v>
      </c>
      <c r="D64" s="3" t="s">
        <v>51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44805</v>
      </c>
      <c r="J64" s="4">
        <v>51</v>
      </c>
      <c r="K64" s="4">
        <v>51</v>
      </c>
      <c r="L64" s="4">
        <v>9.1839999999999993</v>
      </c>
      <c r="M64" s="4">
        <v>9.1839999999999993</v>
      </c>
      <c r="N64" s="4">
        <v>9.1839999999999993</v>
      </c>
      <c r="O64" s="4">
        <v>9.1839999999999993</v>
      </c>
      <c r="P64" s="4">
        <v>0</v>
      </c>
      <c r="Q64" s="3" t="s">
        <v>26</v>
      </c>
      <c r="R64" s="3">
        <v>0</v>
      </c>
      <c r="S64" s="3" t="s">
        <v>102</v>
      </c>
      <c r="T64" s="3" t="s">
        <v>352</v>
      </c>
      <c r="U64" s="3">
        <v>27</v>
      </c>
      <c r="V64" s="3">
        <v>23</v>
      </c>
      <c r="W64" s="3">
        <v>59</v>
      </c>
    </row>
    <row r="65" spans="1:23" ht="11.25" customHeight="1" x14ac:dyDescent="0.25">
      <c r="A65" s="3" t="s">
        <v>55</v>
      </c>
      <c r="B65" s="3" t="s">
        <v>39</v>
      </c>
      <c r="C65" s="3" t="s">
        <v>40</v>
      </c>
      <c r="D65" s="3" t="s">
        <v>51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44835</v>
      </c>
      <c r="J65" s="4">
        <v>51</v>
      </c>
      <c r="K65" s="4">
        <v>51</v>
      </c>
      <c r="L65" s="4">
        <v>9.1839999999999993</v>
      </c>
      <c r="M65" s="4">
        <v>9.1839999999999993</v>
      </c>
      <c r="N65" s="4">
        <v>9.1839999999999993</v>
      </c>
      <c r="O65" s="4">
        <v>9.1839999999999993</v>
      </c>
      <c r="P65" s="4">
        <v>0</v>
      </c>
      <c r="Q65" s="3" t="s">
        <v>26</v>
      </c>
      <c r="R65" s="3">
        <v>0</v>
      </c>
      <c r="S65" s="3" t="s">
        <v>103</v>
      </c>
      <c r="T65" s="3" t="s">
        <v>353</v>
      </c>
      <c r="U65" s="3">
        <v>27</v>
      </c>
      <c r="V65" s="3">
        <v>23</v>
      </c>
      <c r="W65" s="3">
        <v>59</v>
      </c>
    </row>
    <row r="66" spans="1:23" ht="11.25" customHeight="1" x14ac:dyDescent="0.25">
      <c r="A66" s="3" t="s">
        <v>21</v>
      </c>
      <c r="B66" s="3" t="s">
        <v>39</v>
      </c>
      <c r="C66" s="3" t="s">
        <v>40</v>
      </c>
      <c r="D66" s="3" t="s">
        <v>51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44501</v>
      </c>
      <c r="J66" s="4">
        <v>5</v>
      </c>
      <c r="K66" s="4">
        <v>5</v>
      </c>
      <c r="L66" s="4">
        <v>0.30399999999999999</v>
      </c>
      <c r="M66" s="4">
        <v>0.30399999999999999</v>
      </c>
      <c r="N66" s="4">
        <v>0.30399999999999999</v>
      </c>
      <c r="O66" s="4">
        <v>0.30399999999999999</v>
      </c>
      <c r="P66" s="4">
        <v>0</v>
      </c>
      <c r="Q66" s="3" t="s">
        <v>26</v>
      </c>
      <c r="R66" s="3">
        <v>0</v>
      </c>
      <c r="S66" s="3" t="s">
        <v>104</v>
      </c>
      <c r="T66" s="3" t="s">
        <v>354</v>
      </c>
      <c r="U66" s="3">
        <v>34</v>
      </c>
      <c r="V66" s="3">
        <v>23</v>
      </c>
      <c r="W66" s="3">
        <v>71</v>
      </c>
    </row>
    <row r="67" spans="1:23" ht="11.25" customHeight="1" x14ac:dyDescent="0.25">
      <c r="A67" s="3" t="s">
        <v>21</v>
      </c>
      <c r="B67" s="3" t="s">
        <v>39</v>
      </c>
      <c r="C67" s="3" t="s">
        <v>40</v>
      </c>
      <c r="D67" s="3" t="s">
        <v>51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44531</v>
      </c>
      <c r="J67" s="4">
        <v>6</v>
      </c>
      <c r="K67" s="4">
        <v>6</v>
      </c>
      <c r="L67" s="4">
        <v>0.34300000000000003</v>
      </c>
      <c r="M67" s="4">
        <v>0.34300000000000003</v>
      </c>
      <c r="N67" s="4">
        <v>0.34300000000000003</v>
      </c>
      <c r="O67" s="4">
        <v>0.34300000000000003</v>
      </c>
      <c r="P67" s="4">
        <v>0</v>
      </c>
      <c r="Q67" s="3" t="s">
        <v>26</v>
      </c>
      <c r="R67" s="3">
        <v>0</v>
      </c>
      <c r="S67" s="3" t="s">
        <v>105</v>
      </c>
      <c r="T67" s="3" t="s">
        <v>355</v>
      </c>
      <c r="U67" s="3">
        <v>34</v>
      </c>
      <c r="V67" s="3">
        <v>23</v>
      </c>
      <c r="W67" s="3">
        <v>71</v>
      </c>
    </row>
    <row r="68" spans="1:23" ht="11.25" customHeight="1" x14ac:dyDescent="0.25">
      <c r="A68" s="3" t="s">
        <v>21</v>
      </c>
      <c r="B68" s="3" t="s">
        <v>39</v>
      </c>
      <c r="C68" s="3" t="s">
        <v>40</v>
      </c>
      <c r="D68" s="3" t="s">
        <v>51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44562</v>
      </c>
      <c r="J68" s="4">
        <v>8</v>
      </c>
      <c r="K68" s="4">
        <v>8</v>
      </c>
      <c r="L68" s="4">
        <v>0.34200000000000003</v>
      </c>
      <c r="M68" s="4">
        <v>0.34200000000000003</v>
      </c>
      <c r="N68" s="4">
        <v>0.34200000000000003</v>
      </c>
      <c r="O68" s="4">
        <v>0.34200000000000003</v>
      </c>
      <c r="P68" s="4">
        <v>0</v>
      </c>
      <c r="Q68" s="3" t="s">
        <v>26</v>
      </c>
      <c r="R68" s="3">
        <v>0</v>
      </c>
      <c r="S68" s="3" t="s">
        <v>106</v>
      </c>
      <c r="T68" s="3" t="s">
        <v>356</v>
      </c>
      <c r="U68" s="3">
        <v>34</v>
      </c>
      <c r="V68" s="3">
        <v>23</v>
      </c>
      <c r="W68" s="3">
        <v>71</v>
      </c>
    </row>
    <row r="69" spans="1:23" ht="11.25" customHeight="1" x14ac:dyDescent="0.25">
      <c r="A69" s="3" t="s">
        <v>21</v>
      </c>
      <c r="B69" s="3" t="s">
        <v>39</v>
      </c>
      <c r="C69" s="3" t="s">
        <v>40</v>
      </c>
      <c r="D69" s="3" t="s">
        <v>51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44593</v>
      </c>
      <c r="J69" s="4">
        <v>10</v>
      </c>
      <c r="K69" s="4">
        <v>10</v>
      </c>
      <c r="L69" s="4">
        <v>0.36</v>
      </c>
      <c r="M69" s="4">
        <v>0.36</v>
      </c>
      <c r="N69" s="4">
        <v>0.36</v>
      </c>
      <c r="O69" s="4">
        <v>0.36</v>
      </c>
      <c r="P69" s="4">
        <v>0</v>
      </c>
      <c r="Q69" s="3" t="s">
        <v>26</v>
      </c>
      <c r="R69" s="3">
        <v>0</v>
      </c>
      <c r="S69" s="3" t="s">
        <v>107</v>
      </c>
      <c r="T69" s="3" t="s">
        <v>357</v>
      </c>
      <c r="U69" s="3">
        <v>34</v>
      </c>
      <c r="V69" s="3">
        <v>23</v>
      </c>
      <c r="W69" s="3">
        <v>71</v>
      </c>
    </row>
    <row r="70" spans="1:23" ht="11.25" customHeight="1" x14ac:dyDescent="0.25">
      <c r="A70" s="3" t="s">
        <v>21</v>
      </c>
      <c r="B70" s="3" t="s">
        <v>39</v>
      </c>
      <c r="C70" s="3" t="s">
        <v>40</v>
      </c>
      <c r="D70" s="3" t="s">
        <v>51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44621</v>
      </c>
      <c r="J70" s="4">
        <v>14</v>
      </c>
      <c r="K70" s="4">
        <v>14</v>
      </c>
      <c r="L70" s="4">
        <v>0.40600000000000003</v>
      </c>
      <c r="M70" s="4">
        <v>0.40600000000000003</v>
      </c>
      <c r="N70" s="4">
        <v>0.40600000000000003</v>
      </c>
      <c r="O70" s="4">
        <v>0.40600000000000003</v>
      </c>
      <c r="P70" s="4">
        <v>0</v>
      </c>
      <c r="Q70" s="3" t="s">
        <v>26</v>
      </c>
      <c r="R70" s="3">
        <v>0</v>
      </c>
      <c r="S70" s="3" t="s">
        <v>108</v>
      </c>
      <c r="T70" s="3" t="s">
        <v>358</v>
      </c>
      <c r="U70" s="3">
        <v>34</v>
      </c>
      <c r="V70" s="3">
        <v>23</v>
      </c>
      <c r="W70" s="3">
        <v>71</v>
      </c>
    </row>
    <row r="71" spans="1:23" ht="11.25" customHeight="1" x14ac:dyDescent="0.25">
      <c r="A71" s="3" t="s">
        <v>21</v>
      </c>
      <c r="B71" s="3" t="s">
        <v>39</v>
      </c>
      <c r="C71" s="3" t="s">
        <v>40</v>
      </c>
      <c r="D71" s="3" t="s">
        <v>51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44652</v>
      </c>
      <c r="J71" s="4">
        <v>14</v>
      </c>
      <c r="K71" s="4">
        <v>14</v>
      </c>
      <c r="L71" s="4">
        <v>0.40600000000000003</v>
      </c>
      <c r="M71" s="4">
        <v>0.40600000000000003</v>
      </c>
      <c r="N71" s="4">
        <v>0.40600000000000003</v>
      </c>
      <c r="O71" s="4">
        <v>0.40600000000000003</v>
      </c>
      <c r="P71" s="4">
        <v>0</v>
      </c>
      <c r="Q71" s="3" t="s">
        <v>26</v>
      </c>
      <c r="R71" s="3">
        <v>0</v>
      </c>
      <c r="S71" s="3" t="s">
        <v>109</v>
      </c>
      <c r="T71" s="3" t="s">
        <v>359</v>
      </c>
      <c r="U71" s="3">
        <v>34</v>
      </c>
      <c r="V71" s="3">
        <v>23</v>
      </c>
      <c r="W71" s="3">
        <v>71</v>
      </c>
    </row>
    <row r="72" spans="1:23" ht="11.25" customHeight="1" x14ac:dyDescent="0.25">
      <c r="A72" s="3" t="s">
        <v>21</v>
      </c>
      <c r="B72" s="3" t="s">
        <v>39</v>
      </c>
      <c r="C72" s="3" t="s">
        <v>40</v>
      </c>
      <c r="D72" s="3" t="s">
        <v>51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44682</v>
      </c>
      <c r="J72" s="4">
        <v>8</v>
      </c>
      <c r="K72" s="4">
        <v>8</v>
      </c>
      <c r="L72" s="4">
        <v>0.312</v>
      </c>
      <c r="M72" s="4">
        <v>0.312</v>
      </c>
      <c r="N72" s="4">
        <v>0.312</v>
      </c>
      <c r="O72" s="4">
        <v>0.312</v>
      </c>
      <c r="P72" s="4">
        <v>0</v>
      </c>
      <c r="Q72" s="3" t="s">
        <v>26</v>
      </c>
      <c r="R72" s="3">
        <v>0</v>
      </c>
      <c r="S72" s="3" t="s">
        <v>110</v>
      </c>
      <c r="T72" s="3" t="s">
        <v>360</v>
      </c>
      <c r="U72" s="3">
        <v>34</v>
      </c>
      <c r="V72" s="3">
        <v>23</v>
      </c>
      <c r="W72" s="3">
        <v>71</v>
      </c>
    </row>
    <row r="73" spans="1:23" ht="11.25" customHeight="1" x14ac:dyDescent="0.25">
      <c r="A73" s="3" t="s">
        <v>21</v>
      </c>
      <c r="B73" s="3" t="s">
        <v>39</v>
      </c>
      <c r="C73" s="3" t="s">
        <v>40</v>
      </c>
      <c r="D73" s="3" t="s">
        <v>51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44713</v>
      </c>
      <c r="J73" s="4">
        <v>8</v>
      </c>
      <c r="K73" s="4">
        <v>8</v>
      </c>
      <c r="L73" s="4">
        <v>0.29299999999999998</v>
      </c>
      <c r="M73" s="4">
        <v>0.29299999999999998</v>
      </c>
      <c r="N73" s="4">
        <v>0.29299999999999998</v>
      </c>
      <c r="O73" s="4">
        <v>0.29299999999999998</v>
      </c>
      <c r="P73" s="4">
        <v>0</v>
      </c>
      <c r="Q73" s="3" t="s">
        <v>26</v>
      </c>
      <c r="R73" s="3">
        <v>0</v>
      </c>
      <c r="S73" s="3" t="s">
        <v>111</v>
      </c>
      <c r="T73" s="3" t="s">
        <v>361</v>
      </c>
      <c r="U73" s="3">
        <v>34</v>
      </c>
      <c r="V73" s="3">
        <v>23</v>
      </c>
      <c r="W73" s="3">
        <v>71</v>
      </c>
    </row>
    <row r="74" spans="1:23" ht="11.25" customHeight="1" x14ac:dyDescent="0.25">
      <c r="A74" s="3" t="s">
        <v>21</v>
      </c>
      <c r="B74" s="3" t="s">
        <v>39</v>
      </c>
      <c r="C74" s="3" t="s">
        <v>40</v>
      </c>
      <c r="D74" s="3" t="s">
        <v>51</v>
      </c>
      <c r="E74" s="3" t="s">
        <v>25</v>
      </c>
      <c r="F74" s="3" t="s">
        <v>25</v>
      </c>
      <c r="G74" s="3" t="s">
        <v>25</v>
      </c>
      <c r="H74" s="3" t="s">
        <v>34</v>
      </c>
      <c r="I74" s="6">
        <v>44743</v>
      </c>
      <c r="J74" s="4">
        <v>7</v>
      </c>
      <c r="K74" s="4">
        <v>7</v>
      </c>
      <c r="L74" s="4">
        <v>0.29799999999999999</v>
      </c>
      <c r="M74" s="4">
        <v>0.29799999999999999</v>
      </c>
      <c r="N74" s="4">
        <v>0.29799999999999999</v>
      </c>
      <c r="O74" s="4">
        <v>0.29799999999999999</v>
      </c>
      <c r="P74" s="4">
        <v>0</v>
      </c>
      <c r="Q74" s="3" t="s">
        <v>26</v>
      </c>
      <c r="R74" s="3">
        <v>0</v>
      </c>
      <c r="S74" s="3" t="s">
        <v>112</v>
      </c>
      <c r="T74" s="3" t="s">
        <v>362</v>
      </c>
      <c r="U74" s="3">
        <v>34</v>
      </c>
      <c r="V74" s="3">
        <v>23</v>
      </c>
      <c r="W74" s="3">
        <v>71</v>
      </c>
    </row>
    <row r="75" spans="1:23" ht="11.25" customHeight="1" x14ac:dyDescent="0.25">
      <c r="A75" s="3" t="s">
        <v>21</v>
      </c>
      <c r="B75" s="3" t="s">
        <v>39</v>
      </c>
      <c r="C75" s="3" t="s">
        <v>40</v>
      </c>
      <c r="D75" s="3" t="s">
        <v>51</v>
      </c>
      <c r="E75" s="3" t="s">
        <v>25</v>
      </c>
      <c r="F75" s="3" t="s">
        <v>25</v>
      </c>
      <c r="G75" s="3" t="s">
        <v>25</v>
      </c>
      <c r="H75" s="3" t="s">
        <v>34</v>
      </c>
      <c r="I75" s="6">
        <v>44774</v>
      </c>
      <c r="J75" s="4">
        <v>7</v>
      </c>
      <c r="K75" s="4">
        <v>7</v>
      </c>
      <c r="L75" s="4">
        <v>0.35099999999999998</v>
      </c>
      <c r="M75" s="4">
        <v>0.35099999999999998</v>
      </c>
      <c r="N75" s="4">
        <v>0.35099999999999998</v>
      </c>
      <c r="O75" s="4">
        <v>0.35099999999999998</v>
      </c>
      <c r="P75" s="4">
        <v>0</v>
      </c>
      <c r="Q75" s="3" t="s">
        <v>26</v>
      </c>
      <c r="R75" s="3">
        <v>0</v>
      </c>
      <c r="S75" s="3" t="s">
        <v>113</v>
      </c>
      <c r="T75" s="3" t="s">
        <v>363</v>
      </c>
      <c r="U75" s="3">
        <v>34</v>
      </c>
      <c r="V75" s="3">
        <v>23</v>
      </c>
      <c r="W75" s="3">
        <v>71</v>
      </c>
    </row>
    <row r="76" spans="1:23" ht="11.25" customHeight="1" x14ac:dyDescent="0.25">
      <c r="A76" s="3" t="s">
        <v>21</v>
      </c>
      <c r="B76" s="3" t="s">
        <v>39</v>
      </c>
      <c r="C76" s="3" t="s">
        <v>40</v>
      </c>
      <c r="D76" s="3" t="s">
        <v>51</v>
      </c>
      <c r="E76" s="3" t="s">
        <v>25</v>
      </c>
      <c r="F76" s="3" t="s">
        <v>25</v>
      </c>
      <c r="G76" s="3" t="s">
        <v>25</v>
      </c>
      <c r="H76" s="3" t="s">
        <v>34</v>
      </c>
      <c r="I76" s="6">
        <v>44805</v>
      </c>
      <c r="J76" s="4">
        <v>9</v>
      </c>
      <c r="K76" s="4">
        <v>9</v>
      </c>
      <c r="L76" s="4">
        <v>0.34399999999999997</v>
      </c>
      <c r="M76" s="4">
        <v>0.34399999999999997</v>
      </c>
      <c r="N76" s="4">
        <v>0.34399999999999997</v>
      </c>
      <c r="O76" s="4">
        <v>0.34399999999999997</v>
      </c>
      <c r="P76" s="4">
        <v>0</v>
      </c>
      <c r="Q76" s="3" t="s">
        <v>26</v>
      </c>
      <c r="R76" s="3">
        <v>0</v>
      </c>
      <c r="S76" s="3" t="s">
        <v>114</v>
      </c>
      <c r="T76" s="3" t="s">
        <v>364</v>
      </c>
      <c r="U76" s="3">
        <v>34</v>
      </c>
      <c r="V76" s="3">
        <v>23</v>
      </c>
      <c r="W76" s="3">
        <v>71</v>
      </c>
    </row>
    <row r="77" spans="1:23" ht="11.25" customHeight="1" x14ac:dyDescent="0.25">
      <c r="A77" s="3" t="s">
        <v>55</v>
      </c>
      <c r="B77" s="3" t="s">
        <v>39</v>
      </c>
      <c r="C77" s="3" t="s">
        <v>40</v>
      </c>
      <c r="D77" s="3" t="s">
        <v>51</v>
      </c>
      <c r="E77" s="3" t="s">
        <v>25</v>
      </c>
      <c r="F77" s="3" t="s">
        <v>25</v>
      </c>
      <c r="G77" s="3" t="s">
        <v>25</v>
      </c>
      <c r="H77" s="3" t="s">
        <v>34</v>
      </c>
      <c r="I77" s="6">
        <v>44835</v>
      </c>
      <c r="J77" s="4">
        <v>9</v>
      </c>
      <c r="K77" s="4">
        <v>9</v>
      </c>
      <c r="L77" s="4">
        <v>0.34399999999999997</v>
      </c>
      <c r="M77" s="4">
        <v>0.34399999999999997</v>
      </c>
      <c r="N77" s="4">
        <v>0.34399999999999997</v>
      </c>
      <c r="O77" s="4">
        <v>0.34399999999999997</v>
      </c>
      <c r="P77" s="4">
        <v>0</v>
      </c>
      <c r="Q77" s="3" t="s">
        <v>26</v>
      </c>
      <c r="R77" s="3">
        <v>0</v>
      </c>
      <c r="S77" s="3" t="s">
        <v>115</v>
      </c>
      <c r="T77" s="3" t="s">
        <v>365</v>
      </c>
      <c r="U77" s="3">
        <v>34</v>
      </c>
      <c r="V77" s="3">
        <v>23</v>
      </c>
      <c r="W77" s="3">
        <v>71</v>
      </c>
    </row>
    <row r="78" spans="1:23" ht="11.25" customHeight="1" x14ac:dyDescent="0.25">
      <c r="A78" s="3" t="s">
        <v>21</v>
      </c>
      <c r="B78" s="3" t="s">
        <v>39</v>
      </c>
      <c r="C78" s="3" t="s">
        <v>40</v>
      </c>
      <c r="D78" s="3" t="s">
        <v>38</v>
      </c>
      <c r="E78" s="3" t="s">
        <v>25</v>
      </c>
      <c r="F78" s="3" t="s">
        <v>25</v>
      </c>
      <c r="G78" s="3" t="s">
        <v>25</v>
      </c>
      <c r="H78" s="3" t="s">
        <v>35</v>
      </c>
      <c r="I78" s="6">
        <v>44501</v>
      </c>
      <c r="J78" s="4">
        <v>249</v>
      </c>
      <c r="K78" s="4">
        <v>249</v>
      </c>
      <c r="L78" s="4">
        <v>131.51499999999999</v>
      </c>
      <c r="M78" s="4">
        <v>131.51499999999999</v>
      </c>
      <c r="N78" s="4">
        <v>131.51499999999999</v>
      </c>
      <c r="O78" s="4">
        <v>131.51499999999999</v>
      </c>
      <c r="P78" s="4">
        <v>0</v>
      </c>
      <c r="Q78" s="3" t="s">
        <v>26</v>
      </c>
      <c r="R78" s="3">
        <v>0</v>
      </c>
      <c r="S78" s="3" t="s">
        <v>92</v>
      </c>
      <c r="T78" s="3" t="s">
        <v>342</v>
      </c>
      <c r="U78" s="3">
        <v>27</v>
      </c>
      <c r="V78" s="3">
        <v>23</v>
      </c>
      <c r="W78" s="3">
        <v>59</v>
      </c>
    </row>
    <row r="79" spans="1:23" ht="11.25" customHeight="1" x14ac:dyDescent="0.25">
      <c r="A79" s="3" t="s">
        <v>21</v>
      </c>
      <c r="B79" s="3" t="s">
        <v>39</v>
      </c>
      <c r="C79" s="3" t="s">
        <v>40</v>
      </c>
      <c r="D79" s="3" t="s">
        <v>38</v>
      </c>
      <c r="E79" s="3" t="s">
        <v>25</v>
      </c>
      <c r="F79" s="3" t="s">
        <v>25</v>
      </c>
      <c r="G79" s="3" t="s">
        <v>25</v>
      </c>
      <c r="H79" s="3" t="s">
        <v>35</v>
      </c>
      <c r="I79" s="6">
        <v>44531</v>
      </c>
      <c r="J79" s="4">
        <v>290</v>
      </c>
      <c r="K79" s="4">
        <v>290</v>
      </c>
      <c r="L79" s="4">
        <v>143.375</v>
      </c>
      <c r="M79" s="4">
        <v>143.375</v>
      </c>
      <c r="N79" s="4">
        <v>143.375</v>
      </c>
      <c r="O79" s="4">
        <v>143.375</v>
      </c>
      <c r="P79" s="4">
        <v>0</v>
      </c>
      <c r="Q79" s="3" t="s">
        <v>26</v>
      </c>
      <c r="R79" s="3">
        <v>0</v>
      </c>
      <c r="S79" s="3" t="s">
        <v>93</v>
      </c>
      <c r="T79" s="3" t="s">
        <v>343</v>
      </c>
      <c r="U79" s="3">
        <v>27</v>
      </c>
      <c r="V79" s="3">
        <v>23</v>
      </c>
      <c r="W79" s="3">
        <v>59</v>
      </c>
    </row>
    <row r="80" spans="1:23" ht="11.25" customHeight="1" x14ac:dyDescent="0.25">
      <c r="A80" s="3" t="s">
        <v>21</v>
      </c>
      <c r="B80" s="3" t="s">
        <v>39</v>
      </c>
      <c r="C80" s="3" t="s">
        <v>40</v>
      </c>
      <c r="D80" s="3" t="s">
        <v>38</v>
      </c>
      <c r="E80" s="3" t="s">
        <v>25</v>
      </c>
      <c r="F80" s="3" t="s">
        <v>25</v>
      </c>
      <c r="G80" s="3" t="s">
        <v>25</v>
      </c>
      <c r="H80" s="3" t="s">
        <v>35</v>
      </c>
      <c r="I80" s="6">
        <v>44562</v>
      </c>
      <c r="J80" s="4">
        <v>295</v>
      </c>
      <c r="K80" s="4">
        <v>295</v>
      </c>
      <c r="L80" s="4">
        <v>135.095</v>
      </c>
      <c r="M80" s="4">
        <v>135.095</v>
      </c>
      <c r="N80" s="4">
        <v>135.095</v>
      </c>
      <c r="O80" s="4">
        <v>135.095</v>
      </c>
      <c r="P80" s="4">
        <v>0</v>
      </c>
      <c r="Q80" s="3" t="s">
        <v>26</v>
      </c>
      <c r="R80" s="3">
        <v>0</v>
      </c>
      <c r="S80" s="3" t="s">
        <v>94</v>
      </c>
      <c r="T80" s="3" t="s">
        <v>344</v>
      </c>
      <c r="U80" s="3">
        <v>27</v>
      </c>
      <c r="V80" s="3">
        <v>23</v>
      </c>
      <c r="W80" s="3">
        <v>59</v>
      </c>
    </row>
    <row r="81" spans="1:23" ht="11.25" customHeight="1" x14ac:dyDescent="0.25">
      <c r="A81" s="3" t="s">
        <v>21</v>
      </c>
      <c r="B81" s="3" t="s">
        <v>39</v>
      </c>
      <c r="C81" s="3" t="s">
        <v>40</v>
      </c>
      <c r="D81" s="3" t="s">
        <v>38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44593</v>
      </c>
      <c r="J81" s="4">
        <v>276</v>
      </c>
      <c r="K81" s="4">
        <v>276</v>
      </c>
      <c r="L81" s="4">
        <v>109.083</v>
      </c>
      <c r="M81" s="4">
        <v>109.083</v>
      </c>
      <c r="N81" s="4">
        <v>109.083</v>
      </c>
      <c r="O81" s="4">
        <v>109.083</v>
      </c>
      <c r="P81" s="4">
        <v>0</v>
      </c>
      <c r="Q81" s="3" t="s">
        <v>26</v>
      </c>
      <c r="R81" s="3">
        <v>0</v>
      </c>
      <c r="S81" s="3" t="s">
        <v>95</v>
      </c>
      <c r="T81" s="3" t="s">
        <v>345</v>
      </c>
      <c r="U81" s="3">
        <v>27</v>
      </c>
      <c r="V81" s="3">
        <v>23</v>
      </c>
      <c r="W81" s="3">
        <v>59</v>
      </c>
    </row>
    <row r="82" spans="1:23" ht="11.25" customHeight="1" x14ac:dyDescent="0.25">
      <c r="A82" s="3" t="s">
        <v>21</v>
      </c>
      <c r="B82" s="3" t="s">
        <v>39</v>
      </c>
      <c r="C82" s="3" t="s">
        <v>40</v>
      </c>
      <c r="D82" s="3" t="s">
        <v>38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44621</v>
      </c>
      <c r="J82" s="4">
        <v>247</v>
      </c>
      <c r="K82" s="4">
        <v>247</v>
      </c>
      <c r="L82" s="4">
        <v>115.306</v>
      </c>
      <c r="M82" s="4">
        <v>115.306</v>
      </c>
      <c r="N82" s="4">
        <v>115.306</v>
      </c>
      <c r="O82" s="4">
        <v>115.306</v>
      </c>
      <c r="P82" s="4">
        <v>0</v>
      </c>
      <c r="Q82" s="3" t="s">
        <v>26</v>
      </c>
      <c r="R82" s="3">
        <v>0</v>
      </c>
      <c r="S82" s="3" t="s">
        <v>96</v>
      </c>
      <c r="T82" s="3" t="s">
        <v>346</v>
      </c>
      <c r="U82" s="3">
        <v>27</v>
      </c>
      <c r="V82" s="3">
        <v>23</v>
      </c>
      <c r="W82" s="3">
        <v>59</v>
      </c>
    </row>
    <row r="83" spans="1:23" ht="11.25" customHeight="1" x14ac:dyDescent="0.25">
      <c r="A83" s="3" t="s">
        <v>21</v>
      </c>
      <c r="B83" s="3" t="s">
        <v>39</v>
      </c>
      <c r="C83" s="3" t="s">
        <v>40</v>
      </c>
      <c r="D83" s="3" t="s">
        <v>38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44652</v>
      </c>
      <c r="J83" s="4">
        <v>247</v>
      </c>
      <c r="K83" s="4">
        <v>247</v>
      </c>
      <c r="L83" s="4">
        <v>115.306</v>
      </c>
      <c r="M83" s="4">
        <v>115.306</v>
      </c>
      <c r="N83" s="4">
        <v>115.306</v>
      </c>
      <c r="O83" s="4">
        <v>115.306</v>
      </c>
      <c r="P83" s="4">
        <v>0</v>
      </c>
      <c r="Q83" s="3" t="s">
        <v>26</v>
      </c>
      <c r="R83" s="3">
        <v>0</v>
      </c>
      <c r="S83" s="3" t="s">
        <v>97</v>
      </c>
      <c r="T83" s="3" t="s">
        <v>347</v>
      </c>
      <c r="U83" s="3">
        <v>27</v>
      </c>
      <c r="V83" s="3">
        <v>23</v>
      </c>
      <c r="W83" s="3">
        <v>59</v>
      </c>
    </row>
    <row r="84" spans="1:23" ht="11.25" customHeight="1" x14ac:dyDescent="0.25">
      <c r="A84" s="3" t="s">
        <v>21</v>
      </c>
      <c r="B84" s="3" t="s">
        <v>39</v>
      </c>
      <c r="C84" s="3" t="s">
        <v>40</v>
      </c>
      <c r="D84" s="3" t="s">
        <v>38</v>
      </c>
      <c r="E84" s="3" t="s">
        <v>25</v>
      </c>
      <c r="F84" s="3" t="s">
        <v>25</v>
      </c>
      <c r="G84" s="3" t="s">
        <v>25</v>
      </c>
      <c r="H84" s="3" t="s">
        <v>35</v>
      </c>
      <c r="I84" s="6">
        <v>44682</v>
      </c>
      <c r="J84" s="4">
        <v>229</v>
      </c>
      <c r="K84" s="4">
        <v>229</v>
      </c>
      <c r="L84" s="4">
        <v>111.71299999999999</v>
      </c>
      <c r="M84" s="4">
        <v>111.71299999999999</v>
      </c>
      <c r="N84" s="4">
        <v>111.71299999999999</v>
      </c>
      <c r="O84" s="4">
        <v>111.71299999999999</v>
      </c>
      <c r="P84" s="4">
        <v>0</v>
      </c>
      <c r="Q84" s="3" t="s">
        <v>26</v>
      </c>
      <c r="R84" s="3">
        <v>0</v>
      </c>
      <c r="S84" s="3" t="s">
        <v>98</v>
      </c>
      <c r="T84" s="3" t="s">
        <v>348</v>
      </c>
      <c r="U84" s="3">
        <v>27</v>
      </c>
      <c r="V84" s="3">
        <v>23</v>
      </c>
      <c r="W84" s="3">
        <v>59</v>
      </c>
    </row>
    <row r="85" spans="1:23" ht="11.25" customHeight="1" x14ac:dyDescent="0.25">
      <c r="A85" s="3" t="s">
        <v>21</v>
      </c>
      <c r="B85" s="3" t="s">
        <v>39</v>
      </c>
      <c r="C85" s="3" t="s">
        <v>40</v>
      </c>
      <c r="D85" s="3" t="s">
        <v>38</v>
      </c>
      <c r="E85" s="3" t="s">
        <v>25</v>
      </c>
      <c r="F85" s="3" t="s">
        <v>25</v>
      </c>
      <c r="G85" s="3" t="s">
        <v>25</v>
      </c>
      <c r="H85" s="3" t="s">
        <v>35</v>
      </c>
      <c r="I85" s="6">
        <v>44713</v>
      </c>
      <c r="J85" s="4">
        <v>238</v>
      </c>
      <c r="K85" s="4">
        <v>238</v>
      </c>
      <c r="L85" s="4">
        <v>110.291</v>
      </c>
      <c r="M85" s="4">
        <v>110.291</v>
      </c>
      <c r="N85" s="4">
        <v>110.291</v>
      </c>
      <c r="O85" s="4">
        <v>110.291</v>
      </c>
      <c r="P85" s="4">
        <v>0</v>
      </c>
      <c r="Q85" s="3" t="s">
        <v>26</v>
      </c>
      <c r="R85" s="3">
        <v>0</v>
      </c>
      <c r="S85" s="3" t="s">
        <v>99</v>
      </c>
      <c r="T85" s="3" t="s">
        <v>349</v>
      </c>
      <c r="U85" s="3">
        <v>27</v>
      </c>
      <c r="V85" s="3">
        <v>23</v>
      </c>
      <c r="W85" s="3">
        <v>59</v>
      </c>
    </row>
    <row r="86" spans="1:23" ht="11.25" customHeight="1" x14ac:dyDescent="0.25">
      <c r="A86" s="3" t="s">
        <v>21</v>
      </c>
      <c r="B86" s="3" t="s">
        <v>39</v>
      </c>
      <c r="C86" s="3" t="s">
        <v>40</v>
      </c>
      <c r="D86" s="3" t="s">
        <v>38</v>
      </c>
      <c r="E86" s="3" t="s">
        <v>25</v>
      </c>
      <c r="F86" s="3" t="s">
        <v>25</v>
      </c>
      <c r="G86" s="3" t="s">
        <v>25</v>
      </c>
      <c r="H86" s="3" t="s">
        <v>35</v>
      </c>
      <c r="I86" s="6">
        <v>44743</v>
      </c>
      <c r="J86" s="4">
        <v>226</v>
      </c>
      <c r="K86" s="4">
        <v>226</v>
      </c>
      <c r="L86" s="4">
        <v>109.681</v>
      </c>
      <c r="M86" s="4">
        <v>109.681</v>
      </c>
      <c r="N86" s="4">
        <v>109.681</v>
      </c>
      <c r="O86" s="4">
        <v>109.681</v>
      </c>
      <c r="P86" s="4">
        <v>0</v>
      </c>
      <c r="Q86" s="3" t="s">
        <v>26</v>
      </c>
      <c r="R86" s="3">
        <v>0</v>
      </c>
      <c r="S86" s="3" t="s">
        <v>100</v>
      </c>
      <c r="T86" s="3" t="s">
        <v>350</v>
      </c>
      <c r="U86" s="3">
        <v>27</v>
      </c>
      <c r="V86" s="3">
        <v>23</v>
      </c>
      <c r="W86" s="3">
        <v>59</v>
      </c>
    </row>
    <row r="87" spans="1:23" ht="11.25" customHeight="1" x14ac:dyDescent="0.25">
      <c r="A87" s="3" t="s">
        <v>21</v>
      </c>
      <c r="B87" s="3" t="s">
        <v>39</v>
      </c>
      <c r="C87" s="3" t="s">
        <v>40</v>
      </c>
      <c r="D87" s="3" t="s">
        <v>38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44774</v>
      </c>
      <c r="J87" s="4">
        <v>218</v>
      </c>
      <c r="K87" s="4">
        <v>218</v>
      </c>
      <c r="L87" s="4">
        <v>99.186000000000007</v>
      </c>
      <c r="M87" s="4">
        <v>99.186000000000007</v>
      </c>
      <c r="N87" s="4">
        <v>99.186000000000007</v>
      </c>
      <c r="O87" s="4">
        <v>99.186000000000007</v>
      </c>
      <c r="P87" s="4">
        <v>0</v>
      </c>
      <c r="Q87" s="3" t="s">
        <v>26</v>
      </c>
      <c r="R87" s="3">
        <v>0</v>
      </c>
      <c r="S87" s="3" t="s">
        <v>101</v>
      </c>
      <c r="T87" s="3" t="s">
        <v>351</v>
      </c>
      <c r="U87" s="3">
        <v>27</v>
      </c>
      <c r="V87" s="3">
        <v>23</v>
      </c>
      <c r="W87" s="3">
        <v>59</v>
      </c>
    </row>
    <row r="88" spans="1:23" ht="11.25" customHeight="1" x14ac:dyDescent="0.25">
      <c r="A88" s="3" t="s">
        <v>21</v>
      </c>
      <c r="B88" s="3" t="s">
        <v>39</v>
      </c>
      <c r="C88" s="3" t="s">
        <v>40</v>
      </c>
      <c r="D88" s="3" t="s">
        <v>38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44805</v>
      </c>
      <c r="J88" s="4">
        <v>223</v>
      </c>
      <c r="K88" s="4">
        <v>223</v>
      </c>
      <c r="L88" s="4">
        <v>90.992999999999995</v>
      </c>
      <c r="M88" s="4">
        <v>90.992999999999995</v>
      </c>
      <c r="N88" s="4">
        <v>90.992999999999995</v>
      </c>
      <c r="O88" s="4">
        <v>90.992999999999995</v>
      </c>
      <c r="P88" s="4">
        <v>0</v>
      </c>
      <c r="Q88" s="3" t="s">
        <v>26</v>
      </c>
      <c r="R88" s="3">
        <v>0</v>
      </c>
      <c r="S88" s="3" t="s">
        <v>102</v>
      </c>
      <c r="T88" s="3" t="s">
        <v>352</v>
      </c>
      <c r="U88" s="3">
        <v>27</v>
      </c>
      <c r="V88" s="3">
        <v>23</v>
      </c>
      <c r="W88" s="3">
        <v>59</v>
      </c>
    </row>
    <row r="89" spans="1:23" ht="11.25" customHeight="1" x14ac:dyDescent="0.25">
      <c r="A89" s="3" t="s">
        <v>55</v>
      </c>
      <c r="B89" s="3" t="s">
        <v>39</v>
      </c>
      <c r="C89" s="3" t="s">
        <v>40</v>
      </c>
      <c r="D89" s="3" t="s">
        <v>38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44835</v>
      </c>
      <c r="J89" s="4">
        <v>223</v>
      </c>
      <c r="K89" s="4">
        <v>223</v>
      </c>
      <c r="L89" s="4">
        <v>90.992999999999995</v>
      </c>
      <c r="M89" s="4">
        <v>90.992999999999995</v>
      </c>
      <c r="N89" s="4">
        <v>90.992999999999995</v>
      </c>
      <c r="O89" s="4">
        <v>90.992999999999995</v>
      </c>
      <c r="P89" s="4">
        <v>0</v>
      </c>
      <c r="Q89" s="3" t="s">
        <v>26</v>
      </c>
      <c r="R89" s="3">
        <v>0</v>
      </c>
      <c r="S89" s="3" t="s">
        <v>103</v>
      </c>
      <c r="T89" s="3" t="s">
        <v>353</v>
      </c>
      <c r="U89" s="3">
        <v>27</v>
      </c>
      <c r="V89" s="3">
        <v>23</v>
      </c>
      <c r="W89" s="3">
        <v>59</v>
      </c>
    </row>
    <row r="90" spans="1:23" ht="11.25" customHeight="1" x14ac:dyDescent="0.25">
      <c r="A90" s="3" t="s">
        <v>21</v>
      </c>
      <c r="B90" s="3" t="s">
        <v>39</v>
      </c>
      <c r="C90" s="3" t="s">
        <v>40</v>
      </c>
      <c r="D90" s="3" t="s">
        <v>38</v>
      </c>
      <c r="E90" s="3" t="s">
        <v>25</v>
      </c>
      <c r="F90" s="3" t="s">
        <v>25</v>
      </c>
      <c r="G90" s="3" t="s">
        <v>25</v>
      </c>
      <c r="H90" s="3" t="s">
        <v>34</v>
      </c>
      <c r="I90" s="6">
        <v>44501</v>
      </c>
      <c r="J90" s="4">
        <v>251</v>
      </c>
      <c r="K90" s="4">
        <v>251</v>
      </c>
      <c r="L90" s="4">
        <v>12.065</v>
      </c>
      <c r="M90" s="4">
        <v>12.065</v>
      </c>
      <c r="N90" s="4">
        <v>12.065</v>
      </c>
      <c r="O90" s="4">
        <v>12.065</v>
      </c>
      <c r="P90" s="4">
        <v>0</v>
      </c>
      <c r="Q90" s="3" t="s">
        <v>26</v>
      </c>
      <c r="R90" s="3">
        <v>0</v>
      </c>
      <c r="S90" s="3" t="s">
        <v>104</v>
      </c>
      <c r="T90" s="3" t="s">
        <v>354</v>
      </c>
      <c r="U90" s="3">
        <v>34</v>
      </c>
      <c r="V90" s="3">
        <v>23</v>
      </c>
      <c r="W90" s="3">
        <v>71</v>
      </c>
    </row>
    <row r="91" spans="1:23" ht="11.25" customHeight="1" x14ac:dyDescent="0.25">
      <c r="A91" s="3" t="s">
        <v>21</v>
      </c>
      <c r="B91" s="3" t="s">
        <v>39</v>
      </c>
      <c r="C91" s="3" t="s">
        <v>40</v>
      </c>
      <c r="D91" s="3" t="s">
        <v>38</v>
      </c>
      <c r="E91" s="3" t="s">
        <v>25</v>
      </c>
      <c r="F91" s="3" t="s">
        <v>25</v>
      </c>
      <c r="G91" s="3" t="s">
        <v>25</v>
      </c>
      <c r="H91" s="3" t="s">
        <v>34</v>
      </c>
      <c r="I91" s="6">
        <v>44531</v>
      </c>
      <c r="J91" s="4">
        <v>278</v>
      </c>
      <c r="K91" s="4">
        <v>278</v>
      </c>
      <c r="L91" s="4">
        <v>14.382</v>
      </c>
      <c r="M91" s="4">
        <v>14.382</v>
      </c>
      <c r="N91" s="4">
        <v>14.382</v>
      </c>
      <c r="O91" s="4">
        <v>14.382</v>
      </c>
      <c r="P91" s="4">
        <v>0</v>
      </c>
      <c r="Q91" s="3" t="s">
        <v>26</v>
      </c>
      <c r="R91" s="3">
        <v>0</v>
      </c>
      <c r="S91" s="3" t="s">
        <v>105</v>
      </c>
      <c r="T91" s="3" t="s">
        <v>355</v>
      </c>
      <c r="U91" s="3">
        <v>34</v>
      </c>
      <c r="V91" s="3">
        <v>23</v>
      </c>
      <c r="W91" s="3">
        <v>71</v>
      </c>
    </row>
    <row r="92" spans="1:23" ht="11.25" customHeight="1" x14ac:dyDescent="0.25">
      <c r="A92" s="3" t="s">
        <v>21</v>
      </c>
      <c r="B92" s="3" t="s">
        <v>39</v>
      </c>
      <c r="C92" s="3" t="s">
        <v>40</v>
      </c>
      <c r="D92" s="3" t="s">
        <v>38</v>
      </c>
      <c r="E92" s="3" t="s">
        <v>25</v>
      </c>
      <c r="F92" s="3" t="s">
        <v>25</v>
      </c>
      <c r="G92" s="3" t="s">
        <v>25</v>
      </c>
      <c r="H92" s="3" t="s">
        <v>34</v>
      </c>
      <c r="I92" s="6">
        <v>44562</v>
      </c>
      <c r="J92" s="4">
        <v>251</v>
      </c>
      <c r="K92" s="4">
        <v>251</v>
      </c>
      <c r="L92" s="4">
        <v>12.278</v>
      </c>
      <c r="M92" s="4">
        <v>12.278</v>
      </c>
      <c r="N92" s="4">
        <v>12.278</v>
      </c>
      <c r="O92" s="4">
        <v>12.278</v>
      </c>
      <c r="P92" s="4">
        <v>0</v>
      </c>
      <c r="Q92" s="3" t="s">
        <v>26</v>
      </c>
      <c r="R92" s="3">
        <v>0</v>
      </c>
      <c r="S92" s="3" t="s">
        <v>106</v>
      </c>
      <c r="T92" s="3" t="s">
        <v>356</v>
      </c>
      <c r="U92" s="3">
        <v>34</v>
      </c>
      <c r="V92" s="3">
        <v>23</v>
      </c>
      <c r="W92" s="3">
        <v>71</v>
      </c>
    </row>
    <row r="93" spans="1:23" ht="11.25" customHeight="1" x14ac:dyDescent="0.25">
      <c r="A93" s="3" t="s">
        <v>21</v>
      </c>
      <c r="B93" s="3" t="s">
        <v>39</v>
      </c>
      <c r="C93" s="3" t="s">
        <v>40</v>
      </c>
      <c r="D93" s="3" t="s">
        <v>38</v>
      </c>
      <c r="E93" s="3" t="s">
        <v>25</v>
      </c>
      <c r="F93" s="3" t="s">
        <v>25</v>
      </c>
      <c r="G93" s="3" t="s">
        <v>25</v>
      </c>
      <c r="H93" s="3" t="s">
        <v>34</v>
      </c>
      <c r="I93" s="6">
        <v>44593</v>
      </c>
      <c r="J93" s="4">
        <v>246</v>
      </c>
      <c r="K93" s="4">
        <v>246</v>
      </c>
      <c r="L93" s="4">
        <v>11.004</v>
      </c>
      <c r="M93" s="4">
        <v>11.004</v>
      </c>
      <c r="N93" s="4">
        <v>11.004</v>
      </c>
      <c r="O93" s="4">
        <v>11.004</v>
      </c>
      <c r="P93" s="4">
        <v>0</v>
      </c>
      <c r="Q93" s="3" t="s">
        <v>26</v>
      </c>
      <c r="R93" s="3">
        <v>0</v>
      </c>
      <c r="S93" s="3" t="s">
        <v>107</v>
      </c>
      <c r="T93" s="3" t="s">
        <v>357</v>
      </c>
      <c r="U93" s="3">
        <v>34</v>
      </c>
      <c r="V93" s="3">
        <v>23</v>
      </c>
      <c r="W93" s="3">
        <v>71</v>
      </c>
    </row>
    <row r="94" spans="1:23" ht="11.25" customHeight="1" x14ac:dyDescent="0.25">
      <c r="A94" s="3" t="s">
        <v>21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25</v>
      </c>
      <c r="G94" s="3" t="s">
        <v>25</v>
      </c>
      <c r="H94" s="3" t="s">
        <v>34</v>
      </c>
      <c r="I94" s="6">
        <v>44621</v>
      </c>
      <c r="J94" s="4">
        <v>243</v>
      </c>
      <c r="K94" s="4">
        <v>243</v>
      </c>
      <c r="L94" s="4">
        <v>11.874000000000001</v>
      </c>
      <c r="M94" s="4">
        <v>11.874000000000001</v>
      </c>
      <c r="N94" s="4">
        <v>11.874000000000001</v>
      </c>
      <c r="O94" s="4">
        <v>11.874000000000001</v>
      </c>
      <c r="P94" s="4">
        <v>0</v>
      </c>
      <c r="Q94" s="3" t="s">
        <v>26</v>
      </c>
      <c r="R94" s="3">
        <v>0</v>
      </c>
      <c r="S94" s="3" t="s">
        <v>108</v>
      </c>
      <c r="T94" s="3" t="s">
        <v>358</v>
      </c>
      <c r="U94" s="3">
        <v>34</v>
      </c>
      <c r="V94" s="3">
        <v>23</v>
      </c>
      <c r="W94" s="3">
        <v>71</v>
      </c>
    </row>
    <row r="95" spans="1:23" ht="11.25" customHeight="1" x14ac:dyDescent="0.25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25</v>
      </c>
      <c r="G95" s="3" t="s">
        <v>25</v>
      </c>
      <c r="H95" s="3" t="s">
        <v>34</v>
      </c>
      <c r="I95" s="6">
        <v>44652</v>
      </c>
      <c r="J95" s="4">
        <v>243</v>
      </c>
      <c r="K95" s="4">
        <v>243</v>
      </c>
      <c r="L95" s="4">
        <v>11.874000000000001</v>
      </c>
      <c r="M95" s="4">
        <v>11.874000000000001</v>
      </c>
      <c r="N95" s="4">
        <v>11.874000000000001</v>
      </c>
      <c r="O95" s="4">
        <v>11.874000000000001</v>
      </c>
      <c r="P95" s="4">
        <v>0</v>
      </c>
      <c r="Q95" s="3" t="s">
        <v>26</v>
      </c>
      <c r="R95" s="3">
        <v>0</v>
      </c>
      <c r="S95" s="3" t="s">
        <v>109</v>
      </c>
      <c r="T95" s="3" t="s">
        <v>359</v>
      </c>
      <c r="U95" s="3">
        <v>34</v>
      </c>
      <c r="V95" s="3">
        <v>23</v>
      </c>
      <c r="W95" s="3">
        <v>71</v>
      </c>
    </row>
    <row r="96" spans="1:23" ht="11.25" customHeight="1" x14ac:dyDescent="0.25">
      <c r="A96" s="3" t="s">
        <v>21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25</v>
      </c>
      <c r="G96" s="3" t="s">
        <v>25</v>
      </c>
      <c r="H96" s="3" t="s">
        <v>34</v>
      </c>
      <c r="I96" s="6">
        <v>44682</v>
      </c>
      <c r="J96" s="4">
        <v>243</v>
      </c>
      <c r="K96" s="4">
        <v>243</v>
      </c>
      <c r="L96" s="4">
        <v>9.1669999999999998</v>
      </c>
      <c r="M96" s="4">
        <v>9.1669999999999998</v>
      </c>
      <c r="N96" s="4">
        <v>9.1669999999999998</v>
      </c>
      <c r="O96" s="4">
        <v>9.1669999999999998</v>
      </c>
      <c r="P96" s="4">
        <v>0</v>
      </c>
      <c r="Q96" s="3" t="s">
        <v>26</v>
      </c>
      <c r="R96" s="3">
        <v>0</v>
      </c>
      <c r="S96" s="3" t="s">
        <v>110</v>
      </c>
      <c r="T96" s="3" t="s">
        <v>360</v>
      </c>
      <c r="U96" s="3">
        <v>34</v>
      </c>
      <c r="V96" s="3">
        <v>23</v>
      </c>
      <c r="W96" s="3">
        <v>71</v>
      </c>
    </row>
    <row r="97" spans="1:23" ht="11.25" customHeight="1" x14ac:dyDescent="0.25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25</v>
      </c>
      <c r="G97" s="3" t="s">
        <v>25</v>
      </c>
      <c r="H97" s="3" t="s">
        <v>34</v>
      </c>
      <c r="I97" s="6">
        <v>44713</v>
      </c>
      <c r="J97" s="4">
        <v>243</v>
      </c>
      <c r="K97" s="4">
        <v>243</v>
      </c>
      <c r="L97" s="4">
        <v>8.3049999999999997</v>
      </c>
      <c r="M97" s="4">
        <v>8.3049999999999997</v>
      </c>
      <c r="N97" s="4">
        <v>8.3049999999999997</v>
      </c>
      <c r="O97" s="4">
        <v>8.3049999999999997</v>
      </c>
      <c r="P97" s="4">
        <v>0</v>
      </c>
      <c r="Q97" s="3" t="s">
        <v>26</v>
      </c>
      <c r="R97" s="3">
        <v>0</v>
      </c>
      <c r="S97" s="3" t="s">
        <v>111</v>
      </c>
      <c r="T97" s="3" t="s">
        <v>361</v>
      </c>
      <c r="U97" s="3">
        <v>34</v>
      </c>
      <c r="V97" s="3">
        <v>23</v>
      </c>
      <c r="W97" s="3">
        <v>71</v>
      </c>
    </row>
    <row r="98" spans="1:23" ht="11.25" customHeight="1" x14ac:dyDescent="0.25">
      <c r="A98" s="3" t="s">
        <v>21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25</v>
      </c>
      <c r="G98" s="3" t="s">
        <v>25</v>
      </c>
      <c r="H98" s="3" t="s">
        <v>34</v>
      </c>
      <c r="I98" s="6">
        <v>44743</v>
      </c>
      <c r="J98" s="4">
        <v>243</v>
      </c>
      <c r="K98" s="4">
        <v>243</v>
      </c>
      <c r="L98" s="4">
        <v>8.298</v>
      </c>
      <c r="M98" s="4">
        <v>8.298</v>
      </c>
      <c r="N98" s="4">
        <v>8.298</v>
      </c>
      <c r="O98" s="4">
        <v>8.298</v>
      </c>
      <c r="P98" s="4">
        <v>0</v>
      </c>
      <c r="Q98" s="3" t="s">
        <v>26</v>
      </c>
      <c r="R98" s="3">
        <v>0</v>
      </c>
      <c r="S98" s="3" t="s">
        <v>112</v>
      </c>
      <c r="T98" s="3" t="s">
        <v>362</v>
      </c>
      <c r="U98" s="3">
        <v>34</v>
      </c>
      <c r="V98" s="3">
        <v>23</v>
      </c>
      <c r="W98" s="3">
        <v>71</v>
      </c>
    </row>
    <row r="99" spans="1:23" ht="11.25" customHeight="1" x14ac:dyDescent="0.25">
      <c r="A99" s="3" t="s">
        <v>21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25</v>
      </c>
      <c r="G99" s="3" t="s">
        <v>25</v>
      </c>
      <c r="H99" s="3" t="s">
        <v>34</v>
      </c>
      <c r="I99" s="6">
        <v>44774</v>
      </c>
      <c r="J99" s="4">
        <v>243</v>
      </c>
      <c r="K99" s="4">
        <v>243</v>
      </c>
      <c r="L99" s="4">
        <v>9.4909999999999997</v>
      </c>
      <c r="M99" s="4">
        <v>9.4909999999999997</v>
      </c>
      <c r="N99" s="4">
        <v>9.4909999999999997</v>
      </c>
      <c r="O99" s="4">
        <v>9.4909999999999997</v>
      </c>
      <c r="P99" s="4">
        <v>0</v>
      </c>
      <c r="Q99" s="3" t="s">
        <v>26</v>
      </c>
      <c r="R99" s="3">
        <v>0</v>
      </c>
      <c r="S99" s="3" t="s">
        <v>113</v>
      </c>
      <c r="T99" s="3" t="s">
        <v>363</v>
      </c>
      <c r="U99" s="3">
        <v>34</v>
      </c>
      <c r="V99" s="3">
        <v>23</v>
      </c>
      <c r="W99" s="3">
        <v>71</v>
      </c>
    </row>
    <row r="100" spans="1:23" ht="11.25" customHeight="1" x14ac:dyDescent="0.25">
      <c r="A100" s="3" t="s">
        <v>21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25</v>
      </c>
      <c r="G100" s="3" t="s">
        <v>25</v>
      </c>
      <c r="H100" s="3" t="s">
        <v>34</v>
      </c>
      <c r="I100" s="6">
        <v>44805</v>
      </c>
      <c r="J100" s="4">
        <v>243</v>
      </c>
      <c r="K100" s="4">
        <v>243</v>
      </c>
      <c r="L100" s="4">
        <v>8.7590000000000003</v>
      </c>
      <c r="M100" s="4">
        <v>8.7590000000000003</v>
      </c>
      <c r="N100" s="4">
        <v>8.7590000000000003</v>
      </c>
      <c r="O100" s="4">
        <v>8.7590000000000003</v>
      </c>
      <c r="P100" s="4">
        <v>0</v>
      </c>
      <c r="Q100" s="3" t="s">
        <v>26</v>
      </c>
      <c r="R100" s="3">
        <v>0</v>
      </c>
      <c r="S100" s="3" t="s">
        <v>114</v>
      </c>
      <c r="T100" s="3" t="s">
        <v>364</v>
      </c>
      <c r="U100" s="3">
        <v>34</v>
      </c>
      <c r="V100" s="3">
        <v>23</v>
      </c>
      <c r="W100" s="3">
        <v>71</v>
      </c>
    </row>
    <row r="101" spans="1:23" ht="11.25" customHeight="1" x14ac:dyDescent="0.25">
      <c r="A101" s="3" t="s">
        <v>55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44835</v>
      </c>
      <c r="J101" s="4">
        <v>243</v>
      </c>
      <c r="K101" s="4">
        <v>243</v>
      </c>
      <c r="L101" s="4">
        <v>8.7590000000000003</v>
      </c>
      <c r="M101" s="4">
        <v>8.7590000000000003</v>
      </c>
      <c r="N101" s="4">
        <v>8.7590000000000003</v>
      </c>
      <c r="O101" s="4">
        <v>8.7590000000000003</v>
      </c>
      <c r="P101" s="4">
        <v>0</v>
      </c>
      <c r="Q101" s="3" t="s">
        <v>26</v>
      </c>
      <c r="R101" s="3">
        <v>0</v>
      </c>
      <c r="S101" s="3" t="s">
        <v>115</v>
      </c>
      <c r="T101" s="3" t="s">
        <v>365</v>
      </c>
      <c r="U101" s="3">
        <v>34</v>
      </c>
      <c r="V101" s="3">
        <v>23</v>
      </c>
      <c r="W101" s="3">
        <v>71</v>
      </c>
    </row>
    <row r="102" spans="1:23" ht="11.25" customHeight="1" x14ac:dyDescent="0.25">
      <c r="A102" s="3" t="s">
        <v>21</v>
      </c>
      <c r="B102" s="3" t="s">
        <v>39</v>
      </c>
      <c r="C102" s="3" t="s">
        <v>40</v>
      </c>
      <c r="D102" s="3" t="s">
        <v>45</v>
      </c>
      <c r="E102" s="3" t="s">
        <v>25</v>
      </c>
      <c r="F102" s="3" t="s">
        <v>25</v>
      </c>
      <c r="G102" s="3" t="s">
        <v>25</v>
      </c>
      <c r="H102" s="3" t="s">
        <v>35</v>
      </c>
      <c r="I102" s="6">
        <v>44501</v>
      </c>
      <c r="J102" s="4">
        <v>4059</v>
      </c>
      <c r="K102" s="4">
        <v>4059</v>
      </c>
      <c r="L102" s="4">
        <v>882.37900000000002</v>
      </c>
      <c r="M102" s="4">
        <v>882.37900000000002</v>
      </c>
      <c r="N102" s="4">
        <v>882.37900000000002</v>
      </c>
      <c r="O102" s="4">
        <v>882.37900000000002</v>
      </c>
      <c r="P102" s="4">
        <v>0</v>
      </c>
      <c r="Q102" s="3" t="s">
        <v>26</v>
      </c>
      <c r="R102" s="3">
        <v>0</v>
      </c>
      <c r="S102" s="3" t="s">
        <v>92</v>
      </c>
      <c r="T102" s="3" t="s">
        <v>342</v>
      </c>
      <c r="U102" s="3">
        <v>27</v>
      </c>
      <c r="V102" s="3">
        <v>23</v>
      </c>
      <c r="W102" s="3">
        <v>59</v>
      </c>
    </row>
    <row r="103" spans="1:23" ht="11.25" customHeight="1" x14ac:dyDescent="0.25">
      <c r="A103" s="3" t="s">
        <v>27</v>
      </c>
      <c r="B103" s="3" t="s">
        <v>39</v>
      </c>
      <c r="C103" s="3" t="s">
        <v>40</v>
      </c>
      <c r="D103" s="3" t="s">
        <v>45</v>
      </c>
      <c r="E103" s="3" t="s">
        <v>25</v>
      </c>
      <c r="F103" s="3" t="s">
        <v>25</v>
      </c>
      <c r="G103" s="3" t="s">
        <v>25</v>
      </c>
      <c r="H103" s="3" t="s">
        <v>35</v>
      </c>
      <c r="I103" s="6">
        <v>44501</v>
      </c>
      <c r="J103" s="4">
        <v>-989</v>
      </c>
      <c r="K103" s="4">
        <v>-989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26</v>
      </c>
      <c r="R103" s="3">
        <v>0</v>
      </c>
      <c r="S103" s="3" t="s">
        <v>92</v>
      </c>
      <c r="T103" s="3" t="s">
        <v>342</v>
      </c>
      <c r="U103" s="3">
        <v>27</v>
      </c>
      <c r="V103" s="3">
        <v>0</v>
      </c>
      <c r="W103" s="3">
        <v>0</v>
      </c>
    </row>
    <row r="104" spans="1:23" ht="11.25" customHeight="1" x14ac:dyDescent="0.25">
      <c r="A104" s="3" t="s">
        <v>28</v>
      </c>
      <c r="B104" s="3" t="s">
        <v>39</v>
      </c>
      <c r="C104" s="3" t="s">
        <v>40</v>
      </c>
      <c r="D104" s="3" t="s">
        <v>45</v>
      </c>
      <c r="E104" s="3" t="s">
        <v>25</v>
      </c>
      <c r="F104" s="3" t="s">
        <v>25</v>
      </c>
      <c r="G104" s="3" t="s">
        <v>25</v>
      </c>
      <c r="H104" s="3" t="s">
        <v>35</v>
      </c>
      <c r="I104" s="6">
        <v>44501</v>
      </c>
      <c r="J104" s="4">
        <v>722</v>
      </c>
      <c r="K104" s="4">
        <v>722</v>
      </c>
      <c r="L104" s="4">
        <v>195.66</v>
      </c>
      <c r="M104" s="4">
        <v>195.66</v>
      </c>
      <c r="N104" s="4">
        <v>195.66</v>
      </c>
      <c r="O104" s="4">
        <v>195.66</v>
      </c>
      <c r="P104" s="4">
        <v>0</v>
      </c>
      <c r="Q104" s="3" t="s">
        <v>26</v>
      </c>
      <c r="R104" s="3">
        <v>0</v>
      </c>
      <c r="S104" s="3" t="s">
        <v>92</v>
      </c>
      <c r="T104" s="3" t="s">
        <v>342</v>
      </c>
      <c r="U104" s="3">
        <v>27</v>
      </c>
      <c r="V104" s="3">
        <v>23</v>
      </c>
      <c r="W104" s="3">
        <v>59</v>
      </c>
    </row>
    <row r="105" spans="1:23" ht="11.25" customHeight="1" x14ac:dyDescent="0.25">
      <c r="A105" s="3" t="s">
        <v>21</v>
      </c>
      <c r="B105" s="3" t="s">
        <v>39</v>
      </c>
      <c r="C105" s="3" t="s">
        <v>40</v>
      </c>
      <c r="D105" s="3" t="s">
        <v>45</v>
      </c>
      <c r="E105" s="3" t="s">
        <v>25</v>
      </c>
      <c r="F105" s="3" t="s">
        <v>25</v>
      </c>
      <c r="G105" s="3" t="s">
        <v>25</v>
      </c>
      <c r="H105" s="3" t="s">
        <v>35</v>
      </c>
      <c r="I105" s="6">
        <v>44531</v>
      </c>
      <c r="J105" s="4">
        <v>4059</v>
      </c>
      <c r="K105" s="4">
        <v>4059</v>
      </c>
      <c r="L105" s="4">
        <v>812.61699999999996</v>
      </c>
      <c r="M105" s="4">
        <v>812.61699999999996</v>
      </c>
      <c r="N105" s="4">
        <v>812.61699999999996</v>
      </c>
      <c r="O105" s="4">
        <v>812.61699999999996</v>
      </c>
      <c r="P105" s="4">
        <v>0</v>
      </c>
      <c r="Q105" s="3" t="s">
        <v>26</v>
      </c>
      <c r="R105" s="3">
        <v>0</v>
      </c>
      <c r="S105" s="3" t="s">
        <v>93</v>
      </c>
      <c r="T105" s="3" t="s">
        <v>343</v>
      </c>
      <c r="U105" s="3">
        <v>27</v>
      </c>
      <c r="V105" s="3">
        <v>23</v>
      </c>
      <c r="W105" s="3">
        <v>59</v>
      </c>
    </row>
    <row r="106" spans="1:23" ht="11.25" customHeight="1" x14ac:dyDescent="0.25">
      <c r="A106" s="3" t="s">
        <v>28</v>
      </c>
      <c r="B106" s="3" t="s">
        <v>39</v>
      </c>
      <c r="C106" s="3" t="s">
        <v>40</v>
      </c>
      <c r="D106" s="3" t="s">
        <v>45</v>
      </c>
      <c r="E106" s="3" t="s">
        <v>25</v>
      </c>
      <c r="F106" s="3" t="s">
        <v>25</v>
      </c>
      <c r="G106" s="3" t="s">
        <v>25</v>
      </c>
      <c r="H106" s="3" t="s">
        <v>35</v>
      </c>
      <c r="I106" s="6">
        <v>44531</v>
      </c>
      <c r="J106" s="4">
        <v>711</v>
      </c>
      <c r="K106" s="4">
        <v>711</v>
      </c>
      <c r="L106" s="4">
        <v>192.5</v>
      </c>
      <c r="M106" s="4">
        <v>192.5</v>
      </c>
      <c r="N106" s="4">
        <v>192.5</v>
      </c>
      <c r="O106" s="4">
        <v>192.5</v>
      </c>
      <c r="P106" s="4">
        <v>0</v>
      </c>
      <c r="Q106" s="3" t="s">
        <v>26</v>
      </c>
      <c r="R106" s="3">
        <v>0</v>
      </c>
      <c r="S106" s="3" t="s">
        <v>93</v>
      </c>
      <c r="T106" s="3" t="s">
        <v>343</v>
      </c>
      <c r="U106" s="3">
        <v>27</v>
      </c>
      <c r="V106" s="3">
        <v>23</v>
      </c>
      <c r="W106" s="3">
        <v>59</v>
      </c>
    </row>
    <row r="107" spans="1:23" ht="11.25" customHeight="1" x14ac:dyDescent="0.25">
      <c r="A107" s="3" t="s">
        <v>21</v>
      </c>
      <c r="B107" s="3" t="s">
        <v>39</v>
      </c>
      <c r="C107" s="3" t="s">
        <v>40</v>
      </c>
      <c r="D107" s="3" t="s">
        <v>45</v>
      </c>
      <c r="E107" s="3" t="s">
        <v>25</v>
      </c>
      <c r="F107" s="3" t="s">
        <v>25</v>
      </c>
      <c r="G107" s="3" t="s">
        <v>25</v>
      </c>
      <c r="H107" s="3" t="s">
        <v>35</v>
      </c>
      <c r="I107" s="6">
        <v>44562</v>
      </c>
      <c r="J107" s="4">
        <v>4733</v>
      </c>
      <c r="K107" s="4">
        <v>4733</v>
      </c>
      <c r="L107" s="4">
        <v>842.40899999999999</v>
      </c>
      <c r="M107" s="4">
        <v>842.40899999999999</v>
      </c>
      <c r="N107" s="4">
        <v>842.40899999999999</v>
      </c>
      <c r="O107" s="4">
        <v>842.40899999999999</v>
      </c>
      <c r="P107" s="4">
        <v>0</v>
      </c>
      <c r="Q107" s="3" t="s">
        <v>26</v>
      </c>
      <c r="R107" s="3">
        <v>0</v>
      </c>
      <c r="S107" s="3" t="s">
        <v>94</v>
      </c>
      <c r="T107" s="3" t="s">
        <v>344</v>
      </c>
      <c r="U107" s="3">
        <v>27</v>
      </c>
      <c r="V107" s="3">
        <v>23</v>
      </c>
      <c r="W107" s="3">
        <v>59</v>
      </c>
    </row>
    <row r="108" spans="1:23" ht="11.25" customHeight="1" x14ac:dyDescent="0.25">
      <c r="A108" s="3" t="s">
        <v>28</v>
      </c>
      <c r="B108" s="3" t="s">
        <v>39</v>
      </c>
      <c r="C108" s="3" t="s">
        <v>40</v>
      </c>
      <c r="D108" s="3" t="s">
        <v>45</v>
      </c>
      <c r="E108" s="3" t="s">
        <v>25</v>
      </c>
      <c r="F108" s="3" t="s">
        <v>25</v>
      </c>
      <c r="G108" s="3" t="s">
        <v>25</v>
      </c>
      <c r="H108" s="3" t="s">
        <v>35</v>
      </c>
      <c r="I108" s="6">
        <v>44562</v>
      </c>
      <c r="J108" s="4">
        <v>743</v>
      </c>
      <c r="K108" s="4">
        <v>743</v>
      </c>
      <c r="L108" s="4">
        <v>197.21100000000001</v>
      </c>
      <c r="M108" s="4">
        <v>197.21100000000001</v>
      </c>
      <c r="N108" s="4">
        <v>197.21100000000001</v>
      </c>
      <c r="O108" s="4">
        <v>197.21100000000001</v>
      </c>
      <c r="P108" s="4">
        <v>0</v>
      </c>
      <c r="Q108" s="3" t="s">
        <v>26</v>
      </c>
      <c r="R108" s="3">
        <v>0</v>
      </c>
      <c r="S108" s="3" t="s">
        <v>94</v>
      </c>
      <c r="T108" s="3" t="s">
        <v>344</v>
      </c>
      <c r="U108" s="3">
        <v>27</v>
      </c>
      <c r="V108" s="3">
        <v>23</v>
      </c>
      <c r="W108" s="3">
        <v>59</v>
      </c>
    </row>
    <row r="109" spans="1:23" ht="11.25" customHeight="1" x14ac:dyDescent="0.25">
      <c r="A109" s="3" t="s">
        <v>21</v>
      </c>
      <c r="B109" s="3" t="s">
        <v>39</v>
      </c>
      <c r="C109" s="3" t="s">
        <v>40</v>
      </c>
      <c r="D109" s="3" t="s">
        <v>45</v>
      </c>
      <c r="E109" s="3" t="s">
        <v>25</v>
      </c>
      <c r="F109" s="3" t="s">
        <v>25</v>
      </c>
      <c r="G109" s="3" t="s">
        <v>25</v>
      </c>
      <c r="H109" s="3" t="s">
        <v>35</v>
      </c>
      <c r="I109" s="6">
        <v>44593</v>
      </c>
      <c r="J109" s="4">
        <v>4735</v>
      </c>
      <c r="K109" s="4">
        <v>4735</v>
      </c>
      <c r="L109" s="4">
        <v>871.904</v>
      </c>
      <c r="M109" s="4">
        <v>871.904</v>
      </c>
      <c r="N109" s="4">
        <v>871.904</v>
      </c>
      <c r="O109" s="4">
        <v>871.904</v>
      </c>
      <c r="P109" s="4">
        <v>0</v>
      </c>
      <c r="Q109" s="3" t="s">
        <v>26</v>
      </c>
      <c r="R109" s="3">
        <v>0</v>
      </c>
      <c r="S109" s="3" t="s">
        <v>95</v>
      </c>
      <c r="T109" s="3" t="s">
        <v>345</v>
      </c>
      <c r="U109" s="3">
        <v>27</v>
      </c>
      <c r="V109" s="3">
        <v>23</v>
      </c>
      <c r="W109" s="3">
        <v>59</v>
      </c>
    </row>
    <row r="110" spans="1:23" ht="11.25" customHeight="1" x14ac:dyDescent="0.25">
      <c r="A110" s="3" t="s">
        <v>28</v>
      </c>
      <c r="B110" s="3" t="s">
        <v>39</v>
      </c>
      <c r="C110" s="3" t="s">
        <v>40</v>
      </c>
      <c r="D110" s="3" t="s">
        <v>45</v>
      </c>
      <c r="E110" s="3" t="s">
        <v>25</v>
      </c>
      <c r="F110" s="3" t="s">
        <v>25</v>
      </c>
      <c r="G110" s="3" t="s">
        <v>25</v>
      </c>
      <c r="H110" s="3" t="s">
        <v>35</v>
      </c>
      <c r="I110" s="6">
        <v>44593</v>
      </c>
      <c r="J110" s="4">
        <v>766</v>
      </c>
      <c r="K110" s="4">
        <v>766</v>
      </c>
      <c r="L110" s="4">
        <v>181.23599999999999</v>
      </c>
      <c r="M110" s="4">
        <v>181.23599999999999</v>
      </c>
      <c r="N110" s="4">
        <v>181.23599999999999</v>
      </c>
      <c r="O110" s="4">
        <v>181.23599999999999</v>
      </c>
      <c r="P110" s="4">
        <v>0</v>
      </c>
      <c r="Q110" s="3" t="s">
        <v>26</v>
      </c>
      <c r="R110" s="3">
        <v>0</v>
      </c>
      <c r="S110" s="3" t="s">
        <v>95</v>
      </c>
      <c r="T110" s="3" t="s">
        <v>345</v>
      </c>
      <c r="U110" s="3">
        <v>27</v>
      </c>
      <c r="V110" s="3">
        <v>23</v>
      </c>
      <c r="W110" s="3">
        <v>59</v>
      </c>
    </row>
    <row r="111" spans="1:23" ht="11.25" customHeight="1" x14ac:dyDescent="0.25">
      <c r="A111" s="3" t="s">
        <v>21</v>
      </c>
      <c r="B111" s="3" t="s">
        <v>39</v>
      </c>
      <c r="C111" s="3" t="s">
        <v>40</v>
      </c>
      <c r="D111" s="3" t="s">
        <v>45</v>
      </c>
      <c r="E111" s="3" t="s">
        <v>25</v>
      </c>
      <c r="F111" s="3" t="s">
        <v>25</v>
      </c>
      <c r="G111" s="3" t="s">
        <v>25</v>
      </c>
      <c r="H111" s="3" t="s">
        <v>35</v>
      </c>
      <c r="I111" s="6">
        <v>44621</v>
      </c>
      <c r="J111" s="4">
        <v>4733</v>
      </c>
      <c r="K111" s="4">
        <v>4733</v>
      </c>
      <c r="L111" s="4">
        <v>954.505</v>
      </c>
      <c r="M111" s="4">
        <v>954.505</v>
      </c>
      <c r="N111" s="4">
        <v>954.505</v>
      </c>
      <c r="O111" s="4">
        <v>954.505</v>
      </c>
      <c r="P111" s="4">
        <v>0</v>
      </c>
      <c r="Q111" s="3" t="s">
        <v>26</v>
      </c>
      <c r="R111" s="3">
        <v>0</v>
      </c>
      <c r="S111" s="3" t="s">
        <v>96</v>
      </c>
      <c r="T111" s="3" t="s">
        <v>346</v>
      </c>
      <c r="U111" s="3">
        <v>27</v>
      </c>
      <c r="V111" s="3">
        <v>23</v>
      </c>
      <c r="W111" s="3">
        <v>59</v>
      </c>
    </row>
    <row r="112" spans="1:23" ht="11.25" customHeight="1" x14ac:dyDescent="0.25">
      <c r="A112" s="3" t="s">
        <v>28</v>
      </c>
      <c r="B112" s="3" t="s">
        <v>39</v>
      </c>
      <c r="C112" s="3" t="s">
        <v>40</v>
      </c>
      <c r="D112" s="3" t="s">
        <v>45</v>
      </c>
      <c r="E112" s="3" t="s">
        <v>25</v>
      </c>
      <c r="F112" s="3" t="s">
        <v>25</v>
      </c>
      <c r="G112" s="3" t="s">
        <v>25</v>
      </c>
      <c r="H112" s="3" t="s">
        <v>35</v>
      </c>
      <c r="I112" s="6">
        <v>44621</v>
      </c>
      <c r="J112" s="4">
        <v>722</v>
      </c>
      <c r="K112" s="4">
        <v>722</v>
      </c>
      <c r="L112" s="4">
        <v>189.297</v>
      </c>
      <c r="M112" s="4">
        <v>189.297</v>
      </c>
      <c r="N112" s="4">
        <v>189.297</v>
      </c>
      <c r="O112" s="4">
        <v>189.297</v>
      </c>
      <c r="P112" s="4">
        <v>0</v>
      </c>
      <c r="Q112" s="3" t="s">
        <v>26</v>
      </c>
      <c r="R112" s="3">
        <v>0</v>
      </c>
      <c r="S112" s="3" t="s">
        <v>96</v>
      </c>
      <c r="T112" s="3" t="s">
        <v>346</v>
      </c>
      <c r="U112" s="3">
        <v>27</v>
      </c>
      <c r="V112" s="3">
        <v>23</v>
      </c>
      <c r="W112" s="3">
        <v>59</v>
      </c>
    </row>
    <row r="113" spans="1:23" ht="11.25" customHeight="1" x14ac:dyDescent="0.25">
      <c r="A113" s="3" t="s">
        <v>21</v>
      </c>
      <c r="B113" s="3" t="s">
        <v>39</v>
      </c>
      <c r="C113" s="3" t="s">
        <v>40</v>
      </c>
      <c r="D113" s="3" t="s">
        <v>45</v>
      </c>
      <c r="E113" s="3" t="s">
        <v>25</v>
      </c>
      <c r="F113" s="3" t="s">
        <v>25</v>
      </c>
      <c r="G113" s="3" t="s">
        <v>25</v>
      </c>
      <c r="H113" s="3" t="s">
        <v>35</v>
      </c>
      <c r="I113" s="6">
        <v>44652</v>
      </c>
      <c r="J113" s="4">
        <v>4733</v>
      </c>
      <c r="K113" s="4">
        <v>4733</v>
      </c>
      <c r="L113" s="4">
        <v>954.505</v>
      </c>
      <c r="M113" s="4">
        <v>954.505</v>
      </c>
      <c r="N113" s="4">
        <v>954.505</v>
      </c>
      <c r="O113" s="4">
        <v>954.505</v>
      </c>
      <c r="P113" s="4">
        <v>0</v>
      </c>
      <c r="Q113" s="3" t="s">
        <v>26</v>
      </c>
      <c r="R113" s="3">
        <v>0</v>
      </c>
      <c r="S113" s="3" t="s">
        <v>97</v>
      </c>
      <c r="T113" s="3" t="s">
        <v>347</v>
      </c>
      <c r="U113" s="3">
        <v>27</v>
      </c>
      <c r="V113" s="3">
        <v>23</v>
      </c>
      <c r="W113" s="3">
        <v>59</v>
      </c>
    </row>
    <row r="114" spans="1:23" ht="11.25" customHeight="1" x14ac:dyDescent="0.25">
      <c r="A114" s="3" t="s">
        <v>28</v>
      </c>
      <c r="B114" s="3" t="s">
        <v>39</v>
      </c>
      <c r="C114" s="3" t="s">
        <v>40</v>
      </c>
      <c r="D114" s="3" t="s">
        <v>45</v>
      </c>
      <c r="E114" s="3" t="s">
        <v>25</v>
      </c>
      <c r="F114" s="3" t="s">
        <v>25</v>
      </c>
      <c r="G114" s="3" t="s">
        <v>25</v>
      </c>
      <c r="H114" s="3" t="s">
        <v>35</v>
      </c>
      <c r="I114" s="6">
        <v>44652</v>
      </c>
      <c r="J114" s="4">
        <v>722</v>
      </c>
      <c r="K114" s="4">
        <v>722</v>
      </c>
      <c r="L114" s="4">
        <v>189.297</v>
      </c>
      <c r="M114" s="4">
        <v>189.297</v>
      </c>
      <c r="N114" s="4">
        <v>189.297</v>
      </c>
      <c r="O114" s="4">
        <v>189.297</v>
      </c>
      <c r="P114" s="4">
        <v>0</v>
      </c>
      <c r="Q114" s="3" t="s">
        <v>26</v>
      </c>
      <c r="R114" s="3">
        <v>0</v>
      </c>
      <c r="S114" s="3" t="s">
        <v>97</v>
      </c>
      <c r="T114" s="3" t="s">
        <v>347</v>
      </c>
      <c r="U114" s="3">
        <v>27</v>
      </c>
      <c r="V114" s="3">
        <v>23</v>
      </c>
      <c r="W114" s="3">
        <v>59</v>
      </c>
    </row>
    <row r="115" spans="1:23" ht="11.25" customHeight="1" x14ac:dyDescent="0.25">
      <c r="A115" s="3" t="s">
        <v>21</v>
      </c>
      <c r="B115" s="3" t="s">
        <v>39</v>
      </c>
      <c r="C115" s="3" t="s">
        <v>40</v>
      </c>
      <c r="D115" s="3" t="s">
        <v>45</v>
      </c>
      <c r="E115" s="3" t="s">
        <v>25</v>
      </c>
      <c r="F115" s="3" t="s">
        <v>25</v>
      </c>
      <c r="G115" s="3" t="s">
        <v>25</v>
      </c>
      <c r="H115" s="3" t="s">
        <v>35</v>
      </c>
      <c r="I115" s="6">
        <v>44682</v>
      </c>
      <c r="J115" s="4">
        <v>4733</v>
      </c>
      <c r="K115" s="4">
        <v>4733</v>
      </c>
      <c r="L115" s="4">
        <v>822.01</v>
      </c>
      <c r="M115" s="4">
        <v>822.01</v>
      </c>
      <c r="N115" s="4">
        <v>822.01</v>
      </c>
      <c r="O115" s="4">
        <v>822.01</v>
      </c>
      <c r="P115" s="4">
        <v>0</v>
      </c>
      <c r="Q115" s="3" t="s">
        <v>26</v>
      </c>
      <c r="R115" s="3">
        <v>0</v>
      </c>
      <c r="S115" s="3" t="s">
        <v>98</v>
      </c>
      <c r="T115" s="3" t="s">
        <v>348</v>
      </c>
      <c r="U115" s="3">
        <v>27</v>
      </c>
      <c r="V115" s="3">
        <v>23</v>
      </c>
      <c r="W115" s="3">
        <v>59</v>
      </c>
    </row>
    <row r="116" spans="1:23" ht="11.25" customHeight="1" x14ac:dyDescent="0.25">
      <c r="A116" s="3" t="s">
        <v>28</v>
      </c>
      <c r="B116" s="3" t="s">
        <v>39</v>
      </c>
      <c r="C116" s="3" t="s">
        <v>40</v>
      </c>
      <c r="D116" s="3" t="s">
        <v>45</v>
      </c>
      <c r="E116" s="3" t="s">
        <v>25</v>
      </c>
      <c r="F116" s="3" t="s">
        <v>25</v>
      </c>
      <c r="G116" s="3" t="s">
        <v>25</v>
      </c>
      <c r="H116" s="3" t="s">
        <v>35</v>
      </c>
      <c r="I116" s="6">
        <v>44682</v>
      </c>
      <c r="J116" s="4">
        <v>948</v>
      </c>
      <c r="K116" s="4">
        <v>948</v>
      </c>
      <c r="L116" s="4">
        <v>64.331999999999994</v>
      </c>
      <c r="M116" s="4">
        <v>64.331999999999994</v>
      </c>
      <c r="N116" s="4">
        <v>64.331999999999994</v>
      </c>
      <c r="O116" s="4">
        <v>64.331999999999994</v>
      </c>
      <c r="P116" s="4">
        <v>0</v>
      </c>
      <c r="Q116" s="3" t="s">
        <v>26</v>
      </c>
      <c r="R116" s="3">
        <v>0</v>
      </c>
      <c r="S116" s="3" t="s">
        <v>98</v>
      </c>
      <c r="T116" s="3" t="s">
        <v>348</v>
      </c>
      <c r="U116" s="3">
        <v>27</v>
      </c>
      <c r="V116" s="3">
        <v>23</v>
      </c>
      <c r="W116" s="3">
        <v>59</v>
      </c>
    </row>
    <row r="117" spans="1:23" ht="11.25" customHeight="1" x14ac:dyDescent="0.25">
      <c r="A117" s="3" t="s">
        <v>21</v>
      </c>
      <c r="B117" s="3" t="s">
        <v>39</v>
      </c>
      <c r="C117" s="3" t="s">
        <v>40</v>
      </c>
      <c r="D117" s="3" t="s">
        <v>45</v>
      </c>
      <c r="E117" s="3" t="s">
        <v>25</v>
      </c>
      <c r="F117" s="3" t="s">
        <v>25</v>
      </c>
      <c r="G117" s="3" t="s">
        <v>25</v>
      </c>
      <c r="H117" s="3" t="s">
        <v>35</v>
      </c>
      <c r="I117" s="6">
        <v>44713</v>
      </c>
      <c r="J117" s="4">
        <v>4733</v>
      </c>
      <c r="K117" s="4">
        <v>4733</v>
      </c>
      <c r="L117" s="4">
        <v>802.68799999999999</v>
      </c>
      <c r="M117" s="4">
        <v>802.68799999999999</v>
      </c>
      <c r="N117" s="4">
        <v>802.68799999999999</v>
      </c>
      <c r="O117" s="4">
        <v>802.68799999999999</v>
      </c>
      <c r="P117" s="4">
        <v>0</v>
      </c>
      <c r="Q117" s="3" t="s">
        <v>26</v>
      </c>
      <c r="R117" s="3">
        <v>0</v>
      </c>
      <c r="S117" s="3" t="s">
        <v>99</v>
      </c>
      <c r="T117" s="3" t="s">
        <v>349</v>
      </c>
      <c r="U117" s="3">
        <v>27</v>
      </c>
      <c r="V117" s="3">
        <v>23</v>
      </c>
      <c r="W117" s="3">
        <v>59</v>
      </c>
    </row>
    <row r="118" spans="1:23" ht="11.25" customHeight="1" x14ac:dyDescent="0.25">
      <c r="A118" s="3" t="s">
        <v>28</v>
      </c>
      <c r="B118" s="3" t="s">
        <v>39</v>
      </c>
      <c r="C118" s="3" t="s">
        <v>40</v>
      </c>
      <c r="D118" s="3" t="s">
        <v>45</v>
      </c>
      <c r="E118" s="3" t="s">
        <v>25</v>
      </c>
      <c r="F118" s="3" t="s">
        <v>25</v>
      </c>
      <c r="G118" s="3" t="s">
        <v>25</v>
      </c>
      <c r="H118" s="3" t="s">
        <v>35</v>
      </c>
      <c r="I118" s="6">
        <v>44713</v>
      </c>
      <c r="J118" s="4">
        <v>237</v>
      </c>
      <c r="K118" s="4">
        <v>237</v>
      </c>
      <c r="L118" s="4">
        <v>15.904999999999999</v>
      </c>
      <c r="M118" s="4">
        <v>15.904999999999999</v>
      </c>
      <c r="N118" s="4">
        <v>15.904999999999999</v>
      </c>
      <c r="O118" s="4">
        <v>15.904999999999999</v>
      </c>
      <c r="P118" s="4">
        <v>0</v>
      </c>
      <c r="Q118" s="3" t="s">
        <v>26</v>
      </c>
      <c r="R118" s="3">
        <v>0</v>
      </c>
      <c r="S118" s="3" t="s">
        <v>99</v>
      </c>
      <c r="T118" s="3" t="s">
        <v>349</v>
      </c>
      <c r="U118" s="3">
        <v>27</v>
      </c>
      <c r="V118" s="3">
        <v>23</v>
      </c>
      <c r="W118" s="3">
        <v>59</v>
      </c>
    </row>
    <row r="119" spans="1:23" ht="11.25" customHeight="1" x14ac:dyDescent="0.25">
      <c r="A119" s="3" t="s">
        <v>21</v>
      </c>
      <c r="B119" s="3" t="s">
        <v>39</v>
      </c>
      <c r="C119" s="3" t="s">
        <v>40</v>
      </c>
      <c r="D119" s="3" t="s">
        <v>45</v>
      </c>
      <c r="E119" s="3" t="s">
        <v>25</v>
      </c>
      <c r="F119" s="3" t="s">
        <v>25</v>
      </c>
      <c r="G119" s="3" t="s">
        <v>25</v>
      </c>
      <c r="H119" s="3" t="s">
        <v>35</v>
      </c>
      <c r="I119" s="6">
        <v>44743</v>
      </c>
      <c r="J119" s="4">
        <v>4733</v>
      </c>
      <c r="K119" s="4">
        <v>4733</v>
      </c>
      <c r="L119" s="4">
        <v>921.52200000000005</v>
      </c>
      <c r="M119" s="4">
        <v>921.52200000000005</v>
      </c>
      <c r="N119" s="4">
        <v>921.52200000000005</v>
      </c>
      <c r="O119" s="4">
        <v>921.52200000000005</v>
      </c>
      <c r="P119" s="4">
        <v>0</v>
      </c>
      <c r="Q119" s="3" t="s">
        <v>26</v>
      </c>
      <c r="R119" s="3">
        <v>0</v>
      </c>
      <c r="S119" s="3" t="s">
        <v>100</v>
      </c>
      <c r="T119" s="3" t="s">
        <v>350</v>
      </c>
      <c r="U119" s="3">
        <v>27</v>
      </c>
      <c r="V119" s="3">
        <v>23</v>
      </c>
      <c r="W119" s="3">
        <v>59</v>
      </c>
    </row>
    <row r="120" spans="1:23" ht="11.25" customHeight="1" x14ac:dyDescent="0.25">
      <c r="A120" s="3" t="s">
        <v>28</v>
      </c>
      <c r="B120" s="3" t="s">
        <v>39</v>
      </c>
      <c r="C120" s="3" t="s">
        <v>40</v>
      </c>
      <c r="D120" s="3" t="s">
        <v>45</v>
      </c>
      <c r="E120" s="3" t="s">
        <v>25</v>
      </c>
      <c r="F120" s="3" t="s">
        <v>25</v>
      </c>
      <c r="G120" s="3" t="s">
        <v>25</v>
      </c>
      <c r="H120" s="3" t="s">
        <v>35</v>
      </c>
      <c r="I120" s="6">
        <v>44743</v>
      </c>
      <c r="J120" s="4">
        <v>237</v>
      </c>
      <c r="K120" s="4">
        <v>237</v>
      </c>
      <c r="L120" s="4">
        <v>17.039000000000001</v>
      </c>
      <c r="M120" s="4">
        <v>17.039000000000001</v>
      </c>
      <c r="N120" s="4">
        <v>17.039000000000001</v>
      </c>
      <c r="O120" s="4">
        <v>17.039000000000001</v>
      </c>
      <c r="P120" s="4">
        <v>0</v>
      </c>
      <c r="Q120" s="3" t="s">
        <v>26</v>
      </c>
      <c r="R120" s="3">
        <v>0</v>
      </c>
      <c r="S120" s="3" t="s">
        <v>100</v>
      </c>
      <c r="T120" s="3" t="s">
        <v>350</v>
      </c>
      <c r="U120" s="3">
        <v>27</v>
      </c>
      <c r="V120" s="3">
        <v>23</v>
      </c>
      <c r="W120" s="3">
        <v>59</v>
      </c>
    </row>
    <row r="121" spans="1:23" ht="11.25" customHeight="1" x14ac:dyDescent="0.25">
      <c r="A121" s="3" t="s">
        <v>21</v>
      </c>
      <c r="B121" s="3" t="s">
        <v>39</v>
      </c>
      <c r="C121" s="3" t="s">
        <v>40</v>
      </c>
      <c r="D121" s="3" t="s">
        <v>45</v>
      </c>
      <c r="E121" s="3" t="s">
        <v>25</v>
      </c>
      <c r="F121" s="3" t="s">
        <v>25</v>
      </c>
      <c r="G121" s="3" t="s">
        <v>25</v>
      </c>
      <c r="H121" s="3" t="s">
        <v>35</v>
      </c>
      <c r="I121" s="6">
        <v>44774</v>
      </c>
      <c r="J121" s="4">
        <v>4741</v>
      </c>
      <c r="K121" s="4">
        <v>4741</v>
      </c>
      <c r="L121" s="4">
        <v>996.81</v>
      </c>
      <c r="M121" s="4">
        <v>996.81</v>
      </c>
      <c r="N121" s="4">
        <v>996.81</v>
      </c>
      <c r="O121" s="4">
        <v>996.81</v>
      </c>
      <c r="P121" s="4">
        <v>0</v>
      </c>
      <c r="Q121" s="3" t="s">
        <v>26</v>
      </c>
      <c r="R121" s="3">
        <v>0</v>
      </c>
      <c r="S121" s="3" t="s">
        <v>101</v>
      </c>
      <c r="T121" s="3" t="s">
        <v>351</v>
      </c>
      <c r="U121" s="3">
        <v>27</v>
      </c>
      <c r="V121" s="3">
        <v>23</v>
      </c>
      <c r="W121" s="3">
        <v>59</v>
      </c>
    </row>
    <row r="122" spans="1:23" ht="11.25" customHeight="1" x14ac:dyDescent="0.25">
      <c r="A122" s="3" t="s">
        <v>28</v>
      </c>
      <c r="B122" s="3" t="s">
        <v>39</v>
      </c>
      <c r="C122" s="3" t="s">
        <v>40</v>
      </c>
      <c r="D122" s="3" t="s">
        <v>45</v>
      </c>
      <c r="E122" s="3" t="s">
        <v>25</v>
      </c>
      <c r="F122" s="3" t="s">
        <v>25</v>
      </c>
      <c r="G122" s="3" t="s">
        <v>25</v>
      </c>
      <c r="H122" s="3" t="s">
        <v>35</v>
      </c>
      <c r="I122" s="6">
        <v>44774</v>
      </c>
      <c r="J122" s="4">
        <v>237</v>
      </c>
      <c r="K122" s="4">
        <v>237</v>
      </c>
      <c r="L122" s="4">
        <v>18.137</v>
      </c>
      <c r="M122" s="4">
        <v>18.137</v>
      </c>
      <c r="N122" s="4">
        <v>18.137</v>
      </c>
      <c r="O122" s="4">
        <v>18.137</v>
      </c>
      <c r="P122" s="4">
        <v>0</v>
      </c>
      <c r="Q122" s="3" t="s">
        <v>26</v>
      </c>
      <c r="R122" s="3">
        <v>0</v>
      </c>
      <c r="S122" s="3" t="s">
        <v>101</v>
      </c>
      <c r="T122" s="3" t="s">
        <v>351</v>
      </c>
      <c r="U122" s="3">
        <v>27</v>
      </c>
      <c r="V122" s="3">
        <v>23</v>
      </c>
      <c r="W122" s="3">
        <v>59</v>
      </c>
    </row>
    <row r="123" spans="1:23" ht="11.25" customHeight="1" x14ac:dyDescent="0.25">
      <c r="A123" s="3" t="s">
        <v>21</v>
      </c>
      <c r="B123" s="3" t="s">
        <v>39</v>
      </c>
      <c r="C123" s="3" t="s">
        <v>40</v>
      </c>
      <c r="D123" s="3" t="s">
        <v>45</v>
      </c>
      <c r="E123" s="3" t="s">
        <v>25</v>
      </c>
      <c r="F123" s="3" t="s">
        <v>25</v>
      </c>
      <c r="G123" s="3" t="s">
        <v>25</v>
      </c>
      <c r="H123" s="3" t="s">
        <v>35</v>
      </c>
      <c r="I123" s="6">
        <v>44805</v>
      </c>
      <c r="J123" s="4">
        <v>4742</v>
      </c>
      <c r="K123" s="4">
        <v>4742</v>
      </c>
      <c r="L123" s="4">
        <v>1045.837</v>
      </c>
      <c r="M123" s="4">
        <v>1045.837</v>
      </c>
      <c r="N123" s="4">
        <v>1045.837</v>
      </c>
      <c r="O123" s="4">
        <v>1045.837</v>
      </c>
      <c r="P123" s="4">
        <v>0</v>
      </c>
      <c r="Q123" s="3" t="s">
        <v>26</v>
      </c>
      <c r="R123" s="3">
        <v>0</v>
      </c>
      <c r="S123" s="3" t="s">
        <v>102</v>
      </c>
      <c r="T123" s="3" t="s">
        <v>352</v>
      </c>
      <c r="U123" s="3">
        <v>27</v>
      </c>
      <c r="V123" s="3">
        <v>23</v>
      </c>
      <c r="W123" s="3">
        <v>59</v>
      </c>
    </row>
    <row r="124" spans="1:23" ht="11.25" customHeight="1" x14ac:dyDescent="0.25">
      <c r="A124" s="3" t="s">
        <v>28</v>
      </c>
      <c r="B124" s="3" t="s">
        <v>39</v>
      </c>
      <c r="C124" s="3" t="s">
        <v>40</v>
      </c>
      <c r="D124" s="3" t="s">
        <v>45</v>
      </c>
      <c r="E124" s="3" t="s">
        <v>25</v>
      </c>
      <c r="F124" s="3" t="s">
        <v>25</v>
      </c>
      <c r="G124" s="3" t="s">
        <v>25</v>
      </c>
      <c r="H124" s="3" t="s">
        <v>35</v>
      </c>
      <c r="I124" s="6">
        <v>44805</v>
      </c>
      <c r="J124" s="4">
        <v>237</v>
      </c>
      <c r="K124" s="4">
        <v>237</v>
      </c>
      <c r="L124" s="4">
        <v>16.814</v>
      </c>
      <c r="M124" s="4">
        <v>16.814</v>
      </c>
      <c r="N124" s="4">
        <v>16.814</v>
      </c>
      <c r="O124" s="4">
        <v>16.814</v>
      </c>
      <c r="P124" s="4">
        <v>0</v>
      </c>
      <c r="Q124" s="3" t="s">
        <v>26</v>
      </c>
      <c r="R124" s="3">
        <v>0</v>
      </c>
      <c r="S124" s="3" t="s">
        <v>102</v>
      </c>
      <c r="T124" s="3" t="s">
        <v>352</v>
      </c>
      <c r="U124" s="3">
        <v>27</v>
      </c>
      <c r="V124" s="3">
        <v>23</v>
      </c>
      <c r="W124" s="3">
        <v>59</v>
      </c>
    </row>
    <row r="125" spans="1:23" ht="11.25" customHeight="1" x14ac:dyDescent="0.25">
      <c r="A125" s="3" t="s">
        <v>55</v>
      </c>
      <c r="B125" s="3" t="s">
        <v>39</v>
      </c>
      <c r="C125" s="3" t="s">
        <v>40</v>
      </c>
      <c r="D125" s="3" t="s">
        <v>45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44835</v>
      </c>
      <c r="J125" s="4">
        <v>4742</v>
      </c>
      <c r="K125" s="4">
        <v>4742</v>
      </c>
      <c r="L125" s="4">
        <v>1045.837</v>
      </c>
      <c r="M125" s="4">
        <v>1045.837</v>
      </c>
      <c r="N125" s="4">
        <v>1045.837</v>
      </c>
      <c r="O125" s="4">
        <v>1045.837</v>
      </c>
      <c r="P125" s="4">
        <v>0</v>
      </c>
      <c r="Q125" s="3" t="s">
        <v>26</v>
      </c>
      <c r="R125" s="3">
        <v>0</v>
      </c>
      <c r="S125" s="3" t="s">
        <v>103</v>
      </c>
      <c r="T125" s="3" t="s">
        <v>353</v>
      </c>
      <c r="U125" s="3">
        <v>27</v>
      </c>
      <c r="V125" s="3">
        <v>23</v>
      </c>
      <c r="W125" s="3">
        <v>59</v>
      </c>
    </row>
    <row r="126" spans="1:23" ht="11.25" customHeight="1" x14ac:dyDescent="0.25">
      <c r="A126" s="3" t="s">
        <v>55</v>
      </c>
      <c r="B126" s="3" t="s">
        <v>39</v>
      </c>
      <c r="C126" s="3" t="s">
        <v>40</v>
      </c>
      <c r="D126" s="3" t="s">
        <v>45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44835</v>
      </c>
      <c r="J126" s="4">
        <v>237</v>
      </c>
      <c r="K126" s="4">
        <v>237</v>
      </c>
      <c r="L126" s="4">
        <v>16.814</v>
      </c>
      <c r="M126" s="4">
        <v>16.814</v>
      </c>
      <c r="N126" s="4">
        <v>16.814</v>
      </c>
      <c r="O126" s="4">
        <v>16.814</v>
      </c>
      <c r="P126" s="4">
        <v>0</v>
      </c>
      <c r="Q126" s="3" t="s">
        <v>26</v>
      </c>
      <c r="R126" s="3">
        <v>0</v>
      </c>
      <c r="S126" s="3" t="s">
        <v>103</v>
      </c>
      <c r="T126" s="3" t="s">
        <v>353</v>
      </c>
      <c r="U126" s="3">
        <v>27</v>
      </c>
      <c r="V126" s="3">
        <v>23</v>
      </c>
      <c r="W126" s="3">
        <v>59</v>
      </c>
    </row>
    <row r="127" spans="1:23" ht="11.25" customHeight="1" x14ac:dyDescent="0.25">
      <c r="A127" s="3" t="s">
        <v>21</v>
      </c>
      <c r="B127" s="3" t="s">
        <v>39</v>
      </c>
      <c r="C127" s="3" t="s">
        <v>40</v>
      </c>
      <c r="D127" s="3" t="s">
        <v>45</v>
      </c>
      <c r="E127" s="3" t="s">
        <v>25</v>
      </c>
      <c r="F127" s="3" t="s">
        <v>25</v>
      </c>
      <c r="G127" s="3" t="s">
        <v>25</v>
      </c>
      <c r="H127" s="3" t="s">
        <v>34</v>
      </c>
      <c r="I127" s="6">
        <v>44501</v>
      </c>
      <c r="J127" s="4">
        <v>2338</v>
      </c>
      <c r="K127" s="4">
        <v>2338</v>
      </c>
      <c r="L127" s="4">
        <v>71.968999999999994</v>
      </c>
      <c r="M127" s="4">
        <v>71.968999999999994</v>
      </c>
      <c r="N127" s="4">
        <v>71.968999999999994</v>
      </c>
      <c r="O127" s="4">
        <v>71.968999999999994</v>
      </c>
      <c r="P127" s="4">
        <v>0</v>
      </c>
      <c r="Q127" s="3" t="s">
        <v>26</v>
      </c>
      <c r="R127" s="3">
        <v>0</v>
      </c>
      <c r="S127" s="3" t="s">
        <v>104</v>
      </c>
      <c r="T127" s="3" t="s">
        <v>354</v>
      </c>
      <c r="U127" s="3">
        <v>34</v>
      </c>
      <c r="V127" s="3">
        <v>23</v>
      </c>
      <c r="W127" s="3">
        <v>71</v>
      </c>
    </row>
    <row r="128" spans="1:23" ht="11.25" customHeight="1" x14ac:dyDescent="0.25">
      <c r="A128" s="3" t="s">
        <v>27</v>
      </c>
      <c r="B128" s="3" t="s">
        <v>39</v>
      </c>
      <c r="C128" s="3" t="s">
        <v>40</v>
      </c>
      <c r="D128" s="3" t="s">
        <v>45</v>
      </c>
      <c r="E128" s="3" t="s">
        <v>25</v>
      </c>
      <c r="F128" s="3" t="s">
        <v>25</v>
      </c>
      <c r="G128" s="3" t="s">
        <v>25</v>
      </c>
      <c r="H128" s="3" t="s">
        <v>34</v>
      </c>
      <c r="I128" s="6">
        <v>44501</v>
      </c>
      <c r="J128" s="4">
        <v>-1113</v>
      </c>
      <c r="K128" s="4">
        <v>-1113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26</v>
      </c>
      <c r="R128" s="3">
        <v>0</v>
      </c>
      <c r="S128" s="3" t="s">
        <v>104</v>
      </c>
      <c r="T128" s="3" t="s">
        <v>354</v>
      </c>
      <c r="U128" s="3">
        <v>34</v>
      </c>
      <c r="V128" s="3">
        <v>0</v>
      </c>
      <c r="W128" s="3">
        <v>0</v>
      </c>
    </row>
    <row r="129" spans="1:23" ht="11.25" customHeight="1" x14ac:dyDescent="0.25">
      <c r="A129" s="3" t="s">
        <v>28</v>
      </c>
      <c r="B129" s="3" t="s">
        <v>39</v>
      </c>
      <c r="C129" s="3" t="s">
        <v>40</v>
      </c>
      <c r="D129" s="3" t="s">
        <v>45</v>
      </c>
      <c r="E129" s="3" t="s">
        <v>25</v>
      </c>
      <c r="F129" s="3" t="s">
        <v>25</v>
      </c>
      <c r="G129" s="3" t="s">
        <v>25</v>
      </c>
      <c r="H129" s="3" t="s">
        <v>34</v>
      </c>
      <c r="I129" s="6">
        <v>44501</v>
      </c>
      <c r="J129" s="4">
        <v>402</v>
      </c>
      <c r="K129" s="4">
        <v>402</v>
      </c>
      <c r="L129" s="4">
        <v>17.434000000000001</v>
      </c>
      <c r="M129" s="4">
        <v>17.434000000000001</v>
      </c>
      <c r="N129" s="4">
        <v>17.434000000000001</v>
      </c>
      <c r="O129" s="4">
        <v>17.434000000000001</v>
      </c>
      <c r="P129" s="4">
        <v>0</v>
      </c>
      <c r="Q129" s="3" t="s">
        <v>26</v>
      </c>
      <c r="R129" s="3">
        <v>0</v>
      </c>
      <c r="S129" s="3" t="s">
        <v>104</v>
      </c>
      <c r="T129" s="3" t="s">
        <v>354</v>
      </c>
      <c r="U129" s="3">
        <v>34</v>
      </c>
      <c r="V129" s="3">
        <v>23</v>
      </c>
      <c r="W129" s="3">
        <v>71</v>
      </c>
    </row>
    <row r="130" spans="1:23" ht="11.25" customHeight="1" x14ac:dyDescent="0.25">
      <c r="A130" s="3" t="s">
        <v>21</v>
      </c>
      <c r="B130" s="3" t="s">
        <v>39</v>
      </c>
      <c r="C130" s="3" t="s">
        <v>40</v>
      </c>
      <c r="D130" s="3" t="s">
        <v>45</v>
      </c>
      <c r="E130" s="3" t="s">
        <v>25</v>
      </c>
      <c r="F130" s="3" t="s">
        <v>25</v>
      </c>
      <c r="G130" s="3" t="s">
        <v>25</v>
      </c>
      <c r="H130" s="3" t="s">
        <v>34</v>
      </c>
      <c r="I130" s="6">
        <v>44531</v>
      </c>
      <c r="J130" s="4">
        <v>2305</v>
      </c>
      <c r="K130" s="4">
        <v>2305</v>
      </c>
      <c r="L130" s="4">
        <v>75.283000000000001</v>
      </c>
      <c r="M130" s="4">
        <v>75.283000000000001</v>
      </c>
      <c r="N130" s="4">
        <v>75.283000000000001</v>
      </c>
      <c r="O130" s="4">
        <v>75.283000000000001</v>
      </c>
      <c r="P130" s="4">
        <v>0</v>
      </c>
      <c r="Q130" s="3" t="s">
        <v>26</v>
      </c>
      <c r="R130" s="3">
        <v>0</v>
      </c>
      <c r="S130" s="3" t="s">
        <v>105</v>
      </c>
      <c r="T130" s="3" t="s">
        <v>355</v>
      </c>
      <c r="U130" s="3">
        <v>34</v>
      </c>
      <c r="V130" s="3">
        <v>23</v>
      </c>
      <c r="W130" s="3">
        <v>71</v>
      </c>
    </row>
    <row r="131" spans="1:23" ht="11.25" customHeight="1" x14ac:dyDescent="0.25">
      <c r="A131" s="3" t="s">
        <v>28</v>
      </c>
      <c r="B131" s="3" t="s">
        <v>39</v>
      </c>
      <c r="C131" s="3" t="s">
        <v>40</v>
      </c>
      <c r="D131" s="3" t="s">
        <v>45</v>
      </c>
      <c r="E131" s="3" t="s">
        <v>25</v>
      </c>
      <c r="F131" s="3" t="s">
        <v>25</v>
      </c>
      <c r="G131" s="3" t="s">
        <v>25</v>
      </c>
      <c r="H131" s="3" t="s">
        <v>34</v>
      </c>
      <c r="I131" s="6">
        <v>44531</v>
      </c>
      <c r="J131" s="4">
        <v>408</v>
      </c>
      <c r="K131" s="4">
        <v>408</v>
      </c>
      <c r="L131" s="4">
        <v>19.268000000000001</v>
      </c>
      <c r="M131" s="4">
        <v>19.268000000000001</v>
      </c>
      <c r="N131" s="4">
        <v>19.268000000000001</v>
      </c>
      <c r="O131" s="4">
        <v>19.268000000000001</v>
      </c>
      <c r="P131" s="4">
        <v>0</v>
      </c>
      <c r="Q131" s="3" t="s">
        <v>26</v>
      </c>
      <c r="R131" s="3">
        <v>0</v>
      </c>
      <c r="S131" s="3" t="s">
        <v>105</v>
      </c>
      <c r="T131" s="3" t="s">
        <v>355</v>
      </c>
      <c r="U131" s="3">
        <v>34</v>
      </c>
      <c r="V131" s="3">
        <v>23</v>
      </c>
      <c r="W131" s="3">
        <v>71</v>
      </c>
    </row>
    <row r="132" spans="1:23" ht="11.25" customHeight="1" x14ac:dyDescent="0.25">
      <c r="A132" s="3" t="s">
        <v>21</v>
      </c>
      <c r="B132" s="3" t="s">
        <v>39</v>
      </c>
      <c r="C132" s="3" t="s">
        <v>40</v>
      </c>
      <c r="D132" s="3" t="s">
        <v>45</v>
      </c>
      <c r="E132" s="3" t="s">
        <v>25</v>
      </c>
      <c r="F132" s="3" t="s">
        <v>25</v>
      </c>
      <c r="G132" s="3" t="s">
        <v>25</v>
      </c>
      <c r="H132" s="3" t="s">
        <v>34</v>
      </c>
      <c r="I132" s="6">
        <v>44562</v>
      </c>
      <c r="J132" s="4">
        <v>3158</v>
      </c>
      <c r="K132" s="4">
        <v>3158</v>
      </c>
      <c r="L132" s="4">
        <v>74.051000000000002</v>
      </c>
      <c r="M132" s="4">
        <v>74.051000000000002</v>
      </c>
      <c r="N132" s="4">
        <v>74.051000000000002</v>
      </c>
      <c r="O132" s="4">
        <v>74.051000000000002</v>
      </c>
      <c r="P132" s="4">
        <v>0</v>
      </c>
      <c r="Q132" s="3" t="s">
        <v>26</v>
      </c>
      <c r="R132" s="3">
        <v>0</v>
      </c>
      <c r="S132" s="3" t="s">
        <v>106</v>
      </c>
      <c r="T132" s="3" t="s">
        <v>356</v>
      </c>
      <c r="U132" s="3">
        <v>34</v>
      </c>
      <c r="V132" s="3">
        <v>23</v>
      </c>
      <c r="W132" s="3">
        <v>71</v>
      </c>
    </row>
    <row r="133" spans="1:23" ht="11.25" customHeight="1" x14ac:dyDescent="0.25">
      <c r="A133" s="3" t="s">
        <v>28</v>
      </c>
      <c r="B133" s="3" t="s">
        <v>39</v>
      </c>
      <c r="C133" s="3" t="s">
        <v>40</v>
      </c>
      <c r="D133" s="3" t="s">
        <v>45</v>
      </c>
      <c r="E133" s="3" t="s">
        <v>25</v>
      </c>
      <c r="F133" s="3" t="s">
        <v>25</v>
      </c>
      <c r="G133" s="3" t="s">
        <v>25</v>
      </c>
      <c r="H133" s="3" t="s">
        <v>34</v>
      </c>
      <c r="I133" s="6">
        <v>44562</v>
      </c>
      <c r="J133" s="4">
        <v>433</v>
      </c>
      <c r="K133" s="4">
        <v>433</v>
      </c>
      <c r="L133" s="4">
        <v>18.643000000000001</v>
      </c>
      <c r="M133" s="4">
        <v>18.643000000000001</v>
      </c>
      <c r="N133" s="4">
        <v>18.643000000000001</v>
      </c>
      <c r="O133" s="4">
        <v>18.643000000000001</v>
      </c>
      <c r="P133" s="4">
        <v>0</v>
      </c>
      <c r="Q133" s="3" t="s">
        <v>26</v>
      </c>
      <c r="R133" s="3">
        <v>0</v>
      </c>
      <c r="S133" s="3" t="s">
        <v>106</v>
      </c>
      <c r="T133" s="3" t="s">
        <v>356</v>
      </c>
      <c r="U133" s="3">
        <v>34</v>
      </c>
      <c r="V133" s="3">
        <v>23</v>
      </c>
      <c r="W133" s="3">
        <v>71</v>
      </c>
    </row>
    <row r="134" spans="1:23" ht="11.25" customHeight="1" x14ac:dyDescent="0.25">
      <c r="A134" s="3" t="s">
        <v>21</v>
      </c>
      <c r="B134" s="3" t="s">
        <v>39</v>
      </c>
      <c r="C134" s="3" t="s">
        <v>40</v>
      </c>
      <c r="D134" s="3" t="s">
        <v>45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44593</v>
      </c>
      <c r="J134" s="4">
        <v>3157</v>
      </c>
      <c r="K134" s="4">
        <v>3157</v>
      </c>
      <c r="L134" s="4">
        <v>77.923000000000002</v>
      </c>
      <c r="M134" s="4">
        <v>77.923000000000002</v>
      </c>
      <c r="N134" s="4">
        <v>77.923000000000002</v>
      </c>
      <c r="O134" s="4">
        <v>77.923000000000002</v>
      </c>
      <c r="P134" s="4">
        <v>0</v>
      </c>
      <c r="Q134" s="3" t="s">
        <v>26</v>
      </c>
      <c r="R134" s="3">
        <v>0</v>
      </c>
      <c r="S134" s="3" t="s">
        <v>107</v>
      </c>
      <c r="T134" s="3" t="s">
        <v>357</v>
      </c>
      <c r="U134" s="3">
        <v>34</v>
      </c>
      <c r="V134" s="3">
        <v>23</v>
      </c>
      <c r="W134" s="3">
        <v>71</v>
      </c>
    </row>
    <row r="135" spans="1:23" ht="11.25" customHeight="1" x14ac:dyDescent="0.25">
      <c r="A135" s="3" t="s">
        <v>28</v>
      </c>
      <c r="B135" s="3" t="s">
        <v>39</v>
      </c>
      <c r="C135" s="3" t="s">
        <v>40</v>
      </c>
      <c r="D135" s="3" t="s">
        <v>45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44593</v>
      </c>
      <c r="J135" s="4">
        <v>439</v>
      </c>
      <c r="K135" s="4">
        <v>439</v>
      </c>
      <c r="L135" s="4">
        <v>17.885999999999999</v>
      </c>
      <c r="M135" s="4">
        <v>17.885999999999999</v>
      </c>
      <c r="N135" s="4">
        <v>17.885999999999999</v>
      </c>
      <c r="O135" s="4">
        <v>17.885999999999999</v>
      </c>
      <c r="P135" s="4">
        <v>0</v>
      </c>
      <c r="Q135" s="3" t="s">
        <v>26</v>
      </c>
      <c r="R135" s="3">
        <v>0</v>
      </c>
      <c r="S135" s="3" t="s">
        <v>107</v>
      </c>
      <c r="T135" s="3" t="s">
        <v>357</v>
      </c>
      <c r="U135" s="3">
        <v>34</v>
      </c>
      <c r="V135" s="3">
        <v>23</v>
      </c>
      <c r="W135" s="3">
        <v>71</v>
      </c>
    </row>
    <row r="136" spans="1:23" ht="11.25" customHeight="1" x14ac:dyDescent="0.25">
      <c r="A136" s="3" t="s">
        <v>21</v>
      </c>
      <c r="B136" s="3" t="s">
        <v>39</v>
      </c>
      <c r="C136" s="3" t="s">
        <v>40</v>
      </c>
      <c r="D136" s="3" t="s">
        <v>45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44621</v>
      </c>
      <c r="J136" s="4">
        <v>3156</v>
      </c>
      <c r="K136" s="4">
        <v>3156</v>
      </c>
      <c r="L136" s="4">
        <v>85.768000000000001</v>
      </c>
      <c r="M136" s="4">
        <v>85.768000000000001</v>
      </c>
      <c r="N136" s="4">
        <v>85.768000000000001</v>
      </c>
      <c r="O136" s="4">
        <v>85.768000000000001</v>
      </c>
      <c r="P136" s="4">
        <v>0</v>
      </c>
      <c r="Q136" s="3" t="s">
        <v>26</v>
      </c>
      <c r="R136" s="3">
        <v>0</v>
      </c>
      <c r="S136" s="3" t="s">
        <v>108</v>
      </c>
      <c r="T136" s="3" t="s">
        <v>358</v>
      </c>
      <c r="U136" s="3">
        <v>34</v>
      </c>
      <c r="V136" s="3">
        <v>23</v>
      </c>
      <c r="W136" s="3">
        <v>71</v>
      </c>
    </row>
    <row r="137" spans="1:23" ht="11.25" customHeight="1" x14ac:dyDescent="0.25">
      <c r="A137" s="3" t="s">
        <v>28</v>
      </c>
      <c r="B137" s="3" t="s">
        <v>39</v>
      </c>
      <c r="C137" s="3" t="s">
        <v>40</v>
      </c>
      <c r="D137" s="3" t="s">
        <v>45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44621</v>
      </c>
      <c r="J137" s="4">
        <v>425</v>
      </c>
      <c r="K137" s="4">
        <v>425</v>
      </c>
      <c r="L137" s="4">
        <v>18.375</v>
      </c>
      <c r="M137" s="4">
        <v>18.375</v>
      </c>
      <c r="N137" s="4">
        <v>18.375</v>
      </c>
      <c r="O137" s="4">
        <v>18.375</v>
      </c>
      <c r="P137" s="4">
        <v>0</v>
      </c>
      <c r="Q137" s="3" t="s">
        <v>26</v>
      </c>
      <c r="R137" s="3">
        <v>0</v>
      </c>
      <c r="S137" s="3" t="s">
        <v>108</v>
      </c>
      <c r="T137" s="3" t="s">
        <v>358</v>
      </c>
      <c r="U137" s="3">
        <v>34</v>
      </c>
      <c r="V137" s="3">
        <v>23</v>
      </c>
      <c r="W137" s="3">
        <v>71</v>
      </c>
    </row>
    <row r="138" spans="1:23" ht="11.25" customHeight="1" x14ac:dyDescent="0.25">
      <c r="A138" s="3" t="s">
        <v>21</v>
      </c>
      <c r="B138" s="3" t="s">
        <v>39</v>
      </c>
      <c r="C138" s="3" t="s">
        <v>40</v>
      </c>
      <c r="D138" s="3" t="s">
        <v>45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44652</v>
      </c>
      <c r="J138" s="4">
        <v>3156</v>
      </c>
      <c r="K138" s="4">
        <v>3156</v>
      </c>
      <c r="L138" s="4">
        <v>85.768000000000001</v>
      </c>
      <c r="M138" s="4">
        <v>85.768000000000001</v>
      </c>
      <c r="N138" s="4">
        <v>85.768000000000001</v>
      </c>
      <c r="O138" s="4">
        <v>85.768000000000001</v>
      </c>
      <c r="P138" s="4">
        <v>0</v>
      </c>
      <c r="Q138" s="3" t="s">
        <v>26</v>
      </c>
      <c r="R138" s="3">
        <v>0</v>
      </c>
      <c r="S138" s="3" t="s">
        <v>109</v>
      </c>
      <c r="T138" s="3" t="s">
        <v>359</v>
      </c>
      <c r="U138" s="3">
        <v>34</v>
      </c>
      <c r="V138" s="3">
        <v>23</v>
      </c>
      <c r="W138" s="3">
        <v>71</v>
      </c>
    </row>
    <row r="139" spans="1:23" ht="11.25" customHeight="1" x14ac:dyDescent="0.25">
      <c r="A139" s="3" t="s">
        <v>28</v>
      </c>
      <c r="B139" s="3" t="s">
        <v>39</v>
      </c>
      <c r="C139" s="3" t="s">
        <v>40</v>
      </c>
      <c r="D139" s="3" t="s">
        <v>45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44652</v>
      </c>
      <c r="J139" s="4">
        <v>425</v>
      </c>
      <c r="K139" s="4">
        <v>425</v>
      </c>
      <c r="L139" s="4">
        <v>18.375</v>
      </c>
      <c r="M139" s="4">
        <v>18.375</v>
      </c>
      <c r="N139" s="4">
        <v>18.375</v>
      </c>
      <c r="O139" s="4">
        <v>18.375</v>
      </c>
      <c r="P139" s="4">
        <v>0</v>
      </c>
      <c r="Q139" s="3" t="s">
        <v>26</v>
      </c>
      <c r="R139" s="3">
        <v>0</v>
      </c>
      <c r="S139" s="3" t="s">
        <v>109</v>
      </c>
      <c r="T139" s="3" t="s">
        <v>359</v>
      </c>
      <c r="U139" s="3">
        <v>34</v>
      </c>
      <c r="V139" s="3">
        <v>23</v>
      </c>
      <c r="W139" s="3">
        <v>71</v>
      </c>
    </row>
    <row r="140" spans="1:23" ht="11.25" customHeight="1" x14ac:dyDescent="0.25">
      <c r="A140" s="3" t="s">
        <v>21</v>
      </c>
      <c r="B140" s="3" t="s">
        <v>39</v>
      </c>
      <c r="C140" s="3" t="s">
        <v>40</v>
      </c>
      <c r="D140" s="3" t="s">
        <v>45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44682</v>
      </c>
      <c r="J140" s="4">
        <v>3089</v>
      </c>
      <c r="K140" s="4">
        <v>3089</v>
      </c>
      <c r="L140" s="4">
        <v>73.552000000000007</v>
      </c>
      <c r="M140" s="4">
        <v>73.552000000000007</v>
      </c>
      <c r="N140" s="4">
        <v>73.552000000000007</v>
      </c>
      <c r="O140" s="4">
        <v>73.552000000000007</v>
      </c>
      <c r="P140" s="4">
        <v>0</v>
      </c>
      <c r="Q140" s="3" t="s">
        <v>26</v>
      </c>
      <c r="R140" s="3">
        <v>0</v>
      </c>
      <c r="S140" s="3" t="s">
        <v>110</v>
      </c>
      <c r="T140" s="3" t="s">
        <v>360</v>
      </c>
      <c r="U140" s="3">
        <v>34</v>
      </c>
      <c r="V140" s="3">
        <v>23</v>
      </c>
      <c r="W140" s="3">
        <v>71</v>
      </c>
    </row>
    <row r="141" spans="1:23" ht="11.25" customHeight="1" x14ac:dyDescent="0.25">
      <c r="A141" s="3" t="s">
        <v>28</v>
      </c>
      <c r="B141" s="3" t="s">
        <v>39</v>
      </c>
      <c r="C141" s="3" t="s">
        <v>40</v>
      </c>
      <c r="D141" s="3" t="s">
        <v>45</v>
      </c>
      <c r="E141" s="3" t="s">
        <v>25</v>
      </c>
      <c r="F141" s="3" t="s">
        <v>25</v>
      </c>
      <c r="G141" s="3" t="s">
        <v>25</v>
      </c>
      <c r="H141" s="3" t="s">
        <v>34</v>
      </c>
      <c r="I141" s="6">
        <v>44682</v>
      </c>
      <c r="J141" s="4">
        <v>208</v>
      </c>
      <c r="K141" s="4">
        <v>208</v>
      </c>
      <c r="L141" s="4">
        <v>6.7119999999999997</v>
      </c>
      <c r="M141" s="4">
        <v>6.7119999999999997</v>
      </c>
      <c r="N141" s="4">
        <v>6.7119999999999997</v>
      </c>
      <c r="O141" s="4">
        <v>6.7119999999999997</v>
      </c>
      <c r="P141" s="4">
        <v>0</v>
      </c>
      <c r="Q141" s="3" t="s">
        <v>26</v>
      </c>
      <c r="R141" s="3">
        <v>0</v>
      </c>
      <c r="S141" s="3" t="s">
        <v>110</v>
      </c>
      <c r="T141" s="3" t="s">
        <v>360</v>
      </c>
      <c r="U141" s="3">
        <v>34</v>
      </c>
      <c r="V141" s="3">
        <v>23</v>
      </c>
      <c r="W141" s="3">
        <v>71</v>
      </c>
    </row>
    <row r="142" spans="1:23" ht="11.25" customHeight="1" x14ac:dyDescent="0.25">
      <c r="A142" s="3" t="s">
        <v>21</v>
      </c>
      <c r="B142" s="3" t="s">
        <v>39</v>
      </c>
      <c r="C142" s="3" t="s">
        <v>40</v>
      </c>
      <c r="D142" s="3" t="s">
        <v>45</v>
      </c>
      <c r="E142" s="3" t="s">
        <v>25</v>
      </c>
      <c r="F142" s="3" t="s">
        <v>25</v>
      </c>
      <c r="G142" s="3" t="s">
        <v>25</v>
      </c>
      <c r="H142" s="3" t="s">
        <v>34</v>
      </c>
      <c r="I142" s="6">
        <v>44713</v>
      </c>
      <c r="J142" s="4">
        <v>3076</v>
      </c>
      <c r="K142" s="4">
        <v>3076</v>
      </c>
      <c r="L142" s="4">
        <v>70.945999999999998</v>
      </c>
      <c r="M142" s="4">
        <v>70.945999999999998</v>
      </c>
      <c r="N142" s="4">
        <v>70.945999999999998</v>
      </c>
      <c r="O142" s="4">
        <v>70.945999999999998</v>
      </c>
      <c r="P142" s="4">
        <v>0</v>
      </c>
      <c r="Q142" s="3" t="s">
        <v>26</v>
      </c>
      <c r="R142" s="3">
        <v>0</v>
      </c>
      <c r="S142" s="3" t="s">
        <v>111</v>
      </c>
      <c r="T142" s="3" t="s">
        <v>361</v>
      </c>
      <c r="U142" s="3">
        <v>34</v>
      </c>
      <c r="V142" s="3">
        <v>23</v>
      </c>
      <c r="W142" s="3">
        <v>71</v>
      </c>
    </row>
    <row r="143" spans="1:23" ht="11.25" customHeight="1" x14ac:dyDescent="0.25">
      <c r="A143" s="3" t="s">
        <v>28</v>
      </c>
      <c r="B143" s="3" t="s">
        <v>39</v>
      </c>
      <c r="C143" s="3" t="s">
        <v>40</v>
      </c>
      <c r="D143" s="3" t="s">
        <v>45</v>
      </c>
      <c r="E143" s="3" t="s">
        <v>25</v>
      </c>
      <c r="F143" s="3" t="s">
        <v>25</v>
      </c>
      <c r="G143" s="3" t="s">
        <v>25</v>
      </c>
      <c r="H143" s="3" t="s">
        <v>34</v>
      </c>
      <c r="I143" s="6">
        <v>44713</v>
      </c>
      <c r="J143" s="4">
        <v>53</v>
      </c>
      <c r="K143" s="4">
        <v>53</v>
      </c>
      <c r="L143" s="4">
        <v>1.643</v>
      </c>
      <c r="M143" s="4">
        <v>1.643</v>
      </c>
      <c r="N143" s="4">
        <v>1.643</v>
      </c>
      <c r="O143" s="4">
        <v>1.643</v>
      </c>
      <c r="P143" s="4">
        <v>0</v>
      </c>
      <c r="Q143" s="3" t="s">
        <v>26</v>
      </c>
      <c r="R143" s="3">
        <v>0</v>
      </c>
      <c r="S143" s="3" t="s">
        <v>111</v>
      </c>
      <c r="T143" s="3" t="s">
        <v>361</v>
      </c>
      <c r="U143" s="3">
        <v>34</v>
      </c>
      <c r="V143" s="3">
        <v>23</v>
      </c>
      <c r="W143" s="3">
        <v>71</v>
      </c>
    </row>
    <row r="144" spans="1:23" ht="11.25" customHeight="1" x14ac:dyDescent="0.25">
      <c r="A144" s="3" t="s">
        <v>21</v>
      </c>
      <c r="B144" s="3" t="s">
        <v>39</v>
      </c>
      <c r="C144" s="3" t="s">
        <v>40</v>
      </c>
      <c r="D144" s="3" t="s">
        <v>45</v>
      </c>
      <c r="E144" s="3" t="s">
        <v>25</v>
      </c>
      <c r="F144" s="3" t="s">
        <v>25</v>
      </c>
      <c r="G144" s="3" t="s">
        <v>25</v>
      </c>
      <c r="H144" s="3" t="s">
        <v>34</v>
      </c>
      <c r="I144" s="6">
        <v>44743</v>
      </c>
      <c r="J144" s="4">
        <v>3100</v>
      </c>
      <c r="K144" s="4">
        <v>3100</v>
      </c>
      <c r="L144" s="4">
        <v>78.704999999999998</v>
      </c>
      <c r="M144" s="4">
        <v>78.704999999999998</v>
      </c>
      <c r="N144" s="4">
        <v>78.704999999999998</v>
      </c>
      <c r="O144" s="4">
        <v>78.704999999999998</v>
      </c>
      <c r="P144" s="4">
        <v>0</v>
      </c>
      <c r="Q144" s="3" t="s">
        <v>26</v>
      </c>
      <c r="R144" s="3">
        <v>0</v>
      </c>
      <c r="S144" s="3" t="s">
        <v>112</v>
      </c>
      <c r="T144" s="3" t="s">
        <v>362</v>
      </c>
      <c r="U144" s="3">
        <v>34</v>
      </c>
      <c r="V144" s="3">
        <v>23</v>
      </c>
      <c r="W144" s="3">
        <v>71</v>
      </c>
    </row>
    <row r="145" spans="1:23" ht="11.25" customHeight="1" x14ac:dyDescent="0.25">
      <c r="A145" s="3" t="s">
        <v>28</v>
      </c>
      <c r="B145" s="3" t="s">
        <v>39</v>
      </c>
      <c r="C145" s="3" t="s">
        <v>40</v>
      </c>
      <c r="D145" s="3" t="s">
        <v>45</v>
      </c>
      <c r="E145" s="3" t="s">
        <v>25</v>
      </c>
      <c r="F145" s="3" t="s">
        <v>25</v>
      </c>
      <c r="G145" s="3" t="s">
        <v>25</v>
      </c>
      <c r="H145" s="3" t="s">
        <v>34</v>
      </c>
      <c r="I145" s="6">
        <v>44743</v>
      </c>
      <c r="J145" s="4">
        <v>53</v>
      </c>
      <c r="K145" s="4">
        <v>53</v>
      </c>
      <c r="L145" s="4">
        <v>1.6970000000000001</v>
      </c>
      <c r="M145" s="4">
        <v>1.6970000000000001</v>
      </c>
      <c r="N145" s="4">
        <v>1.6970000000000001</v>
      </c>
      <c r="O145" s="4">
        <v>1.6970000000000001</v>
      </c>
      <c r="P145" s="4">
        <v>0</v>
      </c>
      <c r="Q145" s="3" t="s">
        <v>26</v>
      </c>
      <c r="R145" s="3">
        <v>0</v>
      </c>
      <c r="S145" s="3" t="s">
        <v>112</v>
      </c>
      <c r="T145" s="3" t="s">
        <v>362</v>
      </c>
      <c r="U145" s="3">
        <v>34</v>
      </c>
      <c r="V145" s="3">
        <v>23</v>
      </c>
      <c r="W145" s="3">
        <v>71</v>
      </c>
    </row>
    <row r="146" spans="1:23" ht="11.25" customHeight="1" x14ac:dyDescent="0.25">
      <c r="A146" s="3" t="s">
        <v>21</v>
      </c>
      <c r="B146" s="3" t="s">
        <v>39</v>
      </c>
      <c r="C146" s="3" t="s">
        <v>40</v>
      </c>
      <c r="D146" s="3" t="s">
        <v>45</v>
      </c>
      <c r="E146" s="3" t="s">
        <v>25</v>
      </c>
      <c r="F146" s="3" t="s">
        <v>25</v>
      </c>
      <c r="G146" s="3" t="s">
        <v>25</v>
      </c>
      <c r="H146" s="3" t="s">
        <v>34</v>
      </c>
      <c r="I146" s="6">
        <v>44774</v>
      </c>
      <c r="J146" s="4">
        <v>3120</v>
      </c>
      <c r="K146" s="4">
        <v>3120</v>
      </c>
      <c r="L146" s="4">
        <v>93.415000000000006</v>
      </c>
      <c r="M146" s="4">
        <v>93.415000000000006</v>
      </c>
      <c r="N146" s="4">
        <v>93.415000000000006</v>
      </c>
      <c r="O146" s="4">
        <v>93.415000000000006</v>
      </c>
      <c r="P146" s="4">
        <v>0</v>
      </c>
      <c r="Q146" s="3" t="s">
        <v>26</v>
      </c>
      <c r="R146" s="3">
        <v>0</v>
      </c>
      <c r="S146" s="3" t="s">
        <v>113</v>
      </c>
      <c r="T146" s="3" t="s">
        <v>363</v>
      </c>
      <c r="U146" s="3">
        <v>34</v>
      </c>
      <c r="V146" s="3">
        <v>23</v>
      </c>
      <c r="W146" s="3">
        <v>71</v>
      </c>
    </row>
    <row r="147" spans="1:23" ht="11.25" customHeight="1" x14ac:dyDescent="0.25">
      <c r="A147" s="3" t="s">
        <v>28</v>
      </c>
      <c r="B147" s="3" t="s">
        <v>39</v>
      </c>
      <c r="C147" s="3" t="s">
        <v>40</v>
      </c>
      <c r="D147" s="3" t="s">
        <v>45</v>
      </c>
      <c r="E147" s="3" t="s">
        <v>25</v>
      </c>
      <c r="F147" s="3" t="s">
        <v>25</v>
      </c>
      <c r="G147" s="3" t="s">
        <v>25</v>
      </c>
      <c r="H147" s="3" t="s">
        <v>34</v>
      </c>
      <c r="I147" s="6">
        <v>44774</v>
      </c>
      <c r="J147" s="4">
        <v>54</v>
      </c>
      <c r="K147" s="4">
        <v>54</v>
      </c>
      <c r="L147" s="4">
        <v>1.8480000000000001</v>
      </c>
      <c r="M147" s="4">
        <v>1.8480000000000001</v>
      </c>
      <c r="N147" s="4">
        <v>1.8480000000000001</v>
      </c>
      <c r="O147" s="4">
        <v>1.8480000000000001</v>
      </c>
      <c r="P147" s="4">
        <v>0</v>
      </c>
      <c r="Q147" s="3" t="s">
        <v>26</v>
      </c>
      <c r="R147" s="3">
        <v>0</v>
      </c>
      <c r="S147" s="3" t="s">
        <v>113</v>
      </c>
      <c r="T147" s="3" t="s">
        <v>363</v>
      </c>
      <c r="U147" s="3">
        <v>34</v>
      </c>
      <c r="V147" s="3">
        <v>23</v>
      </c>
      <c r="W147" s="3">
        <v>71</v>
      </c>
    </row>
    <row r="148" spans="1:23" ht="11.25" customHeight="1" x14ac:dyDescent="0.25">
      <c r="A148" s="3" t="s">
        <v>21</v>
      </c>
      <c r="B148" s="3" t="s">
        <v>39</v>
      </c>
      <c r="C148" s="3" t="s">
        <v>40</v>
      </c>
      <c r="D148" s="3" t="s">
        <v>45</v>
      </c>
      <c r="E148" s="3" t="s">
        <v>25</v>
      </c>
      <c r="F148" s="3" t="s">
        <v>25</v>
      </c>
      <c r="G148" s="3" t="s">
        <v>25</v>
      </c>
      <c r="H148" s="3" t="s">
        <v>34</v>
      </c>
      <c r="I148" s="6">
        <v>44805</v>
      </c>
      <c r="J148" s="4">
        <v>3192</v>
      </c>
      <c r="K148" s="4">
        <v>3192</v>
      </c>
      <c r="L148" s="4">
        <v>94.150999999999996</v>
      </c>
      <c r="M148" s="4">
        <v>94.150999999999996</v>
      </c>
      <c r="N148" s="4">
        <v>94.150999999999996</v>
      </c>
      <c r="O148" s="4">
        <v>94.150999999999996</v>
      </c>
      <c r="P148" s="4">
        <v>0</v>
      </c>
      <c r="Q148" s="3" t="s">
        <v>26</v>
      </c>
      <c r="R148" s="3">
        <v>0</v>
      </c>
      <c r="S148" s="3" t="s">
        <v>114</v>
      </c>
      <c r="T148" s="3" t="s">
        <v>364</v>
      </c>
      <c r="U148" s="3">
        <v>34</v>
      </c>
      <c r="V148" s="3">
        <v>23</v>
      </c>
      <c r="W148" s="3">
        <v>71</v>
      </c>
    </row>
    <row r="149" spans="1:23" ht="11.25" customHeight="1" x14ac:dyDescent="0.25">
      <c r="A149" s="3" t="s">
        <v>28</v>
      </c>
      <c r="B149" s="3" t="s">
        <v>39</v>
      </c>
      <c r="C149" s="3" t="s">
        <v>40</v>
      </c>
      <c r="D149" s="3" t="s">
        <v>45</v>
      </c>
      <c r="E149" s="3" t="s">
        <v>25</v>
      </c>
      <c r="F149" s="3" t="s">
        <v>25</v>
      </c>
      <c r="G149" s="3" t="s">
        <v>25</v>
      </c>
      <c r="H149" s="3" t="s">
        <v>34</v>
      </c>
      <c r="I149" s="6">
        <v>44805</v>
      </c>
      <c r="J149" s="4">
        <v>52</v>
      </c>
      <c r="K149" s="4">
        <v>52</v>
      </c>
      <c r="L149" s="4">
        <v>1.6319999999999999</v>
      </c>
      <c r="M149" s="4">
        <v>1.6319999999999999</v>
      </c>
      <c r="N149" s="4">
        <v>1.6319999999999999</v>
      </c>
      <c r="O149" s="4">
        <v>1.6319999999999999</v>
      </c>
      <c r="P149" s="4">
        <v>0</v>
      </c>
      <c r="Q149" s="3" t="s">
        <v>26</v>
      </c>
      <c r="R149" s="3">
        <v>0</v>
      </c>
      <c r="S149" s="3" t="s">
        <v>114</v>
      </c>
      <c r="T149" s="3" t="s">
        <v>364</v>
      </c>
      <c r="U149" s="3">
        <v>34</v>
      </c>
      <c r="V149" s="3">
        <v>23</v>
      </c>
      <c r="W149" s="3">
        <v>71</v>
      </c>
    </row>
    <row r="150" spans="1:23" ht="11.25" customHeight="1" x14ac:dyDescent="0.25">
      <c r="A150" s="3" t="s">
        <v>55</v>
      </c>
      <c r="B150" s="3" t="s">
        <v>39</v>
      </c>
      <c r="C150" s="3" t="s">
        <v>40</v>
      </c>
      <c r="D150" s="3" t="s">
        <v>45</v>
      </c>
      <c r="E150" s="3" t="s">
        <v>25</v>
      </c>
      <c r="F150" s="3" t="s">
        <v>25</v>
      </c>
      <c r="G150" s="3" t="s">
        <v>25</v>
      </c>
      <c r="H150" s="3" t="s">
        <v>34</v>
      </c>
      <c r="I150" s="6">
        <v>44835</v>
      </c>
      <c r="J150" s="4">
        <v>3192</v>
      </c>
      <c r="K150" s="4">
        <v>3192</v>
      </c>
      <c r="L150" s="4">
        <v>94.150999999999996</v>
      </c>
      <c r="M150" s="4">
        <v>94.150999999999996</v>
      </c>
      <c r="N150" s="4">
        <v>94.150999999999996</v>
      </c>
      <c r="O150" s="4">
        <v>94.150999999999996</v>
      </c>
      <c r="P150" s="4">
        <v>0</v>
      </c>
      <c r="Q150" s="3" t="s">
        <v>26</v>
      </c>
      <c r="R150" s="3">
        <v>0</v>
      </c>
      <c r="S150" s="3" t="s">
        <v>115</v>
      </c>
      <c r="T150" s="3" t="s">
        <v>365</v>
      </c>
      <c r="U150" s="3">
        <v>34</v>
      </c>
      <c r="V150" s="3">
        <v>23</v>
      </c>
      <c r="W150" s="3">
        <v>71</v>
      </c>
    </row>
    <row r="151" spans="1:23" ht="11.25" customHeight="1" x14ac:dyDescent="0.25">
      <c r="A151" s="3" t="s">
        <v>55</v>
      </c>
      <c r="B151" s="3" t="s">
        <v>39</v>
      </c>
      <c r="C151" s="3" t="s">
        <v>40</v>
      </c>
      <c r="D151" s="3" t="s">
        <v>45</v>
      </c>
      <c r="E151" s="3" t="s">
        <v>25</v>
      </c>
      <c r="F151" s="3" t="s">
        <v>25</v>
      </c>
      <c r="G151" s="3" t="s">
        <v>25</v>
      </c>
      <c r="H151" s="3" t="s">
        <v>34</v>
      </c>
      <c r="I151" s="6">
        <v>44835</v>
      </c>
      <c r="J151" s="4">
        <v>52</v>
      </c>
      <c r="K151" s="4">
        <v>52</v>
      </c>
      <c r="L151" s="4">
        <v>1.6319999999999999</v>
      </c>
      <c r="M151" s="4">
        <v>1.6319999999999999</v>
      </c>
      <c r="N151" s="4">
        <v>1.6319999999999999</v>
      </c>
      <c r="O151" s="4">
        <v>1.6319999999999999</v>
      </c>
      <c r="P151" s="4">
        <v>0</v>
      </c>
      <c r="Q151" s="3" t="s">
        <v>26</v>
      </c>
      <c r="R151" s="3">
        <v>0</v>
      </c>
      <c r="S151" s="3" t="s">
        <v>115</v>
      </c>
      <c r="T151" s="3" t="s">
        <v>365</v>
      </c>
      <c r="U151" s="3">
        <v>34</v>
      </c>
      <c r="V151" s="3">
        <v>23</v>
      </c>
      <c r="W151" s="3">
        <v>71</v>
      </c>
    </row>
    <row r="152" spans="1:23" ht="11.25" customHeight="1" x14ac:dyDescent="0.25">
      <c r="A152" s="3" t="s">
        <v>21</v>
      </c>
      <c r="B152" s="3" t="s">
        <v>39</v>
      </c>
      <c r="C152" s="3" t="s">
        <v>40</v>
      </c>
      <c r="D152" s="3" t="s">
        <v>49</v>
      </c>
      <c r="E152" s="3" t="s">
        <v>50</v>
      </c>
      <c r="F152" s="3" t="s">
        <v>25</v>
      </c>
      <c r="G152" s="3" t="s">
        <v>25</v>
      </c>
      <c r="H152" s="3" t="s">
        <v>35</v>
      </c>
      <c r="I152" s="6">
        <v>44501</v>
      </c>
      <c r="J152" s="4">
        <v>2202</v>
      </c>
      <c r="K152" s="4">
        <v>2069.88</v>
      </c>
      <c r="L152" s="4">
        <v>1090.395</v>
      </c>
      <c r="M152" s="4">
        <v>1024.9712999999999</v>
      </c>
      <c r="N152" s="4">
        <v>1090.395</v>
      </c>
      <c r="O152" s="4">
        <v>1024.9712999999999</v>
      </c>
      <c r="P152" s="4">
        <v>0</v>
      </c>
      <c r="Q152" s="3" t="s">
        <v>26</v>
      </c>
      <c r="R152" s="3">
        <v>0</v>
      </c>
      <c r="S152" s="3" t="s">
        <v>92</v>
      </c>
      <c r="T152" s="3" t="s">
        <v>342</v>
      </c>
      <c r="U152" s="3">
        <v>27</v>
      </c>
      <c r="V152" s="3">
        <v>23</v>
      </c>
      <c r="W152" s="3">
        <v>59</v>
      </c>
    </row>
    <row r="153" spans="1:23" ht="11.25" customHeight="1" x14ac:dyDescent="0.25">
      <c r="A153" s="3" t="s">
        <v>21</v>
      </c>
      <c r="B153" s="3" t="s">
        <v>39</v>
      </c>
      <c r="C153" s="3" t="s">
        <v>40</v>
      </c>
      <c r="D153" s="3" t="s">
        <v>49</v>
      </c>
      <c r="E153" s="3" t="s">
        <v>50</v>
      </c>
      <c r="F153" s="3" t="s">
        <v>25</v>
      </c>
      <c r="G153" s="3" t="s">
        <v>25</v>
      </c>
      <c r="H153" s="3" t="s">
        <v>35</v>
      </c>
      <c r="I153" s="6">
        <v>44531</v>
      </c>
      <c r="J153" s="4">
        <v>2253</v>
      </c>
      <c r="K153" s="4">
        <v>2117.8199999999997</v>
      </c>
      <c r="L153" s="4">
        <v>1100.5360000000001</v>
      </c>
      <c r="M153" s="4">
        <v>1034.5038400000001</v>
      </c>
      <c r="N153" s="4">
        <v>1100.5360000000001</v>
      </c>
      <c r="O153" s="4">
        <v>1034.5038400000001</v>
      </c>
      <c r="P153" s="4">
        <v>0</v>
      </c>
      <c r="Q153" s="3" t="s">
        <v>26</v>
      </c>
      <c r="R153" s="3">
        <v>0</v>
      </c>
      <c r="S153" s="3" t="s">
        <v>93</v>
      </c>
      <c r="T153" s="3" t="s">
        <v>343</v>
      </c>
      <c r="U153" s="3">
        <v>27</v>
      </c>
      <c r="V153" s="3">
        <v>23</v>
      </c>
      <c r="W153" s="3">
        <v>59</v>
      </c>
    </row>
    <row r="154" spans="1:23" ht="11.25" customHeight="1" x14ac:dyDescent="0.25">
      <c r="A154" s="3" t="s">
        <v>21</v>
      </c>
      <c r="B154" s="3" t="s">
        <v>39</v>
      </c>
      <c r="C154" s="3" t="s">
        <v>40</v>
      </c>
      <c r="D154" s="3" t="s">
        <v>49</v>
      </c>
      <c r="E154" s="3" t="s">
        <v>50</v>
      </c>
      <c r="F154" s="3" t="s">
        <v>25</v>
      </c>
      <c r="G154" s="3" t="s">
        <v>25</v>
      </c>
      <c r="H154" s="3" t="s">
        <v>35</v>
      </c>
      <c r="I154" s="6">
        <v>44562</v>
      </c>
      <c r="J154" s="4">
        <v>2175</v>
      </c>
      <c r="K154" s="4">
        <v>2044.4999999999998</v>
      </c>
      <c r="L154" s="4">
        <v>1078.173</v>
      </c>
      <c r="M154" s="4">
        <v>1013.48262</v>
      </c>
      <c r="N154" s="4">
        <v>1078.173</v>
      </c>
      <c r="O154" s="4">
        <v>1013.48262</v>
      </c>
      <c r="P154" s="4">
        <v>0</v>
      </c>
      <c r="Q154" s="3" t="s">
        <v>26</v>
      </c>
      <c r="R154" s="3">
        <v>0</v>
      </c>
      <c r="S154" s="3" t="s">
        <v>94</v>
      </c>
      <c r="T154" s="3" t="s">
        <v>344</v>
      </c>
      <c r="U154" s="3">
        <v>27</v>
      </c>
      <c r="V154" s="3">
        <v>23</v>
      </c>
      <c r="W154" s="3">
        <v>59</v>
      </c>
    </row>
    <row r="155" spans="1:23" ht="11.25" customHeight="1" x14ac:dyDescent="0.25">
      <c r="A155" s="3" t="s">
        <v>21</v>
      </c>
      <c r="B155" s="3" t="s">
        <v>39</v>
      </c>
      <c r="C155" s="3" t="s">
        <v>40</v>
      </c>
      <c r="D155" s="3" t="s">
        <v>49</v>
      </c>
      <c r="E155" s="3" t="s">
        <v>50</v>
      </c>
      <c r="F155" s="3" t="s">
        <v>25</v>
      </c>
      <c r="G155" s="3" t="s">
        <v>25</v>
      </c>
      <c r="H155" s="3" t="s">
        <v>35</v>
      </c>
      <c r="I155" s="6">
        <v>44593</v>
      </c>
      <c r="J155" s="4">
        <v>2198</v>
      </c>
      <c r="K155" s="4">
        <v>2066.12</v>
      </c>
      <c r="L155" s="4">
        <v>1021.213</v>
      </c>
      <c r="M155" s="4">
        <v>959.94021999999995</v>
      </c>
      <c r="N155" s="4">
        <v>1021.213</v>
      </c>
      <c r="O155" s="4">
        <v>959.94021999999995</v>
      </c>
      <c r="P155" s="4">
        <v>0</v>
      </c>
      <c r="Q155" s="3" t="s">
        <v>26</v>
      </c>
      <c r="R155" s="3">
        <v>0</v>
      </c>
      <c r="S155" s="3" t="s">
        <v>95</v>
      </c>
      <c r="T155" s="3" t="s">
        <v>345</v>
      </c>
      <c r="U155" s="3">
        <v>27</v>
      </c>
      <c r="V155" s="3">
        <v>23</v>
      </c>
      <c r="W155" s="3">
        <v>59</v>
      </c>
    </row>
    <row r="156" spans="1:23" ht="11.25" customHeight="1" x14ac:dyDescent="0.25">
      <c r="A156" s="3" t="s">
        <v>21</v>
      </c>
      <c r="B156" s="3" t="s">
        <v>39</v>
      </c>
      <c r="C156" s="3" t="s">
        <v>40</v>
      </c>
      <c r="D156" s="3" t="s">
        <v>49</v>
      </c>
      <c r="E156" s="3" t="s">
        <v>50</v>
      </c>
      <c r="F156" s="3" t="s">
        <v>25</v>
      </c>
      <c r="G156" s="3" t="s">
        <v>25</v>
      </c>
      <c r="H156" s="3" t="s">
        <v>35</v>
      </c>
      <c r="I156" s="6">
        <v>44621</v>
      </c>
      <c r="J156" s="4">
        <v>2223</v>
      </c>
      <c r="K156" s="4">
        <v>2089.62</v>
      </c>
      <c r="L156" s="4">
        <v>1125.261</v>
      </c>
      <c r="M156" s="4">
        <v>1057.7453399999999</v>
      </c>
      <c r="N156" s="4">
        <v>1125.261</v>
      </c>
      <c r="O156" s="4">
        <v>1057.7453399999999</v>
      </c>
      <c r="P156" s="4">
        <v>0</v>
      </c>
      <c r="Q156" s="3" t="s">
        <v>26</v>
      </c>
      <c r="R156" s="3">
        <v>0</v>
      </c>
      <c r="S156" s="3" t="s">
        <v>96</v>
      </c>
      <c r="T156" s="3" t="s">
        <v>346</v>
      </c>
      <c r="U156" s="3">
        <v>27</v>
      </c>
      <c r="V156" s="3">
        <v>23</v>
      </c>
      <c r="W156" s="3">
        <v>59</v>
      </c>
    </row>
    <row r="157" spans="1:23" ht="11.25" customHeight="1" x14ac:dyDescent="0.25">
      <c r="A157" s="3" t="s">
        <v>21</v>
      </c>
      <c r="B157" s="3" t="s">
        <v>39</v>
      </c>
      <c r="C157" s="3" t="s">
        <v>40</v>
      </c>
      <c r="D157" s="3" t="s">
        <v>49</v>
      </c>
      <c r="E157" s="3" t="s">
        <v>50</v>
      </c>
      <c r="F157" s="3" t="s">
        <v>25</v>
      </c>
      <c r="G157" s="3" t="s">
        <v>25</v>
      </c>
      <c r="H157" s="3" t="s">
        <v>35</v>
      </c>
      <c r="I157" s="6">
        <v>44652</v>
      </c>
      <c r="J157" s="4">
        <v>2223</v>
      </c>
      <c r="K157" s="4">
        <v>2089.62</v>
      </c>
      <c r="L157" s="4">
        <v>1125.261</v>
      </c>
      <c r="M157" s="4">
        <v>1057.7453399999999</v>
      </c>
      <c r="N157" s="4">
        <v>1125.261</v>
      </c>
      <c r="O157" s="4">
        <v>1057.7453399999999</v>
      </c>
      <c r="P157" s="4">
        <v>0</v>
      </c>
      <c r="Q157" s="3" t="s">
        <v>26</v>
      </c>
      <c r="R157" s="3">
        <v>0</v>
      </c>
      <c r="S157" s="3" t="s">
        <v>97</v>
      </c>
      <c r="T157" s="3" t="s">
        <v>347</v>
      </c>
      <c r="U157" s="3">
        <v>27</v>
      </c>
      <c r="V157" s="3">
        <v>23</v>
      </c>
      <c r="W157" s="3">
        <v>59</v>
      </c>
    </row>
    <row r="158" spans="1:23" ht="11.25" customHeight="1" x14ac:dyDescent="0.25">
      <c r="A158" s="3" t="s">
        <v>21</v>
      </c>
      <c r="B158" s="3" t="s">
        <v>39</v>
      </c>
      <c r="C158" s="3" t="s">
        <v>40</v>
      </c>
      <c r="D158" s="3" t="s">
        <v>49</v>
      </c>
      <c r="E158" s="3" t="s">
        <v>50</v>
      </c>
      <c r="F158" s="3" t="s">
        <v>25</v>
      </c>
      <c r="G158" s="3" t="s">
        <v>25</v>
      </c>
      <c r="H158" s="3" t="s">
        <v>35</v>
      </c>
      <c r="I158" s="6">
        <v>44682</v>
      </c>
      <c r="J158" s="4">
        <v>2164</v>
      </c>
      <c r="K158" s="4">
        <v>2034.1599999999999</v>
      </c>
      <c r="L158" s="4">
        <v>1054.4939999999999</v>
      </c>
      <c r="M158" s="4">
        <v>991.22435999999982</v>
      </c>
      <c r="N158" s="4">
        <v>1054.4939999999999</v>
      </c>
      <c r="O158" s="4">
        <v>991.22435999999982</v>
      </c>
      <c r="P158" s="4">
        <v>0</v>
      </c>
      <c r="Q158" s="3" t="s">
        <v>26</v>
      </c>
      <c r="R158" s="3">
        <v>0</v>
      </c>
      <c r="S158" s="3" t="s">
        <v>98</v>
      </c>
      <c r="T158" s="3" t="s">
        <v>348</v>
      </c>
      <c r="U158" s="3">
        <v>27</v>
      </c>
      <c r="V158" s="3">
        <v>23</v>
      </c>
      <c r="W158" s="3">
        <v>59</v>
      </c>
    </row>
    <row r="159" spans="1:23" ht="11.25" customHeight="1" x14ac:dyDescent="0.25">
      <c r="A159" s="3" t="s">
        <v>21</v>
      </c>
      <c r="B159" s="3" t="s">
        <v>39</v>
      </c>
      <c r="C159" s="3" t="s">
        <v>40</v>
      </c>
      <c r="D159" s="3" t="s">
        <v>49</v>
      </c>
      <c r="E159" s="3" t="s">
        <v>50</v>
      </c>
      <c r="F159" s="3" t="s">
        <v>25</v>
      </c>
      <c r="G159" s="3" t="s">
        <v>25</v>
      </c>
      <c r="H159" s="3" t="s">
        <v>35</v>
      </c>
      <c r="I159" s="6">
        <v>44713</v>
      </c>
      <c r="J159" s="4">
        <v>2162</v>
      </c>
      <c r="K159" s="4">
        <v>2032.28</v>
      </c>
      <c r="L159" s="4">
        <v>1015.821</v>
      </c>
      <c r="M159" s="4">
        <v>954.87173999999993</v>
      </c>
      <c r="N159" s="4">
        <v>1015.821</v>
      </c>
      <c r="O159" s="4">
        <v>954.87173999999993</v>
      </c>
      <c r="P159" s="4">
        <v>0</v>
      </c>
      <c r="Q159" s="3" t="s">
        <v>26</v>
      </c>
      <c r="R159" s="3">
        <v>0</v>
      </c>
      <c r="S159" s="3" t="s">
        <v>99</v>
      </c>
      <c r="T159" s="3" t="s">
        <v>349</v>
      </c>
      <c r="U159" s="3">
        <v>27</v>
      </c>
      <c r="V159" s="3">
        <v>23</v>
      </c>
      <c r="W159" s="3">
        <v>59</v>
      </c>
    </row>
    <row r="160" spans="1:23" ht="11.25" customHeight="1" x14ac:dyDescent="0.25">
      <c r="A160" s="3" t="s">
        <v>21</v>
      </c>
      <c r="B160" s="3" t="s">
        <v>39</v>
      </c>
      <c r="C160" s="3" t="s">
        <v>40</v>
      </c>
      <c r="D160" s="3" t="s">
        <v>49</v>
      </c>
      <c r="E160" s="3" t="s">
        <v>50</v>
      </c>
      <c r="F160" s="3" t="s">
        <v>25</v>
      </c>
      <c r="G160" s="3" t="s">
        <v>25</v>
      </c>
      <c r="H160" s="3" t="s">
        <v>35</v>
      </c>
      <c r="I160" s="6">
        <v>44743</v>
      </c>
      <c r="J160" s="4">
        <v>2199</v>
      </c>
      <c r="K160" s="4">
        <v>2067.06</v>
      </c>
      <c r="L160" s="4">
        <v>998.71199999999999</v>
      </c>
      <c r="M160" s="4">
        <v>938.78927999999996</v>
      </c>
      <c r="N160" s="4">
        <v>998.71199999999999</v>
      </c>
      <c r="O160" s="4">
        <v>938.78927999999996</v>
      </c>
      <c r="P160" s="4">
        <v>0</v>
      </c>
      <c r="Q160" s="3" t="s">
        <v>26</v>
      </c>
      <c r="R160" s="3">
        <v>0</v>
      </c>
      <c r="S160" s="3" t="s">
        <v>100</v>
      </c>
      <c r="T160" s="3" t="s">
        <v>350</v>
      </c>
      <c r="U160" s="3">
        <v>27</v>
      </c>
      <c r="V160" s="3">
        <v>23</v>
      </c>
      <c r="W160" s="3">
        <v>59</v>
      </c>
    </row>
    <row r="161" spans="1:23" ht="11.25" customHeight="1" x14ac:dyDescent="0.25">
      <c r="A161" s="3" t="s">
        <v>21</v>
      </c>
      <c r="B161" s="3" t="s">
        <v>39</v>
      </c>
      <c r="C161" s="3" t="s">
        <v>40</v>
      </c>
      <c r="D161" s="3" t="s">
        <v>49</v>
      </c>
      <c r="E161" s="3" t="s">
        <v>50</v>
      </c>
      <c r="F161" s="3" t="s">
        <v>25</v>
      </c>
      <c r="G161" s="3" t="s">
        <v>25</v>
      </c>
      <c r="H161" s="3" t="s">
        <v>35</v>
      </c>
      <c r="I161" s="6">
        <v>44774</v>
      </c>
      <c r="J161" s="4">
        <v>2176</v>
      </c>
      <c r="K161" s="4">
        <v>2045.4399999999998</v>
      </c>
      <c r="L161" s="4">
        <v>1021.486</v>
      </c>
      <c r="M161" s="4">
        <v>960.19683999999995</v>
      </c>
      <c r="N161" s="4">
        <v>1021.486</v>
      </c>
      <c r="O161" s="4">
        <v>960.19683999999995</v>
      </c>
      <c r="P161" s="4">
        <v>0</v>
      </c>
      <c r="Q161" s="3" t="s">
        <v>26</v>
      </c>
      <c r="R161" s="3">
        <v>0</v>
      </c>
      <c r="S161" s="3" t="s">
        <v>101</v>
      </c>
      <c r="T161" s="3" t="s">
        <v>351</v>
      </c>
      <c r="U161" s="3">
        <v>27</v>
      </c>
      <c r="V161" s="3">
        <v>23</v>
      </c>
      <c r="W161" s="3">
        <v>59</v>
      </c>
    </row>
    <row r="162" spans="1:23" ht="11.25" customHeight="1" x14ac:dyDescent="0.25">
      <c r="A162" s="3" t="s">
        <v>21</v>
      </c>
      <c r="B162" s="3" t="s">
        <v>39</v>
      </c>
      <c r="C162" s="3" t="s">
        <v>40</v>
      </c>
      <c r="D162" s="3" t="s">
        <v>49</v>
      </c>
      <c r="E162" s="3" t="s">
        <v>50</v>
      </c>
      <c r="F162" s="3" t="s">
        <v>25</v>
      </c>
      <c r="G162" s="3" t="s">
        <v>25</v>
      </c>
      <c r="H162" s="3" t="s">
        <v>35</v>
      </c>
      <c r="I162" s="6">
        <v>44805</v>
      </c>
      <c r="J162" s="4">
        <v>2196</v>
      </c>
      <c r="K162" s="4">
        <v>2064.2399999999998</v>
      </c>
      <c r="L162" s="4">
        <v>1073.4110000000001</v>
      </c>
      <c r="M162" s="4">
        <v>1009.00634</v>
      </c>
      <c r="N162" s="4">
        <v>1073.4110000000001</v>
      </c>
      <c r="O162" s="4">
        <v>1009.00634</v>
      </c>
      <c r="P162" s="4">
        <v>0</v>
      </c>
      <c r="Q162" s="3" t="s">
        <v>26</v>
      </c>
      <c r="R162" s="3">
        <v>0</v>
      </c>
      <c r="S162" s="3" t="s">
        <v>102</v>
      </c>
      <c r="T162" s="3" t="s">
        <v>352</v>
      </c>
      <c r="U162" s="3">
        <v>27</v>
      </c>
      <c r="V162" s="3">
        <v>23</v>
      </c>
      <c r="W162" s="3">
        <v>59</v>
      </c>
    </row>
    <row r="163" spans="1:23" ht="11.25" customHeight="1" x14ac:dyDescent="0.25">
      <c r="A163" s="3" t="s">
        <v>55</v>
      </c>
      <c r="B163" s="3" t="s">
        <v>39</v>
      </c>
      <c r="C163" s="3" t="s">
        <v>40</v>
      </c>
      <c r="D163" s="3" t="s">
        <v>49</v>
      </c>
      <c r="E163" s="3" t="s">
        <v>50</v>
      </c>
      <c r="F163" s="3" t="s">
        <v>25</v>
      </c>
      <c r="G163" s="3" t="s">
        <v>25</v>
      </c>
      <c r="H163" s="3" t="s">
        <v>35</v>
      </c>
      <c r="I163" s="6">
        <v>44835</v>
      </c>
      <c r="J163" s="4">
        <v>2196</v>
      </c>
      <c r="K163" s="4">
        <v>2064.2399999999998</v>
      </c>
      <c r="L163" s="4">
        <v>1073.4110000000001</v>
      </c>
      <c r="M163" s="4">
        <v>1009.00634</v>
      </c>
      <c r="N163" s="4">
        <v>1073.4110000000001</v>
      </c>
      <c r="O163" s="4">
        <v>1009.00634</v>
      </c>
      <c r="P163" s="4">
        <v>0</v>
      </c>
      <c r="Q163" s="3" t="s">
        <v>26</v>
      </c>
      <c r="R163" s="3">
        <v>0</v>
      </c>
      <c r="S163" s="3" t="s">
        <v>103</v>
      </c>
      <c r="T163" s="3" t="s">
        <v>353</v>
      </c>
      <c r="U163" s="3">
        <v>27</v>
      </c>
      <c r="V163" s="3">
        <v>23</v>
      </c>
      <c r="W163" s="3">
        <v>59</v>
      </c>
    </row>
    <row r="164" spans="1:23" ht="11.25" customHeight="1" x14ac:dyDescent="0.25">
      <c r="A164" s="3" t="s">
        <v>21</v>
      </c>
      <c r="B164" s="3" t="s">
        <v>39</v>
      </c>
      <c r="C164" s="3" t="s">
        <v>40</v>
      </c>
      <c r="D164" s="3" t="s">
        <v>49</v>
      </c>
      <c r="E164" s="3" t="s">
        <v>50</v>
      </c>
      <c r="F164" s="3" t="s">
        <v>25</v>
      </c>
      <c r="G164" s="3" t="s">
        <v>25</v>
      </c>
      <c r="H164" s="3" t="s">
        <v>34</v>
      </c>
      <c r="I164" s="6">
        <v>44501</v>
      </c>
      <c r="J164" s="4">
        <v>2125</v>
      </c>
      <c r="K164" s="4">
        <v>1997.5</v>
      </c>
      <c r="L164" s="4">
        <v>102.19199999999999</v>
      </c>
      <c r="M164" s="4">
        <v>96.060479999999984</v>
      </c>
      <c r="N164" s="4">
        <v>102.19199999999999</v>
      </c>
      <c r="O164" s="4">
        <v>96.060479999999984</v>
      </c>
      <c r="P164" s="4">
        <v>0</v>
      </c>
      <c r="Q164" s="3" t="s">
        <v>26</v>
      </c>
      <c r="R164" s="3">
        <v>0</v>
      </c>
      <c r="S164" s="3" t="s">
        <v>104</v>
      </c>
      <c r="T164" s="3" t="s">
        <v>354</v>
      </c>
      <c r="U164" s="3">
        <v>34</v>
      </c>
      <c r="V164" s="3">
        <v>23</v>
      </c>
      <c r="W164" s="3">
        <v>71</v>
      </c>
    </row>
    <row r="165" spans="1:23" ht="11.25" customHeight="1" x14ac:dyDescent="0.25">
      <c r="A165" s="3" t="s">
        <v>21</v>
      </c>
      <c r="B165" s="3" t="s">
        <v>39</v>
      </c>
      <c r="C165" s="3" t="s">
        <v>40</v>
      </c>
      <c r="D165" s="3" t="s">
        <v>49</v>
      </c>
      <c r="E165" s="3" t="s">
        <v>50</v>
      </c>
      <c r="F165" s="3" t="s">
        <v>25</v>
      </c>
      <c r="G165" s="3" t="s">
        <v>25</v>
      </c>
      <c r="H165" s="3" t="s">
        <v>34</v>
      </c>
      <c r="I165" s="6">
        <v>44531</v>
      </c>
      <c r="J165" s="4">
        <v>2097</v>
      </c>
      <c r="K165" s="4">
        <v>1971.1799999999998</v>
      </c>
      <c r="L165" s="4">
        <v>114.267</v>
      </c>
      <c r="M165" s="4">
        <v>107.41098</v>
      </c>
      <c r="N165" s="4">
        <v>114.267</v>
      </c>
      <c r="O165" s="4">
        <v>107.41098</v>
      </c>
      <c r="P165" s="4">
        <v>0</v>
      </c>
      <c r="Q165" s="3" t="s">
        <v>26</v>
      </c>
      <c r="R165" s="3">
        <v>0</v>
      </c>
      <c r="S165" s="3" t="s">
        <v>105</v>
      </c>
      <c r="T165" s="3" t="s">
        <v>355</v>
      </c>
      <c r="U165" s="3">
        <v>34</v>
      </c>
      <c r="V165" s="3">
        <v>23</v>
      </c>
      <c r="W165" s="3">
        <v>71</v>
      </c>
    </row>
    <row r="166" spans="1:23" ht="11.25" customHeight="1" x14ac:dyDescent="0.25">
      <c r="A166" s="3" t="s">
        <v>21</v>
      </c>
      <c r="B166" s="3" t="s">
        <v>39</v>
      </c>
      <c r="C166" s="3" t="s">
        <v>40</v>
      </c>
      <c r="D166" s="3" t="s">
        <v>49</v>
      </c>
      <c r="E166" s="3" t="s">
        <v>50</v>
      </c>
      <c r="F166" s="3" t="s">
        <v>25</v>
      </c>
      <c r="G166" s="3" t="s">
        <v>25</v>
      </c>
      <c r="H166" s="3" t="s">
        <v>34</v>
      </c>
      <c r="I166" s="6">
        <v>44562</v>
      </c>
      <c r="J166" s="4">
        <v>2096</v>
      </c>
      <c r="K166" s="4">
        <v>1970.2399999999998</v>
      </c>
      <c r="L166" s="4">
        <v>105.336</v>
      </c>
      <c r="M166" s="4">
        <v>99.015839999999997</v>
      </c>
      <c r="N166" s="4">
        <v>105.336</v>
      </c>
      <c r="O166" s="4">
        <v>99.015839999999997</v>
      </c>
      <c r="P166" s="4">
        <v>0</v>
      </c>
      <c r="Q166" s="3" t="s">
        <v>26</v>
      </c>
      <c r="R166" s="3">
        <v>0</v>
      </c>
      <c r="S166" s="3" t="s">
        <v>106</v>
      </c>
      <c r="T166" s="3" t="s">
        <v>356</v>
      </c>
      <c r="U166" s="3">
        <v>34</v>
      </c>
      <c r="V166" s="3">
        <v>23</v>
      </c>
      <c r="W166" s="3">
        <v>71</v>
      </c>
    </row>
    <row r="167" spans="1:23" ht="11.25" customHeight="1" x14ac:dyDescent="0.25">
      <c r="A167" s="3" t="s">
        <v>21</v>
      </c>
      <c r="B167" s="3" t="s">
        <v>39</v>
      </c>
      <c r="C167" s="3" t="s">
        <v>40</v>
      </c>
      <c r="D167" s="3" t="s">
        <v>49</v>
      </c>
      <c r="E167" s="3" t="s">
        <v>50</v>
      </c>
      <c r="F167" s="3" t="s">
        <v>25</v>
      </c>
      <c r="G167" s="3" t="s">
        <v>25</v>
      </c>
      <c r="H167" s="3" t="s">
        <v>34</v>
      </c>
      <c r="I167" s="6">
        <v>44593</v>
      </c>
      <c r="J167" s="4">
        <v>2122</v>
      </c>
      <c r="K167" s="4">
        <v>1994.6799999999998</v>
      </c>
      <c r="L167" s="4">
        <v>102.905</v>
      </c>
      <c r="M167" s="4">
        <v>96.730699999999999</v>
      </c>
      <c r="N167" s="4">
        <v>102.905</v>
      </c>
      <c r="O167" s="4">
        <v>96.730699999999999</v>
      </c>
      <c r="P167" s="4">
        <v>0</v>
      </c>
      <c r="Q167" s="3" t="s">
        <v>26</v>
      </c>
      <c r="R167" s="3">
        <v>0</v>
      </c>
      <c r="S167" s="3" t="s">
        <v>107</v>
      </c>
      <c r="T167" s="3" t="s">
        <v>357</v>
      </c>
      <c r="U167" s="3">
        <v>34</v>
      </c>
      <c r="V167" s="3">
        <v>23</v>
      </c>
      <c r="W167" s="3">
        <v>71</v>
      </c>
    </row>
    <row r="168" spans="1:23" ht="11.25" customHeight="1" x14ac:dyDescent="0.25">
      <c r="A168" s="3" t="s">
        <v>21</v>
      </c>
      <c r="B168" s="3" t="s">
        <v>39</v>
      </c>
      <c r="C168" s="3" t="s">
        <v>40</v>
      </c>
      <c r="D168" s="3" t="s">
        <v>49</v>
      </c>
      <c r="E168" s="3" t="s">
        <v>50</v>
      </c>
      <c r="F168" s="3" t="s">
        <v>25</v>
      </c>
      <c r="G168" s="3" t="s">
        <v>25</v>
      </c>
      <c r="H168" s="3" t="s">
        <v>34</v>
      </c>
      <c r="I168" s="6">
        <v>44621</v>
      </c>
      <c r="J168" s="4">
        <v>2159</v>
      </c>
      <c r="K168" s="4">
        <v>2029.4599999999998</v>
      </c>
      <c r="L168" s="4">
        <v>112.5</v>
      </c>
      <c r="M168" s="4">
        <v>105.75</v>
      </c>
      <c r="N168" s="4">
        <v>112.5</v>
      </c>
      <c r="O168" s="4">
        <v>105.75</v>
      </c>
      <c r="P168" s="4">
        <v>0</v>
      </c>
      <c r="Q168" s="3" t="s">
        <v>26</v>
      </c>
      <c r="R168" s="3">
        <v>0</v>
      </c>
      <c r="S168" s="3" t="s">
        <v>108</v>
      </c>
      <c r="T168" s="3" t="s">
        <v>358</v>
      </c>
      <c r="U168" s="3">
        <v>34</v>
      </c>
      <c r="V168" s="3">
        <v>23</v>
      </c>
      <c r="W168" s="3">
        <v>71</v>
      </c>
    </row>
    <row r="169" spans="1:23" ht="11.25" customHeight="1" x14ac:dyDescent="0.25">
      <c r="A169" s="3" t="s">
        <v>21</v>
      </c>
      <c r="B169" s="3" t="s">
        <v>39</v>
      </c>
      <c r="C169" s="3" t="s">
        <v>40</v>
      </c>
      <c r="D169" s="3" t="s">
        <v>49</v>
      </c>
      <c r="E169" s="3" t="s">
        <v>50</v>
      </c>
      <c r="F169" s="3" t="s">
        <v>25</v>
      </c>
      <c r="G169" s="3" t="s">
        <v>25</v>
      </c>
      <c r="H169" s="3" t="s">
        <v>34</v>
      </c>
      <c r="I169" s="6">
        <v>44652</v>
      </c>
      <c r="J169" s="4">
        <v>2159</v>
      </c>
      <c r="K169" s="4">
        <v>2029.4599999999998</v>
      </c>
      <c r="L169" s="4">
        <v>112.5</v>
      </c>
      <c r="M169" s="4">
        <v>105.75</v>
      </c>
      <c r="N169" s="4">
        <v>112.5</v>
      </c>
      <c r="O169" s="4">
        <v>105.75</v>
      </c>
      <c r="P169" s="4">
        <v>0</v>
      </c>
      <c r="Q169" s="3" t="s">
        <v>26</v>
      </c>
      <c r="R169" s="3">
        <v>0</v>
      </c>
      <c r="S169" s="3" t="s">
        <v>109</v>
      </c>
      <c r="T169" s="3" t="s">
        <v>359</v>
      </c>
      <c r="U169" s="3">
        <v>34</v>
      </c>
      <c r="V169" s="3">
        <v>23</v>
      </c>
      <c r="W169" s="3">
        <v>71</v>
      </c>
    </row>
    <row r="170" spans="1:23" ht="11.25" customHeight="1" x14ac:dyDescent="0.25">
      <c r="A170" s="3" t="s">
        <v>21</v>
      </c>
      <c r="B170" s="3" t="s">
        <v>39</v>
      </c>
      <c r="C170" s="3" t="s">
        <v>40</v>
      </c>
      <c r="D170" s="3" t="s">
        <v>49</v>
      </c>
      <c r="E170" s="3" t="s">
        <v>50</v>
      </c>
      <c r="F170" s="3" t="s">
        <v>25</v>
      </c>
      <c r="G170" s="3" t="s">
        <v>25</v>
      </c>
      <c r="H170" s="3" t="s">
        <v>34</v>
      </c>
      <c r="I170" s="6">
        <v>44682</v>
      </c>
      <c r="J170" s="4">
        <v>2087</v>
      </c>
      <c r="K170" s="4">
        <v>1961.78</v>
      </c>
      <c r="L170" s="4">
        <v>106.291</v>
      </c>
      <c r="M170" s="4">
        <v>99.913539999999998</v>
      </c>
      <c r="N170" s="4">
        <v>106.291</v>
      </c>
      <c r="O170" s="4">
        <v>99.913539999999998</v>
      </c>
      <c r="P170" s="4">
        <v>0</v>
      </c>
      <c r="Q170" s="3" t="s">
        <v>26</v>
      </c>
      <c r="R170" s="3">
        <v>0</v>
      </c>
      <c r="S170" s="3" t="s">
        <v>110</v>
      </c>
      <c r="T170" s="3" t="s">
        <v>360</v>
      </c>
      <c r="U170" s="3">
        <v>34</v>
      </c>
      <c r="V170" s="3">
        <v>23</v>
      </c>
      <c r="W170" s="3">
        <v>71</v>
      </c>
    </row>
    <row r="171" spans="1:23" ht="11.25" customHeight="1" x14ac:dyDescent="0.25">
      <c r="A171" s="3" t="s">
        <v>21</v>
      </c>
      <c r="B171" s="3" t="s">
        <v>39</v>
      </c>
      <c r="C171" s="3" t="s">
        <v>40</v>
      </c>
      <c r="D171" s="3" t="s">
        <v>49</v>
      </c>
      <c r="E171" s="3" t="s">
        <v>50</v>
      </c>
      <c r="F171" s="3" t="s">
        <v>25</v>
      </c>
      <c r="G171" s="3" t="s">
        <v>25</v>
      </c>
      <c r="H171" s="3" t="s">
        <v>34</v>
      </c>
      <c r="I171" s="6">
        <v>44713</v>
      </c>
      <c r="J171" s="4">
        <v>2100</v>
      </c>
      <c r="K171" s="4">
        <v>1974</v>
      </c>
      <c r="L171" s="4">
        <v>97.468999999999994</v>
      </c>
      <c r="M171" s="4">
        <v>91.620859999999993</v>
      </c>
      <c r="N171" s="4">
        <v>97.468999999999994</v>
      </c>
      <c r="O171" s="4">
        <v>91.620859999999993</v>
      </c>
      <c r="P171" s="4">
        <v>0</v>
      </c>
      <c r="Q171" s="3" t="s">
        <v>26</v>
      </c>
      <c r="R171" s="3">
        <v>0</v>
      </c>
      <c r="S171" s="3" t="s">
        <v>111</v>
      </c>
      <c r="T171" s="3" t="s">
        <v>361</v>
      </c>
      <c r="U171" s="3">
        <v>34</v>
      </c>
      <c r="V171" s="3">
        <v>23</v>
      </c>
      <c r="W171" s="3">
        <v>71</v>
      </c>
    </row>
    <row r="172" spans="1:23" ht="11.25" customHeight="1" x14ac:dyDescent="0.25">
      <c r="A172" s="3" t="s">
        <v>21</v>
      </c>
      <c r="B172" s="3" t="s">
        <v>39</v>
      </c>
      <c r="C172" s="3" t="s">
        <v>40</v>
      </c>
      <c r="D172" s="3" t="s">
        <v>49</v>
      </c>
      <c r="E172" s="3" t="s">
        <v>50</v>
      </c>
      <c r="F172" s="3" t="s">
        <v>25</v>
      </c>
      <c r="G172" s="3" t="s">
        <v>25</v>
      </c>
      <c r="H172" s="3" t="s">
        <v>34</v>
      </c>
      <c r="I172" s="6">
        <v>44743</v>
      </c>
      <c r="J172" s="4">
        <v>2110</v>
      </c>
      <c r="K172" s="4">
        <v>1983.3999999999999</v>
      </c>
      <c r="L172" s="4">
        <v>93.695999999999998</v>
      </c>
      <c r="M172" s="4">
        <v>88.074239999999989</v>
      </c>
      <c r="N172" s="4">
        <v>93.695999999999998</v>
      </c>
      <c r="O172" s="4">
        <v>88.074239999999989</v>
      </c>
      <c r="P172" s="4">
        <v>0</v>
      </c>
      <c r="Q172" s="3" t="s">
        <v>26</v>
      </c>
      <c r="R172" s="3">
        <v>0</v>
      </c>
      <c r="S172" s="3" t="s">
        <v>112</v>
      </c>
      <c r="T172" s="3" t="s">
        <v>362</v>
      </c>
      <c r="U172" s="3">
        <v>34</v>
      </c>
      <c r="V172" s="3">
        <v>23</v>
      </c>
      <c r="W172" s="3">
        <v>71</v>
      </c>
    </row>
    <row r="173" spans="1:23" ht="11.25" customHeight="1" x14ac:dyDescent="0.25">
      <c r="A173" s="3" t="s">
        <v>21</v>
      </c>
      <c r="B173" s="3" t="s">
        <v>39</v>
      </c>
      <c r="C173" s="3" t="s">
        <v>40</v>
      </c>
      <c r="D173" s="3" t="s">
        <v>49</v>
      </c>
      <c r="E173" s="3" t="s">
        <v>50</v>
      </c>
      <c r="F173" s="3" t="s">
        <v>25</v>
      </c>
      <c r="G173" s="3" t="s">
        <v>25</v>
      </c>
      <c r="H173" s="3" t="s">
        <v>34</v>
      </c>
      <c r="I173" s="6">
        <v>44774</v>
      </c>
      <c r="J173" s="4">
        <v>2101</v>
      </c>
      <c r="K173" s="4">
        <v>1974.9399999999998</v>
      </c>
      <c r="L173" s="4">
        <v>105.64</v>
      </c>
      <c r="M173" s="4">
        <v>99.301599999999993</v>
      </c>
      <c r="N173" s="4">
        <v>105.64</v>
      </c>
      <c r="O173" s="4">
        <v>99.301599999999993</v>
      </c>
      <c r="P173" s="4">
        <v>0</v>
      </c>
      <c r="Q173" s="3" t="s">
        <v>26</v>
      </c>
      <c r="R173" s="3">
        <v>0</v>
      </c>
      <c r="S173" s="3" t="s">
        <v>113</v>
      </c>
      <c r="T173" s="3" t="s">
        <v>363</v>
      </c>
      <c r="U173" s="3">
        <v>34</v>
      </c>
      <c r="V173" s="3">
        <v>23</v>
      </c>
      <c r="W173" s="3">
        <v>71</v>
      </c>
    </row>
    <row r="174" spans="1:23" ht="11.25" customHeight="1" x14ac:dyDescent="0.25">
      <c r="A174" s="3" t="s">
        <v>21</v>
      </c>
      <c r="B174" s="3" t="s">
        <v>39</v>
      </c>
      <c r="C174" s="3" t="s">
        <v>40</v>
      </c>
      <c r="D174" s="3" t="s">
        <v>49</v>
      </c>
      <c r="E174" s="3" t="s">
        <v>50</v>
      </c>
      <c r="F174" s="3" t="s">
        <v>25</v>
      </c>
      <c r="G174" s="3" t="s">
        <v>25</v>
      </c>
      <c r="H174" s="3" t="s">
        <v>34</v>
      </c>
      <c r="I174" s="6">
        <v>44805</v>
      </c>
      <c r="J174" s="4">
        <v>2131</v>
      </c>
      <c r="K174" s="4">
        <v>2003.1399999999999</v>
      </c>
      <c r="L174" s="4">
        <v>106.55</v>
      </c>
      <c r="M174" s="4">
        <v>100.157</v>
      </c>
      <c r="N174" s="4">
        <v>106.55</v>
      </c>
      <c r="O174" s="4">
        <v>100.157</v>
      </c>
      <c r="P174" s="4">
        <v>0</v>
      </c>
      <c r="Q174" s="3" t="s">
        <v>26</v>
      </c>
      <c r="R174" s="3">
        <v>0</v>
      </c>
      <c r="S174" s="3" t="s">
        <v>114</v>
      </c>
      <c r="T174" s="3" t="s">
        <v>364</v>
      </c>
      <c r="U174" s="3">
        <v>34</v>
      </c>
      <c r="V174" s="3">
        <v>23</v>
      </c>
      <c r="W174" s="3">
        <v>71</v>
      </c>
    </row>
    <row r="175" spans="1:23" ht="11.25" customHeight="1" x14ac:dyDescent="0.25">
      <c r="A175" s="3" t="s">
        <v>55</v>
      </c>
      <c r="B175" s="3" t="s">
        <v>39</v>
      </c>
      <c r="C175" s="3" t="s">
        <v>40</v>
      </c>
      <c r="D175" s="3" t="s">
        <v>49</v>
      </c>
      <c r="E175" s="3" t="s">
        <v>50</v>
      </c>
      <c r="F175" s="3" t="s">
        <v>25</v>
      </c>
      <c r="G175" s="3" t="s">
        <v>25</v>
      </c>
      <c r="H175" s="3" t="s">
        <v>34</v>
      </c>
      <c r="I175" s="6">
        <v>44835</v>
      </c>
      <c r="J175" s="4">
        <v>2131</v>
      </c>
      <c r="K175" s="4">
        <v>2003.1399999999999</v>
      </c>
      <c r="L175" s="4">
        <v>106.55</v>
      </c>
      <c r="M175" s="4">
        <v>100.157</v>
      </c>
      <c r="N175" s="4">
        <v>106.55</v>
      </c>
      <c r="O175" s="4">
        <v>100.157</v>
      </c>
      <c r="P175" s="4">
        <v>0</v>
      </c>
      <c r="Q175" s="3" t="s">
        <v>26</v>
      </c>
      <c r="R175" s="3">
        <v>0</v>
      </c>
      <c r="S175" s="3" t="s">
        <v>115</v>
      </c>
      <c r="T175" s="3" t="s">
        <v>365</v>
      </c>
      <c r="U175" s="3">
        <v>34</v>
      </c>
      <c r="V175" s="3">
        <v>23</v>
      </c>
      <c r="W175" s="3">
        <v>71</v>
      </c>
    </row>
    <row r="176" spans="1:23" ht="11.25" customHeight="1" x14ac:dyDescent="0.25">
      <c r="A176" s="3" t="s">
        <v>21</v>
      </c>
      <c r="B176" s="3" t="s">
        <v>39</v>
      </c>
      <c r="C176" s="3" t="s">
        <v>41</v>
      </c>
      <c r="D176" s="3" t="s">
        <v>42</v>
      </c>
      <c r="E176" s="3" t="s">
        <v>25</v>
      </c>
      <c r="F176" s="3" t="s">
        <v>25</v>
      </c>
      <c r="G176" s="3" t="s">
        <v>25</v>
      </c>
      <c r="H176" s="3" t="s">
        <v>35</v>
      </c>
      <c r="I176" s="6">
        <v>44501</v>
      </c>
      <c r="J176" s="4">
        <v>0</v>
      </c>
      <c r="K176" s="4">
        <v>0</v>
      </c>
      <c r="L176" s="4">
        <v>6809.9110000000001</v>
      </c>
      <c r="M176" s="4">
        <v>6809.9110000000001</v>
      </c>
      <c r="N176" s="4">
        <v>6809.9110000000001</v>
      </c>
      <c r="O176" s="4">
        <v>6809.9110000000001</v>
      </c>
      <c r="P176" s="4">
        <v>0</v>
      </c>
      <c r="Q176" s="3" t="s">
        <v>26</v>
      </c>
      <c r="R176" s="3">
        <v>0</v>
      </c>
      <c r="S176" s="3" t="s">
        <v>116</v>
      </c>
      <c r="T176" s="3" t="s">
        <v>342</v>
      </c>
      <c r="U176" s="3">
        <v>0</v>
      </c>
      <c r="V176" s="3">
        <v>31</v>
      </c>
      <c r="W176" s="3">
        <v>59</v>
      </c>
    </row>
    <row r="177" spans="1:23" ht="11.25" customHeight="1" x14ac:dyDescent="0.25">
      <c r="A177" s="3" t="s">
        <v>27</v>
      </c>
      <c r="B177" s="3" t="s">
        <v>39</v>
      </c>
      <c r="C177" s="3" t="s">
        <v>41</v>
      </c>
      <c r="D177" s="3" t="s">
        <v>42</v>
      </c>
      <c r="E177" s="3" t="s">
        <v>25</v>
      </c>
      <c r="F177" s="3" t="s">
        <v>25</v>
      </c>
      <c r="G177" s="3" t="s">
        <v>25</v>
      </c>
      <c r="H177" s="3" t="s">
        <v>35</v>
      </c>
      <c r="I177" s="6">
        <v>44501</v>
      </c>
      <c r="J177" s="4">
        <v>0</v>
      </c>
      <c r="K177" s="4">
        <v>0</v>
      </c>
      <c r="L177" s="4">
        <v>-37.392000000000003</v>
      </c>
      <c r="M177" s="4">
        <v>-37.392000000000003</v>
      </c>
      <c r="N177" s="4">
        <v>-37.392000000000003</v>
      </c>
      <c r="O177" s="4">
        <v>-37.392000000000003</v>
      </c>
      <c r="P177" s="4">
        <v>0</v>
      </c>
      <c r="Q177" s="3" t="s">
        <v>26</v>
      </c>
      <c r="R177" s="3">
        <v>0</v>
      </c>
      <c r="S177" s="3" t="s">
        <v>116</v>
      </c>
      <c r="T177" s="3" t="s">
        <v>342</v>
      </c>
      <c r="U177" s="3">
        <v>0</v>
      </c>
      <c r="V177" s="3">
        <v>31</v>
      </c>
      <c r="W177" s="3">
        <v>59</v>
      </c>
    </row>
    <row r="178" spans="1:23" ht="11.25" customHeight="1" x14ac:dyDescent="0.25">
      <c r="A178" s="3" t="s">
        <v>28</v>
      </c>
      <c r="B178" s="3" t="s">
        <v>39</v>
      </c>
      <c r="C178" s="3" t="s">
        <v>41</v>
      </c>
      <c r="D178" s="3" t="s">
        <v>42</v>
      </c>
      <c r="E178" s="3" t="s">
        <v>25</v>
      </c>
      <c r="F178" s="3" t="s">
        <v>25</v>
      </c>
      <c r="G178" s="3" t="s">
        <v>25</v>
      </c>
      <c r="H178" s="3" t="s">
        <v>35</v>
      </c>
      <c r="I178" s="6">
        <v>44501</v>
      </c>
      <c r="J178" s="4">
        <v>0</v>
      </c>
      <c r="K178" s="4">
        <v>0</v>
      </c>
      <c r="L178" s="4">
        <v>177.82599999999999</v>
      </c>
      <c r="M178" s="4">
        <v>177.82599999999999</v>
      </c>
      <c r="N178" s="4">
        <v>177.82599999999999</v>
      </c>
      <c r="O178" s="4">
        <v>177.82599999999999</v>
      </c>
      <c r="P178" s="4">
        <v>0</v>
      </c>
      <c r="Q178" s="3" t="s">
        <v>26</v>
      </c>
      <c r="R178" s="3">
        <v>0</v>
      </c>
      <c r="S178" s="3" t="s">
        <v>116</v>
      </c>
      <c r="T178" s="3" t="s">
        <v>342</v>
      </c>
      <c r="U178" s="3">
        <v>0</v>
      </c>
      <c r="V178" s="3">
        <v>31</v>
      </c>
      <c r="W178" s="3">
        <v>59</v>
      </c>
    </row>
    <row r="179" spans="1:23" ht="11.25" customHeight="1" x14ac:dyDescent="0.25">
      <c r="A179" s="3" t="s">
        <v>21</v>
      </c>
      <c r="B179" s="3" t="s">
        <v>39</v>
      </c>
      <c r="C179" s="3" t="s">
        <v>41</v>
      </c>
      <c r="D179" s="3" t="s">
        <v>42</v>
      </c>
      <c r="E179" s="3" t="s">
        <v>25</v>
      </c>
      <c r="F179" s="3" t="s">
        <v>25</v>
      </c>
      <c r="G179" s="3" t="s">
        <v>25</v>
      </c>
      <c r="H179" s="3" t="s">
        <v>35</v>
      </c>
      <c r="I179" s="6">
        <v>44531</v>
      </c>
      <c r="J179" s="4">
        <v>0</v>
      </c>
      <c r="K179" s="4">
        <v>0</v>
      </c>
      <c r="L179" s="4">
        <v>6410.3909999999996</v>
      </c>
      <c r="M179" s="4">
        <v>6410.3909999999996</v>
      </c>
      <c r="N179" s="4">
        <v>6410.3909999999996</v>
      </c>
      <c r="O179" s="4">
        <v>6410.3909999999996</v>
      </c>
      <c r="P179" s="4">
        <v>0</v>
      </c>
      <c r="Q179" s="3" t="s">
        <v>26</v>
      </c>
      <c r="R179" s="3">
        <v>0</v>
      </c>
      <c r="S179" s="3" t="s">
        <v>117</v>
      </c>
      <c r="T179" s="3" t="s">
        <v>343</v>
      </c>
      <c r="U179" s="3">
        <v>0</v>
      </c>
      <c r="V179" s="3">
        <v>31</v>
      </c>
      <c r="W179" s="3">
        <v>59</v>
      </c>
    </row>
    <row r="180" spans="1:23" ht="11.25" customHeight="1" x14ac:dyDescent="0.25">
      <c r="A180" s="3" t="s">
        <v>27</v>
      </c>
      <c r="B180" s="3" t="s">
        <v>39</v>
      </c>
      <c r="C180" s="3" t="s">
        <v>41</v>
      </c>
      <c r="D180" s="3" t="s">
        <v>42</v>
      </c>
      <c r="E180" s="3" t="s">
        <v>25</v>
      </c>
      <c r="F180" s="3" t="s">
        <v>25</v>
      </c>
      <c r="G180" s="3" t="s">
        <v>25</v>
      </c>
      <c r="H180" s="3" t="s">
        <v>35</v>
      </c>
      <c r="I180" s="6">
        <v>44531</v>
      </c>
      <c r="J180" s="4">
        <v>0</v>
      </c>
      <c r="K180" s="4">
        <v>0</v>
      </c>
      <c r="L180" s="4">
        <v>4.2889999999999997</v>
      </c>
      <c r="M180" s="4">
        <v>4.2889999999999997</v>
      </c>
      <c r="N180" s="4">
        <v>4.2889999999999997</v>
      </c>
      <c r="O180" s="4">
        <v>4.2889999999999997</v>
      </c>
      <c r="P180" s="4">
        <v>0</v>
      </c>
      <c r="Q180" s="3" t="s">
        <v>26</v>
      </c>
      <c r="R180" s="3">
        <v>0</v>
      </c>
      <c r="S180" s="3" t="s">
        <v>117</v>
      </c>
      <c r="T180" s="3" t="s">
        <v>343</v>
      </c>
      <c r="U180" s="3">
        <v>0</v>
      </c>
      <c r="V180" s="3">
        <v>31</v>
      </c>
      <c r="W180" s="3">
        <v>59</v>
      </c>
    </row>
    <row r="181" spans="1:23" ht="11.25" customHeight="1" x14ac:dyDescent="0.25">
      <c r="A181" s="3" t="s">
        <v>28</v>
      </c>
      <c r="B181" s="3" t="s">
        <v>39</v>
      </c>
      <c r="C181" s="3" t="s">
        <v>41</v>
      </c>
      <c r="D181" s="3" t="s">
        <v>42</v>
      </c>
      <c r="E181" s="3" t="s">
        <v>25</v>
      </c>
      <c r="F181" s="3" t="s">
        <v>25</v>
      </c>
      <c r="G181" s="3" t="s">
        <v>25</v>
      </c>
      <c r="H181" s="3" t="s">
        <v>35</v>
      </c>
      <c r="I181" s="6">
        <v>44531</v>
      </c>
      <c r="J181" s="4">
        <v>0</v>
      </c>
      <c r="K181" s="4">
        <v>0</v>
      </c>
      <c r="L181" s="4">
        <v>157.99299999999999</v>
      </c>
      <c r="M181" s="4">
        <v>157.99299999999999</v>
      </c>
      <c r="N181" s="4">
        <v>157.99299999999999</v>
      </c>
      <c r="O181" s="4">
        <v>157.99299999999999</v>
      </c>
      <c r="P181" s="4">
        <v>0</v>
      </c>
      <c r="Q181" s="3" t="s">
        <v>26</v>
      </c>
      <c r="R181" s="3">
        <v>0</v>
      </c>
      <c r="S181" s="3" t="s">
        <v>117</v>
      </c>
      <c r="T181" s="3" t="s">
        <v>343</v>
      </c>
      <c r="U181" s="3">
        <v>0</v>
      </c>
      <c r="V181" s="3">
        <v>31</v>
      </c>
      <c r="W181" s="3">
        <v>59</v>
      </c>
    </row>
    <row r="182" spans="1:23" ht="11.25" customHeight="1" x14ac:dyDescent="0.25">
      <c r="A182" s="3" t="s">
        <v>21</v>
      </c>
      <c r="B182" s="3" t="s">
        <v>39</v>
      </c>
      <c r="C182" s="3" t="s">
        <v>41</v>
      </c>
      <c r="D182" s="3" t="s">
        <v>42</v>
      </c>
      <c r="E182" s="3" t="s">
        <v>25</v>
      </c>
      <c r="F182" s="3" t="s">
        <v>25</v>
      </c>
      <c r="G182" s="3" t="s">
        <v>25</v>
      </c>
      <c r="H182" s="3" t="s">
        <v>35</v>
      </c>
      <c r="I182" s="6">
        <v>44562</v>
      </c>
      <c r="J182" s="4">
        <v>0</v>
      </c>
      <c r="K182" s="4">
        <v>0</v>
      </c>
      <c r="L182" s="4">
        <v>6164.0429999999997</v>
      </c>
      <c r="M182" s="4">
        <v>6164.0429999999997</v>
      </c>
      <c r="N182" s="4">
        <v>6164.0429999999997</v>
      </c>
      <c r="O182" s="4">
        <v>6164.0429999999997</v>
      </c>
      <c r="P182" s="4">
        <v>0</v>
      </c>
      <c r="Q182" s="3" t="s">
        <v>26</v>
      </c>
      <c r="R182" s="3">
        <v>0</v>
      </c>
      <c r="S182" s="3" t="s">
        <v>118</v>
      </c>
      <c r="T182" s="3" t="s">
        <v>344</v>
      </c>
      <c r="U182" s="3">
        <v>0</v>
      </c>
      <c r="V182" s="3">
        <v>31</v>
      </c>
      <c r="W182" s="3">
        <v>59</v>
      </c>
    </row>
    <row r="183" spans="1:23" ht="11.25" customHeight="1" x14ac:dyDescent="0.25">
      <c r="A183" s="3" t="s">
        <v>28</v>
      </c>
      <c r="B183" s="3" t="s">
        <v>39</v>
      </c>
      <c r="C183" s="3" t="s">
        <v>41</v>
      </c>
      <c r="D183" s="3" t="s">
        <v>42</v>
      </c>
      <c r="E183" s="3" t="s">
        <v>25</v>
      </c>
      <c r="F183" s="3" t="s">
        <v>25</v>
      </c>
      <c r="G183" s="3" t="s">
        <v>25</v>
      </c>
      <c r="H183" s="3" t="s">
        <v>35</v>
      </c>
      <c r="I183" s="6">
        <v>44562</v>
      </c>
      <c r="J183" s="4">
        <v>0</v>
      </c>
      <c r="K183" s="4">
        <v>0</v>
      </c>
      <c r="L183" s="4">
        <v>148.446</v>
      </c>
      <c r="M183" s="4">
        <v>148.446</v>
      </c>
      <c r="N183" s="4">
        <v>148.446</v>
      </c>
      <c r="O183" s="4">
        <v>148.446</v>
      </c>
      <c r="P183" s="4">
        <v>0</v>
      </c>
      <c r="Q183" s="3" t="s">
        <v>26</v>
      </c>
      <c r="R183" s="3">
        <v>0</v>
      </c>
      <c r="S183" s="3" t="s">
        <v>118</v>
      </c>
      <c r="T183" s="3" t="s">
        <v>344</v>
      </c>
      <c r="U183" s="3">
        <v>0</v>
      </c>
      <c r="V183" s="3">
        <v>31</v>
      </c>
      <c r="W183" s="3">
        <v>59</v>
      </c>
    </row>
    <row r="184" spans="1:23" ht="11.25" customHeight="1" x14ac:dyDescent="0.25">
      <c r="A184" s="3" t="s">
        <v>21</v>
      </c>
      <c r="B184" s="3" t="s">
        <v>39</v>
      </c>
      <c r="C184" s="3" t="s">
        <v>41</v>
      </c>
      <c r="D184" s="3" t="s">
        <v>42</v>
      </c>
      <c r="E184" s="3" t="s">
        <v>25</v>
      </c>
      <c r="F184" s="3" t="s">
        <v>25</v>
      </c>
      <c r="G184" s="3" t="s">
        <v>25</v>
      </c>
      <c r="H184" s="3" t="s">
        <v>35</v>
      </c>
      <c r="I184" s="6">
        <v>44593</v>
      </c>
      <c r="J184" s="4">
        <v>0</v>
      </c>
      <c r="K184" s="4">
        <v>0</v>
      </c>
      <c r="L184" s="4">
        <v>6002.0990000000002</v>
      </c>
      <c r="M184" s="4">
        <v>6002.0990000000002</v>
      </c>
      <c r="N184" s="4">
        <v>6002.0990000000002</v>
      </c>
      <c r="O184" s="4">
        <v>6002.0990000000002</v>
      </c>
      <c r="P184" s="4">
        <v>0</v>
      </c>
      <c r="Q184" s="3" t="s">
        <v>26</v>
      </c>
      <c r="R184" s="3">
        <v>0</v>
      </c>
      <c r="S184" s="3" t="s">
        <v>119</v>
      </c>
      <c r="T184" s="3" t="s">
        <v>345</v>
      </c>
      <c r="U184" s="3">
        <v>0</v>
      </c>
      <c r="V184" s="3">
        <v>31</v>
      </c>
      <c r="W184" s="3">
        <v>59</v>
      </c>
    </row>
    <row r="185" spans="1:23" ht="11.25" customHeight="1" x14ac:dyDescent="0.25">
      <c r="A185" s="3" t="s">
        <v>28</v>
      </c>
      <c r="B185" s="3" t="s">
        <v>39</v>
      </c>
      <c r="C185" s="3" t="s">
        <v>41</v>
      </c>
      <c r="D185" s="3" t="s">
        <v>42</v>
      </c>
      <c r="E185" s="3" t="s">
        <v>25</v>
      </c>
      <c r="F185" s="3" t="s">
        <v>25</v>
      </c>
      <c r="G185" s="3" t="s">
        <v>25</v>
      </c>
      <c r="H185" s="3" t="s">
        <v>35</v>
      </c>
      <c r="I185" s="6">
        <v>44593</v>
      </c>
      <c r="J185" s="4">
        <v>0</v>
      </c>
      <c r="K185" s="4">
        <v>0</v>
      </c>
      <c r="L185" s="4">
        <v>143.85599999999999</v>
      </c>
      <c r="M185" s="4">
        <v>143.85599999999999</v>
      </c>
      <c r="N185" s="4">
        <v>143.85599999999999</v>
      </c>
      <c r="O185" s="4">
        <v>143.85599999999999</v>
      </c>
      <c r="P185" s="4">
        <v>0</v>
      </c>
      <c r="Q185" s="3" t="s">
        <v>26</v>
      </c>
      <c r="R185" s="3">
        <v>0</v>
      </c>
      <c r="S185" s="3" t="s">
        <v>119</v>
      </c>
      <c r="T185" s="3" t="s">
        <v>345</v>
      </c>
      <c r="U185" s="3">
        <v>0</v>
      </c>
      <c r="V185" s="3">
        <v>31</v>
      </c>
      <c r="W185" s="3">
        <v>59</v>
      </c>
    </row>
    <row r="186" spans="1:23" ht="11.25" customHeight="1" x14ac:dyDescent="0.25">
      <c r="A186" s="3" t="s">
        <v>21</v>
      </c>
      <c r="B186" s="3" t="s">
        <v>39</v>
      </c>
      <c r="C186" s="3" t="s">
        <v>41</v>
      </c>
      <c r="D186" s="3" t="s">
        <v>42</v>
      </c>
      <c r="E186" s="3" t="s">
        <v>25</v>
      </c>
      <c r="F186" s="3" t="s">
        <v>25</v>
      </c>
      <c r="G186" s="3" t="s">
        <v>25</v>
      </c>
      <c r="H186" s="3" t="s">
        <v>35</v>
      </c>
      <c r="I186" s="6">
        <v>44621</v>
      </c>
      <c r="J186" s="4">
        <v>0</v>
      </c>
      <c r="K186" s="4">
        <v>0</v>
      </c>
      <c r="L186" s="4">
        <v>6383.768</v>
      </c>
      <c r="M186" s="4">
        <v>6383.768</v>
      </c>
      <c r="N186" s="4">
        <v>6383.768</v>
      </c>
      <c r="O186" s="4">
        <v>6383.768</v>
      </c>
      <c r="P186" s="4">
        <v>0</v>
      </c>
      <c r="Q186" s="3" t="s">
        <v>26</v>
      </c>
      <c r="R186" s="3">
        <v>0</v>
      </c>
      <c r="S186" s="3" t="s">
        <v>120</v>
      </c>
      <c r="T186" s="3" t="s">
        <v>346</v>
      </c>
      <c r="U186" s="3">
        <v>0</v>
      </c>
      <c r="V186" s="3">
        <v>31</v>
      </c>
      <c r="W186" s="3">
        <v>59</v>
      </c>
    </row>
    <row r="187" spans="1:23" ht="11.25" customHeight="1" x14ac:dyDescent="0.25">
      <c r="A187" s="3" t="s">
        <v>28</v>
      </c>
      <c r="B187" s="3" t="s">
        <v>39</v>
      </c>
      <c r="C187" s="3" t="s">
        <v>41</v>
      </c>
      <c r="D187" s="3" t="s">
        <v>42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44621</v>
      </c>
      <c r="J187" s="4">
        <v>0</v>
      </c>
      <c r="K187" s="4">
        <v>0</v>
      </c>
      <c r="L187" s="4">
        <v>248.077</v>
      </c>
      <c r="M187" s="4">
        <v>248.077</v>
      </c>
      <c r="N187" s="4">
        <v>248.077</v>
      </c>
      <c r="O187" s="4">
        <v>248.077</v>
      </c>
      <c r="P187" s="4">
        <v>0</v>
      </c>
      <c r="Q187" s="3" t="s">
        <v>26</v>
      </c>
      <c r="R187" s="3">
        <v>0</v>
      </c>
      <c r="S187" s="3" t="s">
        <v>120</v>
      </c>
      <c r="T187" s="3" t="s">
        <v>346</v>
      </c>
      <c r="U187" s="3">
        <v>0</v>
      </c>
      <c r="V187" s="3">
        <v>31</v>
      </c>
      <c r="W187" s="3">
        <v>59</v>
      </c>
    </row>
    <row r="188" spans="1:23" ht="11.25" customHeight="1" x14ac:dyDescent="0.25">
      <c r="A188" s="3" t="s">
        <v>28</v>
      </c>
      <c r="B188" s="3" t="s">
        <v>39</v>
      </c>
      <c r="C188" s="3" t="s">
        <v>41</v>
      </c>
      <c r="D188" s="3" t="s">
        <v>42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44621</v>
      </c>
      <c r="J188" s="4">
        <v>0</v>
      </c>
      <c r="K188" s="4">
        <v>0</v>
      </c>
      <c r="L188" s="4">
        <v>1.6850000000000001</v>
      </c>
      <c r="M188" s="4">
        <v>1.6850000000000001</v>
      </c>
      <c r="N188" s="4">
        <v>1.6850000000000001</v>
      </c>
      <c r="O188" s="4">
        <v>1.6850000000000001</v>
      </c>
      <c r="P188" s="4">
        <v>0</v>
      </c>
      <c r="Q188" s="3" t="s">
        <v>26</v>
      </c>
      <c r="R188" s="3">
        <v>0</v>
      </c>
      <c r="S188" s="3" t="s">
        <v>120</v>
      </c>
      <c r="T188" s="3" t="s">
        <v>346</v>
      </c>
      <c r="U188" s="3">
        <v>0</v>
      </c>
      <c r="V188" s="3">
        <v>31</v>
      </c>
      <c r="W188" s="3">
        <v>59</v>
      </c>
    </row>
    <row r="189" spans="1:23" ht="11.25" customHeight="1" x14ac:dyDescent="0.25">
      <c r="A189" s="3" t="s">
        <v>21</v>
      </c>
      <c r="B189" s="3" t="s">
        <v>39</v>
      </c>
      <c r="C189" s="3" t="s">
        <v>41</v>
      </c>
      <c r="D189" s="3" t="s">
        <v>42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44652</v>
      </c>
      <c r="J189" s="4">
        <v>0</v>
      </c>
      <c r="K189" s="4">
        <v>0</v>
      </c>
      <c r="L189" s="4">
        <v>6383.768</v>
      </c>
      <c r="M189" s="4">
        <v>6383.768</v>
      </c>
      <c r="N189" s="4">
        <v>6383.768</v>
      </c>
      <c r="O189" s="4">
        <v>6383.768</v>
      </c>
      <c r="P189" s="4">
        <v>0</v>
      </c>
      <c r="Q189" s="3" t="s">
        <v>26</v>
      </c>
      <c r="R189" s="3">
        <v>0</v>
      </c>
      <c r="S189" s="3" t="s">
        <v>121</v>
      </c>
      <c r="T189" s="3" t="s">
        <v>347</v>
      </c>
      <c r="U189" s="3">
        <v>0</v>
      </c>
      <c r="V189" s="3">
        <v>31</v>
      </c>
      <c r="W189" s="3">
        <v>59</v>
      </c>
    </row>
    <row r="190" spans="1:23" ht="11.25" customHeight="1" x14ac:dyDescent="0.25">
      <c r="A190" s="3" t="s">
        <v>28</v>
      </c>
      <c r="B190" s="3" t="s">
        <v>39</v>
      </c>
      <c r="C190" s="3" t="s">
        <v>41</v>
      </c>
      <c r="D190" s="3" t="s">
        <v>42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44652</v>
      </c>
      <c r="J190" s="4">
        <v>0</v>
      </c>
      <c r="K190" s="4">
        <v>0</v>
      </c>
      <c r="L190" s="4">
        <v>248.077</v>
      </c>
      <c r="M190" s="4">
        <v>248.077</v>
      </c>
      <c r="N190" s="4">
        <v>248.077</v>
      </c>
      <c r="O190" s="4">
        <v>248.077</v>
      </c>
      <c r="P190" s="4">
        <v>0</v>
      </c>
      <c r="Q190" s="3" t="s">
        <v>26</v>
      </c>
      <c r="R190" s="3">
        <v>0</v>
      </c>
      <c r="S190" s="3" t="s">
        <v>121</v>
      </c>
      <c r="T190" s="3" t="s">
        <v>347</v>
      </c>
      <c r="U190" s="3">
        <v>0</v>
      </c>
      <c r="V190" s="3">
        <v>31</v>
      </c>
      <c r="W190" s="3">
        <v>59</v>
      </c>
    </row>
    <row r="191" spans="1:23" ht="11.25" customHeight="1" x14ac:dyDescent="0.25">
      <c r="A191" s="3" t="s">
        <v>28</v>
      </c>
      <c r="B191" s="3" t="s">
        <v>39</v>
      </c>
      <c r="C191" s="3" t="s">
        <v>41</v>
      </c>
      <c r="D191" s="3" t="s">
        <v>42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44652</v>
      </c>
      <c r="J191" s="4">
        <v>0</v>
      </c>
      <c r="K191" s="4">
        <v>0</v>
      </c>
      <c r="L191" s="4">
        <v>1.6850000000000001</v>
      </c>
      <c r="M191" s="4">
        <v>1.6850000000000001</v>
      </c>
      <c r="N191" s="4">
        <v>1.6850000000000001</v>
      </c>
      <c r="O191" s="4">
        <v>1.6850000000000001</v>
      </c>
      <c r="P191" s="4">
        <v>0</v>
      </c>
      <c r="Q191" s="3" t="s">
        <v>26</v>
      </c>
      <c r="R191" s="3">
        <v>0</v>
      </c>
      <c r="S191" s="3" t="s">
        <v>121</v>
      </c>
      <c r="T191" s="3" t="s">
        <v>347</v>
      </c>
      <c r="U191" s="3">
        <v>0</v>
      </c>
      <c r="V191" s="3">
        <v>31</v>
      </c>
      <c r="W191" s="3">
        <v>59</v>
      </c>
    </row>
    <row r="192" spans="1:23" ht="11.25" customHeight="1" x14ac:dyDescent="0.25">
      <c r="A192" s="3" t="s">
        <v>21</v>
      </c>
      <c r="B192" s="3" t="s">
        <v>39</v>
      </c>
      <c r="C192" s="3" t="s">
        <v>41</v>
      </c>
      <c r="D192" s="3" t="s">
        <v>42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44682</v>
      </c>
      <c r="J192" s="4">
        <v>0</v>
      </c>
      <c r="K192" s="4">
        <v>0</v>
      </c>
      <c r="L192" s="4">
        <v>6144.48</v>
      </c>
      <c r="M192" s="4">
        <v>6144.48</v>
      </c>
      <c r="N192" s="4">
        <v>6144.48</v>
      </c>
      <c r="O192" s="4">
        <v>6144.48</v>
      </c>
      <c r="P192" s="4">
        <v>0</v>
      </c>
      <c r="Q192" s="3" t="s">
        <v>26</v>
      </c>
      <c r="R192" s="3">
        <v>0</v>
      </c>
      <c r="S192" s="3" t="s">
        <v>122</v>
      </c>
      <c r="T192" s="3" t="s">
        <v>348</v>
      </c>
      <c r="U192" s="3">
        <v>0</v>
      </c>
      <c r="V192" s="3">
        <v>31</v>
      </c>
      <c r="W192" s="3">
        <v>59</v>
      </c>
    </row>
    <row r="193" spans="1:23" ht="11.25" customHeight="1" x14ac:dyDescent="0.25">
      <c r="A193" s="3" t="s">
        <v>27</v>
      </c>
      <c r="B193" s="3" t="s">
        <v>39</v>
      </c>
      <c r="C193" s="3" t="s">
        <v>41</v>
      </c>
      <c r="D193" s="3" t="s">
        <v>42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44682</v>
      </c>
      <c r="J193" s="4">
        <v>0</v>
      </c>
      <c r="K193" s="4">
        <v>0</v>
      </c>
      <c r="L193" s="4">
        <v>-70.224000000000004</v>
      </c>
      <c r="M193" s="4">
        <v>-70.224000000000004</v>
      </c>
      <c r="N193" s="4">
        <v>-70.224000000000004</v>
      </c>
      <c r="O193" s="4">
        <v>-70.224000000000004</v>
      </c>
      <c r="P193" s="4">
        <v>0</v>
      </c>
      <c r="Q193" s="3" t="s">
        <v>26</v>
      </c>
      <c r="R193" s="3">
        <v>0</v>
      </c>
      <c r="S193" s="3" t="s">
        <v>122</v>
      </c>
      <c r="T193" s="3" t="s">
        <v>348</v>
      </c>
      <c r="U193" s="3">
        <v>0</v>
      </c>
      <c r="V193" s="3">
        <v>31</v>
      </c>
      <c r="W193" s="3">
        <v>59</v>
      </c>
    </row>
    <row r="194" spans="1:23" ht="11.25" customHeight="1" x14ac:dyDescent="0.25">
      <c r="A194" s="3" t="s">
        <v>28</v>
      </c>
      <c r="B194" s="3" t="s">
        <v>39</v>
      </c>
      <c r="C194" s="3" t="s">
        <v>41</v>
      </c>
      <c r="D194" s="3" t="s">
        <v>42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44682</v>
      </c>
      <c r="J194" s="4">
        <v>0</v>
      </c>
      <c r="K194" s="4">
        <v>0</v>
      </c>
      <c r="L194" s="4">
        <v>994.24400000000003</v>
      </c>
      <c r="M194" s="4">
        <v>994.24400000000003</v>
      </c>
      <c r="N194" s="4">
        <v>994.24400000000003</v>
      </c>
      <c r="O194" s="4">
        <v>994.24400000000003</v>
      </c>
      <c r="P194" s="4">
        <v>0</v>
      </c>
      <c r="Q194" s="3" t="s">
        <v>26</v>
      </c>
      <c r="R194" s="3">
        <v>0</v>
      </c>
      <c r="S194" s="3" t="s">
        <v>122</v>
      </c>
      <c r="T194" s="3" t="s">
        <v>348</v>
      </c>
      <c r="U194" s="3">
        <v>0</v>
      </c>
      <c r="V194" s="3">
        <v>31</v>
      </c>
      <c r="W194" s="3">
        <v>59</v>
      </c>
    </row>
    <row r="195" spans="1:23" ht="11.25" customHeight="1" x14ac:dyDescent="0.25">
      <c r="A195" s="3" t="s">
        <v>21</v>
      </c>
      <c r="B195" s="3" t="s">
        <v>39</v>
      </c>
      <c r="C195" s="3" t="s">
        <v>41</v>
      </c>
      <c r="D195" s="3" t="s">
        <v>42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44713</v>
      </c>
      <c r="J195" s="4">
        <v>0</v>
      </c>
      <c r="K195" s="4">
        <v>0</v>
      </c>
      <c r="L195" s="4">
        <v>5800.8450000000003</v>
      </c>
      <c r="M195" s="4">
        <v>5800.8450000000003</v>
      </c>
      <c r="N195" s="4">
        <v>5800.8450000000003</v>
      </c>
      <c r="O195" s="4">
        <v>5800.8450000000003</v>
      </c>
      <c r="P195" s="4">
        <v>0</v>
      </c>
      <c r="Q195" s="3" t="s">
        <v>26</v>
      </c>
      <c r="R195" s="3">
        <v>0</v>
      </c>
      <c r="S195" s="3" t="s">
        <v>123</v>
      </c>
      <c r="T195" s="3" t="s">
        <v>349</v>
      </c>
      <c r="U195" s="3">
        <v>0</v>
      </c>
      <c r="V195" s="3">
        <v>31</v>
      </c>
      <c r="W195" s="3">
        <v>59</v>
      </c>
    </row>
    <row r="196" spans="1:23" ht="11.25" customHeight="1" x14ac:dyDescent="0.25">
      <c r="A196" s="3" t="s">
        <v>27</v>
      </c>
      <c r="B196" s="3" t="s">
        <v>39</v>
      </c>
      <c r="C196" s="3" t="s">
        <v>41</v>
      </c>
      <c r="D196" s="3" t="s">
        <v>42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44713</v>
      </c>
      <c r="J196" s="4">
        <v>0</v>
      </c>
      <c r="K196" s="4">
        <v>0</v>
      </c>
      <c r="L196" s="4">
        <v>-75.244</v>
      </c>
      <c r="M196" s="4">
        <v>-75.244</v>
      </c>
      <c r="N196" s="4">
        <v>-75.244</v>
      </c>
      <c r="O196" s="4">
        <v>-75.244</v>
      </c>
      <c r="P196" s="4">
        <v>0</v>
      </c>
      <c r="Q196" s="3" t="s">
        <v>26</v>
      </c>
      <c r="R196" s="3">
        <v>0</v>
      </c>
      <c r="S196" s="3" t="s">
        <v>123</v>
      </c>
      <c r="T196" s="3" t="s">
        <v>349</v>
      </c>
      <c r="U196" s="3">
        <v>0</v>
      </c>
      <c r="V196" s="3">
        <v>31</v>
      </c>
      <c r="W196" s="3">
        <v>59</v>
      </c>
    </row>
    <row r="197" spans="1:23" ht="11.25" customHeight="1" x14ac:dyDescent="0.25">
      <c r="A197" s="3" t="s">
        <v>28</v>
      </c>
      <c r="B197" s="3" t="s">
        <v>39</v>
      </c>
      <c r="C197" s="3" t="s">
        <v>41</v>
      </c>
      <c r="D197" s="3" t="s">
        <v>42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44713</v>
      </c>
      <c r="J197" s="4">
        <v>0</v>
      </c>
      <c r="K197" s="4">
        <v>0</v>
      </c>
      <c r="L197" s="4">
        <v>252.102</v>
      </c>
      <c r="M197" s="4">
        <v>252.102</v>
      </c>
      <c r="N197" s="4">
        <v>252.102</v>
      </c>
      <c r="O197" s="4">
        <v>252.102</v>
      </c>
      <c r="P197" s="4">
        <v>0</v>
      </c>
      <c r="Q197" s="3" t="s">
        <v>26</v>
      </c>
      <c r="R197" s="3">
        <v>0</v>
      </c>
      <c r="S197" s="3" t="s">
        <v>123</v>
      </c>
      <c r="T197" s="3" t="s">
        <v>349</v>
      </c>
      <c r="U197" s="3">
        <v>0</v>
      </c>
      <c r="V197" s="3">
        <v>31</v>
      </c>
      <c r="W197" s="3">
        <v>59</v>
      </c>
    </row>
    <row r="198" spans="1:23" ht="11.25" customHeight="1" x14ac:dyDescent="0.25">
      <c r="A198" s="3" t="s">
        <v>21</v>
      </c>
      <c r="B198" s="3" t="s">
        <v>39</v>
      </c>
      <c r="C198" s="3" t="s">
        <v>41</v>
      </c>
      <c r="D198" s="3" t="s">
        <v>42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44743</v>
      </c>
      <c r="J198" s="4">
        <v>0</v>
      </c>
      <c r="K198" s="4">
        <v>0</v>
      </c>
      <c r="L198" s="4">
        <v>6057.7290000000003</v>
      </c>
      <c r="M198" s="4">
        <v>6057.7290000000003</v>
      </c>
      <c r="N198" s="4">
        <v>6057.7290000000003</v>
      </c>
      <c r="O198" s="4">
        <v>6057.7290000000003</v>
      </c>
      <c r="P198" s="4">
        <v>0</v>
      </c>
      <c r="Q198" s="3" t="s">
        <v>26</v>
      </c>
      <c r="R198" s="3">
        <v>0</v>
      </c>
      <c r="S198" s="3" t="s">
        <v>124</v>
      </c>
      <c r="T198" s="3" t="s">
        <v>350</v>
      </c>
      <c r="U198" s="3">
        <v>0</v>
      </c>
      <c r="V198" s="3">
        <v>31</v>
      </c>
      <c r="W198" s="3">
        <v>59</v>
      </c>
    </row>
    <row r="199" spans="1:23" ht="11.25" customHeight="1" x14ac:dyDescent="0.25">
      <c r="A199" s="3" t="s">
        <v>27</v>
      </c>
      <c r="B199" s="3" t="s">
        <v>39</v>
      </c>
      <c r="C199" s="3" t="s">
        <v>41</v>
      </c>
      <c r="D199" s="3" t="s">
        <v>42</v>
      </c>
      <c r="E199" s="3" t="s">
        <v>25</v>
      </c>
      <c r="F199" s="3" t="s">
        <v>25</v>
      </c>
      <c r="G199" s="3" t="s">
        <v>25</v>
      </c>
      <c r="H199" s="3" t="s">
        <v>35</v>
      </c>
      <c r="I199" s="6">
        <v>44743</v>
      </c>
      <c r="J199" s="4">
        <v>0</v>
      </c>
      <c r="K199" s="4">
        <v>0</v>
      </c>
      <c r="L199" s="4">
        <v>-5.9569999999999999</v>
      </c>
      <c r="M199" s="4">
        <v>-5.9569999999999999</v>
      </c>
      <c r="N199" s="4">
        <v>-5.9569999999999999</v>
      </c>
      <c r="O199" s="4">
        <v>-5.9569999999999999</v>
      </c>
      <c r="P199" s="4">
        <v>0</v>
      </c>
      <c r="Q199" s="3" t="s">
        <v>26</v>
      </c>
      <c r="R199" s="3">
        <v>0</v>
      </c>
      <c r="S199" s="3" t="s">
        <v>124</v>
      </c>
      <c r="T199" s="3" t="s">
        <v>350</v>
      </c>
      <c r="U199" s="3">
        <v>0</v>
      </c>
      <c r="V199" s="3">
        <v>31</v>
      </c>
      <c r="W199" s="3">
        <v>59</v>
      </c>
    </row>
    <row r="200" spans="1:23" ht="11.25" customHeight="1" x14ac:dyDescent="0.25">
      <c r="A200" s="3" t="s">
        <v>28</v>
      </c>
      <c r="B200" s="3" t="s">
        <v>39</v>
      </c>
      <c r="C200" s="3" t="s">
        <v>41</v>
      </c>
      <c r="D200" s="3" t="s">
        <v>42</v>
      </c>
      <c r="E200" s="3" t="s">
        <v>25</v>
      </c>
      <c r="F200" s="3" t="s">
        <v>25</v>
      </c>
      <c r="G200" s="3" t="s">
        <v>25</v>
      </c>
      <c r="H200" s="3" t="s">
        <v>35</v>
      </c>
      <c r="I200" s="6">
        <v>44743</v>
      </c>
      <c r="J200" s="4">
        <v>0</v>
      </c>
      <c r="K200" s="4">
        <v>0</v>
      </c>
      <c r="L200" s="4">
        <v>278.245</v>
      </c>
      <c r="M200" s="4">
        <v>278.245</v>
      </c>
      <c r="N200" s="4">
        <v>278.245</v>
      </c>
      <c r="O200" s="4">
        <v>278.245</v>
      </c>
      <c r="P200" s="4">
        <v>0</v>
      </c>
      <c r="Q200" s="3" t="s">
        <v>26</v>
      </c>
      <c r="R200" s="3">
        <v>0</v>
      </c>
      <c r="S200" s="3" t="s">
        <v>124</v>
      </c>
      <c r="T200" s="3" t="s">
        <v>350</v>
      </c>
      <c r="U200" s="3">
        <v>0</v>
      </c>
      <c r="V200" s="3">
        <v>31</v>
      </c>
      <c r="W200" s="3">
        <v>59</v>
      </c>
    </row>
    <row r="201" spans="1:23" ht="11.25" customHeight="1" x14ac:dyDescent="0.25">
      <c r="A201" s="3" t="s">
        <v>21</v>
      </c>
      <c r="B201" s="3" t="s">
        <v>39</v>
      </c>
      <c r="C201" s="3" t="s">
        <v>41</v>
      </c>
      <c r="D201" s="3" t="s">
        <v>42</v>
      </c>
      <c r="E201" s="3" t="s">
        <v>25</v>
      </c>
      <c r="F201" s="3" t="s">
        <v>25</v>
      </c>
      <c r="G201" s="3" t="s">
        <v>25</v>
      </c>
      <c r="H201" s="3" t="s">
        <v>35</v>
      </c>
      <c r="I201" s="6">
        <v>44774</v>
      </c>
      <c r="J201" s="4">
        <v>0</v>
      </c>
      <c r="K201" s="4">
        <v>0</v>
      </c>
      <c r="L201" s="4">
        <v>6658.6329999999998</v>
      </c>
      <c r="M201" s="4">
        <v>6658.6329999999998</v>
      </c>
      <c r="N201" s="4">
        <v>6658.6329999999998</v>
      </c>
      <c r="O201" s="4">
        <v>6658.6329999999998</v>
      </c>
      <c r="P201" s="4">
        <v>0</v>
      </c>
      <c r="Q201" s="3" t="s">
        <v>26</v>
      </c>
      <c r="R201" s="3">
        <v>0</v>
      </c>
      <c r="S201" s="3" t="s">
        <v>125</v>
      </c>
      <c r="T201" s="3" t="s">
        <v>351</v>
      </c>
      <c r="U201" s="3">
        <v>0</v>
      </c>
      <c r="V201" s="3">
        <v>31</v>
      </c>
      <c r="W201" s="3">
        <v>59</v>
      </c>
    </row>
    <row r="202" spans="1:23" ht="11.25" customHeight="1" x14ac:dyDescent="0.25">
      <c r="A202" s="3" t="s">
        <v>28</v>
      </c>
      <c r="B202" s="3" t="s">
        <v>39</v>
      </c>
      <c r="C202" s="3" t="s">
        <v>41</v>
      </c>
      <c r="D202" s="3" t="s">
        <v>42</v>
      </c>
      <c r="E202" s="3" t="s">
        <v>25</v>
      </c>
      <c r="F202" s="3" t="s">
        <v>25</v>
      </c>
      <c r="G202" s="3" t="s">
        <v>25</v>
      </c>
      <c r="H202" s="3" t="s">
        <v>35</v>
      </c>
      <c r="I202" s="6">
        <v>44774</v>
      </c>
      <c r="J202" s="4">
        <v>0</v>
      </c>
      <c r="K202" s="4">
        <v>0</v>
      </c>
      <c r="L202" s="4">
        <v>297.27300000000002</v>
      </c>
      <c r="M202" s="4">
        <v>297.27300000000002</v>
      </c>
      <c r="N202" s="4">
        <v>297.27300000000002</v>
      </c>
      <c r="O202" s="4">
        <v>297.27300000000002</v>
      </c>
      <c r="P202" s="4">
        <v>0</v>
      </c>
      <c r="Q202" s="3" t="s">
        <v>26</v>
      </c>
      <c r="R202" s="3">
        <v>0</v>
      </c>
      <c r="S202" s="3" t="s">
        <v>125</v>
      </c>
      <c r="T202" s="3" t="s">
        <v>351</v>
      </c>
      <c r="U202" s="3">
        <v>0</v>
      </c>
      <c r="V202" s="3">
        <v>31</v>
      </c>
      <c r="W202" s="3">
        <v>59</v>
      </c>
    </row>
    <row r="203" spans="1:23" ht="11.25" customHeight="1" x14ac:dyDescent="0.25">
      <c r="A203" s="3" t="s">
        <v>21</v>
      </c>
      <c r="B203" s="3" t="s">
        <v>39</v>
      </c>
      <c r="C203" s="3" t="s">
        <v>41</v>
      </c>
      <c r="D203" s="3" t="s">
        <v>42</v>
      </c>
      <c r="E203" s="3" t="s">
        <v>25</v>
      </c>
      <c r="F203" s="3" t="s">
        <v>25</v>
      </c>
      <c r="G203" s="3" t="s">
        <v>25</v>
      </c>
      <c r="H203" s="3" t="s">
        <v>35</v>
      </c>
      <c r="I203" s="6">
        <v>44805</v>
      </c>
      <c r="J203" s="4">
        <v>0</v>
      </c>
      <c r="K203" s="4">
        <v>0</v>
      </c>
      <c r="L203" s="4">
        <v>7128.01</v>
      </c>
      <c r="M203" s="4">
        <v>7128.01</v>
      </c>
      <c r="N203" s="4">
        <v>7128.01</v>
      </c>
      <c r="O203" s="4">
        <v>7128.01</v>
      </c>
      <c r="P203" s="4">
        <v>0</v>
      </c>
      <c r="Q203" s="3" t="s">
        <v>26</v>
      </c>
      <c r="R203" s="3">
        <v>0</v>
      </c>
      <c r="S203" s="3" t="s">
        <v>126</v>
      </c>
      <c r="T203" s="3" t="s">
        <v>352</v>
      </c>
      <c r="U203" s="3">
        <v>0</v>
      </c>
      <c r="V203" s="3">
        <v>31</v>
      </c>
      <c r="W203" s="3">
        <v>59</v>
      </c>
    </row>
    <row r="204" spans="1:23" ht="11.25" customHeight="1" x14ac:dyDescent="0.25">
      <c r="A204" s="3" t="s">
        <v>27</v>
      </c>
      <c r="B204" s="3" t="s">
        <v>39</v>
      </c>
      <c r="C204" s="3" t="s">
        <v>41</v>
      </c>
      <c r="D204" s="3" t="s">
        <v>42</v>
      </c>
      <c r="E204" s="3" t="s">
        <v>25</v>
      </c>
      <c r="F204" s="3" t="s">
        <v>25</v>
      </c>
      <c r="G204" s="3" t="s">
        <v>25</v>
      </c>
      <c r="H204" s="3" t="s">
        <v>35</v>
      </c>
      <c r="I204" s="6">
        <v>44805</v>
      </c>
      <c r="J204" s="4">
        <v>0</v>
      </c>
      <c r="K204" s="4">
        <v>0</v>
      </c>
      <c r="L204" s="4">
        <v>-8.9740000000000002</v>
      </c>
      <c r="M204" s="4">
        <v>-8.9740000000000002</v>
      </c>
      <c r="N204" s="4">
        <v>-8.9740000000000002</v>
      </c>
      <c r="O204" s="4">
        <v>-8.9740000000000002</v>
      </c>
      <c r="P204" s="4">
        <v>0</v>
      </c>
      <c r="Q204" s="3" t="s">
        <v>26</v>
      </c>
      <c r="R204" s="3">
        <v>0</v>
      </c>
      <c r="S204" s="3" t="s">
        <v>126</v>
      </c>
      <c r="T204" s="3" t="s">
        <v>352</v>
      </c>
      <c r="U204" s="3">
        <v>0</v>
      </c>
      <c r="V204" s="3">
        <v>31</v>
      </c>
      <c r="W204" s="3">
        <v>59</v>
      </c>
    </row>
    <row r="205" spans="1:23" ht="11.25" customHeight="1" x14ac:dyDescent="0.25">
      <c r="A205" s="3" t="s">
        <v>28</v>
      </c>
      <c r="B205" s="3" t="s">
        <v>39</v>
      </c>
      <c r="C205" s="3" t="s">
        <v>41</v>
      </c>
      <c r="D205" s="3" t="s">
        <v>42</v>
      </c>
      <c r="E205" s="3" t="s">
        <v>25</v>
      </c>
      <c r="F205" s="3" t="s">
        <v>25</v>
      </c>
      <c r="G205" s="3" t="s">
        <v>25</v>
      </c>
      <c r="H205" s="3" t="s">
        <v>35</v>
      </c>
      <c r="I205" s="6">
        <v>44805</v>
      </c>
      <c r="J205" s="4">
        <v>0</v>
      </c>
      <c r="K205" s="4">
        <v>0</v>
      </c>
      <c r="L205" s="4">
        <v>293.23500000000001</v>
      </c>
      <c r="M205" s="4">
        <v>293.23500000000001</v>
      </c>
      <c r="N205" s="4">
        <v>293.23500000000001</v>
      </c>
      <c r="O205" s="4">
        <v>293.23500000000001</v>
      </c>
      <c r="P205" s="4">
        <v>0</v>
      </c>
      <c r="Q205" s="3" t="s">
        <v>26</v>
      </c>
      <c r="R205" s="3">
        <v>0</v>
      </c>
      <c r="S205" s="3" t="s">
        <v>126</v>
      </c>
      <c r="T205" s="3" t="s">
        <v>352</v>
      </c>
      <c r="U205" s="3">
        <v>0</v>
      </c>
      <c r="V205" s="3">
        <v>31</v>
      </c>
      <c r="W205" s="3">
        <v>59</v>
      </c>
    </row>
    <row r="206" spans="1:23" ht="11.25" customHeight="1" x14ac:dyDescent="0.25">
      <c r="A206" s="3" t="s">
        <v>55</v>
      </c>
      <c r="B206" s="3" t="s">
        <v>39</v>
      </c>
      <c r="C206" s="3" t="s">
        <v>41</v>
      </c>
      <c r="D206" s="3" t="s">
        <v>42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44835</v>
      </c>
      <c r="J206" s="4">
        <v>0</v>
      </c>
      <c r="K206" s="4">
        <v>0</v>
      </c>
      <c r="L206" s="4">
        <v>7128.01</v>
      </c>
      <c r="M206" s="4">
        <v>7128.01</v>
      </c>
      <c r="N206" s="4">
        <v>7128.01</v>
      </c>
      <c r="O206" s="4">
        <v>7128.01</v>
      </c>
      <c r="P206" s="4">
        <v>0</v>
      </c>
      <c r="Q206" s="3" t="s">
        <v>26</v>
      </c>
      <c r="R206" s="3">
        <v>0</v>
      </c>
      <c r="S206" s="3" t="s">
        <v>127</v>
      </c>
      <c r="T206" s="3" t="s">
        <v>353</v>
      </c>
      <c r="U206" s="3">
        <v>0</v>
      </c>
      <c r="V206" s="3">
        <v>31</v>
      </c>
      <c r="W206" s="3">
        <v>59</v>
      </c>
    </row>
    <row r="207" spans="1:23" ht="11.25" customHeight="1" x14ac:dyDescent="0.25">
      <c r="A207" s="3" t="s">
        <v>55</v>
      </c>
      <c r="B207" s="3" t="s">
        <v>39</v>
      </c>
      <c r="C207" s="3" t="s">
        <v>41</v>
      </c>
      <c r="D207" s="3" t="s">
        <v>42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44835</v>
      </c>
      <c r="J207" s="4">
        <v>0</v>
      </c>
      <c r="K207" s="4">
        <v>0</v>
      </c>
      <c r="L207" s="4">
        <v>-8.9740000000000002</v>
      </c>
      <c r="M207" s="4">
        <v>-8.9740000000000002</v>
      </c>
      <c r="N207" s="4">
        <v>-8.9740000000000002</v>
      </c>
      <c r="O207" s="4">
        <v>-8.9740000000000002</v>
      </c>
      <c r="P207" s="4">
        <v>0</v>
      </c>
      <c r="Q207" s="3" t="s">
        <v>26</v>
      </c>
      <c r="R207" s="3">
        <v>0</v>
      </c>
      <c r="S207" s="3" t="s">
        <v>127</v>
      </c>
      <c r="T207" s="3" t="s">
        <v>353</v>
      </c>
      <c r="U207" s="3">
        <v>0</v>
      </c>
      <c r="V207" s="3">
        <v>31</v>
      </c>
      <c r="W207" s="3">
        <v>59</v>
      </c>
    </row>
    <row r="208" spans="1:23" ht="11.25" customHeight="1" x14ac:dyDescent="0.25">
      <c r="A208" s="3" t="s">
        <v>55</v>
      </c>
      <c r="B208" s="3" t="s">
        <v>39</v>
      </c>
      <c r="C208" s="3" t="s">
        <v>41</v>
      </c>
      <c r="D208" s="3" t="s">
        <v>42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44835</v>
      </c>
      <c r="J208" s="4">
        <v>0</v>
      </c>
      <c r="K208" s="4">
        <v>0</v>
      </c>
      <c r="L208" s="4">
        <v>293.23500000000001</v>
      </c>
      <c r="M208" s="4">
        <v>293.23500000000001</v>
      </c>
      <c r="N208" s="4">
        <v>293.23500000000001</v>
      </c>
      <c r="O208" s="4">
        <v>293.23500000000001</v>
      </c>
      <c r="P208" s="4">
        <v>0</v>
      </c>
      <c r="Q208" s="3" t="s">
        <v>26</v>
      </c>
      <c r="R208" s="3">
        <v>0</v>
      </c>
      <c r="S208" s="3" t="s">
        <v>127</v>
      </c>
      <c r="T208" s="3" t="s">
        <v>353</v>
      </c>
      <c r="U208" s="3">
        <v>0</v>
      </c>
      <c r="V208" s="3">
        <v>31</v>
      </c>
      <c r="W208" s="3">
        <v>59</v>
      </c>
    </row>
    <row r="209" spans="1:23" ht="11.25" customHeight="1" x14ac:dyDescent="0.25">
      <c r="A209" s="3" t="s">
        <v>21</v>
      </c>
      <c r="B209" s="3" t="s">
        <v>39</v>
      </c>
      <c r="C209" s="3" t="s">
        <v>41</v>
      </c>
      <c r="D209" s="3" t="s">
        <v>42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44501</v>
      </c>
      <c r="J209" s="4">
        <v>34108</v>
      </c>
      <c r="K209" s="4">
        <v>34108</v>
      </c>
      <c r="L209" s="4">
        <v>0</v>
      </c>
      <c r="M209" s="4">
        <v>0</v>
      </c>
      <c r="N209" s="4">
        <v>0</v>
      </c>
      <c r="O209" s="4">
        <v>0</v>
      </c>
      <c r="P209" s="4">
        <v>237</v>
      </c>
      <c r="Q209" s="3" t="s">
        <v>26</v>
      </c>
      <c r="R209" s="3">
        <v>0</v>
      </c>
      <c r="S209" s="3" t="s">
        <v>128</v>
      </c>
      <c r="U209" s="3">
        <v>18</v>
      </c>
      <c r="V209" s="3">
        <v>0</v>
      </c>
      <c r="W209" s="3">
        <v>0</v>
      </c>
    </row>
    <row r="210" spans="1:23" ht="11.25" customHeight="1" x14ac:dyDescent="0.25">
      <c r="A210" s="3" t="s">
        <v>27</v>
      </c>
      <c r="B210" s="3" t="s">
        <v>39</v>
      </c>
      <c r="C210" s="3" t="s">
        <v>41</v>
      </c>
      <c r="D210" s="3" t="s">
        <v>42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44501</v>
      </c>
      <c r="J210" s="4">
        <v>-220</v>
      </c>
      <c r="K210" s="4">
        <v>-220</v>
      </c>
      <c r="L210" s="4">
        <v>0</v>
      </c>
      <c r="M210" s="4">
        <v>0</v>
      </c>
      <c r="N210" s="4">
        <v>0</v>
      </c>
      <c r="O210" s="4">
        <v>0</v>
      </c>
      <c r="P210" s="4">
        <v>-3</v>
      </c>
      <c r="Q210" s="3" t="s">
        <v>26</v>
      </c>
      <c r="R210" s="3">
        <v>0</v>
      </c>
      <c r="S210" s="3" t="s">
        <v>128</v>
      </c>
      <c r="U210" s="3">
        <v>18</v>
      </c>
      <c r="V210" s="3">
        <v>0</v>
      </c>
      <c r="W210" s="3">
        <v>0</v>
      </c>
    </row>
    <row r="211" spans="1:23" ht="11.25" customHeight="1" x14ac:dyDescent="0.25">
      <c r="A211" s="3" t="s">
        <v>28</v>
      </c>
      <c r="B211" s="3" t="s">
        <v>39</v>
      </c>
      <c r="C211" s="3" t="s">
        <v>41</v>
      </c>
      <c r="D211" s="3" t="s">
        <v>42</v>
      </c>
      <c r="E211" s="3" t="s">
        <v>25</v>
      </c>
      <c r="F211" s="3" t="s">
        <v>25</v>
      </c>
      <c r="G211" s="3" t="s">
        <v>25</v>
      </c>
      <c r="H211" s="3" t="s">
        <v>25</v>
      </c>
      <c r="I211" s="6">
        <v>44501</v>
      </c>
      <c r="J211" s="4">
        <v>1165</v>
      </c>
      <c r="K211" s="4">
        <v>1165</v>
      </c>
      <c r="L211" s="4">
        <v>0</v>
      </c>
      <c r="M211" s="4">
        <v>0</v>
      </c>
      <c r="N211" s="4">
        <v>0</v>
      </c>
      <c r="O211" s="4">
        <v>0</v>
      </c>
      <c r="P211" s="4">
        <v>11</v>
      </c>
      <c r="Q211" s="3" t="s">
        <v>26</v>
      </c>
      <c r="R211" s="3">
        <v>0</v>
      </c>
      <c r="S211" s="3" t="s">
        <v>128</v>
      </c>
      <c r="U211" s="3">
        <v>18</v>
      </c>
      <c r="V211" s="3">
        <v>0</v>
      </c>
      <c r="W211" s="3">
        <v>0</v>
      </c>
    </row>
    <row r="212" spans="1:23" ht="11.25" customHeight="1" x14ac:dyDescent="0.25">
      <c r="A212" s="3" t="s">
        <v>21</v>
      </c>
      <c r="B212" s="3" t="s">
        <v>39</v>
      </c>
      <c r="C212" s="3" t="s">
        <v>41</v>
      </c>
      <c r="D212" s="3" t="s">
        <v>42</v>
      </c>
      <c r="E212" s="3" t="s">
        <v>25</v>
      </c>
      <c r="F212" s="3" t="s">
        <v>25</v>
      </c>
      <c r="G212" s="3" t="s">
        <v>25</v>
      </c>
      <c r="H212" s="3" t="s">
        <v>25</v>
      </c>
      <c r="I212" s="6">
        <v>44531</v>
      </c>
      <c r="J212" s="4">
        <v>33916</v>
      </c>
      <c r="K212" s="4">
        <v>33916</v>
      </c>
      <c r="L212" s="4">
        <v>0</v>
      </c>
      <c r="M212" s="4">
        <v>0</v>
      </c>
      <c r="N212" s="4">
        <v>0</v>
      </c>
      <c r="O212" s="4">
        <v>0</v>
      </c>
      <c r="P212" s="4">
        <v>238</v>
      </c>
      <c r="Q212" s="3" t="s">
        <v>26</v>
      </c>
      <c r="R212" s="3">
        <v>0</v>
      </c>
      <c r="S212" s="3" t="s">
        <v>129</v>
      </c>
      <c r="U212" s="3">
        <v>18</v>
      </c>
      <c r="V212" s="3">
        <v>0</v>
      </c>
      <c r="W212" s="3">
        <v>0</v>
      </c>
    </row>
    <row r="213" spans="1:23" ht="11.25" customHeight="1" x14ac:dyDescent="0.25">
      <c r="A213" s="3" t="s">
        <v>27</v>
      </c>
      <c r="B213" s="3" t="s">
        <v>39</v>
      </c>
      <c r="C213" s="3" t="s">
        <v>41</v>
      </c>
      <c r="D213" s="3" t="s">
        <v>42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44531</v>
      </c>
      <c r="J213" s="4">
        <v>52</v>
      </c>
      <c r="K213" s="4">
        <v>52</v>
      </c>
      <c r="L213" s="4">
        <v>0</v>
      </c>
      <c r="M213" s="4">
        <v>0</v>
      </c>
      <c r="N213" s="4">
        <v>0</v>
      </c>
      <c r="O213" s="4">
        <v>0</v>
      </c>
      <c r="P213" s="4">
        <v>1</v>
      </c>
      <c r="Q213" s="3" t="s">
        <v>26</v>
      </c>
      <c r="R213" s="3">
        <v>0</v>
      </c>
      <c r="S213" s="3" t="s">
        <v>129</v>
      </c>
      <c r="U213" s="3">
        <v>18</v>
      </c>
      <c r="V213" s="3">
        <v>0</v>
      </c>
      <c r="W213" s="3">
        <v>0</v>
      </c>
    </row>
    <row r="214" spans="1:23" ht="11.25" customHeight="1" x14ac:dyDescent="0.25">
      <c r="A214" s="3" t="s">
        <v>28</v>
      </c>
      <c r="B214" s="3" t="s">
        <v>39</v>
      </c>
      <c r="C214" s="3" t="s">
        <v>41</v>
      </c>
      <c r="D214" s="3" t="s">
        <v>42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44531</v>
      </c>
      <c r="J214" s="4">
        <v>1230</v>
      </c>
      <c r="K214" s="4">
        <v>1230</v>
      </c>
      <c r="L214" s="4">
        <v>0</v>
      </c>
      <c r="M214" s="4">
        <v>0</v>
      </c>
      <c r="N214" s="4">
        <v>0</v>
      </c>
      <c r="O214" s="4">
        <v>0</v>
      </c>
      <c r="P214" s="4">
        <v>12</v>
      </c>
      <c r="Q214" s="3" t="s">
        <v>26</v>
      </c>
      <c r="R214" s="3">
        <v>0</v>
      </c>
      <c r="S214" s="3" t="s">
        <v>129</v>
      </c>
      <c r="U214" s="3">
        <v>18</v>
      </c>
      <c r="V214" s="3">
        <v>0</v>
      </c>
      <c r="W214" s="3">
        <v>0</v>
      </c>
    </row>
    <row r="215" spans="1:23" ht="11.25" customHeight="1" x14ac:dyDescent="0.25">
      <c r="A215" s="3" t="s">
        <v>21</v>
      </c>
      <c r="B215" s="3" t="s">
        <v>39</v>
      </c>
      <c r="C215" s="3" t="s">
        <v>41</v>
      </c>
      <c r="D215" s="3" t="s">
        <v>42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44562</v>
      </c>
      <c r="J215" s="4">
        <v>34045</v>
      </c>
      <c r="K215" s="4">
        <v>34045</v>
      </c>
      <c r="L215" s="4">
        <v>0</v>
      </c>
      <c r="M215" s="4">
        <v>0</v>
      </c>
      <c r="N215" s="4">
        <v>0</v>
      </c>
      <c r="O215" s="4">
        <v>0</v>
      </c>
      <c r="P215" s="4">
        <v>237</v>
      </c>
      <c r="Q215" s="3" t="s">
        <v>26</v>
      </c>
      <c r="R215" s="3">
        <v>0</v>
      </c>
      <c r="S215" s="3" t="s">
        <v>130</v>
      </c>
      <c r="U215" s="3">
        <v>18</v>
      </c>
      <c r="V215" s="3">
        <v>0</v>
      </c>
      <c r="W215" s="3">
        <v>0</v>
      </c>
    </row>
    <row r="216" spans="1:23" ht="11.25" customHeight="1" x14ac:dyDescent="0.25">
      <c r="A216" s="3" t="s">
        <v>28</v>
      </c>
      <c r="B216" s="3" t="s">
        <v>39</v>
      </c>
      <c r="C216" s="3" t="s">
        <v>41</v>
      </c>
      <c r="D216" s="3" t="s">
        <v>42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44562</v>
      </c>
      <c r="J216" s="4">
        <v>1236</v>
      </c>
      <c r="K216" s="4">
        <v>1236</v>
      </c>
      <c r="L216" s="4">
        <v>0</v>
      </c>
      <c r="M216" s="4">
        <v>0</v>
      </c>
      <c r="N216" s="4">
        <v>0</v>
      </c>
      <c r="O216" s="4">
        <v>0</v>
      </c>
      <c r="P216" s="4">
        <v>12</v>
      </c>
      <c r="Q216" s="3" t="s">
        <v>26</v>
      </c>
      <c r="R216" s="3">
        <v>0</v>
      </c>
      <c r="S216" s="3" t="s">
        <v>130</v>
      </c>
      <c r="U216" s="3">
        <v>18</v>
      </c>
      <c r="V216" s="3">
        <v>0</v>
      </c>
      <c r="W216" s="3">
        <v>0</v>
      </c>
    </row>
    <row r="217" spans="1:23" ht="11.25" customHeight="1" x14ac:dyDescent="0.25">
      <c r="A217" s="3" t="s">
        <v>21</v>
      </c>
      <c r="B217" s="3" t="s">
        <v>39</v>
      </c>
      <c r="C217" s="3" t="s">
        <v>41</v>
      </c>
      <c r="D217" s="3" t="s">
        <v>42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44593</v>
      </c>
      <c r="J217" s="4">
        <v>34079</v>
      </c>
      <c r="K217" s="4">
        <v>34079</v>
      </c>
      <c r="L217" s="4">
        <v>0</v>
      </c>
      <c r="M217" s="4">
        <v>0</v>
      </c>
      <c r="N217" s="4">
        <v>0</v>
      </c>
      <c r="O217" s="4">
        <v>0</v>
      </c>
      <c r="P217" s="4">
        <v>237</v>
      </c>
      <c r="Q217" s="3" t="s">
        <v>26</v>
      </c>
      <c r="R217" s="3">
        <v>0</v>
      </c>
      <c r="S217" s="3" t="s">
        <v>131</v>
      </c>
      <c r="U217" s="3">
        <v>18</v>
      </c>
      <c r="V217" s="3">
        <v>0</v>
      </c>
      <c r="W217" s="3">
        <v>0</v>
      </c>
    </row>
    <row r="218" spans="1:23" ht="11.25" customHeight="1" x14ac:dyDescent="0.25">
      <c r="A218" s="3" t="s">
        <v>28</v>
      </c>
      <c r="B218" s="3" t="s">
        <v>39</v>
      </c>
      <c r="C218" s="3" t="s">
        <v>41</v>
      </c>
      <c r="D218" s="3" t="s">
        <v>42</v>
      </c>
      <c r="E218" s="3" t="s">
        <v>25</v>
      </c>
      <c r="F218" s="3" t="s">
        <v>25</v>
      </c>
      <c r="G218" s="3" t="s">
        <v>25</v>
      </c>
      <c r="H218" s="3" t="s">
        <v>25</v>
      </c>
      <c r="I218" s="6">
        <v>44593</v>
      </c>
      <c r="J218" s="4">
        <v>1230</v>
      </c>
      <c r="K218" s="4">
        <v>1230</v>
      </c>
      <c r="L218" s="4">
        <v>0</v>
      </c>
      <c r="M218" s="4">
        <v>0</v>
      </c>
      <c r="N218" s="4">
        <v>0</v>
      </c>
      <c r="O218" s="4">
        <v>0</v>
      </c>
      <c r="P218" s="4">
        <v>13</v>
      </c>
      <c r="Q218" s="3" t="s">
        <v>26</v>
      </c>
      <c r="R218" s="3">
        <v>0</v>
      </c>
      <c r="S218" s="3" t="s">
        <v>131</v>
      </c>
      <c r="U218" s="3">
        <v>18</v>
      </c>
      <c r="V218" s="3">
        <v>0</v>
      </c>
      <c r="W218" s="3">
        <v>0</v>
      </c>
    </row>
    <row r="219" spans="1:23" ht="11.25" customHeight="1" x14ac:dyDescent="0.25">
      <c r="A219" s="3" t="s">
        <v>21</v>
      </c>
      <c r="B219" s="3" t="s">
        <v>39</v>
      </c>
      <c r="C219" s="3" t="s">
        <v>41</v>
      </c>
      <c r="D219" s="3" t="s">
        <v>42</v>
      </c>
      <c r="E219" s="3" t="s">
        <v>25</v>
      </c>
      <c r="F219" s="3" t="s">
        <v>25</v>
      </c>
      <c r="G219" s="3" t="s">
        <v>25</v>
      </c>
      <c r="H219" s="3" t="s">
        <v>25</v>
      </c>
      <c r="I219" s="6">
        <v>44621</v>
      </c>
      <c r="J219" s="4">
        <v>33747</v>
      </c>
      <c r="K219" s="4">
        <v>33747</v>
      </c>
      <c r="L219" s="4">
        <v>0</v>
      </c>
      <c r="M219" s="4">
        <v>0</v>
      </c>
      <c r="N219" s="4">
        <v>0</v>
      </c>
      <c r="O219" s="4">
        <v>0</v>
      </c>
      <c r="P219" s="4">
        <v>237</v>
      </c>
      <c r="Q219" s="3" t="s">
        <v>26</v>
      </c>
      <c r="R219" s="3">
        <v>0</v>
      </c>
      <c r="S219" s="3" t="s">
        <v>132</v>
      </c>
      <c r="U219" s="3">
        <v>18</v>
      </c>
      <c r="V219" s="3">
        <v>0</v>
      </c>
      <c r="W219" s="3">
        <v>0</v>
      </c>
    </row>
    <row r="220" spans="1:23" ht="11.25" customHeight="1" x14ac:dyDescent="0.25">
      <c r="A220" s="3" t="s">
        <v>27</v>
      </c>
      <c r="B220" s="3" t="s">
        <v>39</v>
      </c>
      <c r="C220" s="3" t="s">
        <v>41</v>
      </c>
      <c r="D220" s="3" t="s">
        <v>42</v>
      </c>
      <c r="E220" s="3" t="s">
        <v>25</v>
      </c>
      <c r="F220" s="3" t="s">
        <v>25</v>
      </c>
      <c r="G220" s="3" t="s">
        <v>25</v>
      </c>
      <c r="H220" s="3" t="s">
        <v>25</v>
      </c>
      <c r="I220" s="6">
        <v>44621</v>
      </c>
      <c r="J220" s="4">
        <v>225</v>
      </c>
      <c r="K220" s="4">
        <v>225</v>
      </c>
      <c r="L220" s="4">
        <v>0</v>
      </c>
      <c r="M220" s="4">
        <v>0</v>
      </c>
      <c r="N220" s="4">
        <v>0</v>
      </c>
      <c r="O220" s="4">
        <v>0</v>
      </c>
      <c r="P220" s="4">
        <v>1</v>
      </c>
      <c r="Q220" s="3" t="s">
        <v>26</v>
      </c>
      <c r="R220" s="3">
        <v>0</v>
      </c>
      <c r="S220" s="3" t="s">
        <v>132</v>
      </c>
      <c r="U220" s="3">
        <v>18</v>
      </c>
      <c r="V220" s="3">
        <v>0</v>
      </c>
      <c r="W220" s="3">
        <v>0</v>
      </c>
    </row>
    <row r="221" spans="1:23" ht="11.25" customHeight="1" x14ac:dyDescent="0.25">
      <c r="A221" s="3" t="s">
        <v>28</v>
      </c>
      <c r="B221" s="3" t="s">
        <v>39</v>
      </c>
      <c r="C221" s="3" t="s">
        <v>41</v>
      </c>
      <c r="D221" s="3" t="s">
        <v>42</v>
      </c>
      <c r="E221" s="3" t="s">
        <v>25</v>
      </c>
      <c r="F221" s="3" t="s">
        <v>25</v>
      </c>
      <c r="G221" s="3" t="s">
        <v>25</v>
      </c>
      <c r="H221" s="3" t="s">
        <v>25</v>
      </c>
      <c r="I221" s="6">
        <v>44621</v>
      </c>
      <c r="J221" s="4">
        <v>4280</v>
      </c>
      <c r="K221" s="4">
        <v>4280</v>
      </c>
      <c r="L221" s="4">
        <v>0</v>
      </c>
      <c r="M221" s="4">
        <v>0</v>
      </c>
      <c r="N221" s="4">
        <v>0</v>
      </c>
      <c r="O221" s="4">
        <v>0</v>
      </c>
      <c r="P221" s="4">
        <v>14</v>
      </c>
      <c r="Q221" s="3" t="s">
        <v>26</v>
      </c>
      <c r="R221" s="3">
        <v>0</v>
      </c>
      <c r="S221" s="3" t="s">
        <v>132</v>
      </c>
      <c r="U221" s="3">
        <v>18</v>
      </c>
      <c r="V221" s="3">
        <v>0</v>
      </c>
      <c r="W221" s="3">
        <v>0</v>
      </c>
    </row>
    <row r="222" spans="1:23" ht="11.25" customHeight="1" x14ac:dyDescent="0.25">
      <c r="A222" s="3" t="s">
        <v>28</v>
      </c>
      <c r="B222" s="3" t="s">
        <v>39</v>
      </c>
      <c r="C222" s="3" t="s">
        <v>41</v>
      </c>
      <c r="D222" s="3" t="s">
        <v>42</v>
      </c>
      <c r="E222" s="3" t="s">
        <v>25</v>
      </c>
      <c r="F222" s="3" t="s">
        <v>25</v>
      </c>
      <c r="G222" s="3" t="s">
        <v>25</v>
      </c>
      <c r="H222" s="3" t="s">
        <v>25</v>
      </c>
      <c r="I222" s="6">
        <v>44621</v>
      </c>
      <c r="J222" s="4">
        <v>1200</v>
      </c>
      <c r="K222" s="4">
        <v>1200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3" t="s">
        <v>26</v>
      </c>
      <c r="R222" s="3">
        <v>0</v>
      </c>
      <c r="S222" s="3" t="s">
        <v>132</v>
      </c>
      <c r="U222" s="3">
        <v>18</v>
      </c>
      <c r="V222" s="3">
        <v>0</v>
      </c>
      <c r="W222" s="3">
        <v>0</v>
      </c>
    </row>
    <row r="223" spans="1:23" ht="11.25" customHeight="1" x14ac:dyDescent="0.25">
      <c r="A223" s="3" t="s">
        <v>21</v>
      </c>
      <c r="B223" s="3" t="s">
        <v>39</v>
      </c>
      <c r="C223" s="3" t="s">
        <v>41</v>
      </c>
      <c r="D223" s="3" t="s">
        <v>42</v>
      </c>
      <c r="E223" s="3" t="s">
        <v>25</v>
      </c>
      <c r="F223" s="3" t="s">
        <v>25</v>
      </c>
      <c r="G223" s="3" t="s">
        <v>25</v>
      </c>
      <c r="H223" s="3" t="s">
        <v>25</v>
      </c>
      <c r="I223" s="6">
        <v>44652</v>
      </c>
      <c r="J223" s="4">
        <v>33747</v>
      </c>
      <c r="K223" s="4">
        <v>33747</v>
      </c>
      <c r="L223" s="4">
        <v>0</v>
      </c>
      <c r="M223" s="4">
        <v>0</v>
      </c>
      <c r="N223" s="4">
        <v>0</v>
      </c>
      <c r="O223" s="4">
        <v>0</v>
      </c>
      <c r="P223" s="4">
        <v>237</v>
      </c>
      <c r="Q223" s="3" t="s">
        <v>26</v>
      </c>
      <c r="R223" s="3">
        <v>0</v>
      </c>
      <c r="S223" s="3" t="s">
        <v>133</v>
      </c>
      <c r="U223" s="3">
        <v>18</v>
      </c>
      <c r="V223" s="3">
        <v>0</v>
      </c>
      <c r="W223" s="3">
        <v>0</v>
      </c>
    </row>
    <row r="224" spans="1:23" ht="11.25" customHeight="1" x14ac:dyDescent="0.25">
      <c r="A224" s="3" t="s">
        <v>27</v>
      </c>
      <c r="B224" s="3" t="s">
        <v>39</v>
      </c>
      <c r="C224" s="3" t="s">
        <v>41</v>
      </c>
      <c r="D224" s="3" t="s">
        <v>42</v>
      </c>
      <c r="E224" s="3" t="s">
        <v>25</v>
      </c>
      <c r="F224" s="3" t="s">
        <v>25</v>
      </c>
      <c r="G224" s="3" t="s">
        <v>25</v>
      </c>
      <c r="H224" s="3" t="s">
        <v>25</v>
      </c>
      <c r="I224" s="6">
        <v>44652</v>
      </c>
      <c r="J224" s="4">
        <v>225</v>
      </c>
      <c r="K224" s="4">
        <v>225</v>
      </c>
      <c r="L224" s="4">
        <v>0</v>
      </c>
      <c r="M224" s="4">
        <v>0</v>
      </c>
      <c r="N224" s="4">
        <v>0</v>
      </c>
      <c r="O224" s="4">
        <v>0</v>
      </c>
      <c r="P224" s="4">
        <v>1</v>
      </c>
      <c r="Q224" s="3" t="s">
        <v>26</v>
      </c>
      <c r="R224" s="3">
        <v>0</v>
      </c>
      <c r="S224" s="3" t="s">
        <v>133</v>
      </c>
      <c r="U224" s="3">
        <v>18</v>
      </c>
      <c r="V224" s="3">
        <v>0</v>
      </c>
      <c r="W224" s="3">
        <v>0</v>
      </c>
    </row>
    <row r="225" spans="1:23" ht="11.25" customHeight="1" x14ac:dyDescent="0.25">
      <c r="A225" s="3" t="s">
        <v>28</v>
      </c>
      <c r="B225" s="3" t="s">
        <v>39</v>
      </c>
      <c r="C225" s="3" t="s">
        <v>41</v>
      </c>
      <c r="D225" s="3" t="s">
        <v>42</v>
      </c>
      <c r="E225" s="3" t="s">
        <v>25</v>
      </c>
      <c r="F225" s="3" t="s">
        <v>25</v>
      </c>
      <c r="G225" s="3" t="s">
        <v>25</v>
      </c>
      <c r="H225" s="3" t="s">
        <v>25</v>
      </c>
      <c r="I225" s="6">
        <v>44652</v>
      </c>
      <c r="J225" s="4">
        <v>4280</v>
      </c>
      <c r="K225" s="4">
        <v>4280</v>
      </c>
      <c r="L225" s="4">
        <v>0</v>
      </c>
      <c r="M225" s="4">
        <v>0</v>
      </c>
      <c r="N225" s="4">
        <v>0</v>
      </c>
      <c r="O225" s="4">
        <v>0</v>
      </c>
      <c r="P225" s="4">
        <v>14</v>
      </c>
      <c r="Q225" s="3" t="s">
        <v>26</v>
      </c>
      <c r="R225" s="3">
        <v>0</v>
      </c>
      <c r="S225" s="3" t="s">
        <v>133</v>
      </c>
      <c r="U225" s="3">
        <v>18</v>
      </c>
      <c r="V225" s="3">
        <v>0</v>
      </c>
      <c r="W225" s="3">
        <v>0</v>
      </c>
    </row>
    <row r="226" spans="1:23" ht="11.25" customHeight="1" x14ac:dyDescent="0.25">
      <c r="A226" s="3" t="s">
        <v>28</v>
      </c>
      <c r="B226" s="3" t="s">
        <v>39</v>
      </c>
      <c r="C226" s="3" t="s">
        <v>41</v>
      </c>
      <c r="D226" s="3" t="s">
        <v>42</v>
      </c>
      <c r="E226" s="3" t="s">
        <v>25</v>
      </c>
      <c r="F226" s="3" t="s">
        <v>25</v>
      </c>
      <c r="G226" s="3" t="s">
        <v>25</v>
      </c>
      <c r="H226" s="3" t="s">
        <v>25</v>
      </c>
      <c r="I226" s="6">
        <v>44652</v>
      </c>
      <c r="J226" s="4">
        <v>1200</v>
      </c>
      <c r="K226" s="4">
        <v>1200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3" t="s">
        <v>26</v>
      </c>
      <c r="R226" s="3">
        <v>0</v>
      </c>
      <c r="S226" s="3" t="s">
        <v>133</v>
      </c>
      <c r="U226" s="3">
        <v>18</v>
      </c>
      <c r="V226" s="3">
        <v>0</v>
      </c>
      <c r="W226" s="3">
        <v>0</v>
      </c>
    </row>
    <row r="227" spans="1:23" ht="11.25" customHeight="1" x14ac:dyDescent="0.25">
      <c r="A227" s="3" t="s">
        <v>21</v>
      </c>
      <c r="B227" s="3" t="s">
        <v>39</v>
      </c>
      <c r="C227" s="3" t="s">
        <v>41</v>
      </c>
      <c r="D227" s="3" t="s">
        <v>42</v>
      </c>
      <c r="E227" s="3" t="s">
        <v>25</v>
      </c>
      <c r="F227" s="3" t="s">
        <v>25</v>
      </c>
      <c r="G227" s="3" t="s">
        <v>25</v>
      </c>
      <c r="H227" s="3" t="s">
        <v>25</v>
      </c>
      <c r="I227" s="6">
        <v>44682</v>
      </c>
      <c r="J227" s="4">
        <v>33657</v>
      </c>
      <c r="K227" s="4">
        <v>33657</v>
      </c>
      <c r="L227" s="4">
        <v>0</v>
      </c>
      <c r="M227" s="4">
        <v>0</v>
      </c>
      <c r="N227" s="4">
        <v>0</v>
      </c>
      <c r="O227" s="4">
        <v>0</v>
      </c>
      <c r="P227" s="4">
        <v>238</v>
      </c>
      <c r="Q227" s="3" t="s">
        <v>26</v>
      </c>
      <c r="R227" s="3">
        <v>0</v>
      </c>
      <c r="S227" s="3" t="s">
        <v>134</v>
      </c>
      <c r="U227" s="3">
        <v>18</v>
      </c>
      <c r="V227" s="3">
        <v>0</v>
      </c>
      <c r="W227" s="3">
        <v>0</v>
      </c>
    </row>
    <row r="228" spans="1:23" ht="11.25" customHeight="1" x14ac:dyDescent="0.25">
      <c r="A228" s="3" t="s">
        <v>27</v>
      </c>
      <c r="B228" s="3" t="s">
        <v>39</v>
      </c>
      <c r="C228" s="3" t="s">
        <v>41</v>
      </c>
      <c r="D228" s="3" t="s">
        <v>42</v>
      </c>
      <c r="E228" s="3" t="s">
        <v>25</v>
      </c>
      <c r="F228" s="3" t="s">
        <v>25</v>
      </c>
      <c r="G228" s="3" t="s">
        <v>25</v>
      </c>
      <c r="H228" s="3" t="s">
        <v>25</v>
      </c>
      <c r="I228" s="6">
        <v>44682</v>
      </c>
      <c r="J228" s="4">
        <v>-644</v>
      </c>
      <c r="K228" s="4">
        <v>-644</v>
      </c>
      <c r="L228" s="4">
        <v>0</v>
      </c>
      <c r="M228" s="4">
        <v>0</v>
      </c>
      <c r="N228" s="4">
        <v>0</v>
      </c>
      <c r="O228" s="4">
        <v>0</v>
      </c>
      <c r="P228" s="4">
        <v>-4</v>
      </c>
      <c r="Q228" s="3" t="s">
        <v>26</v>
      </c>
      <c r="R228" s="3">
        <v>0</v>
      </c>
      <c r="S228" s="3" t="s">
        <v>134</v>
      </c>
      <c r="U228" s="3">
        <v>18</v>
      </c>
      <c r="V228" s="3">
        <v>0</v>
      </c>
      <c r="W228" s="3">
        <v>0</v>
      </c>
    </row>
    <row r="229" spans="1:23" ht="11.25" customHeight="1" x14ac:dyDescent="0.25">
      <c r="A229" s="3" t="s">
        <v>28</v>
      </c>
      <c r="B229" s="3" t="s">
        <v>39</v>
      </c>
      <c r="C229" s="3" t="s">
        <v>41</v>
      </c>
      <c r="D229" s="3" t="s">
        <v>42</v>
      </c>
      <c r="E229" s="3" t="s">
        <v>25</v>
      </c>
      <c r="F229" s="3" t="s">
        <v>25</v>
      </c>
      <c r="G229" s="3" t="s">
        <v>25</v>
      </c>
      <c r="H229" s="3" t="s">
        <v>25</v>
      </c>
      <c r="I229" s="6">
        <v>44682</v>
      </c>
      <c r="J229" s="4">
        <v>12036</v>
      </c>
      <c r="K229" s="4">
        <v>12036</v>
      </c>
      <c r="L229" s="4">
        <v>0</v>
      </c>
      <c r="M229" s="4">
        <v>0</v>
      </c>
      <c r="N229" s="4">
        <v>0</v>
      </c>
      <c r="O229" s="4">
        <v>0</v>
      </c>
      <c r="P229" s="4">
        <v>56</v>
      </c>
      <c r="Q229" s="3" t="s">
        <v>26</v>
      </c>
      <c r="R229" s="3">
        <v>0</v>
      </c>
      <c r="S229" s="3" t="s">
        <v>134</v>
      </c>
      <c r="U229" s="3">
        <v>18</v>
      </c>
      <c r="V229" s="3">
        <v>0</v>
      </c>
      <c r="W229" s="3">
        <v>0</v>
      </c>
    </row>
    <row r="230" spans="1:23" ht="11.25" customHeight="1" x14ac:dyDescent="0.25">
      <c r="A230" s="3" t="s">
        <v>21</v>
      </c>
      <c r="B230" s="3" t="s">
        <v>39</v>
      </c>
      <c r="C230" s="3" t="s">
        <v>41</v>
      </c>
      <c r="D230" s="3" t="s">
        <v>42</v>
      </c>
      <c r="E230" s="3" t="s">
        <v>25</v>
      </c>
      <c r="F230" s="3" t="s">
        <v>25</v>
      </c>
      <c r="G230" s="3" t="s">
        <v>25</v>
      </c>
      <c r="H230" s="3" t="s">
        <v>25</v>
      </c>
      <c r="I230" s="6">
        <v>44713</v>
      </c>
      <c r="J230" s="4">
        <v>33727</v>
      </c>
      <c r="K230" s="4">
        <v>33727</v>
      </c>
      <c r="L230" s="4">
        <v>0</v>
      </c>
      <c r="M230" s="4">
        <v>0</v>
      </c>
      <c r="N230" s="4">
        <v>0</v>
      </c>
      <c r="O230" s="4">
        <v>0</v>
      </c>
      <c r="P230" s="4">
        <v>236</v>
      </c>
      <c r="Q230" s="3" t="s">
        <v>26</v>
      </c>
      <c r="R230" s="3">
        <v>0</v>
      </c>
      <c r="S230" s="3" t="s">
        <v>135</v>
      </c>
      <c r="U230" s="3">
        <v>18</v>
      </c>
      <c r="V230" s="3">
        <v>0</v>
      </c>
      <c r="W230" s="3">
        <v>0</v>
      </c>
    </row>
    <row r="231" spans="1:23" ht="11.25" customHeight="1" x14ac:dyDescent="0.25">
      <c r="A231" s="3" t="s">
        <v>27</v>
      </c>
      <c r="B231" s="3" t="s">
        <v>39</v>
      </c>
      <c r="C231" s="3" t="s">
        <v>41</v>
      </c>
      <c r="D231" s="3" t="s">
        <v>42</v>
      </c>
      <c r="E231" s="3" t="s">
        <v>25</v>
      </c>
      <c r="F231" s="3" t="s">
        <v>25</v>
      </c>
      <c r="G231" s="3" t="s">
        <v>25</v>
      </c>
      <c r="H231" s="3" t="s">
        <v>25</v>
      </c>
      <c r="I231" s="6">
        <v>44713</v>
      </c>
      <c r="J231" s="4">
        <v>-1911</v>
      </c>
      <c r="K231" s="4">
        <v>-1911</v>
      </c>
      <c r="L231" s="4">
        <v>0</v>
      </c>
      <c r="M231" s="4">
        <v>0</v>
      </c>
      <c r="N231" s="4">
        <v>0</v>
      </c>
      <c r="O231" s="4">
        <v>0</v>
      </c>
      <c r="P231" s="4">
        <v>-5</v>
      </c>
      <c r="Q231" s="3" t="s">
        <v>26</v>
      </c>
      <c r="R231" s="3">
        <v>0</v>
      </c>
      <c r="S231" s="3" t="s">
        <v>135</v>
      </c>
      <c r="U231" s="3">
        <v>18</v>
      </c>
      <c r="V231" s="3">
        <v>0</v>
      </c>
      <c r="W231" s="3">
        <v>0</v>
      </c>
    </row>
    <row r="232" spans="1:23" ht="11.25" customHeight="1" x14ac:dyDescent="0.25">
      <c r="A232" s="3" t="s">
        <v>28</v>
      </c>
      <c r="B232" s="3" t="s">
        <v>39</v>
      </c>
      <c r="C232" s="3" t="s">
        <v>41</v>
      </c>
      <c r="D232" s="3" t="s">
        <v>42</v>
      </c>
      <c r="E232" s="3" t="s">
        <v>25</v>
      </c>
      <c r="F232" s="3" t="s">
        <v>25</v>
      </c>
      <c r="G232" s="3" t="s">
        <v>25</v>
      </c>
      <c r="H232" s="3" t="s">
        <v>25</v>
      </c>
      <c r="I232" s="6">
        <v>44713</v>
      </c>
      <c r="J232" s="4">
        <v>3905</v>
      </c>
      <c r="K232" s="4">
        <v>3905</v>
      </c>
      <c r="L232" s="4">
        <v>0</v>
      </c>
      <c r="M232" s="4">
        <v>0</v>
      </c>
      <c r="N232" s="4">
        <v>0</v>
      </c>
      <c r="O232" s="4">
        <v>0</v>
      </c>
      <c r="P232" s="4">
        <v>16</v>
      </c>
      <c r="Q232" s="3" t="s">
        <v>26</v>
      </c>
      <c r="R232" s="3">
        <v>0</v>
      </c>
      <c r="S232" s="3" t="s">
        <v>135</v>
      </c>
      <c r="U232" s="3">
        <v>18</v>
      </c>
      <c r="V232" s="3">
        <v>0</v>
      </c>
      <c r="W232" s="3">
        <v>0</v>
      </c>
    </row>
    <row r="233" spans="1:23" ht="11.25" customHeight="1" x14ac:dyDescent="0.25">
      <c r="A233" s="3" t="s">
        <v>21</v>
      </c>
      <c r="B233" s="3" t="s">
        <v>39</v>
      </c>
      <c r="C233" s="3" t="s">
        <v>41</v>
      </c>
      <c r="D233" s="3" t="s">
        <v>42</v>
      </c>
      <c r="E233" s="3" t="s">
        <v>25</v>
      </c>
      <c r="F233" s="3" t="s">
        <v>25</v>
      </c>
      <c r="G233" s="3" t="s">
        <v>25</v>
      </c>
      <c r="H233" s="3" t="s">
        <v>25</v>
      </c>
      <c r="I233" s="6">
        <v>44743</v>
      </c>
      <c r="J233" s="4">
        <v>34866</v>
      </c>
      <c r="K233" s="4">
        <v>34866</v>
      </c>
      <c r="L233" s="4">
        <v>0</v>
      </c>
      <c r="M233" s="4">
        <v>0</v>
      </c>
      <c r="N233" s="4">
        <v>0</v>
      </c>
      <c r="O233" s="4">
        <v>0</v>
      </c>
      <c r="P233" s="4">
        <v>236</v>
      </c>
      <c r="Q233" s="3" t="s">
        <v>26</v>
      </c>
      <c r="R233" s="3">
        <v>0</v>
      </c>
      <c r="S233" s="3" t="s">
        <v>136</v>
      </c>
      <c r="U233" s="3">
        <v>18</v>
      </c>
      <c r="V233" s="3">
        <v>0</v>
      </c>
      <c r="W233" s="3">
        <v>0</v>
      </c>
    </row>
    <row r="234" spans="1:23" ht="11.25" customHeight="1" x14ac:dyDescent="0.25">
      <c r="A234" s="3" t="s">
        <v>27</v>
      </c>
      <c r="B234" s="3" t="s">
        <v>39</v>
      </c>
      <c r="C234" s="3" t="s">
        <v>41</v>
      </c>
      <c r="D234" s="3" t="s">
        <v>42</v>
      </c>
      <c r="E234" s="3" t="s">
        <v>25</v>
      </c>
      <c r="F234" s="3" t="s">
        <v>25</v>
      </c>
      <c r="G234" s="3" t="s">
        <v>25</v>
      </c>
      <c r="H234" s="3" t="s">
        <v>25</v>
      </c>
      <c r="I234" s="6">
        <v>44743</v>
      </c>
      <c r="J234" s="4">
        <v>-100</v>
      </c>
      <c r="K234" s="4">
        <v>-100</v>
      </c>
      <c r="L234" s="4">
        <v>0</v>
      </c>
      <c r="M234" s="4">
        <v>0</v>
      </c>
      <c r="N234" s="4">
        <v>0</v>
      </c>
      <c r="O234" s="4">
        <v>0</v>
      </c>
      <c r="P234" s="4">
        <v>-2</v>
      </c>
      <c r="Q234" s="3" t="s">
        <v>26</v>
      </c>
      <c r="R234" s="3">
        <v>0</v>
      </c>
      <c r="S234" s="3" t="s">
        <v>136</v>
      </c>
      <c r="U234" s="3">
        <v>18</v>
      </c>
      <c r="V234" s="3">
        <v>0</v>
      </c>
      <c r="W234" s="3">
        <v>0</v>
      </c>
    </row>
    <row r="235" spans="1:23" ht="11.25" customHeight="1" x14ac:dyDescent="0.25">
      <c r="A235" s="3" t="s">
        <v>28</v>
      </c>
      <c r="B235" s="3" t="s">
        <v>39</v>
      </c>
      <c r="C235" s="3" t="s">
        <v>41</v>
      </c>
      <c r="D235" s="3" t="s">
        <v>42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44743</v>
      </c>
      <c r="J235" s="4">
        <v>3905</v>
      </c>
      <c r="K235" s="4">
        <v>3905</v>
      </c>
      <c r="L235" s="4">
        <v>0</v>
      </c>
      <c r="M235" s="4">
        <v>0</v>
      </c>
      <c r="N235" s="4">
        <v>0</v>
      </c>
      <c r="O235" s="4">
        <v>0</v>
      </c>
      <c r="P235" s="4">
        <v>16</v>
      </c>
      <c r="Q235" s="3" t="s">
        <v>26</v>
      </c>
      <c r="R235" s="3">
        <v>0</v>
      </c>
      <c r="S235" s="3" t="s">
        <v>136</v>
      </c>
      <c r="U235" s="3">
        <v>18</v>
      </c>
      <c r="V235" s="3">
        <v>0</v>
      </c>
      <c r="W235" s="3">
        <v>0</v>
      </c>
    </row>
    <row r="236" spans="1:23" ht="11.25" customHeight="1" x14ac:dyDescent="0.25">
      <c r="A236" s="3" t="s">
        <v>21</v>
      </c>
      <c r="B236" s="3" t="s">
        <v>39</v>
      </c>
      <c r="C236" s="3" t="s">
        <v>41</v>
      </c>
      <c r="D236" s="3" t="s">
        <v>42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44774</v>
      </c>
      <c r="J236" s="4">
        <v>33848</v>
      </c>
      <c r="K236" s="4">
        <v>33848</v>
      </c>
      <c r="L236" s="4">
        <v>0</v>
      </c>
      <c r="M236" s="4">
        <v>0</v>
      </c>
      <c r="N236" s="4">
        <v>0</v>
      </c>
      <c r="O236" s="4">
        <v>0</v>
      </c>
      <c r="P236" s="4">
        <v>236</v>
      </c>
      <c r="Q236" s="3" t="s">
        <v>26</v>
      </c>
      <c r="R236" s="3">
        <v>0</v>
      </c>
      <c r="S236" s="3" t="s">
        <v>137</v>
      </c>
      <c r="U236" s="3">
        <v>18</v>
      </c>
      <c r="V236" s="3">
        <v>0</v>
      </c>
      <c r="W236" s="3">
        <v>0</v>
      </c>
    </row>
    <row r="237" spans="1:23" ht="11.25" customHeight="1" x14ac:dyDescent="0.25">
      <c r="A237" s="3" t="s">
        <v>27</v>
      </c>
      <c r="B237" s="3" t="s">
        <v>39</v>
      </c>
      <c r="C237" s="3" t="s">
        <v>41</v>
      </c>
      <c r="D237" s="3" t="s">
        <v>42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44774</v>
      </c>
      <c r="J237" s="4">
        <v>-94</v>
      </c>
      <c r="K237" s="4">
        <v>-94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26</v>
      </c>
      <c r="R237" s="3">
        <v>0</v>
      </c>
      <c r="S237" s="3" t="s">
        <v>137</v>
      </c>
      <c r="U237" s="3">
        <v>18</v>
      </c>
      <c r="V237" s="3">
        <v>0</v>
      </c>
      <c r="W237" s="3">
        <v>0</v>
      </c>
    </row>
    <row r="238" spans="1:23" ht="11.25" customHeight="1" x14ac:dyDescent="0.25">
      <c r="A238" s="3" t="s">
        <v>28</v>
      </c>
      <c r="B238" s="3" t="s">
        <v>39</v>
      </c>
      <c r="C238" s="3" t="s">
        <v>41</v>
      </c>
      <c r="D238" s="3" t="s">
        <v>42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44774</v>
      </c>
      <c r="J238" s="4">
        <v>3971</v>
      </c>
      <c r="K238" s="4">
        <v>3971</v>
      </c>
      <c r="L238" s="4">
        <v>0</v>
      </c>
      <c r="M238" s="4">
        <v>0</v>
      </c>
      <c r="N238" s="4">
        <v>0</v>
      </c>
      <c r="O238" s="4">
        <v>0</v>
      </c>
      <c r="P238" s="4">
        <v>17</v>
      </c>
      <c r="Q238" s="3" t="s">
        <v>26</v>
      </c>
      <c r="R238" s="3">
        <v>0</v>
      </c>
      <c r="S238" s="3" t="s">
        <v>137</v>
      </c>
      <c r="U238" s="3">
        <v>18</v>
      </c>
      <c r="V238" s="3">
        <v>0</v>
      </c>
      <c r="W238" s="3">
        <v>0</v>
      </c>
    </row>
    <row r="239" spans="1:23" ht="11.25" customHeight="1" x14ac:dyDescent="0.25">
      <c r="A239" s="3" t="s">
        <v>21</v>
      </c>
      <c r="B239" s="3" t="s">
        <v>39</v>
      </c>
      <c r="C239" s="3" t="s">
        <v>41</v>
      </c>
      <c r="D239" s="3" t="s">
        <v>42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44805</v>
      </c>
      <c r="J239" s="4">
        <v>34132</v>
      </c>
      <c r="K239" s="4">
        <v>34132</v>
      </c>
      <c r="L239" s="4">
        <v>0</v>
      </c>
      <c r="M239" s="4">
        <v>0</v>
      </c>
      <c r="N239" s="4">
        <v>0</v>
      </c>
      <c r="O239" s="4">
        <v>0</v>
      </c>
      <c r="P239" s="4">
        <v>233</v>
      </c>
      <c r="Q239" s="3" t="s">
        <v>26</v>
      </c>
      <c r="R239" s="3">
        <v>0</v>
      </c>
      <c r="S239" s="3" t="s">
        <v>138</v>
      </c>
      <c r="U239" s="3">
        <v>18</v>
      </c>
      <c r="V239" s="3">
        <v>0</v>
      </c>
      <c r="W239" s="3">
        <v>0</v>
      </c>
    </row>
    <row r="240" spans="1:23" ht="11.25" customHeight="1" x14ac:dyDescent="0.25">
      <c r="A240" s="3" t="s">
        <v>27</v>
      </c>
      <c r="B240" s="3" t="s">
        <v>39</v>
      </c>
      <c r="C240" s="3" t="s">
        <v>41</v>
      </c>
      <c r="D240" s="3" t="s">
        <v>42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44805</v>
      </c>
      <c r="J240" s="4">
        <v>-50</v>
      </c>
      <c r="K240" s="4">
        <v>-50</v>
      </c>
      <c r="L240" s="4">
        <v>0</v>
      </c>
      <c r="M240" s="4">
        <v>0</v>
      </c>
      <c r="N240" s="4">
        <v>0</v>
      </c>
      <c r="O240" s="4">
        <v>0</v>
      </c>
      <c r="P240" s="4">
        <v>-1</v>
      </c>
      <c r="Q240" s="3" t="s">
        <v>26</v>
      </c>
      <c r="R240" s="3">
        <v>0</v>
      </c>
      <c r="S240" s="3" t="s">
        <v>138</v>
      </c>
      <c r="U240" s="3">
        <v>18</v>
      </c>
      <c r="V240" s="3">
        <v>0</v>
      </c>
      <c r="W240" s="3">
        <v>0</v>
      </c>
    </row>
    <row r="241" spans="1:23" ht="11.25" customHeight="1" x14ac:dyDescent="0.25">
      <c r="A241" s="3" t="s">
        <v>28</v>
      </c>
      <c r="B241" s="3" t="s">
        <v>39</v>
      </c>
      <c r="C241" s="3" t="s">
        <v>41</v>
      </c>
      <c r="D241" s="3" t="s">
        <v>42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44805</v>
      </c>
      <c r="J241" s="4">
        <v>3843</v>
      </c>
      <c r="K241" s="4">
        <v>3843</v>
      </c>
      <c r="L241" s="4">
        <v>0</v>
      </c>
      <c r="M241" s="4">
        <v>0</v>
      </c>
      <c r="N241" s="4">
        <v>0</v>
      </c>
      <c r="O241" s="4">
        <v>0</v>
      </c>
      <c r="P241" s="4">
        <v>18</v>
      </c>
      <c r="Q241" s="3" t="s">
        <v>26</v>
      </c>
      <c r="R241" s="3">
        <v>0</v>
      </c>
      <c r="S241" s="3" t="s">
        <v>138</v>
      </c>
      <c r="U241" s="3">
        <v>18</v>
      </c>
      <c r="V241" s="3">
        <v>0</v>
      </c>
      <c r="W241" s="3">
        <v>0</v>
      </c>
    </row>
    <row r="242" spans="1:23" ht="11.25" customHeight="1" x14ac:dyDescent="0.25">
      <c r="A242" s="3" t="s">
        <v>55</v>
      </c>
      <c r="B242" s="3" t="s">
        <v>39</v>
      </c>
      <c r="C242" s="3" t="s">
        <v>41</v>
      </c>
      <c r="D242" s="3" t="s">
        <v>42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44835</v>
      </c>
      <c r="J242" s="4">
        <v>34132</v>
      </c>
      <c r="K242" s="4">
        <v>34132</v>
      </c>
      <c r="L242" s="4">
        <v>0</v>
      </c>
      <c r="M242" s="4">
        <v>0</v>
      </c>
      <c r="N242" s="4">
        <v>0</v>
      </c>
      <c r="O242" s="4">
        <v>0</v>
      </c>
      <c r="P242" s="4">
        <v>233</v>
      </c>
      <c r="Q242" s="3" t="s">
        <v>26</v>
      </c>
      <c r="R242" s="3">
        <v>0</v>
      </c>
      <c r="S242" s="3" t="s">
        <v>139</v>
      </c>
      <c r="U242" s="3">
        <v>18</v>
      </c>
      <c r="V242" s="3">
        <v>0</v>
      </c>
      <c r="W242" s="3">
        <v>0</v>
      </c>
    </row>
    <row r="243" spans="1:23" ht="11.25" customHeight="1" x14ac:dyDescent="0.25">
      <c r="A243" s="3" t="s">
        <v>55</v>
      </c>
      <c r="B243" s="3" t="s">
        <v>39</v>
      </c>
      <c r="C243" s="3" t="s">
        <v>41</v>
      </c>
      <c r="D243" s="3" t="s">
        <v>42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44835</v>
      </c>
      <c r="J243" s="4">
        <v>-50</v>
      </c>
      <c r="K243" s="4">
        <v>-50</v>
      </c>
      <c r="L243" s="4">
        <v>0</v>
      </c>
      <c r="M243" s="4">
        <v>0</v>
      </c>
      <c r="N243" s="4">
        <v>0</v>
      </c>
      <c r="O243" s="4">
        <v>0</v>
      </c>
      <c r="P243" s="4">
        <v>-1</v>
      </c>
      <c r="Q243" s="3" t="s">
        <v>26</v>
      </c>
      <c r="R243" s="3">
        <v>0</v>
      </c>
      <c r="S243" s="3" t="s">
        <v>139</v>
      </c>
      <c r="U243" s="3">
        <v>18</v>
      </c>
      <c r="V243" s="3">
        <v>0</v>
      </c>
      <c r="W243" s="3">
        <v>0</v>
      </c>
    </row>
    <row r="244" spans="1:23" ht="11.25" customHeight="1" x14ac:dyDescent="0.25">
      <c r="A244" s="3" t="s">
        <v>55</v>
      </c>
      <c r="B244" s="3" t="s">
        <v>39</v>
      </c>
      <c r="C244" s="3" t="s">
        <v>41</v>
      </c>
      <c r="D244" s="3" t="s">
        <v>42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44835</v>
      </c>
      <c r="J244" s="4">
        <v>3843</v>
      </c>
      <c r="K244" s="4">
        <v>3843</v>
      </c>
      <c r="L244" s="4">
        <v>0</v>
      </c>
      <c r="M244" s="4">
        <v>0</v>
      </c>
      <c r="N244" s="4">
        <v>0</v>
      </c>
      <c r="O244" s="4">
        <v>0</v>
      </c>
      <c r="P244" s="4">
        <v>18</v>
      </c>
      <c r="Q244" s="3" t="s">
        <v>26</v>
      </c>
      <c r="R244" s="3">
        <v>0</v>
      </c>
      <c r="S244" s="3" t="s">
        <v>139</v>
      </c>
      <c r="U244" s="3">
        <v>18</v>
      </c>
      <c r="V244" s="3">
        <v>0</v>
      </c>
      <c r="W244" s="3">
        <v>0</v>
      </c>
    </row>
    <row r="245" spans="1:23" ht="11.25" customHeight="1" x14ac:dyDescent="0.25">
      <c r="A245" s="3" t="s">
        <v>21</v>
      </c>
      <c r="B245" s="3" t="s">
        <v>39</v>
      </c>
      <c r="C245" s="3" t="s">
        <v>41</v>
      </c>
      <c r="D245" s="3" t="s">
        <v>42</v>
      </c>
      <c r="E245" s="3" t="s">
        <v>25</v>
      </c>
      <c r="F245" s="3" t="s">
        <v>25</v>
      </c>
      <c r="G245" s="3" t="s">
        <v>25</v>
      </c>
      <c r="H245" s="3" t="s">
        <v>34</v>
      </c>
      <c r="I245" s="6">
        <v>44501</v>
      </c>
      <c r="J245" s="4">
        <v>0</v>
      </c>
      <c r="K245" s="4">
        <v>0</v>
      </c>
      <c r="L245" s="4">
        <v>422.923</v>
      </c>
      <c r="M245" s="4">
        <v>422.923</v>
      </c>
      <c r="N245" s="4">
        <v>422.923</v>
      </c>
      <c r="O245" s="4">
        <v>422.923</v>
      </c>
      <c r="P245" s="4">
        <v>0</v>
      </c>
      <c r="Q245" s="3" t="s">
        <v>26</v>
      </c>
      <c r="R245" s="3">
        <v>0</v>
      </c>
      <c r="S245" s="3" t="s">
        <v>140</v>
      </c>
      <c r="T245" s="3" t="s">
        <v>354</v>
      </c>
      <c r="U245" s="3">
        <v>0</v>
      </c>
      <c r="V245" s="3">
        <v>11</v>
      </c>
      <c r="W245" s="3">
        <v>71</v>
      </c>
    </row>
    <row r="246" spans="1:23" ht="11.25" customHeight="1" x14ac:dyDescent="0.25">
      <c r="A246" s="3" t="s">
        <v>27</v>
      </c>
      <c r="B246" s="3" t="s">
        <v>39</v>
      </c>
      <c r="C246" s="3" t="s">
        <v>41</v>
      </c>
      <c r="D246" s="3" t="s">
        <v>42</v>
      </c>
      <c r="E246" s="3" t="s">
        <v>25</v>
      </c>
      <c r="F246" s="3" t="s">
        <v>25</v>
      </c>
      <c r="G246" s="3" t="s">
        <v>25</v>
      </c>
      <c r="H246" s="3" t="s">
        <v>34</v>
      </c>
      <c r="I246" s="6">
        <v>44501</v>
      </c>
      <c r="J246" s="4">
        <v>0</v>
      </c>
      <c r="K246" s="4">
        <v>0</v>
      </c>
      <c r="L246" s="4">
        <v>-2.3340000000000001</v>
      </c>
      <c r="M246" s="4">
        <v>-2.3340000000000001</v>
      </c>
      <c r="N246" s="4">
        <v>-2.3340000000000001</v>
      </c>
      <c r="O246" s="4">
        <v>-2.3340000000000001</v>
      </c>
      <c r="P246" s="4">
        <v>0</v>
      </c>
      <c r="Q246" s="3" t="s">
        <v>26</v>
      </c>
      <c r="R246" s="3">
        <v>0</v>
      </c>
      <c r="S246" s="3" t="s">
        <v>140</v>
      </c>
      <c r="T246" s="3" t="s">
        <v>354</v>
      </c>
      <c r="U246" s="3">
        <v>0</v>
      </c>
      <c r="V246" s="3">
        <v>11</v>
      </c>
      <c r="W246" s="3">
        <v>71</v>
      </c>
    </row>
    <row r="247" spans="1:23" ht="11.25" customHeight="1" x14ac:dyDescent="0.25">
      <c r="A247" s="3" t="s">
        <v>28</v>
      </c>
      <c r="B247" s="3" t="s">
        <v>39</v>
      </c>
      <c r="C247" s="3" t="s">
        <v>41</v>
      </c>
      <c r="D247" s="3" t="s">
        <v>42</v>
      </c>
      <c r="E247" s="3" t="s">
        <v>25</v>
      </c>
      <c r="F247" s="3" t="s">
        <v>25</v>
      </c>
      <c r="G247" s="3" t="s">
        <v>25</v>
      </c>
      <c r="H247" s="3" t="s">
        <v>34</v>
      </c>
      <c r="I247" s="6">
        <v>44501</v>
      </c>
      <c r="J247" s="4">
        <v>0</v>
      </c>
      <c r="K247" s="4">
        <v>0</v>
      </c>
      <c r="L247" s="4">
        <v>16.125</v>
      </c>
      <c r="M247" s="4">
        <v>16.125</v>
      </c>
      <c r="N247" s="4">
        <v>16.125</v>
      </c>
      <c r="O247" s="4">
        <v>16.125</v>
      </c>
      <c r="P247" s="4">
        <v>0</v>
      </c>
      <c r="Q247" s="3" t="s">
        <v>26</v>
      </c>
      <c r="R247" s="3">
        <v>0</v>
      </c>
      <c r="S247" s="3" t="s">
        <v>140</v>
      </c>
      <c r="T247" s="3" t="s">
        <v>354</v>
      </c>
      <c r="U247" s="3">
        <v>0</v>
      </c>
      <c r="V247" s="3">
        <v>11</v>
      </c>
      <c r="W247" s="3">
        <v>71</v>
      </c>
    </row>
    <row r="248" spans="1:23" ht="11.25" customHeight="1" x14ac:dyDescent="0.25">
      <c r="A248" s="3" t="s">
        <v>21</v>
      </c>
      <c r="B248" s="3" t="s">
        <v>39</v>
      </c>
      <c r="C248" s="3" t="s">
        <v>41</v>
      </c>
      <c r="D248" s="3" t="s">
        <v>42</v>
      </c>
      <c r="E248" s="3" t="s">
        <v>25</v>
      </c>
      <c r="F248" s="3" t="s">
        <v>25</v>
      </c>
      <c r="G248" s="3" t="s">
        <v>25</v>
      </c>
      <c r="H248" s="3" t="s">
        <v>34</v>
      </c>
      <c r="I248" s="6">
        <v>44531</v>
      </c>
      <c r="J248" s="4">
        <v>0</v>
      </c>
      <c r="K248" s="4">
        <v>0</v>
      </c>
      <c r="L248" s="4">
        <v>460.81099999999998</v>
      </c>
      <c r="M248" s="4">
        <v>460.81099999999998</v>
      </c>
      <c r="N248" s="4">
        <v>460.81099999999998</v>
      </c>
      <c r="O248" s="4">
        <v>460.81099999999998</v>
      </c>
      <c r="P248" s="4">
        <v>0</v>
      </c>
      <c r="Q248" s="3" t="s">
        <v>26</v>
      </c>
      <c r="R248" s="3">
        <v>0</v>
      </c>
      <c r="S248" s="3" t="s">
        <v>141</v>
      </c>
      <c r="T248" s="3" t="s">
        <v>355</v>
      </c>
      <c r="U248" s="3">
        <v>0</v>
      </c>
      <c r="V248" s="3">
        <v>11</v>
      </c>
      <c r="W248" s="3">
        <v>71</v>
      </c>
    </row>
    <row r="249" spans="1:23" ht="11.25" customHeight="1" x14ac:dyDescent="0.25">
      <c r="A249" s="3" t="s">
        <v>27</v>
      </c>
      <c r="B249" s="3" t="s">
        <v>39</v>
      </c>
      <c r="C249" s="3" t="s">
        <v>41</v>
      </c>
      <c r="D249" s="3" t="s">
        <v>42</v>
      </c>
      <c r="E249" s="3" t="s">
        <v>25</v>
      </c>
      <c r="F249" s="3" t="s">
        <v>25</v>
      </c>
      <c r="G249" s="3" t="s">
        <v>25</v>
      </c>
      <c r="H249" s="3" t="s">
        <v>34</v>
      </c>
      <c r="I249" s="6">
        <v>44531</v>
      </c>
      <c r="J249" s="4">
        <v>0</v>
      </c>
      <c r="K249" s="4">
        <v>0</v>
      </c>
      <c r="L249" s="4">
        <v>0.129</v>
      </c>
      <c r="M249" s="4">
        <v>0.129</v>
      </c>
      <c r="N249" s="4">
        <v>0.129</v>
      </c>
      <c r="O249" s="4">
        <v>0.129</v>
      </c>
      <c r="P249" s="4">
        <v>0</v>
      </c>
      <c r="Q249" s="3" t="s">
        <v>26</v>
      </c>
      <c r="R249" s="3">
        <v>0</v>
      </c>
      <c r="S249" s="3" t="s">
        <v>141</v>
      </c>
      <c r="T249" s="3" t="s">
        <v>355</v>
      </c>
      <c r="U249" s="3">
        <v>0</v>
      </c>
      <c r="V249" s="3">
        <v>11</v>
      </c>
      <c r="W249" s="3">
        <v>71</v>
      </c>
    </row>
    <row r="250" spans="1:23" ht="11.25" customHeight="1" x14ac:dyDescent="0.25">
      <c r="A250" s="3" t="s">
        <v>28</v>
      </c>
      <c r="B250" s="3" t="s">
        <v>39</v>
      </c>
      <c r="C250" s="3" t="s">
        <v>41</v>
      </c>
      <c r="D250" s="3" t="s">
        <v>42</v>
      </c>
      <c r="E250" s="3" t="s">
        <v>25</v>
      </c>
      <c r="F250" s="3" t="s">
        <v>25</v>
      </c>
      <c r="G250" s="3" t="s">
        <v>25</v>
      </c>
      <c r="H250" s="3" t="s">
        <v>34</v>
      </c>
      <c r="I250" s="6">
        <v>44531</v>
      </c>
      <c r="J250" s="4">
        <v>0</v>
      </c>
      <c r="K250" s="4">
        <v>0</v>
      </c>
      <c r="L250" s="4">
        <v>19.236999999999998</v>
      </c>
      <c r="M250" s="4">
        <v>19.236999999999998</v>
      </c>
      <c r="N250" s="4">
        <v>19.236999999999998</v>
      </c>
      <c r="O250" s="4">
        <v>19.236999999999998</v>
      </c>
      <c r="P250" s="4">
        <v>0</v>
      </c>
      <c r="Q250" s="3" t="s">
        <v>26</v>
      </c>
      <c r="R250" s="3">
        <v>0</v>
      </c>
      <c r="S250" s="3" t="s">
        <v>141</v>
      </c>
      <c r="T250" s="3" t="s">
        <v>355</v>
      </c>
      <c r="U250" s="3">
        <v>0</v>
      </c>
      <c r="V250" s="3">
        <v>11</v>
      </c>
      <c r="W250" s="3">
        <v>71</v>
      </c>
    </row>
    <row r="251" spans="1:23" ht="11.25" customHeight="1" x14ac:dyDescent="0.25">
      <c r="A251" s="3" t="s">
        <v>21</v>
      </c>
      <c r="B251" s="3" t="s">
        <v>39</v>
      </c>
      <c r="C251" s="3" t="s">
        <v>41</v>
      </c>
      <c r="D251" s="3" t="s">
        <v>42</v>
      </c>
      <c r="E251" s="3" t="s">
        <v>25</v>
      </c>
      <c r="F251" s="3" t="s">
        <v>25</v>
      </c>
      <c r="G251" s="3" t="s">
        <v>25</v>
      </c>
      <c r="H251" s="3" t="s">
        <v>34</v>
      </c>
      <c r="I251" s="6">
        <v>44562</v>
      </c>
      <c r="J251" s="4">
        <v>0</v>
      </c>
      <c r="K251" s="4">
        <v>0</v>
      </c>
      <c r="L251" s="4">
        <v>411.53300000000002</v>
      </c>
      <c r="M251" s="4">
        <v>411.53300000000002</v>
      </c>
      <c r="N251" s="4">
        <v>411.53300000000002</v>
      </c>
      <c r="O251" s="4">
        <v>411.53300000000002</v>
      </c>
      <c r="P251" s="4">
        <v>0</v>
      </c>
      <c r="Q251" s="3" t="s">
        <v>26</v>
      </c>
      <c r="R251" s="3">
        <v>0</v>
      </c>
      <c r="S251" s="3" t="s">
        <v>142</v>
      </c>
      <c r="T251" s="3" t="s">
        <v>356</v>
      </c>
      <c r="U251" s="3">
        <v>0</v>
      </c>
      <c r="V251" s="3">
        <v>11</v>
      </c>
      <c r="W251" s="3">
        <v>71</v>
      </c>
    </row>
    <row r="252" spans="1:23" ht="11.25" customHeight="1" x14ac:dyDescent="0.25">
      <c r="A252" s="3" t="s">
        <v>28</v>
      </c>
      <c r="B252" s="3" t="s">
        <v>39</v>
      </c>
      <c r="C252" s="3" t="s">
        <v>41</v>
      </c>
      <c r="D252" s="3" t="s">
        <v>42</v>
      </c>
      <c r="E252" s="3" t="s">
        <v>25</v>
      </c>
      <c r="F252" s="3" t="s">
        <v>25</v>
      </c>
      <c r="G252" s="3" t="s">
        <v>25</v>
      </c>
      <c r="H252" s="3" t="s">
        <v>34</v>
      </c>
      <c r="I252" s="6">
        <v>44562</v>
      </c>
      <c r="J252" s="4">
        <v>0</v>
      </c>
      <c r="K252" s="4">
        <v>0</v>
      </c>
      <c r="L252" s="4">
        <v>16.678000000000001</v>
      </c>
      <c r="M252" s="4">
        <v>16.678000000000001</v>
      </c>
      <c r="N252" s="4">
        <v>16.678000000000001</v>
      </c>
      <c r="O252" s="4">
        <v>16.678000000000001</v>
      </c>
      <c r="P252" s="4">
        <v>0</v>
      </c>
      <c r="Q252" s="3" t="s">
        <v>26</v>
      </c>
      <c r="R252" s="3">
        <v>0</v>
      </c>
      <c r="S252" s="3" t="s">
        <v>142</v>
      </c>
      <c r="T252" s="3" t="s">
        <v>356</v>
      </c>
      <c r="U252" s="3">
        <v>0</v>
      </c>
      <c r="V252" s="3">
        <v>11</v>
      </c>
      <c r="W252" s="3">
        <v>71</v>
      </c>
    </row>
    <row r="253" spans="1:23" ht="11.25" customHeight="1" x14ac:dyDescent="0.25">
      <c r="A253" s="3" t="s">
        <v>21</v>
      </c>
      <c r="B253" s="3" t="s">
        <v>39</v>
      </c>
      <c r="C253" s="3" t="s">
        <v>41</v>
      </c>
      <c r="D253" s="3" t="s">
        <v>42</v>
      </c>
      <c r="E253" s="3" t="s">
        <v>25</v>
      </c>
      <c r="F253" s="3" t="s">
        <v>25</v>
      </c>
      <c r="G253" s="3" t="s">
        <v>25</v>
      </c>
      <c r="H253" s="3" t="s">
        <v>34</v>
      </c>
      <c r="I253" s="6">
        <v>44593</v>
      </c>
      <c r="J253" s="4">
        <v>0</v>
      </c>
      <c r="K253" s="4">
        <v>0</v>
      </c>
      <c r="L253" s="4">
        <v>419.44</v>
      </c>
      <c r="M253" s="4">
        <v>419.44</v>
      </c>
      <c r="N253" s="4">
        <v>419.44</v>
      </c>
      <c r="O253" s="4">
        <v>419.44</v>
      </c>
      <c r="P253" s="4">
        <v>0</v>
      </c>
      <c r="Q253" s="3" t="s">
        <v>26</v>
      </c>
      <c r="R253" s="3">
        <v>0</v>
      </c>
      <c r="S253" s="3" t="s">
        <v>143</v>
      </c>
      <c r="T253" s="3" t="s">
        <v>357</v>
      </c>
      <c r="U253" s="3">
        <v>0</v>
      </c>
      <c r="V253" s="3">
        <v>11</v>
      </c>
      <c r="W253" s="3">
        <v>71</v>
      </c>
    </row>
    <row r="254" spans="1:23" ht="11.25" customHeight="1" x14ac:dyDescent="0.25">
      <c r="A254" s="3" t="s">
        <v>28</v>
      </c>
      <c r="B254" s="3" t="s">
        <v>39</v>
      </c>
      <c r="C254" s="3" t="s">
        <v>41</v>
      </c>
      <c r="D254" s="3" t="s">
        <v>42</v>
      </c>
      <c r="E254" s="3" t="s">
        <v>25</v>
      </c>
      <c r="F254" s="3" t="s">
        <v>25</v>
      </c>
      <c r="G254" s="3" t="s">
        <v>25</v>
      </c>
      <c r="H254" s="3" t="s">
        <v>34</v>
      </c>
      <c r="I254" s="6">
        <v>44593</v>
      </c>
      <c r="J254" s="4">
        <v>0</v>
      </c>
      <c r="K254" s="4">
        <v>0</v>
      </c>
      <c r="L254" s="4">
        <v>15.936</v>
      </c>
      <c r="M254" s="4">
        <v>15.936</v>
      </c>
      <c r="N254" s="4">
        <v>15.936</v>
      </c>
      <c r="O254" s="4">
        <v>15.936</v>
      </c>
      <c r="P254" s="4">
        <v>0</v>
      </c>
      <c r="Q254" s="3" t="s">
        <v>26</v>
      </c>
      <c r="R254" s="3">
        <v>0</v>
      </c>
      <c r="S254" s="3" t="s">
        <v>143</v>
      </c>
      <c r="T254" s="3" t="s">
        <v>357</v>
      </c>
      <c r="U254" s="3">
        <v>0</v>
      </c>
      <c r="V254" s="3">
        <v>11</v>
      </c>
      <c r="W254" s="3">
        <v>71</v>
      </c>
    </row>
    <row r="255" spans="1:23" ht="11.25" customHeight="1" x14ac:dyDescent="0.25">
      <c r="A255" s="3" t="s">
        <v>21</v>
      </c>
      <c r="B255" s="3" t="s">
        <v>39</v>
      </c>
      <c r="C255" s="3" t="s">
        <v>41</v>
      </c>
      <c r="D255" s="3" t="s">
        <v>42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44621</v>
      </c>
      <c r="J255" s="4">
        <v>0</v>
      </c>
      <c r="K255" s="4">
        <v>0</v>
      </c>
      <c r="L255" s="4">
        <v>456.226</v>
      </c>
      <c r="M255" s="4">
        <v>456.226</v>
      </c>
      <c r="N255" s="4">
        <v>456.226</v>
      </c>
      <c r="O255" s="4">
        <v>456.226</v>
      </c>
      <c r="P255" s="4">
        <v>0</v>
      </c>
      <c r="Q255" s="3" t="s">
        <v>26</v>
      </c>
      <c r="R255" s="3">
        <v>0</v>
      </c>
      <c r="S255" s="3" t="s">
        <v>144</v>
      </c>
      <c r="T255" s="3" t="s">
        <v>358</v>
      </c>
      <c r="U255" s="3">
        <v>0</v>
      </c>
      <c r="V255" s="3">
        <v>11</v>
      </c>
      <c r="W255" s="3">
        <v>71</v>
      </c>
    </row>
    <row r="256" spans="1:23" ht="11.25" customHeight="1" x14ac:dyDescent="0.25">
      <c r="A256" s="3" t="s">
        <v>28</v>
      </c>
      <c r="B256" s="3" t="s">
        <v>39</v>
      </c>
      <c r="C256" s="3" t="s">
        <v>41</v>
      </c>
      <c r="D256" s="3" t="s">
        <v>42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44621</v>
      </c>
      <c r="J256" s="4">
        <v>0</v>
      </c>
      <c r="K256" s="4">
        <v>0</v>
      </c>
      <c r="L256" s="4">
        <v>25.986999999999998</v>
      </c>
      <c r="M256" s="4">
        <v>25.986999999999998</v>
      </c>
      <c r="N256" s="4">
        <v>25.986999999999998</v>
      </c>
      <c r="O256" s="4">
        <v>25.986999999999998</v>
      </c>
      <c r="P256" s="4">
        <v>0</v>
      </c>
      <c r="Q256" s="3" t="s">
        <v>26</v>
      </c>
      <c r="R256" s="3">
        <v>0</v>
      </c>
      <c r="S256" s="3" t="s">
        <v>144</v>
      </c>
      <c r="T256" s="3" t="s">
        <v>358</v>
      </c>
      <c r="U256" s="3">
        <v>0</v>
      </c>
      <c r="V256" s="3">
        <v>11</v>
      </c>
      <c r="W256" s="3">
        <v>71</v>
      </c>
    </row>
    <row r="257" spans="1:23" ht="11.25" customHeight="1" x14ac:dyDescent="0.25">
      <c r="A257" s="3" t="s">
        <v>28</v>
      </c>
      <c r="B257" s="3" t="s">
        <v>39</v>
      </c>
      <c r="C257" s="3" t="s">
        <v>41</v>
      </c>
      <c r="D257" s="3" t="s">
        <v>42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44621</v>
      </c>
      <c r="J257" s="4">
        <v>0</v>
      </c>
      <c r="K257" s="4">
        <v>0</v>
      </c>
      <c r="L257" s="4">
        <v>0.19500000000000001</v>
      </c>
      <c r="M257" s="4">
        <v>0.19500000000000001</v>
      </c>
      <c r="N257" s="4">
        <v>0.19500000000000001</v>
      </c>
      <c r="O257" s="4">
        <v>0.19500000000000001</v>
      </c>
      <c r="P257" s="4">
        <v>0</v>
      </c>
      <c r="Q257" s="3" t="s">
        <v>26</v>
      </c>
      <c r="R257" s="3">
        <v>0</v>
      </c>
      <c r="S257" s="3" t="s">
        <v>144</v>
      </c>
      <c r="T257" s="3" t="s">
        <v>358</v>
      </c>
      <c r="U257" s="3">
        <v>0</v>
      </c>
      <c r="V257" s="3">
        <v>11</v>
      </c>
      <c r="W257" s="3">
        <v>71</v>
      </c>
    </row>
    <row r="258" spans="1:23" ht="11.25" customHeight="1" x14ac:dyDescent="0.25">
      <c r="A258" s="3" t="s">
        <v>21</v>
      </c>
      <c r="B258" s="3" t="s">
        <v>39</v>
      </c>
      <c r="C258" s="3" t="s">
        <v>41</v>
      </c>
      <c r="D258" s="3" t="s">
        <v>42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44652</v>
      </c>
      <c r="J258" s="4">
        <v>0</v>
      </c>
      <c r="K258" s="4">
        <v>0</v>
      </c>
      <c r="L258" s="4">
        <v>456.226</v>
      </c>
      <c r="M258" s="4">
        <v>456.226</v>
      </c>
      <c r="N258" s="4">
        <v>456.226</v>
      </c>
      <c r="O258" s="4">
        <v>456.226</v>
      </c>
      <c r="P258" s="4">
        <v>0</v>
      </c>
      <c r="Q258" s="3" t="s">
        <v>26</v>
      </c>
      <c r="R258" s="3">
        <v>0</v>
      </c>
      <c r="S258" s="3" t="s">
        <v>145</v>
      </c>
      <c r="T258" s="3" t="s">
        <v>359</v>
      </c>
      <c r="U258" s="3">
        <v>0</v>
      </c>
      <c r="V258" s="3">
        <v>11</v>
      </c>
      <c r="W258" s="3">
        <v>71</v>
      </c>
    </row>
    <row r="259" spans="1:23" ht="11.25" customHeight="1" x14ac:dyDescent="0.25">
      <c r="A259" s="3" t="s">
        <v>28</v>
      </c>
      <c r="B259" s="3" t="s">
        <v>39</v>
      </c>
      <c r="C259" s="3" t="s">
        <v>41</v>
      </c>
      <c r="D259" s="3" t="s">
        <v>42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44652</v>
      </c>
      <c r="J259" s="4">
        <v>0</v>
      </c>
      <c r="K259" s="4">
        <v>0</v>
      </c>
      <c r="L259" s="4">
        <v>25.986999999999998</v>
      </c>
      <c r="M259" s="4">
        <v>25.986999999999998</v>
      </c>
      <c r="N259" s="4">
        <v>25.986999999999998</v>
      </c>
      <c r="O259" s="4">
        <v>25.986999999999998</v>
      </c>
      <c r="P259" s="4">
        <v>0</v>
      </c>
      <c r="Q259" s="3" t="s">
        <v>26</v>
      </c>
      <c r="R259" s="3">
        <v>0</v>
      </c>
      <c r="S259" s="3" t="s">
        <v>145</v>
      </c>
      <c r="T259" s="3" t="s">
        <v>359</v>
      </c>
      <c r="U259" s="3">
        <v>0</v>
      </c>
      <c r="V259" s="3">
        <v>11</v>
      </c>
      <c r="W259" s="3">
        <v>71</v>
      </c>
    </row>
    <row r="260" spans="1:23" ht="11.25" customHeight="1" x14ac:dyDescent="0.25">
      <c r="A260" s="3" t="s">
        <v>28</v>
      </c>
      <c r="B260" s="3" t="s">
        <v>39</v>
      </c>
      <c r="C260" s="3" t="s">
        <v>41</v>
      </c>
      <c r="D260" s="3" t="s">
        <v>42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44652</v>
      </c>
      <c r="J260" s="4">
        <v>0</v>
      </c>
      <c r="K260" s="4">
        <v>0</v>
      </c>
      <c r="L260" s="4">
        <v>0.19500000000000001</v>
      </c>
      <c r="M260" s="4">
        <v>0.19500000000000001</v>
      </c>
      <c r="N260" s="4">
        <v>0.19500000000000001</v>
      </c>
      <c r="O260" s="4">
        <v>0.19500000000000001</v>
      </c>
      <c r="P260" s="4">
        <v>0</v>
      </c>
      <c r="Q260" s="3" t="s">
        <v>26</v>
      </c>
      <c r="R260" s="3">
        <v>0</v>
      </c>
      <c r="S260" s="3" t="s">
        <v>145</v>
      </c>
      <c r="T260" s="3" t="s">
        <v>359</v>
      </c>
      <c r="U260" s="3">
        <v>0</v>
      </c>
      <c r="V260" s="3">
        <v>11</v>
      </c>
      <c r="W260" s="3">
        <v>71</v>
      </c>
    </row>
    <row r="261" spans="1:23" ht="11.25" customHeight="1" x14ac:dyDescent="0.25">
      <c r="A261" s="3" t="s">
        <v>21</v>
      </c>
      <c r="B261" s="3" t="s">
        <v>39</v>
      </c>
      <c r="C261" s="3" t="s">
        <v>41</v>
      </c>
      <c r="D261" s="3" t="s">
        <v>42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44682</v>
      </c>
      <c r="J261" s="4">
        <v>0</v>
      </c>
      <c r="K261" s="4">
        <v>0</v>
      </c>
      <c r="L261" s="4">
        <v>440.673</v>
      </c>
      <c r="M261" s="4">
        <v>440.673</v>
      </c>
      <c r="N261" s="4">
        <v>440.673</v>
      </c>
      <c r="O261" s="4">
        <v>440.673</v>
      </c>
      <c r="P261" s="4">
        <v>0</v>
      </c>
      <c r="Q261" s="3" t="s">
        <v>26</v>
      </c>
      <c r="R261" s="3">
        <v>0</v>
      </c>
      <c r="S261" s="3" t="s">
        <v>146</v>
      </c>
      <c r="T261" s="3" t="s">
        <v>360</v>
      </c>
      <c r="U261" s="3">
        <v>0</v>
      </c>
      <c r="V261" s="3">
        <v>11</v>
      </c>
      <c r="W261" s="3">
        <v>71</v>
      </c>
    </row>
    <row r="262" spans="1:23" ht="11.25" customHeight="1" x14ac:dyDescent="0.25">
      <c r="A262" s="3" t="s">
        <v>27</v>
      </c>
      <c r="B262" s="3" t="s">
        <v>39</v>
      </c>
      <c r="C262" s="3" t="s">
        <v>41</v>
      </c>
      <c r="D262" s="3" t="s">
        <v>42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44682</v>
      </c>
      <c r="J262" s="4">
        <v>0</v>
      </c>
      <c r="K262" s="4">
        <v>0</v>
      </c>
      <c r="L262" s="4">
        <v>-7.2320000000000002</v>
      </c>
      <c r="M262" s="4">
        <v>-7.2320000000000002</v>
      </c>
      <c r="N262" s="4">
        <v>-7.2320000000000002</v>
      </c>
      <c r="O262" s="4">
        <v>-7.2320000000000002</v>
      </c>
      <c r="P262" s="4">
        <v>0</v>
      </c>
      <c r="Q262" s="3" t="s">
        <v>26</v>
      </c>
      <c r="R262" s="3">
        <v>0</v>
      </c>
      <c r="S262" s="3" t="s">
        <v>146</v>
      </c>
      <c r="T262" s="3" t="s">
        <v>360</v>
      </c>
      <c r="U262" s="3">
        <v>0</v>
      </c>
      <c r="V262" s="3">
        <v>11</v>
      </c>
      <c r="W262" s="3">
        <v>71</v>
      </c>
    </row>
    <row r="263" spans="1:23" ht="11.25" customHeight="1" x14ac:dyDescent="0.25">
      <c r="A263" s="3" t="s">
        <v>28</v>
      </c>
      <c r="B263" s="3" t="s">
        <v>39</v>
      </c>
      <c r="C263" s="3" t="s">
        <v>41</v>
      </c>
      <c r="D263" s="3" t="s">
        <v>42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44682</v>
      </c>
      <c r="J263" s="4">
        <v>0</v>
      </c>
      <c r="K263" s="4">
        <v>0</v>
      </c>
      <c r="L263" s="4">
        <v>98.111999999999995</v>
      </c>
      <c r="M263" s="4">
        <v>98.111999999999995</v>
      </c>
      <c r="N263" s="4">
        <v>98.111999999999995</v>
      </c>
      <c r="O263" s="4">
        <v>98.111999999999995</v>
      </c>
      <c r="P263" s="4">
        <v>0</v>
      </c>
      <c r="Q263" s="3" t="s">
        <v>26</v>
      </c>
      <c r="R263" s="3">
        <v>0</v>
      </c>
      <c r="S263" s="3" t="s">
        <v>146</v>
      </c>
      <c r="T263" s="3" t="s">
        <v>360</v>
      </c>
      <c r="U263" s="3">
        <v>0</v>
      </c>
      <c r="V263" s="3">
        <v>11</v>
      </c>
      <c r="W263" s="3">
        <v>71</v>
      </c>
    </row>
    <row r="264" spans="1:23" ht="11.25" customHeight="1" x14ac:dyDescent="0.25">
      <c r="A264" s="3" t="s">
        <v>21</v>
      </c>
      <c r="B264" s="3" t="s">
        <v>39</v>
      </c>
      <c r="C264" s="3" t="s">
        <v>41</v>
      </c>
      <c r="D264" s="3" t="s">
        <v>42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44713</v>
      </c>
      <c r="J264" s="4">
        <v>0</v>
      </c>
      <c r="K264" s="4">
        <v>0</v>
      </c>
      <c r="L264" s="4">
        <v>406.15199999999999</v>
      </c>
      <c r="M264" s="4">
        <v>406.15199999999999</v>
      </c>
      <c r="N264" s="4">
        <v>406.15199999999999</v>
      </c>
      <c r="O264" s="4">
        <v>406.15199999999999</v>
      </c>
      <c r="P264" s="4">
        <v>0</v>
      </c>
      <c r="Q264" s="3" t="s">
        <v>26</v>
      </c>
      <c r="R264" s="3">
        <v>0</v>
      </c>
      <c r="S264" s="3" t="s">
        <v>147</v>
      </c>
      <c r="T264" s="3" t="s">
        <v>361</v>
      </c>
      <c r="U264" s="3">
        <v>0</v>
      </c>
      <c r="V264" s="3">
        <v>11</v>
      </c>
      <c r="W264" s="3">
        <v>71</v>
      </c>
    </row>
    <row r="265" spans="1:23" ht="11.25" customHeight="1" x14ac:dyDescent="0.25">
      <c r="A265" s="3" t="s">
        <v>27</v>
      </c>
      <c r="B265" s="3" t="s">
        <v>39</v>
      </c>
      <c r="C265" s="3" t="s">
        <v>41</v>
      </c>
      <c r="D265" s="3" t="s">
        <v>42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44713</v>
      </c>
      <c r="J265" s="4">
        <v>0</v>
      </c>
      <c r="K265" s="4">
        <v>0</v>
      </c>
      <c r="L265" s="4">
        <v>-6.3170000000000002</v>
      </c>
      <c r="M265" s="4">
        <v>-6.3170000000000002</v>
      </c>
      <c r="N265" s="4">
        <v>-6.3170000000000002</v>
      </c>
      <c r="O265" s="4">
        <v>-6.3170000000000002</v>
      </c>
      <c r="P265" s="4">
        <v>0</v>
      </c>
      <c r="Q265" s="3" t="s">
        <v>26</v>
      </c>
      <c r="R265" s="3">
        <v>0</v>
      </c>
      <c r="S265" s="3" t="s">
        <v>147</v>
      </c>
      <c r="T265" s="3" t="s">
        <v>361</v>
      </c>
      <c r="U265" s="3">
        <v>0</v>
      </c>
      <c r="V265" s="3">
        <v>11</v>
      </c>
      <c r="W265" s="3">
        <v>71</v>
      </c>
    </row>
    <row r="266" spans="1:23" ht="11.25" customHeight="1" x14ac:dyDescent="0.25">
      <c r="A266" s="3" t="s">
        <v>28</v>
      </c>
      <c r="B266" s="3" t="s">
        <v>39</v>
      </c>
      <c r="C266" s="3" t="s">
        <v>41</v>
      </c>
      <c r="D266" s="3" t="s">
        <v>42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44713</v>
      </c>
      <c r="J266" s="4">
        <v>0</v>
      </c>
      <c r="K266" s="4">
        <v>0</v>
      </c>
      <c r="L266" s="4">
        <v>24.965</v>
      </c>
      <c r="M266" s="4">
        <v>24.965</v>
      </c>
      <c r="N266" s="4">
        <v>24.965</v>
      </c>
      <c r="O266" s="4">
        <v>24.965</v>
      </c>
      <c r="P266" s="4">
        <v>0</v>
      </c>
      <c r="Q266" s="3" t="s">
        <v>26</v>
      </c>
      <c r="R266" s="3">
        <v>0</v>
      </c>
      <c r="S266" s="3" t="s">
        <v>147</v>
      </c>
      <c r="T266" s="3" t="s">
        <v>361</v>
      </c>
      <c r="U266" s="3">
        <v>0</v>
      </c>
      <c r="V266" s="3">
        <v>11</v>
      </c>
      <c r="W266" s="3">
        <v>71</v>
      </c>
    </row>
    <row r="267" spans="1:23" ht="11.25" customHeight="1" x14ac:dyDescent="0.25">
      <c r="A267" s="3" t="s">
        <v>21</v>
      </c>
      <c r="B267" s="3" t="s">
        <v>39</v>
      </c>
      <c r="C267" s="3" t="s">
        <v>41</v>
      </c>
      <c r="D267" s="3" t="s">
        <v>42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44743</v>
      </c>
      <c r="J267" s="4">
        <v>0</v>
      </c>
      <c r="K267" s="4">
        <v>0</v>
      </c>
      <c r="L267" s="4">
        <v>420.48500000000001</v>
      </c>
      <c r="M267" s="4">
        <v>420.48500000000001</v>
      </c>
      <c r="N267" s="4">
        <v>420.48500000000001</v>
      </c>
      <c r="O267" s="4">
        <v>420.48500000000001</v>
      </c>
      <c r="P267" s="4">
        <v>0</v>
      </c>
      <c r="Q267" s="3" t="s">
        <v>26</v>
      </c>
      <c r="R267" s="3">
        <v>0</v>
      </c>
      <c r="S267" s="3" t="s">
        <v>148</v>
      </c>
      <c r="T267" s="3" t="s">
        <v>362</v>
      </c>
      <c r="U267" s="3">
        <v>0</v>
      </c>
      <c r="V267" s="3">
        <v>11</v>
      </c>
      <c r="W267" s="3">
        <v>71</v>
      </c>
    </row>
    <row r="268" spans="1:23" ht="11.25" customHeight="1" x14ac:dyDescent="0.25">
      <c r="A268" s="3" t="s">
        <v>27</v>
      </c>
      <c r="B268" s="3" t="s">
        <v>39</v>
      </c>
      <c r="C268" s="3" t="s">
        <v>41</v>
      </c>
      <c r="D268" s="3" t="s">
        <v>42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44743</v>
      </c>
      <c r="J268" s="4">
        <v>0</v>
      </c>
      <c r="K268" s="4">
        <v>0</v>
      </c>
      <c r="L268" s="4">
        <v>-0.41</v>
      </c>
      <c r="M268" s="4">
        <v>-0.41</v>
      </c>
      <c r="N268" s="4">
        <v>-0.41</v>
      </c>
      <c r="O268" s="4">
        <v>-0.41</v>
      </c>
      <c r="P268" s="4">
        <v>0</v>
      </c>
      <c r="Q268" s="3" t="s">
        <v>26</v>
      </c>
      <c r="R268" s="3">
        <v>0</v>
      </c>
      <c r="S268" s="3" t="s">
        <v>148</v>
      </c>
      <c r="T268" s="3" t="s">
        <v>362</v>
      </c>
      <c r="U268" s="3">
        <v>0</v>
      </c>
      <c r="V268" s="3">
        <v>11</v>
      </c>
      <c r="W268" s="3">
        <v>71</v>
      </c>
    </row>
    <row r="269" spans="1:23" ht="11.25" customHeight="1" x14ac:dyDescent="0.25">
      <c r="A269" s="3" t="s">
        <v>28</v>
      </c>
      <c r="B269" s="3" t="s">
        <v>39</v>
      </c>
      <c r="C269" s="3" t="s">
        <v>41</v>
      </c>
      <c r="D269" s="3" t="s">
        <v>42</v>
      </c>
      <c r="E269" s="3" t="s">
        <v>25</v>
      </c>
      <c r="F269" s="3" t="s">
        <v>25</v>
      </c>
      <c r="G269" s="3" t="s">
        <v>25</v>
      </c>
      <c r="H269" s="3" t="s">
        <v>34</v>
      </c>
      <c r="I269" s="6">
        <v>44743</v>
      </c>
      <c r="J269" s="4">
        <v>0</v>
      </c>
      <c r="K269" s="4">
        <v>0</v>
      </c>
      <c r="L269" s="4">
        <v>26.582000000000001</v>
      </c>
      <c r="M269" s="4">
        <v>26.582000000000001</v>
      </c>
      <c r="N269" s="4">
        <v>26.582000000000001</v>
      </c>
      <c r="O269" s="4">
        <v>26.582000000000001</v>
      </c>
      <c r="P269" s="4">
        <v>0</v>
      </c>
      <c r="Q269" s="3" t="s">
        <v>26</v>
      </c>
      <c r="R269" s="3">
        <v>0</v>
      </c>
      <c r="S269" s="3" t="s">
        <v>148</v>
      </c>
      <c r="T269" s="3" t="s">
        <v>362</v>
      </c>
      <c r="U269" s="3">
        <v>0</v>
      </c>
      <c r="V269" s="3">
        <v>11</v>
      </c>
      <c r="W269" s="3">
        <v>71</v>
      </c>
    </row>
    <row r="270" spans="1:23" ht="11.25" customHeight="1" x14ac:dyDescent="0.25">
      <c r="A270" s="3" t="s">
        <v>21</v>
      </c>
      <c r="B270" s="3" t="s">
        <v>39</v>
      </c>
      <c r="C270" s="3" t="s">
        <v>41</v>
      </c>
      <c r="D270" s="3" t="s">
        <v>42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44774</v>
      </c>
      <c r="J270" s="4">
        <v>0</v>
      </c>
      <c r="K270" s="4">
        <v>0</v>
      </c>
      <c r="L270" s="4">
        <v>483.17500000000001</v>
      </c>
      <c r="M270" s="4">
        <v>483.17500000000001</v>
      </c>
      <c r="N270" s="4">
        <v>483.17500000000001</v>
      </c>
      <c r="O270" s="4">
        <v>483.17500000000001</v>
      </c>
      <c r="P270" s="4">
        <v>0</v>
      </c>
      <c r="Q270" s="3" t="s">
        <v>26</v>
      </c>
      <c r="R270" s="3">
        <v>0</v>
      </c>
      <c r="S270" s="3" t="s">
        <v>149</v>
      </c>
      <c r="T270" s="3" t="s">
        <v>363</v>
      </c>
      <c r="U270" s="3">
        <v>0</v>
      </c>
      <c r="V270" s="3">
        <v>11</v>
      </c>
      <c r="W270" s="3">
        <v>71</v>
      </c>
    </row>
    <row r="271" spans="1:23" ht="11.25" customHeight="1" x14ac:dyDescent="0.25">
      <c r="A271" s="3" t="s">
        <v>28</v>
      </c>
      <c r="B271" s="3" t="s">
        <v>39</v>
      </c>
      <c r="C271" s="3" t="s">
        <v>41</v>
      </c>
      <c r="D271" s="3" t="s">
        <v>42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44774</v>
      </c>
      <c r="J271" s="4">
        <v>0</v>
      </c>
      <c r="K271" s="4">
        <v>0</v>
      </c>
      <c r="L271" s="4">
        <v>30.756</v>
      </c>
      <c r="M271" s="4">
        <v>30.756</v>
      </c>
      <c r="N271" s="4">
        <v>30.756</v>
      </c>
      <c r="O271" s="4">
        <v>30.756</v>
      </c>
      <c r="P271" s="4">
        <v>0</v>
      </c>
      <c r="Q271" s="3" t="s">
        <v>26</v>
      </c>
      <c r="R271" s="3">
        <v>0</v>
      </c>
      <c r="S271" s="3" t="s">
        <v>149</v>
      </c>
      <c r="T271" s="3" t="s">
        <v>363</v>
      </c>
      <c r="U271" s="3">
        <v>0</v>
      </c>
      <c r="V271" s="3">
        <v>11</v>
      </c>
      <c r="W271" s="3">
        <v>71</v>
      </c>
    </row>
    <row r="272" spans="1:23" ht="11.25" customHeight="1" x14ac:dyDescent="0.25">
      <c r="A272" s="3" t="s">
        <v>21</v>
      </c>
      <c r="B272" s="3" t="s">
        <v>39</v>
      </c>
      <c r="C272" s="3" t="s">
        <v>41</v>
      </c>
      <c r="D272" s="3" t="s">
        <v>42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44805</v>
      </c>
      <c r="J272" s="4">
        <v>0</v>
      </c>
      <c r="K272" s="4">
        <v>0</v>
      </c>
      <c r="L272" s="4">
        <v>503.858</v>
      </c>
      <c r="M272" s="4">
        <v>503.858</v>
      </c>
      <c r="N272" s="4">
        <v>503.858</v>
      </c>
      <c r="O272" s="4">
        <v>503.858</v>
      </c>
      <c r="P272" s="4">
        <v>0</v>
      </c>
      <c r="Q272" s="3" t="s">
        <v>26</v>
      </c>
      <c r="R272" s="3">
        <v>0</v>
      </c>
      <c r="S272" s="3" t="s">
        <v>150</v>
      </c>
      <c r="T272" s="3" t="s">
        <v>364</v>
      </c>
      <c r="U272" s="3">
        <v>0</v>
      </c>
      <c r="V272" s="3">
        <v>11</v>
      </c>
      <c r="W272" s="3">
        <v>71</v>
      </c>
    </row>
    <row r="273" spans="1:23" ht="11.25" customHeight="1" x14ac:dyDescent="0.25">
      <c r="A273" s="3" t="s">
        <v>27</v>
      </c>
      <c r="B273" s="3" t="s">
        <v>39</v>
      </c>
      <c r="C273" s="3" t="s">
        <v>41</v>
      </c>
      <c r="D273" s="3" t="s">
        <v>42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44805</v>
      </c>
      <c r="J273" s="4">
        <v>0</v>
      </c>
      <c r="K273" s="4">
        <v>0</v>
      </c>
      <c r="L273" s="4">
        <v>-0.33200000000000002</v>
      </c>
      <c r="M273" s="4">
        <v>-0.33200000000000002</v>
      </c>
      <c r="N273" s="4">
        <v>-0.33200000000000002</v>
      </c>
      <c r="O273" s="4">
        <v>-0.33200000000000002</v>
      </c>
      <c r="P273" s="4">
        <v>0</v>
      </c>
      <c r="Q273" s="3" t="s">
        <v>26</v>
      </c>
      <c r="R273" s="3">
        <v>0</v>
      </c>
      <c r="S273" s="3" t="s">
        <v>150</v>
      </c>
      <c r="T273" s="3" t="s">
        <v>364</v>
      </c>
      <c r="U273" s="3">
        <v>0</v>
      </c>
      <c r="V273" s="3">
        <v>11</v>
      </c>
      <c r="W273" s="3">
        <v>71</v>
      </c>
    </row>
    <row r="274" spans="1:23" ht="11.25" customHeight="1" x14ac:dyDescent="0.25">
      <c r="A274" s="3" t="s">
        <v>28</v>
      </c>
      <c r="B274" s="3" t="s">
        <v>39</v>
      </c>
      <c r="C274" s="3" t="s">
        <v>41</v>
      </c>
      <c r="D274" s="3" t="s">
        <v>42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44805</v>
      </c>
      <c r="J274" s="4">
        <v>0</v>
      </c>
      <c r="K274" s="4">
        <v>0</v>
      </c>
      <c r="L274" s="4">
        <v>33.107999999999997</v>
      </c>
      <c r="M274" s="4">
        <v>33.107999999999997</v>
      </c>
      <c r="N274" s="4">
        <v>33.107999999999997</v>
      </c>
      <c r="O274" s="4">
        <v>33.107999999999997</v>
      </c>
      <c r="P274" s="4">
        <v>0</v>
      </c>
      <c r="Q274" s="3" t="s">
        <v>26</v>
      </c>
      <c r="R274" s="3">
        <v>0</v>
      </c>
      <c r="S274" s="3" t="s">
        <v>150</v>
      </c>
      <c r="T274" s="3" t="s">
        <v>364</v>
      </c>
      <c r="U274" s="3">
        <v>0</v>
      </c>
      <c r="V274" s="3">
        <v>11</v>
      </c>
      <c r="W274" s="3">
        <v>71</v>
      </c>
    </row>
    <row r="275" spans="1:23" ht="11.25" customHeight="1" x14ac:dyDescent="0.25">
      <c r="A275" s="3" t="s">
        <v>55</v>
      </c>
      <c r="B275" s="3" t="s">
        <v>39</v>
      </c>
      <c r="C275" s="3" t="s">
        <v>41</v>
      </c>
      <c r="D275" s="3" t="s">
        <v>42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44835</v>
      </c>
      <c r="J275" s="4">
        <v>0</v>
      </c>
      <c r="K275" s="4">
        <v>0</v>
      </c>
      <c r="L275" s="4">
        <v>503.858</v>
      </c>
      <c r="M275" s="4">
        <v>503.858</v>
      </c>
      <c r="N275" s="4">
        <v>503.858</v>
      </c>
      <c r="O275" s="4">
        <v>503.858</v>
      </c>
      <c r="P275" s="4">
        <v>0</v>
      </c>
      <c r="Q275" s="3" t="s">
        <v>26</v>
      </c>
      <c r="R275" s="3">
        <v>0</v>
      </c>
      <c r="S275" s="3" t="s">
        <v>151</v>
      </c>
      <c r="T275" s="3" t="s">
        <v>365</v>
      </c>
      <c r="U275" s="3">
        <v>0</v>
      </c>
      <c r="V275" s="3">
        <v>11</v>
      </c>
      <c r="W275" s="3">
        <v>71</v>
      </c>
    </row>
    <row r="276" spans="1:23" ht="11.25" customHeight="1" x14ac:dyDescent="0.25">
      <c r="A276" s="3" t="s">
        <v>55</v>
      </c>
      <c r="B276" s="3" t="s">
        <v>39</v>
      </c>
      <c r="C276" s="3" t="s">
        <v>41</v>
      </c>
      <c r="D276" s="3" t="s">
        <v>42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44835</v>
      </c>
      <c r="J276" s="4">
        <v>0</v>
      </c>
      <c r="K276" s="4">
        <v>0</v>
      </c>
      <c r="L276" s="4">
        <v>-0.33200000000000002</v>
      </c>
      <c r="M276" s="4">
        <v>-0.33200000000000002</v>
      </c>
      <c r="N276" s="4">
        <v>-0.33200000000000002</v>
      </c>
      <c r="O276" s="4">
        <v>-0.33200000000000002</v>
      </c>
      <c r="P276" s="4">
        <v>0</v>
      </c>
      <c r="Q276" s="3" t="s">
        <v>26</v>
      </c>
      <c r="R276" s="3">
        <v>0</v>
      </c>
      <c r="S276" s="3" t="s">
        <v>151</v>
      </c>
      <c r="T276" s="3" t="s">
        <v>365</v>
      </c>
      <c r="U276" s="3">
        <v>0</v>
      </c>
      <c r="V276" s="3">
        <v>11</v>
      </c>
      <c r="W276" s="3">
        <v>71</v>
      </c>
    </row>
    <row r="277" spans="1:23" ht="11.25" customHeight="1" x14ac:dyDescent="0.25">
      <c r="A277" s="3" t="s">
        <v>55</v>
      </c>
      <c r="B277" s="3" t="s">
        <v>39</v>
      </c>
      <c r="C277" s="3" t="s">
        <v>41</v>
      </c>
      <c r="D277" s="3" t="s">
        <v>42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44835</v>
      </c>
      <c r="J277" s="4">
        <v>0</v>
      </c>
      <c r="K277" s="4">
        <v>0</v>
      </c>
      <c r="L277" s="4">
        <v>33.107999999999997</v>
      </c>
      <c r="M277" s="4">
        <v>33.107999999999997</v>
      </c>
      <c r="N277" s="4">
        <v>33.107999999999997</v>
      </c>
      <c r="O277" s="4">
        <v>33.107999999999997</v>
      </c>
      <c r="P277" s="4">
        <v>0</v>
      </c>
      <c r="Q277" s="3" t="s">
        <v>26</v>
      </c>
      <c r="R277" s="3">
        <v>0</v>
      </c>
      <c r="S277" s="3" t="s">
        <v>151</v>
      </c>
      <c r="T277" s="3" t="s">
        <v>365</v>
      </c>
      <c r="U277" s="3">
        <v>0</v>
      </c>
      <c r="V277" s="3">
        <v>11</v>
      </c>
      <c r="W277" s="3">
        <v>71</v>
      </c>
    </row>
    <row r="278" spans="1:23" ht="11.25" customHeight="1" x14ac:dyDescent="0.25">
      <c r="A278" s="3" t="s">
        <v>21</v>
      </c>
      <c r="B278" s="3" t="s">
        <v>39</v>
      </c>
      <c r="C278" s="3" t="s">
        <v>41</v>
      </c>
      <c r="D278" s="3" t="s">
        <v>51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44501</v>
      </c>
      <c r="J278" s="4">
        <v>0</v>
      </c>
      <c r="K278" s="4">
        <v>0</v>
      </c>
      <c r="L278" s="4">
        <v>81.537000000000006</v>
      </c>
      <c r="M278" s="4">
        <v>81.537000000000006</v>
      </c>
      <c r="N278" s="4">
        <v>81.537000000000006</v>
      </c>
      <c r="O278" s="4">
        <v>81.537000000000006</v>
      </c>
      <c r="P278" s="4">
        <v>0</v>
      </c>
      <c r="Q278" s="3" t="s">
        <v>26</v>
      </c>
      <c r="R278" s="3">
        <v>0</v>
      </c>
      <c r="S278" s="3" t="s">
        <v>116</v>
      </c>
      <c r="T278" s="3" t="s">
        <v>342</v>
      </c>
      <c r="U278" s="3">
        <v>0</v>
      </c>
      <c r="V278" s="3">
        <v>31</v>
      </c>
      <c r="W278" s="3">
        <v>59</v>
      </c>
    </row>
    <row r="279" spans="1:23" ht="11.25" customHeight="1" x14ac:dyDescent="0.25">
      <c r="A279" s="3" t="s">
        <v>21</v>
      </c>
      <c r="B279" s="3" t="s">
        <v>39</v>
      </c>
      <c r="C279" s="3" t="s">
        <v>41</v>
      </c>
      <c r="D279" s="3" t="s">
        <v>51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44531</v>
      </c>
      <c r="J279" s="4">
        <v>0</v>
      </c>
      <c r="K279" s="4">
        <v>0</v>
      </c>
      <c r="L279" s="4">
        <v>80.653000000000006</v>
      </c>
      <c r="M279" s="4">
        <v>80.653000000000006</v>
      </c>
      <c r="N279" s="4">
        <v>80.653000000000006</v>
      </c>
      <c r="O279" s="4">
        <v>80.653000000000006</v>
      </c>
      <c r="P279" s="4">
        <v>0</v>
      </c>
      <c r="Q279" s="3" t="s">
        <v>26</v>
      </c>
      <c r="R279" s="3">
        <v>0</v>
      </c>
      <c r="S279" s="3" t="s">
        <v>117</v>
      </c>
      <c r="T279" s="3" t="s">
        <v>343</v>
      </c>
      <c r="U279" s="3">
        <v>0</v>
      </c>
      <c r="V279" s="3">
        <v>31</v>
      </c>
      <c r="W279" s="3">
        <v>59</v>
      </c>
    </row>
    <row r="280" spans="1:23" ht="11.25" customHeight="1" x14ac:dyDescent="0.25">
      <c r="A280" s="3" t="s">
        <v>21</v>
      </c>
      <c r="B280" s="3" t="s">
        <v>39</v>
      </c>
      <c r="C280" s="3" t="s">
        <v>41</v>
      </c>
      <c r="D280" s="3" t="s">
        <v>51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44562</v>
      </c>
      <c r="J280" s="4">
        <v>0</v>
      </c>
      <c r="K280" s="4">
        <v>0</v>
      </c>
      <c r="L280" s="4">
        <v>80.429000000000002</v>
      </c>
      <c r="M280" s="4">
        <v>80.429000000000002</v>
      </c>
      <c r="N280" s="4">
        <v>80.429000000000002</v>
      </c>
      <c r="O280" s="4">
        <v>80.429000000000002</v>
      </c>
      <c r="P280" s="4">
        <v>0</v>
      </c>
      <c r="Q280" s="3" t="s">
        <v>26</v>
      </c>
      <c r="R280" s="3">
        <v>0</v>
      </c>
      <c r="S280" s="3" t="s">
        <v>118</v>
      </c>
      <c r="T280" s="3" t="s">
        <v>344</v>
      </c>
      <c r="U280" s="3">
        <v>0</v>
      </c>
      <c r="V280" s="3">
        <v>31</v>
      </c>
      <c r="W280" s="3">
        <v>59</v>
      </c>
    </row>
    <row r="281" spans="1:23" ht="11.25" customHeight="1" x14ac:dyDescent="0.25">
      <c r="A281" s="3" t="s">
        <v>21</v>
      </c>
      <c r="B281" s="3" t="s">
        <v>39</v>
      </c>
      <c r="C281" s="3" t="s">
        <v>41</v>
      </c>
      <c r="D281" s="3" t="s">
        <v>51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44593</v>
      </c>
      <c r="J281" s="4">
        <v>0</v>
      </c>
      <c r="K281" s="4">
        <v>0</v>
      </c>
      <c r="L281" s="4">
        <v>73.647000000000006</v>
      </c>
      <c r="M281" s="4">
        <v>73.647000000000006</v>
      </c>
      <c r="N281" s="4">
        <v>73.647000000000006</v>
      </c>
      <c r="O281" s="4">
        <v>73.647000000000006</v>
      </c>
      <c r="P281" s="4">
        <v>0</v>
      </c>
      <c r="Q281" s="3" t="s">
        <v>26</v>
      </c>
      <c r="R281" s="3">
        <v>0</v>
      </c>
      <c r="S281" s="3" t="s">
        <v>119</v>
      </c>
      <c r="T281" s="3" t="s">
        <v>345</v>
      </c>
      <c r="U281" s="3">
        <v>0</v>
      </c>
      <c r="V281" s="3">
        <v>31</v>
      </c>
      <c r="W281" s="3">
        <v>59</v>
      </c>
    </row>
    <row r="282" spans="1:23" ht="11.25" customHeight="1" x14ac:dyDescent="0.25">
      <c r="A282" s="3" t="s">
        <v>21</v>
      </c>
      <c r="B282" s="3" t="s">
        <v>39</v>
      </c>
      <c r="C282" s="3" t="s">
        <v>41</v>
      </c>
      <c r="D282" s="3" t="s">
        <v>51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44621</v>
      </c>
      <c r="J282" s="4">
        <v>0</v>
      </c>
      <c r="K282" s="4">
        <v>0</v>
      </c>
      <c r="L282" s="4">
        <v>81.025999999999996</v>
      </c>
      <c r="M282" s="4">
        <v>81.025999999999996</v>
      </c>
      <c r="N282" s="4">
        <v>81.025999999999996</v>
      </c>
      <c r="O282" s="4">
        <v>81.025999999999996</v>
      </c>
      <c r="P282" s="4">
        <v>0</v>
      </c>
      <c r="Q282" s="3" t="s">
        <v>26</v>
      </c>
      <c r="R282" s="3">
        <v>0</v>
      </c>
      <c r="S282" s="3" t="s">
        <v>120</v>
      </c>
      <c r="T282" s="3" t="s">
        <v>346</v>
      </c>
      <c r="U282" s="3">
        <v>0</v>
      </c>
      <c r="V282" s="3">
        <v>31</v>
      </c>
      <c r="W282" s="3">
        <v>59</v>
      </c>
    </row>
    <row r="283" spans="1:23" ht="11.25" customHeight="1" x14ac:dyDescent="0.25">
      <c r="A283" s="3" t="s">
        <v>21</v>
      </c>
      <c r="B283" s="3" t="s">
        <v>39</v>
      </c>
      <c r="C283" s="3" t="s">
        <v>41</v>
      </c>
      <c r="D283" s="3" t="s">
        <v>51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44652</v>
      </c>
      <c r="J283" s="4">
        <v>0</v>
      </c>
      <c r="K283" s="4">
        <v>0</v>
      </c>
      <c r="L283" s="4">
        <v>81.025999999999996</v>
      </c>
      <c r="M283" s="4">
        <v>81.025999999999996</v>
      </c>
      <c r="N283" s="4">
        <v>81.025999999999996</v>
      </c>
      <c r="O283" s="4">
        <v>81.025999999999996</v>
      </c>
      <c r="P283" s="4">
        <v>0</v>
      </c>
      <c r="Q283" s="3" t="s">
        <v>26</v>
      </c>
      <c r="R283" s="3">
        <v>0</v>
      </c>
      <c r="S283" s="3" t="s">
        <v>121</v>
      </c>
      <c r="T283" s="3" t="s">
        <v>347</v>
      </c>
      <c r="U283" s="3">
        <v>0</v>
      </c>
      <c r="V283" s="3">
        <v>31</v>
      </c>
      <c r="W283" s="3">
        <v>59</v>
      </c>
    </row>
    <row r="284" spans="1:23" ht="11.25" customHeight="1" x14ac:dyDescent="0.25">
      <c r="A284" s="3" t="s">
        <v>21</v>
      </c>
      <c r="B284" s="3" t="s">
        <v>39</v>
      </c>
      <c r="C284" s="3" t="s">
        <v>41</v>
      </c>
      <c r="D284" s="3" t="s">
        <v>51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44682</v>
      </c>
      <c r="J284" s="4">
        <v>0</v>
      </c>
      <c r="K284" s="4">
        <v>0</v>
      </c>
      <c r="L284" s="4">
        <v>77.808999999999997</v>
      </c>
      <c r="M284" s="4">
        <v>77.808999999999997</v>
      </c>
      <c r="N284" s="4">
        <v>77.808999999999997</v>
      </c>
      <c r="O284" s="4">
        <v>77.808999999999997</v>
      </c>
      <c r="P284" s="4">
        <v>0</v>
      </c>
      <c r="Q284" s="3" t="s">
        <v>26</v>
      </c>
      <c r="R284" s="3">
        <v>0</v>
      </c>
      <c r="S284" s="3" t="s">
        <v>122</v>
      </c>
      <c r="T284" s="3" t="s">
        <v>348</v>
      </c>
      <c r="U284" s="3">
        <v>0</v>
      </c>
      <c r="V284" s="3">
        <v>31</v>
      </c>
      <c r="W284" s="3">
        <v>59</v>
      </c>
    </row>
    <row r="285" spans="1:23" ht="11.25" customHeight="1" x14ac:dyDescent="0.25">
      <c r="A285" s="3" t="s">
        <v>21</v>
      </c>
      <c r="B285" s="3" t="s">
        <v>39</v>
      </c>
      <c r="C285" s="3" t="s">
        <v>41</v>
      </c>
      <c r="D285" s="3" t="s">
        <v>51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44713</v>
      </c>
      <c r="J285" s="4">
        <v>0</v>
      </c>
      <c r="K285" s="4">
        <v>0</v>
      </c>
      <c r="L285" s="4">
        <v>74.793999999999997</v>
      </c>
      <c r="M285" s="4">
        <v>74.793999999999997</v>
      </c>
      <c r="N285" s="4">
        <v>74.793999999999997</v>
      </c>
      <c r="O285" s="4">
        <v>74.793999999999997</v>
      </c>
      <c r="P285" s="4">
        <v>0</v>
      </c>
      <c r="Q285" s="3" t="s">
        <v>26</v>
      </c>
      <c r="R285" s="3">
        <v>0</v>
      </c>
      <c r="S285" s="3" t="s">
        <v>123</v>
      </c>
      <c r="T285" s="3" t="s">
        <v>349</v>
      </c>
      <c r="U285" s="3">
        <v>0</v>
      </c>
      <c r="V285" s="3">
        <v>31</v>
      </c>
      <c r="W285" s="3">
        <v>59</v>
      </c>
    </row>
    <row r="286" spans="1:23" ht="11.25" customHeight="1" x14ac:dyDescent="0.25">
      <c r="A286" s="3" t="s">
        <v>21</v>
      </c>
      <c r="B286" s="3" t="s">
        <v>39</v>
      </c>
      <c r="C286" s="3" t="s">
        <v>41</v>
      </c>
      <c r="D286" s="3" t="s">
        <v>51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44743</v>
      </c>
      <c r="J286" s="4">
        <v>0</v>
      </c>
      <c r="K286" s="4">
        <v>0</v>
      </c>
      <c r="L286" s="4">
        <v>80.94</v>
      </c>
      <c r="M286" s="4">
        <v>80.94</v>
      </c>
      <c r="N286" s="4">
        <v>80.94</v>
      </c>
      <c r="O286" s="4">
        <v>80.94</v>
      </c>
      <c r="P286" s="4">
        <v>0</v>
      </c>
      <c r="Q286" s="3" t="s">
        <v>26</v>
      </c>
      <c r="R286" s="3">
        <v>0</v>
      </c>
      <c r="S286" s="3" t="s">
        <v>124</v>
      </c>
      <c r="T286" s="3" t="s">
        <v>350</v>
      </c>
      <c r="U286" s="3">
        <v>0</v>
      </c>
      <c r="V286" s="3">
        <v>31</v>
      </c>
      <c r="W286" s="3">
        <v>59</v>
      </c>
    </row>
    <row r="287" spans="1:23" ht="11.25" customHeight="1" x14ac:dyDescent="0.25">
      <c r="A287" s="3" t="s">
        <v>21</v>
      </c>
      <c r="B287" s="3" t="s">
        <v>39</v>
      </c>
      <c r="C287" s="3" t="s">
        <v>41</v>
      </c>
      <c r="D287" s="3" t="s">
        <v>51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44774</v>
      </c>
      <c r="J287" s="4">
        <v>0</v>
      </c>
      <c r="K287" s="4">
        <v>0</v>
      </c>
      <c r="L287" s="4">
        <v>85.8</v>
      </c>
      <c r="M287" s="4">
        <v>85.8</v>
      </c>
      <c r="N287" s="4">
        <v>85.8</v>
      </c>
      <c r="O287" s="4">
        <v>85.8</v>
      </c>
      <c r="P287" s="4">
        <v>0</v>
      </c>
      <c r="Q287" s="3" t="s">
        <v>26</v>
      </c>
      <c r="R287" s="3">
        <v>0</v>
      </c>
      <c r="S287" s="3" t="s">
        <v>125</v>
      </c>
      <c r="T287" s="3" t="s">
        <v>351</v>
      </c>
      <c r="U287" s="3">
        <v>0</v>
      </c>
      <c r="V287" s="3">
        <v>31</v>
      </c>
      <c r="W287" s="3">
        <v>59</v>
      </c>
    </row>
    <row r="288" spans="1:23" ht="11.25" customHeight="1" x14ac:dyDescent="0.25">
      <c r="A288" s="3" t="s">
        <v>21</v>
      </c>
      <c r="B288" s="3" t="s">
        <v>39</v>
      </c>
      <c r="C288" s="3" t="s">
        <v>41</v>
      </c>
      <c r="D288" s="3" t="s">
        <v>51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44805</v>
      </c>
      <c r="J288" s="4">
        <v>0</v>
      </c>
      <c r="K288" s="4">
        <v>0</v>
      </c>
      <c r="L288" s="4">
        <v>82.92</v>
      </c>
      <c r="M288" s="4">
        <v>82.92</v>
      </c>
      <c r="N288" s="4">
        <v>82.92</v>
      </c>
      <c r="O288" s="4">
        <v>82.92</v>
      </c>
      <c r="P288" s="4">
        <v>0</v>
      </c>
      <c r="Q288" s="3" t="s">
        <v>26</v>
      </c>
      <c r="R288" s="3">
        <v>0</v>
      </c>
      <c r="S288" s="3" t="s">
        <v>126</v>
      </c>
      <c r="T288" s="3" t="s">
        <v>352</v>
      </c>
      <c r="U288" s="3">
        <v>0</v>
      </c>
      <c r="V288" s="3">
        <v>31</v>
      </c>
      <c r="W288" s="3">
        <v>59</v>
      </c>
    </row>
    <row r="289" spans="1:23" ht="11.25" customHeight="1" x14ac:dyDescent="0.25">
      <c r="A289" s="3" t="s">
        <v>55</v>
      </c>
      <c r="B289" s="3" t="s">
        <v>39</v>
      </c>
      <c r="C289" s="3" t="s">
        <v>41</v>
      </c>
      <c r="D289" s="3" t="s">
        <v>51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44835</v>
      </c>
      <c r="J289" s="4">
        <v>0</v>
      </c>
      <c r="K289" s="4">
        <v>0</v>
      </c>
      <c r="L289" s="4">
        <v>82.92</v>
      </c>
      <c r="M289" s="4">
        <v>82.92</v>
      </c>
      <c r="N289" s="4">
        <v>82.92</v>
      </c>
      <c r="O289" s="4">
        <v>82.92</v>
      </c>
      <c r="P289" s="4">
        <v>0</v>
      </c>
      <c r="Q289" s="3" t="s">
        <v>26</v>
      </c>
      <c r="R289" s="3">
        <v>0</v>
      </c>
      <c r="S289" s="3" t="s">
        <v>127</v>
      </c>
      <c r="T289" s="3" t="s">
        <v>353</v>
      </c>
      <c r="U289" s="3">
        <v>0</v>
      </c>
      <c r="V289" s="3">
        <v>31</v>
      </c>
      <c r="W289" s="3">
        <v>59</v>
      </c>
    </row>
    <row r="290" spans="1:23" ht="11.25" customHeight="1" x14ac:dyDescent="0.25">
      <c r="A290" s="3" t="s">
        <v>21</v>
      </c>
      <c r="B290" s="3" t="s">
        <v>39</v>
      </c>
      <c r="C290" s="3" t="s">
        <v>41</v>
      </c>
      <c r="D290" s="3" t="s">
        <v>51</v>
      </c>
      <c r="E290" s="3" t="s">
        <v>25</v>
      </c>
      <c r="F290" s="3" t="s">
        <v>25</v>
      </c>
      <c r="G290" s="3" t="s">
        <v>25</v>
      </c>
      <c r="H290" s="3" t="s">
        <v>25</v>
      </c>
      <c r="I290" s="6">
        <v>44501</v>
      </c>
      <c r="J290" s="4">
        <v>281</v>
      </c>
      <c r="K290" s="4">
        <v>281</v>
      </c>
      <c r="L290" s="4">
        <v>0</v>
      </c>
      <c r="M290" s="4">
        <v>0</v>
      </c>
      <c r="N290" s="4">
        <v>0</v>
      </c>
      <c r="O290" s="4">
        <v>0</v>
      </c>
      <c r="P290" s="4">
        <v>8</v>
      </c>
      <c r="Q290" s="3" t="s">
        <v>26</v>
      </c>
      <c r="R290" s="3">
        <v>0</v>
      </c>
      <c r="S290" s="3" t="s">
        <v>128</v>
      </c>
      <c r="U290" s="3">
        <v>18</v>
      </c>
      <c r="V290" s="3">
        <v>0</v>
      </c>
      <c r="W290" s="3">
        <v>0</v>
      </c>
    </row>
    <row r="291" spans="1:23" ht="11.25" customHeight="1" x14ac:dyDescent="0.25">
      <c r="A291" s="3" t="s">
        <v>21</v>
      </c>
      <c r="B291" s="3" t="s">
        <v>39</v>
      </c>
      <c r="C291" s="3" t="s">
        <v>41</v>
      </c>
      <c r="D291" s="3" t="s">
        <v>51</v>
      </c>
      <c r="E291" s="3" t="s">
        <v>25</v>
      </c>
      <c r="F291" s="3" t="s">
        <v>25</v>
      </c>
      <c r="G291" s="3" t="s">
        <v>25</v>
      </c>
      <c r="H291" s="3" t="s">
        <v>25</v>
      </c>
      <c r="I291" s="6">
        <v>44531</v>
      </c>
      <c r="J291" s="4">
        <v>371</v>
      </c>
      <c r="K291" s="4">
        <v>371</v>
      </c>
      <c r="L291" s="4">
        <v>0</v>
      </c>
      <c r="M291" s="4">
        <v>0</v>
      </c>
      <c r="N291" s="4">
        <v>0</v>
      </c>
      <c r="O291" s="4">
        <v>0</v>
      </c>
      <c r="P291" s="4">
        <v>8</v>
      </c>
      <c r="Q291" s="3" t="s">
        <v>26</v>
      </c>
      <c r="R291" s="3">
        <v>0</v>
      </c>
      <c r="S291" s="3" t="s">
        <v>129</v>
      </c>
      <c r="U291" s="3">
        <v>18</v>
      </c>
      <c r="V291" s="3">
        <v>0</v>
      </c>
      <c r="W291" s="3">
        <v>0</v>
      </c>
    </row>
    <row r="292" spans="1:23" ht="11.25" customHeight="1" x14ac:dyDescent="0.25">
      <c r="A292" s="3" t="s">
        <v>21</v>
      </c>
      <c r="B292" s="3" t="s">
        <v>39</v>
      </c>
      <c r="C292" s="3" t="s">
        <v>41</v>
      </c>
      <c r="D292" s="3" t="s">
        <v>51</v>
      </c>
      <c r="E292" s="3" t="s">
        <v>25</v>
      </c>
      <c r="F292" s="3" t="s">
        <v>25</v>
      </c>
      <c r="G292" s="3" t="s">
        <v>25</v>
      </c>
      <c r="H292" s="3" t="s">
        <v>25</v>
      </c>
      <c r="I292" s="6">
        <v>44562</v>
      </c>
      <c r="J292" s="4">
        <v>261</v>
      </c>
      <c r="K292" s="4">
        <v>261</v>
      </c>
      <c r="L292" s="4">
        <v>0</v>
      </c>
      <c r="M292" s="4">
        <v>0</v>
      </c>
      <c r="N292" s="4">
        <v>0</v>
      </c>
      <c r="O292" s="4">
        <v>0</v>
      </c>
      <c r="P292" s="4">
        <v>8</v>
      </c>
      <c r="Q292" s="3" t="s">
        <v>26</v>
      </c>
      <c r="R292" s="3">
        <v>0</v>
      </c>
      <c r="S292" s="3" t="s">
        <v>130</v>
      </c>
      <c r="U292" s="3">
        <v>18</v>
      </c>
      <c r="V292" s="3">
        <v>0</v>
      </c>
      <c r="W292" s="3">
        <v>0</v>
      </c>
    </row>
    <row r="293" spans="1:23" ht="11.25" customHeight="1" x14ac:dyDescent="0.25">
      <c r="A293" s="3" t="s">
        <v>21</v>
      </c>
      <c r="B293" s="3" t="s">
        <v>39</v>
      </c>
      <c r="C293" s="3" t="s">
        <v>41</v>
      </c>
      <c r="D293" s="3" t="s">
        <v>51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44593</v>
      </c>
      <c r="J293" s="4">
        <v>252</v>
      </c>
      <c r="K293" s="4">
        <v>252</v>
      </c>
      <c r="L293" s="4">
        <v>0</v>
      </c>
      <c r="M293" s="4">
        <v>0</v>
      </c>
      <c r="N293" s="4">
        <v>0</v>
      </c>
      <c r="O293" s="4">
        <v>0</v>
      </c>
      <c r="P293" s="4">
        <v>8</v>
      </c>
      <c r="Q293" s="3" t="s">
        <v>26</v>
      </c>
      <c r="R293" s="3">
        <v>0</v>
      </c>
      <c r="S293" s="3" t="s">
        <v>131</v>
      </c>
      <c r="U293" s="3">
        <v>18</v>
      </c>
      <c r="V293" s="3">
        <v>0</v>
      </c>
      <c r="W293" s="3">
        <v>0</v>
      </c>
    </row>
    <row r="294" spans="1:23" ht="11.25" customHeight="1" x14ac:dyDescent="0.25">
      <c r="A294" s="3" t="s">
        <v>21</v>
      </c>
      <c r="B294" s="3" t="s">
        <v>39</v>
      </c>
      <c r="C294" s="3" t="s">
        <v>41</v>
      </c>
      <c r="D294" s="3" t="s">
        <v>51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44621</v>
      </c>
      <c r="J294" s="4">
        <v>269</v>
      </c>
      <c r="K294" s="4">
        <v>269</v>
      </c>
      <c r="L294" s="4">
        <v>0</v>
      </c>
      <c r="M294" s="4">
        <v>0</v>
      </c>
      <c r="N294" s="4">
        <v>0</v>
      </c>
      <c r="O294" s="4">
        <v>0</v>
      </c>
      <c r="P294" s="4">
        <v>8</v>
      </c>
      <c r="Q294" s="3" t="s">
        <v>26</v>
      </c>
      <c r="R294" s="3">
        <v>0</v>
      </c>
      <c r="S294" s="3" t="s">
        <v>132</v>
      </c>
      <c r="U294" s="3">
        <v>18</v>
      </c>
      <c r="V294" s="3">
        <v>0</v>
      </c>
      <c r="W294" s="3">
        <v>0</v>
      </c>
    </row>
    <row r="295" spans="1:23" ht="11.25" customHeight="1" x14ac:dyDescent="0.25">
      <c r="A295" s="3" t="s">
        <v>21</v>
      </c>
      <c r="B295" s="3" t="s">
        <v>39</v>
      </c>
      <c r="C295" s="3" t="s">
        <v>41</v>
      </c>
      <c r="D295" s="3" t="s">
        <v>51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44652</v>
      </c>
      <c r="J295" s="4">
        <v>269</v>
      </c>
      <c r="K295" s="4">
        <v>269</v>
      </c>
      <c r="L295" s="4">
        <v>0</v>
      </c>
      <c r="M295" s="4">
        <v>0</v>
      </c>
      <c r="N295" s="4">
        <v>0</v>
      </c>
      <c r="O295" s="4">
        <v>0</v>
      </c>
      <c r="P295" s="4">
        <v>8</v>
      </c>
      <c r="Q295" s="3" t="s">
        <v>26</v>
      </c>
      <c r="R295" s="3">
        <v>0</v>
      </c>
      <c r="S295" s="3" t="s">
        <v>133</v>
      </c>
      <c r="U295" s="3">
        <v>18</v>
      </c>
      <c r="V295" s="3">
        <v>0</v>
      </c>
      <c r="W295" s="3">
        <v>0</v>
      </c>
    </row>
    <row r="296" spans="1:23" ht="11.25" customHeight="1" x14ac:dyDescent="0.25">
      <c r="A296" s="3" t="s">
        <v>21</v>
      </c>
      <c r="B296" s="3" t="s">
        <v>39</v>
      </c>
      <c r="C296" s="3" t="s">
        <v>41</v>
      </c>
      <c r="D296" s="3" t="s">
        <v>51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44682</v>
      </c>
      <c r="J296" s="4">
        <v>283</v>
      </c>
      <c r="K296" s="4">
        <v>283</v>
      </c>
      <c r="L296" s="4">
        <v>0</v>
      </c>
      <c r="M296" s="4">
        <v>0</v>
      </c>
      <c r="N296" s="4">
        <v>0</v>
      </c>
      <c r="O296" s="4">
        <v>0</v>
      </c>
      <c r="P296" s="4">
        <v>8</v>
      </c>
      <c r="Q296" s="3" t="s">
        <v>26</v>
      </c>
      <c r="R296" s="3">
        <v>0</v>
      </c>
      <c r="S296" s="3" t="s">
        <v>134</v>
      </c>
      <c r="U296" s="3">
        <v>18</v>
      </c>
      <c r="V296" s="3">
        <v>0</v>
      </c>
      <c r="W296" s="3">
        <v>0</v>
      </c>
    </row>
    <row r="297" spans="1:23" ht="11.25" customHeight="1" x14ac:dyDescent="0.25">
      <c r="A297" s="3" t="s">
        <v>21</v>
      </c>
      <c r="B297" s="3" t="s">
        <v>39</v>
      </c>
      <c r="C297" s="3" t="s">
        <v>41</v>
      </c>
      <c r="D297" s="3" t="s">
        <v>51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44713</v>
      </c>
      <c r="J297" s="4">
        <v>248</v>
      </c>
      <c r="K297" s="4">
        <v>248</v>
      </c>
      <c r="L297" s="4">
        <v>0</v>
      </c>
      <c r="M297" s="4">
        <v>0</v>
      </c>
      <c r="N297" s="4">
        <v>0</v>
      </c>
      <c r="O297" s="4">
        <v>0</v>
      </c>
      <c r="P297" s="4">
        <v>8</v>
      </c>
      <c r="Q297" s="3" t="s">
        <v>26</v>
      </c>
      <c r="R297" s="3">
        <v>0</v>
      </c>
      <c r="S297" s="3" t="s">
        <v>135</v>
      </c>
      <c r="U297" s="3">
        <v>18</v>
      </c>
      <c r="V297" s="3">
        <v>0</v>
      </c>
      <c r="W297" s="3">
        <v>0</v>
      </c>
    </row>
    <row r="298" spans="1:23" ht="11.25" customHeight="1" x14ac:dyDescent="0.25">
      <c r="A298" s="3" t="s">
        <v>21</v>
      </c>
      <c r="B298" s="3" t="s">
        <v>39</v>
      </c>
      <c r="C298" s="3" t="s">
        <v>41</v>
      </c>
      <c r="D298" s="3" t="s">
        <v>51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44743</v>
      </c>
      <c r="J298" s="4">
        <v>255</v>
      </c>
      <c r="K298" s="4">
        <v>255</v>
      </c>
      <c r="L298" s="4">
        <v>0</v>
      </c>
      <c r="M298" s="4">
        <v>0</v>
      </c>
      <c r="N298" s="4">
        <v>0</v>
      </c>
      <c r="O298" s="4">
        <v>0</v>
      </c>
      <c r="P298" s="4">
        <v>8</v>
      </c>
      <c r="Q298" s="3" t="s">
        <v>26</v>
      </c>
      <c r="R298" s="3">
        <v>0</v>
      </c>
      <c r="S298" s="3" t="s">
        <v>136</v>
      </c>
      <c r="U298" s="3">
        <v>18</v>
      </c>
      <c r="V298" s="3">
        <v>0</v>
      </c>
      <c r="W298" s="3">
        <v>0</v>
      </c>
    </row>
    <row r="299" spans="1:23" ht="11.25" customHeight="1" x14ac:dyDescent="0.25">
      <c r="A299" s="3" t="s">
        <v>21</v>
      </c>
      <c r="B299" s="3" t="s">
        <v>39</v>
      </c>
      <c r="C299" s="3" t="s">
        <v>41</v>
      </c>
      <c r="D299" s="3" t="s">
        <v>51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44774</v>
      </c>
      <c r="J299" s="4">
        <v>271</v>
      </c>
      <c r="K299" s="4">
        <v>271</v>
      </c>
      <c r="L299" s="4">
        <v>0</v>
      </c>
      <c r="M299" s="4">
        <v>0</v>
      </c>
      <c r="N299" s="4">
        <v>0</v>
      </c>
      <c r="O299" s="4">
        <v>0</v>
      </c>
      <c r="P299" s="4">
        <v>8</v>
      </c>
      <c r="Q299" s="3" t="s">
        <v>26</v>
      </c>
      <c r="R299" s="3">
        <v>0</v>
      </c>
      <c r="S299" s="3" t="s">
        <v>137</v>
      </c>
      <c r="U299" s="3">
        <v>18</v>
      </c>
      <c r="V299" s="3">
        <v>0</v>
      </c>
      <c r="W299" s="3">
        <v>0</v>
      </c>
    </row>
    <row r="300" spans="1:23" ht="11.25" customHeight="1" x14ac:dyDescent="0.25">
      <c r="A300" s="3" t="s">
        <v>21</v>
      </c>
      <c r="B300" s="3" t="s">
        <v>39</v>
      </c>
      <c r="C300" s="3" t="s">
        <v>41</v>
      </c>
      <c r="D300" s="3" t="s">
        <v>51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44805</v>
      </c>
      <c r="J300" s="4">
        <v>303</v>
      </c>
      <c r="K300" s="4">
        <v>303</v>
      </c>
      <c r="L300" s="4">
        <v>0</v>
      </c>
      <c r="M300" s="4">
        <v>0</v>
      </c>
      <c r="N300" s="4">
        <v>0</v>
      </c>
      <c r="O300" s="4">
        <v>0</v>
      </c>
      <c r="P300" s="4">
        <v>8</v>
      </c>
      <c r="Q300" s="3" t="s">
        <v>26</v>
      </c>
      <c r="R300" s="3">
        <v>0</v>
      </c>
      <c r="S300" s="3" t="s">
        <v>138</v>
      </c>
      <c r="U300" s="3">
        <v>18</v>
      </c>
      <c r="V300" s="3">
        <v>0</v>
      </c>
      <c r="W300" s="3">
        <v>0</v>
      </c>
    </row>
    <row r="301" spans="1:23" ht="11.25" customHeight="1" x14ac:dyDescent="0.25">
      <c r="A301" s="3" t="s">
        <v>55</v>
      </c>
      <c r="B301" s="3" t="s">
        <v>39</v>
      </c>
      <c r="C301" s="3" t="s">
        <v>41</v>
      </c>
      <c r="D301" s="3" t="s">
        <v>51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44835</v>
      </c>
      <c r="J301" s="4">
        <v>303</v>
      </c>
      <c r="K301" s="4">
        <v>303</v>
      </c>
      <c r="L301" s="4">
        <v>0</v>
      </c>
      <c r="M301" s="4">
        <v>0</v>
      </c>
      <c r="N301" s="4">
        <v>0</v>
      </c>
      <c r="O301" s="4">
        <v>0</v>
      </c>
      <c r="P301" s="4">
        <v>8</v>
      </c>
      <c r="Q301" s="3" t="s">
        <v>26</v>
      </c>
      <c r="R301" s="3">
        <v>0</v>
      </c>
      <c r="S301" s="3" t="s">
        <v>139</v>
      </c>
      <c r="U301" s="3">
        <v>18</v>
      </c>
      <c r="V301" s="3">
        <v>0</v>
      </c>
      <c r="W301" s="3">
        <v>0</v>
      </c>
    </row>
    <row r="302" spans="1:23" ht="11.25" customHeight="1" x14ac:dyDescent="0.25">
      <c r="A302" s="3" t="s">
        <v>21</v>
      </c>
      <c r="B302" s="3" t="s">
        <v>39</v>
      </c>
      <c r="C302" s="3" t="s">
        <v>41</v>
      </c>
      <c r="D302" s="3" t="s">
        <v>51</v>
      </c>
      <c r="E302" s="3" t="s">
        <v>25</v>
      </c>
      <c r="F302" s="3" t="s">
        <v>25</v>
      </c>
      <c r="G302" s="3" t="s">
        <v>25</v>
      </c>
      <c r="H302" s="3" t="s">
        <v>34</v>
      </c>
      <c r="I302" s="6">
        <v>44501</v>
      </c>
      <c r="J302" s="4">
        <v>0</v>
      </c>
      <c r="K302" s="4">
        <v>0</v>
      </c>
      <c r="L302" s="4">
        <v>8.7029999999999994</v>
      </c>
      <c r="M302" s="4">
        <v>8.7029999999999994</v>
      </c>
      <c r="N302" s="4">
        <v>8.7029999999999994</v>
      </c>
      <c r="O302" s="4">
        <v>8.7029999999999994</v>
      </c>
      <c r="P302" s="4">
        <v>0</v>
      </c>
      <c r="Q302" s="3" t="s">
        <v>26</v>
      </c>
      <c r="R302" s="3">
        <v>0</v>
      </c>
      <c r="S302" s="3" t="s">
        <v>140</v>
      </c>
      <c r="T302" s="3" t="s">
        <v>354</v>
      </c>
      <c r="U302" s="3">
        <v>0</v>
      </c>
      <c r="V302" s="3">
        <v>11</v>
      </c>
      <c r="W302" s="3">
        <v>71</v>
      </c>
    </row>
    <row r="303" spans="1:23" ht="11.25" customHeight="1" x14ac:dyDescent="0.25">
      <c r="A303" s="3" t="s">
        <v>21</v>
      </c>
      <c r="B303" s="3" t="s">
        <v>39</v>
      </c>
      <c r="C303" s="3" t="s">
        <v>41</v>
      </c>
      <c r="D303" s="3" t="s">
        <v>51</v>
      </c>
      <c r="E303" s="3" t="s">
        <v>25</v>
      </c>
      <c r="F303" s="3" t="s">
        <v>25</v>
      </c>
      <c r="G303" s="3" t="s">
        <v>25</v>
      </c>
      <c r="H303" s="3" t="s">
        <v>34</v>
      </c>
      <c r="I303" s="6">
        <v>44531</v>
      </c>
      <c r="J303" s="4">
        <v>0</v>
      </c>
      <c r="K303" s="4">
        <v>0</v>
      </c>
      <c r="L303" s="4">
        <v>8.8829999999999991</v>
      </c>
      <c r="M303" s="4">
        <v>8.8829999999999991</v>
      </c>
      <c r="N303" s="4">
        <v>8.8829999999999991</v>
      </c>
      <c r="O303" s="4">
        <v>8.8829999999999991</v>
      </c>
      <c r="P303" s="4">
        <v>0</v>
      </c>
      <c r="Q303" s="3" t="s">
        <v>26</v>
      </c>
      <c r="R303" s="3">
        <v>0</v>
      </c>
      <c r="S303" s="3" t="s">
        <v>141</v>
      </c>
      <c r="T303" s="3" t="s">
        <v>355</v>
      </c>
      <c r="U303" s="3">
        <v>0</v>
      </c>
      <c r="V303" s="3">
        <v>11</v>
      </c>
      <c r="W303" s="3">
        <v>71</v>
      </c>
    </row>
    <row r="304" spans="1:23" ht="11.25" customHeight="1" x14ac:dyDescent="0.25">
      <c r="A304" s="3" t="s">
        <v>21</v>
      </c>
      <c r="B304" s="3" t="s">
        <v>39</v>
      </c>
      <c r="C304" s="3" t="s">
        <v>41</v>
      </c>
      <c r="D304" s="3" t="s">
        <v>51</v>
      </c>
      <c r="E304" s="3" t="s">
        <v>25</v>
      </c>
      <c r="F304" s="3" t="s">
        <v>25</v>
      </c>
      <c r="G304" s="3" t="s">
        <v>25</v>
      </c>
      <c r="H304" s="3" t="s">
        <v>34</v>
      </c>
      <c r="I304" s="6">
        <v>44562</v>
      </c>
      <c r="J304" s="4">
        <v>0</v>
      </c>
      <c r="K304" s="4">
        <v>0</v>
      </c>
      <c r="L304" s="4">
        <v>8.2159999999999993</v>
      </c>
      <c r="M304" s="4">
        <v>8.2159999999999993</v>
      </c>
      <c r="N304" s="4">
        <v>8.2159999999999993</v>
      </c>
      <c r="O304" s="4">
        <v>8.2159999999999993</v>
      </c>
      <c r="P304" s="4">
        <v>0</v>
      </c>
      <c r="Q304" s="3" t="s">
        <v>26</v>
      </c>
      <c r="R304" s="3">
        <v>0</v>
      </c>
      <c r="S304" s="3" t="s">
        <v>142</v>
      </c>
      <c r="T304" s="3" t="s">
        <v>356</v>
      </c>
      <c r="U304" s="3">
        <v>0</v>
      </c>
      <c r="V304" s="3">
        <v>11</v>
      </c>
      <c r="W304" s="3">
        <v>71</v>
      </c>
    </row>
    <row r="305" spans="1:23" ht="11.25" customHeight="1" x14ac:dyDescent="0.25">
      <c r="A305" s="3" t="s">
        <v>21</v>
      </c>
      <c r="B305" s="3" t="s">
        <v>39</v>
      </c>
      <c r="C305" s="3" t="s">
        <v>41</v>
      </c>
      <c r="D305" s="3" t="s">
        <v>51</v>
      </c>
      <c r="E305" s="3" t="s">
        <v>25</v>
      </c>
      <c r="F305" s="3" t="s">
        <v>25</v>
      </c>
      <c r="G305" s="3" t="s">
        <v>25</v>
      </c>
      <c r="H305" s="3" t="s">
        <v>34</v>
      </c>
      <c r="I305" s="6">
        <v>44593</v>
      </c>
      <c r="J305" s="4">
        <v>0</v>
      </c>
      <c r="K305" s="4">
        <v>0</v>
      </c>
      <c r="L305" s="4">
        <v>7.992</v>
      </c>
      <c r="M305" s="4">
        <v>7.992</v>
      </c>
      <c r="N305" s="4">
        <v>7.992</v>
      </c>
      <c r="O305" s="4">
        <v>7.992</v>
      </c>
      <c r="P305" s="4">
        <v>0</v>
      </c>
      <c r="Q305" s="3" t="s">
        <v>26</v>
      </c>
      <c r="R305" s="3">
        <v>0</v>
      </c>
      <c r="S305" s="3" t="s">
        <v>143</v>
      </c>
      <c r="T305" s="3" t="s">
        <v>357</v>
      </c>
      <c r="U305" s="3">
        <v>0</v>
      </c>
      <c r="V305" s="3">
        <v>11</v>
      </c>
      <c r="W305" s="3">
        <v>71</v>
      </c>
    </row>
    <row r="306" spans="1:23" ht="11.25" customHeight="1" x14ac:dyDescent="0.25">
      <c r="A306" s="3" t="s">
        <v>21</v>
      </c>
      <c r="B306" s="3" t="s">
        <v>39</v>
      </c>
      <c r="C306" s="3" t="s">
        <v>41</v>
      </c>
      <c r="D306" s="3" t="s">
        <v>51</v>
      </c>
      <c r="E306" s="3" t="s">
        <v>25</v>
      </c>
      <c r="F306" s="3" t="s">
        <v>25</v>
      </c>
      <c r="G306" s="3" t="s">
        <v>25</v>
      </c>
      <c r="H306" s="3" t="s">
        <v>34</v>
      </c>
      <c r="I306" s="6">
        <v>44621</v>
      </c>
      <c r="J306" s="4">
        <v>0</v>
      </c>
      <c r="K306" s="4">
        <v>0</v>
      </c>
      <c r="L306" s="4">
        <v>8.7810000000000006</v>
      </c>
      <c r="M306" s="4">
        <v>8.7810000000000006</v>
      </c>
      <c r="N306" s="4">
        <v>8.7810000000000006</v>
      </c>
      <c r="O306" s="4">
        <v>8.7810000000000006</v>
      </c>
      <c r="P306" s="4">
        <v>0</v>
      </c>
      <c r="Q306" s="3" t="s">
        <v>26</v>
      </c>
      <c r="R306" s="3">
        <v>0</v>
      </c>
      <c r="S306" s="3" t="s">
        <v>144</v>
      </c>
      <c r="T306" s="3" t="s">
        <v>358</v>
      </c>
      <c r="U306" s="3">
        <v>0</v>
      </c>
      <c r="V306" s="3">
        <v>11</v>
      </c>
      <c r="W306" s="3">
        <v>71</v>
      </c>
    </row>
    <row r="307" spans="1:23" ht="11.25" customHeight="1" x14ac:dyDescent="0.25">
      <c r="A307" s="3" t="s">
        <v>21</v>
      </c>
      <c r="B307" s="3" t="s">
        <v>39</v>
      </c>
      <c r="C307" s="3" t="s">
        <v>41</v>
      </c>
      <c r="D307" s="3" t="s">
        <v>51</v>
      </c>
      <c r="E307" s="3" t="s">
        <v>25</v>
      </c>
      <c r="F307" s="3" t="s">
        <v>25</v>
      </c>
      <c r="G307" s="3" t="s">
        <v>25</v>
      </c>
      <c r="H307" s="3" t="s">
        <v>34</v>
      </c>
      <c r="I307" s="6">
        <v>44652</v>
      </c>
      <c r="J307" s="4">
        <v>0</v>
      </c>
      <c r="K307" s="4">
        <v>0</v>
      </c>
      <c r="L307" s="4">
        <v>8.7810000000000006</v>
      </c>
      <c r="M307" s="4">
        <v>8.7810000000000006</v>
      </c>
      <c r="N307" s="4">
        <v>8.7810000000000006</v>
      </c>
      <c r="O307" s="4">
        <v>8.7810000000000006</v>
      </c>
      <c r="P307" s="4">
        <v>0</v>
      </c>
      <c r="Q307" s="3" t="s">
        <v>26</v>
      </c>
      <c r="R307" s="3">
        <v>0</v>
      </c>
      <c r="S307" s="3" t="s">
        <v>145</v>
      </c>
      <c r="T307" s="3" t="s">
        <v>359</v>
      </c>
      <c r="U307" s="3">
        <v>0</v>
      </c>
      <c r="V307" s="3">
        <v>11</v>
      </c>
      <c r="W307" s="3">
        <v>71</v>
      </c>
    </row>
    <row r="308" spans="1:23" ht="11.25" customHeight="1" x14ac:dyDescent="0.25">
      <c r="A308" s="3" t="s">
        <v>21</v>
      </c>
      <c r="B308" s="3" t="s">
        <v>39</v>
      </c>
      <c r="C308" s="3" t="s">
        <v>41</v>
      </c>
      <c r="D308" s="3" t="s">
        <v>51</v>
      </c>
      <c r="E308" s="3" t="s">
        <v>25</v>
      </c>
      <c r="F308" s="3" t="s">
        <v>25</v>
      </c>
      <c r="G308" s="3" t="s">
        <v>25</v>
      </c>
      <c r="H308" s="3" t="s">
        <v>34</v>
      </c>
      <c r="I308" s="6">
        <v>44682</v>
      </c>
      <c r="J308" s="4">
        <v>0</v>
      </c>
      <c r="K308" s="4">
        <v>0</v>
      </c>
      <c r="L308" s="4">
        <v>8.3979999999999997</v>
      </c>
      <c r="M308" s="4">
        <v>8.3979999999999997</v>
      </c>
      <c r="N308" s="4">
        <v>8.3979999999999997</v>
      </c>
      <c r="O308" s="4">
        <v>8.3979999999999997</v>
      </c>
      <c r="P308" s="4">
        <v>0</v>
      </c>
      <c r="Q308" s="3" t="s">
        <v>26</v>
      </c>
      <c r="R308" s="3">
        <v>0</v>
      </c>
      <c r="S308" s="3" t="s">
        <v>146</v>
      </c>
      <c r="T308" s="3" t="s">
        <v>360</v>
      </c>
      <c r="U308" s="3">
        <v>0</v>
      </c>
      <c r="V308" s="3">
        <v>11</v>
      </c>
      <c r="W308" s="3">
        <v>71</v>
      </c>
    </row>
    <row r="309" spans="1:23" ht="11.25" customHeight="1" x14ac:dyDescent="0.25">
      <c r="A309" s="3" t="s">
        <v>21</v>
      </c>
      <c r="B309" s="3" t="s">
        <v>39</v>
      </c>
      <c r="C309" s="3" t="s">
        <v>41</v>
      </c>
      <c r="D309" s="3" t="s">
        <v>51</v>
      </c>
      <c r="E309" s="3" t="s">
        <v>25</v>
      </c>
      <c r="F309" s="3" t="s">
        <v>25</v>
      </c>
      <c r="G309" s="3" t="s">
        <v>25</v>
      </c>
      <c r="H309" s="3" t="s">
        <v>34</v>
      </c>
      <c r="I309" s="6">
        <v>44713</v>
      </c>
      <c r="J309" s="4">
        <v>0</v>
      </c>
      <c r="K309" s="4">
        <v>0</v>
      </c>
      <c r="L309" s="4">
        <v>8.2189999999999994</v>
      </c>
      <c r="M309" s="4">
        <v>8.2189999999999994</v>
      </c>
      <c r="N309" s="4">
        <v>8.2189999999999994</v>
      </c>
      <c r="O309" s="4">
        <v>8.2189999999999994</v>
      </c>
      <c r="P309" s="4">
        <v>0</v>
      </c>
      <c r="Q309" s="3" t="s">
        <v>26</v>
      </c>
      <c r="R309" s="3">
        <v>0</v>
      </c>
      <c r="S309" s="3" t="s">
        <v>147</v>
      </c>
      <c r="T309" s="3" t="s">
        <v>361</v>
      </c>
      <c r="U309" s="3">
        <v>0</v>
      </c>
      <c r="V309" s="3">
        <v>11</v>
      </c>
      <c r="W309" s="3">
        <v>71</v>
      </c>
    </row>
    <row r="310" spans="1:23" ht="11.25" customHeight="1" x14ac:dyDescent="0.25">
      <c r="A310" s="3" t="s">
        <v>21</v>
      </c>
      <c r="B310" s="3" t="s">
        <v>39</v>
      </c>
      <c r="C310" s="3" t="s">
        <v>41</v>
      </c>
      <c r="D310" s="3" t="s">
        <v>51</v>
      </c>
      <c r="E310" s="3" t="s">
        <v>25</v>
      </c>
      <c r="F310" s="3" t="s">
        <v>25</v>
      </c>
      <c r="G310" s="3" t="s">
        <v>25</v>
      </c>
      <c r="H310" s="3" t="s">
        <v>34</v>
      </c>
      <c r="I310" s="6">
        <v>44743</v>
      </c>
      <c r="J310" s="4">
        <v>0</v>
      </c>
      <c r="K310" s="4">
        <v>0</v>
      </c>
      <c r="L310" s="4">
        <v>8.5329999999999995</v>
      </c>
      <c r="M310" s="4">
        <v>8.5329999999999995</v>
      </c>
      <c r="N310" s="4">
        <v>8.5329999999999995</v>
      </c>
      <c r="O310" s="4">
        <v>8.5329999999999995</v>
      </c>
      <c r="P310" s="4">
        <v>0</v>
      </c>
      <c r="Q310" s="3" t="s">
        <v>26</v>
      </c>
      <c r="R310" s="3">
        <v>0</v>
      </c>
      <c r="S310" s="3" t="s">
        <v>148</v>
      </c>
      <c r="T310" s="3" t="s">
        <v>362</v>
      </c>
      <c r="U310" s="3">
        <v>0</v>
      </c>
      <c r="V310" s="3">
        <v>11</v>
      </c>
      <c r="W310" s="3">
        <v>71</v>
      </c>
    </row>
    <row r="311" spans="1:23" ht="11.25" customHeight="1" x14ac:dyDescent="0.25">
      <c r="A311" s="3" t="s">
        <v>21</v>
      </c>
      <c r="B311" s="3" t="s">
        <v>39</v>
      </c>
      <c r="C311" s="3" t="s">
        <v>41</v>
      </c>
      <c r="D311" s="3" t="s">
        <v>51</v>
      </c>
      <c r="E311" s="3" t="s">
        <v>25</v>
      </c>
      <c r="F311" s="3" t="s">
        <v>25</v>
      </c>
      <c r="G311" s="3" t="s">
        <v>25</v>
      </c>
      <c r="H311" s="3" t="s">
        <v>34</v>
      </c>
      <c r="I311" s="6">
        <v>44774</v>
      </c>
      <c r="J311" s="4">
        <v>0</v>
      </c>
      <c r="K311" s="4">
        <v>0</v>
      </c>
      <c r="L311" s="4">
        <v>9.4990000000000006</v>
      </c>
      <c r="M311" s="4">
        <v>9.4990000000000006</v>
      </c>
      <c r="N311" s="4">
        <v>9.4990000000000006</v>
      </c>
      <c r="O311" s="4">
        <v>9.4990000000000006</v>
      </c>
      <c r="P311" s="4">
        <v>0</v>
      </c>
      <c r="Q311" s="3" t="s">
        <v>26</v>
      </c>
      <c r="R311" s="3">
        <v>0</v>
      </c>
      <c r="S311" s="3" t="s">
        <v>149</v>
      </c>
      <c r="T311" s="3" t="s">
        <v>363</v>
      </c>
      <c r="U311" s="3">
        <v>0</v>
      </c>
      <c r="V311" s="3">
        <v>11</v>
      </c>
      <c r="W311" s="3">
        <v>71</v>
      </c>
    </row>
    <row r="312" spans="1:23" ht="11.25" customHeight="1" x14ac:dyDescent="0.25">
      <c r="A312" s="3" t="s">
        <v>21</v>
      </c>
      <c r="B312" s="3" t="s">
        <v>39</v>
      </c>
      <c r="C312" s="3" t="s">
        <v>41</v>
      </c>
      <c r="D312" s="3" t="s">
        <v>51</v>
      </c>
      <c r="E312" s="3" t="s">
        <v>25</v>
      </c>
      <c r="F312" s="3" t="s">
        <v>25</v>
      </c>
      <c r="G312" s="3" t="s">
        <v>25</v>
      </c>
      <c r="H312" s="3" t="s">
        <v>34</v>
      </c>
      <c r="I312" s="6">
        <v>44805</v>
      </c>
      <c r="J312" s="4">
        <v>0</v>
      </c>
      <c r="K312" s="4">
        <v>0</v>
      </c>
      <c r="L312" s="4">
        <v>9.0950000000000006</v>
      </c>
      <c r="M312" s="4">
        <v>9.0950000000000006</v>
      </c>
      <c r="N312" s="4">
        <v>9.0950000000000006</v>
      </c>
      <c r="O312" s="4">
        <v>9.0950000000000006</v>
      </c>
      <c r="P312" s="4">
        <v>0</v>
      </c>
      <c r="Q312" s="3" t="s">
        <v>26</v>
      </c>
      <c r="R312" s="3">
        <v>0</v>
      </c>
      <c r="S312" s="3" t="s">
        <v>150</v>
      </c>
      <c r="T312" s="3" t="s">
        <v>364</v>
      </c>
      <c r="U312" s="3">
        <v>0</v>
      </c>
      <c r="V312" s="3">
        <v>11</v>
      </c>
      <c r="W312" s="3">
        <v>71</v>
      </c>
    </row>
    <row r="313" spans="1:23" ht="11.25" customHeight="1" x14ac:dyDescent="0.25">
      <c r="A313" s="3" t="s">
        <v>55</v>
      </c>
      <c r="B313" s="3" t="s">
        <v>39</v>
      </c>
      <c r="C313" s="3" t="s">
        <v>41</v>
      </c>
      <c r="D313" s="3" t="s">
        <v>51</v>
      </c>
      <c r="E313" s="3" t="s">
        <v>25</v>
      </c>
      <c r="F313" s="3" t="s">
        <v>25</v>
      </c>
      <c r="G313" s="3" t="s">
        <v>25</v>
      </c>
      <c r="H313" s="3" t="s">
        <v>34</v>
      </c>
      <c r="I313" s="6">
        <v>44835</v>
      </c>
      <c r="J313" s="4">
        <v>0</v>
      </c>
      <c r="K313" s="4">
        <v>0</v>
      </c>
      <c r="L313" s="4">
        <v>9.0950000000000006</v>
      </c>
      <c r="M313" s="4">
        <v>9.0950000000000006</v>
      </c>
      <c r="N313" s="4">
        <v>9.0950000000000006</v>
      </c>
      <c r="O313" s="4">
        <v>9.0950000000000006</v>
      </c>
      <c r="P313" s="4">
        <v>0</v>
      </c>
      <c r="Q313" s="3" t="s">
        <v>26</v>
      </c>
      <c r="R313" s="3">
        <v>0</v>
      </c>
      <c r="S313" s="3" t="s">
        <v>151</v>
      </c>
      <c r="T313" s="3" t="s">
        <v>365</v>
      </c>
      <c r="U313" s="3">
        <v>0</v>
      </c>
      <c r="V313" s="3">
        <v>11</v>
      </c>
      <c r="W313" s="3">
        <v>71</v>
      </c>
    </row>
    <row r="314" spans="1:23" ht="11.25" customHeight="1" x14ac:dyDescent="0.25">
      <c r="A314" s="3" t="s">
        <v>21</v>
      </c>
      <c r="B314" s="3" t="s">
        <v>39</v>
      </c>
      <c r="C314" s="3" t="s">
        <v>41</v>
      </c>
      <c r="D314" s="3" t="s">
        <v>38</v>
      </c>
      <c r="E314" s="3" t="s">
        <v>25</v>
      </c>
      <c r="F314" s="3" t="s">
        <v>25</v>
      </c>
      <c r="G314" s="3" t="s">
        <v>25</v>
      </c>
      <c r="H314" s="3" t="s">
        <v>35</v>
      </c>
      <c r="I314" s="6">
        <v>44501</v>
      </c>
      <c r="J314" s="4">
        <v>0</v>
      </c>
      <c r="K314" s="4">
        <v>0</v>
      </c>
      <c r="L314" s="4">
        <v>1140.0050000000001</v>
      </c>
      <c r="M314" s="4">
        <v>1140.0050000000001</v>
      </c>
      <c r="N314" s="4">
        <v>1140.0050000000001</v>
      </c>
      <c r="O314" s="4">
        <v>1140.0050000000001</v>
      </c>
      <c r="P314" s="4">
        <v>0</v>
      </c>
      <c r="Q314" s="3" t="s">
        <v>26</v>
      </c>
      <c r="R314" s="3">
        <v>0</v>
      </c>
      <c r="S314" s="3" t="s">
        <v>116</v>
      </c>
      <c r="T314" s="3" t="s">
        <v>342</v>
      </c>
      <c r="U314" s="3">
        <v>0</v>
      </c>
      <c r="V314" s="3">
        <v>31</v>
      </c>
      <c r="W314" s="3">
        <v>59</v>
      </c>
    </row>
    <row r="315" spans="1:23" ht="11.25" customHeight="1" x14ac:dyDescent="0.25">
      <c r="A315" s="3" t="s">
        <v>28</v>
      </c>
      <c r="B315" s="3" t="s">
        <v>39</v>
      </c>
      <c r="C315" s="3" t="s">
        <v>41</v>
      </c>
      <c r="D315" s="3" t="s">
        <v>38</v>
      </c>
      <c r="E315" s="3" t="s">
        <v>25</v>
      </c>
      <c r="F315" s="3" t="s">
        <v>25</v>
      </c>
      <c r="G315" s="3" t="s">
        <v>25</v>
      </c>
      <c r="H315" s="3" t="s">
        <v>35</v>
      </c>
      <c r="I315" s="6">
        <v>44501</v>
      </c>
      <c r="J315" s="4">
        <v>0</v>
      </c>
      <c r="K315" s="4">
        <v>0</v>
      </c>
      <c r="L315" s="4">
        <v>38.292999999999999</v>
      </c>
      <c r="M315" s="4">
        <v>38.292999999999999</v>
      </c>
      <c r="N315" s="4">
        <v>38.292999999999999</v>
      </c>
      <c r="O315" s="4">
        <v>38.292999999999999</v>
      </c>
      <c r="P315" s="4">
        <v>0</v>
      </c>
      <c r="Q315" s="3" t="s">
        <v>26</v>
      </c>
      <c r="R315" s="3">
        <v>0</v>
      </c>
      <c r="S315" s="3" t="s">
        <v>116</v>
      </c>
      <c r="T315" s="3" t="s">
        <v>342</v>
      </c>
      <c r="U315" s="3">
        <v>0</v>
      </c>
      <c r="V315" s="3">
        <v>31</v>
      </c>
      <c r="W315" s="3">
        <v>59</v>
      </c>
    </row>
    <row r="316" spans="1:23" ht="11.25" customHeight="1" x14ac:dyDescent="0.25">
      <c r="A316" s="3" t="s">
        <v>21</v>
      </c>
      <c r="B316" s="3" t="s">
        <v>39</v>
      </c>
      <c r="C316" s="3" t="s">
        <v>41</v>
      </c>
      <c r="D316" s="3" t="s">
        <v>38</v>
      </c>
      <c r="E316" s="3" t="s">
        <v>25</v>
      </c>
      <c r="F316" s="3" t="s">
        <v>25</v>
      </c>
      <c r="G316" s="3" t="s">
        <v>25</v>
      </c>
      <c r="H316" s="3" t="s">
        <v>35</v>
      </c>
      <c r="I316" s="6">
        <v>44531</v>
      </c>
      <c r="J316" s="4">
        <v>0</v>
      </c>
      <c r="K316" s="4">
        <v>0</v>
      </c>
      <c r="L316" s="4">
        <v>1128.8789999999999</v>
      </c>
      <c r="M316" s="4">
        <v>1128.8789999999999</v>
      </c>
      <c r="N316" s="4">
        <v>1128.8789999999999</v>
      </c>
      <c r="O316" s="4">
        <v>1128.8789999999999</v>
      </c>
      <c r="P316" s="4">
        <v>0</v>
      </c>
      <c r="Q316" s="3" t="s">
        <v>26</v>
      </c>
      <c r="R316" s="3">
        <v>0</v>
      </c>
      <c r="S316" s="3" t="s">
        <v>117</v>
      </c>
      <c r="T316" s="3" t="s">
        <v>343</v>
      </c>
      <c r="U316" s="3">
        <v>0</v>
      </c>
      <c r="V316" s="3">
        <v>31</v>
      </c>
      <c r="W316" s="3">
        <v>59</v>
      </c>
    </row>
    <row r="317" spans="1:23" ht="11.25" customHeight="1" x14ac:dyDescent="0.25">
      <c r="A317" s="3" t="s">
        <v>28</v>
      </c>
      <c r="B317" s="3" t="s">
        <v>39</v>
      </c>
      <c r="C317" s="3" t="s">
        <v>41</v>
      </c>
      <c r="D317" s="3" t="s">
        <v>38</v>
      </c>
      <c r="E317" s="3" t="s">
        <v>25</v>
      </c>
      <c r="F317" s="3" t="s">
        <v>25</v>
      </c>
      <c r="G317" s="3" t="s">
        <v>25</v>
      </c>
      <c r="H317" s="3" t="s">
        <v>35</v>
      </c>
      <c r="I317" s="6">
        <v>44531</v>
      </c>
      <c r="J317" s="4">
        <v>0</v>
      </c>
      <c r="K317" s="4">
        <v>0</v>
      </c>
      <c r="L317" s="4">
        <v>36.838000000000001</v>
      </c>
      <c r="M317" s="4">
        <v>36.838000000000001</v>
      </c>
      <c r="N317" s="4">
        <v>36.838000000000001</v>
      </c>
      <c r="O317" s="4">
        <v>36.838000000000001</v>
      </c>
      <c r="P317" s="4">
        <v>0</v>
      </c>
      <c r="Q317" s="3" t="s">
        <v>26</v>
      </c>
      <c r="R317" s="3">
        <v>0</v>
      </c>
      <c r="S317" s="3" t="s">
        <v>117</v>
      </c>
      <c r="T317" s="3" t="s">
        <v>343</v>
      </c>
      <c r="U317" s="3">
        <v>0</v>
      </c>
      <c r="V317" s="3">
        <v>31</v>
      </c>
      <c r="W317" s="3">
        <v>59</v>
      </c>
    </row>
    <row r="318" spans="1:23" ht="11.25" customHeight="1" x14ac:dyDescent="0.25">
      <c r="A318" s="3" t="s">
        <v>21</v>
      </c>
      <c r="B318" s="3" t="s">
        <v>39</v>
      </c>
      <c r="C318" s="3" t="s">
        <v>41</v>
      </c>
      <c r="D318" s="3" t="s">
        <v>38</v>
      </c>
      <c r="E318" s="3" t="s">
        <v>25</v>
      </c>
      <c r="F318" s="3" t="s">
        <v>25</v>
      </c>
      <c r="G318" s="3" t="s">
        <v>25</v>
      </c>
      <c r="H318" s="3" t="s">
        <v>35</v>
      </c>
      <c r="I318" s="6">
        <v>44562</v>
      </c>
      <c r="J318" s="4">
        <v>0</v>
      </c>
      <c r="K318" s="4">
        <v>0</v>
      </c>
      <c r="L318" s="4">
        <v>1148.1959999999999</v>
      </c>
      <c r="M318" s="4">
        <v>1148.1959999999999</v>
      </c>
      <c r="N318" s="4">
        <v>1148.1959999999999</v>
      </c>
      <c r="O318" s="4">
        <v>1148.1959999999999</v>
      </c>
      <c r="P318" s="4">
        <v>0</v>
      </c>
      <c r="Q318" s="3" t="s">
        <v>26</v>
      </c>
      <c r="R318" s="3">
        <v>0</v>
      </c>
      <c r="S318" s="3" t="s">
        <v>118</v>
      </c>
      <c r="T318" s="3" t="s">
        <v>344</v>
      </c>
      <c r="U318" s="3">
        <v>0</v>
      </c>
      <c r="V318" s="3">
        <v>31</v>
      </c>
      <c r="W318" s="3">
        <v>59</v>
      </c>
    </row>
    <row r="319" spans="1:23" ht="11.25" customHeight="1" x14ac:dyDescent="0.25">
      <c r="A319" s="3" t="s">
        <v>28</v>
      </c>
      <c r="B319" s="3" t="s">
        <v>39</v>
      </c>
      <c r="C319" s="3" t="s">
        <v>41</v>
      </c>
      <c r="D319" s="3" t="s">
        <v>38</v>
      </c>
      <c r="E319" s="3" t="s">
        <v>25</v>
      </c>
      <c r="F319" s="3" t="s">
        <v>25</v>
      </c>
      <c r="G319" s="3" t="s">
        <v>25</v>
      </c>
      <c r="H319" s="3" t="s">
        <v>35</v>
      </c>
      <c r="I319" s="6">
        <v>44562</v>
      </c>
      <c r="J319" s="4">
        <v>0</v>
      </c>
      <c r="K319" s="4">
        <v>0</v>
      </c>
      <c r="L319" s="4">
        <v>33.359000000000002</v>
      </c>
      <c r="M319" s="4">
        <v>33.359000000000002</v>
      </c>
      <c r="N319" s="4">
        <v>33.359000000000002</v>
      </c>
      <c r="O319" s="4">
        <v>33.359000000000002</v>
      </c>
      <c r="P319" s="4">
        <v>0</v>
      </c>
      <c r="Q319" s="3" t="s">
        <v>26</v>
      </c>
      <c r="R319" s="3">
        <v>0</v>
      </c>
      <c r="S319" s="3" t="s">
        <v>118</v>
      </c>
      <c r="T319" s="3" t="s">
        <v>344</v>
      </c>
      <c r="U319" s="3">
        <v>0</v>
      </c>
      <c r="V319" s="3">
        <v>31</v>
      </c>
      <c r="W319" s="3">
        <v>59</v>
      </c>
    </row>
    <row r="320" spans="1:23" ht="11.25" customHeight="1" x14ac:dyDescent="0.25">
      <c r="A320" s="3" t="s">
        <v>21</v>
      </c>
      <c r="B320" s="3" t="s">
        <v>39</v>
      </c>
      <c r="C320" s="3" t="s">
        <v>41</v>
      </c>
      <c r="D320" s="3" t="s">
        <v>38</v>
      </c>
      <c r="E320" s="3" t="s">
        <v>25</v>
      </c>
      <c r="F320" s="3" t="s">
        <v>25</v>
      </c>
      <c r="G320" s="3" t="s">
        <v>25</v>
      </c>
      <c r="H320" s="3" t="s">
        <v>35</v>
      </c>
      <c r="I320" s="6">
        <v>44593</v>
      </c>
      <c r="J320" s="4">
        <v>0</v>
      </c>
      <c r="K320" s="4">
        <v>0</v>
      </c>
      <c r="L320" s="4">
        <v>1206.1010000000001</v>
      </c>
      <c r="M320" s="4">
        <v>1206.1010000000001</v>
      </c>
      <c r="N320" s="4">
        <v>1206.1010000000001</v>
      </c>
      <c r="O320" s="4">
        <v>1206.1010000000001</v>
      </c>
      <c r="P320" s="4">
        <v>0</v>
      </c>
      <c r="Q320" s="3" t="s">
        <v>26</v>
      </c>
      <c r="R320" s="3">
        <v>0</v>
      </c>
      <c r="S320" s="3" t="s">
        <v>119</v>
      </c>
      <c r="T320" s="3" t="s">
        <v>345</v>
      </c>
      <c r="U320" s="3">
        <v>0</v>
      </c>
      <c r="V320" s="3">
        <v>31</v>
      </c>
      <c r="W320" s="3">
        <v>59</v>
      </c>
    </row>
    <row r="321" spans="1:23" ht="11.25" customHeight="1" x14ac:dyDescent="0.25">
      <c r="A321" s="3" t="s">
        <v>28</v>
      </c>
      <c r="B321" s="3" t="s">
        <v>39</v>
      </c>
      <c r="C321" s="3" t="s">
        <v>41</v>
      </c>
      <c r="D321" s="3" t="s">
        <v>38</v>
      </c>
      <c r="E321" s="3" t="s">
        <v>25</v>
      </c>
      <c r="F321" s="3" t="s">
        <v>25</v>
      </c>
      <c r="G321" s="3" t="s">
        <v>25</v>
      </c>
      <c r="H321" s="3" t="s">
        <v>35</v>
      </c>
      <c r="I321" s="6">
        <v>44593</v>
      </c>
      <c r="J321" s="4">
        <v>0</v>
      </c>
      <c r="K321" s="4">
        <v>0</v>
      </c>
      <c r="L321" s="4">
        <v>34.656999999999996</v>
      </c>
      <c r="M321" s="4">
        <v>34.656999999999996</v>
      </c>
      <c r="N321" s="4">
        <v>34.656999999999996</v>
      </c>
      <c r="O321" s="4">
        <v>34.656999999999996</v>
      </c>
      <c r="P321" s="4">
        <v>0</v>
      </c>
      <c r="Q321" s="3" t="s">
        <v>26</v>
      </c>
      <c r="R321" s="3">
        <v>0</v>
      </c>
      <c r="S321" s="3" t="s">
        <v>119</v>
      </c>
      <c r="T321" s="3" t="s">
        <v>345</v>
      </c>
      <c r="U321" s="3">
        <v>0</v>
      </c>
      <c r="V321" s="3">
        <v>31</v>
      </c>
      <c r="W321" s="3">
        <v>59</v>
      </c>
    </row>
    <row r="322" spans="1:23" ht="11.25" customHeight="1" x14ac:dyDescent="0.25">
      <c r="A322" s="3" t="s">
        <v>21</v>
      </c>
      <c r="B322" s="3" t="s">
        <v>39</v>
      </c>
      <c r="C322" s="3" t="s">
        <v>41</v>
      </c>
      <c r="D322" s="3" t="s">
        <v>38</v>
      </c>
      <c r="E322" s="3" t="s">
        <v>25</v>
      </c>
      <c r="F322" s="3" t="s">
        <v>25</v>
      </c>
      <c r="G322" s="3" t="s">
        <v>25</v>
      </c>
      <c r="H322" s="3" t="s">
        <v>35</v>
      </c>
      <c r="I322" s="6">
        <v>44621</v>
      </c>
      <c r="J322" s="4">
        <v>0</v>
      </c>
      <c r="K322" s="4">
        <v>0</v>
      </c>
      <c r="L322" s="4">
        <v>1266.954</v>
      </c>
      <c r="M322" s="4">
        <v>1266.954</v>
      </c>
      <c r="N322" s="4">
        <v>1266.954</v>
      </c>
      <c r="O322" s="4">
        <v>1266.954</v>
      </c>
      <c r="P322" s="4">
        <v>0</v>
      </c>
      <c r="Q322" s="3" t="s">
        <v>26</v>
      </c>
      <c r="R322" s="3">
        <v>0</v>
      </c>
      <c r="S322" s="3" t="s">
        <v>120</v>
      </c>
      <c r="T322" s="3" t="s">
        <v>346</v>
      </c>
      <c r="U322" s="3">
        <v>0</v>
      </c>
      <c r="V322" s="3">
        <v>31</v>
      </c>
      <c r="W322" s="3">
        <v>59</v>
      </c>
    </row>
    <row r="323" spans="1:23" ht="11.25" customHeight="1" x14ac:dyDescent="0.25">
      <c r="A323" s="3" t="s">
        <v>28</v>
      </c>
      <c r="B323" s="3" t="s">
        <v>39</v>
      </c>
      <c r="C323" s="3" t="s">
        <v>41</v>
      </c>
      <c r="D323" s="3" t="s">
        <v>38</v>
      </c>
      <c r="E323" s="3" t="s">
        <v>25</v>
      </c>
      <c r="F323" s="3" t="s">
        <v>25</v>
      </c>
      <c r="G323" s="3" t="s">
        <v>25</v>
      </c>
      <c r="H323" s="3" t="s">
        <v>35</v>
      </c>
      <c r="I323" s="6">
        <v>44621</v>
      </c>
      <c r="J323" s="4">
        <v>0</v>
      </c>
      <c r="K323" s="4">
        <v>0</v>
      </c>
      <c r="L323" s="4">
        <v>41.359000000000002</v>
      </c>
      <c r="M323" s="4">
        <v>41.359000000000002</v>
      </c>
      <c r="N323" s="4">
        <v>41.359000000000002</v>
      </c>
      <c r="O323" s="4">
        <v>41.359000000000002</v>
      </c>
      <c r="P323" s="4">
        <v>0</v>
      </c>
      <c r="Q323" s="3" t="s">
        <v>26</v>
      </c>
      <c r="R323" s="3">
        <v>0</v>
      </c>
      <c r="S323" s="3" t="s">
        <v>120</v>
      </c>
      <c r="T323" s="3" t="s">
        <v>346</v>
      </c>
      <c r="U323" s="3">
        <v>0</v>
      </c>
      <c r="V323" s="3">
        <v>31</v>
      </c>
      <c r="W323" s="3">
        <v>59</v>
      </c>
    </row>
    <row r="324" spans="1:23" ht="11.25" customHeight="1" x14ac:dyDescent="0.25">
      <c r="A324" s="3" t="s">
        <v>21</v>
      </c>
      <c r="B324" s="3" t="s">
        <v>39</v>
      </c>
      <c r="C324" s="3" t="s">
        <v>41</v>
      </c>
      <c r="D324" s="3" t="s">
        <v>38</v>
      </c>
      <c r="E324" s="3" t="s">
        <v>25</v>
      </c>
      <c r="F324" s="3" t="s">
        <v>25</v>
      </c>
      <c r="G324" s="3" t="s">
        <v>25</v>
      </c>
      <c r="H324" s="3" t="s">
        <v>35</v>
      </c>
      <c r="I324" s="6">
        <v>44652</v>
      </c>
      <c r="J324" s="4">
        <v>0</v>
      </c>
      <c r="K324" s="4">
        <v>0</v>
      </c>
      <c r="L324" s="4">
        <v>1266.954</v>
      </c>
      <c r="M324" s="4">
        <v>1266.954</v>
      </c>
      <c r="N324" s="4">
        <v>1266.954</v>
      </c>
      <c r="O324" s="4">
        <v>1266.954</v>
      </c>
      <c r="P324" s="4">
        <v>0</v>
      </c>
      <c r="Q324" s="3" t="s">
        <v>26</v>
      </c>
      <c r="R324" s="3">
        <v>0</v>
      </c>
      <c r="S324" s="3" t="s">
        <v>121</v>
      </c>
      <c r="T324" s="3" t="s">
        <v>347</v>
      </c>
      <c r="U324" s="3">
        <v>0</v>
      </c>
      <c r="V324" s="3">
        <v>31</v>
      </c>
      <c r="W324" s="3">
        <v>59</v>
      </c>
    </row>
    <row r="325" spans="1:23" ht="11.25" customHeight="1" x14ac:dyDescent="0.25">
      <c r="A325" s="3" t="s">
        <v>28</v>
      </c>
      <c r="B325" s="3" t="s">
        <v>39</v>
      </c>
      <c r="C325" s="3" t="s">
        <v>41</v>
      </c>
      <c r="D325" s="3" t="s">
        <v>38</v>
      </c>
      <c r="E325" s="3" t="s">
        <v>25</v>
      </c>
      <c r="F325" s="3" t="s">
        <v>25</v>
      </c>
      <c r="G325" s="3" t="s">
        <v>25</v>
      </c>
      <c r="H325" s="3" t="s">
        <v>35</v>
      </c>
      <c r="I325" s="6">
        <v>44652</v>
      </c>
      <c r="J325" s="4">
        <v>0</v>
      </c>
      <c r="K325" s="4">
        <v>0</v>
      </c>
      <c r="L325" s="4">
        <v>41.359000000000002</v>
      </c>
      <c r="M325" s="4">
        <v>41.359000000000002</v>
      </c>
      <c r="N325" s="4">
        <v>41.359000000000002</v>
      </c>
      <c r="O325" s="4">
        <v>41.359000000000002</v>
      </c>
      <c r="P325" s="4">
        <v>0</v>
      </c>
      <c r="Q325" s="3" t="s">
        <v>26</v>
      </c>
      <c r="R325" s="3">
        <v>0</v>
      </c>
      <c r="S325" s="3" t="s">
        <v>121</v>
      </c>
      <c r="T325" s="3" t="s">
        <v>347</v>
      </c>
      <c r="U325" s="3">
        <v>0</v>
      </c>
      <c r="V325" s="3">
        <v>31</v>
      </c>
      <c r="W325" s="3">
        <v>59</v>
      </c>
    </row>
    <row r="326" spans="1:23" ht="11.25" customHeight="1" x14ac:dyDescent="0.25">
      <c r="A326" s="3" t="s">
        <v>21</v>
      </c>
      <c r="B326" s="3" t="s">
        <v>39</v>
      </c>
      <c r="C326" s="3" t="s">
        <v>41</v>
      </c>
      <c r="D326" s="3" t="s">
        <v>38</v>
      </c>
      <c r="E326" s="3" t="s">
        <v>25</v>
      </c>
      <c r="F326" s="3" t="s">
        <v>25</v>
      </c>
      <c r="G326" s="3" t="s">
        <v>25</v>
      </c>
      <c r="H326" s="3" t="s">
        <v>35</v>
      </c>
      <c r="I326" s="6">
        <v>44682</v>
      </c>
      <c r="J326" s="4">
        <v>0</v>
      </c>
      <c r="K326" s="4">
        <v>0</v>
      </c>
      <c r="L326" s="4">
        <v>1117.973</v>
      </c>
      <c r="M326" s="4">
        <v>1117.973</v>
      </c>
      <c r="N326" s="4">
        <v>1117.973</v>
      </c>
      <c r="O326" s="4">
        <v>1117.973</v>
      </c>
      <c r="P326" s="4">
        <v>0</v>
      </c>
      <c r="Q326" s="3" t="s">
        <v>26</v>
      </c>
      <c r="R326" s="3">
        <v>0</v>
      </c>
      <c r="S326" s="3" t="s">
        <v>122</v>
      </c>
      <c r="T326" s="3" t="s">
        <v>348</v>
      </c>
      <c r="U326" s="3">
        <v>0</v>
      </c>
      <c r="V326" s="3">
        <v>31</v>
      </c>
      <c r="W326" s="3">
        <v>59</v>
      </c>
    </row>
    <row r="327" spans="1:23" ht="11.25" customHeight="1" x14ac:dyDescent="0.25">
      <c r="A327" s="3" t="s">
        <v>27</v>
      </c>
      <c r="B327" s="3" t="s">
        <v>39</v>
      </c>
      <c r="C327" s="3" t="s">
        <v>41</v>
      </c>
      <c r="D327" s="3" t="s">
        <v>38</v>
      </c>
      <c r="E327" s="3" t="s">
        <v>25</v>
      </c>
      <c r="F327" s="3" t="s">
        <v>25</v>
      </c>
      <c r="G327" s="3" t="s">
        <v>25</v>
      </c>
      <c r="H327" s="3" t="s">
        <v>35</v>
      </c>
      <c r="I327" s="6">
        <v>44682</v>
      </c>
      <c r="J327" s="4">
        <v>0</v>
      </c>
      <c r="K327" s="4">
        <v>0</v>
      </c>
      <c r="L327" s="4">
        <v>1.1319999999999999</v>
      </c>
      <c r="M327" s="4">
        <v>1.1319999999999999</v>
      </c>
      <c r="N327" s="4">
        <v>1.1319999999999999</v>
      </c>
      <c r="O327" s="4">
        <v>1.1319999999999999</v>
      </c>
      <c r="P327" s="4">
        <v>0</v>
      </c>
      <c r="Q327" s="3" t="s">
        <v>26</v>
      </c>
      <c r="R327" s="3">
        <v>0</v>
      </c>
      <c r="S327" s="3" t="s">
        <v>122</v>
      </c>
      <c r="T327" s="3" t="s">
        <v>348</v>
      </c>
      <c r="U327" s="3">
        <v>0</v>
      </c>
      <c r="V327" s="3">
        <v>31</v>
      </c>
      <c r="W327" s="3">
        <v>59</v>
      </c>
    </row>
    <row r="328" spans="1:23" ht="11.25" customHeight="1" x14ac:dyDescent="0.25">
      <c r="A328" s="3" t="s">
        <v>28</v>
      </c>
      <c r="B328" s="3" t="s">
        <v>39</v>
      </c>
      <c r="C328" s="3" t="s">
        <v>41</v>
      </c>
      <c r="D328" s="3" t="s">
        <v>38</v>
      </c>
      <c r="E328" s="3" t="s">
        <v>25</v>
      </c>
      <c r="F328" s="3" t="s">
        <v>25</v>
      </c>
      <c r="G328" s="3" t="s">
        <v>25</v>
      </c>
      <c r="H328" s="3" t="s">
        <v>35</v>
      </c>
      <c r="I328" s="6">
        <v>44682</v>
      </c>
      <c r="J328" s="4">
        <v>0</v>
      </c>
      <c r="K328" s="4">
        <v>0</v>
      </c>
      <c r="L328" s="4">
        <v>184.15600000000001</v>
      </c>
      <c r="M328" s="4">
        <v>184.15600000000001</v>
      </c>
      <c r="N328" s="4">
        <v>184.15600000000001</v>
      </c>
      <c r="O328" s="4">
        <v>184.15600000000001</v>
      </c>
      <c r="P328" s="4">
        <v>0</v>
      </c>
      <c r="Q328" s="3" t="s">
        <v>26</v>
      </c>
      <c r="R328" s="3">
        <v>0</v>
      </c>
      <c r="S328" s="3" t="s">
        <v>122</v>
      </c>
      <c r="T328" s="3" t="s">
        <v>348</v>
      </c>
      <c r="U328" s="3">
        <v>0</v>
      </c>
      <c r="V328" s="3">
        <v>31</v>
      </c>
      <c r="W328" s="3">
        <v>59</v>
      </c>
    </row>
    <row r="329" spans="1:23" ht="11.25" customHeight="1" x14ac:dyDescent="0.25">
      <c r="A329" s="3" t="s">
        <v>21</v>
      </c>
      <c r="B329" s="3" t="s">
        <v>39</v>
      </c>
      <c r="C329" s="3" t="s">
        <v>41</v>
      </c>
      <c r="D329" s="3" t="s">
        <v>38</v>
      </c>
      <c r="E329" s="3" t="s">
        <v>25</v>
      </c>
      <c r="F329" s="3" t="s">
        <v>25</v>
      </c>
      <c r="G329" s="3" t="s">
        <v>25</v>
      </c>
      <c r="H329" s="3" t="s">
        <v>35</v>
      </c>
      <c r="I329" s="6">
        <v>44713</v>
      </c>
      <c r="J329" s="4">
        <v>0</v>
      </c>
      <c r="K329" s="4">
        <v>0</v>
      </c>
      <c r="L329" s="4">
        <v>1032.2460000000001</v>
      </c>
      <c r="M329" s="4">
        <v>1032.2460000000001</v>
      </c>
      <c r="N329" s="4">
        <v>1032.2460000000001</v>
      </c>
      <c r="O329" s="4">
        <v>1032.2460000000001</v>
      </c>
      <c r="P329" s="4">
        <v>0</v>
      </c>
      <c r="Q329" s="3" t="s">
        <v>26</v>
      </c>
      <c r="R329" s="3">
        <v>0</v>
      </c>
      <c r="S329" s="3" t="s">
        <v>123</v>
      </c>
      <c r="T329" s="3" t="s">
        <v>349</v>
      </c>
      <c r="U329" s="3">
        <v>0</v>
      </c>
      <c r="V329" s="3">
        <v>31</v>
      </c>
      <c r="W329" s="3">
        <v>59</v>
      </c>
    </row>
    <row r="330" spans="1:23" ht="11.25" customHeight="1" x14ac:dyDescent="0.25">
      <c r="A330" s="3" t="s">
        <v>28</v>
      </c>
      <c r="B330" s="3" t="s">
        <v>39</v>
      </c>
      <c r="C330" s="3" t="s">
        <v>41</v>
      </c>
      <c r="D330" s="3" t="s">
        <v>38</v>
      </c>
      <c r="E330" s="3" t="s">
        <v>25</v>
      </c>
      <c r="F330" s="3" t="s">
        <v>25</v>
      </c>
      <c r="G330" s="3" t="s">
        <v>25</v>
      </c>
      <c r="H330" s="3" t="s">
        <v>35</v>
      </c>
      <c r="I330" s="6">
        <v>44713</v>
      </c>
      <c r="J330" s="4">
        <v>0</v>
      </c>
      <c r="K330" s="4">
        <v>0</v>
      </c>
      <c r="L330" s="4">
        <v>41.743000000000002</v>
      </c>
      <c r="M330" s="4">
        <v>41.743000000000002</v>
      </c>
      <c r="N330" s="4">
        <v>41.743000000000002</v>
      </c>
      <c r="O330" s="4">
        <v>41.743000000000002</v>
      </c>
      <c r="P330" s="4">
        <v>0</v>
      </c>
      <c r="Q330" s="3" t="s">
        <v>26</v>
      </c>
      <c r="R330" s="3">
        <v>0</v>
      </c>
      <c r="S330" s="3" t="s">
        <v>123</v>
      </c>
      <c r="T330" s="3" t="s">
        <v>349</v>
      </c>
      <c r="U330" s="3">
        <v>0</v>
      </c>
      <c r="V330" s="3">
        <v>31</v>
      </c>
      <c r="W330" s="3">
        <v>59</v>
      </c>
    </row>
    <row r="331" spans="1:23" ht="11.25" customHeight="1" x14ac:dyDescent="0.25">
      <c r="A331" s="3" t="s">
        <v>21</v>
      </c>
      <c r="B331" s="3" t="s">
        <v>39</v>
      </c>
      <c r="C331" s="3" t="s">
        <v>41</v>
      </c>
      <c r="D331" s="3" t="s">
        <v>38</v>
      </c>
      <c r="E331" s="3" t="s">
        <v>25</v>
      </c>
      <c r="F331" s="3" t="s">
        <v>25</v>
      </c>
      <c r="G331" s="3" t="s">
        <v>25</v>
      </c>
      <c r="H331" s="3" t="s">
        <v>35</v>
      </c>
      <c r="I331" s="6">
        <v>44743</v>
      </c>
      <c r="J331" s="4">
        <v>0</v>
      </c>
      <c r="K331" s="4">
        <v>0</v>
      </c>
      <c r="L331" s="4">
        <v>1069.99</v>
      </c>
      <c r="M331" s="4">
        <v>1069.99</v>
      </c>
      <c r="N331" s="4">
        <v>1069.99</v>
      </c>
      <c r="O331" s="4">
        <v>1069.99</v>
      </c>
      <c r="P331" s="4">
        <v>0</v>
      </c>
      <c r="Q331" s="3" t="s">
        <v>26</v>
      </c>
      <c r="R331" s="3">
        <v>0</v>
      </c>
      <c r="S331" s="3" t="s">
        <v>124</v>
      </c>
      <c r="T331" s="3" t="s">
        <v>350</v>
      </c>
      <c r="U331" s="3">
        <v>0</v>
      </c>
      <c r="V331" s="3">
        <v>31</v>
      </c>
      <c r="W331" s="3">
        <v>59</v>
      </c>
    </row>
    <row r="332" spans="1:23" ht="11.25" customHeight="1" x14ac:dyDescent="0.25">
      <c r="A332" s="3" t="s">
        <v>28</v>
      </c>
      <c r="B332" s="3" t="s">
        <v>39</v>
      </c>
      <c r="C332" s="3" t="s">
        <v>41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35</v>
      </c>
      <c r="I332" s="6">
        <v>44743</v>
      </c>
      <c r="J332" s="4">
        <v>0</v>
      </c>
      <c r="K332" s="4">
        <v>0</v>
      </c>
      <c r="L332" s="4">
        <v>38.92</v>
      </c>
      <c r="M332" s="4">
        <v>38.92</v>
      </c>
      <c r="N332" s="4">
        <v>38.92</v>
      </c>
      <c r="O332" s="4">
        <v>38.92</v>
      </c>
      <c r="P332" s="4">
        <v>0</v>
      </c>
      <c r="Q332" s="3" t="s">
        <v>26</v>
      </c>
      <c r="R332" s="3">
        <v>0</v>
      </c>
      <c r="S332" s="3" t="s">
        <v>124</v>
      </c>
      <c r="T332" s="3" t="s">
        <v>350</v>
      </c>
      <c r="U332" s="3">
        <v>0</v>
      </c>
      <c r="V332" s="3">
        <v>31</v>
      </c>
      <c r="W332" s="3">
        <v>59</v>
      </c>
    </row>
    <row r="333" spans="1:23" ht="11.25" customHeight="1" x14ac:dyDescent="0.25">
      <c r="A333" s="3" t="s">
        <v>21</v>
      </c>
      <c r="B333" s="3" t="s">
        <v>39</v>
      </c>
      <c r="C333" s="3" t="s">
        <v>41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35</v>
      </c>
      <c r="I333" s="6">
        <v>44774</v>
      </c>
      <c r="J333" s="4">
        <v>0</v>
      </c>
      <c r="K333" s="4">
        <v>0</v>
      </c>
      <c r="L333" s="4">
        <v>1178.4169999999999</v>
      </c>
      <c r="M333" s="4">
        <v>1178.4169999999999</v>
      </c>
      <c r="N333" s="4">
        <v>1178.4169999999999</v>
      </c>
      <c r="O333" s="4">
        <v>1178.4169999999999</v>
      </c>
      <c r="P333" s="4">
        <v>0</v>
      </c>
      <c r="Q333" s="3" t="s">
        <v>26</v>
      </c>
      <c r="R333" s="3">
        <v>0</v>
      </c>
      <c r="S333" s="3" t="s">
        <v>125</v>
      </c>
      <c r="T333" s="3" t="s">
        <v>351</v>
      </c>
      <c r="U333" s="3">
        <v>0</v>
      </c>
      <c r="V333" s="3">
        <v>31</v>
      </c>
      <c r="W333" s="3">
        <v>59</v>
      </c>
    </row>
    <row r="334" spans="1:23" ht="11.25" customHeight="1" x14ac:dyDescent="0.25">
      <c r="A334" s="3" t="s">
        <v>28</v>
      </c>
      <c r="B334" s="3" t="s">
        <v>39</v>
      </c>
      <c r="C334" s="3" t="s">
        <v>41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35</v>
      </c>
      <c r="I334" s="6">
        <v>44774</v>
      </c>
      <c r="J334" s="4">
        <v>0</v>
      </c>
      <c r="K334" s="4">
        <v>0</v>
      </c>
      <c r="L334" s="4">
        <v>40.853999999999999</v>
      </c>
      <c r="M334" s="4">
        <v>40.853999999999999</v>
      </c>
      <c r="N334" s="4">
        <v>40.853999999999999</v>
      </c>
      <c r="O334" s="4">
        <v>40.853999999999999</v>
      </c>
      <c r="P334" s="4">
        <v>0</v>
      </c>
      <c r="Q334" s="3" t="s">
        <v>26</v>
      </c>
      <c r="R334" s="3">
        <v>0</v>
      </c>
      <c r="S334" s="3" t="s">
        <v>125</v>
      </c>
      <c r="T334" s="3" t="s">
        <v>351</v>
      </c>
      <c r="U334" s="3">
        <v>0</v>
      </c>
      <c r="V334" s="3">
        <v>31</v>
      </c>
      <c r="W334" s="3">
        <v>59</v>
      </c>
    </row>
    <row r="335" spans="1:23" ht="11.25" customHeight="1" x14ac:dyDescent="0.25">
      <c r="A335" s="3" t="s">
        <v>21</v>
      </c>
      <c r="B335" s="3" t="s">
        <v>39</v>
      </c>
      <c r="C335" s="3" t="s">
        <v>41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35</v>
      </c>
      <c r="I335" s="6">
        <v>44805</v>
      </c>
      <c r="J335" s="4">
        <v>0</v>
      </c>
      <c r="K335" s="4">
        <v>0</v>
      </c>
      <c r="L335" s="4">
        <v>1164.867</v>
      </c>
      <c r="M335" s="4">
        <v>1164.867</v>
      </c>
      <c r="N335" s="4">
        <v>1164.867</v>
      </c>
      <c r="O335" s="4">
        <v>1164.867</v>
      </c>
      <c r="P335" s="4">
        <v>0</v>
      </c>
      <c r="Q335" s="3" t="s">
        <v>26</v>
      </c>
      <c r="R335" s="3">
        <v>0</v>
      </c>
      <c r="S335" s="3" t="s">
        <v>126</v>
      </c>
      <c r="T335" s="3" t="s">
        <v>352</v>
      </c>
      <c r="U335" s="3">
        <v>0</v>
      </c>
      <c r="V335" s="3">
        <v>31</v>
      </c>
      <c r="W335" s="3">
        <v>59</v>
      </c>
    </row>
    <row r="336" spans="1:23" ht="11.25" customHeight="1" x14ac:dyDescent="0.25">
      <c r="A336" s="3" t="s">
        <v>28</v>
      </c>
      <c r="B336" s="3" t="s">
        <v>39</v>
      </c>
      <c r="C336" s="3" t="s">
        <v>41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35</v>
      </c>
      <c r="I336" s="6">
        <v>44805</v>
      </c>
      <c r="J336" s="4">
        <v>0</v>
      </c>
      <c r="K336" s="4">
        <v>0</v>
      </c>
      <c r="L336" s="4">
        <v>39.356999999999999</v>
      </c>
      <c r="M336" s="4">
        <v>39.356999999999999</v>
      </c>
      <c r="N336" s="4">
        <v>39.356999999999999</v>
      </c>
      <c r="O336" s="4">
        <v>39.356999999999999</v>
      </c>
      <c r="P336" s="4">
        <v>0</v>
      </c>
      <c r="Q336" s="3" t="s">
        <v>26</v>
      </c>
      <c r="R336" s="3">
        <v>0</v>
      </c>
      <c r="S336" s="3" t="s">
        <v>126</v>
      </c>
      <c r="T336" s="3" t="s">
        <v>352</v>
      </c>
      <c r="U336" s="3">
        <v>0</v>
      </c>
      <c r="V336" s="3">
        <v>31</v>
      </c>
      <c r="W336" s="3">
        <v>59</v>
      </c>
    </row>
    <row r="337" spans="1:23" ht="11.25" customHeight="1" x14ac:dyDescent="0.25">
      <c r="A337" s="3" t="s">
        <v>55</v>
      </c>
      <c r="B337" s="3" t="s">
        <v>39</v>
      </c>
      <c r="C337" s="3" t="s">
        <v>41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35</v>
      </c>
      <c r="I337" s="6">
        <v>44835</v>
      </c>
      <c r="J337" s="4">
        <v>0</v>
      </c>
      <c r="K337" s="4">
        <v>0</v>
      </c>
      <c r="L337" s="4">
        <v>1164.867</v>
      </c>
      <c r="M337" s="4">
        <v>1164.867</v>
      </c>
      <c r="N337" s="4">
        <v>1164.867</v>
      </c>
      <c r="O337" s="4">
        <v>1164.867</v>
      </c>
      <c r="P337" s="4">
        <v>0</v>
      </c>
      <c r="Q337" s="3" t="s">
        <v>26</v>
      </c>
      <c r="R337" s="3">
        <v>0</v>
      </c>
      <c r="S337" s="3" t="s">
        <v>127</v>
      </c>
      <c r="T337" s="3" t="s">
        <v>353</v>
      </c>
      <c r="U337" s="3">
        <v>0</v>
      </c>
      <c r="V337" s="3">
        <v>31</v>
      </c>
      <c r="W337" s="3">
        <v>59</v>
      </c>
    </row>
    <row r="338" spans="1:23" ht="11.25" customHeight="1" x14ac:dyDescent="0.25">
      <c r="A338" s="3" t="s">
        <v>55</v>
      </c>
      <c r="B338" s="3" t="s">
        <v>39</v>
      </c>
      <c r="C338" s="3" t="s">
        <v>41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35</v>
      </c>
      <c r="I338" s="6">
        <v>44835</v>
      </c>
      <c r="J338" s="4">
        <v>0</v>
      </c>
      <c r="K338" s="4">
        <v>0</v>
      </c>
      <c r="L338" s="4">
        <v>39.356999999999999</v>
      </c>
      <c r="M338" s="4">
        <v>39.356999999999999</v>
      </c>
      <c r="N338" s="4">
        <v>39.356999999999999</v>
      </c>
      <c r="O338" s="4">
        <v>39.356999999999999</v>
      </c>
      <c r="P338" s="4">
        <v>0</v>
      </c>
      <c r="Q338" s="3" t="s">
        <v>26</v>
      </c>
      <c r="R338" s="3">
        <v>0</v>
      </c>
      <c r="S338" s="3" t="s">
        <v>127</v>
      </c>
      <c r="T338" s="3" t="s">
        <v>353</v>
      </c>
      <c r="U338" s="3">
        <v>0</v>
      </c>
      <c r="V338" s="3">
        <v>31</v>
      </c>
      <c r="W338" s="3">
        <v>59</v>
      </c>
    </row>
    <row r="339" spans="1:23" ht="11.25" customHeight="1" x14ac:dyDescent="0.25">
      <c r="A339" s="3" t="s">
        <v>21</v>
      </c>
      <c r="B339" s="3" t="s">
        <v>39</v>
      </c>
      <c r="C339" s="3" t="s">
        <v>41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10275</v>
      </c>
      <c r="K339" s="4">
        <v>10275</v>
      </c>
      <c r="L339" s="4">
        <v>0</v>
      </c>
      <c r="M339" s="4">
        <v>0</v>
      </c>
      <c r="N339" s="4">
        <v>0</v>
      </c>
      <c r="O339" s="4">
        <v>0</v>
      </c>
      <c r="P339" s="4">
        <v>62</v>
      </c>
      <c r="Q339" s="3" t="s">
        <v>26</v>
      </c>
      <c r="R339" s="3">
        <v>0</v>
      </c>
      <c r="S339" s="3" t="s">
        <v>128</v>
      </c>
      <c r="U339" s="3">
        <v>18</v>
      </c>
      <c r="V339" s="3">
        <v>0</v>
      </c>
      <c r="W339" s="3">
        <v>0</v>
      </c>
    </row>
    <row r="340" spans="1:23" ht="11.25" customHeight="1" x14ac:dyDescent="0.25">
      <c r="A340" s="3" t="s">
        <v>27</v>
      </c>
      <c r="B340" s="3" t="s">
        <v>39</v>
      </c>
      <c r="C340" s="3" t="s">
        <v>41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25</v>
      </c>
      <c r="I340" s="6">
        <v>44501</v>
      </c>
      <c r="J340" s="4">
        <v>-75</v>
      </c>
      <c r="K340" s="4">
        <v>-75</v>
      </c>
      <c r="L340" s="4">
        <v>0</v>
      </c>
      <c r="M340" s="4">
        <v>0</v>
      </c>
      <c r="N340" s="4">
        <v>0</v>
      </c>
      <c r="O340" s="4">
        <v>0</v>
      </c>
      <c r="P340" s="4">
        <v>-1</v>
      </c>
      <c r="Q340" s="3" t="s">
        <v>26</v>
      </c>
      <c r="R340" s="3">
        <v>0</v>
      </c>
      <c r="S340" s="3" t="s">
        <v>128</v>
      </c>
      <c r="U340" s="3">
        <v>18</v>
      </c>
      <c r="V340" s="3">
        <v>0</v>
      </c>
      <c r="W340" s="3">
        <v>0</v>
      </c>
    </row>
    <row r="341" spans="1:23" ht="11.25" customHeight="1" x14ac:dyDescent="0.25">
      <c r="A341" s="3" t="s">
        <v>28</v>
      </c>
      <c r="B341" s="3" t="s">
        <v>39</v>
      </c>
      <c r="C341" s="3" t="s">
        <v>41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25</v>
      </c>
      <c r="I341" s="6">
        <v>44501</v>
      </c>
      <c r="J341" s="4">
        <v>449</v>
      </c>
      <c r="K341" s="4">
        <v>449</v>
      </c>
      <c r="L341" s="4">
        <v>0</v>
      </c>
      <c r="M341" s="4">
        <v>0</v>
      </c>
      <c r="N341" s="4">
        <v>0</v>
      </c>
      <c r="O341" s="4">
        <v>0</v>
      </c>
      <c r="P341" s="4">
        <v>3</v>
      </c>
      <c r="Q341" s="3" t="s">
        <v>26</v>
      </c>
      <c r="R341" s="3">
        <v>0</v>
      </c>
      <c r="S341" s="3" t="s">
        <v>128</v>
      </c>
      <c r="U341" s="3">
        <v>18</v>
      </c>
      <c r="V341" s="3">
        <v>0</v>
      </c>
      <c r="W341" s="3">
        <v>0</v>
      </c>
    </row>
    <row r="342" spans="1:23" ht="11.25" customHeight="1" x14ac:dyDescent="0.25">
      <c r="A342" s="3" t="s">
        <v>21</v>
      </c>
      <c r="B342" s="3" t="s">
        <v>39</v>
      </c>
      <c r="C342" s="3" t="s">
        <v>41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25</v>
      </c>
      <c r="I342" s="6">
        <v>44531</v>
      </c>
      <c r="J342" s="4">
        <v>9610</v>
      </c>
      <c r="K342" s="4">
        <v>9610</v>
      </c>
      <c r="L342" s="4">
        <v>0</v>
      </c>
      <c r="M342" s="4">
        <v>0</v>
      </c>
      <c r="N342" s="4">
        <v>0</v>
      </c>
      <c r="O342" s="4">
        <v>0</v>
      </c>
      <c r="P342" s="4">
        <v>63</v>
      </c>
      <c r="Q342" s="3" t="s">
        <v>26</v>
      </c>
      <c r="R342" s="3">
        <v>0</v>
      </c>
      <c r="S342" s="3" t="s">
        <v>129</v>
      </c>
      <c r="U342" s="3">
        <v>18</v>
      </c>
      <c r="V342" s="3">
        <v>0</v>
      </c>
      <c r="W342" s="3">
        <v>0</v>
      </c>
    </row>
    <row r="343" spans="1:23" ht="11.25" customHeight="1" x14ac:dyDescent="0.25">
      <c r="A343" s="3" t="s">
        <v>27</v>
      </c>
      <c r="B343" s="3" t="s">
        <v>39</v>
      </c>
      <c r="C343" s="3" t="s">
        <v>41</v>
      </c>
      <c r="D343" s="3" t="s">
        <v>38</v>
      </c>
      <c r="E343" s="3" t="s">
        <v>25</v>
      </c>
      <c r="F343" s="3" t="s">
        <v>25</v>
      </c>
      <c r="G343" s="3" t="s">
        <v>25</v>
      </c>
      <c r="H343" s="3" t="s">
        <v>25</v>
      </c>
      <c r="I343" s="6">
        <v>44531</v>
      </c>
      <c r="J343" s="4">
        <v>-763</v>
      </c>
      <c r="K343" s="4">
        <v>-763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3" t="s">
        <v>26</v>
      </c>
      <c r="R343" s="3">
        <v>0</v>
      </c>
      <c r="S343" s="3" t="s">
        <v>129</v>
      </c>
      <c r="U343" s="3">
        <v>18</v>
      </c>
      <c r="V343" s="3">
        <v>0</v>
      </c>
      <c r="W343" s="3">
        <v>0</v>
      </c>
    </row>
    <row r="344" spans="1:23" ht="11.25" customHeight="1" x14ac:dyDescent="0.25">
      <c r="A344" s="3" t="s">
        <v>28</v>
      </c>
      <c r="B344" s="3" t="s">
        <v>39</v>
      </c>
      <c r="C344" s="3" t="s">
        <v>41</v>
      </c>
      <c r="D344" s="3" t="s">
        <v>38</v>
      </c>
      <c r="E344" s="3" t="s">
        <v>25</v>
      </c>
      <c r="F344" s="3" t="s">
        <v>25</v>
      </c>
      <c r="G344" s="3" t="s">
        <v>25</v>
      </c>
      <c r="H344" s="3" t="s">
        <v>25</v>
      </c>
      <c r="I344" s="6">
        <v>44531</v>
      </c>
      <c r="J344" s="4">
        <v>449</v>
      </c>
      <c r="K344" s="4">
        <v>449</v>
      </c>
      <c r="L344" s="4">
        <v>0</v>
      </c>
      <c r="M344" s="4">
        <v>0</v>
      </c>
      <c r="N344" s="4">
        <v>0</v>
      </c>
      <c r="O344" s="4">
        <v>0</v>
      </c>
      <c r="P344" s="4">
        <v>3</v>
      </c>
      <c r="Q344" s="3" t="s">
        <v>26</v>
      </c>
      <c r="R344" s="3">
        <v>0</v>
      </c>
      <c r="S344" s="3" t="s">
        <v>129</v>
      </c>
      <c r="U344" s="3">
        <v>18</v>
      </c>
      <c r="V344" s="3">
        <v>0</v>
      </c>
      <c r="W344" s="3">
        <v>0</v>
      </c>
    </row>
    <row r="345" spans="1:23" ht="11.25" customHeight="1" x14ac:dyDescent="0.25">
      <c r="A345" s="3" t="s">
        <v>21</v>
      </c>
      <c r="B345" s="3" t="s">
        <v>39</v>
      </c>
      <c r="C345" s="3" t="s">
        <v>41</v>
      </c>
      <c r="D345" s="3" t="s">
        <v>38</v>
      </c>
      <c r="E345" s="3" t="s">
        <v>25</v>
      </c>
      <c r="F345" s="3" t="s">
        <v>25</v>
      </c>
      <c r="G345" s="3" t="s">
        <v>25</v>
      </c>
      <c r="H345" s="3" t="s">
        <v>25</v>
      </c>
      <c r="I345" s="6">
        <v>44562</v>
      </c>
      <c r="J345" s="4">
        <v>10277</v>
      </c>
      <c r="K345" s="4">
        <v>10277</v>
      </c>
      <c r="L345" s="4">
        <v>0</v>
      </c>
      <c r="M345" s="4">
        <v>0</v>
      </c>
      <c r="N345" s="4">
        <v>0</v>
      </c>
      <c r="O345" s="4">
        <v>0</v>
      </c>
      <c r="P345" s="4">
        <v>63</v>
      </c>
      <c r="Q345" s="3" t="s">
        <v>26</v>
      </c>
      <c r="R345" s="3">
        <v>0</v>
      </c>
      <c r="S345" s="3" t="s">
        <v>130</v>
      </c>
      <c r="U345" s="3">
        <v>18</v>
      </c>
      <c r="V345" s="3">
        <v>0</v>
      </c>
      <c r="W345" s="3">
        <v>0</v>
      </c>
    </row>
    <row r="346" spans="1:23" ht="11.25" customHeight="1" x14ac:dyDescent="0.25">
      <c r="A346" s="3" t="s">
        <v>28</v>
      </c>
      <c r="B346" s="3" t="s">
        <v>39</v>
      </c>
      <c r="C346" s="3" t="s">
        <v>41</v>
      </c>
      <c r="D346" s="3" t="s">
        <v>38</v>
      </c>
      <c r="E346" s="3" t="s">
        <v>25</v>
      </c>
      <c r="F346" s="3" t="s">
        <v>25</v>
      </c>
      <c r="G346" s="3" t="s">
        <v>25</v>
      </c>
      <c r="H346" s="3" t="s">
        <v>25</v>
      </c>
      <c r="I346" s="6">
        <v>44562</v>
      </c>
      <c r="J346" s="4">
        <v>449</v>
      </c>
      <c r="K346" s="4">
        <v>449</v>
      </c>
      <c r="L346" s="4">
        <v>0</v>
      </c>
      <c r="M346" s="4">
        <v>0</v>
      </c>
      <c r="N346" s="4">
        <v>0</v>
      </c>
      <c r="O346" s="4">
        <v>0</v>
      </c>
      <c r="P346" s="4">
        <v>3</v>
      </c>
      <c r="Q346" s="3" t="s">
        <v>26</v>
      </c>
      <c r="R346" s="3">
        <v>0</v>
      </c>
      <c r="S346" s="3" t="s">
        <v>130</v>
      </c>
      <c r="U346" s="3">
        <v>18</v>
      </c>
      <c r="V346" s="3">
        <v>0</v>
      </c>
      <c r="W346" s="3">
        <v>0</v>
      </c>
    </row>
    <row r="347" spans="1:23" ht="11.25" customHeight="1" x14ac:dyDescent="0.25">
      <c r="A347" s="3" t="s">
        <v>21</v>
      </c>
      <c r="B347" s="3" t="s">
        <v>39</v>
      </c>
      <c r="C347" s="3" t="s">
        <v>41</v>
      </c>
      <c r="D347" s="3" t="s">
        <v>38</v>
      </c>
      <c r="E347" s="3" t="s">
        <v>25</v>
      </c>
      <c r="F347" s="3" t="s">
        <v>25</v>
      </c>
      <c r="G347" s="3" t="s">
        <v>25</v>
      </c>
      <c r="H347" s="3" t="s">
        <v>25</v>
      </c>
      <c r="I347" s="6">
        <v>44593</v>
      </c>
      <c r="J347" s="4">
        <v>10107</v>
      </c>
      <c r="K347" s="4">
        <v>10107</v>
      </c>
      <c r="L347" s="4">
        <v>0</v>
      </c>
      <c r="M347" s="4">
        <v>0</v>
      </c>
      <c r="N347" s="4">
        <v>0</v>
      </c>
      <c r="O347" s="4">
        <v>0</v>
      </c>
      <c r="P347" s="4">
        <v>65</v>
      </c>
      <c r="Q347" s="3" t="s">
        <v>26</v>
      </c>
      <c r="R347" s="3">
        <v>0</v>
      </c>
      <c r="S347" s="3" t="s">
        <v>131</v>
      </c>
      <c r="U347" s="3">
        <v>18</v>
      </c>
      <c r="V347" s="3">
        <v>0</v>
      </c>
      <c r="W347" s="3">
        <v>0</v>
      </c>
    </row>
    <row r="348" spans="1:23" ht="11.25" customHeight="1" x14ac:dyDescent="0.25">
      <c r="A348" s="3" t="s">
        <v>27</v>
      </c>
      <c r="B348" s="3" t="s">
        <v>39</v>
      </c>
      <c r="C348" s="3" t="s">
        <v>41</v>
      </c>
      <c r="D348" s="3" t="s">
        <v>38</v>
      </c>
      <c r="E348" s="3" t="s">
        <v>25</v>
      </c>
      <c r="F348" s="3" t="s">
        <v>25</v>
      </c>
      <c r="G348" s="3" t="s">
        <v>25</v>
      </c>
      <c r="H348" s="3" t="s">
        <v>25</v>
      </c>
      <c r="I348" s="6">
        <v>44593</v>
      </c>
      <c r="J348" s="4">
        <v>-450</v>
      </c>
      <c r="K348" s="4">
        <v>-450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3" t="s">
        <v>26</v>
      </c>
      <c r="R348" s="3">
        <v>0</v>
      </c>
      <c r="S348" s="3" t="s">
        <v>131</v>
      </c>
      <c r="U348" s="3">
        <v>18</v>
      </c>
      <c r="V348" s="3">
        <v>0</v>
      </c>
      <c r="W348" s="3">
        <v>0</v>
      </c>
    </row>
    <row r="349" spans="1:23" ht="11.25" customHeight="1" x14ac:dyDescent="0.25">
      <c r="A349" s="3" t="s">
        <v>28</v>
      </c>
      <c r="B349" s="3" t="s">
        <v>39</v>
      </c>
      <c r="C349" s="3" t="s">
        <v>41</v>
      </c>
      <c r="D349" s="3" t="s">
        <v>38</v>
      </c>
      <c r="E349" s="3" t="s">
        <v>25</v>
      </c>
      <c r="F349" s="3" t="s">
        <v>25</v>
      </c>
      <c r="G349" s="3" t="s">
        <v>25</v>
      </c>
      <c r="H349" s="3" t="s">
        <v>25</v>
      </c>
      <c r="I349" s="6">
        <v>44593</v>
      </c>
      <c r="J349" s="4">
        <v>449</v>
      </c>
      <c r="K349" s="4">
        <v>449</v>
      </c>
      <c r="L349" s="4">
        <v>0</v>
      </c>
      <c r="M349" s="4">
        <v>0</v>
      </c>
      <c r="N349" s="4">
        <v>0</v>
      </c>
      <c r="O349" s="4">
        <v>0</v>
      </c>
      <c r="P349" s="4">
        <v>3</v>
      </c>
      <c r="Q349" s="3" t="s">
        <v>26</v>
      </c>
      <c r="R349" s="3">
        <v>0</v>
      </c>
      <c r="S349" s="3" t="s">
        <v>131</v>
      </c>
      <c r="U349" s="3">
        <v>18</v>
      </c>
      <c r="V349" s="3">
        <v>0</v>
      </c>
      <c r="W349" s="3">
        <v>0</v>
      </c>
    </row>
    <row r="350" spans="1:23" ht="11.25" customHeight="1" x14ac:dyDescent="0.25">
      <c r="A350" s="3" t="s">
        <v>21</v>
      </c>
      <c r="B350" s="3" t="s">
        <v>39</v>
      </c>
      <c r="C350" s="3" t="s">
        <v>41</v>
      </c>
      <c r="D350" s="3" t="s">
        <v>38</v>
      </c>
      <c r="E350" s="3" t="s">
        <v>25</v>
      </c>
      <c r="F350" s="3" t="s">
        <v>25</v>
      </c>
      <c r="G350" s="3" t="s">
        <v>25</v>
      </c>
      <c r="H350" s="3" t="s">
        <v>25</v>
      </c>
      <c r="I350" s="6">
        <v>44621</v>
      </c>
      <c r="J350" s="4">
        <v>10235</v>
      </c>
      <c r="K350" s="4">
        <v>10235</v>
      </c>
      <c r="L350" s="4">
        <v>0</v>
      </c>
      <c r="M350" s="4">
        <v>0</v>
      </c>
      <c r="N350" s="4">
        <v>0</v>
      </c>
      <c r="O350" s="4">
        <v>0</v>
      </c>
      <c r="P350" s="4">
        <v>66</v>
      </c>
      <c r="Q350" s="3" t="s">
        <v>26</v>
      </c>
      <c r="R350" s="3">
        <v>0</v>
      </c>
      <c r="S350" s="3" t="s">
        <v>132</v>
      </c>
      <c r="U350" s="3">
        <v>18</v>
      </c>
      <c r="V350" s="3">
        <v>0</v>
      </c>
      <c r="W350" s="3">
        <v>0</v>
      </c>
    </row>
    <row r="351" spans="1:23" ht="11.25" customHeight="1" x14ac:dyDescent="0.25">
      <c r="A351" s="3" t="s">
        <v>28</v>
      </c>
      <c r="B351" s="3" t="s">
        <v>39</v>
      </c>
      <c r="C351" s="3" t="s">
        <v>41</v>
      </c>
      <c r="D351" s="3" t="s">
        <v>38</v>
      </c>
      <c r="E351" s="3" t="s">
        <v>25</v>
      </c>
      <c r="F351" s="3" t="s">
        <v>25</v>
      </c>
      <c r="G351" s="3" t="s">
        <v>25</v>
      </c>
      <c r="H351" s="3" t="s">
        <v>25</v>
      </c>
      <c r="I351" s="6">
        <v>44621</v>
      </c>
      <c r="J351" s="4">
        <v>468</v>
      </c>
      <c r="K351" s="4">
        <v>468</v>
      </c>
      <c r="L351" s="4">
        <v>0</v>
      </c>
      <c r="M351" s="4">
        <v>0</v>
      </c>
      <c r="N351" s="4">
        <v>0</v>
      </c>
      <c r="O351" s="4">
        <v>0</v>
      </c>
      <c r="P351" s="4">
        <v>3</v>
      </c>
      <c r="Q351" s="3" t="s">
        <v>26</v>
      </c>
      <c r="R351" s="3">
        <v>0</v>
      </c>
      <c r="S351" s="3" t="s">
        <v>132</v>
      </c>
      <c r="U351" s="3">
        <v>18</v>
      </c>
      <c r="V351" s="3">
        <v>0</v>
      </c>
      <c r="W351" s="3">
        <v>0</v>
      </c>
    </row>
    <row r="352" spans="1:23" ht="11.25" customHeight="1" x14ac:dyDescent="0.25">
      <c r="A352" s="3" t="s">
        <v>21</v>
      </c>
      <c r="B352" s="3" t="s">
        <v>39</v>
      </c>
      <c r="C352" s="3" t="s">
        <v>41</v>
      </c>
      <c r="D352" s="3" t="s">
        <v>38</v>
      </c>
      <c r="E352" s="3" t="s">
        <v>25</v>
      </c>
      <c r="F352" s="3" t="s">
        <v>25</v>
      </c>
      <c r="G352" s="3" t="s">
        <v>25</v>
      </c>
      <c r="H352" s="3" t="s">
        <v>25</v>
      </c>
      <c r="I352" s="6">
        <v>44652</v>
      </c>
      <c r="J352" s="4">
        <v>10235</v>
      </c>
      <c r="K352" s="4">
        <v>10235</v>
      </c>
      <c r="L352" s="4">
        <v>0</v>
      </c>
      <c r="M352" s="4">
        <v>0</v>
      </c>
      <c r="N352" s="4">
        <v>0</v>
      </c>
      <c r="O352" s="4">
        <v>0</v>
      </c>
      <c r="P352" s="4">
        <v>66</v>
      </c>
      <c r="Q352" s="3" t="s">
        <v>26</v>
      </c>
      <c r="R352" s="3">
        <v>0</v>
      </c>
      <c r="S352" s="3" t="s">
        <v>133</v>
      </c>
      <c r="U352" s="3">
        <v>18</v>
      </c>
      <c r="V352" s="3">
        <v>0</v>
      </c>
      <c r="W352" s="3">
        <v>0</v>
      </c>
    </row>
    <row r="353" spans="1:23" ht="11.25" customHeight="1" x14ac:dyDescent="0.25">
      <c r="A353" s="3" t="s">
        <v>28</v>
      </c>
      <c r="B353" s="3" t="s">
        <v>39</v>
      </c>
      <c r="C353" s="3" t="s">
        <v>41</v>
      </c>
      <c r="D353" s="3" t="s">
        <v>38</v>
      </c>
      <c r="E353" s="3" t="s">
        <v>25</v>
      </c>
      <c r="F353" s="3" t="s">
        <v>25</v>
      </c>
      <c r="G353" s="3" t="s">
        <v>25</v>
      </c>
      <c r="H353" s="3" t="s">
        <v>25</v>
      </c>
      <c r="I353" s="6">
        <v>44652</v>
      </c>
      <c r="J353" s="4">
        <v>468</v>
      </c>
      <c r="K353" s="4">
        <v>468</v>
      </c>
      <c r="L353" s="4">
        <v>0</v>
      </c>
      <c r="M353" s="4">
        <v>0</v>
      </c>
      <c r="N353" s="4">
        <v>0</v>
      </c>
      <c r="O353" s="4">
        <v>0</v>
      </c>
      <c r="P353" s="4">
        <v>3</v>
      </c>
      <c r="Q353" s="3" t="s">
        <v>26</v>
      </c>
      <c r="R353" s="3">
        <v>0</v>
      </c>
      <c r="S353" s="3" t="s">
        <v>133</v>
      </c>
      <c r="U353" s="3">
        <v>18</v>
      </c>
      <c r="V353" s="3">
        <v>0</v>
      </c>
      <c r="W353" s="3">
        <v>0</v>
      </c>
    </row>
    <row r="354" spans="1:23" ht="11.25" customHeight="1" x14ac:dyDescent="0.25">
      <c r="A354" s="3" t="s">
        <v>21</v>
      </c>
      <c r="B354" s="3" t="s">
        <v>39</v>
      </c>
      <c r="C354" s="3" t="s">
        <v>41</v>
      </c>
      <c r="D354" s="3" t="s">
        <v>38</v>
      </c>
      <c r="E354" s="3" t="s">
        <v>25</v>
      </c>
      <c r="F354" s="3" t="s">
        <v>25</v>
      </c>
      <c r="G354" s="3" t="s">
        <v>25</v>
      </c>
      <c r="H354" s="3" t="s">
        <v>25</v>
      </c>
      <c r="I354" s="6">
        <v>44682</v>
      </c>
      <c r="J354" s="4">
        <v>10327</v>
      </c>
      <c r="K354" s="4">
        <v>10327</v>
      </c>
      <c r="L354" s="4">
        <v>0</v>
      </c>
      <c r="M354" s="4">
        <v>0</v>
      </c>
      <c r="N354" s="4">
        <v>0</v>
      </c>
      <c r="O354" s="4">
        <v>0</v>
      </c>
      <c r="P354" s="4">
        <v>67</v>
      </c>
      <c r="Q354" s="3" t="s">
        <v>26</v>
      </c>
      <c r="R354" s="3">
        <v>0</v>
      </c>
      <c r="S354" s="3" t="s">
        <v>134</v>
      </c>
      <c r="U354" s="3">
        <v>18</v>
      </c>
      <c r="V354" s="3">
        <v>0</v>
      </c>
      <c r="W354" s="3">
        <v>0</v>
      </c>
    </row>
    <row r="355" spans="1:23" ht="11.25" customHeight="1" x14ac:dyDescent="0.25">
      <c r="A355" s="3" t="s">
        <v>27</v>
      </c>
      <c r="B355" s="3" t="s">
        <v>39</v>
      </c>
      <c r="C355" s="3" t="s">
        <v>41</v>
      </c>
      <c r="D355" s="3" t="s">
        <v>38</v>
      </c>
      <c r="E355" s="3" t="s">
        <v>25</v>
      </c>
      <c r="F355" s="3" t="s">
        <v>25</v>
      </c>
      <c r="G355" s="3" t="s">
        <v>25</v>
      </c>
      <c r="H355" s="3" t="s">
        <v>25</v>
      </c>
      <c r="I355" s="6">
        <v>44682</v>
      </c>
      <c r="J355" s="4">
        <v>-600</v>
      </c>
      <c r="K355" s="4">
        <v>-600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3" t="s">
        <v>26</v>
      </c>
      <c r="R355" s="3">
        <v>0</v>
      </c>
      <c r="S355" s="3" t="s">
        <v>134</v>
      </c>
      <c r="U355" s="3">
        <v>18</v>
      </c>
      <c r="V355" s="3">
        <v>0</v>
      </c>
      <c r="W355" s="3">
        <v>0</v>
      </c>
    </row>
    <row r="356" spans="1:23" ht="11.25" customHeight="1" x14ac:dyDescent="0.25">
      <c r="A356" s="3" t="s">
        <v>28</v>
      </c>
      <c r="B356" s="3" t="s">
        <v>39</v>
      </c>
      <c r="C356" s="3" t="s">
        <v>41</v>
      </c>
      <c r="D356" s="3" t="s">
        <v>38</v>
      </c>
      <c r="E356" s="3" t="s">
        <v>25</v>
      </c>
      <c r="F356" s="3" t="s">
        <v>25</v>
      </c>
      <c r="G356" s="3" t="s">
        <v>25</v>
      </c>
      <c r="H356" s="3" t="s">
        <v>25</v>
      </c>
      <c r="I356" s="6">
        <v>44682</v>
      </c>
      <c r="J356" s="4">
        <v>1860</v>
      </c>
      <c r="K356" s="4">
        <v>1860</v>
      </c>
      <c r="L356" s="4">
        <v>0</v>
      </c>
      <c r="M356" s="4">
        <v>0</v>
      </c>
      <c r="N356" s="4">
        <v>0</v>
      </c>
      <c r="O356" s="4">
        <v>0</v>
      </c>
      <c r="P356" s="4">
        <v>12</v>
      </c>
      <c r="Q356" s="3" t="s">
        <v>26</v>
      </c>
      <c r="R356" s="3">
        <v>0</v>
      </c>
      <c r="S356" s="3" t="s">
        <v>134</v>
      </c>
      <c r="U356" s="3">
        <v>18</v>
      </c>
      <c r="V356" s="3">
        <v>0</v>
      </c>
      <c r="W356" s="3">
        <v>0</v>
      </c>
    </row>
    <row r="357" spans="1:23" ht="11.25" customHeight="1" x14ac:dyDescent="0.25">
      <c r="A357" s="3" t="s">
        <v>21</v>
      </c>
      <c r="B357" s="3" t="s">
        <v>39</v>
      </c>
      <c r="C357" s="3" t="s">
        <v>41</v>
      </c>
      <c r="D357" s="3" t="s">
        <v>38</v>
      </c>
      <c r="E357" s="3" t="s">
        <v>25</v>
      </c>
      <c r="F357" s="3" t="s">
        <v>25</v>
      </c>
      <c r="G357" s="3" t="s">
        <v>25</v>
      </c>
      <c r="H357" s="3" t="s">
        <v>25</v>
      </c>
      <c r="I357" s="6">
        <v>44713</v>
      </c>
      <c r="J357" s="4">
        <v>10237</v>
      </c>
      <c r="K357" s="4">
        <v>10237</v>
      </c>
      <c r="L357" s="4">
        <v>0</v>
      </c>
      <c r="M357" s="4">
        <v>0</v>
      </c>
      <c r="N357" s="4">
        <v>0</v>
      </c>
      <c r="O357" s="4">
        <v>0</v>
      </c>
      <c r="P357" s="4">
        <v>67</v>
      </c>
      <c r="Q357" s="3" t="s">
        <v>26</v>
      </c>
      <c r="R357" s="3">
        <v>0</v>
      </c>
      <c r="S357" s="3" t="s">
        <v>135</v>
      </c>
      <c r="U357" s="3">
        <v>18</v>
      </c>
      <c r="V357" s="3">
        <v>0</v>
      </c>
      <c r="W357" s="3">
        <v>0</v>
      </c>
    </row>
    <row r="358" spans="1:23" ht="11.25" customHeight="1" x14ac:dyDescent="0.25">
      <c r="A358" s="3" t="s">
        <v>28</v>
      </c>
      <c r="B358" s="3" t="s">
        <v>39</v>
      </c>
      <c r="C358" s="3" t="s">
        <v>41</v>
      </c>
      <c r="D358" s="3" t="s">
        <v>38</v>
      </c>
      <c r="E358" s="3" t="s">
        <v>25</v>
      </c>
      <c r="F358" s="3" t="s">
        <v>25</v>
      </c>
      <c r="G358" s="3" t="s">
        <v>25</v>
      </c>
      <c r="H358" s="3" t="s">
        <v>25</v>
      </c>
      <c r="I358" s="6">
        <v>44713</v>
      </c>
      <c r="J358" s="4">
        <v>449</v>
      </c>
      <c r="K358" s="4">
        <v>449</v>
      </c>
      <c r="L358" s="4">
        <v>0</v>
      </c>
      <c r="M358" s="4">
        <v>0</v>
      </c>
      <c r="N358" s="4">
        <v>0</v>
      </c>
      <c r="O358" s="4">
        <v>0</v>
      </c>
      <c r="P358" s="4">
        <v>3</v>
      </c>
      <c r="Q358" s="3" t="s">
        <v>26</v>
      </c>
      <c r="R358" s="3">
        <v>0</v>
      </c>
      <c r="S358" s="3" t="s">
        <v>135</v>
      </c>
      <c r="U358" s="3">
        <v>18</v>
      </c>
      <c r="V358" s="3">
        <v>0</v>
      </c>
      <c r="W358" s="3">
        <v>0</v>
      </c>
    </row>
    <row r="359" spans="1:23" ht="11.25" customHeight="1" x14ac:dyDescent="0.25">
      <c r="A359" s="3" t="s">
        <v>21</v>
      </c>
      <c r="B359" s="3" t="s">
        <v>39</v>
      </c>
      <c r="C359" s="3" t="s">
        <v>41</v>
      </c>
      <c r="D359" s="3" t="s">
        <v>38</v>
      </c>
      <c r="E359" s="3" t="s">
        <v>25</v>
      </c>
      <c r="F359" s="3" t="s">
        <v>25</v>
      </c>
      <c r="G359" s="3" t="s">
        <v>25</v>
      </c>
      <c r="H359" s="3" t="s">
        <v>25</v>
      </c>
      <c r="I359" s="6">
        <v>44743</v>
      </c>
      <c r="J359" s="4">
        <v>10565</v>
      </c>
      <c r="K359" s="4">
        <v>10565</v>
      </c>
      <c r="L359" s="4">
        <v>0</v>
      </c>
      <c r="M359" s="4">
        <v>0</v>
      </c>
      <c r="N359" s="4">
        <v>0</v>
      </c>
      <c r="O359" s="4">
        <v>0</v>
      </c>
      <c r="P359" s="4">
        <v>67</v>
      </c>
      <c r="Q359" s="3" t="s">
        <v>26</v>
      </c>
      <c r="R359" s="3">
        <v>0</v>
      </c>
      <c r="S359" s="3" t="s">
        <v>136</v>
      </c>
      <c r="U359" s="3">
        <v>18</v>
      </c>
      <c r="V359" s="3">
        <v>0</v>
      </c>
      <c r="W359" s="3">
        <v>0</v>
      </c>
    </row>
    <row r="360" spans="1:23" ht="11.25" customHeight="1" x14ac:dyDescent="0.25">
      <c r="A360" s="3" t="s">
        <v>28</v>
      </c>
      <c r="B360" s="3" t="s">
        <v>39</v>
      </c>
      <c r="C360" s="3" t="s">
        <v>41</v>
      </c>
      <c r="D360" s="3" t="s">
        <v>38</v>
      </c>
      <c r="E360" s="3" t="s">
        <v>25</v>
      </c>
      <c r="F360" s="3" t="s">
        <v>25</v>
      </c>
      <c r="G360" s="3" t="s">
        <v>25</v>
      </c>
      <c r="H360" s="3" t="s">
        <v>25</v>
      </c>
      <c r="I360" s="6">
        <v>44743</v>
      </c>
      <c r="J360" s="4">
        <v>449</v>
      </c>
      <c r="K360" s="4">
        <v>449</v>
      </c>
      <c r="L360" s="4">
        <v>0</v>
      </c>
      <c r="M360" s="4">
        <v>0</v>
      </c>
      <c r="N360" s="4">
        <v>0</v>
      </c>
      <c r="O360" s="4">
        <v>0</v>
      </c>
      <c r="P360" s="4">
        <v>3</v>
      </c>
      <c r="Q360" s="3" t="s">
        <v>26</v>
      </c>
      <c r="R360" s="3">
        <v>0</v>
      </c>
      <c r="S360" s="3" t="s">
        <v>136</v>
      </c>
      <c r="U360" s="3">
        <v>18</v>
      </c>
      <c r="V360" s="3">
        <v>0</v>
      </c>
      <c r="W360" s="3">
        <v>0</v>
      </c>
    </row>
    <row r="361" spans="1:23" ht="11.25" customHeight="1" x14ac:dyDescent="0.25">
      <c r="A361" s="3" t="s">
        <v>21</v>
      </c>
      <c r="B361" s="3" t="s">
        <v>39</v>
      </c>
      <c r="C361" s="3" t="s">
        <v>41</v>
      </c>
      <c r="D361" s="3" t="s">
        <v>38</v>
      </c>
      <c r="E361" s="3" t="s">
        <v>25</v>
      </c>
      <c r="F361" s="3" t="s">
        <v>25</v>
      </c>
      <c r="G361" s="3" t="s">
        <v>25</v>
      </c>
      <c r="H361" s="3" t="s">
        <v>25</v>
      </c>
      <c r="I361" s="6">
        <v>44774</v>
      </c>
      <c r="J361" s="4">
        <v>10455</v>
      </c>
      <c r="K361" s="4">
        <v>10455</v>
      </c>
      <c r="L361" s="4">
        <v>0</v>
      </c>
      <c r="M361" s="4">
        <v>0</v>
      </c>
      <c r="N361" s="4">
        <v>0</v>
      </c>
      <c r="O361" s="4">
        <v>0</v>
      </c>
      <c r="P361" s="4">
        <v>66</v>
      </c>
      <c r="Q361" s="3" t="s">
        <v>26</v>
      </c>
      <c r="R361" s="3">
        <v>0</v>
      </c>
      <c r="S361" s="3" t="s">
        <v>137</v>
      </c>
      <c r="U361" s="3">
        <v>18</v>
      </c>
      <c r="V361" s="3">
        <v>0</v>
      </c>
      <c r="W361" s="3">
        <v>0</v>
      </c>
    </row>
    <row r="362" spans="1:23" ht="11.25" customHeight="1" x14ac:dyDescent="0.25">
      <c r="A362" s="3" t="s">
        <v>28</v>
      </c>
      <c r="B362" s="3" t="s">
        <v>39</v>
      </c>
      <c r="C362" s="3" t="s">
        <v>41</v>
      </c>
      <c r="D362" s="3" t="s">
        <v>38</v>
      </c>
      <c r="E362" s="3" t="s">
        <v>25</v>
      </c>
      <c r="F362" s="3" t="s">
        <v>25</v>
      </c>
      <c r="G362" s="3" t="s">
        <v>25</v>
      </c>
      <c r="H362" s="3" t="s">
        <v>25</v>
      </c>
      <c r="I362" s="6">
        <v>44774</v>
      </c>
      <c r="J362" s="4">
        <v>462</v>
      </c>
      <c r="K362" s="4">
        <v>462</v>
      </c>
      <c r="L362" s="4">
        <v>0</v>
      </c>
      <c r="M362" s="4">
        <v>0</v>
      </c>
      <c r="N362" s="4">
        <v>0</v>
      </c>
      <c r="O362" s="4">
        <v>0</v>
      </c>
      <c r="P362" s="4">
        <v>3</v>
      </c>
      <c r="Q362" s="3" t="s">
        <v>26</v>
      </c>
      <c r="R362" s="3">
        <v>0</v>
      </c>
      <c r="S362" s="3" t="s">
        <v>137</v>
      </c>
      <c r="U362" s="3">
        <v>18</v>
      </c>
      <c r="V362" s="3">
        <v>0</v>
      </c>
      <c r="W362" s="3">
        <v>0</v>
      </c>
    </row>
    <row r="363" spans="1:23" ht="11.25" customHeight="1" x14ac:dyDescent="0.25">
      <c r="A363" s="3" t="s">
        <v>21</v>
      </c>
      <c r="B363" s="3" t="s">
        <v>39</v>
      </c>
      <c r="C363" s="3" t="s">
        <v>41</v>
      </c>
      <c r="D363" s="3" t="s">
        <v>38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44805</v>
      </c>
      <c r="J363" s="4">
        <v>10977</v>
      </c>
      <c r="K363" s="4">
        <v>10977</v>
      </c>
      <c r="L363" s="4">
        <v>0</v>
      </c>
      <c r="M363" s="4">
        <v>0</v>
      </c>
      <c r="N363" s="4">
        <v>0</v>
      </c>
      <c r="O363" s="4">
        <v>0</v>
      </c>
      <c r="P363" s="4">
        <v>67</v>
      </c>
      <c r="Q363" s="3" t="s">
        <v>26</v>
      </c>
      <c r="R363" s="3">
        <v>0</v>
      </c>
      <c r="S363" s="3" t="s">
        <v>138</v>
      </c>
      <c r="U363" s="3">
        <v>18</v>
      </c>
      <c r="V363" s="3">
        <v>0</v>
      </c>
      <c r="W363" s="3">
        <v>0</v>
      </c>
    </row>
    <row r="364" spans="1:23" ht="11.25" customHeight="1" x14ac:dyDescent="0.25">
      <c r="A364" s="3" t="s">
        <v>28</v>
      </c>
      <c r="B364" s="3" t="s">
        <v>39</v>
      </c>
      <c r="C364" s="3" t="s">
        <v>41</v>
      </c>
      <c r="D364" s="3" t="s">
        <v>38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44805</v>
      </c>
      <c r="J364" s="4">
        <v>455</v>
      </c>
      <c r="K364" s="4">
        <v>455</v>
      </c>
      <c r="L364" s="4">
        <v>0</v>
      </c>
      <c r="M364" s="4">
        <v>0</v>
      </c>
      <c r="N364" s="4">
        <v>0</v>
      </c>
      <c r="O364" s="4">
        <v>0</v>
      </c>
      <c r="P364" s="4">
        <v>3</v>
      </c>
      <c r="Q364" s="3" t="s">
        <v>26</v>
      </c>
      <c r="R364" s="3">
        <v>0</v>
      </c>
      <c r="S364" s="3" t="s">
        <v>138</v>
      </c>
      <c r="U364" s="3">
        <v>18</v>
      </c>
      <c r="V364" s="3">
        <v>0</v>
      </c>
      <c r="W364" s="3">
        <v>0</v>
      </c>
    </row>
    <row r="365" spans="1:23" ht="11.25" customHeight="1" x14ac:dyDescent="0.25">
      <c r="A365" s="3" t="s">
        <v>55</v>
      </c>
      <c r="B365" s="3" t="s">
        <v>39</v>
      </c>
      <c r="C365" s="3" t="s">
        <v>41</v>
      </c>
      <c r="D365" s="3" t="s">
        <v>38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44835</v>
      </c>
      <c r="J365" s="4">
        <v>10977</v>
      </c>
      <c r="K365" s="4">
        <v>10977</v>
      </c>
      <c r="L365" s="4">
        <v>0</v>
      </c>
      <c r="M365" s="4">
        <v>0</v>
      </c>
      <c r="N365" s="4">
        <v>0</v>
      </c>
      <c r="O365" s="4">
        <v>0</v>
      </c>
      <c r="P365" s="4">
        <v>67</v>
      </c>
      <c r="Q365" s="3" t="s">
        <v>26</v>
      </c>
      <c r="R365" s="3">
        <v>0</v>
      </c>
      <c r="S365" s="3" t="s">
        <v>139</v>
      </c>
      <c r="U365" s="3">
        <v>18</v>
      </c>
      <c r="V365" s="3">
        <v>0</v>
      </c>
      <c r="W365" s="3">
        <v>0</v>
      </c>
    </row>
    <row r="366" spans="1:23" ht="11.25" customHeight="1" x14ac:dyDescent="0.25">
      <c r="A366" s="3" t="s">
        <v>55</v>
      </c>
      <c r="B366" s="3" t="s">
        <v>39</v>
      </c>
      <c r="C366" s="3" t="s">
        <v>41</v>
      </c>
      <c r="D366" s="3" t="s">
        <v>38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44835</v>
      </c>
      <c r="J366" s="4">
        <v>455</v>
      </c>
      <c r="K366" s="4">
        <v>455</v>
      </c>
      <c r="L366" s="4">
        <v>0</v>
      </c>
      <c r="M366" s="4">
        <v>0</v>
      </c>
      <c r="N366" s="4">
        <v>0</v>
      </c>
      <c r="O366" s="4">
        <v>0</v>
      </c>
      <c r="P366" s="4">
        <v>3</v>
      </c>
      <c r="Q366" s="3" t="s">
        <v>26</v>
      </c>
      <c r="R366" s="3">
        <v>0</v>
      </c>
      <c r="S366" s="3" t="s">
        <v>139</v>
      </c>
      <c r="U366" s="3">
        <v>18</v>
      </c>
      <c r="V366" s="3">
        <v>0</v>
      </c>
      <c r="W366" s="3">
        <v>0</v>
      </c>
    </row>
    <row r="367" spans="1:23" ht="11.25" customHeight="1" x14ac:dyDescent="0.25">
      <c r="A367" s="3" t="s">
        <v>21</v>
      </c>
      <c r="B367" s="3" t="s">
        <v>39</v>
      </c>
      <c r="C367" s="3" t="s">
        <v>41</v>
      </c>
      <c r="D367" s="3" t="s">
        <v>38</v>
      </c>
      <c r="E367" s="3" t="s">
        <v>25</v>
      </c>
      <c r="F367" s="3" t="s">
        <v>25</v>
      </c>
      <c r="G367" s="3" t="s">
        <v>25</v>
      </c>
      <c r="H367" s="3" t="s">
        <v>34</v>
      </c>
      <c r="I367" s="6">
        <v>44501</v>
      </c>
      <c r="J367" s="4">
        <v>0</v>
      </c>
      <c r="K367" s="4">
        <v>0</v>
      </c>
      <c r="L367" s="4">
        <v>40.786000000000001</v>
      </c>
      <c r="M367" s="4">
        <v>40.786000000000001</v>
      </c>
      <c r="N367" s="4">
        <v>40.786000000000001</v>
      </c>
      <c r="O367" s="4">
        <v>40.786000000000001</v>
      </c>
      <c r="P367" s="4">
        <v>0</v>
      </c>
      <c r="Q367" s="3" t="s">
        <v>26</v>
      </c>
      <c r="R367" s="3">
        <v>0</v>
      </c>
      <c r="S367" s="3" t="s">
        <v>140</v>
      </c>
      <c r="T367" s="3" t="s">
        <v>354</v>
      </c>
      <c r="U367" s="3">
        <v>0</v>
      </c>
      <c r="V367" s="3">
        <v>11</v>
      </c>
      <c r="W367" s="3">
        <v>71</v>
      </c>
    </row>
    <row r="368" spans="1:23" ht="11.25" customHeight="1" x14ac:dyDescent="0.25">
      <c r="A368" s="3" t="s">
        <v>28</v>
      </c>
      <c r="B368" s="3" t="s">
        <v>39</v>
      </c>
      <c r="C368" s="3" t="s">
        <v>41</v>
      </c>
      <c r="D368" s="3" t="s">
        <v>38</v>
      </c>
      <c r="E368" s="3" t="s">
        <v>25</v>
      </c>
      <c r="F368" s="3" t="s">
        <v>25</v>
      </c>
      <c r="G368" s="3" t="s">
        <v>25</v>
      </c>
      <c r="H368" s="3" t="s">
        <v>34</v>
      </c>
      <c r="I368" s="6">
        <v>44501</v>
      </c>
      <c r="J368" s="4">
        <v>0</v>
      </c>
      <c r="K368" s="4">
        <v>0</v>
      </c>
      <c r="L368" s="4">
        <v>4.7969999999999997</v>
      </c>
      <c r="M368" s="4">
        <v>4.7969999999999997</v>
      </c>
      <c r="N368" s="4">
        <v>4.7969999999999997</v>
      </c>
      <c r="O368" s="4">
        <v>4.7969999999999997</v>
      </c>
      <c r="P368" s="4">
        <v>0</v>
      </c>
      <c r="Q368" s="3" t="s">
        <v>26</v>
      </c>
      <c r="R368" s="3">
        <v>0</v>
      </c>
      <c r="S368" s="3" t="s">
        <v>140</v>
      </c>
      <c r="T368" s="3" t="s">
        <v>354</v>
      </c>
      <c r="U368" s="3">
        <v>0</v>
      </c>
      <c r="V368" s="3">
        <v>11</v>
      </c>
      <c r="W368" s="3">
        <v>71</v>
      </c>
    </row>
    <row r="369" spans="1:23" ht="11.25" customHeight="1" x14ac:dyDescent="0.25">
      <c r="A369" s="3" t="s">
        <v>21</v>
      </c>
      <c r="B369" s="3" t="s">
        <v>39</v>
      </c>
      <c r="C369" s="3" t="s">
        <v>41</v>
      </c>
      <c r="D369" s="3" t="s">
        <v>38</v>
      </c>
      <c r="E369" s="3" t="s">
        <v>25</v>
      </c>
      <c r="F369" s="3" t="s">
        <v>25</v>
      </c>
      <c r="G369" s="3" t="s">
        <v>25</v>
      </c>
      <c r="H369" s="3" t="s">
        <v>34</v>
      </c>
      <c r="I369" s="6">
        <v>44531</v>
      </c>
      <c r="J369" s="4">
        <v>0</v>
      </c>
      <c r="K369" s="4">
        <v>0</v>
      </c>
      <c r="L369" s="4">
        <v>44.542000000000002</v>
      </c>
      <c r="M369" s="4">
        <v>44.542000000000002</v>
      </c>
      <c r="N369" s="4">
        <v>44.542000000000002</v>
      </c>
      <c r="O369" s="4">
        <v>44.542000000000002</v>
      </c>
      <c r="P369" s="4">
        <v>0</v>
      </c>
      <c r="Q369" s="3" t="s">
        <v>26</v>
      </c>
      <c r="R369" s="3">
        <v>0</v>
      </c>
      <c r="S369" s="3" t="s">
        <v>141</v>
      </c>
      <c r="T369" s="3" t="s">
        <v>355</v>
      </c>
      <c r="U369" s="3">
        <v>0</v>
      </c>
      <c r="V369" s="3">
        <v>11</v>
      </c>
      <c r="W369" s="3">
        <v>71</v>
      </c>
    </row>
    <row r="370" spans="1:23" ht="11.25" customHeight="1" x14ac:dyDescent="0.25">
      <c r="A370" s="3" t="s">
        <v>28</v>
      </c>
      <c r="B370" s="3" t="s">
        <v>39</v>
      </c>
      <c r="C370" s="3" t="s">
        <v>41</v>
      </c>
      <c r="D370" s="3" t="s">
        <v>38</v>
      </c>
      <c r="E370" s="3" t="s">
        <v>25</v>
      </c>
      <c r="F370" s="3" t="s">
        <v>25</v>
      </c>
      <c r="G370" s="3" t="s">
        <v>25</v>
      </c>
      <c r="H370" s="3" t="s">
        <v>34</v>
      </c>
      <c r="I370" s="6">
        <v>44531</v>
      </c>
      <c r="J370" s="4">
        <v>0</v>
      </c>
      <c r="K370" s="4">
        <v>0</v>
      </c>
      <c r="L370" s="4">
        <v>5.6280000000000001</v>
      </c>
      <c r="M370" s="4">
        <v>5.6280000000000001</v>
      </c>
      <c r="N370" s="4">
        <v>5.6280000000000001</v>
      </c>
      <c r="O370" s="4">
        <v>5.6280000000000001</v>
      </c>
      <c r="P370" s="4">
        <v>0</v>
      </c>
      <c r="Q370" s="3" t="s">
        <v>26</v>
      </c>
      <c r="R370" s="3">
        <v>0</v>
      </c>
      <c r="S370" s="3" t="s">
        <v>141</v>
      </c>
      <c r="T370" s="3" t="s">
        <v>355</v>
      </c>
      <c r="U370" s="3">
        <v>0</v>
      </c>
      <c r="V370" s="3">
        <v>11</v>
      </c>
      <c r="W370" s="3">
        <v>71</v>
      </c>
    </row>
    <row r="371" spans="1:23" ht="11.25" customHeight="1" x14ac:dyDescent="0.25">
      <c r="A371" s="3" t="s">
        <v>21</v>
      </c>
      <c r="B371" s="3" t="s">
        <v>39</v>
      </c>
      <c r="C371" s="3" t="s">
        <v>41</v>
      </c>
      <c r="D371" s="3" t="s">
        <v>38</v>
      </c>
      <c r="E371" s="3" t="s">
        <v>25</v>
      </c>
      <c r="F371" s="3" t="s">
        <v>25</v>
      </c>
      <c r="G371" s="3" t="s">
        <v>25</v>
      </c>
      <c r="H371" s="3" t="s">
        <v>34</v>
      </c>
      <c r="I371" s="6">
        <v>44562</v>
      </c>
      <c r="J371" s="4">
        <v>0</v>
      </c>
      <c r="K371" s="4">
        <v>0</v>
      </c>
      <c r="L371" s="4">
        <v>41.594000000000001</v>
      </c>
      <c r="M371" s="4">
        <v>41.594000000000001</v>
      </c>
      <c r="N371" s="4">
        <v>41.594000000000001</v>
      </c>
      <c r="O371" s="4">
        <v>41.594000000000001</v>
      </c>
      <c r="P371" s="4">
        <v>0</v>
      </c>
      <c r="Q371" s="3" t="s">
        <v>26</v>
      </c>
      <c r="R371" s="3">
        <v>0</v>
      </c>
      <c r="S371" s="3" t="s">
        <v>142</v>
      </c>
      <c r="T371" s="3" t="s">
        <v>356</v>
      </c>
      <c r="U371" s="3">
        <v>0</v>
      </c>
      <c r="V371" s="3">
        <v>11</v>
      </c>
      <c r="W371" s="3">
        <v>71</v>
      </c>
    </row>
    <row r="372" spans="1:23" ht="11.25" customHeight="1" x14ac:dyDescent="0.25">
      <c r="A372" s="3" t="s">
        <v>28</v>
      </c>
      <c r="B372" s="3" t="s">
        <v>39</v>
      </c>
      <c r="C372" s="3" t="s">
        <v>41</v>
      </c>
      <c r="D372" s="3" t="s">
        <v>38</v>
      </c>
      <c r="E372" s="3" t="s">
        <v>25</v>
      </c>
      <c r="F372" s="3" t="s">
        <v>25</v>
      </c>
      <c r="G372" s="3" t="s">
        <v>25</v>
      </c>
      <c r="H372" s="3" t="s">
        <v>34</v>
      </c>
      <c r="I372" s="6">
        <v>44562</v>
      </c>
      <c r="J372" s="4">
        <v>0</v>
      </c>
      <c r="K372" s="4">
        <v>0</v>
      </c>
      <c r="L372" s="4">
        <v>4.9870000000000001</v>
      </c>
      <c r="M372" s="4">
        <v>4.9870000000000001</v>
      </c>
      <c r="N372" s="4">
        <v>4.9870000000000001</v>
      </c>
      <c r="O372" s="4">
        <v>4.9870000000000001</v>
      </c>
      <c r="P372" s="4">
        <v>0</v>
      </c>
      <c r="Q372" s="3" t="s">
        <v>26</v>
      </c>
      <c r="R372" s="3">
        <v>0</v>
      </c>
      <c r="S372" s="3" t="s">
        <v>142</v>
      </c>
      <c r="T372" s="3" t="s">
        <v>356</v>
      </c>
      <c r="U372" s="3">
        <v>0</v>
      </c>
      <c r="V372" s="3">
        <v>11</v>
      </c>
      <c r="W372" s="3">
        <v>71</v>
      </c>
    </row>
    <row r="373" spans="1:23" ht="11.25" customHeight="1" x14ac:dyDescent="0.25">
      <c r="A373" s="3" t="s">
        <v>21</v>
      </c>
      <c r="B373" s="3" t="s">
        <v>39</v>
      </c>
      <c r="C373" s="3" t="s">
        <v>41</v>
      </c>
      <c r="D373" s="3" t="s">
        <v>38</v>
      </c>
      <c r="E373" s="3" t="s">
        <v>25</v>
      </c>
      <c r="F373" s="3" t="s">
        <v>25</v>
      </c>
      <c r="G373" s="3" t="s">
        <v>25</v>
      </c>
      <c r="H373" s="3" t="s">
        <v>34</v>
      </c>
      <c r="I373" s="6">
        <v>44593</v>
      </c>
      <c r="J373" s="4">
        <v>0</v>
      </c>
      <c r="K373" s="4">
        <v>0</v>
      </c>
      <c r="L373" s="4">
        <v>38.253</v>
      </c>
      <c r="M373" s="4">
        <v>38.253</v>
      </c>
      <c r="N373" s="4">
        <v>38.253</v>
      </c>
      <c r="O373" s="4">
        <v>38.253</v>
      </c>
      <c r="P373" s="4">
        <v>0</v>
      </c>
      <c r="Q373" s="3" t="s">
        <v>26</v>
      </c>
      <c r="R373" s="3">
        <v>0</v>
      </c>
      <c r="S373" s="3" t="s">
        <v>143</v>
      </c>
      <c r="T373" s="3" t="s">
        <v>357</v>
      </c>
      <c r="U373" s="3">
        <v>0</v>
      </c>
      <c r="V373" s="3">
        <v>11</v>
      </c>
      <c r="W373" s="3">
        <v>71</v>
      </c>
    </row>
    <row r="374" spans="1:23" ht="11.25" customHeight="1" x14ac:dyDescent="0.25">
      <c r="A374" s="3" t="s">
        <v>28</v>
      </c>
      <c r="B374" s="3" t="s">
        <v>39</v>
      </c>
      <c r="C374" s="3" t="s">
        <v>41</v>
      </c>
      <c r="D374" s="3" t="s">
        <v>38</v>
      </c>
      <c r="E374" s="3" t="s">
        <v>25</v>
      </c>
      <c r="F374" s="3" t="s">
        <v>25</v>
      </c>
      <c r="G374" s="3" t="s">
        <v>25</v>
      </c>
      <c r="H374" s="3" t="s">
        <v>34</v>
      </c>
      <c r="I374" s="6">
        <v>44593</v>
      </c>
      <c r="J374" s="4">
        <v>0</v>
      </c>
      <c r="K374" s="4">
        <v>0</v>
      </c>
      <c r="L374" s="4">
        <v>5.3239999999999998</v>
      </c>
      <c r="M374" s="4">
        <v>5.3239999999999998</v>
      </c>
      <c r="N374" s="4">
        <v>5.3239999999999998</v>
      </c>
      <c r="O374" s="4">
        <v>5.3239999999999998</v>
      </c>
      <c r="P374" s="4">
        <v>0</v>
      </c>
      <c r="Q374" s="3" t="s">
        <v>26</v>
      </c>
      <c r="R374" s="3">
        <v>0</v>
      </c>
      <c r="S374" s="3" t="s">
        <v>143</v>
      </c>
      <c r="T374" s="3" t="s">
        <v>357</v>
      </c>
      <c r="U374" s="3">
        <v>0</v>
      </c>
      <c r="V374" s="3">
        <v>11</v>
      </c>
      <c r="W374" s="3">
        <v>71</v>
      </c>
    </row>
    <row r="375" spans="1:23" ht="11.25" customHeight="1" x14ac:dyDescent="0.25">
      <c r="A375" s="3" t="s">
        <v>21</v>
      </c>
      <c r="B375" s="3" t="s">
        <v>39</v>
      </c>
      <c r="C375" s="3" t="s">
        <v>41</v>
      </c>
      <c r="D375" s="3" t="s">
        <v>38</v>
      </c>
      <c r="E375" s="3" t="s">
        <v>25</v>
      </c>
      <c r="F375" s="3" t="s">
        <v>25</v>
      </c>
      <c r="G375" s="3" t="s">
        <v>25</v>
      </c>
      <c r="H375" s="3" t="s">
        <v>34</v>
      </c>
      <c r="I375" s="6">
        <v>44621</v>
      </c>
      <c r="J375" s="4">
        <v>0</v>
      </c>
      <c r="K375" s="4">
        <v>0</v>
      </c>
      <c r="L375" s="4">
        <v>44.917000000000002</v>
      </c>
      <c r="M375" s="4">
        <v>44.917000000000002</v>
      </c>
      <c r="N375" s="4">
        <v>44.917000000000002</v>
      </c>
      <c r="O375" s="4">
        <v>44.917000000000002</v>
      </c>
      <c r="P375" s="4">
        <v>0</v>
      </c>
      <c r="Q375" s="3" t="s">
        <v>26</v>
      </c>
      <c r="R375" s="3">
        <v>0</v>
      </c>
      <c r="S375" s="3" t="s">
        <v>144</v>
      </c>
      <c r="T375" s="3" t="s">
        <v>358</v>
      </c>
      <c r="U375" s="3">
        <v>0</v>
      </c>
      <c r="V375" s="3">
        <v>11</v>
      </c>
      <c r="W375" s="3">
        <v>71</v>
      </c>
    </row>
    <row r="376" spans="1:23" ht="11.25" customHeight="1" x14ac:dyDescent="0.25">
      <c r="A376" s="3" t="s">
        <v>28</v>
      </c>
      <c r="B376" s="3" t="s">
        <v>39</v>
      </c>
      <c r="C376" s="3" t="s">
        <v>41</v>
      </c>
      <c r="D376" s="3" t="s">
        <v>38</v>
      </c>
      <c r="E376" s="3" t="s">
        <v>25</v>
      </c>
      <c r="F376" s="3" t="s">
        <v>25</v>
      </c>
      <c r="G376" s="3" t="s">
        <v>25</v>
      </c>
      <c r="H376" s="3" t="s">
        <v>34</v>
      </c>
      <c r="I376" s="6">
        <v>44621</v>
      </c>
      <c r="J376" s="4">
        <v>0</v>
      </c>
      <c r="K376" s="4">
        <v>0</v>
      </c>
      <c r="L376" s="4">
        <v>5.8639999999999999</v>
      </c>
      <c r="M376" s="4">
        <v>5.8639999999999999</v>
      </c>
      <c r="N376" s="4">
        <v>5.8639999999999999</v>
      </c>
      <c r="O376" s="4">
        <v>5.8639999999999999</v>
      </c>
      <c r="P376" s="4">
        <v>0</v>
      </c>
      <c r="Q376" s="3" t="s">
        <v>26</v>
      </c>
      <c r="R376" s="3">
        <v>0</v>
      </c>
      <c r="S376" s="3" t="s">
        <v>144</v>
      </c>
      <c r="T376" s="3" t="s">
        <v>358</v>
      </c>
      <c r="U376" s="3">
        <v>0</v>
      </c>
      <c r="V376" s="3">
        <v>11</v>
      </c>
      <c r="W376" s="3">
        <v>71</v>
      </c>
    </row>
    <row r="377" spans="1:23" ht="11.25" customHeight="1" x14ac:dyDescent="0.25">
      <c r="A377" s="3" t="s">
        <v>21</v>
      </c>
      <c r="B377" s="3" t="s">
        <v>39</v>
      </c>
      <c r="C377" s="3" t="s">
        <v>41</v>
      </c>
      <c r="D377" s="3" t="s">
        <v>38</v>
      </c>
      <c r="E377" s="3" t="s">
        <v>25</v>
      </c>
      <c r="F377" s="3" t="s">
        <v>25</v>
      </c>
      <c r="G377" s="3" t="s">
        <v>25</v>
      </c>
      <c r="H377" s="3" t="s">
        <v>34</v>
      </c>
      <c r="I377" s="6">
        <v>44652</v>
      </c>
      <c r="J377" s="4">
        <v>0</v>
      </c>
      <c r="K377" s="4">
        <v>0</v>
      </c>
      <c r="L377" s="4">
        <v>44.917000000000002</v>
      </c>
      <c r="M377" s="4">
        <v>44.917000000000002</v>
      </c>
      <c r="N377" s="4">
        <v>44.917000000000002</v>
      </c>
      <c r="O377" s="4">
        <v>44.917000000000002</v>
      </c>
      <c r="P377" s="4">
        <v>0</v>
      </c>
      <c r="Q377" s="3" t="s">
        <v>26</v>
      </c>
      <c r="R377" s="3">
        <v>0</v>
      </c>
      <c r="S377" s="3" t="s">
        <v>145</v>
      </c>
      <c r="T377" s="3" t="s">
        <v>359</v>
      </c>
      <c r="U377" s="3">
        <v>0</v>
      </c>
      <c r="V377" s="3">
        <v>11</v>
      </c>
      <c r="W377" s="3">
        <v>71</v>
      </c>
    </row>
    <row r="378" spans="1:23" ht="11.25" customHeight="1" x14ac:dyDescent="0.25">
      <c r="A378" s="3" t="s">
        <v>28</v>
      </c>
      <c r="B378" s="3" t="s">
        <v>39</v>
      </c>
      <c r="C378" s="3" t="s">
        <v>41</v>
      </c>
      <c r="D378" s="3" t="s">
        <v>38</v>
      </c>
      <c r="E378" s="3" t="s">
        <v>25</v>
      </c>
      <c r="F378" s="3" t="s">
        <v>25</v>
      </c>
      <c r="G378" s="3" t="s">
        <v>25</v>
      </c>
      <c r="H378" s="3" t="s">
        <v>34</v>
      </c>
      <c r="I378" s="6">
        <v>44652</v>
      </c>
      <c r="J378" s="4">
        <v>0</v>
      </c>
      <c r="K378" s="4">
        <v>0</v>
      </c>
      <c r="L378" s="4">
        <v>5.8639999999999999</v>
      </c>
      <c r="M378" s="4">
        <v>5.8639999999999999</v>
      </c>
      <c r="N378" s="4">
        <v>5.8639999999999999</v>
      </c>
      <c r="O378" s="4">
        <v>5.8639999999999999</v>
      </c>
      <c r="P378" s="4">
        <v>0</v>
      </c>
      <c r="Q378" s="3" t="s">
        <v>26</v>
      </c>
      <c r="R378" s="3">
        <v>0</v>
      </c>
      <c r="S378" s="3" t="s">
        <v>145</v>
      </c>
      <c r="T378" s="3" t="s">
        <v>359</v>
      </c>
      <c r="U378" s="3">
        <v>0</v>
      </c>
      <c r="V378" s="3">
        <v>11</v>
      </c>
      <c r="W378" s="3">
        <v>71</v>
      </c>
    </row>
    <row r="379" spans="1:23" ht="11.25" customHeight="1" x14ac:dyDescent="0.25">
      <c r="A379" s="3" t="s">
        <v>21</v>
      </c>
      <c r="B379" s="3" t="s">
        <v>39</v>
      </c>
      <c r="C379" s="3" t="s">
        <v>41</v>
      </c>
      <c r="D379" s="3" t="s">
        <v>38</v>
      </c>
      <c r="E379" s="3" t="s">
        <v>25</v>
      </c>
      <c r="F379" s="3" t="s">
        <v>25</v>
      </c>
      <c r="G379" s="3" t="s">
        <v>25</v>
      </c>
      <c r="H379" s="3" t="s">
        <v>34</v>
      </c>
      <c r="I379" s="6">
        <v>44682</v>
      </c>
      <c r="J379" s="4">
        <v>0</v>
      </c>
      <c r="K379" s="4">
        <v>0</v>
      </c>
      <c r="L379" s="4">
        <v>37.786000000000001</v>
      </c>
      <c r="M379" s="4">
        <v>37.786000000000001</v>
      </c>
      <c r="N379" s="4">
        <v>37.786000000000001</v>
      </c>
      <c r="O379" s="4">
        <v>37.786000000000001</v>
      </c>
      <c r="P379" s="4">
        <v>0</v>
      </c>
      <c r="Q379" s="3" t="s">
        <v>26</v>
      </c>
      <c r="R379" s="3">
        <v>0</v>
      </c>
      <c r="S379" s="3" t="s">
        <v>146</v>
      </c>
      <c r="T379" s="3" t="s">
        <v>360</v>
      </c>
      <c r="U379" s="3">
        <v>0</v>
      </c>
      <c r="V379" s="3">
        <v>11</v>
      </c>
      <c r="W379" s="3">
        <v>71</v>
      </c>
    </row>
    <row r="380" spans="1:23" ht="11.25" customHeight="1" x14ac:dyDescent="0.25">
      <c r="A380" s="3" t="s">
        <v>27</v>
      </c>
      <c r="B380" s="3" t="s">
        <v>39</v>
      </c>
      <c r="C380" s="3" t="s">
        <v>41</v>
      </c>
      <c r="D380" s="3" t="s">
        <v>38</v>
      </c>
      <c r="E380" s="3" t="s">
        <v>25</v>
      </c>
      <c r="F380" s="3" t="s">
        <v>25</v>
      </c>
      <c r="G380" s="3" t="s">
        <v>25</v>
      </c>
      <c r="H380" s="3" t="s">
        <v>34</v>
      </c>
      <c r="I380" s="6">
        <v>44682</v>
      </c>
      <c r="J380" s="4">
        <v>0</v>
      </c>
      <c r="K380" s="4">
        <v>0</v>
      </c>
      <c r="L380" s="4">
        <v>5.6000000000000001E-2</v>
      </c>
      <c r="M380" s="4">
        <v>5.6000000000000001E-2</v>
      </c>
      <c r="N380" s="4">
        <v>5.6000000000000001E-2</v>
      </c>
      <c r="O380" s="4">
        <v>5.6000000000000001E-2</v>
      </c>
      <c r="P380" s="4">
        <v>0</v>
      </c>
      <c r="Q380" s="3" t="s">
        <v>26</v>
      </c>
      <c r="R380" s="3">
        <v>0</v>
      </c>
      <c r="S380" s="3" t="s">
        <v>146</v>
      </c>
      <c r="T380" s="3" t="s">
        <v>360</v>
      </c>
      <c r="U380" s="3">
        <v>0</v>
      </c>
      <c r="V380" s="3">
        <v>11</v>
      </c>
      <c r="W380" s="3">
        <v>71</v>
      </c>
    </row>
    <row r="381" spans="1:23" ht="11.25" customHeight="1" x14ac:dyDescent="0.25">
      <c r="A381" s="3" t="s">
        <v>28</v>
      </c>
      <c r="B381" s="3" t="s">
        <v>39</v>
      </c>
      <c r="C381" s="3" t="s">
        <v>41</v>
      </c>
      <c r="D381" s="3" t="s">
        <v>38</v>
      </c>
      <c r="E381" s="3" t="s">
        <v>25</v>
      </c>
      <c r="F381" s="3" t="s">
        <v>25</v>
      </c>
      <c r="G381" s="3" t="s">
        <v>25</v>
      </c>
      <c r="H381" s="3" t="s">
        <v>34</v>
      </c>
      <c r="I381" s="6">
        <v>44682</v>
      </c>
      <c r="J381" s="4">
        <v>0</v>
      </c>
      <c r="K381" s="4">
        <v>0</v>
      </c>
      <c r="L381" s="4">
        <v>23.623999999999999</v>
      </c>
      <c r="M381" s="4">
        <v>23.623999999999999</v>
      </c>
      <c r="N381" s="4">
        <v>23.623999999999999</v>
      </c>
      <c r="O381" s="4">
        <v>23.623999999999999</v>
      </c>
      <c r="P381" s="4">
        <v>0</v>
      </c>
      <c r="Q381" s="3" t="s">
        <v>26</v>
      </c>
      <c r="R381" s="3">
        <v>0</v>
      </c>
      <c r="S381" s="3" t="s">
        <v>146</v>
      </c>
      <c r="T381" s="3" t="s">
        <v>360</v>
      </c>
      <c r="U381" s="3">
        <v>0</v>
      </c>
      <c r="V381" s="3">
        <v>11</v>
      </c>
      <c r="W381" s="3">
        <v>71</v>
      </c>
    </row>
    <row r="382" spans="1:23" ht="11.25" customHeight="1" x14ac:dyDescent="0.25">
      <c r="A382" s="3" t="s">
        <v>21</v>
      </c>
      <c r="B382" s="3" t="s">
        <v>39</v>
      </c>
      <c r="C382" s="3" t="s">
        <v>41</v>
      </c>
      <c r="D382" s="3" t="s">
        <v>38</v>
      </c>
      <c r="E382" s="3" t="s">
        <v>25</v>
      </c>
      <c r="F382" s="3" t="s">
        <v>25</v>
      </c>
      <c r="G382" s="3" t="s">
        <v>25</v>
      </c>
      <c r="H382" s="3" t="s">
        <v>34</v>
      </c>
      <c r="I382" s="6">
        <v>44713</v>
      </c>
      <c r="J382" s="4">
        <v>0</v>
      </c>
      <c r="K382" s="4">
        <v>0</v>
      </c>
      <c r="L382" s="4">
        <v>42.369</v>
      </c>
      <c r="M382" s="4">
        <v>42.369</v>
      </c>
      <c r="N382" s="4">
        <v>42.369</v>
      </c>
      <c r="O382" s="4">
        <v>42.369</v>
      </c>
      <c r="P382" s="4">
        <v>0</v>
      </c>
      <c r="Q382" s="3" t="s">
        <v>26</v>
      </c>
      <c r="R382" s="3">
        <v>0</v>
      </c>
      <c r="S382" s="3" t="s">
        <v>147</v>
      </c>
      <c r="T382" s="3" t="s">
        <v>361</v>
      </c>
      <c r="U382" s="3">
        <v>0</v>
      </c>
      <c r="V382" s="3">
        <v>11</v>
      </c>
      <c r="W382" s="3">
        <v>71</v>
      </c>
    </row>
    <row r="383" spans="1:23" ht="11.25" customHeight="1" x14ac:dyDescent="0.25">
      <c r="A383" s="3" t="s">
        <v>28</v>
      </c>
      <c r="B383" s="3" t="s">
        <v>39</v>
      </c>
      <c r="C383" s="3" t="s">
        <v>41</v>
      </c>
      <c r="D383" s="3" t="s">
        <v>38</v>
      </c>
      <c r="E383" s="3" t="s">
        <v>25</v>
      </c>
      <c r="F383" s="3" t="s">
        <v>25</v>
      </c>
      <c r="G383" s="3" t="s">
        <v>25</v>
      </c>
      <c r="H383" s="3" t="s">
        <v>34</v>
      </c>
      <c r="I383" s="6">
        <v>44713</v>
      </c>
      <c r="J383" s="4">
        <v>0</v>
      </c>
      <c r="K383" s="4">
        <v>0</v>
      </c>
      <c r="L383" s="4">
        <v>5.6429999999999998</v>
      </c>
      <c r="M383" s="4">
        <v>5.6429999999999998</v>
      </c>
      <c r="N383" s="4">
        <v>5.6429999999999998</v>
      </c>
      <c r="O383" s="4">
        <v>5.6429999999999998</v>
      </c>
      <c r="P383" s="4">
        <v>0</v>
      </c>
      <c r="Q383" s="3" t="s">
        <v>26</v>
      </c>
      <c r="R383" s="3">
        <v>0</v>
      </c>
      <c r="S383" s="3" t="s">
        <v>147</v>
      </c>
      <c r="T383" s="3" t="s">
        <v>361</v>
      </c>
      <c r="U383" s="3">
        <v>0</v>
      </c>
      <c r="V383" s="3">
        <v>11</v>
      </c>
      <c r="W383" s="3">
        <v>71</v>
      </c>
    </row>
    <row r="384" spans="1:23" ht="11.25" customHeight="1" x14ac:dyDescent="0.25">
      <c r="A384" s="3" t="s">
        <v>21</v>
      </c>
      <c r="B384" s="3" t="s">
        <v>39</v>
      </c>
      <c r="C384" s="3" t="s">
        <v>41</v>
      </c>
      <c r="D384" s="3" t="s">
        <v>38</v>
      </c>
      <c r="E384" s="3" t="s">
        <v>25</v>
      </c>
      <c r="F384" s="3" t="s">
        <v>25</v>
      </c>
      <c r="G384" s="3" t="s">
        <v>25</v>
      </c>
      <c r="H384" s="3" t="s">
        <v>34</v>
      </c>
      <c r="I384" s="6">
        <v>44743</v>
      </c>
      <c r="J384" s="4">
        <v>0</v>
      </c>
      <c r="K384" s="4">
        <v>0</v>
      </c>
      <c r="L384" s="4">
        <v>41.015999999999998</v>
      </c>
      <c r="M384" s="4">
        <v>41.015999999999998</v>
      </c>
      <c r="N384" s="4">
        <v>41.015999999999998</v>
      </c>
      <c r="O384" s="4">
        <v>41.015999999999998</v>
      </c>
      <c r="P384" s="4">
        <v>0</v>
      </c>
      <c r="Q384" s="3" t="s">
        <v>26</v>
      </c>
      <c r="R384" s="3">
        <v>0</v>
      </c>
      <c r="S384" s="3" t="s">
        <v>148</v>
      </c>
      <c r="T384" s="3" t="s">
        <v>362</v>
      </c>
      <c r="U384" s="3">
        <v>0</v>
      </c>
      <c r="V384" s="3">
        <v>11</v>
      </c>
      <c r="W384" s="3">
        <v>71</v>
      </c>
    </row>
    <row r="385" spans="1:23" ht="11.25" customHeight="1" x14ac:dyDescent="0.25">
      <c r="A385" s="3" t="s">
        <v>28</v>
      </c>
      <c r="B385" s="3" t="s">
        <v>39</v>
      </c>
      <c r="C385" s="3" t="s">
        <v>41</v>
      </c>
      <c r="D385" s="3" t="s">
        <v>38</v>
      </c>
      <c r="E385" s="3" t="s">
        <v>25</v>
      </c>
      <c r="F385" s="3" t="s">
        <v>25</v>
      </c>
      <c r="G385" s="3" t="s">
        <v>25</v>
      </c>
      <c r="H385" s="3" t="s">
        <v>34</v>
      </c>
      <c r="I385" s="6">
        <v>44743</v>
      </c>
      <c r="J385" s="4">
        <v>0</v>
      </c>
      <c r="K385" s="4">
        <v>0</v>
      </c>
      <c r="L385" s="4">
        <v>5.6319999999999997</v>
      </c>
      <c r="M385" s="4">
        <v>5.6319999999999997</v>
      </c>
      <c r="N385" s="4">
        <v>5.6319999999999997</v>
      </c>
      <c r="O385" s="4">
        <v>5.6319999999999997</v>
      </c>
      <c r="P385" s="4">
        <v>0</v>
      </c>
      <c r="Q385" s="3" t="s">
        <v>26</v>
      </c>
      <c r="R385" s="3">
        <v>0</v>
      </c>
      <c r="S385" s="3" t="s">
        <v>148</v>
      </c>
      <c r="T385" s="3" t="s">
        <v>362</v>
      </c>
      <c r="U385" s="3">
        <v>0</v>
      </c>
      <c r="V385" s="3">
        <v>11</v>
      </c>
      <c r="W385" s="3">
        <v>71</v>
      </c>
    </row>
    <row r="386" spans="1:23" ht="11.25" customHeight="1" x14ac:dyDescent="0.25">
      <c r="A386" s="3" t="s">
        <v>21</v>
      </c>
      <c r="B386" s="3" t="s">
        <v>39</v>
      </c>
      <c r="C386" s="3" t="s">
        <v>41</v>
      </c>
      <c r="D386" s="3" t="s">
        <v>38</v>
      </c>
      <c r="E386" s="3" t="s">
        <v>25</v>
      </c>
      <c r="F386" s="3" t="s">
        <v>25</v>
      </c>
      <c r="G386" s="3" t="s">
        <v>25</v>
      </c>
      <c r="H386" s="3" t="s">
        <v>34</v>
      </c>
      <c r="I386" s="6">
        <v>44774</v>
      </c>
      <c r="J386" s="4">
        <v>0</v>
      </c>
      <c r="K386" s="4">
        <v>0</v>
      </c>
      <c r="L386" s="4">
        <v>52.633000000000003</v>
      </c>
      <c r="M386" s="4">
        <v>52.633000000000003</v>
      </c>
      <c r="N386" s="4">
        <v>52.633000000000003</v>
      </c>
      <c r="O386" s="4">
        <v>52.633000000000003</v>
      </c>
      <c r="P386" s="4">
        <v>0</v>
      </c>
      <c r="Q386" s="3" t="s">
        <v>26</v>
      </c>
      <c r="R386" s="3">
        <v>0</v>
      </c>
      <c r="S386" s="3" t="s">
        <v>149</v>
      </c>
      <c r="T386" s="3" t="s">
        <v>363</v>
      </c>
      <c r="U386" s="3">
        <v>0</v>
      </c>
      <c r="V386" s="3">
        <v>11</v>
      </c>
      <c r="W386" s="3">
        <v>71</v>
      </c>
    </row>
    <row r="387" spans="1:23" ht="11.25" customHeight="1" x14ac:dyDescent="0.25">
      <c r="A387" s="3" t="s">
        <v>28</v>
      </c>
      <c r="B387" s="3" t="s">
        <v>39</v>
      </c>
      <c r="C387" s="3" t="s">
        <v>41</v>
      </c>
      <c r="D387" s="3" t="s">
        <v>38</v>
      </c>
      <c r="E387" s="3" t="s">
        <v>25</v>
      </c>
      <c r="F387" s="3" t="s">
        <v>25</v>
      </c>
      <c r="G387" s="3" t="s">
        <v>25</v>
      </c>
      <c r="H387" s="3" t="s">
        <v>34</v>
      </c>
      <c r="I387" s="6">
        <v>44774</v>
      </c>
      <c r="J387" s="4">
        <v>0</v>
      </c>
      <c r="K387" s="4">
        <v>0</v>
      </c>
      <c r="L387" s="4">
        <v>6.1379999999999999</v>
      </c>
      <c r="M387" s="4">
        <v>6.1379999999999999</v>
      </c>
      <c r="N387" s="4">
        <v>6.1379999999999999</v>
      </c>
      <c r="O387" s="4">
        <v>6.1379999999999999</v>
      </c>
      <c r="P387" s="4">
        <v>0</v>
      </c>
      <c r="Q387" s="3" t="s">
        <v>26</v>
      </c>
      <c r="R387" s="3">
        <v>0</v>
      </c>
      <c r="S387" s="3" t="s">
        <v>149</v>
      </c>
      <c r="T387" s="3" t="s">
        <v>363</v>
      </c>
      <c r="U387" s="3">
        <v>0</v>
      </c>
      <c r="V387" s="3">
        <v>11</v>
      </c>
      <c r="W387" s="3">
        <v>71</v>
      </c>
    </row>
    <row r="388" spans="1:23" ht="11.25" customHeight="1" x14ac:dyDescent="0.25">
      <c r="A388" s="3" t="s">
        <v>21</v>
      </c>
      <c r="B388" s="3" t="s">
        <v>39</v>
      </c>
      <c r="C388" s="3" t="s">
        <v>41</v>
      </c>
      <c r="D388" s="3" t="s">
        <v>38</v>
      </c>
      <c r="E388" s="3" t="s">
        <v>25</v>
      </c>
      <c r="F388" s="3" t="s">
        <v>25</v>
      </c>
      <c r="G388" s="3" t="s">
        <v>25</v>
      </c>
      <c r="H388" s="3" t="s">
        <v>34</v>
      </c>
      <c r="I388" s="6">
        <v>44805</v>
      </c>
      <c r="J388" s="4">
        <v>0</v>
      </c>
      <c r="K388" s="4">
        <v>0</v>
      </c>
      <c r="L388" s="4">
        <v>44.701999999999998</v>
      </c>
      <c r="M388" s="4">
        <v>44.701999999999998</v>
      </c>
      <c r="N388" s="4">
        <v>44.701999999999998</v>
      </c>
      <c r="O388" s="4">
        <v>44.701999999999998</v>
      </c>
      <c r="P388" s="4">
        <v>0</v>
      </c>
      <c r="Q388" s="3" t="s">
        <v>26</v>
      </c>
      <c r="R388" s="3">
        <v>0</v>
      </c>
      <c r="S388" s="3" t="s">
        <v>150</v>
      </c>
      <c r="T388" s="3" t="s">
        <v>364</v>
      </c>
      <c r="U388" s="3">
        <v>0</v>
      </c>
      <c r="V388" s="3">
        <v>11</v>
      </c>
      <c r="W388" s="3">
        <v>71</v>
      </c>
    </row>
    <row r="389" spans="1:23" ht="11.25" customHeight="1" x14ac:dyDescent="0.25">
      <c r="A389" s="3" t="s">
        <v>28</v>
      </c>
      <c r="B389" s="3" t="s">
        <v>39</v>
      </c>
      <c r="C389" s="3" t="s">
        <v>41</v>
      </c>
      <c r="D389" s="3" t="s">
        <v>38</v>
      </c>
      <c r="E389" s="3" t="s">
        <v>25</v>
      </c>
      <c r="F389" s="3" t="s">
        <v>25</v>
      </c>
      <c r="G389" s="3" t="s">
        <v>25</v>
      </c>
      <c r="H389" s="3" t="s">
        <v>34</v>
      </c>
      <c r="I389" s="6">
        <v>44805</v>
      </c>
      <c r="J389" s="4">
        <v>0</v>
      </c>
      <c r="K389" s="4">
        <v>0</v>
      </c>
      <c r="L389" s="4">
        <v>6.7969999999999997</v>
      </c>
      <c r="M389" s="4">
        <v>6.7969999999999997</v>
      </c>
      <c r="N389" s="4">
        <v>6.7969999999999997</v>
      </c>
      <c r="O389" s="4">
        <v>6.7969999999999997</v>
      </c>
      <c r="P389" s="4">
        <v>0</v>
      </c>
      <c r="Q389" s="3" t="s">
        <v>26</v>
      </c>
      <c r="R389" s="3">
        <v>0</v>
      </c>
      <c r="S389" s="3" t="s">
        <v>150</v>
      </c>
      <c r="T389" s="3" t="s">
        <v>364</v>
      </c>
      <c r="U389" s="3">
        <v>0</v>
      </c>
      <c r="V389" s="3">
        <v>11</v>
      </c>
      <c r="W389" s="3">
        <v>71</v>
      </c>
    </row>
    <row r="390" spans="1:23" ht="11.25" customHeight="1" x14ac:dyDescent="0.25">
      <c r="A390" s="3" t="s">
        <v>55</v>
      </c>
      <c r="B390" s="3" t="s">
        <v>39</v>
      </c>
      <c r="C390" s="3" t="s">
        <v>41</v>
      </c>
      <c r="D390" s="3" t="s">
        <v>38</v>
      </c>
      <c r="E390" s="3" t="s">
        <v>25</v>
      </c>
      <c r="F390" s="3" t="s">
        <v>25</v>
      </c>
      <c r="G390" s="3" t="s">
        <v>25</v>
      </c>
      <c r="H390" s="3" t="s">
        <v>34</v>
      </c>
      <c r="I390" s="6">
        <v>44835</v>
      </c>
      <c r="J390" s="4">
        <v>0</v>
      </c>
      <c r="K390" s="4">
        <v>0</v>
      </c>
      <c r="L390" s="4">
        <v>44.701999999999998</v>
      </c>
      <c r="M390" s="4">
        <v>44.701999999999998</v>
      </c>
      <c r="N390" s="4">
        <v>44.701999999999998</v>
      </c>
      <c r="O390" s="4">
        <v>44.701999999999998</v>
      </c>
      <c r="P390" s="4">
        <v>0</v>
      </c>
      <c r="Q390" s="3" t="s">
        <v>26</v>
      </c>
      <c r="R390" s="3">
        <v>0</v>
      </c>
      <c r="S390" s="3" t="s">
        <v>151</v>
      </c>
      <c r="T390" s="3" t="s">
        <v>365</v>
      </c>
      <c r="U390" s="3">
        <v>0</v>
      </c>
      <c r="V390" s="3">
        <v>11</v>
      </c>
      <c r="W390" s="3">
        <v>71</v>
      </c>
    </row>
    <row r="391" spans="1:23" ht="11.25" customHeight="1" x14ac:dyDescent="0.25">
      <c r="A391" s="3" t="s">
        <v>55</v>
      </c>
      <c r="B391" s="3" t="s">
        <v>39</v>
      </c>
      <c r="C391" s="3" t="s">
        <v>41</v>
      </c>
      <c r="D391" s="3" t="s">
        <v>38</v>
      </c>
      <c r="E391" s="3" t="s">
        <v>25</v>
      </c>
      <c r="F391" s="3" t="s">
        <v>25</v>
      </c>
      <c r="G391" s="3" t="s">
        <v>25</v>
      </c>
      <c r="H391" s="3" t="s">
        <v>34</v>
      </c>
      <c r="I391" s="6">
        <v>44835</v>
      </c>
      <c r="J391" s="4">
        <v>0</v>
      </c>
      <c r="K391" s="4">
        <v>0</v>
      </c>
      <c r="L391" s="4">
        <v>6.7969999999999997</v>
      </c>
      <c r="M391" s="4">
        <v>6.7969999999999997</v>
      </c>
      <c r="N391" s="4">
        <v>6.7969999999999997</v>
      </c>
      <c r="O391" s="4">
        <v>6.7969999999999997</v>
      </c>
      <c r="P391" s="4">
        <v>0</v>
      </c>
      <c r="Q391" s="3" t="s">
        <v>26</v>
      </c>
      <c r="R391" s="3">
        <v>0</v>
      </c>
      <c r="S391" s="3" t="s">
        <v>151</v>
      </c>
      <c r="T391" s="3" t="s">
        <v>365</v>
      </c>
      <c r="U391" s="3">
        <v>0</v>
      </c>
      <c r="V391" s="3">
        <v>11</v>
      </c>
      <c r="W391" s="3">
        <v>71</v>
      </c>
    </row>
    <row r="392" spans="1:23" ht="11.25" customHeight="1" x14ac:dyDescent="0.25">
      <c r="A392" s="3" t="s">
        <v>21</v>
      </c>
      <c r="B392" s="3" t="s">
        <v>39</v>
      </c>
      <c r="C392" s="3" t="s">
        <v>41</v>
      </c>
      <c r="D392" s="3" t="s">
        <v>45</v>
      </c>
      <c r="E392" s="3" t="s">
        <v>25</v>
      </c>
      <c r="F392" s="3" t="s">
        <v>25</v>
      </c>
      <c r="G392" s="3" t="s">
        <v>25</v>
      </c>
      <c r="H392" s="3" t="s">
        <v>35</v>
      </c>
      <c r="I392" s="6">
        <v>44501</v>
      </c>
      <c r="J392" s="4">
        <v>0</v>
      </c>
      <c r="K392" s="4">
        <v>0</v>
      </c>
      <c r="L392" s="4">
        <v>3918.1260000000002</v>
      </c>
      <c r="M392" s="4">
        <v>3918.1260000000002</v>
      </c>
      <c r="N392" s="4">
        <v>3918.1260000000002</v>
      </c>
      <c r="O392" s="4">
        <v>3918.1260000000002</v>
      </c>
      <c r="P392" s="4">
        <v>0</v>
      </c>
      <c r="Q392" s="3" t="s">
        <v>26</v>
      </c>
      <c r="R392" s="3">
        <v>0</v>
      </c>
      <c r="S392" s="3" t="s">
        <v>116</v>
      </c>
      <c r="T392" s="3" t="s">
        <v>342</v>
      </c>
      <c r="U392" s="3">
        <v>0</v>
      </c>
      <c r="V392" s="3">
        <v>31</v>
      </c>
      <c r="W392" s="3">
        <v>59</v>
      </c>
    </row>
    <row r="393" spans="1:23" ht="11.25" customHeight="1" x14ac:dyDescent="0.25">
      <c r="A393" s="3" t="s">
        <v>27</v>
      </c>
      <c r="B393" s="3" t="s">
        <v>39</v>
      </c>
      <c r="C393" s="3" t="s">
        <v>41</v>
      </c>
      <c r="D393" s="3" t="s">
        <v>45</v>
      </c>
      <c r="E393" s="3" t="s">
        <v>25</v>
      </c>
      <c r="F393" s="3" t="s">
        <v>25</v>
      </c>
      <c r="G393" s="3" t="s">
        <v>25</v>
      </c>
      <c r="H393" s="3" t="s">
        <v>35</v>
      </c>
      <c r="I393" s="6">
        <v>44501</v>
      </c>
      <c r="J393" s="4">
        <v>0</v>
      </c>
      <c r="K393" s="4">
        <v>0</v>
      </c>
      <c r="L393" s="4">
        <v>11.834</v>
      </c>
      <c r="M393" s="4">
        <v>11.834</v>
      </c>
      <c r="N393" s="4">
        <v>11.834</v>
      </c>
      <c r="O393" s="4">
        <v>11.834</v>
      </c>
      <c r="P393" s="4">
        <v>0</v>
      </c>
      <c r="Q393" s="3" t="s">
        <v>26</v>
      </c>
      <c r="R393" s="3">
        <v>0</v>
      </c>
      <c r="S393" s="3" t="s">
        <v>116</v>
      </c>
      <c r="T393" s="3" t="s">
        <v>342</v>
      </c>
      <c r="U393" s="3">
        <v>0</v>
      </c>
      <c r="V393" s="3">
        <v>31</v>
      </c>
      <c r="W393" s="3">
        <v>59</v>
      </c>
    </row>
    <row r="394" spans="1:23" ht="11.25" customHeight="1" x14ac:dyDescent="0.25">
      <c r="A394" s="3" t="s">
        <v>28</v>
      </c>
      <c r="B394" s="3" t="s">
        <v>39</v>
      </c>
      <c r="C394" s="3" t="s">
        <v>41</v>
      </c>
      <c r="D394" s="3" t="s">
        <v>45</v>
      </c>
      <c r="E394" s="3" t="s">
        <v>25</v>
      </c>
      <c r="F394" s="3" t="s">
        <v>25</v>
      </c>
      <c r="G394" s="3" t="s">
        <v>25</v>
      </c>
      <c r="H394" s="3" t="s">
        <v>35</v>
      </c>
      <c r="I394" s="6">
        <v>44501</v>
      </c>
      <c r="J394" s="4">
        <v>0</v>
      </c>
      <c r="K394" s="4">
        <v>0</v>
      </c>
      <c r="L394" s="4">
        <v>1071.796</v>
      </c>
      <c r="M394" s="4">
        <v>1071.796</v>
      </c>
      <c r="N394" s="4">
        <v>1071.796</v>
      </c>
      <c r="O394" s="4">
        <v>1071.796</v>
      </c>
      <c r="P394" s="4">
        <v>0</v>
      </c>
      <c r="Q394" s="3" t="s">
        <v>26</v>
      </c>
      <c r="R394" s="3">
        <v>0</v>
      </c>
      <c r="S394" s="3" t="s">
        <v>116</v>
      </c>
      <c r="T394" s="3" t="s">
        <v>342</v>
      </c>
      <c r="U394" s="3">
        <v>0</v>
      </c>
      <c r="V394" s="3">
        <v>31</v>
      </c>
      <c r="W394" s="3">
        <v>59</v>
      </c>
    </row>
    <row r="395" spans="1:23" ht="11.25" customHeight="1" x14ac:dyDescent="0.25">
      <c r="A395" s="3" t="s">
        <v>21</v>
      </c>
      <c r="B395" s="3" t="s">
        <v>39</v>
      </c>
      <c r="C395" s="3" t="s">
        <v>41</v>
      </c>
      <c r="D395" s="3" t="s">
        <v>45</v>
      </c>
      <c r="E395" s="3" t="s">
        <v>25</v>
      </c>
      <c r="F395" s="3" t="s">
        <v>25</v>
      </c>
      <c r="G395" s="3" t="s">
        <v>25</v>
      </c>
      <c r="H395" s="3" t="s">
        <v>35</v>
      </c>
      <c r="I395" s="6">
        <v>44531</v>
      </c>
      <c r="J395" s="4">
        <v>0</v>
      </c>
      <c r="K395" s="4">
        <v>0</v>
      </c>
      <c r="L395" s="4">
        <v>3526.7840000000001</v>
      </c>
      <c r="M395" s="4">
        <v>3526.7840000000001</v>
      </c>
      <c r="N395" s="4">
        <v>3526.7840000000001</v>
      </c>
      <c r="O395" s="4">
        <v>3526.7840000000001</v>
      </c>
      <c r="P395" s="4">
        <v>0</v>
      </c>
      <c r="Q395" s="3" t="s">
        <v>26</v>
      </c>
      <c r="R395" s="3">
        <v>0</v>
      </c>
      <c r="S395" s="3" t="s">
        <v>117</v>
      </c>
      <c r="T395" s="3" t="s">
        <v>343</v>
      </c>
      <c r="U395" s="3">
        <v>0</v>
      </c>
      <c r="V395" s="3">
        <v>31</v>
      </c>
      <c r="W395" s="3">
        <v>59</v>
      </c>
    </row>
    <row r="396" spans="1:23" ht="11.25" customHeight="1" x14ac:dyDescent="0.25">
      <c r="A396" s="3" t="s">
        <v>28</v>
      </c>
      <c r="B396" s="3" t="s">
        <v>39</v>
      </c>
      <c r="C396" s="3" t="s">
        <v>41</v>
      </c>
      <c r="D396" s="3" t="s">
        <v>45</v>
      </c>
      <c r="E396" s="3" t="s">
        <v>25</v>
      </c>
      <c r="F396" s="3" t="s">
        <v>25</v>
      </c>
      <c r="G396" s="3" t="s">
        <v>25</v>
      </c>
      <c r="H396" s="3" t="s">
        <v>35</v>
      </c>
      <c r="I396" s="6">
        <v>44531</v>
      </c>
      <c r="J396" s="4">
        <v>0</v>
      </c>
      <c r="K396" s="4">
        <v>0</v>
      </c>
      <c r="L396" s="4">
        <v>871.15099999999995</v>
      </c>
      <c r="M396" s="4">
        <v>871.15099999999995</v>
      </c>
      <c r="N396" s="4">
        <v>871.15099999999995</v>
      </c>
      <c r="O396" s="4">
        <v>871.15099999999995</v>
      </c>
      <c r="P396" s="4">
        <v>0</v>
      </c>
      <c r="Q396" s="3" t="s">
        <v>26</v>
      </c>
      <c r="R396" s="3">
        <v>0</v>
      </c>
      <c r="S396" s="3" t="s">
        <v>117</v>
      </c>
      <c r="T396" s="3" t="s">
        <v>343</v>
      </c>
      <c r="U396" s="3">
        <v>0</v>
      </c>
      <c r="V396" s="3">
        <v>31</v>
      </c>
      <c r="W396" s="3">
        <v>59</v>
      </c>
    </row>
    <row r="397" spans="1:23" ht="11.25" customHeight="1" x14ac:dyDescent="0.25">
      <c r="A397" s="3" t="s">
        <v>28</v>
      </c>
      <c r="B397" s="3" t="s">
        <v>39</v>
      </c>
      <c r="C397" s="3" t="s">
        <v>41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35</v>
      </c>
      <c r="I397" s="6">
        <v>44531</v>
      </c>
      <c r="J397" s="4">
        <v>0</v>
      </c>
      <c r="K397" s="4">
        <v>0</v>
      </c>
      <c r="L397" s="4">
        <v>1.5</v>
      </c>
      <c r="M397" s="4">
        <v>1.5</v>
      </c>
      <c r="N397" s="4">
        <v>1.5</v>
      </c>
      <c r="O397" s="4">
        <v>1.5</v>
      </c>
      <c r="P397" s="4">
        <v>0</v>
      </c>
      <c r="Q397" s="3" t="s">
        <v>26</v>
      </c>
      <c r="R397" s="3">
        <v>0</v>
      </c>
      <c r="S397" s="3" t="s">
        <v>117</v>
      </c>
      <c r="T397" s="3" t="s">
        <v>343</v>
      </c>
      <c r="U397" s="3">
        <v>0</v>
      </c>
      <c r="V397" s="3">
        <v>31</v>
      </c>
      <c r="W397" s="3">
        <v>59</v>
      </c>
    </row>
    <row r="398" spans="1:23" ht="11.25" customHeight="1" x14ac:dyDescent="0.25">
      <c r="A398" s="3" t="s">
        <v>21</v>
      </c>
      <c r="B398" s="3" t="s">
        <v>39</v>
      </c>
      <c r="C398" s="3" t="s">
        <v>41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35</v>
      </c>
      <c r="I398" s="6">
        <v>44562</v>
      </c>
      <c r="J398" s="4">
        <v>0</v>
      </c>
      <c r="K398" s="4">
        <v>0</v>
      </c>
      <c r="L398" s="4">
        <v>3321.1170000000002</v>
      </c>
      <c r="M398" s="4">
        <v>3321.1170000000002</v>
      </c>
      <c r="N398" s="4">
        <v>3321.1170000000002</v>
      </c>
      <c r="O398" s="4">
        <v>3321.1170000000002</v>
      </c>
      <c r="P398" s="4">
        <v>0</v>
      </c>
      <c r="Q398" s="3" t="s">
        <v>26</v>
      </c>
      <c r="R398" s="3">
        <v>0</v>
      </c>
      <c r="S398" s="3" t="s">
        <v>118</v>
      </c>
      <c r="T398" s="3" t="s">
        <v>344</v>
      </c>
      <c r="U398" s="3">
        <v>0</v>
      </c>
      <c r="V398" s="3">
        <v>31</v>
      </c>
      <c r="W398" s="3">
        <v>59</v>
      </c>
    </row>
    <row r="399" spans="1:23" ht="11.25" customHeight="1" x14ac:dyDescent="0.25">
      <c r="A399" s="3" t="s">
        <v>28</v>
      </c>
      <c r="B399" s="3" t="s">
        <v>39</v>
      </c>
      <c r="C399" s="3" t="s">
        <v>41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44562</v>
      </c>
      <c r="J399" s="4">
        <v>0</v>
      </c>
      <c r="K399" s="4">
        <v>0</v>
      </c>
      <c r="L399" s="4">
        <v>606.03</v>
      </c>
      <c r="M399" s="4">
        <v>606.03</v>
      </c>
      <c r="N399" s="4">
        <v>606.03</v>
      </c>
      <c r="O399" s="4">
        <v>606.03</v>
      </c>
      <c r="P399" s="4">
        <v>0</v>
      </c>
      <c r="Q399" s="3" t="s">
        <v>26</v>
      </c>
      <c r="R399" s="3">
        <v>0</v>
      </c>
      <c r="S399" s="3" t="s">
        <v>118</v>
      </c>
      <c r="T399" s="3" t="s">
        <v>344</v>
      </c>
      <c r="U399" s="3">
        <v>0</v>
      </c>
      <c r="V399" s="3">
        <v>31</v>
      </c>
      <c r="W399" s="3">
        <v>59</v>
      </c>
    </row>
    <row r="400" spans="1:23" ht="11.25" customHeight="1" x14ac:dyDescent="0.25">
      <c r="A400" s="3" t="s">
        <v>21</v>
      </c>
      <c r="B400" s="3" t="s">
        <v>39</v>
      </c>
      <c r="C400" s="3" t="s">
        <v>41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44593</v>
      </c>
      <c r="J400" s="4">
        <v>0</v>
      </c>
      <c r="K400" s="4">
        <v>0</v>
      </c>
      <c r="L400" s="4">
        <v>3674.596</v>
      </c>
      <c r="M400" s="4">
        <v>3674.596</v>
      </c>
      <c r="N400" s="4">
        <v>3674.596</v>
      </c>
      <c r="O400" s="4">
        <v>3674.596</v>
      </c>
      <c r="P400" s="4">
        <v>0</v>
      </c>
      <c r="Q400" s="3" t="s">
        <v>26</v>
      </c>
      <c r="R400" s="3">
        <v>0</v>
      </c>
      <c r="S400" s="3" t="s">
        <v>119</v>
      </c>
      <c r="T400" s="3" t="s">
        <v>345</v>
      </c>
      <c r="U400" s="3">
        <v>0</v>
      </c>
      <c r="V400" s="3">
        <v>31</v>
      </c>
      <c r="W400" s="3">
        <v>59</v>
      </c>
    </row>
    <row r="401" spans="1:23" ht="11.25" customHeight="1" x14ac:dyDescent="0.25">
      <c r="A401" s="3" t="s">
        <v>28</v>
      </c>
      <c r="B401" s="3" t="s">
        <v>39</v>
      </c>
      <c r="C401" s="3" t="s">
        <v>41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44593</v>
      </c>
      <c r="J401" s="4">
        <v>0</v>
      </c>
      <c r="K401" s="4">
        <v>0</v>
      </c>
      <c r="L401" s="4">
        <v>979.90700000000004</v>
      </c>
      <c r="M401" s="4">
        <v>979.90700000000004</v>
      </c>
      <c r="N401" s="4">
        <v>979.90700000000004</v>
      </c>
      <c r="O401" s="4">
        <v>979.90700000000004</v>
      </c>
      <c r="P401" s="4">
        <v>0</v>
      </c>
      <c r="Q401" s="3" t="s">
        <v>26</v>
      </c>
      <c r="R401" s="3">
        <v>0</v>
      </c>
      <c r="S401" s="3" t="s">
        <v>119</v>
      </c>
      <c r="T401" s="3" t="s">
        <v>345</v>
      </c>
      <c r="U401" s="3">
        <v>0</v>
      </c>
      <c r="V401" s="3">
        <v>31</v>
      </c>
      <c r="W401" s="3">
        <v>59</v>
      </c>
    </row>
    <row r="402" spans="1:23" ht="11.25" customHeight="1" x14ac:dyDescent="0.25">
      <c r="A402" s="3" t="s">
        <v>21</v>
      </c>
      <c r="B402" s="3" t="s">
        <v>39</v>
      </c>
      <c r="C402" s="3" t="s">
        <v>41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44621</v>
      </c>
      <c r="J402" s="4">
        <v>0</v>
      </c>
      <c r="K402" s="4">
        <v>0</v>
      </c>
      <c r="L402" s="4">
        <v>4011.0549999999998</v>
      </c>
      <c r="M402" s="4">
        <v>4011.0549999999998</v>
      </c>
      <c r="N402" s="4">
        <v>4011.0549999999998</v>
      </c>
      <c r="O402" s="4">
        <v>4011.0549999999998</v>
      </c>
      <c r="P402" s="4">
        <v>0</v>
      </c>
      <c r="Q402" s="3" t="s">
        <v>26</v>
      </c>
      <c r="R402" s="3">
        <v>0</v>
      </c>
      <c r="S402" s="3" t="s">
        <v>120</v>
      </c>
      <c r="T402" s="3" t="s">
        <v>346</v>
      </c>
      <c r="U402" s="3">
        <v>0</v>
      </c>
      <c r="V402" s="3">
        <v>31</v>
      </c>
      <c r="W402" s="3">
        <v>59</v>
      </c>
    </row>
    <row r="403" spans="1:23" ht="11.25" customHeight="1" x14ac:dyDescent="0.25">
      <c r="A403" s="3" t="s">
        <v>28</v>
      </c>
      <c r="B403" s="3" t="s">
        <v>39</v>
      </c>
      <c r="C403" s="3" t="s">
        <v>41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44621</v>
      </c>
      <c r="J403" s="4">
        <v>0</v>
      </c>
      <c r="K403" s="4">
        <v>0</v>
      </c>
      <c r="L403" s="4">
        <v>1125.0540000000001</v>
      </c>
      <c r="M403" s="4">
        <v>1125.0540000000001</v>
      </c>
      <c r="N403" s="4">
        <v>1125.0540000000001</v>
      </c>
      <c r="O403" s="4">
        <v>1125.0540000000001</v>
      </c>
      <c r="P403" s="4">
        <v>0</v>
      </c>
      <c r="Q403" s="3" t="s">
        <v>26</v>
      </c>
      <c r="R403" s="3">
        <v>0</v>
      </c>
      <c r="S403" s="3" t="s">
        <v>120</v>
      </c>
      <c r="T403" s="3" t="s">
        <v>346</v>
      </c>
      <c r="U403" s="3">
        <v>0</v>
      </c>
      <c r="V403" s="3">
        <v>31</v>
      </c>
      <c r="W403" s="3">
        <v>59</v>
      </c>
    </row>
    <row r="404" spans="1:23" ht="11.25" customHeight="1" x14ac:dyDescent="0.25">
      <c r="A404" s="3" t="s">
        <v>21</v>
      </c>
      <c r="B404" s="3" t="s">
        <v>39</v>
      </c>
      <c r="C404" s="3" t="s">
        <v>41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44652</v>
      </c>
      <c r="J404" s="4">
        <v>0</v>
      </c>
      <c r="K404" s="4">
        <v>0</v>
      </c>
      <c r="L404" s="4">
        <v>4011.0549999999998</v>
      </c>
      <c r="M404" s="4">
        <v>4011.0549999999998</v>
      </c>
      <c r="N404" s="4">
        <v>4011.0549999999998</v>
      </c>
      <c r="O404" s="4">
        <v>4011.0549999999998</v>
      </c>
      <c r="P404" s="4">
        <v>0</v>
      </c>
      <c r="Q404" s="3" t="s">
        <v>26</v>
      </c>
      <c r="R404" s="3">
        <v>0</v>
      </c>
      <c r="S404" s="3" t="s">
        <v>121</v>
      </c>
      <c r="T404" s="3" t="s">
        <v>347</v>
      </c>
      <c r="U404" s="3">
        <v>0</v>
      </c>
      <c r="V404" s="3">
        <v>31</v>
      </c>
      <c r="W404" s="3">
        <v>59</v>
      </c>
    </row>
    <row r="405" spans="1:23" ht="11.25" customHeight="1" x14ac:dyDescent="0.25">
      <c r="A405" s="3" t="s">
        <v>28</v>
      </c>
      <c r="B405" s="3" t="s">
        <v>39</v>
      </c>
      <c r="C405" s="3" t="s">
        <v>41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44652</v>
      </c>
      <c r="J405" s="4">
        <v>0</v>
      </c>
      <c r="K405" s="4">
        <v>0</v>
      </c>
      <c r="L405" s="4">
        <v>1125.0540000000001</v>
      </c>
      <c r="M405" s="4">
        <v>1125.0540000000001</v>
      </c>
      <c r="N405" s="4">
        <v>1125.0540000000001</v>
      </c>
      <c r="O405" s="4">
        <v>1125.0540000000001</v>
      </c>
      <c r="P405" s="4">
        <v>0</v>
      </c>
      <c r="Q405" s="3" t="s">
        <v>26</v>
      </c>
      <c r="R405" s="3">
        <v>0</v>
      </c>
      <c r="S405" s="3" t="s">
        <v>121</v>
      </c>
      <c r="T405" s="3" t="s">
        <v>347</v>
      </c>
      <c r="U405" s="3">
        <v>0</v>
      </c>
      <c r="V405" s="3">
        <v>31</v>
      </c>
      <c r="W405" s="3">
        <v>59</v>
      </c>
    </row>
    <row r="406" spans="1:23" ht="11.25" customHeight="1" x14ac:dyDescent="0.25">
      <c r="A406" s="3" t="s">
        <v>21</v>
      </c>
      <c r="B406" s="3" t="s">
        <v>39</v>
      </c>
      <c r="C406" s="3" t="s">
        <v>41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44682</v>
      </c>
      <c r="J406" s="4">
        <v>0</v>
      </c>
      <c r="K406" s="4">
        <v>0</v>
      </c>
      <c r="L406" s="4">
        <v>3819.056</v>
      </c>
      <c r="M406" s="4">
        <v>3819.056</v>
      </c>
      <c r="N406" s="4">
        <v>3819.056</v>
      </c>
      <c r="O406" s="4">
        <v>3819.056</v>
      </c>
      <c r="P406" s="4">
        <v>0</v>
      </c>
      <c r="Q406" s="3" t="s">
        <v>26</v>
      </c>
      <c r="R406" s="3">
        <v>0</v>
      </c>
      <c r="S406" s="3" t="s">
        <v>122</v>
      </c>
      <c r="T406" s="3" t="s">
        <v>348</v>
      </c>
      <c r="U406" s="3">
        <v>0</v>
      </c>
      <c r="V406" s="3">
        <v>31</v>
      </c>
      <c r="W406" s="3">
        <v>59</v>
      </c>
    </row>
    <row r="407" spans="1:23" ht="11.25" customHeight="1" x14ac:dyDescent="0.25">
      <c r="A407" s="3" t="s">
        <v>27</v>
      </c>
      <c r="B407" s="3" t="s">
        <v>39</v>
      </c>
      <c r="C407" s="3" t="s">
        <v>41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44682</v>
      </c>
      <c r="J407" s="4">
        <v>0</v>
      </c>
      <c r="K407" s="4">
        <v>0</v>
      </c>
      <c r="L407" s="4">
        <v>70.224000000000004</v>
      </c>
      <c r="M407" s="4">
        <v>70.224000000000004</v>
      </c>
      <c r="N407" s="4">
        <v>70.224000000000004</v>
      </c>
      <c r="O407" s="4">
        <v>70.224000000000004</v>
      </c>
      <c r="P407" s="4">
        <v>0</v>
      </c>
      <c r="Q407" s="3" t="s">
        <v>26</v>
      </c>
      <c r="R407" s="3">
        <v>0</v>
      </c>
      <c r="S407" s="3" t="s">
        <v>122</v>
      </c>
      <c r="T407" s="3" t="s">
        <v>348</v>
      </c>
      <c r="U407" s="3">
        <v>0</v>
      </c>
      <c r="V407" s="3">
        <v>31</v>
      </c>
      <c r="W407" s="3">
        <v>59</v>
      </c>
    </row>
    <row r="408" spans="1:23" ht="11.25" customHeight="1" x14ac:dyDescent="0.25">
      <c r="A408" s="3" t="s">
        <v>28</v>
      </c>
      <c r="B408" s="3" t="s">
        <v>39</v>
      </c>
      <c r="C408" s="3" t="s">
        <v>41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44682</v>
      </c>
      <c r="J408" s="4">
        <v>0</v>
      </c>
      <c r="K408" s="4">
        <v>0</v>
      </c>
      <c r="L408" s="4">
        <v>4850.3519999999999</v>
      </c>
      <c r="M408" s="4">
        <v>4850.3519999999999</v>
      </c>
      <c r="N408" s="4">
        <v>4850.3519999999999</v>
      </c>
      <c r="O408" s="4">
        <v>4850.3519999999999</v>
      </c>
      <c r="P408" s="4">
        <v>0</v>
      </c>
      <c r="Q408" s="3" t="s">
        <v>26</v>
      </c>
      <c r="R408" s="3">
        <v>0</v>
      </c>
      <c r="S408" s="3" t="s">
        <v>122</v>
      </c>
      <c r="T408" s="3" t="s">
        <v>348</v>
      </c>
      <c r="U408" s="3">
        <v>0</v>
      </c>
      <c r="V408" s="3">
        <v>31</v>
      </c>
      <c r="W408" s="3">
        <v>59</v>
      </c>
    </row>
    <row r="409" spans="1:23" ht="11.25" customHeight="1" x14ac:dyDescent="0.25">
      <c r="A409" s="3" t="s">
        <v>21</v>
      </c>
      <c r="B409" s="3" t="s">
        <v>39</v>
      </c>
      <c r="C409" s="3" t="s">
        <v>41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44713</v>
      </c>
      <c r="J409" s="4">
        <v>0</v>
      </c>
      <c r="K409" s="4">
        <v>0</v>
      </c>
      <c r="L409" s="4">
        <v>3590.933</v>
      </c>
      <c r="M409" s="4">
        <v>3590.933</v>
      </c>
      <c r="N409" s="4">
        <v>3590.933</v>
      </c>
      <c r="O409" s="4">
        <v>3590.933</v>
      </c>
      <c r="P409" s="4">
        <v>0</v>
      </c>
      <c r="Q409" s="3" t="s">
        <v>26</v>
      </c>
      <c r="R409" s="3">
        <v>0</v>
      </c>
      <c r="S409" s="3" t="s">
        <v>123</v>
      </c>
      <c r="T409" s="3" t="s">
        <v>349</v>
      </c>
      <c r="U409" s="3">
        <v>0</v>
      </c>
      <c r="V409" s="3">
        <v>31</v>
      </c>
      <c r="W409" s="3">
        <v>59</v>
      </c>
    </row>
    <row r="410" spans="1:23" ht="11.25" customHeight="1" x14ac:dyDescent="0.25">
      <c r="A410" s="3" t="s">
        <v>27</v>
      </c>
      <c r="B410" s="3" t="s">
        <v>39</v>
      </c>
      <c r="C410" s="3" t="s">
        <v>41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44713</v>
      </c>
      <c r="J410" s="4">
        <v>0</v>
      </c>
      <c r="K410" s="4">
        <v>0</v>
      </c>
      <c r="L410" s="4">
        <v>75.203000000000003</v>
      </c>
      <c r="M410" s="4">
        <v>75.203000000000003</v>
      </c>
      <c r="N410" s="4">
        <v>75.203000000000003</v>
      </c>
      <c r="O410" s="4">
        <v>75.203000000000003</v>
      </c>
      <c r="P410" s="4">
        <v>0</v>
      </c>
      <c r="Q410" s="3" t="s">
        <v>26</v>
      </c>
      <c r="R410" s="3">
        <v>0</v>
      </c>
      <c r="S410" s="3" t="s">
        <v>123</v>
      </c>
      <c r="T410" s="3" t="s">
        <v>349</v>
      </c>
      <c r="U410" s="3">
        <v>0</v>
      </c>
      <c r="V410" s="3">
        <v>31</v>
      </c>
      <c r="W410" s="3">
        <v>59</v>
      </c>
    </row>
    <row r="411" spans="1:23" ht="11.25" customHeight="1" x14ac:dyDescent="0.25">
      <c r="A411" s="3" t="s">
        <v>28</v>
      </c>
      <c r="B411" s="3" t="s">
        <v>39</v>
      </c>
      <c r="C411" s="3" t="s">
        <v>41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44713</v>
      </c>
      <c r="J411" s="4">
        <v>0</v>
      </c>
      <c r="K411" s="4">
        <v>0</v>
      </c>
      <c r="L411" s="4">
        <v>1112.376</v>
      </c>
      <c r="M411" s="4">
        <v>1112.376</v>
      </c>
      <c r="N411" s="4">
        <v>1112.376</v>
      </c>
      <c r="O411" s="4">
        <v>1112.376</v>
      </c>
      <c r="P411" s="4">
        <v>0</v>
      </c>
      <c r="Q411" s="3" t="s">
        <v>26</v>
      </c>
      <c r="R411" s="3">
        <v>0</v>
      </c>
      <c r="S411" s="3" t="s">
        <v>123</v>
      </c>
      <c r="T411" s="3" t="s">
        <v>349</v>
      </c>
      <c r="U411" s="3">
        <v>0</v>
      </c>
      <c r="V411" s="3">
        <v>31</v>
      </c>
      <c r="W411" s="3">
        <v>59</v>
      </c>
    </row>
    <row r="412" spans="1:23" ht="11.25" customHeight="1" x14ac:dyDescent="0.25">
      <c r="A412" s="3" t="s">
        <v>21</v>
      </c>
      <c r="B412" s="3" t="s">
        <v>39</v>
      </c>
      <c r="C412" s="3" t="s">
        <v>41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44743</v>
      </c>
      <c r="J412" s="4">
        <v>0</v>
      </c>
      <c r="K412" s="4">
        <v>0</v>
      </c>
      <c r="L412" s="4">
        <v>3579.8510000000001</v>
      </c>
      <c r="M412" s="4">
        <v>3579.8510000000001</v>
      </c>
      <c r="N412" s="4">
        <v>3579.8510000000001</v>
      </c>
      <c r="O412" s="4">
        <v>3579.8510000000001</v>
      </c>
      <c r="P412" s="4">
        <v>0</v>
      </c>
      <c r="Q412" s="3" t="s">
        <v>26</v>
      </c>
      <c r="R412" s="3">
        <v>0</v>
      </c>
      <c r="S412" s="3" t="s">
        <v>124</v>
      </c>
      <c r="T412" s="3" t="s">
        <v>350</v>
      </c>
      <c r="U412" s="3">
        <v>0</v>
      </c>
      <c r="V412" s="3">
        <v>31</v>
      </c>
      <c r="W412" s="3">
        <v>59</v>
      </c>
    </row>
    <row r="413" spans="1:23" ht="11.25" customHeight="1" x14ac:dyDescent="0.25">
      <c r="A413" s="3" t="s">
        <v>27</v>
      </c>
      <c r="B413" s="3" t="s">
        <v>39</v>
      </c>
      <c r="C413" s="3" t="s">
        <v>41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44743</v>
      </c>
      <c r="J413" s="4">
        <v>0</v>
      </c>
      <c r="K413" s="4">
        <v>0</v>
      </c>
      <c r="L413" s="4">
        <v>5.9569999999999999</v>
      </c>
      <c r="M413" s="4">
        <v>5.9569999999999999</v>
      </c>
      <c r="N413" s="4">
        <v>5.9569999999999999</v>
      </c>
      <c r="O413" s="4">
        <v>5.9569999999999999</v>
      </c>
      <c r="P413" s="4">
        <v>0</v>
      </c>
      <c r="Q413" s="3" t="s">
        <v>26</v>
      </c>
      <c r="R413" s="3">
        <v>0</v>
      </c>
      <c r="S413" s="3" t="s">
        <v>124</v>
      </c>
      <c r="T413" s="3" t="s">
        <v>350</v>
      </c>
      <c r="U413" s="3">
        <v>0</v>
      </c>
      <c r="V413" s="3">
        <v>31</v>
      </c>
      <c r="W413" s="3">
        <v>59</v>
      </c>
    </row>
    <row r="414" spans="1:23" ht="11.25" customHeight="1" x14ac:dyDescent="0.25">
      <c r="A414" s="3" t="s">
        <v>28</v>
      </c>
      <c r="B414" s="3" t="s">
        <v>39</v>
      </c>
      <c r="C414" s="3" t="s">
        <v>41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35</v>
      </c>
      <c r="I414" s="6">
        <v>44743</v>
      </c>
      <c r="J414" s="4">
        <v>0</v>
      </c>
      <c r="K414" s="4">
        <v>0</v>
      </c>
      <c r="L414" s="4">
        <v>1041.6959999999999</v>
      </c>
      <c r="M414" s="4">
        <v>1041.6959999999999</v>
      </c>
      <c r="N414" s="4">
        <v>1041.6959999999999</v>
      </c>
      <c r="O414" s="4">
        <v>1041.6959999999999</v>
      </c>
      <c r="P414" s="4">
        <v>0</v>
      </c>
      <c r="Q414" s="3" t="s">
        <v>26</v>
      </c>
      <c r="R414" s="3">
        <v>0</v>
      </c>
      <c r="S414" s="3" t="s">
        <v>124</v>
      </c>
      <c r="T414" s="3" t="s">
        <v>350</v>
      </c>
      <c r="U414" s="3">
        <v>0</v>
      </c>
      <c r="V414" s="3">
        <v>31</v>
      </c>
      <c r="W414" s="3">
        <v>59</v>
      </c>
    </row>
    <row r="415" spans="1:23" ht="11.25" customHeight="1" x14ac:dyDescent="0.25">
      <c r="A415" s="3" t="s">
        <v>21</v>
      </c>
      <c r="B415" s="3" t="s">
        <v>39</v>
      </c>
      <c r="C415" s="3" t="s">
        <v>41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35</v>
      </c>
      <c r="I415" s="6">
        <v>44774</v>
      </c>
      <c r="J415" s="4">
        <v>0</v>
      </c>
      <c r="K415" s="4">
        <v>0</v>
      </c>
      <c r="L415" s="4">
        <v>4434.1549999999997</v>
      </c>
      <c r="M415" s="4">
        <v>4434.1549999999997</v>
      </c>
      <c r="N415" s="4">
        <v>4434.1549999999997</v>
      </c>
      <c r="O415" s="4">
        <v>4434.1549999999997</v>
      </c>
      <c r="P415" s="4">
        <v>0</v>
      </c>
      <c r="Q415" s="3" t="s">
        <v>26</v>
      </c>
      <c r="R415" s="3">
        <v>0</v>
      </c>
      <c r="S415" s="3" t="s">
        <v>125</v>
      </c>
      <c r="T415" s="3" t="s">
        <v>351</v>
      </c>
      <c r="U415" s="3">
        <v>0</v>
      </c>
      <c r="V415" s="3">
        <v>31</v>
      </c>
      <c r="W415" s="3">
        <v>59</v>
      </c>
    </row>
    <row r="416" spans="1:23" ht="11.25" customHeight="1" x14ac:dyDescent="0.25">
      <c r="A416" s="3" t="s">
        <v>28</v>
      </c>
      <c r="B416" s="3" t="s">
        <v>39</v>
      </c>
      <c r="C416" s="3" t="s">
        <v>41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35</v>
      </c>
      <c r="I416" s="6">
        <v>44774</v>
      </c>
      <c r="J416" s="4">
        <v>0</v>
      </c>
      <c r="K416" s="4">
        <v>0</v>
      </c>
      <c r="L416" s="4">
        <v>1462.7239999999999</v>
      </c>
      <c r="M416" s="4">
        <v>1462.7239999999999</v>
      </c>
      <c r="N416" s="4">
        <v>1462.7239999999999</v>
      </c>
      <c r="O416" s="4">
        <v>1462.7239999999999</v>
      </c>
      <c r="P416" s="4">
        <v>0</v>
      </c>
      <c r="Q416" s="3" t="s">
        <v>26</v>
      </c>
      <c r="R416" s="3">
        <v>0</v>
      </c>
      <c r="S416" s="3" t="s">
        <v>125</v>
      </c>
      <c r="T416" s="3" t="s">
        <v>351</v>
      </c>
      <c r="U416" s="3">
        <v>0</v>
      </c>
      <c r="V416" s="3">
        <v>31</v>
      </c>
      <c r="W416" s="3">
        <v>59</v>
      </c>
    </row>
    <row r="417" spans="1:23" ht="11.25" customHeight="1" x14ac:dyDescent="0.25">
      <c r="A417" s="3" t="s">
        <v>21</v>
      </c>
      <c r="B417" s="3" t="s">
        <v>39</v>
      </c>
      <c r="C417" s="3" t="s">
        <v>41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35</v>
      </c>
      <c r="I417" s="6">
        <v>44805</v>
      </c>
      <c r="J417" s="4">
        <v>0</v>
      </c>
      <c r="K417" s="4">
        <v>0</v>
      </c>
      <c r="L417" s="4">
        <v>4563.7929999999997</v>
      </c>
      <c r="M417" s="4">
        <v>4563.7929999999997</v>
      </c>
      <c r="N417" s="4">
        <v>4563.7929999999997</v>
      </c>
      <c r="O417" s="4">
        <v>4563.7929999999997</v>
      </c>
      <c r="P417" s="4">
        <v>0</v>
      </c>
      <c r="Q417" s="3" t="s">
        <v>26</v>
      </c>
      <c r="R417" s="3">
        <v>0</v>
      </c>
      <c r="S417" s="3" t="s">
        <v>126</v>
      </c>
      <c r="T417" s="3" t="s">
        <v>352</v>
      </c>
      <c r="U417" s="3">
        <v>0</v>
      </c>
      <c r="V417" s="3">
        <v>31</v>
      </c>
      <c r="W417" s="3">
        <v>59</v>
      </c>
    </row>
    <row r="418" spans="1:23" ht="11.25" customHeight="1" x14ac:dyDescent="0.25">
      <c r="A418" s="3" t="s">
        <v>27</v>
      </c>
      <c r="B418" s="3" t="s">
        <v>39</v>
      </c>
      <c r="C418" s="3" t="s">
        <v>41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35</v>
      </c>
      <c r="I418" s="6">
        <v>44805</v>
      </c>
      <c r="J418" s="4">
        <v>0</v>
      </c>
      <c r="K418" s="4">
        <v>0</v>
      </c>
      <c r="L418" s="4">
        <v>13.063000000000001</v>
      </c>
      <c r="M418" s="4">
        <v>13.063000000000001</v>
      </c>
      <c r="N418" s="4">
        <v>13.063000000000001</v>
      </c>
      <c r="O418" s="4">
        <v>13.063000000000001</v>
      </c>
      <c r="P418" s="4">
        <v>0</v>
      </c>
      <c r="Q418" s="3" t="s">
        <v>26</v>
      </c>
      <c r="R418" s="3">
        <v>0</v>
      </c>
      <c r="S418" s="3" t="s">
        <v>126</v>
      </c>
      <c r="T418" s="3" t="s">
        <v>352</v>
      </c>
      <c r="U418" s="3">
        <v>0</v>
      </c>
      <c r="V418" s="3">
        <v>31</v>
      </c>
      <c r="W418" s="3">
        <v>59</v>
      </c>
    </row>
    <row r="419" spans="1:23" ht="11.25" customHeight="1" x14ac:dyDescent="0.25">
      <c r="A419" s="3" t="s">
        <v>28</v>
      </c>
      <c r="B419" s="3" t="s">
        <v>39</v>
      </c>
      <c r="C419" s="3" t="s">
        <v>41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35</v>
      </c>
      <c r="I419" s="6">
        <v>44805</v>
      </c>
      <c r="J419" s="4">
        <v>0</v>
      </c>
      <c r="K419" s="4">
        <v>0</v>
      </c>
      <c r="L419" s="4">
        <v>1396.3050000000001</v>
      </c>
      <c r="M419" s="4">
        <v>1396.3050000000001</v>
      </c>
      <c r="N419" s="4">
        <v>1396.3050000000001</v>
      </c>
      <c r="O419" s="4">
        <v>1396.3050000000001</v>
      </c>
      <c r="P419" s="4">
        <v>0</v>
      </c>
      <c r="Q419" s="3" t="s">
        <v>26</v>
      </c>
      <c r="R419" s="3">
        <v>0</v>
      </c>
      <c r="S419" s="3" t="s">
        <v>126</v>
      </c>
      <c r="T419" s="3" t="s">
        <v>352</v>
      </c>
      <c r="U419" s="3">
        <v>0</v>
      </c>
      <c r="V419" s="3">
        <v>31</v>
      </c>
      <c r="W419" s="3">
        <v>59</v>
      </c>
    </row>
    <row r="420" spans="1:23" ht="11.25" customHeight="1" x14ac:dyDescent="0.25">
      <c r="A420" s="3" t="s">
        <v>55</v>
      </c>
      <c r="B420" s="3" t="s">
        <v>39</v>
      </c>
      <c r="C420" s="3" t="s">
        <v>41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35</v>
      </c>
      <c r="I420" s="6">
        <v>44835</v>
      </c>
      <c r="J420" s="4">
        <v>0</v>
      </c>
      <c r="K420" s="4">
        <v>0</v>
      </c>
      <c r="L420" s="4">
        <v>4563.7929999999997</v>
      </c>
      <c r="M420" s="4">
        <v>4563.7929999999997</v>
      </c>
      <c r="N420" s="4">
        <v>4563.7929999999997</v>
      </c>
      <c r="O420" s="4">
        <v>4563.7929999999997</v>
      </c>
      <c r="P420" s="4">
        <v>0</v>
      </c>
      <c r="Q420" s="3" t="s">
        <v>26</v>
      </c>
      <c r="R420" s="3">
        <v>0</v>
      </c>
      <c r="S420" s="3" t="s">
        <v>127</v>
      </c>
      <c r="T420" s="3" t="s">
        <v>353</v>
      </c>
      <c r="U420" s="3">
        <v>0</v>
      </c>
      <c r="V420" s="3">
        <v>31</v>
      </c>
      <c r="W420" s="3">
        <v>59</v>
      </c>
    </row>
    <row r="421" spans="1:23" ht="11.25" customHeight="1" x14ac:dyDescent="0.25">
      <c r="A421" s="3" t="s">
        <v>55</v>
      </c>
      <c r="B421" s="3" t="s">
        <v>39</v>
      </c>
      <c r="C421" s="3" t="s">
        <v>41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44835</v>
      </c>
      <c r="J421" s="4">
        <v>0</v>
      </c>
      <c r="K421" s="4">
        <v>0</v>
      </c>
      <c r="L421" s="4">
        <v>13.063000000000001</v>
      </c>
      <c r="M421" s="4">
        <v>13.063000000000001</v>
      </c>
      <c r="N421" s="4">
        <v>13.063000000000001</v>
      </c>
      <c r="O421" s="4">
        <v>13.063000000000001</v>
      </c>
      <c r="P421" s="4">
        <v>0</v>
      </c>
      <c r="Q421" s="3" t="s">
        <v>26</v>
      </c>
      <c r="R421" s="3">
        <v>0</v>
      </c>
      <c r="S421" s="3" t="s">
        <v>127</v>
      </c>
      <c r="T421" s="3" t="s">
        <v>353</v>
      </c>
      <c r="U421" s="3">
        <v>0</v>
      </c>
      <c r="V421" s="3">
        <v>31</v>
      </c>
      <c r="W421" s="3">
        <v>59</v>
      </c>
    </row>
    <row r="422" spans="1:23" ht="11.25" customHeight="1" x14ac:dyDescent="0.25">
      <c r="A422" s="3" t="s">
        <v>55</v>
      </c>
      <c r="B422" s="3" t="s">
        <v>39</v>
      </c>
      <c r="C422" s="3" t="s">
        <v>41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44835</v>
      </c>
      <c r="J422" s="4">
        <v>0</v>
      </c>
      <c r="K422" s="4">
        <v>0</v>
      </c>
      <c r="L422" s="4">
        <v>1396.3050000000001</v>
      </c>
      <c r="M422" s="4">
        <v>1396.3050000000001</v>
      </c>
      <c r="N422" s="4">
        <v>1396.3050000000001</v>
      </c>
      <c r="O422" s="4">
        <v>1396.3050000000001</v>
      </c>
      <c r="P422" s="4">
        <v>0</v>
      </c>
      <c r="Q422" s="3" t="s">
        <v>26</v>
      </c>
      <c r="R422" s="3">
        <v>0</v>
      </c>
      <c r="S422" s="3" t="s">
        <v>127</v>
      </c>
      <c r="T422" s="3" t="s">
        <v>353</v>
      </c>
      <c r="U422" s="3">
        <v>0</v>
      </c>
      <c r="V422" s="3">
        <v>31</v>
      </c>
      <c r="W422" s="3">
        <v>59</v>
      </c>
    </row>
    <row r="423" spans="1:23" ht="11.25" customHeight="1" x14ac:dyDescent="0.25">
      <c r="A423" s="3" t="s">
        <v>21</v>
      </c>
      <c r="B423" s="3" t="s">
        <v>39</v>
      </c>
      <c r="C423" s="3" t="s">
        <v>41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25</v>
      </c>
      <c r="I423" s="6">
        <v>44501</v>
      </c>
      <c r="J423" s="4">
        <v>28032</v>
      </c>
      <c r="K423" s="4">
        <v>28032</v>
      </c>
      <c r="L423" s="4">
        <v>0</v>
      </c>
      <c r="M423" s="4">
        <v>0</v>
      </c>
      <c r="N423" s="4">
        <v>0</v>
      </c>
      <c r="O423" s="4">
        <v>0</v>
      </c>
      <c r="P423" s="4">
        <v>255</v>
      </c>
      <c r="Q423" s="3" t="s">
        <v>26</v>
      </c>
      <c r="R423" s="3">
        <v>0</v>
      </c>
      <c r="S423" s="3" t="s">
        <v>128</v>
      </c>
      <c r="U423" s="3">
        <v>18</v>
      </c>
      <c r="V423" s="3">
        <v>0</v>
      </c>
      <c r="W423" s="3">
        <v>0</v>
      </c>
    </row>
    <row r="424" spans="1:23" ht="11.25" customHeight="1" x14ac:dyDescent="0.25">
      <c r="A424" s="3" t="s">
        <v>27</v>
      </c>
      <c r="B424" s="3" t="s">
        <v>39</v>
      </c>
      <c r="C424" s="3" t="s">
        <v>41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25</v>
      </c>
      <c r="I424" s="6">
        <v>44501</v>
      </c>
      <c r="J424" s="4">
        <v>102</v>
      </c>
      <c r="K424" s="4">
        <v>102</v>
      </c>
      <c r="L424" s="4">
        <v>0</v>
      </c>
      <c r="M424" s="4">
        <v>0</v>
      </c>
      <c r="N424" s="4">
        <v>0</v>
      </c>
      <c r="O424" s="4">
        <v>0</v>
      </c>
      <c r="P424" s="4">
        <v>2</v>
      </c>
      <c r="Q424" s="3" t="s">
        <v>26</v>
      </c>
      <c r="R424" s="3">
        <v>0</v>
      </c>
      <c r="S424" s="3" t="s">
        <v>128</v>
      </c>
      <c r="U424" s="3">
        <v>18</v>
      </c>
      <c r="V424" s="3">
        <v>0</v>
      </c>
      <c r="W424" s="3">
        <v>0</v>
      </c>
    </row>
    <row r="425" spans="1:23" ht="11.25" customHeight="1" x14ac:dyDescent="0.25">
      <c r="A425" s="3" t="s">
        <v>28</v>
      </c>
      <c r="B425" s="3" t="s">
        <v>39</v>
      </c>
      <c r="C425" s="3" t="s">
        <v>41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25</v>
      </c>
      <c r="I425" s="6">
        <v>44501</v>
      </c>
      <c r="J425" s="4">
        <v>8842</v>
      </c>
      <c r="K425" s="4">
        <v>8842</v>
      </c>
      <c r="L425" s="4">
        <v>0</v>
      </c>
      <c r="M425" s="4">
        <v>0</v>
      </c>
      <c r="N425" s="4">
        <v>0</v>
      </c>
      <c r="O425" s="4">
        <v>0</v>
      </c>
      <c r="P425" s="4">
        <v>74</v>
      </c>
      <c r="Q425" s="3" t="s">
        <v>26</v>
      </c>
      <c r="R425" s="3">
        <v>0</v>
      </c>
      <c r="S425" s="3" t="s">
        <v>128</v>
      </c>
      <c r="U425" s="3">
        <v>18</v>
      </c>
      <c r="V425" s="3">
        <v>0</v>
      </c>
      <c r="W425" s="3">
        <v>0</v>
      </c>
    </row>
    <row r="426" spans="1:23" ht="11.25" customHeight="1" x14ac:dyDescent="0.25">
      <c r="A426" s="3" t="s">
        <v>21</v>
      </c>
      <c r="B426" s="3" t="s">
        <v>39</v>
      </c>
      <c r="C426" s="3" t="s">
        <v>41</v>
      </c>
      <c r="D426" s="3" t="s">
        <v>45</v>
      </c>
      <c r="E426" s="3" t="s">
        <v>25</v>
      </c>
      <c r="F426" s="3" t="s">
        <v>25</v>
      </c>
      <c r="G426" s="3" t="s">
        <v>25</v>
      </c>
      <c r="H426" s="3" t="s">
        <v>25</v>
      </c>
      <c r="I426" s="6">
        <v>44531</v>
      </c>
      <c r="J426" s="4">
        <v>27842</v>
      </c>
      <c r="K426" s="4">
        <v>27842</v>
      </c>
      <c r="L426" s="4">
        <v>0</v>
      </c>
      <c r="M426" s="4">
        <v>0</v>
      </c>
      <c r="N426" s="4">
        <v>0</v>
      </c>
      <c r="O426" s="4">
        <v>0</v>
      </c>
      <c r="P426" s="4">
        <v>254</v>
      </c>
      <c r="Q426" s="3" t="s">
        <v>26</v>
      </c>
      <c r="R426" s="3">
        <v>0</v>
      </c>
      <c r="S426" s="3" t="s">
        <v>129</v>
      </c>
      <c r="U426" s="3">
        <v>18</v>
      </c>
      <c r="V426" s="3">
        <v>0</v>
      </c>
      <c r="W426" s="3">
        <v>0</v>
      </c>
    </row>
    <row r="427" spans="1:23" ht="11.25" customHeight="1" x14ac:dyDescent="0.25">
      <c r="A427" s="3" t="s">
        <v>27</v>
      </c>
      <c r="B427" s="3" t="s">
        <v>39</v>
      </c>
      <c r="C427" s="3" t="s">
        <v>41</v>
      </c>
      <c r="D427" s="3" t="s">
        <v>45</v>
      </c>
      <c r="E427" s="3" t="s">
        <v>25</v>
      </c>
      <c r="F427" s="3" t="s">
        <v>25</v>
      </c>
      <c r="G427" s="3" t="s">
        <v>25</v>
      </c>
      <c r="H427" s="3" t="s">
        <v>25</v>
      </c>
      <c r="I427" s="6">
        <v>44531</v>
      </c>
      <c r="J427" s="4">
        <v>-17</v>
      </c>
      <c r="K427" s="4">
        <v>-17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3" t="s">
        <v>26</v>
      </c>
      <c r="R427" s="3">
        <v>0</v>
      </c>
      <c r="S427" s="3" t="s">
        <v>129</v>
      </c>
      <c r="U427" s="3">
        <v>18</v>
      </c>
      <c r="V427" s="3">
        <v>0</v>
      </c>
      <c r="W427" s="3">
        <v>0</v>
      </c>
    </row>
    <row r="428" spans="1:23" ht="11.25" customHeight="1" x14ac:dyDescent="0.25">
      <c r="A428" s="3" t="s">
        <v>28</v>
      </c>
      <c r="B428" s="3" t="s">
        <v>39</v>
      </c>
      <c r="C428" s="3" t="s">
        <v>41</v>
      </c>
      <c r="D428" s="3" t="s">
        <v>45</v>
      </c>
      <c r="E428" s="3" t="s">
        <v>25</v>
      </c>
      <c r="F428" s="3" t="s">
        <v>25</v>
      </c>
      <c r="G428" s="3" t="s">
        <v>25</v>
      </c>
      <c r="H428" s="3" t="s">
        <v>25</v>
      </c>
      <c r="I428" s="6">
        <v>44531</v>
      </c>
      <c r="J428" s="4">
        <v>12154</v>
      </c>
      <c r="K428" s="4">
        <v>12154</v>
      </c>
      <c r="L428" s="4">
        <v>0</v>
      </c>
      <c r="M428" s="4">
        <v>0</v>
      </c>
      <c r="N428" s="4">
        <v>0</v>
      </c>
      <c r="O428" s="4">
        <v>0</v>
      </c>
      <c r="P428" s="4">
        <v>74</v>
      </c>
      <c r="Q428" s="3" t="s">
        <v>26</v>
      </c>
      <c r="R428" s="3">
        <v>0</v>
      </c>
      <c r="S428" s="3" t="s">
        <v>129</v>
      </c>
      <c r="U428" s="3">
        <v>18</v>
      </c>
      <c r="V428" s="3">
        <v>0</v>
      </c>
      <c r="W428" s="3">
        <v>0</v>
      </c>
    </row>
    <row r="429" spans="1:23" ht="11.25" customHeight="1" x14ac:dyDescent="0.25">
      <c r="A429" s="3" t="s">
        <v>21</v>
      </c>
      <c r="B429" s="3" t="s">
        <v>39</v>
      </c>
      <c r="C429" s="3" t="s">
        <v>41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25</v>
      </c>
      <c r="I429" s="6">
        <v>44562</v>
      </c>
      <c r="J429" s="4">
        <v>27652</v>
      </c>
      <c r="K429" s="4">
        <v>27652</v>
      </c>
      <c r="L429" s="4">
        <v>0</v>
      </c>
      <c r="M429" s="4">
        <v>0</v>
      </c>
      <c r="N429" s="4">
        <v>0</v>
      </c>
      <c r="O429" s="4">
        <v>0</v>
      </c>
      <c r="P429" s="4">
        <v>255</v>
      </c>
      <c r="Q429" s="3" t="s">
        <v>26</v>
      </c>
      <c r="R429" s="3">
        <v>0</v>
      </c>
      <c r="S429" s="3" t="s">
        <v>130</v>
      </c>
      <c r="U429" s="3">
        <v>18</v>
      </c>
      <c r="V429" s="3">
        <v>0</v>
      </c>
      <c r="W429" s="3">
        <v>0</v>
      </c>
    </row>
    <row r="430" spans="1:23" ht="11.25" customHeight="1" x14ac:dyDescent="0.25">
      <c r="A430" s="3" t="s">
        <v>28</v>
      </c>
      <c r="B430" s="3" t="s">
        <v>39</v>
      </c>
      <c r="C430" s="3" t="s">
        <v>41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25</v>
      </c>
      <c r="I430" s="6">
        <v>44562</v>
      </c>
      <c r="J430" s="4">
        <v>12654</v>
      </c>
      <c r="K430" s="4">
        <v>12654</v>
      </c>
      <c r="L430" s="4">
        <v>0</v>
      </c>
      <c r="M430" s="4">
        <v>0</v>
      </c>
      <c r="N430" s="4">
        <v>0</v>
      </c>
      <c r="O430" s="4">
        <v>0</v>
      </c>
      <c r="P430" s="4">
        <v>74</v>
      </c>
      <c r="Q430" s="3" t="s">
        <v>26</v>
      </c>
      <c r="R430" s="3">
        <v>0</v>
      </c>
      <c r="S430" s="3" t="s">
        <v>130</v>
      </c>
      <c r="U430" s="3">
        <v>18</v>
      </c>
      <c r="V430" s="3">
        <v>0</v>
      </c>
      <c r="W430" s="3">
        <v>0</v>
      </c>
    </row>
    <row r="431" spans="1:23" ht="11.25" customHeight="1" x14ac:dyDescent="0.25">
      <c r="A431" s="3" t="s">
        <v>21</v>
      </c>
      <c r="B431" s="3" t="s">
        <v>39</v>
      </c>
      <c r="C431" s="3" t="s">
        <v>41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25</v>
      </c>
      <c r="I431" s="6">
        <v>44593</v>
      </c>
      <c r="J431" s="4">
        <v>28419</v>
      </c>
      <c r="K431" s="4">
        <v>28419</v>
      </c>
      <c r="L431" s="4">
        <v>0</v>
      </c>
      <c r="M431" s="4">
        <v>0</v>
      </c>
      <c r="N431" s="4">
        <v>0</v>
      </c>
      <c r="O431" s="4">
        <v>0</v>
      </c>
      <c r="P431" s="4">
        <v>256</v>
      </c>
      <c r="Q431" s="3" t="s">
        <v>26</v>
      </c>
      <c r="R431" s="3">
        <v>0</v>
      </c>
      <c r="S431" s="3" t="s">
        <v>131</v>
      </c>
      <c r="U431" s="3">
        <v>18</v>
      </c>
      <c r="V431" s="3">
        <v>0</v>
      </c>
      <c r="W431" s="3">
        <v>0</v>
      </c>
    </row>
    <row r="432" spans="1:23" ht="11.25" customHeight="1" x14ac:dyDescent="0.25">
      <c r="A432" s="3" t="s">
        <v>27</v>
      </c>
      <c r="B432" s="3" t="s">
        <v>39</v>
      </c>
      <c r="C432" s="3" t="s">
        <v>41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25</v>
      </c>
      <c r="I432" s="6">
        <v>44593</v>
      </c>
      <c r="J432" s="4">
        <v>624</v>
      </c>
      <c r="K432" s="4">
        <v>624</v>
      </c>
      <c r="L432" s="4">
        <v>0</v>
      </c>
      <c r="M432" s="4">
        <v>0</v>
      </c>
      <c r="N432" s="4">
        <v>0</v>
      </c>
      <c r="O432" s="4">
        <v>0</v>
      </c>
      <c r="P432" s="4">
        <v>1</v>
      </c>
      <c r="Q432" s="3" t="s">
        <v>26</v>
      </c>
      <c r="R432" s="3">
        <v>0</v>
      </c>
      <c r="S432" s="3" t="s">
        <v>131</v>
      </c>
      <c r="U432" s="3">
        <v>18</v>
      </c>
      <c r="V432" s="3">
        <v>0</v>
      </c>
      <c r="W432" s="3">
        <v>0</v>
      </c>
    </row>
    <row r="433" spans="1:23" ht="11.25" customHeight="1" x14ac:dyDescent="0.25">
      <c r="A433" s="3" t="s">
        <v>28</v>
      </c>
      <c r="B433" s="3" t="s">
        <v>39</v>
      </c>
      <c r="C433" s="3" t="s">
        <v>41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25</v>
      </c>
      <c r="I433" s="6">
        <v>44593</v>
      </c>
      <c r="J433" s="4">
        <v>12959</v>
      </c>
      <c r="K433" s="4">
        <v>12959</v>
      </c>
      <c r="L433" s="4">
        <v>0</v>
      </c>
      <c r="M433" s="4">
        <v>0</v>
      </c>
      <c r="N433" s="4">
        <v>0</v>
      </c>
      <c r="O433" s="4">
        <v>0</v>
      </c>
      <c r="P433" s="4">
        <v>75</v>
      </c>
      <c r="Q433" s="3" t="s">
        <v>26</v>
      </c>
      <c r="R433" s="3">
        <v>0</v>
      </c>
      <c r="S433" s="3" t="s">
        <v>131</v>
      </c>
      <c r="U433" s="3">
        <v>18</v>
      </c>
      <c r="V433" s="3">
        <v>0</v>
      </c>
      <c r="W433" s="3">
        <v>0</v>
      </c>
    </row>
    <row r="434" spans="1:23" ht="11.25" customHeight="1" x14ac:dyDescent="0.25">
      <c r="A434" s="3" t="s">
        <v>21</v>
      </c>
      <c r="B434" s="3" t="s">
        <v>39</v>
      </c>
      <c r="C434" s="3" t="s">
        <v>41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25</v>
      </c>
      <c r="I434" s="6">
        <v>44621</v>
      </c>
      <c r="J434" s="4">
        <v>28192</v>
      </c>
      <c r="K434" s="4">
        <v>28192</v>
      </c>
      <c r="L434" s="4">
        <v>0</v>
      </c>
      <c r="M434" s="4">
        <v>0</v>
      </c>
      <c r="N434" s="4">
        <v>0</v>
      </c>
      <c r="O434" s="4">
        <v>0</v>
      </c>
      <c r="P434" s="4">
        <v>256</v>
      </c>
      <c r="Q434" s="3" t="s">
        <v>26</v>
      </c>
      <c r="R434" s="3">
        <v>0</v>
      </c>
      <c r="S434" s="3" t="s">
        <v>132</v>
      </c>
      <c r="U434" s="3">
        <v>18</v>
      </c>
      <c r="V434" s="3">
        <v>0</v>
      </c>
      <c r="W434" s="3">
        <v>0</v>
      </c>
    </row>
    <row r="435" spans="1:23" ht="11.25" customHeight="1" x14ac:dyDescent="0.25">
      <c r="A435" s="3" t="s">
        <v>28</v>
      </c>
      <c r="B435" s="3" t="s">
        <v>39</v>
      </c>
      <c r="C435" s="3" t="s">
        <v>41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25</v>
      </c>
      <c r="I435" s="6">
        <v>44621</v>
      </c>
      <c r="J435" s="4">
        <v>12477</v>
      </c>
      <c r="K435" s="4">
        <v>12477</v>
      </c>
      <c r="L435" s="4">
        <v>0</v>
      </c>
      <c r="M435" s="4">
        <v>0</v>
      </c>
      <c r="N435" s="4">
        <v>0</v>
      </c>
      <c r="O435" s="4">
        <v>0</v>
      </c>
      <c r="P435" s="4">
        <v>75</v>
      </c>
      <c r="Q435" s="3" t="s">
        <v>26</v>
      </c>
      <c r="R435" s="3">
        <v>0</v>
      </c>
      <c r="S435" s="3" t="s">
        <v>132</v>
      </c>
      <c r="U435" s="3">
        <v>18</v>
      </c>
      <c r="V435" s="3">
        <v>0</v>
      </c>
      <c r="W435" s="3">
        <v>0</v>
      </c>
    </row>
    <row r="436" spans="1:23" ht="11.25" customHeight="1" x14ac:dyDescent="0.25">
      <c r="A436" s="3" t="s">
        <v>28</v>
      </c>
      <c r="B436" s="3" t="s">
        <v>39</v>
      </c>
      <c r="C436" s="3" t="s">
        <v>41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25</v>
      </c>
      <c r="I436" s="6">
        <v>44621</v>
      </c>
      <c r="J436" s="4">
        <v>-1000</v>
      </c>
      <c r="K436" s="4">
        <v>-1000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3" t="s">
        <v>26</v>
      </c>
      <c r="R436" s="3">
        <v>0</v>
      </c>
      <c r="S436" s="3" t="s">
        <v>132</v>
      </c>
      <c r="U436" s="3">
        <v>18</v>
      </c>
      <c r="V436" s="3">
        <v>0</v>
      </c>
      <c r="W436" s="3">
        <v>0</v>
      </c>
    </row>
    <row r="437" spans="1:23" ht="11.25" customHeight="1" x14ac:dyDescent="0.25">
      <c r="A437" s="3" t="s">
        <v>21</v>
      </c>
      <c r="B437" s="3" t="s">
        <v>39</v>
      </c>
      <c r="C437" s="3" t="s">
        <v>41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25</v>
      </c>
      <c r="I437" s="6">
        <v>44652</v>
      </c>
      <c r="J437" s="4">
        <v>28192</v>
      </c>
      <c r="K437" s="4">
        <v>28192</v>
      </c>
      <c r="L437" s="4">
        <v>0</v>
      </c>
      <c r="M437" s="4">
        <v>0</v>
      </c>
      <c r="N437" s="4">
        <v>0</v>
      </c>
      <c r="O437" s="4">
        <v>0</v>
      </c>
      <c r="P437" s="4">
        <v>256</v>
      </c>
      <c r="Q437" s="3" t="s">
        <v>26</v>
      </c>
      <c r="R437" s="3">
        <v>0</v>
      </c>
      <c r="S437" s="3" t="s">
        <v>133</v>
      </c>
      <c r="U437" s="3">
        <v>18</v>
      </c>
      <c r="V437" s="3">
        <v>0</v>
      </c>
      <c r="W437" s="3">
        <v>0</v>
      </c>
    </row>
    <row r="438" spans="1:23" ht="11.25" customHeight="1" x14ac:dyDescent="0.25">
      <c r="A438" s="3" t="s">
        <v>28</v>
      </c>
      <c r="B438" s="3" t="s">
        <v>39</v>
      </c>
      <c r="C438" s="3" t="s">
        <v>41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25</v>
      </c>
      <c r="I438" s="6">
        <v>44652</v>
      </c>
      <c r="J438" s="4">
        <v>12477</v>
      </c>
      <c r="K438" s="4">
        <v>12477</v>
      </c>
      <c r="L438" s="4">
        <v>0</v>
      </c>
      <c r="M438" s="4">
        <v>0</v>
      </c>
      <c r="N438" s="4">
        <v>0</v>
      </c>
      <c r="O438" s="4">
        <v>0</v>
      </c>
      <c r="P438" s="4">
        <v>75</v>
      </c>
      <c r="Q438" s="3" t="s">
        <v>26</v>
      </c>
      <c r="R438" s="3">
        <v>0</v>
      </c>
      <c r="S438" s="3" t="s">
        <v>133</v>
      </c>
      <c r="U438" s="3">
        <v>18</v>
      </c>
      <c r="V438" s="3">
        <v>0</v>
      </c>
      <c r="W438" s="3">
        <v>0</v>
      </c>
    </row>
    <row r="439" spans="1:23" ht="11.25" customHeight="1" x14ac:dyDescent="0.25">
      <c r="A439" s="3" t="s">
        <v>28</v>
      </c>
      <c r="B439" s="3" t="s">
        <v>39</v>
      </c>
      <c r="C439" s="3" t="s">
        <v>41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25</v>
      </c>
      <c r="I439" s="6">
        <v>44652</v>
      </c>
      <c r="J439" s="4">
        <v>-1000</v>
      </c>
      <c r="K439" s="4">
        <v>-1000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3" t="s">
        <v>26</v>
      </c>
      <c r="R439" s="3">
        <v>0</v>
      </c>
      <c r="S439" s="3" t="s">
        <v>133</v>
      </c>
      <c r="U439" s="3">
        <v>18</v>
      </c>
      <c r="V439" s="3">
        <v>0</v>
      </c>
      <c r="W439" s="3">
        <v>0</v>
      </c>
    </row>
    <row r="440" spans="1:23" ht="11.25" customHeight="1" x14ac:dyDescent="0.25">
      <c r="A440" s="3" t="s">
        <v>21</v>
      </c>
      <c r="B440" s="3" t="s">
        <v>39</v>
      </c>
      <c r="C440" s="3" t="s">
        <v>41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25</v>
      </c>
      <c r="I440" s="6">
        <v>44682</v>
      </c>
      <c r="J440" s="4">
        <v>28058</v>
      </c>
      <c r="K440" s="4">
        <v>28058</v>
      </c>
      <c r="L440" s="4">
        <v>0</v>
      </c>
      <c r="M440" s="4">
        <v>0</v>
      </c>
      <c r="N440" s="4">
        <v>0</v>
      </c>
      <c r="O440" s="4">
        <v>0</v>
      </c>
      <c r="P440" s="4">
        <v>257</v>
      </c>
      <c r="Q440" s="3" t="s">
        <v>26</v>
      </c>
      <c r="R440" s="3">
        <v>0</v>
      </c>
      <c r="S440" s="3" t="s">
        <v>134</v>
      </c>
      <c r="U440" s="3">
        <v>18</v>
      </c>
      <c r="V440" s="3">
        <v>0</v>
      </c>
      <c r="W440" s="3">
        <v>0</v>
      </c>
    </row>
    <row r="441" spans="1:23" ht="11.25" customHeight="1" x14ac:dyDescent="0.25">
      <c r="A441" s="3" t="s">
        <v>27</v>
      </c>
      <c r="B441" s="3" t="s">
        <v>39</v>
      </c>
      <c r="C441" s="3" t="s">
        <v>41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25</v>
      </c>
      <c r="I441" s="6">
        <v>44682</v>
      </c>
      <c r="J441" s="4">
        <v>284</v>
      </c>
      <c r="K441" s="4">
        <v>284</v>
      </c>
      <c r="L441" s="4">
        <v>0</v>
      </c>
      <c r="M441" s="4">
        <v>0</v>
      </c>
      <c r="N441" s="4">
        <v>0</v>
      </c>
      <c r="O441" s="4">
        <v>0</v>
      </c>
      <c r="P441" s="4">
        <v>4</v>
      </c>
      <c r="Q441" s="3" t="s">
        <v>26</v>
      </c>
      <c r="R441" s="3">
        <v>0</v>
      </c>
      <c r="S441" s="3" t="s">
        <v>134</v>
      </c>
      <c r="U441" s="3">
        <v>18</v>
      </c>
      <c r="V441" s="3">
        <v>0</v>
      </c>
      <c r="W441" s="3">
        <v>0</v>
      </c>
    </row>
    <row r="442" spans="1:23" ht="11.25" customHeight="1" x14ac:dyDescent="0.25">
      <c r="A442" s="3" t="s">
        <v>28</v>
      </c>
      <c r="B442" s="3" t="s">
        <v>39</v>
      </c>
      <c r="C442" s="3" t="s">
        <v>41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44682</v>
      </c>
      <c r="J442" s="4">
        <v>52100</v>
      </c>
      <c r="K442" s="4">
        <v>52100</v>
      </c>
      <c r="L442" s="4">
        <v>0</v>
      </c>
      <c r="M442" s="4">
        <v>0</v>
      </c>
      <c r="N442" s="4">
        <v>0</v>
      </c>
      <c r="O442" s="4">
        <v>0</v>
      </c>
      <c r="P442" s="4">
        <v>308</v>
      </c>
      <c r="Q442" s="3" t="s">
        <v>26</v>
      </c>
      <c r="R442" s="3">
        <v>0</v>
      </c>
      <c r="S442" s="3" t="s">
        <v>134</v>
      </c>
      <c r="U442" s="3">
        <v>18</v>
      </c>
      <c r="V442" s="3">
        <v>0</v>
      </c>
      <c r="W442" s="3">
        <v>0</v>
      </c>
    </row>
    <row r="443" spans="1:23" ht="11.25" customHeight="1" x14ac:dyDescent="0.25">
      <c r="A443" s="3" t="s">
        <v>21</v>
      </c>
      <c r="B443" s="3" t="s">
        <v>39</v>
      </c>
      <c r="C443" s="3" t="s">
        <v>41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44713</v>
      </c>
      <c r="J443" s="4">
        <v>28621</v>
      </c>
      <c r="K443" s="4">
        <v>28621</v>
      </c>
      <c r="L443" s="4">
        <v>0</v>
      </c>
      <c r="M443" s="4">
        <v>0</v>
      </c>
      <c r="N443" s="4">
        <v>0</v>
      </c>
      <c r="O443" s="4">
        <v>0</v>
      </c>
      <c r="P443" s="4">
        <v>257</v>
      </c>
      <c r="Q443" s="3" t="s">
        <v>26</v>
      </c>
      <c r="R443" s="3">
        <v>0</v>
      </c>
      <c r="S443" s="3" t="s">
        <v>135</v>
      </c>
      <c r="U443" s="3">
        <v>18</v>
      </c>
      <c r="V443" s="3">
        <v>0</v>
      </c>
      <c r="W443" s="3">
        <v>0</v>
      </c>
    </row>
    <row r="444" spans="1:23" ht="11.25" customHeight="1" x14ac:dyDescent="0.25">
      <c r="A444" s="3" t="s">
        <v>27</v>
      </c>
      <c r="B444" s="3" t="s">
        <v>39</v>
      </c>
      <c r="C444" s="3" t="s">
        <v>41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44713</v>
      </c>
      <c r="J444" s="4">
        <v>801</v>
      </c>
      <c r="K444" s="4">
        <v>801</v>
      </c>
      <c r="L444" s="4">
        <v>0</v>
      </c>
      <c r="M444" s="4">
        <v>0</v>
      </c>
      <c r="N444" s="4">
        <v>0</v>
      </c>
      <c r="O444" s="4">
        <v>0</v>
      </c>
      <c r="P444" s="4">
        <v>4</v>
      </c>
      <c r="Q444" s="3" t="s">
        <v>26</v>
      </c>
      <c r="R444" s="3">
        <v>0</v>
      </c>
      <c r="S444" s="3" t="s">
        <v>135</v>
      </c>
      <c r="U444" s="3">
        <v>18</v>
      </c>
      <c r="V444" s="3">
        <v>0</v>
      </c>
      <c r="W444" s="3">
        <v>0</v>
      </c>
    </row>
    <row r="445" spans="1:23" ht="11.25" customHeight="1" x14ac:dyDescent="0.25">
      <c r="A445" s="3" t="s">
        <v>28</v>
      </c>
      <c r="B445" s="3" t="s">
        <v>39</v>
      </c>
      <c r="C445" s="3" t="s">
        <v>41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44713</v>
      </c>
      <c r="J445" s="4">
        <v>16728</v>
      </c>
      <c r="K445" s="4">
        <v>16728</v>
      </c>
      <c r="L445" s="4">
        <v>0</v>
      </c>
      <c r="M445" s="4">
        <v>0</v>
      </c>
      <c r="N445" s="4">
        <v>0</v>
      </c>
      <c r="O445" s="4">
        <v>0</v>
      </c>
      <c r="P445" s="4">
        <v>77</v>
      </c>
      <c r="Q445" s="3" t="s">
        <v>26</v>
      </c>
      <c r="R445" s="3">
        <v>0</v>
      </c>
      <c r="S445" s="3" t="s">
        <v>135</v>
      </c>
      <c r="U445" s="3">
        <v>18</v>
      </c>
      <c r="V445" s="3">
        <v>0</v>
      </c>
      <c r="W445" s="3">
        <v>0</v>
      </c>
    </row>
    <row r="446" spans="1:23" ht="11.25" customHeight="1" x14ac:dyDescent="0.25">
      <c r="A446" s="3" t="s">
        <v>21</v>
      </c>
      <c r="B446" s="3" t="s">
        <v>39</v>
      </c>
      <c r="C446" s="3" t="s">
        <v>41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44743</v>
      </c>
      <c r="J446" s="4">
        <v>28530</v>
      </c>
      <c r="K446" s="4">
        <v>28530</v>
      </c>
      <c r="L446" s="4">
        <v>0</v>
      </c>
      <c r="M446" s="4">
        <v>0</v>
      </c>
      <c r="N446" s="4">
        <v>0</v>
      </c>
      <c r="O446" s="4">
        <v>0</v>
      </c>
      <c r="P446" s="4">
        <v>257</v>
      </c>
      <c r="Q446" s="3" t="s">
        <v>26</v>
      </c>
      <c r="R446" s="3">
        <v>0</v>
      </c>
      <c r="S446" s="3" t="s">
        <v>136</v>
      </c>
      <c r="U446" s="3">
        <v>18</v>
      </c>
      <c r="V446" s="3">
        <v>0</v>
      </c>
      <c r="W446" s="3">
        <v>0</v>
      </c>
    </row>
    <row r="447" spans="1:23" ht="11.25" customHeight="1" x14ac:dyDescent="0.25">
      <c r="A447" s="3" t="s">
        <v>27</v>
      </c>
      <c r="B447" s="3" t="s">
        <v>39</v>
      </c>
      <c r="C447" s="3" t="s">
        <v>41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44743</v>
      </c>
      <c r="J447" s="4">
        <v>100</v>
      </c>
      <c r="K447" s="4">
        <v>100</v>
      </c>
      <c r="L447" s="4">
        <v>0</v>
      </c>
      <c r="M447" s="4">
        <v>0</v>
      </c>
      <c r="N447" s="4">
        <v>0</v>
      </c>
      <c r="O447" s="4">
        <v>0</v>
      </c>
      <c r="P447" s="4">
        <v>2</v>
      </c>
      <c r="Q447" s="3" t="s">
        <v>26</v>
      </c>
      <c r="R447" s="3">
        <v>0</v>
      </c>
      <c r="S447" s="3" t="s">
        <v>136</v>
      </c>
      <c r="U447" s="3">
        <v>18</v>
      </c>
      <c r="V447" s="3">
        <v>0</v>
      </c>
      <c r="W447" s="3">
        <v>0</v>
      </c>
    </row>
    <row r="448" spans="1:23" ht="11.25" customHeight="1" x14ac:dyDescent="0.25">
      <c r="A448" s="3" t="s">
        <v>28</v>
      </c>
      <c r="B448" s="3" t="s">
        <v>39</v>
      </c>
      <c r="C448" s="3" t="s">
        <v>41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44743</v>
      </c>
      <c r="J448" s="4">
        <v>13173</v>
      </c>
      <c r="K448" s="4">
        <v>13173</v>
      </c>
      <c r="L448" s="4">
        <v>0</v>
      </c>
      <c r="M448" s="4">
        <v>0</v>
      </c>
      <c r="N448" s="4">
        <v>0</v>
      </c>
      <c r="O448" s="4">
        <v>0</v>
      </c>
      <c r="P448" s="4">
        <v>78</v>
      </c>
      <c r="Q448" s="3" t="s">
        <v>26</v>
      </c>
      <c r="R448" s="3">
        <v>0</v>
      </c>
      <c r="S448" s="3" t="s">
        <v>136</v>
      </c>
      <c r="U448" s="3">
        <v>18</v>
      </c>
      <c r="V448" s="3">
        <v>0</v>
      </c>
      <c r="W448" s="3">
        <v>0</v>
      </c>
    </row>
    <row r="449" spans="1:23" ht="11.25" customHeight="1" x14ac:dyDescent="0.25">
      <c r="A449" s="3" t="s">
        <v>28</v>
      </c>
      <c r="B449" s="3" t="s">
        <v>39</v>
      </c>
      <c r="C449" s="3" t="s">
        <v>41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44743</v>
      </c>
      <c r="J449" s="4">
        <v>-3682</v>
      </c>
      <c r="K449" s="4">
        <v>-3682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3" t="s">
        <v>26</v>
      </c>
      <c r="R449" s="3">
        <v>0</v>
      </c>
      <c r="S449" s="3" t="s">
        <v>136</v>
      </c>
      <c r="U449" s="3">
        <v>18</v>
      </c>
      <c r="V449" s="3">
        <v>0</v>
      </c>
      <c r="W449" s="3">
        <v>0</v>
      </c>
    </row>
    <row r="450" spans="1:23" ht="11.25" customHeight="1" x14ac:dyDescent="0.25">
      <c r="A450" s="3" t="s">
        <v>21</v>
      </c>
      <c r="B450" s="3" t="s">
        <v>39</v>
      </c>
      <c r="C450" s="3" t="s">
        <v>41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44774</v>
      </c>
      <c r="J450" s="4">
        <v>28963</v>
      </c>
      <c r="K450" s="4">
        <v>28963</v>
      </c>
      <c r="L450" s="4">
        <v>0</v>
      </c>
      <c r="M450" s="4">
        <v>0</v>
      </c>
      <c r="N450" s="4">
        <v>0</v>
      </c>
      <c r="O450" s="4">
        <v>0</v>
      </c>
      <c r="P450" s="4">
        <v>257</v>
      </c>
      <c r="Q450" s="3" t="s">
        <v>26</v>
      </c>
      <c r="R450" s="3">
        <v>0</v>
      </c>
      <c r="S450" s="3" t="s">
        <v>137</v>
      </c>
      <c r="U450" s="3">
        <v>18</v>
      </c>
      <c r="V450" s="3">
        <v>0</v>
      </c>
      <c r="W450" s="3">
        <v>0</v>
      </c>
    </row>
    <row r="451" spans="1:23" ht="11.25" customHeight="1" x14ac:dyDescent="0.25">
      <c r="A451" s="3" t="s">
        <v>28</v>
      </c>
      <c r="B451" s="3" t="s">
        <v>39</v>
      </c>
      <c r="C451" s="3" t="s">
        <v>41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44774</v>
      </c>
      <c r="J451" s="4">
        <v>13421</v>
      </c>
      <c r="K451" s="4">
        <v>13421</v>
      </c>
      <c r="L451" s="4">
        <v>0</v>
      </c>
      <c r="M451" s="4">
        <v>0</v>
      </c>
      <c r="N451" s="4">
        <v>0</v>
      </c>
      <c r="O451" s="4">
        <v>0</v>
      </c>
      <c r="P451" s="4">
        <v>78</v>
      </c>
      <c r="Q451" s="3" t="s">
        <v>26</v>
      </c>
      <c r="R451" s="3">
        <v>0</v>
      </c>
      <c r="S451" s="3" t="s">
        <v>137</v>
      </c>
      <c r="U451" s="3">
        <v>18</v>
      </c>
      <c r="V451" s="3">
        <v>0</v>
      </c>
      <c r="W451" s="3">
        <v>0</v>
      </c>
    </row>
    <row r="452" spans="1:23" ht="11.25" customHeight="1" x14ac:dyDescent="0.25">
      <c r="A452" s="3" t="s">
        <v>21</v>
      </c>
      <c r="B452" s="3" t="s">
        <v>39</v>
      </c>
      <c r="C452" s="3" t="s">
        <v>41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44805</v>
      </c>
      <c r="J452" s="4">
        <v>29136</v>
      </c>
      <c r="K452" s="4">
        <v>29136</v>
      </c>
      <c r="L452" s="4">
        <v>0</v>
      </c>
      <c r="M452" s="4">
        <v>0</v>
      </c>
      <c r="N452" s="4">
        <v>0</v>
      </c>
      <c r="O452" s="4">
        <v>0</v>
      </c>
      <c r="P452" s="4">
        <v>258</v>
      </c>
      <c r="Q452" s="3" t="s">
        <v>26</v>
      </c>
      <c r="R452" s="3">
        <v>0</v>
      </c>
      <c r="S452" s="3" t="s">
        <v>138</v>
      </c>
      <c r="U452" s="3">
        <v>18</v>
      </c>
      <c r="V452" s="3">
        <v>0</v>
      </c>
      <c r="W452" s="3">
        <v>0</v>
      </c>
    </row>
    <row r="453" spans="1:23" ht="11.25" customHeight="1" x14ac:dyDescent="0.25">
      <c r="A453" s="3" t="s">
        <v>27</v>
      </c>
      <c r="B453" s="3" t="s">
        <v>39</v>
      </c>
      <c r="C453" s="3" t="s">
        <v>41</v>
      </c>
      <c r="D453" s="3" t="s">
        <v>45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44805</v>
      </c>
      <c r="J453" s="4">
        <v>80</v>
      </c>
      <c r="K453" s="4">
        <v>80</v>
      </c>
      <c r="L453" s="4">
        <v>0</v>
      </c>
      <c r="M453" s="4">
        <v>0</v>
      </c>
      <c r="N453" s="4">
        <v>0</v>
      </c>
      <c r="O453" s="4">
        <v>0</v>
      </c>
      <c r="P453" s="4">
        <v>2</v>
      </c>
      <c r="Q453" s="3" t="s">
        <v>26</v>
      </c>
      <c r="R453" s="3">
        <v>0</v>
      </c>
      <c r="S453" s="3" t="s">
        <v>138</v>
      </c>
      <c r="U453" s="3">
        <v>18</v>
      </c>
      <c r="V453" s="3">
        <v>0</v>
      </c>
      <c r="W453" s="3">
        <v>0</v>
      </c>
    </row>
    <row r="454" spans="1:23" ht="11.25" customHeight="1" x14ac:dyDescent="0.25">
      <c r="A454" s="3" t="s">
        <v>28</v>
      </c>
      <c r="B454" s="3" t="s">
        <v>39</v>
      </c>
      <c r="C454" s="3" t="s">
        <v>41</v>
      </c>
      <c r="D454" s="3" t="s">
        <v>45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44805</v>
      </c>
      <c r="J454" s="4">
        <v>13459</v>
      </c>
      <c r="K454" s="4">
        <v>13459</v>
      </c>
      <c r="L454" s="4">
        <v>0</v>
      </c>
      <c r="M454" s="4">
        <v>0</v>
      </c>
      <c r="N454" s="4">
        <v>0</v>
      </c>
      <c r="O454" s="4">
        <v>0</v>
      </c>
      <c r="P454" s="4">
        <v>78</v>
      </c>
      <c r="Q454" s="3" t="s">
        <v>26</v>
      </c>
      <c r="R454" s="3">
        <v>0</v>
      </c>
      <c r="S454" s="3" t="s">
        <v>138</v>
      </c>
      <c r="U454" s="3">
        <v>18</v>
      </c>
      <c r="V454" s="3">
        <v>0</v>
      </c>
      <c r="W454" s="3">
        <v>0</v>
      </c>
    </row>
    <row r="455" spans="1:23" ht="11.25" customHeight="1" x14ac:dyDescent="0.25">
      <c r="A455" s="3" t="s">
        <v>55</v>
      </c>
      <c r="B455" s="3" t="s">
        <v>39</v>
      </c>
      <c r="C455" s="3" t="s">
        <v>41</v>
      </c>
      <c r="D455" s="3" t="s">
        <v>45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44835</v>
      </c>
      <c r="J455" s="4">
        <v>29136</v>
      </c>
      <c r="K455" s="4">
        <v>29136</v>
      </c>
      <c r="L455" s="4">
        <v>0</v>
      </c>
      <c r="M455" s="4">
        <v>0</v>
      </c>
      <c r="N455" s="4">
        <v>0</v>
      </c>
      <c r="O455" s="4">
        <v>0</v>
      </c>
      <c r="P455" s="4">
        <v>258</v>
      </c>
      <c r="Q455" s="3" t="s">
        <v>26</v>
      </c>
      <c r="R455" s="3">
        <v>0</v>
      </c>
      <c r="S455" s="3" t="s">
        <v>139</v>
      </c>
      <c r="U455" s="3">
        <v>18</v>
      </c>
      <c r="V455" s="3">
        <v>0</v>
      </c>
      <c r="W455" s="3">
        <v>0</v>
      </c>
    </row>
    <row r="456" spans="1:23" ht="11.25" customHeight="1" x14ac:dyDescent="0.25">
      <c r="A456" s="3" t="s">
        <v>55</v>
      </c>
      <c r="B456" s="3" t="s">
        <v>39</v>
      </c>
      <c r="C456" s="3" t="s">
        <v>41</v>
      </c>
      <c r="D456" s="3" t="s">
        <v>45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44835</v>
      </c>
      <c r="J456" s="4">
        <v>80</v>
      </c>
      <c r="K456" s="4">
        <v>80</v>
      </c>
      <c r="L456" s="4">
        <v>0</v>
      </c>
      <c r="M456" s="4">
        <v>0</v>
      </c>
      <c r="N456" s="4">
        <v>0</v>
      </c>
      <c r="O456" s="4">
        <v>0</v>
      </c>
      <c r="P456" s="4">
        <v>2</v>
      </c>
      <c r="Q456" s="3" t="s">
        <v>26</v>
      </c>
      <c r="R456" s="3">
        <v>0</v>
      </c>
      <c r="S456" s="3" t="s">
        <v>139</v>
      </c>
      <c r="U456" s="3">
        <v>18</v>
      </c>
      <c r="V456" s="3">
        <v>0</v>
      </c>
      <c r="W456" s="3">
        <v>0</v>
      </c>
    </row>
    <row r="457" spans="1:23" ht="11.25" customHeight="1" x14ac:dyDescent="0.25">
      <c r="A457" s="3" t="s">
        <v>55</v>
      </c>
      <c r="B457" s="3" t="s">
        <v>39</v>
      </c>
      <c r="C457" s="3" t="s">
        <v>41</v>
      </c>
      <c r="D457" s="3" t="s">
        <v>45</v>
      </c>
      <c r="E457" s="3" t="s">
        <v>25</v>
      </c>
      <c r="F457" s="3" t="s">
        <v>25</v>
      </c>
      <c r="G457" s="3" t="s">
        <v>25</v>
      </c>
      <c r="H457" s="3" t="s">
        <v>25</v>
      </c>
      <c r="I457" s="6">
        <v>44835</v>
      </c>
      <c r="J457" s="4">
        <v>13459</v>
      </c>
      <c r="K457" s="4">
        <v>13459</v>
      </c>
      <c r="L457" s="4">
        <v>0</v>
      </c>
      <c r="M457" s="4">
        <v>0</v>
      </c>
      <c r="N457" s="4">
        <v>0</v>
      </c>
      <c r="O457" s="4">
        <v>0</v>
      </c>
      <c r="P457" s="4">
        <v>78</v>
      </c>
      <c r="Q457" s="3" t="s">
        <v>26</v>
      </c>
      <c r="R457" s="3">
        <v>0</v>
      </c>
      <c r="S457" s="3" t="s">
        <v>139</v>
      </c>
      <c r="U457" s="3">
        <v>18</v>
      </c>
      <c r="V457" s="3">
        <v>0</v>
      </c>
      <c r="W457" s="3">
        <v>0</v>
      </c>
    </row>
    <row r="458" spans="1:23" ht="11.25" customHeight="1" x14ac:dyDescent="0.25">
      <c r="A458" s="3" t="s">
        <v>21</v>
      </c>
      <c r="B458" s="3" t="s">
        <v>39</v>
      </c>
      <c r="C458" s="3" t="s">
        <v>41</v>
      </c>
      <c r="D458" s="3" t="s">
        <v>45</v>
      </c>
      <c r="E458" s="3" t="s">
        <v>25</v>
      </c>
      <c r="F458" s="3" t="s">
        <v>25</v>
      </c>
      <c r="G458" s="3" t="s">
        <v>25</v>
      </c>
      <c r="H458" s="3" t="s">
        <v>34</v>
      </c>
      <c r="I458" s="6">
        <v>44501</v>
      </c>
      <c r="J458" s="4">
        <v>0</v>
      </c>
      <c r="K458" s="4">
        <v>0</v>
      </c>
      <c r="L458" s="4">
        <v>256.714</v>
      </c>
      <c r="M458" s="4">
        <v>256.714</v>
      </c>
      <c r="N458" s="4">
        <v>256.714</v>
      </c>
      <c r="O458" s="4">
        <v>256.714</v>
      </c>
      <c r="P458" s="4">
        <v>0</v>
      </c>
      <c r="Q458" s="3" t="s">
        <v>26</v>
      </c>
      <c r="R458" s="3">
        <v>0</v>
      </c>
      <c r="S458" s="3" t="s">
        <v>140</v>
      </c>
      <c r="T458" s="3" t="s">
        <v>354</v>
      </c>
      <c r="U458" s="3">
        <v>0</v>
      </c>
      <c r="V458" s="3">
        <v>11</v>
      </c>
      <c r="W458" s="3">
        <v>71</v>
      </c>
    </row>
    <row r="459" spans="1:23" ht="11.25" customHeight="1" x14ac:dyDescent="0.25">
      <c r="A459" s="3" t="s">
        <v>27</v>
      </c>
      <c r="B459" s="3" t="s">
        <v>39</v>
      </c>
      <c r="C459" s="3" t="s">
        <v>41</v>
      </c>
      <c r="D459" s="3" t="s">
        <v>45</v>
      </c>
      <c r="E459" s="3" t="s">
        <v>25</v>
      </c>
      <c r="F459" s="3" t="s">
        <v>25</v>
      </c>
      <c r="G459" s="3" t="s">
        <v>25</v>
      </c>
      <c r="H459" s="3" t="s">
        <v>34</v>
      </c>
      <c r="I459" s="6">
        <v>44501</v>
      </c>
      <c r="J459" s="4">
        <v>0</v>
      </c>
      <c r="K459" s="4">
        <v>0</v>
      </c>
      <c r="L459" s="4">
        <v>1.115</v>
      </c>
      <c r="M459" s="4">
        <v>1.115</v>
      </c>
      <c r="N459" s="4">
        <v>1.115</v>
      </c>
      <c r="O459" s="4">
        <v>1.115</v>
      </c>
      <c r="P459" s="4">
        <v>0</v>
      </c>
      <c r="Q459" s="3" t="s">
        <v>26</v>
      </c>
      <c r="R459" s="3">
        <v>0</v>
      </c>
      <c r="S459" s="3" t="s">
        <v>140</v>
      </c>
      <c r="T459" s="3" t="s">
        <v>354</v>
      </c>
      <c r="U459" s="3">
        <v>0</v>
      </c>
      <c r="V459" s="3">
        <v>11</v>
      </c>
      <c r="W459" s="3">
        <v>71</v>
      </c>
    </row>
    <row r="460" spans="1:23" ht="11.25" customHeight="1" x14ac:dyDescent="0.25">
      <c r="A460" s="3" t="s">
        <v>28</v>
      </c>
      <c r="B460" s="3" t="s">
        <v>39</v>
      </c>
      <c r="C460" s="3" t="s">
        <v>41</v>
      </c>
      <c r="D460" s="3" t="s">
        <v>45</v>
      </c>
      <c r="E460" s="3" t="s">
        <v>25</v>
      </c>
      <c r="F460" s="3" t="s">
        <v>25</v>
      </c>
      <c r="G460" s="3" t="s">
        <v>25</v>
      </c>
      <c r="H460" s="3" t="s">
        <v>34</v>
      </c>
      <c r="I460" s="6">
        <v>44501</v>
      </c>
      <c r="J460" s="4">
        <v>0</v>
      </c>
      <c r="K460" s="4">
        <v>0</v>
      </c>
      <c r="L460" s="4">
        <v>58.585999999999999</v>
      </c>
      <c r="M460" s="4">
        <v>58.585999999999999</v>
      </c>
      <c r="N460" s="4">
        <v>58.585999999999999</v>
      </c>
      <c r="O460" s="4">
        <v>58.585999999999999</v>
      </c>
      <c r="P460" s="4">
        <v>0</v>
      </c>
      <c r="Q460" s="3" t="s">
        <v>26</v>
      </c>
      <c r="R460" s="3">
        <v>0</v>
      </c>
      <c r="S460" s="3" t="s">
        <v>140</v>
      </c>
      <c r="T460" s="3" t="s">
        <v>354</v>
      </c>
      <c r="U460" s="3">
        <v>0</v>
      </c>
      <c r="V460" s="3">
        <v>11</v>
      </c>
      <c r="W460" s="3">
        <v>71</v>
      </c>
    </row>
    <row r="461" spans="1:23" ht="11.25" customHeight="1" x14ac:dyDescent="0.25">
      <c r="A461" s="3" t="s">
        <v>21</v>
      </c>
      <c r="B461" s="3" t="s">
        <v>39</v>
      </c>
      <c r="C461" s="3" t="s">
        <v>41</v>
      </c>
      <c r="D461" s="3" t="s">
        <v>45</v>
      </c>
      <c r="E461" s="3" t="s">
        <v>25</v>
      </c>
      <c r="F461" s="3" t="s">
        <v>25</v>
      </c>
      <c r="G461" s="3" t="s">
        <v>25</v>
      </c>
      <c r="H461" s="3" t="s">
        <v>34</v>
      </c>
      <c r="I461" s="6">
        <v>44531</v>
      </c>
      <c r="J461" s="4">
        <v>0</v>
      </c>
      <c r="K461" s="4">
        <v>0</v>
      </c>
      <c r="L461" s="4">
        <v>269.33999999999997</v>
      </c>
      <c r="M461" s="4">
        <v>269.33999999999997</v>
      </c>
      <c r="N461" s="4">
        <v>269.33999999999997</v>
      </c>
      <c r="O461" s="4">
        <v>269.33999999999997</v>
      </c>
      <c r="P461" s="4">
        <v>0</v>
      </c>
      <c r="Q461" s="3" t="s">
        <v>26</v>
      </c>
      <c r="R461" s="3">
        <v>0</v>
      </c>
      <c r="S461" s="3" t="s">
        <v>141</v>
      </c>
      <c r="T461" s="3" t="s">
        <v>355</v>
      </c>
      <c r="U461" s="3">
        <v>0</v>
      </c>
      <c r="V461" s="3">
        <v>11</v>
      </c>
      <c r="W461" s="3">
        <v>71</v>
      </c>
    </row>
    <row r="462" spans="1:23" ht="11.25" customHeight="1" x14ac:dyDescent="0.25">
      <c r="A462" s="3" t="s">
        <v>28</v>
      </c>
      <c r="B462" s="3" t="s">
        <v>39</v>
      </c>
      <c r="C462" s="3" t="s">
        <v>41</v>
      </c>
      <c r="D462" s="3" t="s">
        <v>45</v>
      </c>
      <c r="E462" s="3" t="s">
        <v>25</v>
      </c>
      <c r="F462" s="3" t="s">
        <v>25</v>
      </c>
      <c r="G462" s="3" t="s">
        <v>25</v>
      </c>
      <c r="H462" s="3" t="s">
        <v>34</v>
      </c>
      <c r="I462" s="6">
        <v>44531</v>
      </c>
      <c r="J462" s="4">
        <v>0</v>
      </c>
      <c r="K462" s="4">
        <v>0</v>
      </c>
      <c r="L462" s="4">
        <v>58.530999999999999</v>
      </c>
      <c r="M462" s="4">
        <v>58.530999999999999</v>
      </c>
      <c r="N462" s="4">
        <v>58.530999999999999</v>
      </c>
      <c r="O462" s="4">
        <v>58.530999999999999</v>
      </c>
      <c r="P462" s="4">
        <v>0</v>
      </c>
      <c r="Q462" s="3" t="s">
        <v>26</v>
      </c>
      <c r="R462" s="3">
        <v>0</v>
      </c>
      <c r="S462" s="3" t="s">
        <v>141</v>
      </c>
      <c r="T462" s="3" t="s">
        <v>355</v>
      </c>
      <c r="U462" s="3">
        <v>0</v>
      </c>
      <c r="V462" s="3">
        <v>11</v>
      </c>
      <c r="W462" s="3">
        <v>71</v>
      </c>
    </row>
    <row r="463" spans="1:23" ht="11.25" customHeight="1" x14ac:dyDescent="0.25">
      <c r="A463" s="3" t="s">
        <v>28</v>
      </c>
      <c r="B463" s="3" t="s">
        <v>39</v>
      </c>
      <c r="C463" s="3" t="s">
        <v>41</v>
      </c>
      <c r="D463" s="3" t="s">
        <v>45</v>
      </c>
      <c r="E463" s="3" t="s">
        <v>25</v>
      </c>
      <c r="F463" s="3" t="s">
        <v>25</v>
      </c>
      <c r="G463" s="3" t="s">
        <v>25</v>
      </c>
      <c r="H463" s="3" t="s">
        <v>34</v>
      </c>
      <c r="I463" s="6">
        <v>44531</v>
      </c>
      <c r="J463" s="4">
        <v>0</v>
      </c>
      <c r="K463" s="4">
        <v>0</v>
      </c>
      <c r="L463" s="4">
        <v>6.8000000000000005E-2</v>
      </c>
      <c r="M463" s="4">
        <v>6.8000000000000005E-2</v>
      </c>
      <c r="N463" s="4">
        <v>6.8000000000000005E-2</v>
      </c>
      <c r="O463" s="4">
        <v>6.8000000000000005E-2</v>
      </c>
      <c r="P463" s="4">
        <v>0</v>
      </c>
      <c r="Q463" s="3" t="s">
        <v>26</v>
      </c>
      <c r="R463" s="3">
        <v>0</v>
      </c>
      <c r="S463" s="3" t="s">
        <v>141</v>
      </c>
      <c r="T463" s="3" t="s">
        <v>355</v>
      </c>
      <c r="U463" s="3">
        <v>0</v>
      </c>
      <c r="V463" s="3">
        <v>11</v>
      </c>
      <c r="W463" s="3">
        <v>71</v>
      </c>
    </row>
    <row r="464" spans="1:23" ht="11.25" customHeight="1" x14ac:dyDescent="0.25">
      <c r="A464" s="3" t="s">
        <v>21</v>
      </c>
      <c r="B464" s="3" t="s">
        <v>39</v>
      </c>
      <c r="C464" s="3" t="s">
        <v>41</v>
      </c>
      <c r="D464" s="3" t="s">
        <v>45</v>
      </c>
      <c r="E464" s="3" t="s">
        <v>25</v>
      </c>
      <c r="F464" s="3" t="s">
        <v>25</v>
      </c>
      <c r="G464" s="3" t="s">
        <v>25</v>
      </c>
      <c r="H464" s="3" t="s">
        <v>34</v>
      </c>
      <c r="I464" s="6">
        <v>44562</v>
      </c>
      <c r="J464" s="4">
        <v>0</v>
      </c>
      <c r="K464" s="4">
        <v>0</v>
      </c>
      <c r="L464" s="4">
        <v>248.065</v>
      </c>
      <c r="M464" s="4">
        <v>248.065</v>
      </c>
      <c r="N464" s="4">
        <v>248.065</v>
      </c>
      <c r="O464" s="4">
        <v>248.065</v>
      </c>
      <c r="P464" s="4">
        <v>0</v>
      </c>
      <c r="Q464" s="3" t="s">
        <v>26</v>
      </c>
      <c r="R464" s="3">
        <v>0</v>
      </c>
      <c r="S464" s="3" t="s">
        <v>142</v>
      </c>
      <c r="T464" s="3" t="s">
        <v>356</v>
      </c>
      <c r="U464" s="3">
        <v>0</v>
      </c>
      <c r="V464" s="3">
        <v>11</v>
      </c>
      <c r="W464" s="3">
        <v>71</v>
      </c>
    </row>
    <row r="465" spans="1:23" ht="11.25" customHeight="1" x14ac:dyDescent="0.25">
      <c r="A465" s="3" t="s">
        <v>28</v>
      </c>
      <c r="B465" s="3" t="s">
        <v>39</v>
      </c>
      <c r="C465" s="3" t="s">
        <v>41</v>
      </c>
      <c r="D465" s="3" t="s">
        <v>45</v>
      </c>
      <c r="E465" s="3" t="s">
        <v>25</v>
      </c>
      <c r="F465" s="3" t="s">
        <v>25</v>
      </c>
      <c r="G465" s="3" t="s">
        <v>25</v>
      </c>
      <c r="H465" s="3" t="s">
        <v>34</v>
      </c>
      <c r="I465" s="6">
        <v>44562</v>
      </c>
      <c r="J465" s="4">
        <v>0</v>
      </c>
      <c r="K465" s="4">
        <v>0</v>
      </c>
      <c r="L465" s="4">
        <v>48.377000000000002</v>
      </c>
      <c r="M465" s="4">
        <v>48.377000000000002</v>
      </c>
      <c r="N465" s="4">
        <v>48.377000000000002</v>
      </c>
      <c r="O465" s="4">
        <v>48.377000000000002</v>
      </c>
      <c r="P465" s="4">
        <v>0</v>
      </c>
      <c r="Q465" s="3" t="s">
        <v>26</v>
      </c>
      <c r="R465" s="3">
        <v>0</v>
      </c>
      <c r="S465" s="3" t="s">
        <v>142</v>
      </c>
      <c r="T465" s="3" t="s">
        <v>356</v>
      </c>
      <c r="U465" s="3">
        <v>0</v>
      </c>
      <c r="V465" s="3">
        <v>11</v>
      </c>
      <c r="W465" s="3">
        <v>71</v>
      </c>
    </row>
    <row r="466" spans="1:23" ht="11.25" customHeight="1" x14ac:dyDescent="0.25">
      <c r="A466" s="3" t="s">
        <v>21</v>
      </c>
      <c r="B466" s="3" t="s">
        <v>39</v>
      </c>
      <c r="C466" s="3" t="s">
        <v>41</v>
      </c>
      <c r="D466" s="3" t="s">
        <v>45</v>
      </c>
      <c r="E466" s="3" t="s">
        <v>25</v>
      </c>
      <c r="F466" s="3" t="s">
        <v>25</v>
      </c>
      <c r="G466" s="3" t="s">
        <v>25</v>
      </c>
      <c r="H466" s="3" t="s">
        <v>34</v>
      </c>
      <c r="I466" s="6">
        <v>44593</v>
      </c>
      <c r="J466" s="4">
        <v>0</v>
      </c>
      <c r="K466" s="4">
        <v>0</v>
      </c>
      <c r="L466" s="4">
        <v>261.08100000000002</v>
      </c>
      <c r="M466" s="4">
        <v>261.08100000000002</v>
      </c>
      <c r="N466" s="4">
        <v>261.08100000000002</v>
      </c>
      <c r="O466" s="4">
        <v>261.08100000000002</v>
      </c>
      <c r="P466" s="4">
        <v>0</v>
      </c>
      <c r="Q466" s="3" t="s">
        <v>26</v>
      </c>
      <c r="R466" s="3">
        <v>0</v>
      </c>
      <c r="S466" s="3" t="s">
        <v>143</v>
      </c>
      <c r="T466" s="3" t="s">
        <v>357</v>
      </c>
      <c r="U466" s="3">
        <v>0</v>
      </c>
      <c r="V466" s="3">
        <v>11</v>
      </c>
      <c r="W466" s="3">
        <v>71</v>
      </c>
    </row>
    <row r="467" spans="1:23" ht="11.25" customHeight="1" x14ac:dyDescent="0.25">
      <c r="A467" s="3" t="s">
        <v>28</v>
      </c>
      <c r="B467" s="3" t="s">
        <v>39</v>
      </c>
      <c r="C467" s="3" t="s">
        <v>41</v>
      </c>
      <c r="D467" s="3" t="s">
        <v>45</v>
      </c>
      <c r="E467" s="3" t="s">
        <v>25</v>
      </c>
      <c r="F467" s="3" t="s">
        <v>25</v>
      </c>
      <c r="G467" s="3" t="s">
        <v>25</v>
      </c>
      <c r="H467" s="3" t="s">
        <v>34</v>
      </c>
      <c r="I467" s="6">
        <v>44593</v>
      </c>
      <c r="J467" s="4">
        <v>0</v>
      </c>
      <c r="K467" s="4">
        <v>0</v>
      </c>
      <c r="L467" s="4">
        <v>53.21</v>
      </c>
      <c r="M467" s="4">
        <v>53.21</v>
      </c>
      <c r="N467" s="4">
        <v>53.21</v>
      </c>
      <c r="O467" s="4">
        <v>53.21</v>
      </c>
      <c r="P467" s="4">
        <v>0</v>
      </c>
      <c r="Q467" s="3" t="s">
        <v>26</v>
      </c>
      <c r="R467" s="3">
        <v>0</v>
      </c>
      <c r="S467" s="3" t="s">
        <v>143</v>
      </c>
      <c r="T467" s="3" t="s">
        <v>357</v>
      </c>
      <c r="U467" s="3">
        <v>0</v>
      </c>
      <c r="V467" s="3">
        <v>11</v>
      </c>
      <c r="W467" s="3">
        <v>71</v>
      </c>
    </row>
    <row r="468" spans="1:23" ht="11.25" customHeight="1" x14ac:dyDescent="0.25">
      <c r="A468" s="3" t="s">
        <v>21</v>
      </c>
      <c r="B468" s="3" t="s">
        <v>39</v>
      </c>
      <c r="C468" s="3" t="s">
        <v>41</v>
      </c>
      <c r="D468" s="3" t="s">
        <v>45</v>
      </c>
      <c r="E468" s="3" t="s">
        <v>25</v>
      </c>
      <c r="F468" s="3" t="s">
        <v>25</v>
      </c>
      <c r="G468" s="3" t="s">
        <v>25</v>
      </c>
      <c r="H468" s="3" t="s">
        <v>34</v>
      </c>
      <c r="I468" s="6">
        <v>44621</v>
      </c>
      <c r="J468" s="4">
        <v>0</v>
      </c>
      <c r="K468" s="4">
        <v>0</v>
      </c>
      <c r="L468" s="4">
        <v>281.98899999999998</v>
      </c>
      <c r="M468" s="4">
        <v>281.98899999999998</v>
      </c>
      <c r="N468" s="4">
        <v>281.98899999999998</v>
      </c>
      <c r="O468" s="4">
        <v>281.98899999999998</v>
      </c>
      <c r="P468" s="4">
        <v>0</v>
      </c>
      <c r="Q468" s="3" t="s">
        <v>26</v>
      </c>
      <c r="R468" s="3">
        <v>0</v>
      </c>
      <c r="S468" s="3" t="s">
        <v>144</v>
      </c>
      <c r="T468" s="3" t="s">
        <v>358</v>
      </c>
      <c r="U468" s="3">
        <v>0</v>
      </c>
      <c r="V468" s="3">
        <v>11</v>
      </c>
      <c r="W468" s="3">
        <v>71</v>
      </c>
    </row>
    <row r="469" spans="1:23" ht="11.25" customHeight="1" x14ac:dyDescent="0.25">
      <c r="A469" s="3" t="s">
        <v>28</v>
      </c>
      <c r="B469" s="3" t="s">
        <v>39</v>
      </c>
      <c r="C469" s="3" t="s">
        <v>41</v>
      </c>
      <c r="D469" s="3" t="s">
        <v>45</v>
      </c>
      <c r="E469" s="3" t="s">
        <v>25</v>
      </c>
      <c r="F469" s="3" t="s">
        <v>25</v>
      </c>
      <c r="G469" s="3" t="s">
        <v>25</v>
      </c>
      <c r="H469" s="3" t="s">
        <v>34</v>
      </c>
      <c r="I469" s="6">
        <v>44621</v>
      </c>
      <c r="J469" s="4">
        <v>0</v>
      </c>
      <c r="K469" s="4">
        <v>0</v>
      </c>
      <c r="L469" s="4">
        <v>63.463999999999999</v>
      </c>
      <c r="M469" s="4">
        <v>63.463999999999999</v>
      </c>
      <c r="N469" s="4">
        <v>63.463999999999999</v>
      </c>
      <c r="O469" s="4">
        <v>63.463999999999999</v>
      </c>
      <c r="P469" s="4">
        <v>0</v>
      </c>
      <c r="Q469" s="3" t="s">
        <v>26</v>
      </c>
      <c r="R469" s="3">
        <v>0</v>
      </c>
      <c r="S469" s="3" t="s">
        <v>144</v>
      </c>
      <c r="T469" s="3" t="s">
        <v>358</v>
      </c>
      <c r="U469" s="3">
        <v>0</v>
      </c>
      <c r="V469" s="3">
        <v>11</v>
      </c>
      <c r="W469" s="3">
        <v>71</v>
      </c>
    </row>
    <row r="470" spans="1:23" ht="11.25" customHeight="1" x14ac:dyDescent="0.25">
      <c r="A470" s="3" t="s">
        <v>21</v>
      </c>
      <c r="B470" s="3" t="s">
        <v>39</v>
      </c>
      <c r="C470" s="3" t="s">
        <v>41</v>
      </c>
      <c r="D470" s="3" t="s">
        <v>45</v>
      </c>
      <c r="E470" s="3" t="s">
        <v>25</v>
      </c>
      <c r="F470" s="3" t="s">
        <v>25</v>
      </c>
      <c r="G470" s="3" t="s">
        <v>25</v>
      </c>
      <c r="H470" s="3" t="s">
        <v>34</v>
      </c>
      <c r="I470" s="6">
        <v>44652</v>
      </c>
      <c r="J470" s="4">
        <v>0</v>
      </c>
      <c r="K470" s="4">
        <v>0</v>
      </c>
      <c r="L470" s="4">
        <v>281.98899999999998</v>
      </c>
      <c r="M470" s="4">
        <v>281.98899999999998</v>
      </c>
      <c r="N470" s="4">
        <v>281.98899999999998</v>
      </c>
      <c r="O470" s="4">
        <v>281.98899999999998</v>
      </c>
      <c r="P470" s="4">
        <v>0</v>
      </c>
      <c r="Q470" s="3" t="s">
        <v>26</v>
      </c>
      <c r="R470" s="3">
        <v>0</v>
      </c>
      <c r="S470" s="3" t="s">
        <v>145</v>
      </c>
      <c r="T470" s="3" t="s">
        <v>359</v>
      </c>
      <c r="U470" s="3">
        <v>0</v>
      </c>
      <c r="V470" s="3">
        <v>11</v>
      </c>
      <c r="W470" s="3">
        <v>71</v>
      </c>
    </row>
    <row r="471" spans="1:23" ht="11.25" customHeight="1" x14ac:dyDescent="0.25">
      <c r="A471" s="3" t="s">
        <v>28</v>
      </c>
      <c r="B471" s="3" t="s">
        <v>39</v>
      </c>
      <c r="C471" s="3" t="s">
        <v>41</v>
      </c>
      <c r="D471" s="3" t="s">
        <v>45</v>
      </c>
      <c r="E471" s="3" t="s">
        <v>25</v>
      </c>
      <c r="F471" s="3" t="s">
        <v>25</v>
      </c>
      <c r="G471" s="3" t="s">
        <v>25</v>
      </c>
      <c r="H471" s="3" t="s">
        <v>34</v>
      </c>
      <c r="I471" s="6">
        <v>44652</v>
      </c>
      <c r="J471" s="4">
        <v>0</v>
      </c>
      <c r="K471" s="4">
        <v>0</v>
      </c>
      <c r="L471" s="4">
        <v>63.463999999999999</v>
      </c>
      <c r="M471" s="4">
        <v>63.463999999999999</v>
      </c>
      <c r="N471" s="4">
        <v>63.463999999999999</v>
      </c>
      <c r="O471" s="4">
        <v>63.463999999999999</v>
      </c>
      <c r="P471" s="4">
        <v>0</v>
      </c>
      <c r="Q471" s="3" t="s">
        <v>26</v>
      </c>
      <c r="R471" s="3">
        <v>0</v>
      </c>
      <c r="S471" s="3" t="s">
        <v>145</v>
      </c>
      <c r="T471" s="3" t="s">
        <v>359</v>
      </c>
      <c r="U471" s="3">
        <v>0</v>
      </c>
      <c r="V471" s="3">
        <v>11</v>
      </c>
      <c r="W471" s="3">
        <v>71</v>
      </c>
    </row>
    <row r="472" spans="1:23" ht="11.25" customHeight="1" x14ac:dyDescent="0.25">
      <c r="A472" s="3" t="s">
        <v>21</v>
      </c>
      <c r="B472" s="3" t="s">
        <v>39</v>
      </c>
      <c r="C472" s="3" t="s">
        <v>41</v>
      </c>
      <c r="D472" s="3" t="s">
        <v>45</v>
      </c>
      <c r="E472" s="3" t="s">
        <v>25</v>
      </c>
      <c r="F472" s="3" t="s">
        <v>25</v>
      </c>
      <c r="G472" s="3" t="s">
        <v>25</v>
      </c>
      <c r="H472" s="3" t="s">
        <v>34</v>
      </c>
      <c r="I472" s="6">
        <v>44682</v>
      </c>
      <c r="J472" s="4">
        <v>0</v>
      </c>
      <c r="K472" s="4">
        <v>0</v>
      </c>
      <c r="L472" s="4">
        <v>272.85399999999998</v>
      </c>
      <c r="M472" s="4">
        <v>272.85399999999998</v>
      </c>
      <c r="N472" s="4">
        <v>272.85399999999998</v>
      </c>
      <c r="O472" s="4">
        <v>272.85399999999998</v>
      </c>
      <c r="P472" s="4">
        <v>0</v>
      </c>
      <c r="Q472" s="3" t="s">
        <v>26</v>
      </c>
      <c r="R472" s="3">
        <v>0</v>
      </c>
      <c r="S472" s="3" t="s">
        <v>146</v>
      </c>
      <c r="T472" s="3" t="s">
        <v>360</v>
      </c>
      <c r="U472" s="3">
        <v>0</v>
      </c>
      <c r="V472" s="3">
        <v>11</v>
      </c>
      <c r="W472" s="3">
        <v>71</v>
      </c>
    </row>
    <row r="473" spans="1:23" ht="11.25" customHeight="1" x14ac:dyDescent="0.25">
      <c r="A473" s="3" t="s">
        <v>27</v>
      </c>
      <c r="B473" s="3" t="s">
        <v>39</v>
      </c>
      <c r="C473" s="3" t="s">
        <v>41</v>
      </c>
      <c r="D473" s="3" t="s">
        <v>45</v>
      </c>
      <c r="E473" s="3" t="s">
        <v>25</v>
      </c>
      <c r="F473" s="3" t="s">
        <v>25</v>
      </c>
      <c r="G473" s="3" t="s">
        <v>25</v>
      </c>
      <c r="H473" s="3" t="s">
        <v>34</v>
      </c>
      <c r="I473" s="6">
        <v>44682</v>
      </c>
      <c r="J473" s="4">
        <v>0</v>
      </c>
      <c r="K473" s="4">
        <v>0</v>
      </c>
      <c r="L473" s="4">
        <v>7.2320000000000002</v>
      </c>
      <c r="M473" s="4">
        <v>7.2320000000000002</v>
      </c>
      <c r="N473" s="4">
        <v>7.2320000000000002</v>
      </c>
      <c r="O473" s="4">
        <v>7.2320000000000002</v>
      </c>
      <c r="P473" s="4">
        <v>0</v>
      </c>
      <c r="Q473" s="3" t="s">
        <v>26</v>
      </c>
      <c r="R473" s="3">
        <v>0</v>
      </c>
      <c r="S473" s="3" t="s">
        <v>146</v>
      </c>
      <c r="T473" s="3" t="s">
        <v>360</v>
      </c>
      <c r="U473" s="3">
        <v>0</v>
      </c>
      <c r="V473" s="3">
        <v>11</v>
      </c>
      <c r="W473" s="3">
        <v>71</v>
      </c>
    </row>
    <row r="474" spans="1:23" ht="11.25" customHeight="1" x14ac:dyDescent="0.25">
      <c r="A474" s="3" t="s">
        <v>28</v>
      </c>
      <c r="B474" s="3" t="s">
        <v>39</v>
      </c>
      <c r="C474" s="3" t="s">
        <v>41</v>
      </c>
      <c r="D474" s="3" t="s">
        <v>45</v>
      </c>
      <c r="E474" s="3" t="s">
        <v>25</v>
      </c>
      <c r="F474" s="3" t="s">
        <v>25</v>
      </c>
      <c r="G474" s="3" t="s">
        <v>25</v>
      </c>
      <c r="H474" s="3" t="s">
        <v>34</v>
      </c>
      <c r="I474" s="6">
        <v>44682</v>
      </c>
      <c r="J474" s="4">
        <v>0</v>
      </c>
      <c r="K474" s="4">
        <v>0</v>
      </c>
      <c r="L474" s="4">
        <v>308.32</v>
      </c>
      <c r="M474" s="4">
        <v>308.32</v>
      </c>
      <c r="N474" s="4">
        <v>308.32</v>
      </c>
      <c r="O474" s="4">
        <v>308.32</v>
      </c>
      <c r="P474" s="4">
        <v>0</v>
      </c>
      <c r="Q474" s="3" t="s">
        <v>26</v>
      </c>
      <c r="R474" s="3">
        <v>0</v>
      </c>
      <c r="S474" s="3" t="s">
        <v>146</v>
      </c>
      <c r="T474" s="3" t="s">
        <v>360</v>
      </c>
      <c r="U474" s="3">
        <v>0</v>
      </c>
      <c r="V474" s="3">
        <v>11</v>
      </c>
      <c r="W474" s="3">
        <v>71</v>
      </c>
    </row>
    <row r="475" spans="1:23" ht="11.25" customHeight="1" x14ac:dyDescent="0.25">
      <c r="A475" s="3" t="s">
        <v>21</v>
      </c>
      <c r="B475" s="3" t="s">
        <v>39</v>
      </c>
      <c r="C475" s="3" t="s">
        <v>41</v>
      </c>
      <c r="D475" s="3" t="s">
        <v>45</v>
      </c>
      <c r="E475" s="3" t="s">
        <v>25</v>
      </c>
      <c r="F475" s="3" t="s">
        <v>25</v>
      </c>
      <c r="G475" s="3" t="s">
        <v>25</v>
      </c>
      <c r="H475" s="3" t="s">
        <v>34</v>
      </c>
      <c r="I475" s="6">
        <v>44713</v>
      </c>
      <c r="J475" s="4">
        <v>0</v>
      </c>
      <c r="K475" s="4">
        <v>0</v>
      </c>
      <c r="L475" s="4">
        <v>258.82499999999999</v>
      </c>
      <c r="M475" s="4">
        <v>258.82499999999999</v>
      </c>
      <c r="N475" s="4">
        <v>258.82499999999999</v>
      </c>
      <c r="O475" s="4">
        <v>258.82499999999999</v>
      </c>
      <c r="P475" s="4">
        <v>0</v>
      </c>
      <c r="Q475" s="3" t="s">
        <v>26</v>
      </c>
      <c r="R475" s="3">
        <v>0</v>
      </c>
      <c r="S475" s="3" t="s">
        <v>147</v>
      </c>
      <c r="T475" s="3" t="s">
        <v>361</v>
      </c>
      <c r="U475" s="3">
        <v>0</v>
      </c>
      <c r="V475" s="3">
        <v>11</v>
      </c>
      <c r="W475" s="3">
        <v>71</v>
      </c>
    </row>
    <row r="476" spans="1:23" ht="11.25" customHeight="1" x14ac:dyDescent="0.25">
      <c r="A476" s="3" t="s">
        <v>27</v>
      </c>
      <c r="B476" s="3" t="s">
        <v>39</v>
      </c>
      <c r="C476" s="3" t="s">
        <v>41</v>
      </c>
      <c r="D476" s="3" t="s">
        <v>45</v>
      </c>
      <c r="E476" s="3" t="s">
        <v>25</v>
      </c>
      <c r="F476" s="3" t="s">
        <v>25</v>
      </c>
      <c r="G476" s="3" t="s">
        <v>25</v>
      </c>
      <c r="H476" s="3" t="s">
        <v>34</v>
      </c>
      <c r="I476" s="6">
        <v>44713</v>
      </c>
      <c r="J476" s="4">
        <v>0</v>
      </c>
      <c r="K476" s="4">
        <v>0</v>
      </c>
      <c r="L476" s="4">
        <v>6.3159999999999998</v>
      </c>
      <c r="M476" s="4">
        <v>6.3159999999999998</v>
      </c>
      <c r="N476" s="4">
        <v>6.3159999999999998</v>
      </c>
      <c r="O476" s="4">
        <v>6.3159999999999998</v>
      </c>
      <c r="P476" s="4">
        <v>0</v>
      </c>
      <c r="Q476" s="3" t="s">
        <v>26</v>
      </c>
      <c r="R476" s="3">
        <v>0</v>
      </c>
      <c r="S476" s="3" t="s">
        <v>147</v>
      </c>
      <c r="T476" s="3" t="s">
        <v>361</v>
      </c>
      <c r="U476" s="3">
        <v>0</v>
      </c>
      <c r="V476" s="3">
        <v>11</v>
      </c>
      <c r="W476" s="3">
        <v>71</v>
      </c>
    </row>
    <row r="477" spans="1:23" ht="11.25" customHeight="1" x14ac:dyDescent="0.25">
      <c r="A477" s="3" t="s">
        <v>28</v>
      </c>
      <c r="B477" s="3" t="s">
        <v>39</v>
      </c>
      <c r="C477" s="3" t="s">
        <v>41</v>
      </c>
      <c r="D477" s="3" t="s">
        <v>45</v>
      </c>
      <c r="E477" s="3" t="s">
        <v>25</v>
      </c>
      <c r="F477" s="3" t="s">
        <v>25</v>
      </c>
      <c r="G477" s="3" t="s">
        <v>25</v>
      </c>
      <c r="H477" s="3" t="s">
        <v>34</v>
      </c>
      <c r="I477" s="6">
        <v>44713</v>
      </c>
      <c r="J477" s="4">
        <v>0</v>
      </c>
      <c r="K477" s="4">
        <v>0</v>
      </c>
      <c r="L477" s="4">
        <v>75.061999999999998</v>
      </c>
      <c r="M477" s="4">
        <v>75.061999999999998</v>
      </c>
      <c r="N477" s="4">
        <v>75.061999999999998</v>
      </c>
      <c r="O477" s="4">
        <v>75.061999999999998</v>
      </c>
      <c r="P477" s="4">
        <v>0</v>
      </c>
      <c r="Q477" s="3" t="s">
        <v>26</v>
      </c>
      <c r="R477" s="3">
        <v>0</v>
      </c>
      <c r="S477" s="3" t="s">
        <v>147</v>
      </c>
      <c r="T477" s="3" t="s">
        <v>361</v>
      </c>
      <c r="U477" s="3">
        <v>0</v>
      </c>
      <c r="V477" s="3">
        <v>11</v>
      </c>
      <c r="W477" s="3">
        <v>71</v>
      </c>
    </row>
    <row r="478" spans="1:23" ht="11.25" customHeight="1" x14ac:dyDescent="0.25">
      <c r="A478" s="3" t="s">
        <v>21</v>
      </c>
      <c r="B478" s="3" t="s">
        <v>39</v>
      </c>
      <c r="C478" s="3" t="s">
        <v>41</v>
      </c>
      <c r="D478" s="3" t="s">
        <v>45</v>
      </c>
      <c r="E478" s="3" t="s">
        <v>25</v>
      </c>
      <c r="F478" s="3" t="s">
        <v>25</v>
      </c>
      <c r="G478" s="3" t="s">
        <v>25</v>
      </c>
      <c r="H478" s="3" t="s">
        <v>34</v>
      </c>
      <c r="I478" s="6">
        <v>44743</v>
      </c>
      <c r="J478" s="4">
        <v>0</v>
      </c>
      <c r="K478" s="4">
        <v>0</v>
      </c>
      <c r="L478" s="4">
        <v>251.92099999999999</v>
      </c>
      <c r="M478" s="4">
        <v>251.92099999999999</v>
      </c>
      <c r="N478" s="4">
        <v>251.92099999999999</v>
      </c>
      <c r="O478" s="4">
        <v>251.92099999999999</v>
      </c>
      <c r="P478" s="4">
        <v>0</v>
      </c>
      <c r="Q478" s="3" t="s">
        <v>26</v>
      </c>
      <c r="R478" s="3">
        <v>0</v>
      </c>
      <c r="S478" s="3" t="s">
        <v>148</v>
      </c>
      <c r="T478" s="3" t="s">
        <v>362</v>
      </c>
      <c r="U478" s="3">
        <v>0</v>
      </c>
      <c r="V478" s="3">
        <v>11</v>
      </c>
      <c r="W478" s="3">
        <v>71</v>
      </c>
    </row>
    <row r="479" spans="1:23" ht="11.25" customHeight="1" x14ac:dyDescent="0.25">
      <c r="A479" s="3" t="s">
        <v>27</v>
      </c>
      <c r="B479" s="3" t="s">
        <v>39</v>
      </c>
      <c r="C479" s="3" t="s">
        <v>41</v>
      </c>
      <c r="D479" s="3" t="s">
        <v>45</v>
      </c>
      <c r="E479" s="3" t="s">
        <v>25</v>
      </c>
      <c r="F479" s="3" t="s">
        <v>25</v>
      </c>
      <c r="G479" s="3" t="s">
        <v>25</v>
      </c>
      <c r="H479" s="3" t="s">
        <v>34</v>
      </c>
      <c r="I479" s="6">
        <v>44743</v>
      </c>
      <c r="J479" s="4">
        <v>0</v>
      </c>
      <c r="K479" s="4">
        <v>0</v>
      </c>
      <c r="L479" s="4">
        <v>0.41</v>
      </c>
      <c r="M479" s="4">
        <v>0.41</v>
      </c>
      <c r="N479" s="4">
        <v>0.41</v>
      </c>
      <c r="O479" s="4">
        <v>0.41</v>
      </c>
      <c r="P479" s="4">
        <v>0</v>
      </c>
      <c r="Q479" s="3" t="s">
        <v>26</v>
      </c>
      <c r="R479" s="3">
        <v>0</v>
      </c>
      <c r="S479" s="3" t="s">
        <v>148</v>
      </c>
      <c r="T479" s="3" t="s">
        <v>362</v>
      </c>
      <c r="U479" s="3">
        <v>0</v>
      </c>
      <c r="V479" s="3">
        <v>11</v>
      </c>
      <c r="W479" s="3">
        <v>71</v>
      </c>
    </row>
    <row r="480" spans="1:23" ht="11.25" customHeight="1" x14ac:dyDescent="0.25">
      <c r="A480" s="3" t="s">
        <v>28</v>
      </c>
      <c r="B480" s="3" t="s">
        <v>39</v>
      </c>
      <c r="C480" s="3" t="s">
        <v>41</v>
      </c>
      <c r="D480" s="3" t="s">
        <v>45</v>
      </c>
      <c r="E480" s="3" t="s">
        <v>25</v>
      </c>
      <c r="F480" s="3" t="s">
        <v>25</v>
      </c>
      <c r="G480" s="3" t="s">
        <v>25</v>
      </c>
      <c r="H480" s="3" t="s">
        <v>34</v>
      </c>
      <c r="I480" s="6">
        <v>44743</v>
      </c>
      <c r="J480" s="4">
        <v>0</v>
      </c>
      <c r="K480" s="4">
        <v>0</v>
      </c>
      <c r="L480" s="4">
        <v>73.111000000000004</v>
      </c>
      <c r="M480" s="4">
        <v>73.111000000000004</v>
      </c>
      <c r="N480" s="4">
        <v>73.111000000000004</v>
      </c>
      <c r="O480" s="4">
        <v>73.111000000000004</v>
      </c>
      <c r="P480" s="4">
        <v>0</v>
      </c>
      <c r="Q480" s="3" t="s">
        <v>26</v>
      </c>
      <c r="R480" s="3">
        <v>0</v>
      </c>
      <c r="S480" s="3" t="s">
        <v>148</v>
      </c>
      <c r="T480" s="3" t="s">
        <v>362</v>
      </c>
      <c r="U480" s="3">
        <v>0</v>
      </c>
      <c r="V480" s="3">
        <v>11</v>
      </c>
      <c r="W480" s="3">
        <v>71</v>
      </c>
    </row>
    <row r="481" spans="1:23" ht="11.25" customHeight="1" x14ac:dyDescent="0.25">
      <c r="A481" s="3" t="s">
        <v>21</v>
      </c>
      <c r="B481" s="3" t="s">
        <v>39</v>
      </c>
      <c r="C481" s="3" t="s">
        <v>41</v>
      </c>
      <c r="D481" s="3" t="s">
        <v>45</v>
      </c>
      <c r="E481" s="3" t="s">
        <v>25</v>
      </c>
      <c r="F481" s="3" t="s">
        <v>25</v>
      </c>
      <c r="G481" s="3" t="s">
        <v>25</v>
      </c>
      <c r="H481" s="3" t="s">
        <v>34</v>
      </c>
      <c r="I481" s="6">
        <v>44774</v>
      </c>
      <c r="J481" s="4">
        <v>0</v>
      </c>
      <c r="K481" s="4">
        <v>0</v>
      </c>
      <c r="L481" s="4">
        <v>308.637</v>
      </c>
      <c r="M481" s="4">
        <v>308.637</v>
      </c>
      <c r="N481" s="4">
        <v>308.637</v>
      </c>
      <c r="O481" s="4">
        <v>308.637</v>
      </c>
      <c r="P481" s="4">
        <v>0</v>
      </c>
      <c r="Q481" s="3" t="s">
        <v>26</v>
      </c>
      <c r="R481" s="3">
        <v>0</v>
      </c>
      <c r="S481" s="3" t="s">
        <v>149</v>
      </c>
      <c r="T481" s="3" t="s">
        <v>363</v>
      </c>
      <c r="U481" s="3">
        <v>0</v>
      </c>
      <c r="V481" s="3">
        <v>11</v>
      </c>
      <c r="W481" s="3">
        <v>71</v>
      </c>
    </row>
    <row r="482" spans="1:23" ht="11.25" customHeight="1" x14ac:dyDescent="0.25">
      <c r="A482" s="3" t="s">
        <v>28</v>
      </c>
      <c r="B482" s="3" t="s">
        <v>39</v>
      </c>
      <c r="C482" s="3" t="s">
        <v>41</v>
      </c>
      <c r="D482" s="3" t="s">
        <v>45</v>
      </c>
      <c r="E482" s="3" t="s">
        <v>25</v>
      </c>
      <c r="F482" s="3" t="s">
        <v>25</v>
      </c>
      <c r="G482" s="3" t="s">
        <v>25</v>
      </c>
      <c r="H482" s="3" t="s">
        <v>34</v>
      </c>
      <c r="I482" s="6">
        <v>44774</v>
      </c>
      <c r="J482" s="4">
        <v>0</v>
      </c>
      <c r="K482" s="4">
        <v>0</v>
      </c>
      <c r="L482" s="4">
        <v>93.603999999999999</v>
      </c>
      <c r="M482" s="4">
        <v>93.603999999999999</v>
      </c>
      <c r="N482" s="4">
        <v>93.603999999999999</v>
      </c>
      <c r="O482" s="4">
        <v>93.603999999999999</v>
      </c>
      <c r="P482" s="4">
        <v>0</v>
      </c>
      <c r="Q482" s="3" t="s">
        <v>26</v>
      </c>
      <c r="R482" s="3">
        <v>0</v>
      </c>
      <c r="S482" s="3" t="s">
        <v>149</v>
      </c>
      <c r="T482" s="3" t="s">
        <v>363</v>
      </c>
      <c r="U482" s="3">
        <v>0</v>
      </c>
      <c r="V482" s="3">
        <v>11</v>
      </c>
      <c r="W482" s="3">
        <v>71</v>
      </c>
    </row>
    <row r="483" spans="1:23" ht="11.25" customHeight="1" x14ac:dyDescent="0.25">
      <c r="A483" s="3" t="s">
        <v>21</v>
      </c>
      <c r="B483" s="3" t="s">
        <v>39</v>
      </c>
      <c r="C483" s="3" t="s">
        <v>41</v>
      </c>
      <c r="D483" s="3" t="s">
        <v>45</v>
      </c>
      <c r="E483" s="3" t="s">
        <v>25</v>
      </c>
      <c r="F483" s="3" t="s">
        <v>25</v>
      </c>
      <c r="G483" s="3" t="s">
        <v>25</v>
      </c>
      <c r="H483" s="3" t="s">
        <v>34</v>
      </c>
      <c r="I483" s="6">
        <v>44805</v>
      </c>
      <c r="J483" s="4">
        <v>0</v>
      </c>
      <c r="K483" s="4">
        <v>0</v>
      </c>
      <c r="L483" s="4">
        <v>297.97500000000002</v>
      </c>
      <c r="M483" s="4">
        <v>297.97500000000002</v>
      </c>
      <c r="N483" s="4">
        <v>297.97500000000002</v>
      </c>
      <c r="O483" s="4">
        <v>297.97500000000002</v>
      </c>
      <c r="P483" s="4">
        <v>0</v>
      </c>
      <c r="Q483" s="3" t="s">
        <v>26</v>
      </c>
      <c r="R483" s="3">
        <v>0</v>
      </c>
      <c r="S483" s="3" t="s">
        <v>150</v>
      </c>
      <c r="T483" s="3" t="s">
        <v>364</v>
      </c>
      <c r="U483" s="3">
        <v>0</v>
      </c>
      <c r="V483" s="3">
        <v>11</v>
      </c>
      <c r="W483" s="3">
        <v>71</v>
      </c>
    </row>
    <row r="484" spans="1:23" ht="11.25" customHeight="1" x14ac:dyDescent="0.25">
      <c r="A484" s="3" t="s">
        <v>27</v>
      </c>
      <c r="B484" s="3" t="s">
        <v>39</v>
      </c>
      <c r="C484" s="3" t="s">
        <v>41</v>
      </c>
      <c r="D484" s="3" t="s">
        <v>45</v>
      </c>
      <c r="E484" s="3" t="s">
        <v>25</v>
      </c>
      <c r="F484" s="3" t="s">
        <v>25</v>
      </c>
      <c r="G484" s="3" t="s">
        <v>25</v>
      </c>
      <c r="H484" s="3" t="s">
        <v>34</v>
      </c>
      <c r="I484" s="6">
        <v>44805</v>
      </c>
      <c r="J484" s="4">
        <v>0</v>
      </c>
      <c r="K484" s="4">
        <v>0</v>
      </c>
      <c r="L484" s="4">
        <v>0.73</v>
      </c>
      <c r="M484" s="4">
        <v>0.73</v>
      </c>
      <c r="N484" s="4">
        <v>0.73</v>
      </c>
      <c r="O484" s="4">
        <v>0.73</v>
      </c>
      <c r="P484" s="4">
        <v>0</v>
      </c>
      <c r="Q484" s="3" t="s">
        <v>26</v>
      </c>
      <c r="R484" s="3">
        <v>0</v>
      </c>
      <c r="S484" s="3" t="s">
        <v>150</v>
      </c>
      <c r="T484" s="3" t="s">
        <v>364</v>
      </c>
      <c r="U484" s="3">
        <v>0</v>
      </c>
      <c r="V484" s="3">
        <v>11</v>
      </c>
      <c r="W484" s="3">
        <v>71</v>
      </c>
    </row>
    <row r="485" spans="1:23" ht="11.25" customHeight="1" x14ac:dyDescent="0.25">
      <c r="A485" s="3" t="s">
        <v>28</v>
      </c>
      <c r="B485" s="3" t="s">
        <v>39</v>
      </c>
      <c r="C485" s="3" t="s">
        <v>41</v>
      </c>
      <c r="D485" s="3" t="s">
        <v>45</v>
      </c>
      <c r="E485" s="3" t="s">
        <v>25</v>
      </c>
      <c r="F485" s="3" t="s">
        <v>25</v>
      </c>
      <c r="G485" s="3" t="s">
        <v>25</v>
      </c>
      <c r="H485" s="3" t="s">
        <v>34</v>
      </c>
      <c r="I485" s="6">
        <v>44805</v>
      </c>
      <c r="J485" s="4">
        <v>0</v>
      </c>
      <c r="K485" s="4">
        <v>0</v>
      </c>
      <c r="L485" s="4">
        <v>92.215000000000003</v>
      </c>
      <c r="M485" s="4">
        <v>92.215000000000003</v>
      </c>
      <c r="N485" s="4">
        <v>92.215000000000003</v>
      </c>
      <c r="O485" s="4">
        <v>92.215000000000003</v>
      </c>
      <c r="P485" s="4">
        <v>0</v>
      </c>
      <c r="Q485" s="3" t="s">
        <v>26</v>
      </c>
      <c r="R485" s="3">
        <v>0</v>
      </c>
      <c r="S485" s="3" t="s">
        <v>150</v>
      </c>
      <c r="T485" s="3" t="s">
        <v>364</v>
      </c>
      <c r="U485" s="3">
        <v>0</v>
      </c>
      <c r="V485" s="3">
        <v>11</v>
      </c>
      <c r="W485" s="3">
        <v>71</v>
      </c>
    </row>
    <row r="486" spans="1:23" ht="11.25" customHeight="1" x14ac:dyDescent="0.25">
      <c r="A486" s="3" t="s">
        <v>55</v>
      </c>
      <c r="B486" s="3" t="s">
        <v>39</v>
      </c>
      <c r="C486" s="3" t="s">
        <v>41</v>
      </c>
      <c r="D486" s="3" t="s">
        <v>45</v>
      </c>
      <c r="E486" s="3" t="s">
        <v>25</v>
      </c>
      <c r="F486" s="3" t="s">
        <v>25</v>
      </c>
      <c r="G486" s="3" t="s">
        <v>25</v>
      </c>
      <c r="H486" s="3" t="s">
        <v>34</v>
      </c>
      <c r="I486" s="6">
        <v>44835</v>
      </c>
      <c r="J486" s="4">
        <v>0</v>
      </c>
      <c r="K486" s="4">
        <v>0</v>
      </c>
      <c r="L486" s="4">
        <v>297.97500000000002</v>
      </c>
      <c r="M486" s="4">
        <v>297.97500000000002</v>
      </c>
      <c r="N486" s="4">
        <v>297.97500000000002</v>
      </c>
      <c r="O486" s="4">
        <v>297.97500000000002</v>
      </c>
      <c r="P486" s="4">
        <v>0</v>
      </c>
      <c r="Q486" s="3" t="s">
        <v>26</v>
      </c>
      <c r="R486" s="3">
        <v>0</v>
      </c>
      <c r="S486" s="3" t="s">
        <v>151</v>
      </c>
      <c r="T486" s="3" t="s">
        <v>365</v>
      </c>
      <c r="U486" s="3">
        <v>0</v>
      </c>
      <c r="V486" s="3">
        <v>11</v>
      </c>
      <c r="W486" s="3">
        <v>71</v>
      </c>
    </row>
    <row r="487" spans="1:23" ht="11.25" customHeight="1" x14ac:dyDescent="0.25">
      <c r="A487" s="3" t="s">
        <v>55</v>
      </c>
      <c r="B487" s="3" t="s">
        <v>39</v>
      </c>
      <c r="C487" s="3" t="s">
        <v>41</v>
      </c>
      <c r="D487" s="3" t="s">
        <v>45</v>
      </c>
      <c r="E487" s="3" t="s">
        <v>25</v>
      </c>
      <c r="F487" s="3" t="s">
        <v>25</v>
      </c>
      <c r="G487" s="3" t="s">
        <v>25</v>
      </c>
      <c r="H487" s="3" t="s">
        <v>34</v>
      </c>
      <c r="I487" s="6">
        <v>44835</v>
      </c>
      <c r="J487" s="4">
        <v>0</v>
      </c>
      <c r="K487" s="4">
        <v>0</v>
      </c>
      <c r="L487" s="4">
        <v>0.73</v>
      </c>
      <c r="M487" s="4">
        <v>0.73</v>
      </c>
      <c r="N487" s="4">
        <v>0.73</v>
      </c>
      <c r="O487" s="4">
        <v>0.73</v>
      </c>
      <c r="P487" s="4">
        <v>0</v>
      </c>
      <c r="Q487" s="3" t="s">
        <v>26</v>
      </c>
      <c r="R487" s="3">
        <v>0</v>
      </c>
      <c r="S487" s="3" t="s">
        <v>151</v>
      </c>
      <c r="T487" s="3" t="s">
        <v>365</v>
      </c>
      <c r="U487" s="3">
        <v>0</v>
      </c>
      <c r="V487" s="3">
        <v>11</v>
      </c>
      <c r="W487" s="3">
        <v>71</v>
      </c>
    </row>
    <row r="488" spans="1:23" ht="11.25" customHeight="1" x14ac:dyDescent="0.25">
      <c r="A488" s="3" t="s">
        <v>55</v>
      </c>
      <c r="B488" s="3" t="s">
        <v>39</v>
      </c>
      <c r="C488" s="3" t="s">
        <v>41</v>
      </c>
      <c r="D488" s="3" t="s">
        <v>45</v>
      </c>
      <c r="E488" s="3" t="s">
        <v>25</v>
      </c>
      <c r="F488" s="3" t="s">
        <v>25</v>
      </c>
      <c r="G488" s="3" t="s">
        <v>25</v>
      </c>
      <c r="H488" s="3" t="s">
        <v>34</v>
      </c>
      <c r="I488" s="6">
        <v>44835</v>
      </c>
      <c r="J488" s="4">
        <v>0</v>
      </c>
      <c r="K488" s="4">
        <v>0</v>
      </c>
      <c r="L488" s="4">
        <v>92.215000000000003</v>
      </c>
      <c r="M488" s="4">
        <v>92.215000000000003</v>
      </c>
      <c r="N488" s="4">
        <v>92.215000000000003</v>
      </c>
      <c r="O488" s="4">
        <v>92.215000000000003</v>
      </c>
      <c r="P488" s="4">
        <v>0</v>
      </c>
      <c r="Q488" s="3" t="s">
        <v>26</v>
      </c>
      <c r="R488" s="3">
        <v>0</v>
      </c>
      <c r="S488" s="3" t="s">
        <v>151</v>
      </c>
      <c r="T488" s="3" t="s">
        <v>365</v>
      </c>
      <c r="U488" s="3">
        <v>0</v>
      </c>
      <c r="V488" s="3">
        <v>11</v>
      </c>
      <c r="W488" s="3">
        <v>71</v>
      </c>
    </row>
    <row r="489" spans="1:23" ht="11.25" customHeight="1" x14ac:dyDescent="0.25">
      <c r="A489" s="3" t="s">
        <v>21</v>
      </c>
      <c r="B489" s="3" t="s">
        <v>39</v>
      </c>
      <c r="C489" s="3" t="s">
        <v>41</v>
      </c>
      <c r="D489" s="3" t="s">
        <v>44</v>
      </c>
      <c r="E489" s="3" t="s">
        <v>52</v>
      </c>
      <c r="F489" s="3" t="s">
        <v>54</v>
      </c>
      <c r="G489" s="3" t="s">
        <v>25</v>
      </c>
      <c r="H489" s="3" t="s">
        <v>35</v>
      </c>
      <c r="I489" s="6">
        <v>44501</v>
      </c>
      <c r="J489" s="4">
        <v>0</v>
      </c>
      <c r="K489" s="4">
        <v>0</v>
      </c>
      <c r="L489" s="4">
        <v>223.65299999999999</v>
      </c>
      <c r="M489" s="4">
        <v>44.730600000000003</v>
      </c>
      <c r="N489" s="4">
        <v>223.65299999999999</v>
      </c>
      <c r="O489" s="4">
        <v>44.730600000000003</v>
      </c>
      <c r="P489" s="4">
        <v>0</v>
      </c>
      <c r="Q489" s="3" t="s">
        <v>26</v>
      </c>
      <c r="R489" s="3">
        <v>0</v>
      </c>
      <c r="S489" s="3" t="s">
        <v>116</v>
      </c>
      <c r="T489" s="3" t="s">
        <v>342</v>
      </c>
      <c r="U489" s="3">
        <v>0</v>
      </c>
      <c r="V489" s="3">
        <v>31</v>
      </c>
      <c r="W489" s="3">
        <v>59</v>
      </c>
    </row>
    <row r="490" spans="1:23" ht="11.25" customHeight="1" x14ac:dyDescent="0.25">
      <c r="A490" s="3" t="s">
        <v>21</v>
      </c>
      <c r="B490" s="3" t="s">
        <v>39</v>
      </c>
      <c r="C490" s="3" t="s">
        <v>41</v>
      </c>
      <c r="D490" s="3" t="s">
        <v>44</v>
      </c>
      <c r="E490" s="3" t="s">
        <v>52</v>
      </c>
      <c r="F490" s="3" t="s">
        <v>54</v>
      </c>
      <c r="G490" s="3" t="s">
        <v>25</v>
      </c>
      <c r="H490" s="3" t="s">
        <v>35</v>
      </c>
      <c r="I490" s="6">
        <v>44531</v>
      </c>
      <c r="J490" s="4">
        <v>0</v>
      </c>
      <c r="K490" s="4">
        <v>0</v>
      </c>
      <c r="L490" s="4">
        <v>319.72300000000001</v>
      </c>
      <c r="M490" s="4">
        <v>63.944600000000001</v>
      </c>
      <c r="N490" s="4">
        <v>319.72300000000001</v>
      </c>
      <c r="O490" s="4">
        <v>63.944600000000001</v>
      </c>
      <c r="P490" s="4">
        <v>0</v>
      </c>
      <c r="Q490" s="3" t="s">
        <v>26</v>
      </c>
      <c r="R490" s="3">
        <v>0</v>
      </c>
      <c r="S490" s="3" t="s">
        <v>117</v>
      </c>
      <c r="T490" s="3" t="s">
        <v>343</v>
      </c>
      <c r="U490" s="3">
        <v>0</v>
      </c>
      <c r="V490" s="3">
        <v>31</v>
      </c>
      <c r="W490" s="3">
        <v>59</v>
      </c>
    </row>
    <row r="491" spans="1:23" ht="11.25" customHeight="1" x14ac:dyDescent="0.25">
      <c r="A491" s="3" t="s">
        <v>21</v>
      </c>
      <c r="B491" s="3" t="s">
        <v>39</v>
      </c>
      <c r="C491" s="3" t="s">
        <v>41</v>
      </c>
      <c r="D491" s="3" t="s">
        <v>44</v>
      </c>
      <c r="E491" s="3" t="s">
        <v>52</v>
      </c>
      <c r="F491" s="3" t="s">
        <v>54</v>
      </c>
      <c r="G491" s="3" t="s">
        <v>25</v>
      </c>
      <c r="H491" s="3" t="s">
        <v>35</v>
      </c>
      <c r="I491" s="6">
        <v>44562</v>
      </c>
      <c r="J491" s="4">
        <v>0</v>
      </c>
      <c r="K491" s="4">
        <v>0</v>
      </c>
      <c r="L491" s="4">
        <v>375.005</v>
      </c>
      <c r="M491" s="4">
        <v>75.001000000000005</v>
      </c>
      <c r="N491" s="4">
        <v>375.005</v>
      </c>
      <c r="O491" s="4">
        <v>75.001000000000005</v>
      </c>
      <c r="P491" s="4">
        <v>0</v>
      </c>
      <c r="Q491" s="3" t="s">
        <v>26</v>
      </c>
      <c r="R491" s="3">
        <v>0</v>
      </c>
      <c r="S491" s="3" t="s">
        <v>118</v>
      </c>
      <c r="T491" s="3" t="s">
        <v>344</v>
      </c>
      <c r="U491" s="3">
        <v>0</v>
      </c>
      <c r="V491" s="3">
        <v>31</v>
      </c>
      <c r="W491" s="3">
        <v>59</v>
      </c>
    </row>
    <row r="492" spans="1:23" ht="11.25" customHeight="1" x14ac:dyDescent="0.25">
      <c r="A492" s="3" t="s">
        <v>21</v>
      </c>
      <c r="B492" s="3" t="s">
        <v>39</v>
      </c>
      <c r="C492" s="3" t="s">
        <v>41</v>
      </c>
      <c r="D492" s="3" t="s">
        <v>44</v>
      </c>
      <c r="E492" s="3" t="s">
        <v>52</v>
      </c>
      <c r="F492" s="3" t="s">
        <v>54</v>
      </c>
      <c r="G492" s="3" t="s">
        <v>25</v>
      </c>
      <c r="H492" s="3" t="s">
        <v>35</v>
      </c>
      <c r="I492" s="6">
        <v>44593</v>
      </c>
      <c r="J492" s="4">
        <v>0</v>
      </c>
      <c r="K492" s="4">
        <v>0</v>
      </c>
      <c r="L492" s="4">
        <v>331.98099999999999</v>
      </c>
      <c r="M492" s="4">
        <v>66.396199999999993</v>
      </c>
      <c r="N492" s="4">
        <v>331.98099999999999</v>
      </c>
      <c r="O492" s="4">
        <v>66.396199999999993</v>
      </c>
      <c r="P492" s="4">
        <v>0</v>
      </c>
      <c r="Q492" s="3" t="s">
        <v>26</v>
      </c>
      <c r="R492" s="3">
        <v>0</v>
      </c>
      <c r="S492" s="3" t="s">
        <v>119</v>
      </c>
      <c r="T492" s="3" t="s">
        <v>345</v>
      </c>
      <c r="U492" s="3">
        <v>0</v>
      </c>
      <c r="V492" s="3">
        <v>31</v>
      </c>
      <c r="W492" s="3">
        <v>59</v>
      </c>
    </row>
    <row r="493" spans="1:23" ht="11.25" customHeight="1" x14ac:dyDescent="0.25">
      <c r="A493" s="3" t="s">
        <v>27</v>
      </c>
      <c r="B493" s="3" t="s">
        <v>39</v>
      </c>
      <c r="C493" s="3" t="s">
        <v>41</v>
      </c>
      <c r="D493" s="3" t="s">
        <v>44</v>
      </c>
      <c r="E493" s="3" t="s">
        <v>52</v>
      </c>
      <c r="F493" s="3" t="s">
        <v>54</v>
      </c>
      <c r="G493" s="3" t="s">
        <v>25</v>
      </c>
      <c r="H493" s="3" t="s">
        <v>35</v>
      </c>
      <c r="I493" s="6">
        <v>44593</v>
      </c>
      <c r="J493" s="4">
        <v>0</v>
      </c>
      <c r="K493" s="4">
        <v>0</v>
      </c>
      <c r="L493" s="4">
        <v>-36.448999999999998</v>
      </c>
      <c r="M493" s="4">
        <v>-7.2897999999999996</v>
      </c>
      <c r="N493" s="4">
        <v>-36.448999999999998</v>
      </c>
      <c r="O493" s="4">
        <v>-7.2897999999999996</v>
      </c>
      <c r="P493" s="4">
        <v>0</v>
      </c>
      <c r="Q493" s="3" t="s">
        <v>26</v>
      </c>
      <c r="R493" s="3">
        <v>0</v>
      </c>
      <c r="S493" s="3" t="s">
        <v>119</v>
      </c>
      <c r="T493" s="3" t="s">
        <v>345</v>
      </c>
      <c r="U493" s="3">
        <v>0</v>
      </c>
      <c r="V493" s="3">
        <v>31</v>
      </c>
      <c r="W493" s="3">
        <v>59</v>
      </c>
    </row>
    <row r="494" spans="1:23" ht="11.25" customHeight="1" x14ac:dyDescent="0.25">
      <c r="A494" s="3" t="s">
        <v>21</v>
      </c>
      <c r="B494" s="3" t="s">
        <v>39</v>
      </c>
      <c r="C494" s="3" t="s">
        <v>41</v>
      </c>
      <c r="D494" s="3" t="s">
        <v>44</v>
      </c>
      <c r="E494" s="3" t="s">
        <v>52</v>
      </c>
      <c r="F494" s="3" t="s">
        <v>54</v>
      </c>
      <c r="G494" s="3" t="s">
        <v>25</v>
      </c>
      <c r="H494" s="3" t="s">
        <v>35</v>
      </c>
      <c r="I494" s="6">
        <v>44621</v>
      </c>
      <c r="J494" s="4">
        <v>0</v>
      </c>
      <c r="K494" s="4">
        <v>0</v>
      </c>
      <c r="L494" s="4">
        <v>72.680999999999997</v>
      </c>
      <c r="M494" s="4">
        <v>14.536199999999999</v>
      </c>
      <c r="N494" s="4">
        <v>72.680999999999997</v>
      </c>
      <c r="O494" s="4">
        <v>14.536199999999999</v>
      </c>
      <c r="P494" s="4">
        <v>0</v>
      </c>
      <c r="Q494" s="3" t="s">
        <v>26</v>
      </c>
      <c r="R494" s="3">
        <v>0</v>
      </c>
      <c r="S494" s="3" t="s">
        <v>120</v>
      </c>
      <c r="T494" s="3" t="s">
        <v>346</v>
      </c>
      <c r="U494" s="3">
        <v>0</v>
      </c>
      <c r="V494" s="3">
        <v>31</v>
      </c>
      <c r="W494" s="3">
        <v>59</v>
      </c>
    </row>
    <row r="495" spans="1:23" ht="11.25" customHeight="1" x14ac:dyDescent="0.25">
      <c r="A495" s="3" t="s">
        <v>21</v>
      </c>
      <c r="B495" s="3" t="s">
        <v>39</v>
      </c>
      <c r="C495" s="3" t="s">
        <v>41</v>
      </c>
      <c r="D495" s="3" t="s">
        <v>44</v>
      </c>
      <c r="E495" s="3" t="s">
        <v>52</v>
      </c>
      <c r="F495" s="3" t="s">
        <v>54</v>
      </c>
      <c r="G495" s="3" t="s">
        <v>25</v>
      </c>
      <c r="H495" s="3" t="s">
        <v>35</v>
      </c>
      <c r="I495" s="6">
        <v>44652</v>
      </c>
      <c r="J495" s="4">
        <v>0</v>
      </c>
      <c r="K495" s="4">
        <v>0</v>
      </c>
      <c r="L495" s="4">
        <v>72.680999999999997</v>
      </c>
      <c r="M495" s="4">
        <v>14.536199999999999</v>
      </c>
      <c r="N495" s="4">
        <v>72.680999999999997</v>
      </c>
      <c r="O495" s="4">
        <v>14.536199999999999</v>
      </c>
      <c r="P495" s="4">
        <v>0</v>
      </c>
      <c r="Q495" s="3" t="s">
        <v>26</v>
      </c>
      <c r="R495" s="3">
        <v>0</v>
      </c>
      <c r="S495" s="3" t="s">
        <v>121</v>
      </c>
      <c r="T495" s="3" t="s">
        <v>347</v>
      </c>
      <c r="U495" s="3">
        <v>0</v>
      </c>
      <c r="V495" s="3">
        <v>31</v>
      </c>
      <c r="W495" s="3">
        <v>59</v>
      </c>
    </row>
    <row r="496" spans="1:23" ht="11.25" customHeight="1" x14ac:dyDescent="0.25">
      <c r="A496" s="3" t="s">
        <v>21</v>
      </c>
      <c r="B496" s="3" t="s">
        <v>39</v>
      </c>
      <c r="C496" s="3" t="s">
        <v>41</v>
      </c>
      <c r="D496" s="3" t="s">
        <v>44</v>
      </c>
      <c r="E496" s="3" t="s">
        <v>52</v>
      </c>
      <c r="F496" s="3" t="s">
        <v>54</v>
      </c>
      <c r="G496" s="3" t="s">
        <v>25</v>
      </c>
      <c r="H496" s="3" t="s">
        <v>35</v>
      </c>
      <c r="I496" s="6">
        <v>44682</v>
      </c>
      <c r="J496" s="4">
        <v>0</v>
      </c>
      <c r="K496" s="4">
        <v>0</v>
      </c>
      <c r="L496" s="4">
        <v>13.135999999999999</v>
      </c>
      <c r="M496" s="4">
        <v>2.6272000000000002</v>
      </c>
      <c r="N496" s="4">
        <v>13.135999999999999</v>
      </c>
      <c r="O496" s="4">
        <v>2.6272000000000002</v>
      </c>
      <c r="P496" s="4">
        <v>0</v>
      </c>
      <c r="Q496" s="3" t="s">
        <v>26</v>
      </c>
      <c r="R496" s="3">
        <v>0</v>
      </c>
      <c r="S496" s="3" t="s">
        <v>122</v>
      </c>
      <c r="T496" s="3" t="s">
        <v>348</v>
      </c>
      <c r="U496" s="3">
        <v>0</v>
      </c>
      <c r="V496" s="3">
        <v>31</v>
      </c>
      <c r="W496" s="3">
        <v>59</v>
      </c>
    </row>
    <row r="497" spans="1:23" ht="11.25" customHeight="1" x14ac:dyDescent="0.25">
      <c r="A497" s="3" t="s">
        <v>27</v>
      </c>
      <c r="B497" s="3" t="s">
        <v>39</v>
      </c>
      <c r="C497" s="3" t="s">
        <v>41</v>
      </c>
      <c r="D497" s="3" t="s">
        <v>44</v>
      </c>
      <c r="E497" s="3" t="s">
        <v>52</v>
      </c>
      <c r="F497" s="3" t="s">
        <v>54</v>
      </c>
      <c r="G497" s="3" t="s">
        <v>25</v>
      </c>
      <c r="H497" s="3" t="s">
        <v>35</v>
      </c>
      <c r="I497" s="6">
        <v>44682</v>
      </c>
      <c r="J497" s="4">
        <v>0</v>
      </c>
      <c r="K497" s="4">
        <v>0</v>
      </c>
      <c r="L497" s="4">
        <v>20.076000000000001</v>
      </c>
      <c r="M497" s="4">
        <v>4.0152000000000001</v>
      </c>
      <c r="N497" s="4">
        <v>20.076000000000001</v>
      </c>
      <c r="O497" s="4">
        <v>4.0152000000000001</v>
      </c>
      <c r="P497" s="4">
        <v>0</v>
      </c>
      <c r="Q497" s="3" t="s">
        <v>26</v>
      </c>
      <c r="R497" s="3">
        <v>0</v>
      </c>
      <c r="S497" s="3" t="s">
        <v>122</v>
      </c>
      <c r="T497" s="3" t="s">
        <v>348</v>
      </c>
      <c r="U497" s="3">
        <v>0</v>
      </c>
      <c r="V497" s="3">
        <v>31</v>
      </c>
      <c r="W497" s="3">
        <v>59</v>
      </c>
    </row>
    <row r="498" spans="1:23" ht="11.25" customHeight="1" x14ac:dyDescent="0.25">
      <c r="A498" s="3" t="s">
        <v>21</v>
      </c>
      <c r="B498" s="3" t="s">
        <v>39</v>
      </c>
      <c r="C498" s="3" t="s">
        <v>41</v>
      </c>
      <c r="D498" s="3" t="s">
        <v>44</v>
      </c>
      <c r="E498" s="3" t="s">
        <v>52</v>
      </c>
      <c r="F498" s="3" t="s">
        <v>54</v>
      </c>
      <c r="G498" s="3" t="s">
        <v>25</v>
      </c>
      <c r="H498" s="3" t="s">
        <v>35</v>
      </c>
      <c r="I498" s="6">
        <v>44713</v>
      </c>
      <c r="J498" s="4">
        <v>0</v>
      </c>
      <c r="K498" s="4">
        <v>0</v>
      </c>
      <c r="L498" s="4">
        <v>7.2789999999999999</v>
      </c>
      <c r="M498" s="4">
        <v>1.4558</v>
      </c>
      <c r="N498" s="4">
        <v>7.2789999999999999</v>
      </c>
      <c r="O498" s="4">
        <v>1.4558</v>
      </c>
      <c r="P498" s="4">
        <v>0</v>
      </c>
      <c r="Q498" s="3" t="s">
        <v>26</v>
      </c>
      <c r="R498" s="3">
        <v>0</v>
      </c>
      <c r="S498" s="3" t="s">
        <v>123</v>
      </c>
      <c r="T498" s="3" t="s">
        <v>349</v>
      </c>
      <c r="U498" s="3">
        <v>0</v>
      </c>
      <c r="V498" s="3">
        <v>31</v>
      </c>
      <c r="W498" s="3">
        <v>59</v>
      </c>
    </row>
    <row r="499" spans="1:23" ht="11.25" customHeight="1" x14ac:dyDescent="0.25">
      <c r="A499" s="3" t="s">
        <v>21</v>
      </c>
      <c r="B499" s="3" t="s">
        <v>39</v>
      </c>
      <c r="C499" s="3" t="s">
        <v>41</v>
      </c>
      <c r="D499" s="3" t="s">
        <v>44</v>
      </c>
      <c r="E499" s="3" t="s">
        <v>52</v>
      </c>
      <c r="F499" s="3" t="s">
        <v>54</v>
      </c>
      <c r="G499" s="3" t="s">
        <v>25</v>
      </c>
      <c r="H499" s="3" t="s">
        <v>35</v>
      </c>
      <c r="I499" s="6">
        <v>44743</v>
      </c>
      <c r="J499" s="4">
        <v>0</v>
      </c>
      <c r="K499" s="4">
        <v>0</v>
      </c>
      <c r="L499" s="4">
        <v>6.7130000000000001</v>
      </c>
      <c r="M499" s="4">
        <v>1.3426</v>
      </c>
      <c r="N499" s="4">
        <v>6.7130000000000001</v>
      </c>
      <c r="O499" s="4">
        <v>1.3426</v>
      </c>
      <c r="P499" s="4">
        <v>0</v>
      </c>
      <c r="Q499" s="3" t="s">
        <v>26</v>
      </c>
      <c r="R499" s="3">
        <v>0</v>
      </c>
      <c r="S499" s="3" t="s">
        <v>124</v>
      </c>
      <c r="T499" s="3" t="s">
        <v>350</v>
      </c>
      <c r="U499" s="3">
        <v>0</v>
      </c>
      <c r="V499" s="3">
        <v>31</v>
      </c>
      <c r="W499" s="3">
        <v>59</v>
      </c>
    </row>
    <row r="500" spans="1:23" ht="11.25" customHeight="1" x14ac:dyDescent="0.25">
      <c r="A500" s="3" t="s">
        <v>21</v>
      </c>
      <c r="B500" s="3" t="s">
        <v>39</v>
      </c>
      <c r="C500" s="3" t="s">
        <v>41</v>
      </c>
      <c r="D500" s="3" t="s">
        <v>44</v>
      </c>
      <c r="E500" s="3" t="s">
        <v>52</v>
      </c>
      <c r="F500" s="3" t="s">
        <v>54</v>
      </c>
      <c r="G500" s="3" t="s">
        <v>25</v>
      </c>
      <c r="H500" s="3" t="s">
        <v>35</v>
      </c>
      <c r="I500" s="6">
        <v>44774</v>
      </c>
      <c r="J500" s="4">
        <v>0</v>
      </c>
      <c r="K500" s="4">
        <v>0</v>
      </c>
      <c r="L500" s="4">
        <v>41.603000000000002</v>
      </c>
      <c r="M500" s="4">
        <v>8.3206000000000007</v>
      </c>
      <c r="N500" s="4">
        <v>41.603000000000002</v>
      </c>
      <c r="O500" s="4">
        <v>8.3206000000000007</v>
      </c>
      <c r="P500" s="4">
        <v>0</v>
      </c>
      <c r="Q500" s="3" t="s">
        <v>26</v>
      </c>
      <c r="R500" s="3">
        <v>0</v>
      </c>
      <c r="S500" s="3" t="s">
        <v>125</v>
      </c>
      <c r="T500" s="3" t="s">
        <v>351</v>
      </c>
      <c r="U500" s="3">
        <v>0</v>
      </c>
      <c r="V500" s="3">
        <v>31</v>
      </c>
      <c r="W500" s="3">
        <v>59</v>
      </c>
    </row>
    <row r="501" spans="1:23" ht="11.25" customHeight="1" x14ac:dyDescent="0.25">
      <c r="A501" s="3" t="s">
        <v>21</v>
      </c>
      <c r="B501" s="3" t="s">
        <v>39</v>
      </c>
      <c r="C501" s="3" t="s">
        <v>41</v>
      </c>
      <c r="D501" s="3" t="s">
        <v>44</v>
      </c>
      <c r="E501" s="3" t="s">
        <v>52</v>
      </c>
      <c r="F501" s="3" t="s">
        <v>54</v>
      </c>
      <c r="G501" s="3" t="s">
        <v>25</v>
      </c>
      <c r="H501" s="3" t="s">
        <v>35</v>
      </c>
      <c r="I501" s="6">
        <v>44805</v>
      </c>
      <c r="J501" s="4">
        <v>0</v>
      </c>
      <c r="K501" s="4">
        <v>0</v>
      </c>
      <c r="L501" s="4">
        <v>101.09099999999999</v>
      </c>
      <c r="M501" s="4">
        <v>20.2182</v>
      </c>
      <c r="N501" s="4">
        <v>101.09099999999999</v>
      </c>
      <c r="O501" s="4">
        <v>20.2182</v>
      </c>
      <c r="P501" s="4">
        <v>0</v>
      </c>
      <c r="Q501" s="3" t="s">
        <v>26</v>
      </c>
      <c r="R501" s="3">
        <v>0</v>
      </c>
      <c r="S501" s="3" t="s">
        <v>126</v>
      </c>
      <c r="T501" s="3" t="s">
        <v>352</v>
      </c>
      <c r="U501" s="3">
        <v>0</v>
      </c>
      <c r="V501" s="3">
        <v>31</v>
      </c>
      <c r="W501" s="3">
        <v>59</v>
      </c>
    </row>
    <row r="502" spans="1:23" ht="11.25" customHeight="1" x14ac:dyDescent="0.25">
      <c r="A502" s="3" t="s">
        <v>55</v>
      </c>
      <c r="B502" s="3" t="s">
        <v>39</v>
      </c>
      <c r="C502" s="3" t="s">
        <v>41</v>
      </c>
      <c r="D502" s="3" t="s">
        <v>44</v>
      </c>
      <c r="E502" s="3" t="s">
        <v>52</v>
      </c>
      <c r="F502" s="3" t="s">
        <v>54</v>
      </c>
      <c r="G502" s="3" t="s">
        <v>25</v>
      </c>
      <c r="H502" s="3" t="s">
        <v>35</v>
      </c>
      <c r="I502" s="6">
        <v>44835</v>
      </c>
      <c r="J502" s="4">
        <v>0</v>
      </c>
      <c r="K502" s="4">
        <v>0</v>
      </c>
      <c r="L502" s="4">
        <v>101.09099999999999</v>
      </c>
      <c r="M502" s="4">
        <v>20.2182</v>
      </c>
      <c r="N502" s="4">
        <v>101.09099999999999</v>
      </c>
      <c r="O502" s="4">
        <v>20.2182</v>
      </c>
      <c r="P502" s="4">
        <v>0</v>
      </c>
      <c r="Q502" s="3" t="s">
        <v>26</v>
      </c>
      <c r="R502" s="3">
        <v>0</v>
      </c>
      <c r="S502" s="3" t="s">
        <v>127</v>
      </c>
      <c r="T502" s="3" t="s">
        <v>353</v>
      </c>
      <c r="U502" s="3">
        <v>0</v>
      </c>
      <c r="V502" s="3">
        <v>31</v>
      </c>
      <c r="W502" s="3">
        <v>59</v>
      </c>
    </row>
    <row r="503" spans="1:23" ht="11.25" customHeight="1" x14ac:dyDescent="0.25">
      <c r="A503" s="3" t="s">
        <v>21</v>
      </c>
      <c r="B503" s="3" t="s">
        <v>39</v>
      </c>
      <c r="C503" s="3" t="s">
        <v>41</v>
      </c>
      <c r="D503" s="3" t="s">
        <v>44</v>
      </c>
      <c r="E503" s="3" t="s">
        <v>52</v>
      </c>
      <c r="F503" s="3" t="s">
        <v>25</v>
      </c>
      <c r="G503" s="3" t="s">
        <v>25</v>
      </c>
      <c r="H503" s="3" t="s">
        <v>35</v>
      </c>
      <c r="I503" s="6">
        <v>44501</v>
      </c>
      <c r="J503" s="4">
        <v>0</v>
      </c>
      <c r="K503" s="4">
        <v>0</v>
      </c>
      <c r="L503" s="4">
        <v>374.07400000000001</v>
      </c>
      <c r="M503" s="4">
        <v>359.11104</v>
      </c>
      <c r="N503" s="4">
        <v>374.07400000000001</v>
      </c>
      <c r="O503" s="4">
        <v>359.11104</v>
      </c>
      <c r="P503" s="4">
        <v>0</v>
      </c>
      <c r="Q503" s="3" t="s">
        <v>26</v>
      </c>
      <c r="R503" s="3">
        <v>0</v>
      </c>
      <c r="S503" s="3" t="s">
        <v>116</v>
      </c>
      <c r="T503" s="3" t="s">
        <v>342</v>
      </c>
      <c r="U503" s="3">
        <v>0</v>
      </c>
      <c r="V503" s="3">
        <v>31</v>
      </c>
      <c r="W503" s="3">
        <v>59</v>
      </c>
    </row>
    <row r="504" spans="1:23" ht="11.25" customHeight="1" x14ac:dyDescent="0.25">
      <c r="A504" s="3" t="s">
        <v>21</v>
      </c>
      <c r="B504" s="3" t="s">
        <v>39</v>
      </c>
      <c r="C504" s="3" t="s">
        <v>41</v>
      </c>
      <c r="D504" s="3" t="s">
        <v>44</v>
      </c>
      <c r="E504" s="3" t="s">
        <v>52</v>
      </c>
      <c r="F504" s="3" t="s">
        <v>25</v>
      </c>
      <c r="G504" s="3" t="s">
        <v>25</v>
      </c>
      <c r="H504" s="3" t="s">
        <v>35</v>
      </c>
      <c r="I504" s="6">
        <v>44531</v>
      </c>
      <c r="J504" s="4">
        <v>0</v>
      </c>
      <c r="K504" s="4">
        <v>0</v>
      </c>
      <c r="L504" s="4">
        <v>522.27499999999998</v>
      </c>
      <c r="M504" s="4">
        <v>501.38399999999996</v>
      </c>
      <c r="N504" s="4">
        <v>522.27499999999998</v>
      </c>
      <c r="O504" s="4">
        <v>501.38399999999996</v>
      </c>
      <c r="P504" s="4">
        <v>0</v>
      </c>
      <c r="Q504" s="3" t="s">
        <v>26</v>
      </c>
      <c r="R504" s="3">
        <v>0</v>
      </c>
      <c r="S504" s="3" t="s">
        <v>117</v>
      </c>
      <c r="T504" s="3" t="s">
        <v>343</v>
      </c>
      <c r="U504" s="3">
        <v>0</v>
      </c>
      <c r="V504" s="3">
        <v>31</v>
      </c>
      <c r="W504" s="3">
        <v>59</v>
      </c>
    </row>
    <row r="505" spans="1:23" ht="11.25" customHeight="1" x14ac:dyDescent="0.25">
      <c r="A505" s="3" t="s">
        <v>21</v>
      </c>
      <c r="B505" s="3" t="s">
        <v>39</v>
      </c>
      <c r="C505" s="3" t="s">
        <v>41</v>
      </c>
      <c r="D505" s="3" t="s">
        <v>44</v>
      </c>
      <c r="E505" s="3" t="s">
        <v>52</v>
      </c>
      <c r="F505" s="3" t="s">
        <v>25</v>
      </c>
      <c r="G505" s="3" t="s">
        <v>25</v>
      </c>
      <c r="H505" s="3" t="s">
        <v>35</v>
      </c>
      <c r="I505" s="6">
        <v>44562</v>
      </c>
      <c r="J505" s="4">
        <v>0</v>
      </c>
      <c r="K505" s="4">
        <v>0</v>
      </c>
      <c r="L505" s="4">
        <v>533.25800000000004</v>
      </c>
      <c r="M505" s="4">
        <v>511.92768000000001</v>
      </c>
      <c r="N505" s="4">
        <v>533.25800000000004</v>
      </c>
      <c r="O505" s="4">
        <v>511.92768000000001</v>
      </c>
      <c r="P505" s="4">
        <v>0</v>
      </c>
      <c r="Q505" s="3" t="s">
        <v>26</v>
      </c>
      <c r="R505" s="3">
        <v>0</v>
      </c>
      <c r="S505" s="3" t="s">
        <v>118</v>
      </c>
      <c r="T505" s="3" t="s">
        <v>344</v>
      </c>
      <c r="U505" s="3">
        <v>0</v>
      </c>
      <c r="V505" s="3">
        <v>31</v>
      </c>
      <c r="W505" s="3">
        <v>59</v>
      </c>
    </row>
    <row r="506" spans="1:23" ht="11.25" customHeight="1" x14ac:dyDescent="0.25">
      <c r="A506" s="3" t="s">
        <v>21</v>
      </c>
      <c r="B506" s="3" t="s">
        <v>39</v>
      </c>
      <c r="C506" s="3" t="s">
        <v>41</v>
      </c>
      <c r="D506" s="3" t="s">
        <v>44</v>
      </c>
      <c r="E506" s="3" t="s">
        <v>52</v>
      </c>
      <c r="F506" s="3" t="s">
        <v>25</v>
      </c>
      <c r="G506" s="3" t="s">
        <v>25</v>
      </c>
      <c r="H506" s="3" t="s">
        <v>35</v>
      </c>
      <c r="I506" s="6">
        <v>44593</v>
      </c>
      <c r="J506" s="4">
        <v>0</v>
      </c>
      <c r="K506" s="4">
        <v>0</v>
      </c>
      <c r="L506" s="4">
        <v>513.38699999999994</v>
      </c>
      <c r="M506" s="4">
        <v>492.85151999999994</v>
      </c>
      <c r="N506" s="4">
        <v>513.38699999999994</v>
      </c>
      <c r="O506" s="4">
        <v>492.85151999999994</v>
      </c>
      <c r="P506" s="4">
        <v>0</v>
      </c>
      <c r="Q506" s="3" t="s">
        <v>26</v>
      </c>
      <c r="R506" s="3">
        <v>0</v>
      </c>
      <c r="S506" s="3" t="s">
        <v>119</v>
      </c>
      <c r="T506" s="3" t="s">
        <v>345</v>
      </c>
      <c r="U506" s="3">
        <v>0</v>
      </c>
      <c r="V506" s="3">
        <v>31</v>
      </c>
      <c r="W506" s="3">
        <v>59</v>
      </c>
    </row>
    <row r="507" spans="1:23" ht="11.25" customHeight="1" x14ac:dyDescent="0.25">
      <c r="A507" s="3" t="s">
        <v>27</v>
      </c>
      <c r="B507" s="3" t="s">
        <v>39</v>
      </c>
      <c r="C507" s="3" t="s">
        <v>41</v>
      </c>
      <c r="D507" s="3" t="s">
        <v>44</v>
      </c>
      <c r="E507" s="3" t="s">
        <v>52</v>
      </c>
      <c r="F507" s="3" t="s">
        <v>25</v>
      </c>
      <c r="G507" s="3" t="s">
        <v>25</v>
      </c>
      <c r="H507" s="3" t="s">
        <v>35</v>
      </c>
      <c r="I507" s="6">
        <v>44593</v>
      </c>
      <c r="J507" s="4">
        <v>0</v>
      </c>
      <c r="K507" s="4">
        <v>0</v>
      </c>
      <c r="L507" s="4">
        <v>-49.314</v>
      </c>
      <c r="M507" s="4">
        <v>-47.341439999999999</v>
      </c>
      <c r="N507" s="4">
        <v>-49.314</v>
      </c>
      <c r="O507" s="4">
        <v>-47.341439999999999</v>
      </c>
      <c r="P507" s="4">
        <v>0</v>
      </c>
      <c r="Q507" s="3" t="s">
        <v>26</v>
      </c>
      <c r="R507" s="3">
        <v>0</v>
      </c>
      <c r="S507" s="3" t="s">
        <v>119</v>
      </c>
      <c r="T507" s="3" t="s">
        <v>345</v>
      </c>
      <c r="U507" s="3">
        <v>0</v>
      </c>
      <c r="V507" s="3">
        <v>31</v>
      </c>
      <c r="W507" s="3">
        <v>59</v>
      </c>
    </row>
    <row r="508" spans="1:23" ht="11.25" customHeight="1" x14ac:dyDescent="0.25">
      <c r="A508" s="3" t="s">
        <v>21</v>
      </c>
      <c r="B508" s="3" t="s">
        <v>39</v>
      </c>
      <c r="C508" s="3" t="s">
        <v>41</v>
      </c>
      <c r="D508" s="3" t="s">
        <v>44</v>
      </c>
      <c r="E508" s="3" t="s">
        <v>52</v>
      </c>
      <c r="F508" s="3" t="s">
        <v>25</v>
      </c>
      <c r="G508" s="3" t="s">
        <v>25</v>
      </c>
      <c r="H508" s="3" t="s">
        <v>35</v>
      </c>
      <c r="I508" s="6">
        <v>44621</v>
      </c>
      <c r="J508" s="4">
        <v>0</v>
      </c>
      <c r="K508" s="4">
        <v>0</v>
      </c>
      <c r="L508" s="4">
        <v>113.63500000000001</v>
      </c>
      <c r="M508" s="4">
        <v>109.0896</v>
      </c>
      <c r="N508" s="4">
        <v>113.63500000000001</v>
      </c>
      <c r="O508" s="4">
        <v>109.0896</v>
      </c>
      <c r="P508" s="4">
        <v>0</v>
      </c>
      <c r="Q508" s="3" t="s">
        <v>26</v>
      </c>
      <c r="R508" s="3">
        <v>0</v>
      </c>
      <c r="S508" s="3" t="s">
        <v>120</v>
      </c>
      <c r="T508" s="3" t="s">
        <v>346</v>
      </c>
      <c r="U508" s="3">
        <v>0</v>
      </c>
      <c r="V508" s="3">
        <v>31</v>
      </c>
      <c r="W508" s="3">
        <v>59</v>
      </c>
    </row>
    <row r="509" spans="1:23" ht="11.25" customHeight="1" x14ac:dyDescent="0.25">
      <c r="A509" s="3" t="s">
        <v>27</v>
      </c>
      <c r="B509" s="3" t="s">
        <v>39</v>
      </c>
      <c r="C509" s="3" t="s">
        <v>41</v>
      </c>
      <c r="D509" s="3" t="s">
        <v>44</v>
      </c>
      <c r="E509" s="3" t="s">
        <v>52</v>
      </c>
      <c r="F509" s="3" t="s">
        <v>25</v>
      </c>
      <c r="G509" s="3" t="s">
        <v>25</v>
      </c>
      <c r="H509" s="3" t="s">
        <v>35</v>
      </c>
      <c r="I509" s="6">
        <v>44621</v>
      </c>
      <c r="J509" s="4">
        <v>0</v>
      </c>
      <c r="K509" s="4">
        <v>0</v>
      </c>
      <c r="L509" s="4">
        <v>83.165000000000006</v>
      </c>
      <c r="M509" s="4">
        <v>79.838400000000007</v>
      </c>
      <c r="N509" s="4">
        <v>83.165000000000006</v>
      </c>
      <c r="O509" s="4">
        <v>79.838400000000007</v>
      </c>
      <c r="P509" s="4">
        <v>0</v>
      </c>
      <c r="Q509" s="3" t="s">
        <v>26</v>
      </c>
      <c r="R509" s="3">
        <v>0</v>
      </c>
      <c r="S509" s="3" t="s">
        <v>120</v>
      </c>
      <c r="T509" s="3" t="s">
        <v>346</v>
      </c>
      <c r="U509" s="3">
        <v>0</v>
      </c>
      <c r="V509" s="3">
        <v>31</v>
      </c>
      <c r="W509" s="3">
        <v>59</v>
      </c>
    </row>
    <row r="510" spans="1:23" ht="11.25" customHeight="1" x14ac:dyDescent="0.25">
      <c r="A510" s="3" t="s">
        <v>21</v>
      </c>
      <c r="B510" s="3" t="s">
        <v>39</v>
      </c>
      <c r="C510" s="3" t="s">
        <v>41</v>
      </c>
      <c r="D510" s="3" t="s">
        <v>44</v>
      </c>
      <c r="E510" s="3" t="s">
        <v>52</v>
      </c>
      <c r="F510" s="3" t="s">
        <v>25</v>
      </c>
      <c r="G510" s="3" t="s">
        <v>25</v>
      </c>
      <c r="H510" s="3" t="s">
        <v>35</v>
      </c>
      <c r="I510" s="6">
        <v>44652</v>
      </c>
      <c r="J510" s="4">
        <v>0</v>
      </c>
      <c r="K510" s="4">
        <v>0</v>
      </c>
      <c r="L510" s="4">
        <v>113.63500000000001</v>
      </c>
      <c r="M510" s="4">
        <v>109.0896</v>
      </c>
      <c r="N510" s="4">
        <v>113.63500000000001</v>
      </c>
      <c r="O510" s="4">
        <v>109.0896</v>
      </c>
      <c r="P510" s="4">
        <v>0</v>
      </c>
      <c r="Q510" s="3" t="s">
        <v>26</v>
      </c>
      <c r="R510" s="3">
        <v>0</v>
      </c>
      <c r="S510" s="3" t="s">
        <v>121</v>
      </c>
      <c r="T510" s="3" t="s">
        <v>347</v>
      </c>
      <c r="U510" s="3">
        <v>0</v>
      </c>
      <c r="V510" s="3">
        <v>31</v>
      </c>
      <c r="W510" s="3">
        <v>59</v>
      </c>
    </row>
    <row r="511" spans="1:23" ht="11.25" customHeight="1" x14ac:dyDescent="0.25">
      <c r="A511" s="3" t="s">
        <v>27</v>
      </c>
      <c r="B511" s="3" t="s">
        <v>39</v>
      </c>
      <c r="C511" s="3" t="s">
        <v>41</v>
      </c>
      <c r="D511" s="3" t="s">
        <v>44</v>
      </c>
      <c r="E511" s="3" t="s">
        <v>52</v>
      </c>
      <c r="F511" s="3" t="s">
        <v>25</v>
      </c>
      <c r="G511" s="3" t="s">
        <v>25</v>
      </c>
      <c r="H511" s="3" t="s">
        <v>35</v>
      </c>
      <c r="I511" s="6">
        <v>44652</v>
      </c>
      <c r="J511" s="4">
        <v>0</v>
      </c>
      <c r="K511" s="4">
        <v>0</v>
      </c>
      <c r="L511" s="4">
        <v>83.165000000000006</v>
      </c>
      <c r="M511" s="4">
        <v>79.838400000000007</v>
      </c>
      <c r="N511" s="4">
        <v>83.165000000000006</v>
      </c>
      <c r="O511" s="4">
        <v>79.838400000000007</v>
      </c>
      <c r="P511" s="4">
        <v>0</v>
      </c>
      <c r="Q511" s="3" t="s">
        <v>26</v>
      </c>
      <c r="R511" s="3">
        <v>0</v>
      </c>
      <c r="S511" s="3" t="s">
        <v>121</v>
      </c>
      <c r="T511" s="3" t="s">
        <v>347</v>
      </c>
      <c r="U511" s="3">
        <v>0</v>
      </c>
      <c r="V511" s="3">
        <v>31</v>
      </c>
      <c r="W511" s="3">
        <v>59</v>
      </c>
    </row>
    <row r="512" spans="1:23" ht="11.25" customHeight="1" x14ac:dyDescent="0.25">
      <c r="A512" s="3" t="s">
        <v>21</v>
      </c>
      <c r="B512" s="3" t="s">
        <v>39</v>
      </c>
      <c r="C512" s="3" t="s">
        <v>41</v>
      </c>
      <c r="D512" s="3" t="s">
        <v>44</v>
      </c>
      <c r="E512" s="3" t="s">
        <v>52</v>
      </c>
      <c r="F512" s="3" t="s">
        <v>25</v>
      </c>
      <c r="G512" s="3" t="s">
        <v>25</v>
      </c>
      <c r="H512" s="3" t="s">
        <v>35</v>
      </c>
      <c r="I512" s="6">
        <v>44682</v>
      </c>
      <c r="J512" s="4">
        <v>0</v>
      </c>
      <c r="K512" s="4">
        <v>0</v>
      </c>
      <c r="L512" s="4">
        <v>24.876999999999999</v>
      </c>
      <c r="M512" s="4">
        <v>23.881919999999997</v>
      </c>
      <c r="N512" s="4">
        <v>24.876999999999999</v>
      </c>
      <c r="O512" s="4">
        <v>23.881919999999997</v>
      </c>
      <c r="P512" s="4">
        <v>0</v>
      </c>
      <c r="Q512" s="3" t="s">
        <v>26</v>
      </c>
      <c r="R512" s="3">
        <v>0</v>
      </c>
      <c r="S512" s="3" t="s">
        <v>122</v>
      </c>
      <c r="T512" s="3" t="s">
        <v>348</v>
      </c>
      <c r="U512" s="3">
        <v>0</v>
      </c>
      <c r="V512" s="3">
        <v>31</v>
      </c>
      <c r="W512" s="3">
        <v>59</v>
      </c>
    </row>
    <row r="513" spans="1:23" ht="11.25" customHeight="1" x14ac:dyDescent="0.25">
      <c r="A513" s="3" t="s">
        <v>27</v>
      </c>
      <c r="B513" s="3" t="s">
        <v>39</v>
      </c>
      <c r="C513" s="3" t="s">
        <v>41</v>
      </c>
      <c r="D513" s="3" t="s">
        <v>44</v>
      </c>
      <c r="E513" s="3" t="s">
        <v>52</v>
      </c>
      <c r="F513" s="3" t="s">
        <v>25</v>
      </c>
      <c r="G513" s="3" t="s">
        <v>25</v>
      </c>
      <c r="H513" s="3" t="s">
        <v>35</v>
      </c>
      <c r="I513" s="6">
        <v>44682</v>
      </c>
      <c r="J513" s="4">
        <v>0</v>
      </c>
      <c r="K513" s="4">
        <v>0</v>
      </c>
      <c r="L513" s="4">
        <v>-270.83999999999997</v>
      </c>
      <c r="M513" s="4">
        <v>-260.00639999999999</v>
      </c>
      <c r="N513" s="4">
        <v>-270.83999999999997</v>
      </c>
      <c r="O513" s="4">
        <v>-260.00639999999999</v>
      </c>
      <c r="P513" s="4">
        <v>0</v>
      </c>
      <c r="Q513" s="3" t="s">
        <v>26</v>
      </c>
      <c r="R513" s="3">
        <v>0</v>
      </c>
      <c r="S513" s="3" t="s">
        <v>122</v>
      </c>
      <c r="T513" s="3" t="s">
        <v>348</v>
      </c>
      <c r="U513" s="3">
        <v>0</v>
      </c>
      <c r="V513" s="3">
        <v>31</v>
      </c>
      <c r="W513" s="3">
        <v>59</v>
      </c>
    </row>
    <row r="514" spans="1:23" ht="11.25" customHeight="1" x14ac:dyDescent="0.25">
      <c r="A514" s="3" t="s">
        <v>21</v>
      </c>
      <c r="B514" s="3" t="s">
        <v>39</v>
      </c>
      <c r="C514" s="3" t="s">
        <v>41</v>
      </c>
      <c r="D514" s="3" t="s">
        <v>44</v>
      </c>
      <c r="E514" s="3" t="s">
        <v>52</v>
      </c>
      <c r="F514" s="3" t="s">
        <v>25</v>
      </c>
      <c r="G514" s="3" t="s">
        <v>25</v>
      </c>
      <c r="H514" s="3" t="s">
        <v>35</v>
      </c>
      <c r="I514" s="6">
        <v>44713</v>
      </c>
      <c r="J514" s="4">
        <v>0</v>
      </c>
      <c r="K514" s="4">
        <v>0</v>
      </c>
      <c r="L514" s="4">
        <v>15.004</v>
      </c>
      <c r="M514" s="4">
        <v>14.403839999999999</v>
      </c>
      <c r="N514" s="4">
        <v>15.004</v>
      </c>
      <c r="O514" s="4">
        <v>14.403839999999999</v>
      </c>
      <c r="P514" s="4">
        <v>0</v>
      </c>
      <c r="Q514" s="3" t="s">
        <v>26</v>
      </c>
      <c r="R514" s="3">
        <v>0</v>
      </c>
      <c r="S514" s="3" t="s">
        <v>123</v>
      </c>
      <c r="T514" s="3" t="s">
        <v>349</v>
      </c>
      <c r="U514" s="3">
        <v>0</v>
      </c>
      <c r="V514" s="3">
        <v>31</v>
      </c>
      <c r="W514" s="3">
        <v>59</v>
      </c>
    </row>
    <row r="515" spans="1:23" ht="11.25" customHeight="1" x14ac:dyDescent="0.25">
      <c r="A515" s="3" t="s">
        <v>21</v>
      </c>
      <c r="B515" s="3" t="s">
        <v>39</v>
      </c>
      <c r="C515" s="3" t="s">
        <v>41</v>
      </c>
      <c r="D515" s="3" t="s">
        <v>44</v>
      </c>
      <c r="E515" s="3" t="s">
        <v>52</v>
      </c>
      <c r="F515" s="3" t="s">
        <v>25</v>
      </c>
      <c r="G515" s="3" t="s">
        <v>25</v>
      </c>
      <c r="H515" s="3" t="s">
        <v>35</v>
      </c>
      <c r="I515" s="6">
        <v>44743</v>
      </c>
      <c r="J515" s="4">
        <v>0</v>
      </c>
      <c r="K515" s="4">
        <v>0</v>
      </c>
      <c r="L515" s="4">
        <v>16.501000000000001</v>
      </c>
      <c r="M515" s="4">
        <v>15.840960000000001</v>
      </c>
      <c r="N515" s="4">
        <v>16.501000000000001</v>
      </c>
      <c r="O515" s="4">
        <v>15.840960000000001</v>
      </c>
      <c r="P515" s="4">
        <v>0</v>
      </c>
      <c r="Q515" s="3" t="s">
        <v>26</v>
      </c>
      <c r="R515" s="3">
        <v>0</v>
      </c>
      <c r="S515" s="3" t="s">
        <v>124</v>
      </c>
      <c r="T515" s="3" t="s">
        <v>350</v>
      </c>
      <c r="U515" s="3">
        <v>0</v>
      </c>
      <c r="V515" s="3">
        <v>31</v>
      </c>
      <c r="W515" s="3">
        <v>59</v>
      </c>
    </row>
    <row r="516" spans="1:23" ht="11.25" customHeight="1" x14ac:dyDescent="0.25">
      <c r="A516" s="3" t="s">
        <v>21</v>
      </c>
      <c r="B516" s="3" t="s">
        <v>39</v>
      </c>
      <c r="C516" s="3" t="s">
        <v>41</v>
      </c>
      <c r="D516" s="3" t="s">
        <v>44</v>
      </c>
      <c r="E516" s="3" t="s">
        <v>52</v>
      </c>
      <c r="F516" s="3" t="s">
        <v>25</v>
      </c>
      <c r="G516" s="3" t="s">
        <v>25</v>
      </c>
      <c r="H516" s="3" t="s">
        <v>35</v>
      </c>
      <c r="I516" s="6">
        <v>44774</v>
      </c>
      <c r="J516" s="4">
        <v>0</v>
      </c>
      <c r="K516" s="4">
        <v>0</v>
      </c>
      <c r="L516" s="4">
        <v>87.394000000000005</v>
      </c>
      <c r="M516" s="4">
        <v>83.898240000000001</v>
      </c>
      <c r="N516" s="4">
        <v>87.394000000000005</v>
      </c>
      <c r="O516" s="4">
        <v>83.898240000000001</v>
      </c>
      <c r="P516" s="4">
        <v>0</v>
      </c>
      <c r="Q516" s="3" t="s">
        <v>26</v>
      </c>
      <c r="R516" s="3">
        <v>0</v>
      </c>
      <c r="S516" s="3" t="s">
        <v>125</v>
      </c>
      <c r="T516" s="3" t="s">
        <v>351</v>
      </c>
      <c r="U516" s="3">
        <v>0</v>
      </c>
      <c r="V516" s="3">
        <v>31</v>
      </c>
      <c r="W516" s="3">
        <v>59</v>
      </c>
    </row>
    <row r="517" spans="1:23" ht="11.25" customHeight="1" x14ac:dyDescent="0.25">
      <c r="A517" s="3" t="s">
        <v>21</v>
      </c>
      <c r="B517" s="3" t="s">
        <v>39</v>
      </c>
      <c r="C517" s="3" t="s">
        <v>41</v>
      </c>
      <c r="D517" s="3" t="s">
        <v>44</v>
      </c>
      <c r="E517" s="3" t="s">
        <v>52</v>
      </c>
      <c r="F517" s="3" t="s">
        <v>25</v>
      </c>
      <c r="G517" s="3" t="s">
        <v>25</v>
      </c>
      <c r="H517" s="3" t="s">
        <v>35</v>
      </c>
      <c r="I517" s="6">
        <v>44805</v>
      </c>
      <c r="J517" s="4">
        <v>0</v>
      </c>
      <c r="K517" s="4">
        <v>0</v>
      </c>
      <c r="L517" s="4">
        <v>147.00399999999999</v>
      </c>
      <c r="M517" s="4">
        <v>141.12383999999997</v>
      </c>
      <c r="N517" s="4">
        <v>147.00399999999999</v>
      </c>
      <c r="O517" s="4">
        <v>141.12383999999997</v>
      </c>
      <c r="P517" s="4">
        <v>0</v>
      </c>
      <c r="Q517" s="3" t="s">
        <v>26</v>
      </c>
      <c r="R517" s="3">
        <v>0</v>
      </c>
      <c r="S517" s="3" t="s">
        <v>126</v>
      </c>
      <c r="T517" s="3" t="s">
        <v>352</v>
      </c>
      <c r="U517" s="3">
        <v>0</v>
      </c>
      <c r="V517" s="3">
        <v>31</v>
      </c>
      <c r="W517" s="3">
        <v>59</v>
      </c>
    </row>
    <row r="518" spans="1:23" ht="11.25" customHeight="1" x14ac:dyDescent="0.25">
      <c r="A518" s="3" t="s">
        <v>55</v>
      </c>
      <c r="B518" s="3" t="s">
        <v>39</v>
      </c>
      <c r="C518" s="3" t="s">
        <v>41</v>
      </c>
      <c r="D518" s="3" t="s">
        <v>44</v>
      </c>
      <c r="E518" s="3" t="s">
        <v>52</v>
      </c>
      <c r="F518" s="3" t="s">
        <v>25</v>
      </c>
      <c r="G518" s="3" t="s">
        <v>25</v>
      </c>
      <c r="H518" s="3" t="s">
        <v>35</v>
      </c>
      <c r="I518" s="6">
        <v>44835</v>
      </c>
      <c r="J518" s="4">
        <v>0</v>
      </c>
      <c r="K518" s="4">
        <v>0</v>
      </c>
      <c r="L518" s="4">
        <v>147.00399999999999</v>
      </c>
      <c r="M518" s="4">
        <v>141.12383999999997</v>
      </c>
      <c r="N518" s="4">
        <v>147.00399999999999</v>
      </c>
      <c r="O518" s="4">
        <v>141.12383999999997</v>
      </c>
      <c r="P518" s="4">
        <v>0</v>
      </c>
      <c r="Q518" s="3" t="s">
        <v>26</v>
      </c>
      <c r="R518" s="3">
        <v>0</v>
      </c>
      <c r="S518" s="3" t="s">
        <v>127</v>
      </c>
      <c r="T518" s="3" t="s">
        <v>353</v>
      </c>
      <c r="U518" s="3">
        <v>0</v>
      </c>
      <c r="V518" s="3">
        <v>31</v>
      </c>
      <c r="W518" s="3">
        <v>59</v>
      </c>
    </row>
    <row r="519" spans="1:23" ht="11.25" customHeight="1" x14ac:dyDescent="0.25">
      <c r="A519" s="3" t="s">
        <v>21</v>
      </c>
      <c r="B519" s="3" t="s">
        <v>39</v>
      </c>
      <c r="C519" s="3" t="s">
        <v>41</v>
      </c>
      <c r="D519" s="3" t="s">
        <v>44</v>
      </c>
      <c r="E519" s="3" t="s">
        <v>52</v>
      </c>
      <c r="F519" s="3" t="s">
        <v>25</v>
      </c>
      <c r="G519" s="3" t="s">
        <v>25</v>
      </c>
      <c r="H519" s="3" t="s">
        <v>25</v>
      </c>
      <c r="I519" s="6">
        <v>44501</v>
      </c>
      <c r="J519" s="4">
        <v>2001</v>
      </c>
      <c r="K519" s="4">
        <v>1920.96</v>
      </c>
      <c r="L519" s="4">
        <v>0</v>
      </c>
      <c r="M519" s="4">
        <v>0</v>
      </c>
      <c r="N519" s="4">
        <v>0</v>
      </c>
      <c r="O519" s="4">
        <v>0</v>
      </c>
      <c r="P519" s="4">
        <v>13</v>
      </c>
      <c r="Q519" s="3" t="s">
        <v>26</v>
      </c>
      <c r="R519" s="3">
        <v>0</v>
      </c>
      <c r="S519" s="3" t="s">
        <v>128</v>
      </c>
      <c r="U519" s="3">
        <v>18</v>
      </c>
      <c r="V519" s="3">
        <v>0</v>
      </c>
      <c r="W519" s="3">
        <v>0</v>
      </c>
    </row>
    <row r="520" spans="1:23" ht="11.25" customHeight="1" x14ac:dyDescent="0.25">
      <c r="A520" s="3" t="s">
        <v>21</v>
      </c>
      <c r="B520" s="3" t="s">
        <v>39</v>
      </c>
      <c r="C520" s="3" t="s">
        <v>41</v>
      </c>
      <c r="D520" s="3" t="s">
        <v>44</v>
      </c>
      <c r="E520" s="3" t="s">
        <v>52</v>
      </c>
      <c r="F520" s="3" t="s">
        <v>25</v>
      </c>
      <c r="G520" s="3" t="s">
        <v>25</v>
      </c>
      <c r="H520" s="3" t="s">
        <v>25</v>
      </c>
      <c r="I520" s="6">
        <v>44531</v>
      </c>
      <c r="J520" s="4">
        <v>2081</v>
      </c>
      <c r="K520" s="4">
        <v>1997.76</v>
      </c>
      <c r="L520" s="4">
        <v>0</v>
      </c>
      <c r="M520" s="4">
        <v>0</v>
      </c>
      <c r="N520" s="4">
        <v>0</v>
      </c>
      <c r="O520" s="4">
        <v>0</v>
      </c>
      <c r="P520" s="4">
        <v>13</v>
      </c>
      <c r="Q520" s="3" t="s">
        <v>26</v>
      </c>
      <c r="R520" s="3">
        <v>0</v>
      </c>
      <c r="S520" s="3" t="s">
        <v>129</v>
      </c>
      <c r="U520" s="3">
        <v>18</v>
      </c>
      <c r="V520" s="3">
        <v>0</v>
      </c>
      <c r="W520" s="3">
        <v>0</v>
      </c>
    </row>
    <row r="521" spans="1:23" ht="11.25" customHeight="1" x14ac:dyDescent="0.25">
      <c r="A521" s="3" t="s">
        <v>21</v>
      </c>
      <c r="B521" s="3" t="s">
        <v>39</v>
      </c>
      <c r="C521" s="3" t="s">
        <v>41</v>
      </c>
      <c r="D521" s="3" t="s">
        <v>44</v>
      </c>
      <c r="E521" s="3" t="s">
        <v>52</v>
      </c>
      <c r="F521" s="3" t="s">
        <v>25</v>
      </c>
      <c r="G521" s="3" t="s">
        <v>25</v>
      </c>
      <c r="H521" s="3" t="s">
        <v>25</v>
      </c>
      <c r="I521" s="6">
        <v>44562</v>
      </c>
      <c r="J521" s="4">
        <v>2954</v>
      </c>
      <c r="K521" s="4">
        <v>2835.8399999999997</v>
      </c>
      <c r="L521" s="4">
        <v>0</v>
      </c>
      <c r="M521" s="4">
        <v>0</v>
      </c>
      <c r="N521" s="4">
        <v>0</v>
      </c>
      <c r="O521" s="4">
        <v>0</v>
      </c>
      <c r="P521" s="4">
        <v>16</v>
      </c>
      <c r="Q521" s="3" t="s">
        <v>26</v>
      </c>
      <c r="R521" s="3">
        <v>0</v>
      </c>
      <c r="S521" s="3" t="s">
        <v>130</v>
      </c>
      <c r="U521" s="3">
        <v>18</v>
      </c>
      <c r="V521" s="3">
        <v>0</v>
      </c>
      <c r="W521" s="3">
        <v>0</v>
      </c>
    </row>
    <row r="522" spans="1:23" ht="11.25" customHeight="1" x14ac:dyDescent="0.25">
      <c r="A522" s="3" t="s">
        <v>21</v>
      </c>
      <c r="B522" s="3" t="s">
        <v>39</v>
      </c>
      <c r="C522" s="3" t="s">
        <v>41</v>
      </c>
      <c r="D522" s="3" t="s">
        <v>44</v>
      </c>
      <c r="E522" s="3" t="s">
        <v>52</v>
      </c>
      <c r="F522" s="3" t="s">
        <v>25</v>
      </c>
      <c r="G522" s="3" t="s">
        <v>25</v>
      </c>
      <c r="H522" s="3" t="s">
        <v>25</v>
      </c>
      <c r="I522" s="6">
        <v>44593</v>
      </c>
      <c r="J522" s="4">
        <v>2358</v>
      </c>
      <c r="K522" s="4">
        <v>2263.6799999999998</v>
      </c>
      <c r="L522" s="4">
        <v>0</v>
      </c>
      <c r="M522" s="4">
        <v>0</v>
      </c>
      <c r="N522" s="4">
        <v>0</v>
      </c>
      <c r="O522" s="4">
        <v>0</v>
      </c>
      <c r="P522" s="4">
        <v>16</v>
      </c>
      <c r="Q522" s="3" t="s">
        <v>26</v>
      </c>
      <c r="R522" s="3">
        <v>0</v>
      </c>
      <c r="S522" s="3" t="s">
        <v>131</v>
      </c>
      <c r="U522" s="3">
        <v>18</v>
      </c>
      <c r="V522" s="3">
        <v>0</v>
      </c>
      <c r="W522" s="3">
        <v>0</v>
      </c>
    </row>
    <row r="523" spans="1:23" ht="11.25" customHeight="1" x14ac:dyDescent="0.25">
      <c r="A523" s="3" t="s">
        <v>27</v>
      </c>
      <c r="B523" s="3" t="s">
        <v>39</v>
      </c>
      <c r="C523" s="3" t="s">
        <v>41</v>
      </c>
      <c r="D523" s="3" t="s">
        <v>44</v>
      </c>
      <c r="E523" s="3" t="s">
        <v>52</v>
      </c>
      <c r="F523" s="3" t="s">
        <v>25</v>
      </c>
      <c r="G523" s="3" t="s">
        <v>25</v>
      </c>
      <c r="H523" s="3" t="s">
        <v>25</v>
      </c>
      <c r="I523" s="6">
        <v>44593</v>
      </c>
      <c r="J523" s="4">
        <v>-307</v>
      </c>
      <c r="K523" s="4">
        <v>-294.71999999999997</v>
      </c>
      <c r="L523" s="4">
        <v>0</v>
      </c>
      <c r="M523" s="4">
        <v>0</v>
      </c>
      <c r="N523" s="4">
        <v>0</v>
      </c>
      <c r="O523" s="4">
        <v>0</v>
      </c>
      <c r="P523" s="4">
        <v>-1</v>
      </c>
      <c r="Q523" s="3" t="s">
        <v>26</v>
      </c>
      <c r="R523" s="3">
        <v>0</v>
      </c>
      <c r="S523" s="3" t="s">
        <v>131</v>
      </c>
      <c r="U523" s="3">
        <v>18</v>
      </c>
      <c r="V523" s="3">
        <v>0</v>
      </c>
      <c r="W523" s="3">
        <v>0</v>
      </c>
    </row>
    <row r="524" spans="1:23" ht="11.25" customHeight="1" x14ac:dyDescent="0.25">
      <c r="A524" s="3" t="s">
        <v>21</v>
      </c>
      <c r="B524" s="3" t="s">
        <v>39</v>
      </c>
      <c r="C524" s="3" t="s">
        <v>41</v>
      </c>
      <c r="D524" s="3" t="s">
        <v>44</v>
      </c>
      <c r="E524" s="3" t="s">
        <v>52</v>
      </c>
      <c r="F524" s="3" t="s">
        <v>25</v>
      </c>
      <c r="G524" s="3" t="s">
        <v>25</v>
      </c>
      <c r="H524" s="3" t="s">
        <v>25</v>
      </c>
      <c r="I524" s="6">
        <v>44621</v>
      </c>
      <c r="J524" s="4">
        <v>2578</v>
      </c>
      <c r="K524" s="4">
        <v>2474.88</v>
      </c>
      <c r="L524" s="4">
        <v>0</v>
      </c>
      <c r="M524" s="4">
        <v>0</v>
      </c>
      <c r="N524" s="4">
        <v>0</v>
      </c>
      <c r="O524" s="4">
        <v>0</v>
      </c>
      <c r="P524" s="4">
        <v>15</v>
      </c>
      <c r="Q524" s="3" t="s">
        <v>26</v>
      </c>
      <c r="R524" s="3">
        <v>0</v>
      </c>
      <c r="S524" s="3" t="s">
        <v>132</v>
      </c>
      <c r="U524" s="3">
        <v>18</v>
      </c>
      <c r="V524" s="3">
        <v>0</v>
      </c>
      <c r="W524" s="3">
        <v>0</v>
      </c>
    </row>
    <row r="525" spans="1:23" ht="11.25" customHeight="1" x14ac:dyDescent="0.25">
      <c r="A525" s="3" t="s">
        <v>27</v>
      </c>
      <c r="B525" s="3" t="s">
        <v>39</v>
      </c>
      <c r="C525" s="3" t="s">
        <v>41</v>
      </c>
      <c r="D525" s="3" t="s">
        <v>44</v>
      </c>
      <c r="E525" s="3" t="s">
        <v>52</v>
      </c>
      <c r="F525" s="3" t="s">
        <v>25</v>
      </c>
      <c r="G525" s="3" t="s">
        <v>25</v>
      </c>
      <c r="H525" s="3" t="s">
        <v>25</v>
      </c>
      <c r="I525" s="6">
        <v>44621</v>
      </c>
      <c r="J525" s="4">
        <v>211</v>
      </c>
      <c r="K525" s="4">
        <v>202.56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3" t="s">
        <v>26</v>
      </c>
      <c r="R525" s="3">
        <v>0</v>
      </c>
      <c r="S525" s="3" t="s">
        <v>132</v>
      </c>
      <c r="U525" s="3">
        <v>18</v>
      </c>
      <c r="V525" s="3">
        <v>0</v>
      </c>
      <c r="W525" s="3">
        <v>0</v>
      </c>
    </row>
    <row r="526" spans="1:23" ht="11.25" customHeight="1" x14ac:dyDescent="0.25">
      <c r="A526" s="3" t="s">
        <v>21</v>
      </c>
      <c r="B526" s="3" t="s">
        <v>39</v>
      </c>
      <c r="C526" s="3" t="s">
        <v>41</v>
      </c>
      <c r="D526" s="3" t="s">
        <v>44</v>
      </c>
      <c r="E526" s="3" t="s">
        <v>52</v>
      </c>
      <c r="F526" s="3" t="s">
        <v>25</v>
      </c>
      <c r="G526" s="3" t="s">
        <v>25</v>
      </c>
      <c r="H526" s="3" t="s">
        <v>25</v>
      </c>
      <c r="I526" s="6">
        <v>44652</v>
      </c>
      <c r="J526" s="4">
        <v>2578</v>
      </c>
      <c r="K526" s="4">
        <v>2474.88</v>
      </c>
      <c r="L526" s="4">
        <v>0</v>
      </c>
      <c r="M526" s="4">
        <v>0</v>
      </c>
      <c r="N526" s="4">
        <v>0</v>
      </c>
      <c r="O526" s="4">
        <v>0</v>
      </c>
      <c r="P526" s="4">
        <v>15</v>
      </c>
      <c r="Q526" s="3" t="s">
        <v>26</v>
      </c>
      <c r="R526" s="3">
        <v>0</v>
      </c>
      <c r="S526" s="3" t="s">
        <v>133</v>
      </c>
      <c r="U526" s="3">
        <v>18</v>
      </c>
      <c r="V526" s="3">
        <v>0</v>
      </c>
      <c r="W526" s="3">
        <v>0</v>
      </c>
    </row>
    <row r="527" spans="1:23" ht="11.25" customHeight="1" x14ac:dyDescent="0.25">
      <c r="A527" s="3" t="s">
        <v>27</v>
      </c>
      <c r="B527" s="3" t="s">
        <v>39</v>
      </c>
      <c r="C527" s="3" t="s">
        <v>41</v>
      </c>
      <c r="D527" s="3" t="s">
        <v>44</v>
      </c>
      <c r="E527" s="3" t="s">
        <v>52</v>
      </c>
      <c r="F527" s="3" t="s">
        <v>25</v>
      </c>
      <c r="G527" s="3" t="s">
        <v>25</v>
      </c>
      <c r="H527" s="3" t="s">
        <v>25</v>
      </c>
      <c r="I527" s="6">
        <v>44652</v>
      </c>
      <c r="J527" s="4">
        <v>211</v>
      </c>
      <c r="K527" s="4">
        <v>202.56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3" t="s">
        <v>26</v>
      </c>
      <c r="R527" s="3">
        <v>0</v>
      </c>
      <c r="S527" s="3" t="s">
        <v>133</v>
      </c>
      <c r="U527" s="3">
        <v>18</v>
      </c>
      <c r="V527" s="3">
        <v>0</v>
      </c>
      <c r="W527" s="3">
        <v>0</v>
      </c>
    </row>
    <row r="528" spans="1:23" ht="11.25" customHeight="1" x14ac:dyDescent="0.25">
      <c r="A528" s="3" t="s">
        <v>21</v>
      </c>
      <c r="B528" s="3" t="s">
        <v>39</v>
      </c>
      <c r="C528" s="3" t="s">
        <v>41</v>
      </c>
      <c r="D528" s="3" t="s">
        <v>44</v>
      </c>
      <c r="E528" s="3" t="s">
        <v>52</v>
      </c>
      <c r="F528" s="3" t="s">
        <v>25</v>
      </c>
      <c r="G528" s="3" t="s">
        <v>25</v>
      </c>
      <c r="H528" s="3" t="s">
        <v>25</v>
      </c>
      <c r="I528" s="6">
        <v>44682</v>
      </c>
      <c r="J528" s="4">
        <v>480</v>
      </c>
      <c r="K528" s="4">
        <v>460.79999999999995</v>
      </c>
      <c r="L528" s="4">
        <v>0</v>
      </c>
      <c r="M528" s="4">
        <v>0</v>
      </c>
      <c r="N528" s="4">
        <v>0</v>
      </c>
      <c r="O528" s="4">
        <v>0</v>
      </c>
      <c r="P528" s="4">
        <v>14</v>
      </c>
      <c r="Q528" s="3" t="s">
        <v>26</v>
      </c>
      <c r="R528" s="3">
        <v>0</v>
      </c>
      <c r="S528" s="3" t="s">
        <v>134</v>
      </c>
      <c r="U528" s="3">
        <v>18</v>
      </c>
      <c r="V528" s="3">
        <v>0</v>
      </c>
      <c r="W528" s="3">
        <v>0</v>
      </c>
    </row>
    <row r="529" spans="1:23" ht="11.25" customHeight="1" x14ac:dyDescent="0.25">
      <c r="A529" s="3" t="s">
        <v>21</v>
      </c>
      <c r="B529" s="3" t="s">
        <v>39</v>
      </c>
      <c r="C529" s="3" t="s">
        <v>41</v>
      </c>
      <c r="D529" s="3" t="s">
        <v>44</v>
      </c>
      <c r="E529" s="3" t="s">
        <v>52</v>
      </c>
      <c r="F529" s="3" t="s">
        <v>25</v>
      </c>
      <c r="G529" s="3" t="s">
        <v>25</v>
      </c>
      <c r="H529" s="3" t="s">
        <v>25</v>
      </c>
      <c r="I529" s="6">
        <v>44713</v>
      </c>
      <c r="J529" s="4">
        <v>651</v>
      </c>
      <c r="K529" s="4">
        <v>624.95999999999992</v>
      </c>
      <c r="L529" s="4">
        <v>0</v>
      </c>
      <c r="M529" s="4">
        <v>0</v>
      </c>
      <c r="N529" s="4">
        <v>0</v>
      </c>
      <c r="O529" s="4">
        <v>0</v>
      </c>
      <c r="P529" s="4">
        <v>15</v>
      </c>
      <c r="Q529" s="3" t="s">
        <v>26</v>
      </c>
      <c r="R529" s="3">
        <v>0</v>
      </c>
      <c r="S529" s="3" t="s">
        <v>135</v>
      </c>
      <c r="U529" s="3">
        <v>18</v>
      </c>
      <c r="V529" s="3">
        <v>0</v>
      </c>
      <c r="W529" s="3">
        <v>0</v>
      </c>
    </row>
    <row r="530" spans="1:23" ht="11.25" customHeight="1" x14ac:dyDescent="0.25">
      <c r="A530" s="3" t="s">
        <v>21</v>
      </c>
      <c r="B530" s="3" t="s">
        <v>39</v>
      </c>
      <c r="C530" s="3" t="s">
        <v>41</v>
      </c>
      <c r="D530" s="3" t="s">
        <v>44</v>
      </c>
      <c r="E530" s="3" t="s">
        <v>52</v>
      </c>
      <c r="F530" s="3" t="s">
        <v>25</v>
      </c>
      <c r="G530" s="3" t="s">
        <v>25</v>
      </c>
      <c r="H530" s="3" t="s">
        <v>25</v>
      </c>
      <c r="I530" s="6">
        <v>44743</v>
      </c>
      <c r="J530" s="4">
        <v>464</v>
      </c>
      <c r="K530" s="4">
        <v>445.44</v>
      </c>
      <c r="L530" s="4">
        <v>0</v>
      </c>
      <c r="M530" s="4">
        <v>0</v>
      </c>
      <c r="N530" s="4">
        <v>0</v>
      </c>
      <c r="O530" s="4">
        <v>0</v>
      </c>
      <c r="P530" s="4">
        <v>14</v>
      </c>
      <c r="Q530" s="3" t="s">
        <v>26</v>
      </c>
      <c r="R530" s="3">
        <v>0</v>
      </c>
      <c r="S530" s="3" t="s">
        <v>136</v>
      </c>
      <c r="U530" s="3">
        <v>18</v>
      </c>
      <c r="V530" s="3">
        <v>0</v>
      </c>
      <c r="W530" s="3">
        <v>0</v>
      </c>
    </row>
    <row r="531" spans="1:23" ht="11.25" customHeight="1" x14ac:dyDescent="0.25">
      <c r="A531" s="3" t="s">
        <v>21</v>
      </c>
      <c r="B531" s="3" t="s">
        <v>39</v>
      </c>
      <c r="C531" s="3" t="s">
        <v>41</v>
      </c>
      <c r="D531" s="3" t="s">
        <v>44</v>
      </c>
      <c r="E531" s="3" t="s">
        <v>52</v>
      </c>
      <c r="F531" s="3" t="s">
        <v>25</v>
      </c>
      <c r="G531" s="3" t="s">
        <v>25</v>
      </c>
      <c r="H531" s="3" t="s">
        <v>25</v>
      </c>
      <c r="I531" s="6">
        <v>44774</v>
      </c>
      <c r="J531" s="4">
        <v>1392</v>
      </c>
      <c r="K531" s="4">
        <v>1336.32</v>
      </c>
      <c r="L531" s="4">
        <v>0</v>
      </c>
      <c r="M531" s="4">
        <v>0</v>
      </c>
      <c r="N531" s="4">
        <v>0</v>
      </c>
      <c r="O531" s="4">
        <v>0</v>
      </c>
      <c r="P531" s="4">
        <v>15</v>
      </c>
      <c r="Q531" s="3" t="s">
        <v>26</v>
      </c>
      <c r="R531" s="3">
        <v>0</v>
      </c>
      <c r="S531" s="3" t="s">
        <v>137</v>
      </c>
      <c r="U531" s="3">
        <v>18</v>
      </c>
      <c r="V531" s="3">
        <v>0</v>
      </c>
      <c r="W531" s="3">
        <v>0</v>
      </c>
    </row>
    <row r="532" spans="1:23" ht="11.25" customHeight="1" x14ac:dyDescent="0.25">
      <c r="A532" s="3" t="s">
        <v>21</v>
      </c>
      <c r="B532" s="3" t="s">
        <v>39</v>
      </c>
      <c r="C532" s="3" t="s">
        <v>41</v>
      </c>
      <c r="D532" s="3" t="s">
        <v>44</v>
      </c>
      <c r="E532" s="3" t="s">
        <v>52</v>
      </c>
      <c r="F532" s="3" t="s">
        <v>25</v>
      </c>
      <c r="G532" s="3" t="s">
        <v>25</v>
      </c>
      <c r="H532" s="3" t="s">
        <v>25</v>
      </c>
      <c r="I532" s="6">
        <v>44805</v>
      </c>
      <c r="J532" s="4">
        <v>1521</v>
      </c>
      <c r="K532" s="4">
        <v>1460.1599999999999</v>
      </c>
      <c r="L532" s="4">
        <v>0</v>
      </c>
      <c r="M532" s="4">
        <v>0</v>
      </c>
      <c r="N532" s="4">
        <v>0</v>
      </c>
      <c r="O532" s="4">
        <v>0</v>
      </c>
      <c r="P532" s="4">
        <v>16</v>
      </c>
      <c r="Q532" s="3" t="s">
        <v>26</v>
      </c>
      <c r="R532" s="3">
        <v>0</v>
      </c>
      <c r="S532" s="3" t="s">
        <v>138</v>
      </c>
      <c r="U532" s="3">
        <v>18</v>
      </c>
      <c r="V532" s="3">
        <v>0</v>
      </c>
      <c r="W532" s="3">
        <v>0</v>
      </c>
    </row>
    <row r="533" spans="1:23" ht="11.25" customHeight="1" x14ac:dyDescent="0.25">
      <c r="A533" s="3" t="s">
        <v>55</v>
      </c>
      <c r="B533" s="3" t="s">
        <v>39</v>
      </c>
      <c r="C533" s="3" t="s">
        <v>41</v>
      </c>
      <c r="D533" s="3" t="s">
        <v>44</v>
      </c>
      <c r="E533" s="3" t="s">
        <v>52</v>
      </c>
      <c r="F533" s="3" t="s">
        <v>25</v>
      </c>
      <c r="G533" s="3" t="s">
        <v>25</v>
      </c>
      <c r="H533" s="3" t="s">
        <v>25</v>
      </c>
      <c r="I533" s="6">
        <v>44835</v>
      </c>
      <c r="J533" s="4">
        <v>1521</v>
      </c>
      <c r="K533" s="4">
        <v>1460.1599999999999</v>
      </c>
      <c r="L533" s="4">
        <v>0</v>
      </c>
      <c r="M533" s="4">
        <v>0</v>
      </c>
      <c r="N533" s="4">
        <v>0</v>
      </c>
      <c r="O533" s="4">
        <v>0</v>
      </c>
      <c r="P533" s="4">
        <v>16</v>
      </c>
      <c r="Q533" s="3" t="s">
        <v>26</v>
      </c>
      <c r="R533" s="3">
        <v>0</v>
      </c>
      <c r="S533" s="3" t="s">
        <v>139</v>
      </c>
      <c r="U533" s="3">
        <v>18</v>
      </c>
      <c r="V533" s="3">
        <v>0</v>
      </c>
      <c r="W533" s="3">
        <v>0</v>
      </c>
    </row>
    <row r="534" spans="1:23" ht="11.25" customHeight="1" x14ac:dyDescent="0.25">
      <c r="A534" s="3" t="s">
        <v>21</v>
      </c>
      <c r="B534" s="3" t="s">
        <v>39</v>
      </c>
      <c r="C534" s="3" t="s">
        <v>41</v>
      </c>
      <c r="D534" s="3" t="s">
        <v>44</v>
      </c>
      <c r="E534" s="3" t="s">
        <v>52</v>
      </c>
      <c r="F534" s="3" t="s">
        <v>25</v>
      </c>
      <c r="G534" s="3" t="s">
        <v>25</v>
      </c>
      <c r="H534" s="3" t="s">
        <v>34</v>
      </c>
      <c r="I534" s="6">
        <v>44501</v>
      </c>
      <c r="J534" s="4">
        <v>0</v>
      </c>
      <c r="K534" s="4">
        <v>0</v>
      </c>
      <c r="L534" s="4">
        <v>11.041</v>
      </c>
      <c r="M534" s="4">
        <v>10.599360000000001</v>
      </c>
      <c r="N534" s="4">
        <v>11.041</v>
      </c>
      <c r="O534" s="4">
        <v>10.599360000000001</v>
      </c>
      <c r="P534" s="4">
        <v>0</v>
      </c>
      <c r="Q534" s="3" t="s">
        <v>26</v>
      </c>
      <c r="R534" s="3">
        <v>0</v>
      </c>
      <c r="S534" s="3" t="s">
        <v>140</v>
      </c>
      <c r="T534" s="3" t="s">
        <v>354</v>
      </c>
      <c r="U534" s="3">
        <v>0</v>
      </c>
      <c r="V534" s="3">
        <v>11</v>
      </c>
      <c r="W534" s="3">
        <v>71</v>
      </c>
    </row>
    <row r="535" spans="1:23" ht="11.25" customHeight="1" x14ac:dyDescent="0.25">
      <c r="A535" s="3" t="s">
        <v>21</v>
      </c>
      <c r="B535" s="3" t="s">
        <v>39</v>
      </c>
      <c r="C535" s="3" t="s">
        <v>41</v>
      </c>
      <c r="D535" s="3" t="s">
        <v>44</v>
      </c>
      <c r="E535" s="3" t="s">
        <v>52</v>
      </c>
      <c r="F535" s="3" t="s">
        <v>25</v>
      </c>
      <c r="G535" s="3" t="s">
        <v>25</v>
      </c>
      <c r="H535" s="3" t="s">
        <v>34</v>
      </c>
      <c r="I535" s="6">
        <v>44531</v>
      </c>
      <c r="J535" s="4">
        <v>0</v>
      </c>
      <c r="K535" s="4">
        <v>0</v>
      </c>
      <c r="L535" s="4">
        <v>20.324000000000002</v>
      </c>
      <c r="M535" s="4">
        <v>19.511040000000001</v>
      </c>
      <c r="N535" s="4">
        <v>20.324000000000002</v>
      </c>
      <c r="O535" s="4">
        <v>19.511040000000001</v>
      </c>
      <c r="P535" s="4">
        <v>0</v>
      </c>
      <c r="Q535" s="3" t="s">
        <v>26</v>
      </c>
      <c r="R535" s="3">
        <v>0</v>
      </c>
      <c r="S535" s="3" t="s">
        <v>141</v>
      </c>
      <c r="T535" s="3" t="s">
        <v>355</v>
      </c>
      <c r="U535" s="3">
        <v>0</v>
      </c>
      <c r="V535" s="3">
        <v>11</v>
      </c>
      <c r="W535" s="3">
        <v>71</v>
      </c>
    </row>
    <row r="536" spans="1:23" ht="11.25" customHeight="1" x14ac:dyDescent="0.25">
      <c r="A536" s="3" t="s">
        <v>21</v>
      </c>
      <c r="B536" s="3" t="s">
        <v>39</v>
      </c>
      <c r="C536" s="3" t="s">
        <v>41</v>
      </c>
      <c r="D536" s="3" t="s">
        <v>44</v>
      </c>
      <c r="E536" s="3" t="s">
        <v>52</v>
      </c>
      <c r="F536" s="3" t="s">
        <v>25</v>
      </c>
      <c r="G536" s="3" t="s">
        <v>25</v>
      </c>
      <c r="H536" s="3" t="s">
        <v>34</v>
      </c>
      <c r="I536" s="6">
        <v>44562</v>
      </c>
      <c r="J536" s="4">
        <v>0</v>
      </c>
      <c r="K536" s="4">
        <v>0</v>
      </c>
      <c r="L536" s="4">
        <v>21.841000000000001</v>
      </c>
      <c r="M536" s="4">
        <v>20.967359999999999</v>
      </c>
      <c r="N536" s="4">
        <v>21.841000000000001</v>
      </c>
      <c r="O536" s="4">
        <v>20.967359999999999</v>
      </c>
      <c r="P536" s="4">
        <v>0</v>
      </c>
      <c r="Q536" s="3" t="s">
        <v>26</v>
      </c>
      <c r="R536" s="3">
        <v>0</v>
      </c>
      <c r="S536" s="3" t="s">
        <v>142</v>
      </c>
      <c r="T536" s="3" t="s">
        <v>356</v>
      </c>
      <c r="U536" s="3">
        <v>0</v>
      </c>
      <c r="V536" s="3">
        <v>11</v>
      </c>
      <c r="W536" s="3">
        <v>71</v>
      </c>
    </row>
    <row r="537" spans="1:23" ht="11.25" customHeight="1" x14ac:dyDescent="0.25">
      <c r="A537" s="3" t="s">
        <v>21</v>
      </c>
      <c r="B537" s="3" t="s">
        <v>39</v>
      </c>
      <c r="C537" s="3" t="s">
        <v>41</v>
      </c>
      <c r="D537" s="3" t="s">
        <v>44</v>
      </c>
      <c r="E537" s="3" t="s">
        <v>52</v>
      </c>
      <c r="F537" s="3" t="s">
        <v>25</v>
      </c>
      <c r="G537" s="3" t="s">
        <v>25</v>
      </c>
      <c r="H537" s="3" t="s">
        <v>34</v>
      </c>
      <c r="I537" s="6">
        <v>44593</v>
      </c>
      <c r="J537" s="4">
        <v>0</v>
      </c>
      <c r="K537" s="4">
        <v>0</v>
      </c>
      <c r="L537" s="4">
        <v>24.782</v>
      </c>
      <c r="M537" s="4">
        <v>23.79072</v>
      </c>
      <c r="N537" s="4">
        <v>24.782</v>
      </c>
      <c r="O537" s="4">
        <v>23.79072</v>
      </c>
      <c r="P537" s="4">
        <v>0</v>
      </c>
      <c r="Q537" s="3" t="s">
        <v>26</v>
      </c>
      <c r="R537" s="3">
        <v>0</v>
      </c>
      <c r="S537" s="3" t="s">
        <v>143</v>
      </c>
      <c r="T537" s="3" t="s">
        <v>357</v>
      </c>
      <c r="U537" s="3">
        <v>0</v>
      </c>
      <c r="V537" s="3">
        <v>11</v>
      </c>
      <c r="W537" s="3">
        <v>71</v>
      </c>
    </row>
    <row r="538" spans="1:23" ht="11.25" customHeight="1" x14ac:dyDescent="0.25">
      <c r="A538" s="3" t="s">
        <v>27</v>
      </c>
      <c r="B538" s="3" t="s">
        <v>39</v>
      </c>
      <c r="C538" s="3" t="s">
        <v>41</v>
      </c>
      <c r="D538" s="3" t="s">
        <v>44</v>
      </c>
      <c r="E538" s="3" t="s">
        <v>52</v>
      </c>
      <c r="F538" s="3" t="s">
        <v>25</v>
      </c>
      <c r="G538" s="3" t="s">
        <v>25</v>
      </c>
      <c r="H538" s="3" t="s">
        <v>34</v>
      </c>
      <c r="I538" s="6">
        <v>44593</v>
      </c>
      <c r="J538" s="4">
        <v>0</v>
      </c>
      <c r="K538" s="4">
        <v>0</v>
      </c>
      <c r="L538" s="4">
        <v>-1.3069999999999999</v>
      </c>
      <c r="M538" s="4">
        <v>-1.2547199999999998</v>
      </c>
      <c r="N538" s="4">
        <v>-1.3069999999999999</v>
      </c>
      <c r="O538" s="4">
        <v>-1.2547199999999998</v>
      </c>
      <c r="P538" s="4">
        <v>0</v>
      </c>
      <c r="Q538" s="3" t="s">
        <v>26</v>
      </c>
      <c r="R538" s="3">
        <v>0</v>
      </c>
      <c r="S538" s="3" t="s">
        <v>143</v>
      </c>
      <c r="T538" s="3" t="s">
        <v>357</v>
      </c>
      <c r="U538" s="3">
        <v>0</v>
      </c>
      <c r="V538" s="3">
        <v>11</v>
      </c>
      <c r="W538" s="3">
        <v>71</v>
      </c>
    </row>
    <row r="539" spans="1:23" ht="11.25" customHeight="1" x14ac:dyDescent="0.25">
      <c r="A539" s="3" t="s">
        <v>21</v>
      </c>
      <c r="B539" s="3" t="s">
        <v>39</v>
      </c>
      <c r="C539" s="3" t="s">
        <v>41</v>
      </c>
      <c r="D539" s="3" t="s">
        <v>44</v>
      </c>
      <c r="E539" s="3" t="s">
        <v>52</v>
      </c>
      <c r="F539" s="3" t="s">
        <v>25</v>
      </c>
      <c r="G539" s="3" t="s">
        <v>25</v>
      </c>
      <c r="H539" s="3" t="s">
        <v>34</v>
      </c>
      <c r="I539" s="6">
        <v>44621</v>
      </c>
      <c r="J539" s="4">
        <v>0</v>
      </c>
      <c r="K539" s="4">
        <v>0</v>
      </c>
      <c r="L539" s="4">
        <v>12.180999999999999</v>
      </c>
      <c r="M539" s="4">
        <v>11.693759999999999</v>
      </c>
      <c r="N539" s="4">
        <v>12.180999999999999</v>
      </c>
      <c r="O539" s="4">
        <v>11.693759999999999</v>
      </c>
      <c r="P539" s="4">
        <v>0</v>
      </c>
      <c r="Q539" s="3" t="s">
        <v>26</v>
      </c>
      <c r="R539" s="3">
        <v>0</v>
      </c>
      <c r="S539" s="3" t="s">
        <v>144</v>
      </c>
      <c r="T539" s="3" t="s">
        <v>358</v>
      </c>
      <c r="U539" s="3">
        <v>0</v>
      </c>
      <c r="V539" s="3">
        <v>11</v>
      </c>
      <c r="W539" s="3">
        <v>71</v>
      </c>
    </row>
    <row r="540" spans="1:23" ht="11.25" customHeight="1" x14ac:dyDescent="0.25">
      <c r="A540" s="3" t="s">
        <v>27</v>
      </c>
      <c r="B540" s="3" t="s">
        <v>39</v>
      </c>
      <c r="C540" s="3" t="s">
        <v>41</v>
      </c>
      <c r="D540" s="3" t="s">
        <v>44</v>
      </c>
      <c r="E540" s="3" t="s">
        <v>52</v>
      </c>
      <c r="F540" s="3" t="s">
        <v>25</v>
      </c>
      <c r="G540" s="3" t="s">
        <v>25</v>
      </c>
      <c r="H540" s="3" t="s">
        <v>34</v>
      </c>
      <c r="I540" s="6">
        <v>44621</v>
      </c>
      <c r="J540" s="4">
        <v>0</v>
      </c>
      <c r="K540" s="4">
        <v>0</v>
      </c>
      <c r="L540" s="4">
        <v>8.8490000000000002</v>
      </c>
      <c r="M540" s="4">
        <v>8.4950399999999995</v>
      </c>
      <c r="N540" s="4">
        <v>8.8490000000000002</v>
      </c>
      <c r="O540" s="4">
        <v>8.4950399999999995</v>
      </c>
      <c r="P540" s="4">
        <v>0</v>
      </c>
      <c r="Q540" s="3" t="s">
        <v>26</v>
      </c>
      <c r="R540" s="3">
        <v>0</v>
      </c>
      <c r="S540" s="3" t="s">
        <v>144</v>
      </c>
      <c r="T540" s="3" t="s">
        <v>358</v>
      </c>
      <c r="U540" s="3">
        <v>0</v>
      </c>
      <c r="V540" s="3">
        <v>11</v>
      </c>
      <c r="W540" s="3">
        <v>71</v>
      </c>
    </row>
    <row r="541" spans="1:23" ht="11.25" customHeight="1" x14ac:dyDescent="0.25">
      <c r="A541" s="3" t="s">
        <v>21</v>
      </c>
      <c r="B541" s="3" t="s">
        <v>39</v>
      </c>
      <c r="C541" s="3" t="s">
        <v>41</v>
      </c>
      <c r="D541" s="3" t="s">
        <v>44</v>
      </c>
      <c r="E541" s="3" t="s">
        <v>52</v>
      </c>
      <c r="F541" s="3" t="s">
        <v>25</v>
      </c>
      <c r="G541" s="3" t="s">
        <v>25</v>
      </c>
      <c r="H541" s="3" t="s">
        <v>34</v>
      </c>
      <c r="I541" s="6">
        <v>44652</v>
      </c>
      <c r="J541" s="4">
        <v>0</v>
      </c>
      <c r="K541" s="4">
        <v>0</v>
      </c>
      <c r="L541" s="4">
        <v>12.180999999999999</v>
      </c>
      <c r="M541" s="4">
        <v>11.693759999999999</v>
      </c>
      <c r="N541" s="4">
        <v>12.180999999999999</v>
      </c>
      <c r="O541" s="4">
        <v>11.693759999999999</v>
      </c>
      <c r="P541" s="4">
        <v>0</v>
      </c>
      <c r="Q541" s="3" t="s">
        <v>26</v>
      </c>
      <c r="R541" s="3">
        <v>0</v>
      </c>
      <c r="S541" s="3" t="s">
        <v>145</v>
      </c>
      <c r="T541" s="3" t="s">
        <v>359</v>
      </c>
      <c r="U541" s="3">
        <v>0</v>
      </c>
      <c r="V541" s="3">
        <v>11</v>
      </c>
      <c r="W541" s="3">
        <v>71</v>
      </c>
    </row>
    <row r="542" spans="1:23" ht="11.25" customHeight="1" x14ac:dyDescent="0.25">
      <c r="A542" s="3" t="s">
        <v>27</v>
      </c>
      <c r="B542" s="3" t="s">
        <v>39</v>
      </c>
      <c r="C542" s="3" t="s">
        <v>41</v>
      </c>
      <c r="D542" s="3" t="s">
        <v>44</v>
      </c>
      <c r="E542" s="3" t="s">
        <v>52</v>
      </c>
      <c r="F542" s="3" t="s">
        <v>25</v>
      </c>
      <c r="G542" s="3" t="s">
        <v>25</v>
      </c>
      <c r="H542" s="3" t="s">
        <v>34</v>
      </c>
      <c r="I542" s="6">
        <v>44652</v>
      </c>
      <c r="J542" s="4">
        <v>0</v>
      </c>
      <c r="K542" s="4">
        <v>0</v>
      </c>
      <c r="L542" s="4">
        <v>8.8490000000000002</v>
      </c>
      <c r="M542" s="4">
        <v>8.4950399999999995</v>
      </c>
      <c r="N542" s="4">
        <v>8.8490000000000002</v>
      </c>
      <c r="O542" s="4">
        <v>8.4950399999999995</v>
      </c>
      <c r="P542" s="4">
        <v>0</v>
      </c>
      <c r="Q542" s="3" t="s">
        <v>26</v>
      </c>
      <c r="R542" s="3">
        <v>0</v>
      </c>
      <c r="S542" s="3" t="s">
        <v>145</v>
      </c>
      <c r="T542" s="3" t="s">
        <v>359</v>
      </c>
      <c r="U542" s="3">
        <v>0</v>
      </c>
      <c r="V542" s="3">
        <v>11</v>
      </c>
      <c r="W542" s="3">
        <v>71</v>
      </c>
    </row>
    <row r="543" spans="1:23" ht="11.25" customHeight="1" x14ac:dyDescent="0.25">
      <c r="A543" s="3" t="s">
        <v>21</v>
      </c>
      <c r="B543" s="3" t="s">
        <v>39</v>
      </c>
      <c r="C543" s="3" t="s">
        <v>41</v>
      </c>
      <c r="D543" s="3" t="s">
        <v>44</v>
      </c>
      <c r="E543" s="3" t="s">
        <v>52</v>
      </c>
      <c r="F543" s="3" t="s">
        <v>25</v>
      </c>
      <c r="G543" s="3" t="s">
        <v>25</v>
      </c>
      <c r="H543" s="3" t="s">
        <v>34</v>
      </c>
      <c r="I543" s="6">
        <v>44682</v>
      </c>
      <c r="J543" s="4">
        <v>0</v>
      </c>
      <c r="K543" s="4">
        <v>0</v>
      </c>
      <c r="L543" s="4">
        <v>2.996</v>
      </c>
      <c r="M543" s="4">
        <v>2.87616</v>
      </c>
      <c r="N543" s="4">
        <v>2.996</v>
      </c>
      <c r="O543" s="4">
        <v>2.87616</v>
      </c>
      <c r="P543" s="4">
        <v>0</v>
      </c>
      <c r="Q543" s="3" t="s">
        <v>26</v>
      </c>
      <c r="R543" s="3">
        <v>0</v>
      </c>
      <c r="S543" s="3" t="s">
        <v>146</v>
      </c>
      <c r="T543" s="3" t="s">
        <v>360</v>
      </c>
      <c r="U543" s="3">
        <v>0</v>
      </c>
      <c r="V543" s="3">
        <v>11</v>
      </c>
      <c r="W543" s="3">
        <v>71</v>
      </c>
    </row>
    <row r="544" spans="1:23" ht="11.25" customHeight="1" x14ac:dyDescent="0.25">
      <c r="A544" s="3" t="s">
        <v>27</v>
      </c>
      <c r="B544" s="3" t="s">
        <v>39</v>
      </c>
      <c r="C544" s="3" t="s">
        <v>41</v>
      </c>
      <c r="D544" s="3" t="s">
        <v>44</v>
      </c>
      <c r="E544" s="3" t="s">
        <v>52</v>
      </c>
      <c r="F544" s="3" t="s">
        <v>25</v>
      </c>
      <c r="G544" s="3" t="s">
        <v>25</v>
      </c>
      <c r="H544" s="3" t="s">
        <v>34</v>
      </c>
      <c r="I544" s="6">
        <v>44682</v>
      </c>
      <c r="J544" s="4">
        <v>0</v>
      </c>
      <c r="K544" s="4">
        <v>0</v>
      </c>
      <c r="L544" s="4">
        <v>-31.196000000000002</v>
      </c>
      <c r="M544" s="4">
        <v>-29.948160000000001</v>
      </c>
      <c r="N544" s="4">
        <v>-31.196000000000002</v>
      </c>
      <c r="O544" s="4">
        <v>-29.948160000000001</v>
      </c>
      <c r="P544" s="4">
        <v>0</v>
      </c>
      <c r="Q544" s="3" t="s">
        <v>26</v>
      </c>
      <c r="R544" s="3">
        <v>0</v>
      </c>
      <c r="S544" s="3" t="s">
        <v>146</v>
      </c>
      <c r="T544" s="3" t="s">
        <v>360</v>
      </c>
      <c r="U544" s="3">
        <v>0</v>
      </c>
      <c r="V544" s="3">
        <v>11</v>
      </c>
      <c r="W544" s="3">
        <v>71</v>
      </c>
    </row>
    <row r="545" spans="1:23" ht="11.25" customHeight="1" x14ac:dyDescent="0.25">
      <c r="A545" s="3" t="s">
        <v>21</v>
      </c>
      <c r="B545" s="3" t="s">
        <v>39</v>
      </c>
      <c r="C545" s="3" t="s">
        <v>41</v>
      </c>
      <c r="D545" s="3" t="s">
        <v>44</v>
      </c>
      <c r="E545" s="3" t="s">
        <v>52</v>
      </c>
      <c r="F545" s="3" t="s">
        <v>25</v>
      </c>
      <c r="G545" s="3" t="s">
        <v>25</v>
      </c>
      <c r="H545" s="3" t="s">
        <v>34</v>
      </c>
      <c r="I545" s="6">
        <v>44713</v>
      </c>
      <c r="J545" s="4">
        <v>0</v>
      </c>
      <c r="K545" s="4">
        <v>0</v>
      </c>
      <c r="L545" s="4">
        <v>1.722</v>
      </c>
      <c r="M545" s="4">
        <v>1.6531199999999999</v>
      </c>
      <c r="N545" s="4">
        <v>1.722</v>
      </c>
      <c r="O545" s="4">
        <v>1.6531199999999999</v>
      </c>
      <c r="P545" s="4">
        <v>0</v>
      </c>
      <c r="Q545" s="3" t="s">
        <v>26</v>
      </c>
      <c r="R545" s="3">
        <v>0</v>
      </c>
      <c r="S545" s="3" t="s">
        <v>147</v>
      </c>
      <c r="T545" s="3" t="s">
        <v>361</v>
      </c>
      <c r="U545" s="3">
        <v>0</v>
      </c>
      <c r="V545" s="3">
        <v>11</v>
      </c>
      <c r="W545" s="3">
        <v>71</v>
      </c>
    </row>
    <row r="546" spans="1:23" ht="11.25" customHeight="1" x14ac:dyDescent="0.25">
      <c r="A546" s="3" t="s">
        <v>21</v>
      </c>
      <c r="B546" s="3" t="s">
        <v>39</v>
      </c>
      <c r="C546" s="3" t="s">
        <v>41</v>
      </c>
      <c r="D546" s="3" t="s">
        <v>44</v>
      </c>
      <c r="E546" s="3" t="s">
        <v>52</v>
      </c>
      <c r="F546" s="3" t="s">
        <v>25</v>
      </c>
      <c r="G546" s="3" t="s">
        <v>25</v>
      </c>
      <c r="H546" s="3" t="s">
        <v>34</v>
      </c>
      <c r="I546" s="6">
        <v>44743</v>
      </c>
      <c r="J546" s="4">
        <v>0</v>
      </c>
      <c r="K546" s="4">
        <v>0</v>
      </c>
      <c r="L546" s="4">
        <v>1.9039999999999999</v>
      </c>
      <c r="M546" s="4">
        <v>1.8278399999999999</v>
      </c>
      <c r="N546" s="4">
        <v>1.9039999999999999</v>
      </c>
      <c r="O546" s="4">
        <v>1.8278399999999999</v>
      </c>
      <c r="P546" s="4">
        <v>0</v>
      </c>
      <c r="Q546" s="3" t="s">
        <v>26</v>
      </c>
      <c r="R546" s="3">
        <v>0</v>
      </c>
      <c r="S546" s="3" t="s">
        <v>148</v>
      </c>
      <c r="T546" s="3" t="s">
        <v>362</v>
      </c>
      <c r="U546" s="3">
        <v>0</v>
      </c>
      <c r="V546" s="3">
        <v>11</v>
      </c>
      <c r="W546" s="3">
        <v>71</v>
      </c>
    </row>
    <row r="547" spans="1:23" ht="11.25" customHeight="1" x14ac:dyDescent="0.25">
      <c r="A547" s="3" t="s">
        <v>21</v>
      </c>
      <c r="B547" s="3" t="s">
        <v>39</v>
      </c>
      <c r="C547" s="3" t="s">
        <v>41</v>
      </c>
      <c r="D547" s="3" t="s">
        <v>44</v>
      </c>
      <c r="E547" s="3" t="s">
        <v>52</v>
      </c>
      <c r="F547" s="3" t="s">
        <v>25</v>
      </c>
      <c r="G547" s="3" t="s">
        <v>25</v>
      </c>
      <c r="H547" s="3" t="s">
        <v>34</v>
      </c>
      <c r="I547" s="6">
        <v>44774</v>
      </c>
      <c r="J547" s="4">
        <v>0</v>
      </c>
      <c r="K547" s="4">
        <v>0</v>
      </c>
      <c r="L547" s="4">
        <v>4.9359999999999999</v>
      </c>
      <c r="M547" s="4">
        <v>4.7385599999999997</v>
      </c>
      <c r="N547" s="4">
        <v>4.9359999999999999</v>
      </c>
      <c r="O547" s="4">
        <v>4.7385599999999997</v>
      </c>
      <c r="P547" s="4">
        <v>0</v>
      </c>
      <c r="Q547" s="3" t="s">
        <v>26</v>
      </c>
      <c r="R547" s="3">
        <v>0</v>
      </c>
      <c r="S547" s="3" t="s">
        <v>149</v>
      </c>
      <c r="T547" s="3" t="s">
        <v>363</v>
      </c>
      <c r="U547" s="3">
        <v>0</v>
      </c>
      <c r="V547" s="3">
        <v>11</v>
      </c>
      <c r="W547" s="3">
        <v>71</v>
      </c>
    </row>
    <row r="548" spans="1:23" ht="11.25" customHeight="1" x14ac:dyDescent="0.25">
      <c r="A548" s="3" t="s">
        <v>21</v>
      </c>
      <c r="B548" s="3" t="s">
        <v>39</v>
      </c>
      <c r="C548" s="3" t="s">
        <v>41</v>
      </c>
      <c r="D548" s="3" t="s">
        <v>44</v>
      </c>
      <c r="E548" s="3" t="s">
        <v>52</v>
      </c>
      <c r="F548" s="3" t="s">
        <v>25</v>
      </c>
      <c r="G548" s="3" t="s">
        <v>25</v>
      </c>
      <c r="H548" s="3" t="s">
        <v>34</v>
      </c>
      <c r="I548" s="6">
        <v>44805</v>
      </c>
      <c r="J548" s="4">
        <v>0</v>
      </c>
      <c r="K548" s="4">
        <v>0</v>
      </c>
      <c r="L548" s="4">
        <v>3.6779999999999999</v>
      </c>
      <c r="M548" s="4">
        <v>3.5308799999999998</v>
      </c>
      <c r="N548" s="4">
        <v>3.6779999999999999</v>
      </c>
      <c r="O548" s="4">
        <v>3.5308799999999998</v>
      </c>
      <c r="P548" s="4">
        <v>0</v>
      </c>
      <c r="Q548" s="3" t="s">
        <v>26</v>
      </c>
      <c r="R548" s="3">
        <v>0</v>
      </c>
      <c r="S548" s="3" t="s">
        <v>150</v>
      </c>
      <c r="T548" s="3" t="s">
        <v>364</v>
      </c>
      <c r="U548" s="3">
        <v>0</v>
      </c>
      <c r="V548" s="3">
        <v>11</v>
      </c>
      <c r="W548" s="3">
        <v>71</v>
      </c>
    </row>
    <row r="549" spans="1:23" ht="11.25" customHeight="1" x14ac:dyDescent="0.25">
      <c r="A549" s="3" t="s">
        <v>55</v>
      </c>
      <c r="B549" s="3" t="s">
        <v>39</v>
      </c>
      <c r="C549" s="3" t="s">
        <v>41</v>
      </c>
      <c r="D549" s="3" t="s">
        <v>44</v>
      </c>
      <c r="E549" s="3" t="s">
        <v>52</v>
      </c>
      <c r="F549" s="3" t="s">
        <v>25</v>
      </c>
      <c r="G549" s="3" t="s">
        <v>25</v>
      </c>
      <c r="H549" s="3" t="s">
        <v>34</v>
      </c>
      <c r="I549" s="6">
        <v>44835</v>
      </c>
      <c r="J549" s="4">
        <v>0</v>
      </c>
      <c r="K549" s="4">
        <v>0</v>
      </c>
      <c r="L549" s="4">
        <v>3.6779999999999999</v>
      </c>
      <c r="M549" s="4">
        <v>3.5308799999999998</v>
      </c>
      <c r="N549" s="4">
        <v>3.6779999999999999</v>
      </c>
      <c r="O549" s="4">
        <v>3.5308799999999998</v>
      </c>
      <c r="P549" s="4">
        <v>0</v>
      </c>
      <c r="Q549" s="3" t="s">
        <v>26</v>
      </c>
      <c r="R549" s="3">
        <v>0</v>
      </c>
      <c r="S549" s="3" t="s">
        <v>151</v>
      </c>
      <c r="T549" s="3" t="s">
        <v>365</v>
      </c>
      <c r="U549" s="3">
        <v>0</v>
      </c>
      <c r="V549" s="3">
        <v>11</v>
      </c>
      <c r="W549" s="3">
        <v>71</v>
      </c>
    </row>
    <row r="550" spans="1:23" ht="11.25" customHeight="1" x14ac:dyDescent="0.25">
      <c r="A550" s="3" t="s">
        <v>21</v>
      </c>
      <c r="B550" s="3" t="s">
        <v>39</v>
      </c>
      <c r="C550" s="3" t="s">
        <v>41</v>
      </c>
      <c r="D550" s="3" t="s">
        <v>44</v>
      </c>
      <c r="E550" s="3" t="s">
        <v>25</v>
      </c>
      <c r="F550" s="3" t="s">
        <v>25</v>
      </c>
      <c r="G550" s="3" t="s">
        <v>25</v>
      </c>
      <c r="H550" s="3" t="s">
        <v>35</v>
      </c>
      <c r="I550" s="6">
        <v>44501</v>
      </c>
      <c r="J550" s="4">
        <v>0</v>
      </c>
      <c r="K550" s="4">
        <v>0</v>
      </c>
      <c r="L550" s="4">
        <v>362.14699999999999</v>
      </c>
      <c r="M550" s="4">
        <v>347.66111999999998</v>
      </c>
      <c r="N550" s="4">
        <v>362.14699999999999</v>
      </c>
      <c r="O550" s="4">
        <v>347.66111999999998</v>
      </c>
      <c r="P550" s="4">
        <v>0</v>
      </c>
      <c r="Q550" s="3" t="s">
        <v>26</v>
      </c>
      <c r="R550" s="3">
        <v>0</v>
      </c>
      <c r="S550" s="3" t="s">
        <v>116</v>
      </c>
      <c r="T550" s="3" t="s">
        <v>342</v>
      </c>
      <c r="U550" s="3">
        <v>0</v>
      </c>
      <c r="V550" s="3">
        <v>31</v>
      </c>
      <c r="W550" s="3">
        <v>59</v>
      </c>
    </row>
    <row r="551" spans="1:23" ht="11.25" customHeight="1" x14ac:dyDescent="0.25">
      <c r="A551" s="3" t="s">
        <v>21</v>
      </c>
      <c r="B551" s="3" t="s">
        <v>39</v>
      </c>
      <c r="C551" s="3" t="s">
        <v>41</v>
      </c>
      <c r="D551" s="3" t="s">
        <v>44</v>
      </c>
      <c r="E551" s="3" t="s">
        <v>25</v>
      </c>
      <c r="F551" s="3" t="s">
        <v>25</v>
      </c>
      <c r="G551" s="3" t="s">
        <v>25</v>
      </c>
      <c r="H551" s="3" t="s">
        <v>35</v>
      </c>
      <c r="I551" s="6">
        <v>44531</v>
      </c>
      <c r="J551" s="4">
        <v>0</v>
      </c>
      <c r="K551" s="4">
        <v>0</v>
      </c>
      <c r="L551" s="4">
        <v>496.774</v>
      </c>
      <c r="M551" s="4">
        <v>476.90303999999998</v>
      </c>
      <c r="N551" s="4">
        <v>496.774</v>
      </c>
      <c r="O551" s="4">
        <v>476.90303999999998</v>
      </c>
      <c r="P551" s="4">
        <v>0</v>
      </c>
      <c r="Q551" s="3" t="s">
        <v>26</v>
      </c>
      <c r="R551" s="3">
        <v>0</v>
      </c>
      <c r="S551" s="3" t="s">
        <v>117</v>
      </c>
      <c r="T551" s="3" t="s">
        <v>343</v>
      </c>
      <c r="U551" s="3">
        <v>0</v>
      </c>
      <c r="V551" s="3">
        <v>31</v>
      </c>
      <c r="W551" s="3">
        <v>59</v>
      </c>
    </row>
    <row r="552" spans="1:23" ht="11.25" customHeight="1" x14ac:dyDescent="0.25">
      <c r="A552" s="3" t="s">
        <v>21</v>
      </c>
      <c r="B552" s="3" t="s">
        <v>39</v>
      </c>
      <c r="C552" s="3" t="s">
        <v>41</v>
      </c>
      <c r="D552" s="3" t="s">
        <v>44</v>
      </c>
      <c r="E552" s="3" t="s">
        <v>25</v>
      </c>
      <c r="F552" s="3" t="s">
        <v>25</v>
      </c>
      <c r="G552" s="3" t="s">
        <v>25</v>
      </c>
      <c r="H552" s="3" t="s">
        <v>35</v>
      </c>
      <c r="I552" s="6">
        <v>44562</v>
      </c>
      <c r="J552" s="4">
        <v>0</v>
      </c>
      <c r="K552" s="4">
        <v>0</v>
      </c>
      <c r="L552" s="4">
        <v>838.00699999999995</v>
      </c>
      <c r="M552" s="4">
        <v>804.48671999999988</v>
      </c>
      <c r="N552" s="4">
        <v>838.00699999999995</v>
      </c>
      <c r="O552" s="4">
        <v>804.48671999999988</v>
      </c>
      <c r="P552" s="4">
        <v>0</v>
      </c>
      <c r="Q552" s="3" t="s">
        <v>26</v>
      </c>
      <c r="R552" s="3">
        <v>0</v>
      </c>
      <c r="S552" s="3" t="s">
        <v>118</v>
      </c>
      <c r="T552" s="3" t="s">
        <v>344</v>
      </c>
      <c r="U552" s="3">
        <v>0</v>
      </c>
      <c r="V552" s="3">
        <v>31</v>
      </c>
      <c r="W552" s="3">
        <v>59</v>
      </c>
    </row>
    <row r="553" spans="1:23" ht="11.25" customHeight="1" x14ac:dyDescent="0.25">
      <c r="A553" s="3" t="s">
        <v>21</v>
      </c>
      <c r="B553" s="3" t="s">
        <v>39</v>
      </c>
      <c r="C553" s="3" t="s">
        <v>41</v>
      </c>
      <c r="D553" s="3" t="s">
        <v>44</v>
      </c>
      <c r="E553" s="3" t="s">
        <v>25</v>
      </c>
      <c r="F553" s="3" t="s">
        <v>25</v>
      </c>
      <c r="G553" s="3" t="s">
        <v>25</v>
      </c>
      <c r="H553" s="3" t="s">
        <v>35</v>
      </c>
      <c r="I553" s="6">
        <v>44593</v>
      </c>
      <c r="J553" s="4">
        <v>0</v>
      </c>
      <c r="K553" s="4">
        <v>0</v>
      </c>
      <c r="L553" s="4">
        <v>546.04499999999996</v>
      </c>
      <c r="M553" s="4">
        <v>524.20319999999992</v>
      </c>
      <c r="N553" s="4">
        <v>546.04499999999996</v>
      </c>
      <c r="O553" s="4">
        <v>524.20319999999992</v>
      </c>
      <c r="P553" s="4">
        <v>0</v>
      </c>
      <c r="Q553" s="3" t="s">
        <v>26</v>
      </c>
      <c r="R553" s="3">
        <v>0</v>
      </c>
      <c r="S553" s="3" t="s">
        <v>119</v>
      </c>
      <c r="T553" s="3" t="s">
        <v>345</v>
      </c>
      <c r="U553" s="3">
        <v>0</v>
      </c>
      <c r="V553" s="3">
        <v>31</v>
      </c>
      <c r="W553" s="3">
        <v>59</v>
      </c>
    </row>
    <row r="554" spans="1:23" ht="11.25" customHeight="1" x14ac:dyDescent="0.25">
      <c r="A554" s="3" t="s">
        <v>21</v>
      </c>
      <c r="B554" s="3" t="s">
        <v>39</v>
      </c>
      <c r="C554" s="3" t="s">
        <v>41</v>
      </c>
      <c r="D554" s="3" t="s">
        <v>44</v>
      </c>
      <c r="E554" s="3" t="s">
        <v>25</v>
      </c>
      <c r="F554" s="3" t="s">
        <v>25</v>
      </c>
      <c r="G554" s="3" t="s">
        <v>25</v>
      </c>
      <c r="H554" s="3" t="s">
        <v>35</v>
      </c>
      <c r="I554" s="6">
        <v>44621</v>
      </c>
      <c r="J554" s="4">
        <v>0</v>
      </c>
      <c r="K554" s="4">
        <v>0</v>
      </c>
      <c r="L554" s="4">
        <v>193.53800000000001</v>
      </c>
      <c r="M554" s="4">
        <v>185.79648</v>
      </c>
      <c r="N554" s="4">
        <v>193.53800000000001</v>
      </c>
      <c r="O554" s="4">
        <v>185.79648</v>
      </c>
      <c r="P554" s="4">
        <v>0</v>
      </c>
      <c r="Q554" s="3" t="s">
        <v>26</v>
      </c>
      <c r="R554" s="3">
        <v>0</v>
      </c>
      <c r="S554" s="3" t="s">
        <v>120</v>
      </c>
      <c r="T554" s="3" t="s">
        <v>346</v>
      </c>
      <c r="U554" s="3">
        <v>0</v>
      </c>
      <c r="V554" s="3">
        <v>31</v>
      </c>
      <c r="W554" s="3">
        <v>59</v>
      </c>
    </row>
    <row r="555" spans="1:23" ht="11.25" customHeight="1" x14ac:dyDescent="0.25">
      <c r="A555" s="3" t="s">
        <v>21</v>
      </c>
      <c r="B555" s="3" t="s">
        <v>39</v>
      </c>
      <c r="C555" s="3" t="s">
        <v>41</v>
      </c>
      <c r="D555" s="3" t="s">
        <v>44</v>
      </c>
      <c r="E555" s="3" t="s">
        <v>25</v>
      </c>
      <c r="F555" s="3" t="s">
        <v>25</v>
      </c>
      <c r="G555" s="3" t="s">
        <v>25</v>
      </c>
      <c r="H555" s="3" t="s">
        <v>35</v>
      </c>
      <c r="I555" s="6">
        <v>44652</v>
      </c>
      <c r="J555" s="4">
        <v>0</v>
      </c>
      <c r="K555" s="4">
        <v>0</v>
      </c>
      <c r="L555" s="4">
        <v>193.53800000000001</v>
      </c>
      <c r="M555" s="4">
        <v>185.79648</v>
      </c>
      <c r="N555" s="4">
        <v>193.53800000000001</v>
      </c>
      <c r="O555" s="4">
        <v>185.79648</v>
      </c>
      <c r="P555" s="4">
        <v>0</v>
      </c>
      <c r="Q555" s="3" t="s">
        <v>26</v>
      </c>
      <c r="R555" s="3">
        <v>0</v>
      </c>
      <c r="S555" s="3" t="s">
        <v>121</v>
      </c>
      <c r="T555" s="3" t="s">
        <v>347</v>
      </c>
      <c r="U555" s="3">
        <v>0</v>
      </c>
      <c r="V555" s="3">
        <v>31</v>
      </c>
      <c r="W555" s="3">
        <v>59</v>
      </c>
    </row>
    <row r="556" spans="1:23" ht="11.25" customHeight="1" x14ac:dyDescent="0.25">
      <c r="A556" s="3" t="s">
        <v>21</v>
      </c>
      <c r="B556" s="3" t="s">
        <v>39</v>
      </c>
      <c r="C556" s="3" t="s">
        <v>41</v>
      </c>
      <c r="D556" s="3" t="s">
        <v>44</v>
      </c>
      <c r="E556" s="3" t="s">
        <v>25</v>
      </c>
      <c r="F556" s="3" t="s">
        <v>25</v>
      </c>
      <c r="G556" s="3" t="s">
        <v>25</v>
      </c>
      <c r="H556" s="3" t="s">
        <v>35</v>
      </c>
      <c r="I556" s="6">
        <v>44682</v>
      </c>
      <c r="J556" s="4">
        <v>0</v>
      </c>
      <c r="K556" s="4">
        <v>0</v>
      </c>
      <c r="L556" s="4">
        <v>128.68899999999999</v>
      </c>
      <c r="M556" s="4">
        <v>123.54143999999999</v>
      </c>
      <c r="N556" s="4">
        <v>128.68899999999999</v>
      </c>
      <c r="O556" s="4">
        <v>123.54143999999999</v>
      </c>
      <c r="P556" s="4">
        <v>0</v>
      </c>
      <c r="Q556" s="3" t="s">
        <v>26</v>
      </c>
      <c r="R556" s="3">
        <v>0</v>
      </c>
      <c r="S556" s="3" t="s">
        <v>122</v>
      </c>
      <c r="T556" s="3" t="s">
        <v>348</v>
      </c>
      <c r="U556" s="3">
        <v>0</v>
      </c>
      <c r="V556" s="3">
        <v>31</v>
      </c>
      <c r="W556" s="3">
        <v>59</v>
      </c>
    </row>
    <row r="557" spans="1:23" ht="11.25" customHeight="1" x14ac:dyDescent="0.25">
      <c r="A557" s="3" t="s">
        <v>28</v>
      </c>
      <c r="B557" s="3" t="s">
        <v>39</v>
      </c>
      <c r="C557" s="3" t="s">
        <v>41</v>
      </c>
      <c r="D557" s="3" t="s">
        <v>44</v>
      </c>
      <c r="E557" s="3" t="s">
        <v>25</v>
      </c>
      <c r="F557" s="3" t="s">
        <v>25</v>
      </c>
      <c r="G557" s="3" t="s">
        <v>25</v>
      </c>
      <c r="H557" s="3" t="s">
        <v>35</v>
      </c>
      <c r="I557" s="6">
        <v>44682</v>
      </c>
      <c r="J557" s="4">
        <v>0</v>
      </c>
      <c r="K557" s="4">
        <v>0</v>
      </c>
      <c r="L557" s="4">
        <v>188.392</v>
      </c>
      <c r="M557" s="4">
        <v>180.85631999999998</v>
      </c>
      <c r="N557" s="4">
        <v>188.392</v>
      </c>
      <c r="O557" s="4">
        <v>180.85631999999998</v>
      </c>
      <c r="P557" s="4">
        <v>0</v>
      </c>
      <c r="Q557" s="3" t="s">
        <v>26</v>
      </c>
      <c r="R557" s="3">
        <v>0</v>
      </c>
      <c r="S557" s="3" t="s">
        <v>122</v>
      </c>
      <c r="T557" s="3" t="s">
        <v>348</v>
      </c>
      <c r="U557" s="3">
        <v>0</v>
      </c>
      <c r="V557" s="3">
        <v>31</v>
      </c>
      <c r="W557" s="3">
        <v>59</v>
      </c>
    </row>
    <row r="558" spans="1:23" ht="11.25" customHeight="1" x14ac:dyDescent="0.25">
      <c r="A558" s="3" t="s">
        <v>21</v>
      </c>
      <c r="B558" s="3" t="s">
        <v>39</v>
      </c>
      <c r="C558" s="3" t="s">
        <v>41</v>
      </c>
      <c r="D558" s="3" t="s">
        <v>44</v>
      </c>
      <c r="E558" s="3" t="s">
        <v>25</v>
      </c>
      <c r="F558" s="3" t="s">
        <v>25</v>
      </c>
      <c r="G558" s="3" t="s">
        <v>25</v>
      </c>
      <c r="H558" s="3" t="s">
        <v>35</v>
      </c>
      <c r="I558" s="6">
        <v>44713</v>
      </c>
      <c r="J558" s="4">
        <v>0</v>
      </c>
      <c r="K558" s="4">
        <v>0</v>
      </c>
      <c r="L558" s="4">
        <v>116.25</v>
      </c>
      <c r="M558" s="4">
        <v>111.6</v>
      </c>
      <c r="N558" s="4">
        <v>116.25</v>
      </c>
      <c r="O558" s="4">
        <v>111.6</v>
      </c>
      <c r="P558" s="4">
        <v>0</v>
      </c>
      <c r="Q558" s="3" t="s">
        <v>26</v>
      </c>
      <c r="R558" s="3">
        <v>0</v>
      </c>
      <c r="S558" s="3" t="s">
        <v>123</v>
      </c>
      <c r="T558" s="3" t="s">
        <v>349</v>
      </c>
      <c r="U558" s="3">
        <v>0</v>
      </c>
      <c r="V558" s="3">
        <v>31</v>
      </c>
      <c r="W558" s="3">
        <v>59</v>
      </c>
    </row>
    <row r="559" spans="1:23" ht="11.25" customHeight="1" x14ac:dyDescent="0.25">
      <c r="A559" s="3" t="s">
        <v>28</v>
      </c>
      <c r="B559" s="3" t="s">
        <v>39</v>
      </c>
      <c r="C559" s="3" t="s">
        <v>41</v>
      </c>
      <c r="D559" s="3" t="s">
        <v>44</v>
      </c>
      <c r="E559" s="3" t="s">
        <v>25</v>
      </c>
      <c r="F559" s="3" t="s">
        <v>25</v>
      </c>
      <c r="G559" s="3" t="s">
        <v>25</v>
      </c>
      <c r="H559" s="3" t="s">
        <v>35</v>
      </c>
      <c r="I559" s="6">
        <v>44713</v>
      </c>
      <c r="J559" s="4">
        <v>0</v>
      </c>
      <c r="K559" s="4">
        <v>0</v>
      </c>
      <c r="L559" s="4">
        <v>45.506999999999998</v>
      </c>
      <c r="M559" s="4">
        <v>43.686719999999994</v>
      </c>
      <c r="N559" s="4">
        <v>45.506999999999998</v>
      </c>
      <c r="O559" s="4">
        <v>43.686719999999994</v>
      </c>
      <c r="P559" s="4">
        <v>0</v>
      </c>
      <c r="Q559" s="3" t="s">
        <v>26</v>
      </c>
      <c r="R559" s="3">
        <v>0</v>
      </c>
      <c r="S559" s="3" t="s">
        <v>123</v>
      </c>
      <c r="T559" s="3" t="s">
        <v>349</v>
      </c>
      <c r="U559" s="3">
        <v>0</v>
      </c>
      <c r="V559" s="3">
        <v>31</v>
      </c>
      <c r="W559" s="3">
        <v>59</v>
      </c>
    </row>
    <row r="560" spans="1:23" ht="11.25" customHeight="1" x14ac:dyDescent="0.25">
      <c r="A560" s="3" t="s">
        <v>21</v>
      </c>
      <c r="B560" s="3" t="s">
        <v>39</v>
      </c>
      <c r="C560" s="3" t="s">
        <v>41</v>
      </c>
      <c r="D560" s="3" t="s">
        <v>44</v>
      </c>
      <c r="E560" s="3" t="s">
        <v>25</v>
      </c>
      <c r="F560" s="3" t="s">
        <v>25</v>
      </c>
      <c r="G560" s="3" t="s">
        <v>25</v>
      </c>
      <c r="H560" s="3" t="s">
        <v>35</v>
      </c>
      <c r="I560" s="6">
        <v>44743</v>
      </c>
      <c r="J560" s="4">
        <v>0</v>
      </c>
      <c r="K560" s="4">
        <v>0</v>
      </c>
      <c r="L560" s="4">
        <v>141.434</v>
      </c>
      <c r="M560" s="4">
        <v>135.77663999999999</v>
      </c>
      <c r="N560" s="4">
        <v>141.434</v>
      </c>
      <c r="O560" s="4">
        <v>135.77663999999999</v>
      </c>
      <c r="P560" s="4">
        <v>0</v>
      </c>
      <c r="Q560" s="3" t="s">
        <v>26</v>
      </c>
      <c r="R560" s="3">
        <v>0</v>
      </c>
      <c r="S560" s="3" t="s">
        <v>124</v>
      </c>
      <c r="T560" s="3" t="s">
        <v>350</v>
      </c>
      <c r="U560" s="3">
        <v>0</v>
      </c>
      <c r="V560" s="3">
        <v>31</v>
      </c>
      <c r="W560" s="3">
        <v>59</v>
      </c>
    </row>
    <row r="561" spans="1:23" ht="11.25" customHeight="1" x14ac:dyDescent="0.25">
      <c r="A561" s="3" t="s">
        <v>28</v>
      </c>
      <c r="B561" s="3" t="s">
        <v>39</v>
      </c>
      <c r="C561" s="3" t="s">
        <v>41</v>
      </c>
      <c r="D561" s="3" t="s">
        <v>44</v>
      </c>
      <c r="E561" s="3" t="s">
        <v>25</v>
      </c>
      <c r="F561" s="3" t="s">
        <v>25</v>
      </c>
      <c r="G561" s="3" t="s">
        <v>25</v>
      </c>
      <c r="H561" s="3" t="s">
        <v>35</v>
      </c>
      <c r="I561" s="6">
        <v>44743</v>
      </c>
      <c r="J561" s="4">
        <v>0</v>
      </c>
      <c r="K561" s="4">
        <v>0</v>
      </c>
      <c r="L561" s="4">
        <v>48.308</v>
      </c>
      <c r="M561" s="4">
        <v>46.375679999999996</v>
      </c>
      <c r="N561" s="4">
        <v>48.308</v>
      </c>
      <c r="O561" s="4">
        <v>46.375679999999996</v>
      </c>
      <c r="P561" s="4">
        <v>0</v>
      </c>
      <c r="Q561" s="3" t="s">
        <v>26</v>
      </c>
      <c r="R561" s="3">
        <v>0</v>
      </c>
      <c r="S561" s="3" t="s">
        <v>124</v>
      </c>
      <c r="T561" s="3" t="s">
        <v>350</v>
      </c>
      <c r="U561" s="3">
        <v>0</v>
      </c>
      <c r="V561" s="3">
        <v>31</v>
      </c>
      <c r="W561" s="3">
        <v>59</v>
      </c>
    </row>
    <row r="562" spans="1:23" ht="11.25" customHeight="1" x14ac:dyDescent="0.25">
      <c r="A562" s="3" t="s">
        <v>21</v>
      </c>
      <c r="B562" s="3" t="s">
        <v>39</v>
      </c>
      <c r="C562" s="3" t="s">
        <v>41</v>
      </c>
      <c r="D562" s="3" t="s">
        <v>44</v>
      </c>
      <c r="E562" s="3" t="s">
        <v>25</v>
      </c>
      <c r="F562" s="3" t="s">
        <v>25</v>
      </c>
      <c r="G562" s="3" t="s">
        <v>25</v>
      </c>
      <c r="H562" s="3" t="s">
        <v>35</v>
      </c>
      <c r="I562" s="6">
        <v>44774</v>
      </c>
      <c r="J562" s="4">
        <v>0</v>
      </c>
      <c r="K562" s="4">
        <v>0</v>
      </c>
      <c r="L562" s="4">
        <v>138.553</v>
      </c>
      <c r="M562" s="4">
        <v>133.01087999999999</v>
      </c>
      <c r="N562" s="4">
        <v>138.553</v>
      </c>
      <c r="O562" s="4">
        <v>133.01087999999999</v>
      </c>
      <c r="P562" s="4">
        <v>0</v>
      </c>
      <c r="Q562" s="3" t="s">
        <v>26</v>
      </c>
      <c r="R562" s="3">
        <v>0</v>
      </c>
      <c r="S562" s="3" t="s">
        <v>125</v>
      </c>
      <c r="T562" s="3" t="s">
        <v>351</v>
      </c>
      <c r="U562" s="3">
        <v>0</v>
      </c>
      <c r="V562" s="3">
        <v>31</v>
      </c>
      <c r="W562" s="3">
        <v>59</v>
      </c>
    </row>
    <row r="563" spans="1:23" ht="11.25" customHeight="1" x14ac:dyDescent="0.25">
      <c r="A563" s="3" t="s">
        <v>28</v>
      </c>
      <c r="B563" s="3" t="s">
        <v>39</v>
      </c>
      <c r="C563" s="3" t="s">
        <v>41</v>
      </c>
      <c r="D563" s="3" t="s">
        <v>44</v>
      </c>
      <c r="E563" s="3" t="s">
        <v>25</v>
      </c>
      <c r="F563" s="3" t="s">
        <v>25</v>
      </c>
      <c r="G563" s="3" t="s">
        <v>25</v>
      </c>
      <c r="H563" s="3" t="s">
        <v>35</v>
      </c>
      <c r="I563" s="6">
        <v>44774</v>
      </c>
      <c r="J563" s="4">
        <v>0</v>
      </c>
      <c r="K563" s="4">
        <v>0</v>
      </c>
      <c r="L563" s="4">
        <v>49.478000000000002</v>
      </c>
      <c r="M563" s="4">
        <v>47.49888</v>
      </c>
      <c r="N563" s="4">
        <v>49.478000000000002</v>
      </c>
      <c r="O563" s="4">
        <v>47.49888</v>
      </c>
      <c r="P563" s="4">
        <v>0</v>
      </c>
      <c r="Q563" s="3" t="s">
        <v>26</v>
      </c>
      <c r="R563" s="3">
        <v>0</v>
      </c>
      <c r="S563" s="3" t="s">
        <v>125</v>
      </c>
      <c r="T563" s="3" t="s">
        <v>351</v>
      </c>
      <c r="U563" s="3">
        <v>0</v>
      </c>
      <c r="V563" s="3">
        <v>31</v>
      </c>
      <c r="W563" s="3">
        <v>59</v>
      </c>
    </row>
    <row r="564" spans="1:23" ht="11.25" customHeight="1" x14ac:dyDescent="0.25">
      <c r="A564" s="3" t="s">
        <v>21</v>
      </c>
      <c r="B564" s="3" t="s">
        <v>39</v>
      </c>
      <c r="C564" s="3" t="s">
        <v>41</v>
      </c>
      <c r="D564" s="3" t="s">
        <v>44</v>
      </c>
      <c r="E564" s="3" t="s">
        <v>25</v>
      </c>
      <c r="F564" s="3" t="s">
        <v>25</v>
      </c>
      <c r="G564" s="3" t="s">
        <v>25</v>
      </c>
      <c r="H564" s="3" t="s">
        <v>35</v>
      </c>
      <c r="I564" s="6">
        <v>44805</v>
      </c>
      <c r="J564" s="4">
        <v>0</v>
      </c>
      <c r="K564" s="4">
        <v>0</v>
      </c>
      <c r="L564" s="4">
        <v>147.29400000000001</v>
      </c>
      <c r="M564" s="4">
        <v>141.40224000000001</v>
      </c>
      <c r="N564" s="4">
        <v>147.29400000000001</v>
      </c>
      <c r="O564" s="4">
        <v>141.40224000000001</v>
      </c>
      <c r="P564" s="4">
        <v>0</v>
      </c>
      <c r="Q564" s="3" t="s">
        <v>26</v>
      </c>
      <c r="R564" s="3">
        <v>0</v>
      </c>
      <c r="S564" s="3" t="s">
        <v>126</v>
      </c>
      <c r="T564" s="3" t="s">
        <v>352</v>
      </c>
      <c r="U564" s="3">
        <v>0</v>
      </c>
      <c r="V564" s="3">
        <v>31</v>
      </c>
      <c r="W564" s="3">
        <v>59</v>
      </c>
    </row>
    <row r="565" spans="1:23" ht="11.25" customHeight="1" x14ac:dyDescent="0.25">
      <c r="A565" s="3" t="s">
        <v>28</v>
      </c>
      <c r="B565" s="3" t="s">
        <v>39</v>
      </c>
      <c r="C565" s="3" t="s">
        <v>41</v>
      </c>
      <c r="D565" s="3" t="s">
        <v>44</v>
      </c>
      <c r="E565" s="3" t="s">
        <v>25</v>
      </c>
      <c r="F565" s="3" t="s">
        <v>25</v>
      </c>
      <c r="G565" s="3" t="s">
        <v>25</v>
      </c>
      <c r="H565" s="3" t="s">
        <v>35</v>
      </c>
      <c r="I565" s="6">
        <v>44805</v>
      </c>
      <c r="J565" s="4">
        <v>0</v>
      </c>
      <c r="K565" s="4">
        <v>0</v>
      </c>
      <c r="L565" s="4">
        <v>41.61</v>
      </c>
      <c r="M565" s="4">
        <v>39.945599999999999</v>
      </c>
      <c r="N565" s="4">
        <v>41.61</v>
      </c>
      <c r="O565" s="4">
        <v>39.945599999999999</v>
      </c>
      <c r="P565" s="4">
        <v>0</v>
      </c>
      <c r="Q565" s="3" t="s">
        <v>26</v>
      </c>
      <c r="R565" s="3">
        <v>0</v>
      </c>
      <c r="S565" s="3" t="s">
        <v>126</v>
      </c>
      <c r="T565" s="3" t="s">
        <v>352</v>
      </c>
      <c r="U565" s="3">
        <v>0</v>
      </c>
      <c r="V565" s="3">
        <v>31</v>
      </c>
      <c r="W565" s="3">
        <v>59</v>
      </c>
    </row>
    <row r="566" spans="1:23" ht="11.25" customHeight="1" x14ac:dyDescent="0.25">
      <c r="A566" s="3" t="s">
        <v>55</v>
      </c>
      <c r="B566" s="3" t="s">
        <v>39</v>
      </c>
      <c r="C566" s="3" t="s">
        <v>41</v>
      </c>
      <c r="D566" s="3" t="s">
        <v>44</v>
      </c>
      <c r="E566" s="3" t="s">
        <v>25</v>
      </c>
      <c r="F566" s="3" t="s">
        <v>25</v>
      </c>
      <c r="G566" s="3" t="s">
        <v>25</v>
      </c>
      <c r="H566" s="3" t="s">
        <v>35</v>
      </c>
      <c r="I566" s="6">
        <v>44835</v>
      </c>
      <c r="J566" s="4">
        <v>0</v>
      </c>
      <c r="K566" s="4">
        <v>0</v>
      </c>
      <c r="L566" s="4">
        <v>147.29400000000001</v>
      </c>
      <c r="M566" s="4">
        <v>141.40224000000001</v>
      </c>
      <c r="N566" s="4">
        <v>147.29400000000001</v>
      </c>
      <c r="O566" s="4">
        <v>141.40224000000001</v>
      </c>
      <c r="P566" s="4">
        <v>0</v>
      </c>
      <c r="Q566" s="3" t="s">
        <v>26</v>
      </c>
      <c r="R566" s="3">
        <v>0</v>
      </c>
      <c r="S566" s="3" t="s">
        <v>127</v>
      </c>
      <c r="T566" s="3" t="s">
        <v>353</v>
      </c>
      <c r="U566" s="3">
        <v>0</v>
      </c>
      <c r="V566" s="3">
        <v>31</v>
      </c>
      <c r="W566" s="3">
        <v>59</v>
      </c>
    </row>
    <row r="567" spans="1:23" ht="11.25" customHeight="1" x14ac:dyDescent="0.25">
      <c r="A567" s="3" t="s">
        <v>55</v>
      </c>
      <c r="B567" s="3" t="s">
        <v>39</v>
      </c>
      <c r="C567" s="3" t="s">
        <v>41</v>
      </c>
      <c r="D567" s="3" t="s">
        <v>44</v>
      </c>
      <c r="E567" s="3" t="s">
        <v>25</v>
      </c>
      <c r="F567" s="3" t="s">
        <v>25</v>
      </c>
      <c r="G567" s="3" t="s">
        <v>25</v>
      </c>
      <c r="H567" s="3" t="s">
        <v>35</v>
      </c>
      <c r="I567" s="6">
        <v>44835</v>
      </c>
      <c r="J567" s="4">
        <v>0</v>
      </c>
      <c r="K567" s="4">
        <v>0</v>
      </c>
      <c r="L567" s="4">
        <v>41.61</v>
      </c>
      <c r="M567" s="4">
        <v>39.945599999999999</v>
      </c>
      <c r="N567" s="4">
        <v>41.61</v>
      </c>
      <c r="O567" s="4">
        <v>39.945599999999999</v>
      </c>
      <c r="P567" s="4">
        <v>0</v>
      </c>
      <c r="Q567" s="3" t="s">
        <v>26</v>
      </c>
      <c r="R567" s="3">
        <v>0</v>
      </c>
      <c r="S567" s="3" t="s">
        <v>127</v>
      </c>
      <c r="T567" s="3" t="s">
        <v>353</v>
      </c>
      <c r="U567" s="3">
        <v>0</v>
      </c>
      <c r="V567" s="3">
        <v>31</v>
      </c>
      <c r="W567" s="3">
        <v>59</v>
      </c>
    </row>
    <row r="568" spans="1:23" ht="11.25" customHeight="1" x14ac:dyDescent="0.25">
      <c r="A568" s="3" t="s">
        <v>21</v>
      </c>
      <c r="B568" s="3" t="s">
        <v>39</v>
      </c>
      <c r="C568" s="3" t="s">
        <v>41</v>
      </c>
      <c r="D568" s="3" t="s">
        <v>44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44501</v>
      </c>
      <c r="J568" s="4">
        <v>2435</v>
      </c>
      <c r="K568" s="4">
        <v>2337.6</v>
      </c>
      <c r="L568" s="4">
        <v>0</v>
      </c>
      <c r="M568" s="4">
        <v>0</v>
      </c>
      <c r="N568" s="4">
        <v>0</v>
      </c>
      <c r="O568" s="4">
        <v>0</v>
      </c>
      <c r="P568" s="4">
        <v>14</v>
      </c>
      <c r="Q568" s="3" t="s">
        <v>26</v>
      </c>
      <c r="R568" s="3">
        <v>0</v>
      </c>
      <c r="S568" s="3" t="s">
        <v>128</v>
      </c>
      <c r="U568" s="3">
        <v>18</v>
      </c>
      <c r="V568" s="3">
        <v>0</v>
      </c>
      <c r="W568" s="3">
        <v>0</v>
      </c>
    </row>
    <row r="569" spans="1:23" ht="11.25" customHeight="1" x14ac:dyDescent="0.25">
      <c r="A569" s="3" t="s">
        <v>21</v>
      </c>
      <c r="B569" s="3" t="s">
        <v>39</v>
      </c>
      <c r="C569" s="3" t="s">
        <v>41</v>
      </c>
      <c r="D569" s="3" t="s">
        <v>44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44531</v>
      </c>
      <c r="J569" s="4">
        <v>2329</v>
      </c>
      <c r="K569" s="4">
        <v>2235.8399999999997</v>
      </c>
      <c r="L569" s="4">
        <v>0</v>
      </c>
      <c r="M569" s="4">
        <v>0</v>
      </c>
      <c r="N569" s="4">
        <v>0</v>
      </c>
      <c r="O569" s="4">
        <v>0</v>
      </c>
      <c r="P569" s="4">
        <v>13</v>
      </c>
      <c r="Q569" s="3" t="s">
        <v>26</v>
      </c>
      <c r="R569" s="3">
        <v>0</v>
      </c>
      <c r="S569" s="3" t="s">
        <v>129</v>
      </c>
      <c r="U569" s="3">
        <v>18</v>
      </c>
      <c r="V569" s="3">
        <v>0</v>
      </c>
      <c r="W569" s="3">
        <v>0</v>
      </c>
    </row>
    <row r="570" spans="1:23" ht="11.25" customHeight="1" x14ac:dyDescent="0.25">
      <c r="A570" s="3" t="s">
        <v>21</v>
      </c>
      <c r="B570" s="3" t="s">
        <v>39</v>
      </c>
      <c r="C570" s="3" t="s">
        <v>41</v>
      </c>
      <c r="D570" s="3" t="s">
        <v>44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44562</v>
      </c>
      <c r="J570" s="4">
        <v>2483</v>
      </c>
      <c r="K570" s="4">
        <v>2383.6799999999998</v>
      </c>
      <c r="L570" s="4">
        <v>0</v>
      </c>
      <c r="M570" s="4">
        <v>0</v>
      </c>
      <c r="N570" s="4">
        <v>0</v>
      </c>
      <c r="O570" s="4">
        <v>0</v>
      </c>
      <c r="P570" s="4">
        <v>13</v>
      </c>
      <c r="Q570" s="3" t="s">
        <v>26</v>
      </c>
      <c r="R570" s="3">
        <v>0</v>
      </c>
      <c r="S570" s="3" t="s">
        <v>130</v>
      </c>
      <c r="U570" s="3">
        <v>18</v>
      </c>
      <c r="V570" s="3">
        <v>0</v>
      </c>
      <c r="W570" s="3">
        <v>0</v>
      </c>
    </row>
    <row r="571" spans="1:23" ht="11.25" customHeight="1" x14ac:dyDescent="0.25">
      <c r="A571" s="3" t="s">
        <v>21</v>
      </c>
      <c r="B571" s="3" t="s">
        <v>39</v>
      </c>
      <c r="C571" s="3" t="s">
        <v>41</v>
      </c>
      <c r="D571" s="3" t="s">
        <v>44</v>
      </c>
      <c r="E571" s="3" t="s">
        <v>25</v>
      </c>
      <c r="F571" s="3" t="s">
        <v>25</v>
      </c>
      <c r="G571" s="3" t="s">
        <v>25</v>
      </c>
      <c r="H571" s="3" t="s">
        <v>25</v>
      </c>
      <c r="I571" s="6">
        <v>44593</v>
      </c>
      <c r="J571" s="4">
        <v>2976</v>
      </c>
      <c r="K571" s="4">
        <v>2856.96</v>
      </c>
      <c r="L571" s="4">
        <v>0</v>
      </c>
      <c r="M571" s="4">
        <v>0</v>
      </c>
      <c r="N571" s="4">
        <v>0</v>
      </c>
      <c r="O571" s="4">
        <v>0</v>
      </c>
      <c r="P571" s="4">
        <v>14</v>
      </c>
      <c r="Q571" s="3" t="s">
        <v>26</v>
      </c>
      <c r="R571" s="3">
        <v>0</v>
      </c>
      <c r="S571" s="3" t="s">
        <v>131</v>
      </c>
      <c r="U571" s="3">
        <v>18</v>
      </c>
      <c r="V571" s="3">
        <v>0</v>
      </c>
      <c r="W571" s="3">
        <v>0</v>
      </c>
    </row>
    <row r="572" spans="1:23" ht="11.25" customHeight="1" x14ac:dyDescent="0.25">
      <c r="A572" s="3" t="s">
        <v>21</v>
      </c>
      <c r="B572" s="3" t="s">
        <v>39</v>
      </c>
      <c r="C572" s="3" t="s">
        <v>41</v>
      </c>
      <c r="D572" s="3" t="s">
        <v>44</v>
      </c>
      <c r="E572" s="3" t="s">
        <v>25</v>
      </c>
      <c r="F572" s="3" t="s">
        <v>25</v>
      </c>
      <c r="G572" s="3" t="s">
        <v>25</v>
      </c>
      <c r="H572" s="3" t="s">
        <v>25</v>
      </c>
      <c r="I572" s="6">
        <v>44621</v>
      </c>
      <c r="J572" s="4">
        <v>2120</v>
      </c>
      <c r="K572" s="4">
        <v>2035.1999999999998</v>
      </c>
      <c r="L572" s="4">
        <v>0</v>
      </c>
      <c r="M572" s="4">
        <v>0</v>
      </c>
      <c r="N572" s="4">
        <v>0</v>
      </c>
      <c r="O572" s="4">
        <v>0</v>
      </c>
      <c r="P572" s="4">
        <v>14</v>
      </c>
      <c r="Q572" s="3" t="s">
        <v>26</v>
      </c>
      <c r="R572" s="3">
        <v>0</v>
      </c>
      <c r="S572" s="3" t="s">
        <v>132</v>
      </c>
      <c r="U572" s="3">
        <v>18</v>
      </c>
      <c r="V572" s="3">
        <v>0</v>
      </c>
      <c r="W572" s="3">
        <v>0</v>
      </c>
    </row>
    <row r="573" spans="1:23" ht="11.25" customHeight="1" x14ac:dyDescent="0.25">
      <c r="A573" s="3" t="s">
        <v>21</v>
      </c>
      <c r="B573" s="3" t="s">
        <v>39</v>
      </c>
      <c r="C573" s="3" t="s">
        <v>41</v>
      </c>
      <c r="D573" s="3" t="s">
        <v>44</v>
      </c>
      <c r="E573" s="3" t="s">
        <v>25</v>
      </c>
      <c r="F573" s="3" t="s">
        <v>25</v>
      </c>
      <c r="G573" s="3" t="s">
        <v>25</v>
      </c>
      <c r="H573" s="3" t="s">
        <v>25</v>
      </c>
      <c r="I573" s="6">
        <v>44652</v>
      </c>
      <c r="J573" s="4">
        <v>2120</v>
      </c>
      <c r="K573" s="4">
        <v>2035.1999999999998</v>
      </c>
      <c r="L573" s="4">
        <v>0</v>
      </c>
      <c r="M573" s="4">
        <v>0</v>
      </c>
      <c r="N573" s="4">
        <v>0</v>
      </c>
      <c r="O573" s="4">
        <v>0</v>
      </c>
      <c r="P573" s="4">
        <v>14</v>
      </c>
      <c r="Q573" s="3" t="s">
        <v>26</v>
      </c>
      <c r="R573" s="3">
        <v>0</v>
      </c>
      <c r="S573" s="3" t="s">
        <v>133</v>
      </c>
      <c r="U573" s="3">
        <v>18</v>
      </c>
      <c r="V573" s="3">
        <v>0</v>
      </c>
      <c r="W573" s="3">
        <v>0</v>
      </c>
    </row>
    <row r="574" spans="1:23" ht="11.25" customHeight="1" x14ac:dyDescent="0.25">
      <c r="A574" s="3" t="s">
        <v>21</v>
      </c>
      <c r="B574" s="3" t="s">
        <v>39</v>
      </c>
      <c r="C574" s="3" t="s">
        <v>41</v>
      </c>
      <c r="D574" s="3" t="s">
        <v>44</v>
      </c>
      <c r="E574" s="3" t="s">
        <v>25</v>
      </c>
      <c r="F574" s="3" t="s">
        <v>25</v>
      </c>
      <c r="G574" s="3" t="s">
        <v>25</v>
      </c>
      <c r="H574" s="3" t="s">
        <v>25</v>
      </c>
      <c r="I574" s="6">
        <v>44682</v>
      </c>
      <c r="J574" s="4">
        <v>950</v>
      </c>
      <c r="K574" s="4">
        <v>912</v>
      </c>
      <c r="L574" s="4">
        <v>0</v>
      </c>
      <c r="M574" s="4">
        <v>0</v>
      </c>
      <c r="N574" s="4">
        <v>0</v>
      </c>
      <c r="O574" s="4">
        <v>0</v>
      </c>
      <c r="P574" s="4">
        <v>15</v>
      </c>
      <c r="Q574" s="3" t="s">
        <v>26</v>
      </c>
      <c r="R574" s="3">
        <v>0</v>
      </c>
      <c r="S574" s="3" t="s">
        <v>134</v>
      </c>
      <c r="U574" s="3">
        <v>18</v>
      </c>
      <c r="V574" s="3">
        <v>0</v>
      </c>
      <c r="W574" s="3">
        <v>0</v>
      </c>
    </row>
    <row r="575" spans="1:23" ht="11.25" customHeight="1" x14ac:dyDescent="0.25">
      <c r="A575" s="3" t="s">
        <v>28</v>
      </c>
      <c r="B575" s="3" t="s">
        <v>39</v>
      </c>
      <c r="C575" s="3" t="s">
        <v>41</v>
      </c>
      <c r="D575" s="3" t="s">
        <v>44</v>
      </c>
      <c r="E575" s="3" t="s">
        <v>25</v>
      </c>
      <c r="F575" s="3" t="s">
        <v>25</v>
      </c>
      <c r="G575" s="3" t="s">
        <v>25</v>
      </c>
      <c r="H575" s="3" t="s">
        <v>25</v>
      </c>
      <c r="I575" s="6">
        <v>44682</v>
      </c>
      <c r="J575" s="4">
        <v>1028</v>
      </c>
      <c r="K575" s="4">
        <v>986.88</v>
      </c>
      <c r="L575" s="4">
        <v>0</v>
      </c>
      <c r="M575" s="4">
        <v>0</v>
      </c>
      <c r="N575" s="4">
        <v>0</v>
      </c>
      <c r="O575" s="4">
        <v>0</v>
      </c>
      <c r="P575" s="4">
        <v>8</v>
      </c>
      <c r="Q575" s="3" t="s">
        <v>26</v>
      </c>
      <c r="R575" s="3">
        <v>0</v>
      </c>
      <c r="S575" s="3" t="s">
        <v>134</v>
      </c>
      <c r="U575" s="3">
        <v>18</v>
      </c>
      <c r="V575" s="3">
        <v>0</v>
      </c>
      <c r="W575" s="3">
        <v>0</v>
      </c>
    </row>
    <row r="576" spans="1:23" ht="11.25" customHeight="1" x14ac:dyDescent="0.25">
      <c r="A576" s="3" t="s">
        <v>21</v>
      </c>
      <c r="B576" s="3" t="s">
        <v>39</v>
      </c>
      <c r="C576" s="3" t="s">
        <v>41</v>
      </c>
      <c r="D576" s="3" t="s">
        <v>44</v>
      </c>
      <c r="E576" s="3" t="s">
        <v>25</v>
      </c>
      <c r="F576" s="3" t="s">
        <v>25</v>
      </c>
      <c r="G576" s="3" t="s">
        <v>25</v>
      </c>
      <c r="H576" s="3" t="s">
        <v>25</v>
      </c>
      <c r="I576" s="6">
        <v>44713</v>
      </c>
      <c r="J576" s="4">
        <v>1156</v>
      </c>
      <c r="K576" s="4">
        <v>1109.76</v>
      </c>
      <c r="L576" s="4">
        <v>0</v>
      </c>
      <c r="M576" s="4">
        <v>0</v>
      </c>
      <c r="N576" s="4">
        <v>0</v>
      </c>
      <c r="O576" s="4">
        <v>0</v>
      </c>
      <c r="P576" s="4">
        <v>17</v>
      </c>
      <c r="Q576" s="3" t="s">
        <v>26</v>
      </c>
      <c r="R576" s="3">
        <v>0</v>
      </c>
      <c r="S576" s="3" t="s">
        <v>135</v>
      </c>
      <c r="U576" s="3">
        <v>18</v>
      </c>
      <c r="V576" s="3">
        <v>0</v>
      </c>
      <c r="W576" s="3">
        <v>0</v>
      </c>
    </row>
    <row r="577" spans="1:23" ht="11.25" customHeight="1" x14ac:dyDescent="0.25">
      <c r="A577" s="3" t="s">
        <v>28</v>
      </c>
      <c r="B577" s="3" t="s">
        <v>39</v>
      </c>
      <c r="C577" s="3" t="s">
        <v>41</v>
      </c>
      <c r="D577" s="3" t="s">
        <v>44</v>
      </c>
      <c r="E577" s="3" t="s">
        <v>25</v>
      </c>
      <c r="F577" s="3" t="s">
        <v>25</v>
      </c>
      <c r="G577" s="3" t="s">
        <v>25</v>
      </c>
      <c r="H577" s="3" t="s">
        <v>25</v>
      </c>
      <c r="I577" s="6">
        <v>44713</v>
      </c>
      <c r="J577" s="4">
        <v>268</v>
      </c>
      <c r="K577" s="4">
        <v>257.27999999999997</v>
      </c>
      <c r="L577" s="4">
        <v>0</v>
      </c>
      <c r="M577" s="4">
        <v>0</v>
      </c>
      <c r="N577" s="4">
        <v>0</v>
      </c>
      <c r="O577" s="4">
        <v>0</v>
      </c>
      <c r="P577" s="4">
        <v>2</v>
      </c>
      <c r="Q577" s="3" t="s">
        <v>26</v>
      </c>
      <c r="R577" s="3">
        <v>0</v>
      </c>
      <c r="S577" s="3" t="s">
        <v>135</v>
      </c>
      <c r="U577" s="3">
        <v>18</v>
      </c>
      <c r="V577" s="3">
        <v>0</v>
      </c>
      <c r="W577" s="3">
        <v>0</v>
      </c>
    </row>
    <row r="578" spans="1:23" ht="11.25" customHeight="1" x14ac:dyDescent="0.25">
      <c r="A578" s="3" t="s">
        <v>21</v>
      </c>
      <c r="B578" s="3" t="s">
        <v>39</v>
      </c>
      <c r="C578" s="3" t="s">
        <v>41</v>
      </c>
      <c r="D578" s="3" t="s">
        <v>44</v>
      </c>
      <c r="E578" s="3" t="s">
        <v>25</v>
      </c>
      <c r="F578" s="3" t="s">
        <v>25</v>
      </c>
      <c r="G578" s="3" t="s">
        <v>25</v>
      </c>
      <c r="H578" s="3" t="s">
        <v>25</v>
      </c>
      <c r="I578" s="6">
        <v>44743</v>
      </c>
      <c r="J578" s="4">
        <v>1113</v>
      </c>
      <c r="K578" s="4">
        <v>1068.48</v>
      </c>
      <c r="L578" s="4">
        <v>0</v>
      </c>
      <c r="M578" s="4">
        <v>0</v>
      </c>
      <c r="N578" s="4">
        <v>0</v>
      </c>
      <c r="O578" s="4">
        <v>0</v>
      </c>
      <c r="P578" s="4">
        <v>16</v>
      </c>
      <c r="Q578" s="3" t="s">
        <v>26</v>
      </c>
      <c r="R578" s="3">
        <v>0</v>
      </c>
      <c r="S578" s="3" t="s">
        <v>136</v>
      </c>
      <c r="U578" s="3">
        <v>18</v>
      </c>
      <c r="V578" s="3">
        <v>0</v>
      </c>
      <c r="W578" s="3">
        <v>0</v>
      </c>
    </row>
    <row r="579" spans="1:23" ht="11.25" customHeight="1" x14ac:dyDescent="0.25">
      <c r="A579" s="3" t="s">
        <v>28</v>
      </c>
      <c r="B579" s="3" t="s">
        <v>39</v>
      </c>
      <c r="C579" s="3" t="s">
        <v>41</v>
      </c>
      <c r="D579" s="3" t="s">
        <v>44</v>
      </c>
      <c r="E579" s="3" t="s">
        <v>25</v>
      </c>
      <c r="F579" s="3" t="s">
        <v>25</v>
      </c>
      <c r="G579" s="3" t="s">
        <v>25</v>
      </c>
      <c r="H579" s="3" t="s">
        <v>25</v>
      </c>
      <c r="I579" s="6">
        <v>44743</v>
      </c>
      <c r="J579" s="4">
        <v>249</v>
      </c>
      <c r="K579" s="4">
        <v>239.04</v>
      </c>
      <c r="L579" s="4">
        <v>0</v>
      </c>
      <c r="M579" s="4">
        <v>0</v>
      </c>
      <c r="N579" s="4">
        <v>0</v>
      </c>
      <c r="O579" s="4">
        <v>0</v>
      </c>
      <c r="P579" s="4">
        <v>2</v>
      </c>
      <c r="Q579" s="3" t="s">
        <v>26</v>
      </c>
      <c r="R579" s="3">
        <v>0</v>
      </c>
      <c r="S579" s="3" t="s">
        <v>136</v>
      </c>
      <c r="U579" s="3">
        <v>18</v>
      </c>
      <c r="V579" s="3">
        <v>0</v>
      </c>
      <c r="W579" s="3">
        <v>0</v>
      </c>
    </row>
    <row r="580" spans="1:23" ht="11.25" customHeight="1" x14ac:dyDescent="0.25">
      <c r="A580" s="3" t="s">
        <v>21</v>
      </c>
      <c r="B580" s="3" t="s">
        <v>39</v>
      </c>
      <c r="C580" s="3" t="s">
        <v>41</v>
      </c>
      <c r="D580" s="3" t="s">
        <v>44</v>
      </c>
      <c r="E580" s="3" t="s">
        <v>25</v>
      </c>
      <c r="F580" s="3" t="s">
        <v>25</v>
      </c>
      <c r="G580" s="3" t="s">
        <v>25</v>
      </c>
      <c r="H580" s="3" t="s">
        <v>25</v>
      </c>
      <c r="I580" s="6">
        <v>44774</v>
      </c>
      <c r="J580" s="4">
        <v>965</v>
      </c>
      <c r="K580" s="4">
        <v>926.4</v>
      </c>
      <c r="L580" s="4">
        <v>0</v>
      </c>
      <c r="M580" s="4">
        <v>0</v>
      </c>
      <c r="N580" s="4">
        <v>0</v>
      </c>
      <c r="O580" s="4">
        <v>0</v>
      </c>
      <c r="P580" s="4">
        <v>13</v>
      </c>
      <c r="Q580" s="3" t="s">
        <v>26</v>
      </c>
      <c r="R580" s="3">
        <v>0</v>
      </c>
      <c r="S580" s="3" t="s">
        <v>137</v>
      </c>
      <c r="U580" s="3">
        <v>18</v>
      </c>
      <c r="V580" s="3">
        <v>0</v>
      </c>
      <c r="W580" s="3">
        <v>0</v>
      </c>
    </row>
    <row r="581" spans="1:23" ht="11.25" customHeight="1" x14ac:dyDescent="0.25">
      <c r="A581" s="3" t="s">
        <v>28</v>
      </c>
      <c r="B581" s="3" t="s">
        <v>39</v>
      </c>
      <c r="C581" s="3" t="s">
        <v>41</v>
      </c>
      <c r="D581" s="3" t="s">
        <v>44</v>
      </c>
      <c r="E581" s="3" t="s">
        <v>25</v>
      </c>
      <c r="F581" s="3" t="s">
        <v>25</v>
      </c>
      <c r="G581" s="3" t="s">
        <v>25</v>
      </c>
      <c r="H581" s="3" t="s">
        <v>25</v>
      </c>
      <c r="I581" s="6">
        <v>44774</v>
      </c>
      <c r="J581" s="4">
        <v>499</v>
      </c>
      <c r="K581" s="4">
        <v>479.03999999999996</v>
      </c>
      <c r="L581" s="4">
        <v>0</v>
      </c>
      <c r="M581" s="4">
        <v>0</v>
      </c>
      <c r="N581" s="4">
        <v>0</v>
      </c>
      <c r="O581" s="4">
        <v>0</v>
      </c>
      <c r="P581" s="4">
        <v>3</v>
      </c>
      <c r="Q581" s="3" t="s">
        <v>26</v>
      </c>
      <c r="R581" s="3">
        <v>0</v>
      </c>
      <c r="S581" s="3" t="s">
        <v>137</v>
      </c>
      <c r="U581" s="3">
        <v>18</v>
      </c>
      <c r="V581" s="3">
        <v>0</v>
      </c>
      <c r="W581" s="3">
        <v>0</v>
      </c>
    </row>
    <row r="582" spans="1:23" ht="11.25" customHeight="1" x14ac:dyDescent="0.25">
      <c r="A582" s="3" t="s">
        <v>21</v>
      </c>
      <c r="B582" s="3" t="s">
        <v>39</v>
      </c>
      <c r="C582" s="3" t="s">
        <v>41</v>
      </c>
      <c r="D582" s="3" t="s">
        <v>44</v>
      </c>
      <c r="E582" s="3" t="s">
        <v>25</v>
      </c>
      <c r="F582" s="3" t="s">
        <v>25</v>
      </c>
      <c r="G582" s="3" t="s">
        <v>25</v>
      </c>
      <c r="H582" s="3" t="s">
        <v>25</v>
      </c>
      <c r="I582" s="6">
        <v>44805</v>
      </c>
      <c r="J582" s="4">
        <v>974</v>
      </c>
      <c r="K582" s="4">
        <v>935.04</v>
      </c>
      <c r="L582" s="4">
        <v>0</v>
      </c>
      <c r="M582" s="4">
        <v>0</v>
      </c>
      <c r="N582" s="4">
        <v>0</v>
      </c>
      <c r="O582" s="4">
        <v>0</v>
      </c>
      <c r="P582" s="4">
        <v>12</v>
      </c>
      <c r="Q582" s="3" t="s">
        <v>26</v>
      </c>
      <c r="R582" s="3">
        <v>0</v>
      </c>
      <c r="S582" s="3" t="s">
        <v>138</v>
      </c>
      <c r="U582" s="3">
        <v>18</v>
      </c>
      <c r="V582" s="3">
        <v>0</v>
      </c>
      <c r="W582" s="3">
        <v>0</v>
      </c>
    </row>
    <row r="583" spans="1:23" ht="11.25" customHeight="1" x14ac:dyDescent="0.25">
      <c r="A583" s="3" t="s">
        <v>28</v>
      </c>
      <c r="B583" s="3" t="s">
        <v>39</v>
      </c>
      <c r="C583" s="3" t="s">
        <v>41</v>
      </c>
      <c r="D583" s="3" t="s">
        <v>44</v>
      </c>
      <c r="E583" s="3" t="s">
        <v>25</v>
      </c>
      <c r="F583" s="3" t="s">
        <v>25</v>
      </c>
      <c r="G583" s="3" t="s">
        <v>25</v>
      </c>
      <c r="H583" s="3" t="s">
        <v>25</v>
      </c>
      <c r="I583" s="6">
        <v>44805</v>
      </c>
      <c r="J583" s="4">
        <v>251</v>
      </c>
      <c r="K583" s="4">
        <v>240.95999999999998</v>
      </c>
      <c r="L583" s="4">
        <v>0</v>
      </c>
      <c r="M583" s="4">
        <v>0</v>
      </c>
      <c r="N583" s="4">
        <v>0</v>
      </c>
      <c r="O583" s="4">
        <v>0</v>
      </c>
      <c r="P583" s="4">
        <v>2</v>
      </c>
      <c r="Q583" s="3" t="s">
        <v>26</v>
      </c>
      <c r="R583" s="3">
        <v>0</v>
      </c>
      <c r="S583" s="3" t="s">
        <v>138</v>
      </c>
      <c r="U583" s="3">
        <v>18</v>
      </c>
      <c r="V583" s="3">
        <v>0</v>
      </c>
      <c r="W583" s="3">
        <v>0</v>
      </c>
    </row>
    <row r="584" spans="1:23" ht="11.25" customHeight="1" x14ac:dyDescent="0.25">
      <c r="A584" s="3" t="s">
        <v>55</v>
      </c>
      <c r="B584" s="3" t="s">
        <v>39</v>
      </c>
      <c r="C584" s="3" t="s">
        <v>41</v>
      </c>
      <c r="D584" s="3" t="s">
        <v>44</v>
      </c>
      <c r="E584" s="3" t="s">
        <v>25</v>
      </c>
      <c r="F584" s="3" t="s">
        <v>25</v>
      </c>
      <c r="G584" s="3" t="s">
        <v>25</v>
      </c>
      <c r="H584" s="3" t="s">
        <v>25</v>
      </c>
      <c r="I584" s="6">
        <v>44835</v>
      </c>
      <c r="J584" s="4">
        <v>974</v>
      </c>
      <c r="K584" s="4">
        <v>935.04</v>
      </c>
      <c r="L584" s="4">
        <v>0</v>
      </c>
      <c r="M584" s="4">
        <v>0</v>
      </c>
      <c r="N584" s="4">
        <v>0</v>
      </c>
      <c r="O584" s="4">
        <v>0</v>
      </c>
      <c r="P584" s="4">
        <v>12</v>
      </c>
      <c r="Q584" s="3" t="s">
        <v>26</v>
      </c>
      <c r="R584" s="3">
        <v>0</v>
      </c>
      <c r="S584" s="3" t="s">
        <v>139</v>
      </c>
      <c r="U584" s="3">
        <v>18</v>
      </c>
      <c r="V584" s="3">
        <v>0</v>
      </c>
      <c r="W584" s="3">
        <v>0</v>
      </c>
    </row>
    <row r="585" spans="1:23" ht="11.25" customHeight="1" x14ac:dyDescent="0.25">
      <c r="A585" s="3" t="s">
        <v>55</v>
      </c>
      <c r="B585" s="3" t="s">
        <v>39</v>
      </c>
      <c r="C585" s="3" t="s">
        <v>41</v>
      </c>
      <c r="D585" s="3" t="s">
        <v>44</v>
      </c>
      <c r="E585" s="3" t="s">
        <v>25</v>
      </c>
      <c r="F585" s="3" t="s">
        <v>25</v>
      </c>
      <c r="G585" s="3" t="s">
        <v>25</v>
      </c>
      <c r="H585" s="3" t="s">
        <v>25</v>
      </c>
      <c r="I585" s="6">
        <v>44835</v>
      </c>
      <c r="J585" s="4">
        <v>251</v>
      </c>
      <c r="K585" s="4">
        <v>240.95999999999998</v>
      </c>
      <c r="L585" s="4">
        <v>0</v>
      </c>
      <c r="M585" s="4">
        <v>0</v>
      </c>
      <c r="N585" s="4">
        <v>0</v>
      </c>
      <c r="O585" s="4">
        <v>0</v>
      </c>
      <c r="P585" s="4">
        <v>2</v>
      </c>
      <c r="Q585" s="3" t="s">
        <v>26</v>
      </c>
      <c r="R585" s="3">
        <v>0</v>
      </c>
      <c r="S585" s="3" t="s">
        <v>139</v>
      </c>
      <c r="U585" s="3">
        <v>18</v>
      </c>
      <c r="V585" s="3">
        <v>0</v>
      </c>
      <c r="W585" s="3">
        <v>0</v>
      </c>
    </row>
    <row r="586" spans="1:23" ht="11.25" customHeight="1" x14ac:dyDescent="0.25">
      <c r="A586" s="3" t="s">
        <v>21</v>
      </c>
      <c r="B586" s="3" t="s">
        <v>39</v>
      </c>
      <c r="C586" s="3" t="s">
        <v>41</v>
      </c>
      <c r="D586" s="3" t="s">
        <v>44</v>
      </c>
      <c r="E586" s="3" t="s">
        <v>25</v>
      </c>
      <c r="F586" s="3" t="s">
        <v>25</v>
      </c>
      <c r="G586" s="3" t="s">
        <v>25</v>
      </c>
      <c r="H586" s="3" t="s">
        <v>34</v>
      </c>
      <c r="I586" s="6">
        <v>44501</v>
      </c>
      <c r="J586" s="4">
        <v>0</v>
      </c>
      <c r="K586" s="4">
        <v>0</v>
      </c>
      <c r="L586" s="4">
        <v>11.599</v>
      </c>
      <c r="M586" s="4">
        <v>11.13504</v>
      </c>
      <c r="N586" s="4">
        <v>11.599</v>
      </c>
      <c r="O586" s="4">
        <v>11.13504</v>
      </c>
      <c r="P586" s="4">
        <v>0</v>
      </c>
      <c r="Q586" s="3" t="s">
        <v>26</v>
      </c>
      <c r="R586" s="3">
        <v>0</v>
      </c>
      <c r="S586" s="3" t="s">
        <v>140</v>
      </c>
      <c r="T586" s="3" t="s">
        <v>354</v>
      </c>
      <c r="U586" s="3">
        <v>0</v>
      </c>
      <c r="V586" s="3">
        <v>11</v>
      </c>
      <c r="W586" s="3">
        <v>71</v>
      </c>
    </row>
    <row r="587" spans="1:23" ht="11.25" customHeight="1" x14ac:dyDescent="0.25">
      <c r="A587" s="3" t="s">
        <v>21</v>
      </c>
      <c r="B587" s="3" t="s">
        <v>39</v>
      </c>
      <c r="C587" s="3" t="s">
        <v>41</v>
      </c>
      <c r="D587" s="3" t="s">
        <v>44</v>
      </c>
      <c r="E587" s="3" t="s">
        <v>25</v>
      </c>
      <c r="F587" s="3" t="s">
        <v>25</v>
      </c>
      <c r="G587" s="3" t="s">
        <v>25</v>
      </c>
      <c r="H587" s="3" t="s">
        <v>34</v>
      </c>
      <c r="I587" s="6">
        <v>44531</v>
      </c>
      <c r="J587" s="4">
        <v>0</v>
      </c>
      <c r="K587" s="4">
        <v>0</v>
      </c>
      <c r="L587" s="4">
        <v>23.734999999999999</v>
      </c>
      <c r="M587" s="4">
        <v>22.785599999999999</v>
      </c>
      <c r="N587" s="4">
        <v>23.734999999999999</v>
      </c>
      <c r="O587" s="4">
        <v>22.785599999999999</v>
      </c>
      <c r="P587" s="4">
        <v>0</v>
      </c>
      <c r="Q587" s="3" t="s">
        <v>26</v>
      </c>
      <c r="R587" s="3">
        <v>0</v>
      </c>
      <c r="S587" s="3" t="s">
        <v>141</v>
      </c>
      <c r="T587" s="3" t="s">
        <v>355</v>
      </c>
      <c r="U587" s="3">
        <v>0</v>
      </c>
      <c r="V587" s="3">
        <v>11</v>
      </c>
      <c r="W587" s="3">
        <v>71</v>
      </c>
    </row>
    <row r="588" spans="1:23" ht="11.25" customHeight="1" x14ac:dyDescent="0.25">
      <c r="A588" s="3" t="s">
        <v>21</v>
      </c>
      <c r="B588" s="3" t="s">
        <v>39</v>
      </c>
      <c r="C588" s="3" t="s">
        <v>41</v>
      </c>
      <c r="D588" s="3" t="s">
        <v>44</v>
      </c>
      <c r="E588" s="3" t="s">
        <v>25</v>
      </c>
      <c r="F588" s="3" t="s">
        <v>25</v>
      </c>
      <c r="G588" s="3" t="s">
        <v>25</v>
      </c>
      <c r="H588" s="3" t="s">
        <v>34</v>
      </c>
      <c r="I588" s="6">
        <v>44562</v>
      </c>
      <c r="J588" s="4">
        <v>0</v>
      </c>
      <c r="K588" s="4">
        <v>0</v>
      </c>
      <c r="L588" s="4">
        <v>42.036000000000001</v>
      </c>
      <c r="M588" s="4">
        <v>40.354559999999999</v>
      </c>
      <c r="N588" s="4">
        <v>42.036000000000001</v>
      </c>
      <c r="O588" s="4">
        <v>40.354559999999999</v>
      </c>
      <c r="P588" s="4">
        <v>0</v>
      </c>
      <c r="Q588" s="3" t="s">
        <v>26</v>
      </c>
      <c r="R588" s="3">
        <v>0</v>
      </c>
      <c r="S588" s="3" t="s">
        <v>142</v>
      </c>
      <c r="T588" s="3" t="s">
        <v>356</v>
      </c>
      <c r="U588" s="3">
        <v>0</v>
      </c>
      <c r="V588" s="3">
        <v>11</v>
      </c>
      <c r="W588" s="3">
        <v>71</v>
      </c>
    </row>
    <row r="589" spans="1:23" ht="11.25" customHeight="1" x14ac:dyDescent="0.25">
      <c r="A589" s="3" t="s">
        <v>21</v>
      </c>
      <c r="B589" s="3" t="s">
        <v>39</v>
      </c>
      <c r="C589" s="3" t="s">
        <v>41</v>
      </c>
      <c r="D589" s="3" t="s">
        <v>44</v>
      </c>
      <c r="E589" s="3" t="s">
        <v>25</v>
      </c>
      <c r="F589" s="3" t="s">
        <v>25</v>
      </c>
      <c r="G589" s="3" t="s">
        <v>25</v>
      </c>
      <c r="H589" s="3" t="s">
        <v>34</v>
      </c>
      <c r="I589" s="6">
        <v>44593</v>
      </c>
      <c r="J589" s="4">
        <v>0</v>
      </c>
      <c r="K589" s="4">
        <v>0</v>
      </c>
      <c r="L589" s="4">
        <v>23.89</v>
      </c>
      <c r="M589" s="4">
        <v>22.9344</v>
      </c>
      <c r="N589" s="4">
        <v>23.89</v>
      </c>
      <c r="O589" s="4">
        <v>22.9344</v>
      </c>
      <c r="P589" s="4">
        <v>0</v>
      </c>
      <c r="Q589" s="3" t="s">
        <v>26</v>
      </c>
      <c r="R589" s="3">
        <v>0</v>
      </c>
      <c r="S589" s="3" t="s">
        <v>143</v>
      </c>
      <c r="T589" s="3" t="s">
        <v>357</v>
      </c>
      <c r="U589" s="3">
        <v>0</v>
      </c>
      <c r="V589" s="3">
        <v>11</v>
      </c>
      <c r="W589" s="3">
        <v>71</v>
      </c>
    </row>
    <row r="590" spans="1:23" ht="11.25" customHeight="1" x14ac:dyDescent="0.25">
      <c r="A590" s="3" t="s">
        <v>21</v>
      </c>
      <c r="B590" s="3" t="s">
        <v>39</v>
      </c>
      <c r="C590" s="3" t="s">
        <v>41</v>
      </c>
      <c r="D590" s="3" t="s">
        <v>44</v>
      </c>
      <c r="E590" s="3" t="s">
        <v>25</v>
      </c>
      <c r="F590" s="3" t="s">
        <v>25</v>
      </c>
      <c r="G590" s="3" t="s">
        <v>25</v>
      </c>
      <c r="H590" s="3" t="s">
        <v>34</v>
      </c>
      <c r="I590" s="6">
        <v>44621</v>
      </c>
      <c r="J590" s="4">
        <v>0</v>
      </c>
      <c r="K590" s="4">
        <v>0</v>
      </c>
      <c r="L590" s="4">
        <v>10.209</v>
      </c>
      <c r="M590" s="4">
        <v>9.8006399999999996</v>
      </c>
      <c r="N590" s="4">
        <v>10.209</v>
      </c>
      <c r="O590" s="4">
        <v>9.8006399999999996</v>
      </c>
      <c r="P590" s="4">
        <v>0</v>
      </c>
      <c r="Q590" s="3" t="s">
        <v>26</v>
      </c>
      <c r="R590" s="3">
        <v>0</v>
      </c>
      <c r="S590" s="3" t="s">
        <v>144</v>
      </c>
      <c r="T590" s="3" t="s">
        <v>358</v>
      </c>
      <c r="U590" s="3">
        <v>0</v>
      </c>
      <c r="V590" s="3">
        <v>11</v>
      </c>
      <c r="W590" s="3">
        <v>71</v>
      </c>
    </row>
    <row r="591" spans="1:23" ht="11.25" customHeight="1" x14ac:dyDescent="0.25">
      <c r="A591" s="3" t="s">
        <v>21</v>
      </c>
      <c r="B591" s="3" t="s">
        <v>39</v>
      </c>
      <c r="C591" s="3" t="s">
        <v>41</v>
      </c>
      <c r="D591" s="3" t="s">
        <v>44</v>
      </c>
      <c r="E591" s="3" t="s">
        <v>25</v>
      </c>
      <c r="F591" s="3" t="s">
        <v>25</v>
      </c>
      <c r="G591" s="3" t="s">
        <v>25</v>
      </c>
      <c r="H591" s="3" t="s">
        <v>34</v>
      </c>
      <c r="I591" s="6">
        <v>44652</v>
      </c>
      <c r="J591" s="4">
        <v>0</v>
      </c>
      <c r="K591" s="4">
        <v>0</v>
      </c>
      <c r="L591" s="4">
        <v>10.209</v>
      </c>
      <c r="M591" s="4">
        <v>9.8006399999999996</v>
      </c>
      <c r="N591" s="4">
        <v>10.209</v>
      </c>
      <c r="O591" s="4">
        <v>9.8006399999999996</v>
      </c>
      <c r="P591" s="4">
        <v>0</v>
      </c>
      <c r="Q591" s="3" t="s">
        <v>26</v>
      </c>
      <c r="R591" s="3">
        <v>0</v>
      </c>
      <c r="S591" s="3" t="s">
        <v>145</v>
      </c>
      <c r="T591" s="3" t="s">
        <v>359</v>
      </c>
      <c r="U591" s="3">
        <v>0</v>
      </c>
      <c r="V591" s="3">
        <v>11</v>
      </c>
      <c r="W591" s="3">
        <v>71</v>
      </c>
    </row>
    <row r="592" spans="1:23" ht="11.25" customHeight="1" x14ac:dyDescent="0.25">
      <c r="A592" s="3" t="s">
        <v>21</v>
      </c>
      <c r="B592" s="3" t="s">
        <v>39</v>
      </c>
      <c r="C592" s="3" t="s">
        <v>41</v>
      </c>
      <c r="D592" s="3" t="s">
        <v>44</v>
      </c>
      <c r="E592" s="3" t="s">
        <v>25</v>
      </c>
      <c r="F592" s="3" t="s">
        <v>25</v>
      </c>
      <c r="G592" s="3" t="s">
        <v>25</v>
      </c>
      <c r="H592" s="3" t="s">
        <v>34</v>
      </c>
      <c r="I592" s="6">
        <v>44682</v>
      </c>
      <c r="J592" s="4">
        <v>0</v>
      </c>
      <c r="K592" s="4">
        <v>0</v>
      </c>
      <c r="L592" s="4">
        <v>6.5140000000000002</v>
      </c>
      <c r="M592" s="4">
        <v>6.2534400000000003</v>
      </c>
      <c r="N592" s="4">
        <v>6.5140000000000002</v>
      </c>
      <c r="O592" s="4">
        <v>6.2534400000000003</v>
      </c>
      <c r="P592" s="4">
        <v>0</v>
      </c>
      <c r="Q592" s="3" t="s">
        <v>26</v>
      </c>
      <c r="R592" s="3">
        <v>0</v>
      </c>
      <c r="S592" s="3" t="s">
        <v>146</v>
      </c>
      <c r="T592" s="3" t="s">
        <v>360</v>
      </c>
      <c r="U592" s="3">
        <v>0</v>
      </c>
      <c r="V592" s="3">
        <v>11</v>
      </c>
      <c r="W592" s="3">
        <v>71</v>
      </c>
    </row>
    <row r="593" spans="1:23" ht="11.25" customHeight="1" x14ac:dyDescent="0.25">
      <c r="A593" s="3" t="s">
        <v>28</v>
      </c>
      <c r="B593" s="3" t="s">
        <v>39</v>
      </c>
      <c r="C593" s="3" t="s">
        <v>41</v>
      </c>
      <c r="D593" s="3" t="s">
        <v>44</v>
      </c>
      <c r="E593" s="3" t="s">
        <v>25</v>
      </c>
      <c r="F593" s="3" t="s">
        <v>25</v>
      </c>
      <c r="G593" s="3" t="s">
        <v>25</v>
      </c>
      <c r="H593" s="3" t="s">
        <v>34</v>
      </c>
      <c r="I593" s="6">
        <v>44682</v>
      </c>
      <c r="J593" s="4">
        <v>0</v>
      </c>
      <c r="K593" s="4">
        <v>0</v>
      </c>
      <c r="L593" s="4">
        <v>22.812000000000001</v>
      </c>
      <c r="M593" s="4">
        <v>21.899519999999999</v>
      </c>
      <c r="N593" s="4">
        <v>22.812000000000001</v>
      </c>
      <c r="O593" s="4">
        <v>21.899519999999999</v>
      </c>
      <c r="P593" s="4">
        <v>0</v>
      </c>
      <c r="Q593" s="3" t="s">
        <v>26</v>
      </c>
      <c r="R593" s="3">
        <v>0</v>
      </c>
      <c r="S593" s="3" t="s">
        <v>146</v>
      </c>
      <c r="T593" s="3" t="s">
        <v>360</v>
      </c>
      <c r="U593" s="3">
        <v>0</v>
      </c>
      <c r="V593" s="3">
        <v>11</v>
      </c>
      <c r="W593" s="3">
        <v>71</v>
      </c>
    </row>
    <row r="594" spans="1:23" ht="11.25" customHeight="1" x14ac:dyDescent="0.25">
      <c r="A594" s="3" t="s">
        <v>21</v>
      </c>
      <c r="B594" s="3" t="s">
        <v>39</v>
      </c>
      <c r="C594" s="3" t="s">
        <v>41</v>
      </c>
      <c r="D594" s="3" t="s">
        <v>44</v>
      </c>
      <c r="E594" s="3" t="s">
        <v>25</v>
      </c>
      <c r="F594" s="3" t="s">
        <v>25</v>
      </c>
      <c r="G594" s="3" t="s">
        <v>25</v>
      </c>
      <c r="H594" s="3" t="s">
        <v>34</v>
      </c>
      <c r="I594" s="6">
        <v>44713</v>
      </c>
      <c r="J594" s="4">
        <v>0</v>
      </c>
      <c r="K594" s="4">
        <v>0</v>
      </c>
      <c r="L594" s="4">
        <v>5.7629999999999999</v>
      </c>
      <c r="M594" s="4">
        <v>5.5324799999999996</v>
      </c>
      <c r="N594" s="4">
        <v>5.7629999999999999</v>
      </c>
      <c r="O594" s="4">
        <v>5.5324799999999996</v>
      </c>
      <c r="P594" s="4">
        <v>0</v>
      </c>
      <c r="Q594" s="3" t="s">
        <v>26</v>
      </c>
      <c r="R594" s="3">
        <v>0</v>
      </c>
      <c r="S594" s="3" t="s">
        <v>147</v>
      </c>
      <c r="T594" s="3" t="s">
        <v>361</v>
      </c>
      <c r="U594" s="3">
        <v>0</v>
      </c>
      <c r="V594" s="3">
        <v>11</v>
      </c>
      <c r="W594" s="3">
        <v>71</v>
      </c>
    </row>
    <row r="595" spans="1:23" ht="11.25" customHeight="1" x14ac:dyDescent="0.25">
      <c r="A595" s="3" t="s">
        <v>28</v>
      </c>
      <c r="B595" s="3" t="s">
        <v>39</v>
      </c>
      <c r="C595" s="3" t="s">
        <v>41</v>
      </c>
      <c r="D595" s="3" t="s">
        <v>44</v>
      </c>
      <c r="E595" s="3" t="s">
        <v>25</v>
      </c>
      <c r="F595" s="3" t="s">
        <v>25</v>
      </c>
      <c r="G595" s="3" t="s">
        <v>25</v>
      </c>
      <c r="H595" s="3" t="s">
        <v>34</v>
      </c>
      <c r="I595" s="6">
        <v>44713</v>
      </c>
      <c r="J595" s="4">
        <v>0</v>
      </c>
      <c r="K595" s="4">
        <v>0</v>
      </c>
      <c r="L595" s="4">
        <v>3.472</v>
      </c>
      <c r="M595" s="4">
        <v>3.3331199999999996</v>
      </c>
      <c r="N595" s="4">
        <v>3.472</v>
      </c>
      <c r="O595" s="4">
        <v>3.3331199999999996</v>
      </c>
      <c r="P595" s="4">
        <v>0</v>
      </c>
      <c r="Q595" s="3" t="s">
        <v>26</v>
      </c>
      <c r="R595" s="3">
        <v>0</v>
      </c>
      <c r="S595" s="3" t="s">
        <v>147</v>
      </c>
      <c r="T595" s="3" t="s">
        <v>361</v>
      </c>
      <c r="U595" s="3">
        <v>0</v>
      </c>
      <c r="V595" s="3">
        <v>11</v>
      </c>
      <c r="W595" s="3">
        <v>71</v>
      </c>
    </row>
    <row r="596" spans="1:23" ht="11.25" customHeight="1" x14ac:dyDescent="0.25">
      <c r="A596" s="3" t="s">
        <v>21</v>
      </c>
      <c r="B596" s="3" t="s">
        <v>39</v>
      </c>
      <c r="C596" s="3" t="s">
        <v>41</v>
      </c>
      <c r="D596" s="3" t="s">
        <v>44</v>
      </c>
      <c r="E596" s="3" t="s">
        <v>25</v>
      </c>
      <c r="F596" s="3" t="s">
        <v>25</v>
      </c>
      <c r="G596" s="3" t="s">
        <v>25</v>
      </c>
      <c r="H596" s="3" t="s">
        <v>34</v>
      </c>
      <c r="I596" s="6">
        <v>44743</v>
      </c>
      <c r="J596" s="4">
        <v>0</v>
      </c>
      <c r="K596" s="4">
        <v>0</v>
      </c>
      <c r="L596" s="4">
        <v>9.3849999999999998</v>
      </c>
      <c r="M596" s="4">
        <v>9.0095999999999989</v>
      </c>
      <c r="N596" s="4">
        <v>9.3849999999999998</v>
      </c>
      <c r="O596" s="4">
        <v>9.0095999999999989</v>
      </c>
      <c r="P596" s="4">
        <v>0</v>
      </c>
      <c r="Q596" s="3" t="s">
        <v>26</v>
      </c>
      <c r="R596" s="3">
        <v>0</v>
      </c>
      <c r="S596" s="3" t="s">
        <v>148</v>
      </c>
      <c r="T596" s="3" t="s">
        <v>362</v>
      </c>
      <c r="U596" s="3">
        <v>0</v>
      </c>
      <c r="V596" s="3">
        <v>11</v>
      </c>
      <c r="W596" s="3">
        <v>71</v>
      </c>
    </row>
    <row r="597" spans="1:23" ht="11.25" customHeight="1" x14ac:dyDescent="0.25">
      <c r="A597" s="3" t="s">
        <v>28</v>
      </c>
      <c r="B597" s="3" t="s">
        <v>39</v>
      </c>
      <c r="C597" s="3" t="s">
        <v>41</v>
      </c>
      <c r="D597" s="3" t="s">
        <v>44</v>
      </c>
      <c r="E597" s="3" t="s">
        <v>25</v>
      </c>
      <c r="F597" s="3" t="s">
        <v>25</v>
      </c>
      <c r="G597" s="3" t="s">
        <v>25</v>
      </c>
      <c r="H597" s="3" t="s">
        <v>34</v>
      </c>
      <c r="I597" s="6">
        <v>44743</v>
      </c>
      <c r="J597" s="4">
        <v>0</v>
      </c>
      <c r="K597" s="4">
        <v>0</v>
      </c>
      <c r="L597" s="4">
        <v>3.8210000000000002</v>
      </c>
      <c r="M597" s="4">
        <v>3.6681599999999999</v>
      </c>
      <c r="N597" s="4">
        <v>3.8210000000000002</v>
      </c>
      <c r="O597" s="4">
        <v>3.6681599999999999</v>
      </c>
      <c r="P597" s="4">
        <v>0</v>
      </c>
      <c r="Q597" s="3" t="s">
        <v>26</v>
      </c>
      <c r="R597" s="3">
        <v>0</v>
      </c>
      <c r="S597" s="3" t="s">
        <v>148</v>
      </c>
      <c r="T597" s="3" t="s">
        <v>362</v>
      </c>
      <c r="U597" s="3">
        <v>0</v>
      </c>
      <c r="V597" s="3">
        <v>11</v>
      </c>
      <c r="W597" s="3">
        <v>71</v>
      </c>
    </row>
    <row r="598" spans="1:23" ht="11.25" customHeight="1" x14ac:dyDescent="0.25">
      <c r="A598" s="3" t="s">
        <v>21</v>
      </c>
      <c r="B598" s="3" t="s">
        <v>39</v>
      </c>
      <c r="C598" s="3" t="s">
        <v>41</v>
      </c>
      <c r="D598" s="3" t="s">
        <v>44</v>
      </c>
      <c r="E598" s="3" t="s">
        <v>25</v>
      </c>
      <c r="F598" s="3" t="s">
        <v>25</v>
      </c>
      <c r="G598" s="3" t="s">
        <v>25</v>
      </c>
      <c r="H598" s="3" t="s">
        <v>34</v>
      </c>
      <c r="I598" s="6">
        <v>44774</v>
      </c>
      <c r="J598" s="4">
        <v>0</v>
      </c>
      <c r="K598" s="4">
        <v>0</v>
      </c>
      <c r="L598" s="4">
        <v>7.2969999999999997</v>
      </c>
      <c r="M598" s="4">
        <v>7.0051199999999998</v>
      </c>
      <c r="N598" s="4">
        <v>7.2969999999999997</v>
      </c>
      <c r="O598" s="4">
        <v>7.0051199999999998</v>
      </c>
      <c r="P598" s="4">
        <v>0</v>
      </c>
      <c r="Q598" s="3" t="s">
        <v>26</v>
      </c>
      <c r="R598" s="3">
        <v>0</v>
      </c>
      <c r="S598" s="3" t="s">
        <v>149</v>
      </c>
      <c r="T598" s="3" t="s">
        <v>363</v>
      </c>
      <c r="U598" s="3">
        <v>0</v>
      </c>
      <c r="V598" s="3">
        <v>11</v>
      </c>
      <c r="W598" s="3">
        <v>71</v>
      </c>
    </row>
    <row r="599" spans="1:23" ht="11.25" customHeight="1" x14ac:dyDescent="0.25">
      <c r="A599" s="3" t="s">
        <v>28</v>
      </c>
      <c r="B599" s="3" t="s">
        <v>39</v>
      </c>
      <c r="C599" s="3" t="s">
        <v>41</v>
      </c>
      <c r="D599" s="3" t="s">
        <v>44</v>
      </c>
      <c r="E599" s="3" t="s">
        <v>25</v>
      </c>
      <c r="F599" s="3" t="s">
        <v>25</v>
      </c>
      <c r="G599" s="3" t="s">
        <v>25</v>
      </c>
      <c r="H599" s="3" t="s">
        <v>34</v>
      </c>
      <c r="I599" s="6">
        <v>44774</v>
      </c>
      <c r="J599" s="4">
        <v>0</v>
      </c>
      <c r="K599" s="4">
        <v>0</v>
      </c>
      <c r="L599" s="4">
        <v>4.4569999999999999</v>
      </c>
      <c r="M599" s="4">
        <v>4.2787199999999999</v>
      </c>
      <c r="N599" s="4">
        <v>4.4569999999999999</v>
      </c>
      <c r="O599" s="4">
        <v>4.2787199999999999</v>
      </c>
      <c r="P599" s="4">
        <v>0</v>
      </c>
      <c r="Q599" s="3" t="s">
        <v>26</v>
      </c>
      <c r="R599" s="3">
        <v>0</v>
      </c>
      <c r="S599" s="3" t="s">
        <v>149</v>
      </c>
      <c r="T599" s="3" t="s">
        <v>363</v>
      </c>
      <c r="U599" s="3">
        <v>0</v>
      </c>
      <c r="V599" s="3">
        <v>11</v>
      </c>
      <c r="W599" s="3">
        <v>71</v>
      </c>
    </row>
    <row r="600" spans="1:23" ht="11.25" customHeight="1" x14ac:dyDescent="0.25">
      <c r="A600" s="3" t="s">
        <v>21</v>
      </c>
      <c r="B600" s="3" t="s">
        <v>39</v>
      </c>
      <c r="C600" s="3" t="s">
        <v>41</v>
      </c>
      <c r="D600" s="3" t="s">
        <v>44</v>
      </c>
      <c r="E600" s="3" t="s">
        <v>25</v>
      </c>
      <c r="F600" s="3" t="s">
        <v>25</v>
      </c>
      <c r="G600" s="3" t="s">
        <v>25</v>
      </c>
      <c r="H600" s="3" t="s">
        <v>34</v>
      </c>
      <c r="I600" s="6">
        <v>44805</v>
      </c>
      <c r="J600" s="4">
        <v>0</v>
      </c>
      <c r="K600" s="4">
        <v>0</v>
      </c>
      <c r="L600" s="4">
        <v>6.9470000000000001</v>
      </c>
      <c r="M600" s="4">
        <v>6.6691199999999995</v>
      </c>
      <c r="N600" s="4">
        <v>6.9470000000000001</v>
      </c>
      <c r="O600" s="4">
        <v>6.6691199999999995</v>
      </c>
      <c r="P600" s="4">
        <v>0</v>
      </c>
      <c r="Q600" s="3" t="s">
        <v>26</v>
      </c>
      <c r="R600" s="3">
        <v>0</v>
      </c>
      <c r="S600" s="3" t="s">
        <v>150</v>
      </c>
      <c r="T600" s="3" t="s">
        <v>364</v>
      </c>
      <c r="U600" s="3">
        <v>0</v>
      </c>
      <c r="V600" s="3">
        <v>11</v>
      </c>
      <c r="W600" s="3">
        <v>71</v>
      </c>
    </row>
    <row r="601" spans="1:23" ht="11.25" customHeight="1" x14ac:dyDescent="0.25">
      <c r="A601" s="3" t="s">
        <v>28</v>
      </c>
      <c r="B601" s="3" t="s">
        <v>39</v>
      </c>
      <c r="C601" s="3" t="s">
        <v>41</v>
      </c>
      <c r="D601" s="3" t="s">
        <v>44</v>
      </c>
      <c r="E601" s="3" t="s">
        <v>25</v>
      </c>
      <c r="F601" s="3" t="s">
        <v>25</v>
      </c>
      <c r="G601" s="3" t="s">
        <v>25</v>
      </c>
      <c r="H601" s="3" t="s">
        <v>34</v>
      </c>
      <c r="I601" s="6">
        <v>44805</v>
      </c>
      <c r="J601" s="4">
        <v>0</v>
      </c>
      <c r="K601" s="4">
        <v>0</v>
      </c>
      <c r="L601" s="4">
        <v>3.3580000000000001</v>
      </c>
      <c r="M601" s="4">
        <v>3.2236799999999999</v>
      </c>
      <c r="N601" s="4">
        <v>3.3580000000000001</v>
      </c>
      <c r="O601" s="4">
        <v>3.2236799999999999</v>
      </c>
      <c r="P601" s="4">
        <v>0</v>
      </c>
      <c r="Q601" s="3" t="s">
        <v>26</v>
      </c>
      <c r="R601" s="3">
        <v>0</v>
      </c>
      <c r="S601" s="3" t="s">
        <v>150</v>
      </c>
      <c r="T601" s="3" t="s">
        <v>364</v>
      </c>
      <c r="U601" s="3">
        <v>0</v>
      </c>
      <c r="V601" s="3">
        <v>11</v>
      </c>
      <c r="W601" s="3">
        <v>71</v>
      </c>
    </row>
    <row r="602" spans="1:23" ht="11.25" customHeight="1" x14ac:dyDescent="0.25">
      <c r="A602" s="3" t="s">
        <v>55</v>
      </c>
      <c r="B602" s="3" t="s">
        <v>39</v>
      </c>
      <c r="C602" s="3" t="s">
        <v>41</v>
      </c>
      <c r="D602" s="3" t="s">
        <v>44</v>
      </c>
      <c r="E602" s="3" t="s">
        <v>25</v>
      </c>
      <c r="F602" s="3" t="s">
        <v>25</v>
      </c>
      <c r="G602" s="3" t="s">
        <v>25</v>
      </c>
      <c r="H602" s="3" t="s">
        <v>34</v>
      </c>
      <c r="I602" s="6">
        <v>44835</v>
      </c>
      <c r="J602" s="4">
        <v>0</v>
      </c>
      <c r="K602" s="4">
        <v>0</v>
      </c>
      <c r="L602" s="4">
        <v>6.9470000000000001</v>
      </c>
      <c r="M602" s="4">
        <v>6.6691199999999995</v>
      </c>
      <c r="N602" s="4">
        <v>6.9470000000000001</v>
      </c>
      <c r="O602" s="4">
        <v>6.6691199999999995</v>
      </c>
      <c r="P602" s="4">
        <v>0</v>
      </c>
      <c r="Q602" s="3" t="s">
        <v>26</v>
      </c>
      <c r="R602" s="3">
        <v>0</v>
      </c>
      <c r="S602" s="3" t="s">
        <v>151</v>
      </c>
      <c r="T602" s="3" t="s">
        <v>365</v>
      </c>
      <c r="U602" s="3">
        <v>0</v>
      </c>
      <c r="V602" s="3">
        <v>11</v>
      </c>
      <c r="W602" s="3">
        <v>71</v>
      </c>
    </row>
    <row r="603" spans="1:23" ht="11.25" customHeight="1" x14ac:dyDescent="0.25">
      <c r="A603" s="3" t="s">
        <v>55</v>
      </c>
      <c r="B603" s="3" t="s">
        <v>39</v>
      </c>
      <c r="C603" s="3" t="s">
        <v>41</v>
      </c>
      <c r="D603" s="3" t="s">
        <v>44</v>
      </c>
      <c r="E603" s="3" t="s">
        <v>25</v>
      </c>
      <c r="F603" s="3" t="s">
        <v>25</v>
      </c>
      <c r="G603" s="3" t="s">
        <v>25</v>
      </c>
      <c r="H603" s="3" t="s">
        <v>34</v>
      </c>
      <c r="I603" s="6">
        <v>44835</v>
      </c>
      <c r="J603" s="4">
        <v>0</v>
      </c>
      <c r="K603" s="4">
        <v>0</v>
      </c>
      <c r="L603" s="4">
        <v>3.3580000000000001</v>
      </c>
      <c r="M603" s="4">
        <v>3.2236799999999999</v>
      </c>
      <c r="N603" s="4">
        <v>3.3580000000000001</v>
      </c>
      <c r="O603" s="4">
        <v>3.2236799999999999</v>
      </c>
      <c r="P603" s="4">
        <v>0</v>
      </c>
      <c r="Q603" s="3" t="s">
        <v>26</v>
      </c>
      <c r="R603" s="3">
        <v>0</v>
      </c>
      <c r="S603" s="3" t="s">
        <v>151</v>
      </c>
      <c r="T603" s="3" t="s">
        <v>365</v>
      </c>
      <c r="U603" s="3">
        <v>0</v>
      </c>
      <c r="V603" s="3">
        <v>11</v>
      </c>
      <c r="W603" s="3">
        <v>71</v>
      </c>
    </row>
    <row r="604" spans="1:23" ht="11.25" customHeight="1" x14ac:dyDescent="0.25">
      <c r="A604" s="3" t="s">
        <v>21</v>
      </c>
      <c r="B604" s="3" t="s">
        <v>39</v>
      </c>
      <c r="C604" s="3" t="s">
        <v>41</v>
      </c>
      <c r="D604" s="3" t="s">
        <v>49</v>
      </c>
      <c r="E604" s="3" t="s">
        <v>50</v>
      </c>
      <c r="F604" s="3" t="s">
        <v>25</v>
      </c>
      <c r="G604" s="3" t="s">
        <v>25</v>
      </c>
      <c r="H604" s="3" t="s">
        <v>35</v>
      </c>
      <c r="I604" s="6">
        <v>44501</v>
      </c>
      <c r="J604" s="4">
        <v>0</v>
      </c>
      <c r="K604" s="4">
        <v>0</v>
      </c>
      <c r="L604" s="4">
        <v>735.952</v>
      </c>
      <c r="M604" s="4">
        <v>691.79487999999992</v>
      </c>
      <c r="N604" s="4">
        <v>735.952</v>
      </c>
      <c r="O604" s="4">
        <v>691.79487999999992</v>
      </c>
      <c r="P604" s="4">
        <v>0</v>
      </c>
      <c r="Q604" s="3" t="s">
        <v>26</v>
      </c>
      <c r="R604" s="3">
        <v>0</v>
      </c>
      <c r="S604" s="3" t="s">
        <v>116</v>
      </c>
      <c r="T604" s="3" t="s">
        <v>342</v>
      </c>
      <c r="U604" s="3">
        <v>0</v>
      </c>
      <c r="V604" s="3">
        <v>31</v>
      </c>
      <c r="W604" s="3">
        <v>59</v>
      </c>
    </row>
    <row r="605" spans="1:23" ht="11.25" customHeight="1" x14ac:dyDescent="0.25">
      <c r="A605" s="3" t="s">
        <v>21</v>
      </c>
      <c r="B605" s="3" t="s">
        <v>39</v>
      </c>
      <c r="C605" s="3" t="s">
        <v>41</v>
      </c>
      <c r="D605" s="3" t="s">
        <v>49</v>
      </c>
      <c r="E605" s="3" t="s">
        <v>50</v>
      </c>
      <c r="F605" s="3" t="s">
        <v>25</v>
      </c>
      <c r="G605" s="3" t="s">
        <v>25</v>
      </c>
      <c r="H605" s="3" t="s">
        <v>35</v>
      </c>
      <c r="I605" s="6">
        <v>44531</v>
      </c>
      <c r="J605" s="4">
        <v>0</v>
      </c>
      <c r="K605" s="4">
        <v>0</v>
      </c>
      <c r="L605" s="4">
        <v>712.923</v>
      </c>
      <c r="M605" s="4">
        <v>670.14761999999996</v>
      </c>
      <c r="N605" s="4">
        <v>712.923</v>
      </c>
      <c r="O605" s="4">
        <v>670.14761999999996</v>
      </c>
      <c r="P605" s="4">
        <v>0</v>
      </c>
      <c r="Q605" s="3" t="s">
        <v>26</v>
      </c>
      <c r="R605" s="3">
        <v>0</v>
      </c>
      <c r="S605" s="3" t="s">
        <v>117</v>
      </c>
      <c r="T605" s="3" t="s">
        <v>343</v>
      </c>
      <c r="U605" s="3">
        <v>0</v>
      </c>
      <c r="V605" s="3">
        <v>31</v>
      </c>
      <c r="W605" s="3">
        <v>59</v>
      </c>
    </row>
    <row r="606" spans="1:23" ht="11.25" customHeight="1" x14ac:dyDescent="0.25">
      <c r="A606" s="3" t="s">
        <v>21</v>
      </c>
      <c r="B606" s="3" t="s">
        <v>39</v>
      </c>
      <c r="C606" s="3" t="s">
        <v>41</v>
      </c>
      <c r="D606" s="3" t="s">
        <v>49</v>
      </c>
      <c r="E606" s="3" t="s">
        <v>50</v>
      </c>
      <c r="F606" s="3" t="s">
        <v>25</v>
      </c>
      <c r="G606" s="3" t="s">
        <v>25</v>
      </c>
      <c r="H606" s="3" t="s">
        <v>35</v>
      </c>
      <c r="I606" s="6">
        <v>44562</v>
      </c>
      <c r="J606" s="4">
        <v>0</v>
      </c>
      <c r="K606" s="4">
        <v>0</v>
      </c>
      <c r="L606" s="4">
        <v>710.61199999999997</v>
      </c>
      <c r="M606" s="4">
        <v>667.97527999999988</v>
      </c>
      <c r="N606" s="4">
        <v>710.61199999999997</v>
      </c>
      <c r="O606" s="4">
        <v>667.97527999999988</v>
      </c>
      <c r="P606" s="4">
        <v>0</v>
      </c>
      <c r="Q606" s="3" t="s">
        <v>26</v>
      </c>
      <c r="R606" s="3">
        <v>0</v>
      </c>
      <c r="S606" s="3" t="s">
        <v>118</v>
      </c>
      <c r="T606" s="3" t="s">
        <v>344</v>
      </c>
      <c r="U606" s="3">
        <v>0</v>
      </c>
      <c r="V606" s="3">
        <v>31</v>
      </c>
      <c r="W606" s="3">
        <v>59</v>
      </c>
    </row>
    <row r="607" spans="1:23" ht="11.25" customHeight="1" x14ac:dyDescent="0.25">
      <c r="A607" s="3" t="s">
        <v>21</v>
      </c>
      <c r="B607" s="3" t="s">
        <v>39</v>
      </c>
      <c r="C607" s="3" t="s">
        <v>41</v>
      </c>
      <c r="D607" s="3" t="s">
        <v>49</v>
      </c>
      <c r="E607" s="3" t="s">
        <v>50</v>
      </c>
      <c r="F607" s="3" t="s">
        <v>25</v>
      </c>
      <c r="G607" s="3" t="s">
        <v>25</v>
      </c>
      <c r="H607" s="3" t="s">
        <v>35</v>
      </c>
      <c r="I607" s="6">
        <v>44593</v>
      </c>
      <c r="J607" s="4">
        <v>0</v>
      </c>
      <c r="K607" s="4">
        <v>0</v>
      </c>
      <c r="L607" s="4">
        <v>661.45600000000002</v>
      </c>
      <c r="M607" s="4">
        <v>621.76864</v>
      </c>
      <c r="N607" s="4">
        <v>661.45600000000002</v>
      </c>
      <c r="O607" s="4">
        <v>621.76864</v>
      </c>
      <c r="P607" s="4">
        <v>0</v>
      </c>
      <c r="Q607" s="3" t="s">
        <v>26</v>
      </c>
      <c r="R607" s="3">
        <v>0</v>
      </c>
      <c r="S607" s="3" t="s">
        <v>119</v>
      </c>
      <c r="T607" s="3" t="s">
        <v>345</v>
      </c>
      <c r="U607" s="3">
        <v>0</v>
      </c>
      <c r="V607" s="3">
        <v>31</v>
      </c>
      <c r="W607" s="3">
        <v>59</v>
      </c>
    </row>
    <row r="608" spans="1:23" ht="11.25" customHeight="1" x14ac:dyDescent="0.25">
      <c r="A608" s="3" t="s">
        <v>21</v>
      </c>
      <c r="B608" s="3" t="s">
        <v>39</v>
      </c>
      <c r="C608" s="3" t="s">
        <v>41</v>
      </c>
      <c r="D608" s="3" t="s">
        <v>49</v>
      </c>
      <c r="E608" s="3" t="s">
        <v>50</v>
      </c>
      <c r="F608" s="3" t="s">
        <v>25</v>
      </c>
      <c r="G608" s="3" t="s">
        <v>25</v>
      </c>
      <c r="H608" s="3" t="s">
        <v>35</v>
      </c>
      <c r="I608" s="6">
        <v>44621</v>
      </c>
      <c r="J608" s="4">
        <v>0</v>
      </c>
      <c r="K608" s="4">
        <v>0</v>
      </c>
      <c r="L608" s="4">
        <v>785.90200000000004</v>
      </c>
      <c r="M608" s="4">
        <v>738.74788000000001</v>
      </c>
      <c r="N608" s="4">
        <v>785.90200000000004</v>
      </c>
      <c r="O608" s="4">
        <v>738.74788000000001</v>
      </c>
      <c r="P608" s="4">
        <v>0</v>
      </c>
      <c r="Q608" s="3" t="s">
        <v>26</v>
      </c>
      <c r="R608" s="3">
        <v>0</v>
      </c>
      <c r="S608" s="3" t="s">
        <v>120</v>
      </c>
      <c r="T608" s="3" t="s">
        <v>346</v>
      </c>
      <c r="U608" s="3">
        <v>0</v>
      </c>
      <c r="V608" s="3">
        <v>31</v>
      </c>
      <c r="W608" s="3">
        <v>59</v>
      </c>
    </row>
    <row r="609" spans="1:23" ht="11.25" customHeight="1" x14ac:dyDescent="0.25">
      <c r="A609" s="3" t="s">
        <v>21</v>
      </c>
      <c r="B609" s="3" t="s">
        <v>39</v>
      </c>
      <c r="C609" s="3" t="s">
        <v>41</v>
      </c>
      <c r="D609" s="3" t="s">
        <v>49</v>
      </c>
      <c r="E609" s="3" t="s">
        <v>50</v>
      </c>
      <c r="F609" s="3" t="s">
        <v>25</v>
      </c>
      <c r="G609" s="3" t="s">
        <v>25</v>
      </c>
      <c r="H609" s="3" t="s">
        <v>35</v>
      </c>
      <c r="I609" s="6">
        <v>44652</v>
      </c>
      <c r="J609" s="4">
        <v>0</v>
      </c>
      <c r="K609" s="4">
        <v>0</v>
      </c>
      <c r="L609" s="4">
        <v>785.90200000000004</v>
      </c>
      <c r="M609" s="4">
        <v>738.74788000000001</v>
      </c>
      <c r="N609" s="4">
        <v>785.90200000000004</v>
      </c>
      <c r="O609" s="4">
        <v>738.74788000000001</v>
      </c>
      <c r="P609" s="4">
        <v>0</v>
      </c>
      <c r="Q609" s="3" t="s">
        <v>26</v>
      </c>
      <c r="R609" s="3">
        <v>0</v>
      </c>
      <c r="S609" s="3" t="s">
        <v>121</v>
      </c>
      <c r="T609" s="3" t="s">
        <v>347</v>
      </c>
      <c r="U609" s="3">
        <v>0</v>
      </c>
      <c r="V609" s="3">
        <v>31</v>
      </c>
      <c r="W609" s="3">
        <v>59</v>
      </c>
    </row>
    <row r="610" spans="1:23" ht="11.25" customHeight="1" x14ac:dyDescent="0.25">
      <c r="A610" s="3" t="s">
        <v>21</v>
      </c>
      <c r="B610" s="3" t="s">
        <v>39</v>
      </c>
      <c r="C610" s="3" t="s">
        <v>41</v>
      </c>
      <c r="D610" s="3" t="s">
        <v>49</v>
      </c>
      <c r="E610" s="3" t="s">
        <v>50</v>
      </c>
      <c r="F610" s="3" t="s">
        <v>25</v>
      </c>
      <c r="G610" s="3" t="s">
        <v>25</v>
      </c>
      <c r="H610" s="3" t="s">
        <v>35</v>
      </c>
      <c r="I610" s="6">
        <v>44682</v>
      </c>
      <c r="J610" s="4">
        <v>0</v>
      </c>
      <c r="K610" s="4">
        <v>0</v>
      </c>
      <c r="L610" s="4">
        <v>795.62699999999995</v>
      </c>
      <c r="M610" s="4">
        <v>747.88937999999996</v>
      </c>
      <c r="N610" s="4">
        <v>795.62699999999995</v>
      </c>
      <c r="O610" s="4">
        <v>747.88937999999996</v>
      </c>
      <c r="P610" s="4">
        <v>0</v>
      </c>
      <c r="Q610" s="3" t="s">
        <v>26</v>
      </c>
      <c r="R610" s="3">
        <v>0</v>
      </c>
      <c r="S610" s="3" t="s">
        <v>122</v>
      </c>
      <c r="T610" s="3" t="s">
        <v>348</v>
      </c>
      <c r="U610" s="3">
        <v>0</v>
      </c>
      <c r="V610" s="3">
        <v>31</v>
      </c>
      <c r="W610" s="3">
        <v>59</v>
      </c>
    </row>
    <row r="611" spans="1:23" ht="11.25" customHeight="1" x14ac:dyDescent="0.25">
      <c r="A611" s="3" t="s">
        <v>21</v>
      </c>
      <c r="B611" s="3" t="s">
        <v>39</v>
      </c>
      <c r="C611" s="3" t="s">
        <v>41</v>
      </c>
      <c r="D611" s="3" t="s">
        <v>49</v>
      </c>
      <c r="E611" s="3" t="s">
        <v>50</v>
      </c>
      <c r="F611" s="3" t="s">
        <v>25</v>
      </c>
      <c r="G611" s="3" t="s">
        <v>25</v>
      </c>
      <c r="H611" s="3" t="s">
        <v>35</v>
      </c>
      <c r="I611" s="6">
        <v>44713</v>
      </c>
      <c r="J611" s="4">
        <v>0</v>
      </c>
      <c r="K611" s="4">
        <v>0</v>
      </c>
      <c r="L611" s="4">
        <v>766.27700000000004</v>
      </c>
      <c r="M611" s="4">
        <v>720.30038000000002</v>
      </c>
      <c r="N611" s="4">
        <v>766.27700000000004</v>
      </c>
      <c r="O611" s="4">
        <v>720.30038000000002</v>
      </c>
      <c r="P611" s="4">
        <v>0</v>
      </c>
      <c r="Q611" s="3" t="s">
        <v>26</v>
      </c>
      <c r="R611" s="3">
        <v>0</v>
      </c>
      <c r="S611" s="3" t="s">
        <v>123</v>
      </c>
      <c r="T611" s="3" t="s">
        <v>349</v>
      </c>
      <c r="U611" s="3">
        <v>0</v>
      </c>
      <c r="V611" s="3">
        <v>31</v>
      </c>
      <c r="W611" s="3">
        <v>59</v>
      </c>
    </row>
    <row r="612" spans="1:23" ht="11.25" customHeight="1" x14ac:dyDescent="0.25">
      <c r="A612" s="3" t="s">
        <v>21</v>
      </c>
      <c r="B612" s="3" t="s">
        <v>39</v>
      </c>
      <c r="C612" s="3" t="s">
        <v>41</v>
      </c>
      <c r="D612" s="3" t="s">
        <v>49</v>
      </c>
      <c r="E612" s="3" t="s">
        <v>50</v>
      </c>
      <c r="F612" s="3" t="s">
        <v>25</v>
      </c>
      <c r="G612" s="3" t="s">
        <v>25</v>
      </c>
      <c r="H612" s="3" t="s">
        <v>35</v>
      </c>
      <c r="I612" s="6">
        <v>44743</v>
      </c>
      <c r="J612" s="4">
        <v>0</v>
      </c>
      <c r="K612" s="4">
        <v>0</v>
      </c>
      <c r="L612" s="4">
        <v>777.91300000000001</v>
      </c>
      <c r="M612" s="4">
        <v>731.23821999999996</v>
      </c>
      <c r="N612" s="4">
        <v>777.91300000000001</v>
      </c>
      <c r="O612" s="4">
        <v>731.23821999999996</v>
      </c>
      <c r="P612" s="4">
        <v>0</v>
      </c>
      <c r="Q612" s="3" t="s">
        <v>26</v>
      </c>
      <c r="R612" s="3">
        <v>0</v>
      </c>
      <c r="S612" s="3" t="s">
        <v>124</v>
      </c>
      <c r="T612" s="3" t="s">
        <v>350</v>
      </c>
      <c r="U612" s="3">
        <v>0</v>
      </c>
      <c r="V612" s="3">
        <v>31</v>
      </c>
      <c r="W612" s="3">
        <v>59</v>
      </c>
    </row>
    <row r="613" spans="1:23" ht="11.25" customHeight="1" x14ac:dyDescent="0.25">
      <c r="A613" s="3" t="s">
        <v>21</v>
      </c>
      <c r="B613" s="3" t="s">
        <v>39</v>
      </c>
      <c r="C613" s="3" t="s">
        <v>41</v>
      </c>
      <c r="D613" s="3" t="s">
        <v>49</v>
      </c>
      <c r="E613" s="3" t="s">
        <v>50</v>
      </c>
      <c r="F613" s="3" t="s">
        <v>25</v>
      </c>
      <c r="G613" s="3" t="s">
        <v>25</v>
      </c>
      <c r="H613" s="3" t="s">
        <v>35</v>
      </c>
      <c r="I613" s="6">
        <v>44774</v>
      </c>
      <c r="J613" s="4">
        <v>0</v>
      </c>
      <c r="K613" s="4">
        <v>0</v>
      </c>
      <c r="L613" s="4">
        <v>751.85199999999998</v>
      </c>
      <c r="M613" s="4">
        <v>706.74087999999995</v>
      </c>
      <c r="N613" s="4">
        <v>751.85199999999998</v>
      </c>
      <c r="O613" s="4">
        <v>706.74087999999995</v>
      </c>
      <c r="P613" s="4">
        <v>0</v>
      </c>
      <c r="Q613" s="3" t="s">
        <v>26</v>
      </c>
      <c r="R613" s="3">
        <v>0</v>
      </c>
      <c r="S613" s="3" t="s">
        <v>125</v>
      </c>
      <c r="T613" s="3" t="s">
        <v>351</v>
      </c>
      <c r="U613" s="3">
        <v>0</v>
      </c>
      <c r="V613" s="3">
        <v>31</v>
      </c>
      <c r="W613" s="3">
        <v>59</v>
      </c>
    </row>
    <row r="614" spans="1:23" ht="11.25" customHeight="1" x14ac:dyDescent="0.25">
      <c r="A614" s="3" t="s">
        <v>21</v>
      </c>
      <c r="B614" s="3" t="s">
        <v>39</v>
      </c>
      <c r="C614" s="3" t="s">
        <v>41</v>
      </c>
      <c r="D614" s="3" t="s">
        <v>49</v>
      </c>
      <c r="E614" s="3" t="s">
        <v>50</v>
      </c>
      <c r="F614" s="3" t="s">
        <v>25</v>
      </c>
      <c r="G614" s="3" t="s">
        <v>25</v>
      </c>
      <c r="H614" s="3" t="s">
        <v>35</v>
      </c>
      <c r="I614" s="6">
        <v>44805</v>
      </c>
      <c r="J614" s="4">
        <v>0</v>
      </c>
      <c r="K614" s="4">
        <v>0</v>
      </c>
      <c r="L614" s="4">
        <v>748.60699999999997</v>
      </c>
      <c r="M614" s="4">
        <v>703.69057999999995</v>
      </c>
      <c r="N614" s="4">
        <v>748.60699999999997</v>
      </c>
      <c r="O614" s="4">
        <v>703.69057999999995</v>
      </c>
      <c r="P614" s="4">
        <v>0</v>
      </c>
      <c r="Q614" s="3" t="s">
        <v>26</v>
      </c>
      <c r="R614" s="3">
        <v>0</v>
      </c>
      <c r="S614" s="3" t="s">
        <v>126</v>
      </c>
      <c r="T614" s="3" t="s">
        <v>352</v>
      </c>
      <c r="U614" s="3">
        <v>0</v>
      </c>
      <c r="V614" s="3">
        <v>31</v>
      </c>
      <c r="W614" s="3">
        <v>59</v>
      </c>
    </row>
    <row r="615" spans="1:23" ht="11.25" customHeight="1" x14ac:dyDescent="0.25">
      <c r="A615" s="3" t="s">
        <v>55</v>
      </c>
      <c r="B615" s="3" t="s">
        <v>39</v>
      </c>
      <c r="C615" s="3" t="s">
        <v>41</v>
      </c>
      <c r="D615" s="3" t="s">
        <v>49</v>
      </c>
      <c r="E615" s="3" t="s">
        <v>50</v>
      </c>
      <c r="F615" s="3" t="s">
        <v>25</v>
      </c>
      <c r="G615" s="3" t="s">
        <v>25</v>
      </c>
      <c r="H615" s="3" t="s">
        <v>35</v>
      </c>
      <c r="I615" s="6">
        <v>44835</v>
      </c>
      <c r="J615" s="4">
        <v>0</v>
      </c>
      <c r="K615" s="4">
        <v>0</v>
      </c>
      <c r="L615" s="4">
        <v>748.60699999999997</v>
      </c>
      <c r="M615" s="4">
        <v>703.69057999999995</v>
      </c>
      <c r="N615" s="4">
        <v>748.60699999999997</v>
      </c>
      <c r="O615" s="4">
        <v>703.69057999999995</v>
      </c>
      <c r="P615" s="4">
        <v>0</v>
      </c>
      <c r="Q615" s="3" t="s">
        <v>26</v>
      </c>
      <c r="R615" s="3">
        <v>0</v>
      </c>
      <c r="S615" s="3" t="s">
        <v>127</v>
      </c>
      <c r="T615" s="3" t="s">
        <v>353</v>
      </c>
      <c r="U615" s="3">
        <v>0</v>
      </c>
      <c r="V615" s="3">
        <v>31</v>
      </c>
      <c r="W615" s="3">
        <v>59</v>
      </c>
    </row>
    <row r="616" spans="1:23" ht="11.25" customHeight="1" x14ac:dyDescent="0.25">
      <c r="A616" s="3" t="s">
        <v>21</v>
      </c>
      <c r="B616" s="3" t="s">
        <v>39</v>
      </c>
      <c r="C616" s="3" t="s">
        <v>41</v>
      </c>
      <c r="D616" s="3" t="s">
        <v>49</v>
      </c>
      <c r="E616" s="3" t="s">
        <v>50</v>
      </c>
      <c r="F616" s="3" t="s">
        <v>25</v>
      </c>
      <c r="G616" s="3" t="s">
        <v>25</v>
      </c>
      <c r="H616" s="3" t="s">
        <v>25</v>
      </c>
      <c r="I616" s="6">
        <v>44501</v>
      </c>
      <c r="J616" s="4">
        <v>3540</v>
      </c>
      <c r="K616" s="4">
        <v>3327.6</v>
      </c>
      <c r="L616" s="4">
        <v>0</v>
      </c>
      <c r="M616" s="4">
        <v>0</v>
      </c>
      <c r="N616" s="4">
        <v>0</v>
      </c>
      <c r="O616" s="4">
        <v>0</v>
      </c>
      <c r="P616" s="4">
        <v>28</v>
      </c>
      <c r="Q616" s="3" t="s">
        <v>26</v>
      </c>
      <c r="R616" s="3">
        <v>0</v>
      </c>
      <c r="S616" s="3" t="s">
        <v>128</v>
      </c>
      <c r="U616" s="3">
        <v>18</v>
      </c>
      <c r="V616" s="3">
        <v>0</v>
      </c>
      <c r="W616" s="3">
        <v>0</v>
      </c>
    </row>
    <row r="617" spans="1:23" ht="11.25" customHeight="1" x14ac:dyDescent="0.25">
      <c r="A617" s="3" t="s">
        <v>21</v>
      </c>
      <c r="B617" s="3" t="s">
        <v>39</v>
      </c>
      <c r="C617" s="3" t="s">
        <v>41</v>
      </c>
      <c r="D617" s="3" t="s">
        <v>49</v>
      </c>
      <c r="E617" s="3" t="s">
        <v>50</v>
      </c>
      <c r="F617" s="3" t="s">
        <v>25</v>
      </c>
      <c r="G617" s="3" t="s">
        <v>25</v>
      </c>
      <c r="H617" s="3" t="s">
        <v>25</v>
      </c>
      <c r="I617" s="6">
        <v>44531</v>
      </c>
      <c r="J617" s="4">
        <v>3535</v>
      </c>
      <c r="K617" s="4">
        <v>3322.8999999999996</v>
      </c>
      <c r="L617" s="4">
        <v>0</v>
      </c>
      <c r="M617" s="4">
        <v>0</v>
      </c>
      <c r="N617" s="4">
        <v>0</v>
      </c>
      <c r="O617" s="4">
        <v>0</v>
      </c>
      <c r="P617" s="4">
        <v>28</v>
      </c>
      <c r="Q617" s="3" t="s">
        <v>26</v>
      </c>
      <c r="R617" s="3">
        <v>0</v>
      </c>
      <c r="S617" s="3" t="s">
        <v>129</v>
      </c>
      <c r="U617" s="3">
        <v>18</v>
      </c>
      <c r="V617" s="3">
        <v>0</v>
      </c>
      <c r="W617" s="3">
        <v>0</v>
      </c>
    </row>
    <row r="618" spans="1:23" ht="11.25" customHeight="1" x14ac:dyDescent="0.25">
      <c r="A618" s="3" t="s">
        <v>21</v>
      </c>
      <c r="B618" s="3" t="s">
        <v>39</v>
      </c>
      <c r="C618" s="3" t="s">
        <v>41</v>
      </c>
      <c r="D618" s="3" t="s">
        <v>49</v>
      </c>
      <c r="E618" s="3" t="s">
        <v>50</v>
      </c>
      <c r="F618" s="3" t="s">
        <v>25</v>
      </c>
      <c r="G618" s="3" t="s">
        <v>25</v>
      </c>
      <c r="H618" s="3" t="s">
        <v>25</v>
      </c>
      <c r="I618" s="6">
        <v>44562</v>
      </c>
      <c r="J618" s="4">
        <v>3535</v>
      </c>
      <c r="K618" s="4">
        <v>3322.8999999999996</v>
      </c>
      <c r="L618" s="4">
        <v>0</v>
      </c>
      <c r="M618" s="4">
        <v>0</v>
      </c>
      <c r="N618" s="4">
        <v>0</v>
      </c>
      <c r="O618" s="4">
        <v>0</v>
      </c>
      <c r="P618" s="4">
        <v>28</v>
      </c>
      <c r="Q618" s="3" t="s">
        <v>26</v>
      </c>
      <c r="R618" s="3">
        <v>0</v>
      </c>
      <c r="S618" s="3" t="s">
        <v>130</v>
      </c>
      <c r="U618" s="3">
        <v>18</v>
      </c>
      <c r="V618" s="3">
        <v>0</v>
      </c>
      <c r="W618" s="3">
        <v>0</v>
      </c>
    </row>
    <row r="619" spans="1:23" ht="11.25" customHeight="1" x14ac:dyDescent="0.25">
      <c r="A619" s="3" t="s">
        <v>21</v>
      </c>
      <c r="B619" s="3" t="s">
        <v>39</v>
      </c>
      <c r="C619" s="3" t="s">
        <v>41</v>
      </c>
      <c r="D619" s="3" t="s">
        <v>49</v>
      </c>
      <c r="E619" s="3" t="s">
        <v>50</v>
      </c>
      <c r="F619" s="3" t="s">
        <v>25</v>
      </c>
      <c r="G619" s="3" t="s">
        <v>25</v>
      </c>
      <c r="H619" s="3" t="s">
        <v>25</v>
      </c>
      <c r="I619" s="6">
        <v>44593</v>
      </c>
      <c r="J619" s="4">
        <v>3545</v>
      </c>
      <c r="K619" s="4">
        <v>3332.2999999999997</v>
      </c>
      <c r="L619" s="4">
        <v>0</v>
      </c>
      <c r="M619" s="4">
        <v>0</v>
      </c>
      <c r="N619" s="4">
        <v>0</v>
      </c>
      <c r="O619" s="4">
        <v>0</v>
      </c>
      <c r="P619" s="4">
        <v>28</v>
      </c>
      <c r="Q619" s="3" t="s">
        <v>26</v>
      </c>
      <c r="R619" s="3">
        <v>0</v>
      </c>
      <c r="S619" s="3" t="s">
        <v>131</v>
      </c>
      <c r="U619" s="3">
        <v>18</v>
      </c>
      <c r="V619" s="3">
        <v>0</v>
      </c>
      <c r="W619" s="3">
        <v>0</v>
      </c>
    </row>
    <row r="620" spans="1:23" ht="11.25" customHeight="1" x14ac:dyDescent="0.25">
      <c r="A620" s="3" t="s">
        <v>21</v>
      </c>
      <c r="B620" s="3" t="s">
        <v>39</v>
      </c>
      <c r="C620" s="3" t="s">
        <v>41</v>
      </c>
      <c r="D620" s="3" t="s">
        <v>49</v>
      </c>
      <c r="E620" s="3" t="s">
        <v>50</v>
      </c>
      <c r="F620" s="3" t="s">
        <v>25</v>
      </c>
      <c r="G620" s="3" t="s">
        <v>25</v>
      </c>
      <c r="H620" s="3" t="s">
        <v>25</v>
      </c>
      <c r="I620" s="6">
        <v>44621</v>
      </c>
      <c r="J620" s="4">
        <v>3562</v>
      </c>
      <c r="K620" s="4">
        <v>3348.2799999999997</v>
      </c>
      <c r="L620" s="4">
        <v>0</v>
      </c>
      <c r="M620" s="4">
        <v>0</v>
      </c>
      <c r="N620" s="4">
        <v>0</v>
      </c>
      <c r="O620" s="4">
        <v>0</v>
      </c>
      <c r="P620" s="4">
        <v>28</v>
      </c>
      <c r="Q620" s="3" t="s">
        <v>26</v>
      </c>
      <c r="R620" s="3">
        <v>0</v>
      </c>
      <c r="S620" s="3" t="s">
        <v>132</v>
      </c>
      <c r="U620" s="3">
        <v>18</v>
      </c>
      <c r="V620" s="3">
        <v>0</v>
      </c>
      <c r="W620" s="3">
        <v>0</v>
      </c>
    </row>
    <row r="621" spans="1:23" ht="11.25" customHeight="1" x14ac:dyDescent="0.25">
      <c r="A621" s="3" t="s">
        <v>21</v>
      </c>
      <c r="B621" s="3" t="s">
        <v>39</v>
      </c>
      <c r="C621" s="3" t="s">
        <v>41</v>
      </c>
      <c r="D621" s="3" t="s">
        <v>49</v>
      </c>
      <c r="E621" s="3" t="s">
        <v>50</v>
      </c>
      <c r="F621" s="3" t="s">
        <v>25</v>
      </c>
      <c r="G621" s="3" t="s">
        <v>25</v>
      </c>
      <c r="H621" s="3" t="s">
        <v>25</v>
      </c>
      <c r="I621" s="6">
        <v>44652</v>
      </c>
      <c r="J621" s="4">
        <v>3562</v>
      </c>
      <c r="K621" s="4">
        <v>3348.2799999999997</v>
      </c>
      <c r="L621" s="4">
        <v>0</v>
      </c>
      <c r="M621" s="4">
        <v>0</v>
      </c>
      <c r="N621" s="4">
        <v>0</v>
      </c>
      <c r="O621" s="4">
        <v>0</v>
      </c>
      <c r="P621" s="4">
        <v>28</v>
      </c>
      <c r="Q621" s="3" t="s">
        <v>26</v>
      </c>
      <c r="R621" s="3">
        <v>0</v>
      </c>
      <c r="S621" s="3" t="s">
        <v>133</v>
      </c>
      <c r="U621" s="3">
        <v>18</v>
      </c>
      <c r="V621" s="3">
        <v>0</v>
      </c>
      <c r="W621" s="3">
        <v>0</v>
      </c>
    </row>
    <row r="622" spans="1:23" ht="11.25" customHeight="1" x14ac:dyDescent="0.25">
      <c r="A622" s="3" t="s">
        <v>21</v>
      </c>
      <c r="B622" s="3" t="s">
        <v>39</v>
      </c>
      <c r="C622" s="3" t="s">
        <v>41</v>
      </c>
      <c r="D622" s="3" t="s">
        <v>49</v>
      </c>
      <c r="E622" s="3" t="s">
        <v>50</v>
      </c>
      <c r="F622" s="3" t="s">
        <v>25</v>
      </c>
      <c r="G622" s="3" t="s">
        <v>25</v>
      </c>
      <c r="H622" s="3" t="s">
        <v>25</v>
      </c>
      <c r="I622" s="6">
        <v>44682</v>
      </c>
      <c r="J622" s="4">
        <v>4028</v>
      </c>
      <c r="K622" s="4">
        <v>3786.3199999999997</v>
      </c>
      <c r="L622" s="4">
        <v>0</v>
      </c>
      <c r="M622" s="4">
        <v>0</v>
      </c>
      <c r="N622" s="4">
        <v>0</v>
      </c>
      <c r="O622" s="4">
        <v>0</v>
      </c>
      <c r="P622" s="4">
        <v>30</v>
      </c>
      <c r="Q622" s="3" t="s">
        <v>26</v>
      </c>
      <c r="R622" s="3">
        <v>0</v>
      </c>
      <c r="S622" s="3" t="s">
        <v>134</v>
      </c>
      <c r="U622" s="3">
        <v>18</v>
      </c>
      <c r="V622" s="3">
        <v>0</v>
      </c>
      <c r="W622" s="3">
        <v>0</v>
      </c>
    </row>
    <row r="623" spans="1:23" ht="11.25" customHeight="1" x14ac:dyDescent="0.25">
      <c r="A623" s="3" t="s">
        <v>21</v>
      </c>
      <c r="B623" s="3" t="s">
        <v>39</v>
      </c>
      <c r="C623" s="3" t="s">
        <v>41</v>
      </c>
      <c r="D623" s="3" t="s">
        <v>49</v>
      </c>
      <c r="E623" s="3" t="s">
        <v>50</v>
      </c>
      <c r="F623" s="3" t="s">
        <v>25</v>
      </c>
      <c r="G623" s="3" t="s">
        <v>25</v>
      </c>
      <c r="H623" s="3" t="s">
        <v>25</v>
      </c>
      <c r="I623" s="6">
        <v>44713</v>
      </c>
      <c r="J623" s="4">
        <v>3612</v>
      </c>
      <c r="K623" s="4">
        <v>3395.2799999999997</v>
      </c>
      <c r="L623" s="4">
        <v>0</v>
      </c>
      <c r="M623" s="4">
        <v>0</v>
      </c>
      <c r="N623" s="4">
        <v>0</v>
      </c>
      <c r="O623" s="4">
        <v>0</v>
      </c>
      <c r="P623" s="4">
        <v>30</v>
      </c>
      <c r="Q623" s="3" t="s">
        <v>26</v>
      </c>
      <c r="R623" s="3">
        <v>0</v>
      </c>
      <c r="S623" s="3" t="s">
        <v>135</v>
      </c>
      <c r="U623" s="3">
        <v>18</v>
      </c>
      <c r="V623" s="3">
        <v>0</v>
      </c>
      <c r="W623" s="3">
        <v>0</v>
      </c>
    </row>
    <row r="624" spans="1:23" ht="11.25" customHeight="1" x14ac:dyDescent="0.25">
      <c r="A624" s="3" t="s">
        <v>27</v>
      </c>
      <c r="B624" s="3" t="s">
        <v>39</v>
      </c>
      <c r="C624" s="3" t="s">
        <v>41</v>
      </c>
      <c r="D624" s="3" t="s">
        <v>49</v>
      </c>
      <c r="E624" s="3" t="s">
        <v>50</v>
      </c>
      <c r="F624" s="3" t="s">
        <v>25</v>
      </c>
      <c r="G624" s="3" t="s">
        <v>25</v>
      </c>
      <c r="H624" s="3" t="s">
        <v>25</v>
      </c>
      <c r="I624" s="6">
        <v>44713</v>
      </c>
      <c r="J624" s="4">
        <v>-420</v>
      </c>
      <c r="K624" s="4">
        <v>-394.79999999999995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3" t="s">
        <v>26</v>
      </c>
      <c r="R624" s="3">
        <v>0</v>
      </c>
      <c r="S624" s="3" t="s">
        <v>135</v>
      </c>
      <c r="U624" s="3">
        <v>18</v>
      </c>
      <c r="V624" s="3">
        <v>0</v>
      </c>
      <c r="W624" s="3">
        <v>0</v>
      </c>
    </row>
    <row r="625" spans="1:23" ht="11.25" customHeight="1" x14ac:dyDescent="0.25">
      <c r="A625" s="3" t="s">
        <v>21</v>
      </c>
      <c r="B625" s="3" t="s">
        <v>39</v>
      </c>
      <c r="C625" s="3" t="s">
        <v>41</v>
      </c>
      <c r="D625" s="3" t="s">
        <v>49</v>
      </c>
      <c r="E625" s="3" t="s">
        <v>50</v>
      </c>
      <c r="F625" s="3" t="s">
        <v>25</v>
      </c>
      <c r="G625" s="3" t="s">
        <v>25</v>
      </c>
      <c r="H625" s="3" t="s">
        <v>25</v>
      </c>
      <c r="I625" s="6">
        <v>44743</v>
      </c>
      <c r="J625" s="4">
        <v>3611</v>
      </c>
      <c r="K625" s="4">
        <v>3394.3399999999997</v>
      </c>
      <c r="L625" s="4">
        <v>0</v>
      </c>
      <c r="M625" s="4">
        <v>0</v>
      </c>
      <c r="N625" s="4">
        <v>0</v>
      </c>
      <c r="O625" s="4">
        <v>0</v>
      </c>
      <c r="P625" s="4">
        <v>30</v>
      </c>
      <c r="Q625" s="3" t="s">
        <v>26</v>
      </c>
      <c r="R625" s="3">
        <v>0</v>
      </c>
      <c r="S625" s="3" t="s">
        <v>136</v>
      </c>
      <c r="U625" s="3">
        <v>18</v>
      </c>
      <c r="V625" s="3">
        <v>0</v>
      </c>
      <c r="W625" s="3">
        <v>0</v>
      </c>
    </row>
    <row r="626" spans="1:23" ht="11.25" customHeight="1" x14ac:dyDescent="0.25">
      <c r="A626" s="3" t="s">
        <v>21</v>
      </c>
      <c r="B626" s="3" t="s">
        <v>39</v>
      </c>
      <c r="C626" s="3" t="s">
        <v>41</v>
      </c>
      <c r="D626" s="3" t="s">
        <v>49</v>
      </c>
      <c r="E626" s="3" t="s">
        <v>50</v>
      </c>
      <c r="F626" s="3" t="s">
        <v>25</v>
      </c>
      <c r="G626" s="3" t="s">
        <v>25</v>
      </c>
      <c r="H626" s="3" t="s">
        <v>25</v>
      </c>
      <c r="I626" s="6">
        <v>44774</v>
      </c>
      <c r="J626" s="4">
        <v>3617</v>
      </c>
      <c r="K626" s="4">
        <v>3399.98</v>
      </c>
      <c r="L626" s="4">
        <v>0</v>
      </c>
      <c r="M626" s="4">
        <v>0</v>
      </c>
      <c r="N626" s="4">
        <v>0</v>
      </c>
      <c r="O626" s="4">
        <v>0</v>
      </c>
      <c r="P626" s="4">
        <v>30</v>
      </c>
      <c r="Q626" s="3" t="s">
        <v>26</v>
      </c>
      <c r="R626" s="3">
        <v>0</v>
      </c>
      <c r="S626" s="3" t="s">
        <v>137</v>
      </c>
      <c r="U626" s="3">
        <v>18</v>
      </c>
      <c r="V626" s="3">
        <v>0</v>
      </c>
      <c r="W626" s="3">
        <v>0</v>
      </c>
    </row>
    <row r="627" spans="1:23" ht="11.25" customHeight="1" x14ac:dyDescent="0.25">
      <c r="A627" s="3" t="s">
        <v>21</v>
      </c>
      <c r="B627" s="3" t="s">
        <v>39</v>
      </c>
      <c r="C627" s="3" t="s">
        <v>41</v>
      </c>
      <c r="D627" s="3" t="s">
        <v>49</v>
      </c>
      <c r="E627" s="3" t="s">
        <v>50</v>
      </c>
      <c r="F627" s="3" t="s">
        <v>25</v>
      </c>
      <c r="G627" s="3" t="s">
        <v>25</v>
      </c>
      <c r="H627" s="3" t="s">
        <v>25</v>
      </c>
      <c r="I627" s="6">
        <v>44805</v>
      </c>
      <c r="J627" s="4">
        <v>3633</v>
      </c>
      <c r="K627" s="4">
        <v>3415.02</v>
      </c>
      <c r="L627" s="4">
        <v>0</v>
      </c>
      <c r="M627" s="4">
        <v>0</v>
      </c>
      <c r="N627" s="4">
        <v>0</v>
      </c>
      <c r="O627" s="4">
        <v>0</v>
      </c>
      <c r="P627" s="4">
        <v>30</v>
      </c>
      <c r="Q627" s="3" t="s">
        <v>26</v>
      </c>
      <c r="R627" s="3">
        <v>0</v>
      </c>
      <c r="S627" s="3" t="s">
        <v>138</v>
      </c>
      <c r="U627" s="3">
        <v>18</v>
      </c>
      <c r="V627" s="3">
        <v>0</v>
      </c>
      <c r="W627" s="3">
        <v>0</v>
      </c>
    </row>
    <row r="628" spans="1:23" ht="11.25" customHeight="1" x14ac:dyDescent="0.25">
      <c r="A628" s="3" t="s">
        <v>55</v>
      </c>
      <c r="B628" s="3" t="s">
        <v>39</v>
      </c>
      <c r="C628" s="3" t="s">
        <v>41</v>
      </c>
      <c r="D628" s="3" t="s">
        <v>49</v>
      </c>
      <c r="E628" s="3" t="s">
        <v>50</v>
      </c>
      <c r="F628" s="3" t="s">
        <v>25</v>
      </c>
      <c r="G628" s="3" t="s">
        <v>25</v>
      </c>
      <c r="H628" s="3" t="s">
        <v>25</v>
      </c>
      <c r="I628" s="6">
        <v>44835</v>
      </c>
      <c r="J628" s="4">
        <v>3633</v>
      </c>
      <c r="K628" s="4">
        <v>3415.02</v>
      </c>
      <c r="L628" s="4">
        <v>0</v>
      </c>
      <c r="M628" s="4">
        <v>0</v>
      </c>
      <c r="N628" s="4">
        <v>0</v>
      </c>
      <c r="O628" s="4">
        <v>0</v>
      </c>
      <c r="P628" s="4">
        <v>30</v>
      </c>
      <c r="Q628" s="3" t="s">
        <v>26</v>
      </c>
      <c r="R628" s="3">
        <v>0</v>
      </c>
      <c r="S628" s="3" t="s">
        <v>139</v>
      </c>
      <c r="U628" s="3">
        <v>18</v>
      </c>
      <c r="V628" s="3">
        <v>0</v>
      </c>
      <c r="W628" s="3">
        <v>0</v>
      </c>
    </row>
    <row r="629" spans="1:23" ht="11.25" customHeight="1" x14ac:dyDescent="0.25">
      <c r="A629" s="3" t="s">
        <v>21</v>
      </c>
      <c r="B629" s="3" t="s">
        <v>39</v>
      </c>
      <c r="C629" s="3" t="s">
        <v>41</v>
      </c>
      <c r="D629" s="3" t="s">
        <v>49</v>
      </c>
      <c r="E629" s="3" t="s">
        <v>50</v>
      </c>
      <c r="F629" s="3" t="s">
        <v>25</v>
      </c>
      <c r="G629" s="3" t="s">
        <v>25</v>
      </c>
      <c r="H629" s="3" t="s">
        <v>34</v>
      </c>
      <c r="I629" s="6">
        <v>44501</v>
      </c>
      <c r="J629" s="4">
        <v>0</v>
      </c>
      <c r="K629" s="4">
        <v>0</v>
      </c>
      <c r="L629" s="4">
        <v>70.024000000000001</v>
      </c>
      <c r="M629" s="4">
        <v>65.822559999999996</v>
      </c>
      <c r="N629" s="4">
        <v>70.024000000000001</v>
      </c>
      <c r="O629" s="4">
        <v>65.822559999999996</v>
      </c>
      <c r="P629" s="4">
        <v>0</v>
      </c>
      <c r="Q629" s="3" t="s">
        <v>26</v>
      </c>
      <c r="R629" s="3">
        <v>0</v>
      </c>
      <c r="S629" s="3" t="s">
        <v>140</v>
      </c>
      <c r="T629" s="3" t="s">
        <v>354</v>
      </c>
      <c r="U629" s="3">
        <v>0</v>
      </c>
      <c r="V629" s="3">
        <v>11</v>
      </c>
      <c r="W629" s="3">
        <v>71</v>
      </c>
    </row>
    <row r="630" spans="1:23" ht="11.25" customHeight="1" x14ac:dyDescent="0.25">
      <c r="A630" s="3" t="s">
        <v>21</v>
      </c>
      <c r="B630" s="3" t="s">
        <v>39</v>
      </c>
      <c r="C630" s="3" t="s">
        <v>41</v>
      </c>
      <c r="D630" s="3" t="s">
        <v>49</v>
      </c>
      <c r="E630" s="3" t="s">
        <v>50</v>
      </c>
      <c r="F630" s="3" t="s">
        <v>25</v>
      </c>
      <c r="G630" s="3" t="s">
        <v>25</v>
      </c>
      <c r="H630" s="3" t="s">
        <v>34</v>
      </c>
      <c r="I630" s="6">
        <v>44531</v>
      </c>
      <c r="J630" s="4">
        <v>0</v>
      </c>
      <c r="K630" s="4">
        <v>0</v>
      </c>
      <c r="L630" s="4">
        <v>76.138000000000005</v>
      </c>
      <c r="M630" s="4">
        <v>71.569720000000004</v>
      </c>
      <c r="N630" s="4">
        <v>76.138000000000005</v>
      </c>
      <c r="O630" s="4">
        <v>71.569720000000004</v>
      </c>
      <c r="P630" s="4">
        <v>0</v>
      </c>
      <c r="Q630" s="3" t="s">
        <v>26</v>
      </c>
      <c r="R630" s="3">
        <v>0</v>
      </c>
      <c r="S630" s="3" t="s">
        <v>141</v>
      </c>
      <c r="T630" s="3" t="s">
        <v>355</v>
      </c>
      <c r="U630" s="3">
        <v>0</v>
      </c>
      <c r="V630" s="3">
        <v>11</v>
      </c>
      <c r="W630" s="3">
        <v>71</v>
      </c>
    </row>
    <row r="631" spans="1:23" ht="11.25" customHeight="1" x14ac:dyDescent="0.25">
      <c r="A631" s="3" t="s">
        <v>21</v>
      </c>
      <c r="B631" s="3" t="s">
        <v>39</v>
      </c>
      <c r="C631" s="3" t="s">
        <v>41</v>
      </c>
      <c r="D631" s="3" t="s">
        <v>49</v>
      </c>
      <c r="E631" s="3" t="s">
        <v>50</v>
      </c>
      <c r="F631" s="3" t="s">
        <v>25</v>
      </c>
      <c r="G631" s="3" t="s">
        <v>25</v>
      </c>
      <c r="H631" s="3" t="s">
        <v>34</v>
      </c>
      <c r="I631" s="6">
        <v>44562</v>
      </c>
      <c r="J631" s="4">
        <v>0</v>
      </c>
      <c r="K631" s="4">
        <v>0</v>
      </c>
      <c r="L631" s="4">
        <v>69.722999999999999</v>
      </c>
      <c r="M631" s="4">
        <v>65.539619999999999</v>
      </c>
      <c r="N631" s="4">
        <v>69.722999999999999</v>
      </c>
      <c r="O631" s="4">
        <v>65.539619999999999</v>
      </c>
      <c r="P631" s="4">
        <v>0</v>
      </c>
      <c r="Q631" s="3" t="s">
        <v>26</v>
      </c>
      <c r="R631" s="3">
        <v>0</v>
      </c>
      <c r="S631" s="3" t="s">
        <v>142</v>
      </c>
      <c r="T631" s="3" t="s">
        <v>356</v>
      </c>
      <c r="U631" s="3">
        <v>0</v>
      </c>
      <c r="V631" s="3">
        <v>11</v>
      </c>
      <c r="W631" s="3">
        <v>71</v>
      </c>
    </row>
    <row r="632" spans="1:23" ht="11.25" customHeight="1" x14ac:dyDescent="0.25">
      <c r="A632" s="3" t="s">
        <v>21</v>
      </c>
      <c r="B632" s="3" t="s">
        <v>39</v>
      </c>
      <c r="C632" s="3" t="s">
        <v>41</v>
      </c>
      <c r="D632" s="3" t="s">
        <v>49</v>
      </c>
      <c r="E632" s="3" t="s">
        <v>50</v>
      </c>
      <c r="F632" s="3" t="s">
        <v>25</v>
      </c>
      <c r="G632" s="3" t="s">
        <v>25</v>
      </c>
      <c r="H632" s="3" t="s">
        <v>34</v>
      </c>
      <c r="I632" s="6">
        <v>44593</v>
      </c>
      <c r="J632" s="4">
        <v>0</v>
      </c>
      <c r="K632" s="4">
        <v>0</v>
      </c>
      <c r="L632" s="4">
        <v>67.254000000000005</v>
      </c>
      <c r="M632" s="4">
        <v>63.218760000000003</v>
      </c>
      <c r="N632" s="4">
        <v>67.254000000000005</v>
      </c>
      <c r="O632" s="4">
        <v>63.218760000000003</v>
      </c>
      <c r="P632" s="4">
        <v>0</v>
      </c>
      <c r="Q632" s="3" t="s">
        <v>26</v>
      </c>
      <c r="R632" s="3">
        <v>0</v>
      </c>
      <c r="S632" s="3" t="s">
        <v>143</v>
      </c>
      <c r="T632" s="3" t="s">
        <v>357</v>
      </c>
      <c r="U632" s="3">
        <v>0</v>
      </c>
      <c r="V632" s="3">
        <v>11</v>
      </c>
      <c r="W632" s="3">
        <v>71</v>
      </c>
    </row>
    <row r="633" spans="1:23" ht="11.25" customHeight="1" x14ac:dyDescent="0.25">
      <c r="A633" s="3" t="s">
        <v>21</v>
      </c>
      <c r="B633" s="3" t="s">
        <v>39</v>
      </c>
      <c r="C633" s="3" t="s">
        <v>41</v>
      </c>
      <c r="D633" s="3" t="s">
        <v>49</v>
      </c>
      <c r="E633" s="3" t="s">
        <v>50</v>
      </c>
      <c r="F633" s="3" t="s">
        <v>25</v>
      </c>
      <c r="G633" s="3" t="s">
        <v>25</v>
      </c>
      <c r="H633" s="3" t="s">
        <v>34</v>
      </c>
      <c r="I633" s="6">
        <v>44621</v>
      </c>
      <c r="J633" s="4">
        <v>0</v>
      </c>
      <c r="K633" s="4">
        <v>0</v>
      </c>
      <c r="L633" s="4">
        <v>79.739000000000004</v>
      </c>
      <c r="M633" s="4">
        <v>74.954660000000004</v>
      </c>
      <c r="N633" s="4">
        <v>79.739000000000004</v>
      </c>
      <c r="O633" s="4">
        <v>74.954660000000004</v>
      </c>
      <c r="P633" s="4">
        <v>0</v>
      </c>
      <c r="Q633" s="3" t="s">
        <v>26</v>
      </c>
      <c r="R633" s="3">
        <v>0</v>
      </c>
      <c r="S633" s="3" t="s">
        <v>144</v>
      </c>
      <c r="T633" s="3" t="s">
        <v>358</v>
      </c>
      <c r="U633" s="3">
        <v>0</v>
      </c>
      <c r="V633" s="3">
        <v>11</v>
      </c>
      <c r="W633" s="3">
        <v>71</v>
      </c>
    </row>
    <row r="634" spans="1:23" ht="11.25" customHeight="1" x14ac:dyDescent="0.25">
      <c r="A634" s="3" t="s">
        <v>21</v>
      </c>
      <c r="B634" s="3" t="s">
        <v>39</v>
      </c>
      <c r="C634" s="3" t="s">
        <v>41</v>
      </c>
      <c r="D634" s="3" t="s">
        <v>49</v>
      </c>
      <c r="E634" s="3" t="s">
        <v>50</v>
      </c>
      <c r="F634" s="3" t="s">
        <v>25</v>
      </c>
      <c r="G634" s="3" t="s">
        <v>25</v>
      </c>
      <c r="H634" s="3" t="s">
        <v>34</v>
      </c>
      <c r="I634" s="6">
        <v>44652</v>
      </c>
      <c r="J634" s="4">
        <v>0</v>
      </c>
      <c r="K634" s="4">
        <v>0</v>
      </c>
      <c r="L634" s="4">
        <v>79.739000000000004</v>
      </c>
      <c r="M634" s="4">
        <v>74.954660000000004</v>
      </c>
      <c r="N634" s="4">
        <v>79.739000000000004</v>
      </c>
      <c r="O634" s="4">
        <v>74.954660000000004</v>
      </c>
      <c r="P634" s="4">
        <v>0</v>
      </c>
      <c r="Q634" s="3" t="s">
        <v>26</v>
      </c>
      <c r="R634" s="3">
        <v>0</v>
      </c>
      <c r="S634" s="3" t="s">
        <v>145</v>
      </c>
      <c r="T634" s="3" t="s">
        <v>359</v>
      </c>
      <c r="U634" s="3">
        <v>0</v>
      </c>
      <c r="V634" s="3">
        <v>11</v>
      </c>
      <c r="W634" s="3">
        <v>71</v>
      </c>
    </row>
    <row r="635" spans="1:23" ht="11.25" customHeight="1" x14ac:dyDescent="0.25">
      <c r="A635" s="3" t="s">
        <v>21</v>
      </c>
      <c r="B635" s="3" t="s">
        <v>39</v>
      </c>
      <c r="C635" s="3" t="s">
        <v>41</v>
      </c>
      <c r="D635" s="3" t="s">
        <v>49</v>
      </c>
      <c r="E635" s="3" t="s">
        <v>50</v>
      </c>
      <c r="F635" s="3" t="s">
        <v>25</v>
      </c>
      <c r="G635" s="3" t="s">
        <v>25</v>
      </c>
      <c r="H635" s="3" t="s">
        <v>34</v>
      </c>
      <c r="I635" s="6">
        <v>44682</v>
      </c>
      <c r="J635" s="4">
        <v>0</v>
      </c>
      <c r="K635" s="4">
        <v>0</v>
      </c>
      <c r="L635" s="4">
        <v>79.894999999999996</v>
      </c>
      <c r="M635" s="4">
        <v>75.101299999999995</v>
      </c>
      <c r="N635" s="4">
        <v>79.894999999999996</v>
      </c>
      <c r="O635" s="4">
        <v>75.101299999999995</v>
      </c>
      <c r="P635" s="4">
        <v>0</v>
      </c>
      <c r="Q635" s="3" t="s">
        <v>26</v>
      </c>
      <c r="R635" s="3">
        <v>0</v>
      </c>
      <c r="S635" s="3" t="s">
        <v>146</v>
      </c>
      <c r="T635" s="3" t="s">
        <v>360</v>
      </c>
      <c r="U635" s="3">
        <v>0</v>
      </c>
      <c r="V635" s="3">
        <v>11</v>
      </c>
      <c r="W635" s="3">
        <v>71</v>
      </c>
    </row>
    <row r="636" spans="1:23" ht="11.25" customHeight="1" x14ac:dyDescent="0.25">
      <c r="A636" s="3" t="s">
        <v>21</v>
      </c>
      <c r="B636" s="3" t="s">
        <v>39</v>
      </c>
      <c r="C636" s="3" t="s">
        <v>41</v>
      </c>
      <c r="D636" s="3" t="s">
        <v>49</v>
      </c>
      <c r="E636" s="3" t="s">
        <v>50</v>
      </c>
      <c r="F636" s="3" t="s">
        <v>25</v>
      </c>
      <c r="G636" s="3" t="s">
        <v>25</v>
      </c>
      <c r="H636" s="3" t="s">
        <v>34</v>
      </c>
      <c r="I636" s="6">
        <v>44713</v>
      </c>
      <c r="J636" s="4">
        <v>0</v>
      </c>
      <c r="K636" s="4">
        <v>0</v>
      </c>
      <c r="L636" s="4">
        <v>74.900999999999996</v>
      </c>
      <c r="M636" s="4">
        <v>70.406939999999992</v>
      </c>
      <c r="N636" s="4">
        <v>74.900999999999996</v>
      </c>
      <c r="O636" s="4">
        <v>70.406939999999992</v>
      </c>
      <c r="P636" s="4">
        <v>0</v>
      </c>
      <c r="Q636" s="3" t="s">
        <v>26</v>
      </c>
      <c r="R636" s="3">
        <v>0</v>
      </c>
      <c r="S636" s="3" t="s">
        <v>147</v>
      </c>
      <c r="T636" s="3" t="s">
        <v>361</v>
      </c>
      <c r="U636" s="3">
        <v>0</v>
      </c>
      <c r="V636" s="3">
        <v>11</v>
      </c>
      <c r="W636" s="3">
        <v>71</v>
      </c>
    </row>
    <row r="637" spans="1:23" ht="11.25" customHeight="1" x14ac:dyDescent="0.25">
      <c r="A637" s="3" t="s">
        <v>21</v>
      </c>
      <c r="B637" s="3" t="s">
        <v>39</v>
      </c>
      <c r="C637" s="3" t="s">
        <v>41</v>
      </c>
      <c r="D637" s="3" t="s">
        <v>49</v>
      </c>
      <c r="E637" s="3" t="s">
        <v>50</v>
      </c>
      <c r="F637" s="3" t="s">
        <v>25</v>
      </c>
      <c r="G637" s="3" t="s">
        <v>25</v>
      </c>
      <c r="H637" s="3" t="s">
        <v>34</v>
      </c>
      <c r="I637" s="6">
        <v>44743</v>
      </c>
      <c r="J637" s="4">
        <v>0</v>
      </c>
      <c r="K637" s="4">
        <v>0</v>
      </c>
      <c r="L637" s="4">
        <v>73.212999999999994</v>
      </c>
      <c r="M637" s="4">
        <v>68.820219999999992</v>
      </c>
      <c r="N637" s="4">
        <v>73.212999999999994</v>
      </c>
      <c r="O637" s="4">
        <v>68.820219999999992</v>
      </c>
      <c r="P637" s="4">
        <v>0</v>
      </c>
      <c r="Q637" s="3" t="s">
        <v>26</v>
      </c>
      <c r="R637" s="3">
        <v>0</v>
      </c>
      <c r="S637" s="3" t="s">
        <v>148</v>
      </c>
      <c r="T637" s="3" t="s">
        <v>362</v>
      </c>
      <c r="U637" s="3">
        <v>0</v>
      </c>
      <c r="V637" s="3">
        <v>11</v>
      </c>
      <c r="W637" s="3">
        <v>71</v>
      </c>
    </row>
    <row r="638" spans="1:23" ht="11.25" customHeight="1" x14ac:dyDescent="0.25">
      <c r="A638" s="3" t="s">
        <v>21</v>
      </c>
      <c r="B638" s="3" t="s">
        <v>39</v>
      </c>
      <c r="C638" s="3" t="s">
        <v>41</v>
      </c>
      <c r="D638" s="3" t="s">
        <v>49</v>
      </c>
      <c r="E638" s="3" t="s">
        <v>50</v>
      </c>
      <c r="F638" s="3" t="s">
        <v>25</v>
      </c>
      <c r="G638" s="3" t="s">
        <v>25</v>
      </c>
      <c r="H638" s="3" t="s">
        <v>34</v>
      </c>
      <c r="I638" s="6">
        <v>44774</v>
      </c>
      <c r="J638" s="4">
        <v>0</v>
      </c>
      <c r="K638" s="4">
        <v>0</v>
      </c>
      <c r="L638" s="4">
        <v>78.441999999999993</v>
      </c>
      <c r="M638" s="4">
        <v>73.735479999999995</v>
      </c>
      <c r="N638" s="4">
        <v>78.441999999999993</v>
      </c>
      <c r="O638" s="4">
        <v>73.735479999999995</v>
      </c>
      <c r="P638" s="4">
        <v>0</v>
      </c>
      <c r="Q638" s="3" t="s">
        <v>26</v>
      </c>
      <c r="R638" s="3">
        <v>0</v>
      </c>
      <c r="S638" s="3" t="s">
        <v>149</v>
      </c>
      <c r="T638" s="3" t="s">
        <v>363</v>
      </c>
      <c r="U638" s="3">
        <v>0</v>
      </c>
      <c r="V638" s="3">
        <v>11</v>
      </c>
      <c r="W638" s="3">
        <v>71</v>
      </c>
    </row>
    <row r="639" spans="1:23" ht="11.25" customHeight="1" x14ac:dyDescent="0.25">
      <c r="A639" s="3" t="s">
        <v>21</v>
      </c>
      <c r="B639" s="3" t="s">
        <v>39</v>
      </c>
      <c r="C639" s="3" t="s">
        <v>41</v>
      </c>
      <c r="D639" s="3" t="s">
        <v>49</v>
      </c>
      <c r="E639" s="3" t="s">
        <v>50</v>
      </c>
      <c r="F639" s="3" t="s">
        <v>25</v>
      </c>
      <c r="G639" s="3" t="s">
        <v>25</v>
      </c>
      <c r="H639" s="3" t="s">
        <v>34</v>
      </c>
      <c r="I639" s="6">
        <v>44805</v>
      </c>
      <c r="J639" s="4">
        <v>0</v>
      </c>
      <c r="K639" s="4">
        <v>0</v>
      </c>
      <c r="L639" s="4">
        <v>74.682000000000002</v>
      </c>
      <c r="M639" s="4">
        <v>70.201080000000005</v>
      </c>
      <c r="N639" s="4">
        <v>74.682000000000002</v>
      </c>
      <c r="O639" s="4">
        <v>70.201080000000005</v>
      </c>
      <c r="P639" s="4">
        <v>0</v>
      </c>
      <c r="Q639" s="3" t="s">
        <v>26</v>
      </c>
      <c r="R639" s="3">
        <v>0</v>
      </c>
      <c r="S639" s="3" t="s">
        <v>150</v>
      </c>
      <c r="T639" s="3" t="s">
        <v>364</v>
      </c>
      <c r="U639" s="3">
        <v>0</v>
      </c>
      <c r="V639" s="3">
        <v>11</v>
      </c>
      <c r="W639" s="3">
        <v>71</v>
      </c>
    </row>
    <row r="640" spans="1:23" ht="11.25" customHeight="1" x14ac:dyDescent="0.25">
      <c r="A640" s="3" t="s">
        <v>55</v>
      </c>
      <c r="B640" s="3" t="s">
        <v>39</v>
      </c>
      <c r="C640" s="3" t="s">
        <v>41</v>
      </c>
      <c r="D640" s="3" t="s">
        <v>49</v>
      </c>
      <c r="E640" s="3" t="s">
        <v>50</v>
      </c>
      <c r="F640" s="3" t="s">
        <v>25</v>
      </c>
      <c r="G640" s="3" t="s">
        <v>25</v>
      </c>
      <c r="H640" s="3" t="s">
        <v>34</v>
      </c>
      <c r="I640" s="6">
        <v>44835</v>
      </c>
      <c r="J640" s="4">
        <v>0</v>
      </c>
      <c r="K640" s="4">
        <v>0</v>
      </c>
      <c r="L640" s="4">
        <v>74.682000000000002</v>
      </c>
      <c r="M640" s="4">
        <v>70.201080000000005</v>
      </c>
      <c r="N640" s="4">
        <v>74.682000000000002</v>
      </c>
      <c r="O640" s="4">
        <v>70.201080000000005</v>
      </c>
      <c r="P640" s="4">
        <v>0</v>
      </c>
      <c r="Q640" s="3" t="s">
        <v>26</v>
      </c>
      <c r="R640" s="3">
        <v>0</v>
      </c>
      <c r="S640" s="3" t="s">
        <v>151</v>
      </c>
      <c r="T640" s="3" t="s">
        <v>365</v>
      </c>
      <c r="U640" s="3">
        <v>0</v>
      </c>
      <c r="V640" s="3">
        <v>11</v>
      </c>
      <c r="W640" s="3">
        <v>71</v>
      </c>
    </row>
    <row r="641" spans="1:23" ht="11.25" customHeight="1" x14ac:dyDescent="0.25">
      <c r="A641" s="3" t="s">
        <v>21</v>
      </c>
      <c r="B641" s="3" t="s">
        <v>22</v>
      </c>
      <c r="C641" s="3" t="s">
        <v>33</v>
      </c>
      <c r="D641" s="3" t="s">
        <v>24</v>
      </c>
      <c r="E641" s="3" t="s">
        <v>24</v>
      </c>
      <c r="F641" s="3" t="s">
        <v>25</v>
      </c>
      <c r="G641" s="3" t="s">
        <v>25</v>
      </c>
      <c r="H641" s="3" t="s">
        <v>35</v>
      </c>
      <c r="I641" s="6">
        <v>44501</v>
      </c>
      <c r="J641" s="4">
        <v>0</v>
      </c>
      <c r="K641" s="4">
        <v>0</v>
      </c>
      <c r="L641" s="4">
        <v>65.575000000000003</v>
      </c>
      <c r="M641" s="4">
        <v>65.575000000000003</v>
      </c>
      <c r="N641" s="4">
        <v>65.575000000000003</v>
      </c>
      <c r="O641" s="4">
        <v>65.575000000000003</v>
      </c>
      <c r="P641" s="4">
        <v>0</v>
      </c>
      <c r="Q641" s="3" t="s">
        <v>26</v>
      </c>
      <c r="R641" s="3">
        <v>0</v>
      </c>
      <c r="S641" s="3" t="s">
        <v>152</v>
      </c>
      <c r="T641" s="3" t="s">
        <v>370</v>
      </c>
      <c r="U641" s="3">
        <v>0</v>
      </c>
      <c r="V641" s="3">
        <v>35</v>
      </c>
      <c r="W641" s="3">
        <v>43</v>
      </c>
    </row>
    <row r="642" spans="1:23" ht="11.25" customHeight="1" x14ac:dyDescent="0.25">
      <c r="A642" s="3" t="s">
        <v>28</v>
      </c>
      <c r="B642" s="3" t="s">
        <v>22</v>
      </c>
      <c r="C642" s="3" t="s">
        <v>33</v>
      </c>
      <c r="D642" s="3" t="s">
        <v>24</v>
      </c>
      <c r="E642" s="3" t="s">
        <v>24</v>
      </c>
      <c r="F642" s="3" t="s">
        <v>25</v>
      </c>
      <c r="G642" s="3" t="s">
        <v>25</v>
      </c>
      <c r="H642" s="3" t="s">
        <v>35</v>
      </c>
      <c r="I642" s="6">
        <v>44501</v>
      </c>
      <c r="J642" s="4">
        <v>0</v>
      </c>
      <c r="K642" s="4">
        <v>0</v>
      </c>
      <c r="L642" s="4">
        <v>0.70899999999999996</v>
      </c>
      <c r="M642" s="4">
        <v>0.70899999999999996</v>
      </c>
      <c r="N642" s="4">
        <v>0.70899999999999996</v>
      </c>
      <c r="O642" s="4">
        <v>0.70899999999999996</v>
      </c>
      <c r="P642" s="4">
        <v>0</v>
      </c>
      <c r="Q642" s="3" t="s">
        <v>26</v>
      </c>
      <c r="R642" s="3">
        <v>0</v>
      </c>
      <c r="S642" s="3" t="s">
        <v>152</v>
      </c>
      <c r="T642" s="3" t="s">
        <v>370</v>
      </c>
      <c r="U642" s="3">
        <v>0</v>
      </c>
      <c r="V642" s="3">
        <v>35</v>
      </c>
      <c r="W642" s="3">
        <v>43</v>
      </c>
    </row>
    <row r="643" spans="1:23" ht="11.25" customHeight="1" x14ac:dyDescent="0.25">
      <c r="A643" s="3" t="s">
        <v>21</v>
      </c>
      <c r="B643" s="3" t="s">
        <v>22</v>
      </c>
      <c r="C643" s="3" t="s">
        <v>33</v>
      </c>
      <c r="D643" s="3" t="s">
        <v>24</v>
      </c>
      <c r="E643" s="3" t="s">
        <v>24</v>
      </c>
      <c r="F643" s="3" t="s">
        <v>25</v>
      </c>
      <c r="G643" s="3" t="s">
        <v>25</v>
      </c>
      <c r="H643" s="3" t="s">
        <v>35</v>
      </c>
      <c r="I643" s="6">
        <v>44531</v>
      </c>
      <c r="J643" s="4">
        <v>0</v>
      </c>
      <c r="K643" s="4">
        <v>0</v>
      </c>
      <c r="L643" s="4">
        <v>58.158999999999999</v>
      </c>
      <c r="M643" s="4">
        <v>58.158999999999999</v>
      </c>
      <c r="N643" s="4">
        <v>58.158999999999999</v>
      </c>
      <c r="O643" s="4">
        <v>58.158999999999999</v>
      </c>
      <c r="P643" s="4">
        <v>0</v>
      </c>
      <c r="Q643" s="3" t="s">
        <v>26</v>
      </c>
      <c r="R643" s="3">
        <v>0</v>
      </c>
      <c r="S643" s="3" t="s">
        <v>153</v>
      </c>
      <c r="T643" s="3" t="s">
        <v>371</v>
      </c>
      <c r="U643" s="3">
        <v>0</v>
      </c>
      <c r="V643" s="3">
        <v>35</v>
      </c>
      <c r="W643" s="3">
        <v>43</v>
      </c>
    </row>
    <row r="644" spans="1:23" ht="11.25" customHeight="1" x14ac:dyDescent="0.25">
      <c r="A644" s="3" t="s">
        <v>28</v>
      </c>
      <c r="B644" s="3" t="s">
        <v>22</v>
      </c>
      <c r="C644" s="3" t="s">
        <v>33</v>
      </c>
      <c r="D644" s="3" t="s">
        <v>24</v>
      </c>
      <c r="E644" s="3" t="s">
        <v>24</v>
      </c>
      <c r="F644" s="3" t="s">
        <v>25</v>
      </c>
      <c r="G644" s="3" t="s">
        <v>25</v>
      </c>
      <c r="H644" s="3" t="s">
        <v>35</v>
      </c>
      <c r="I644" s="6">
        <v>44531</v>
      </c>
      <c r="J644" s="4">
        <v>0</v>
      </c>
      <c r="K644" s="4">
        <v>0</v>
      </c>
      <c r="L644" s="4">
        <v>0.61799999999999999</v>
      </c>
      <c r="M644" s="4">
        <v>0.61799999999999999</v>
      </c>
      <c r="N644" s="4">
        <v>0.61799999999999999</v>
      </c>
      <c r="O644" s="4">
        <v>0.61799999999999999</v>
      </c>
      <c r="P644" s="4">
        <v>0</v>
      </c>
      <c r="Q644" s="3" t="s">
        <v>26</v>
      </c>
      <c r="R644" s="3">
        <v>0</v>
      </c>
      <c r="S644" s="3" t="s">
        <v>153</v>
      </c>
      <c r="T644" s="3" t="s">
        <v>371</v>
      </c>
      <c r="U644" s="3">
        <v>0</v>
      </c>
      <c r="V644" s="3">
        <v>35</v>
      </c>
      <c r="W644" s="3">
        <v>43</v>
      </c>
    </row>
    <row r="645" spans="1:23" ht="11.25" customHeight="1" x14ac:dyDescent="0.25">
      <c r="A645" s="3" t="s">
        <v>21</v>
      </c>
      <c r="B645" s="3" t="s">
        <v>22</v>
      </c>
      <c r="C645" s="3" t="s">
        <v>33</v>
      </c>
      <c r="D645" s="3" t="s">
        <v>24</v>
      </c>
      <c r="E645" s="3" t="s">
        <v>24</v>
      </c>
      <c r="F645" s="3" t="s">
        <v>25</v>
      </c>
      <c r="G645" s="3" t="s">
        <v>25</v>
      </c>
      <c r="H645" s="3" t="s">
        <v>35</v>
      </c>
      <c r="I645" s="6">
        <v>44562</v>
      </c>
      <c r="J645" s="4">
        <v>0</v>
      </c>
      <c r="K645" s="4">
        <v>0</v>
      </c>
      <c r="L645" s="4">
        <v>50.734999999999999</v>
      </c>
      <c r="M645" s="4">
        <v>50.734999999999999</v>
      </c>
      <c r="N645" s="4">
        <v>50.734999999999999</v>
      </c>
      <c r="O645" s="4">
        <v>50.734999999999999</v>
      </c>
      <c r="P645" s="4">
        <v>0</v>
      </c>
      <c r="Q645" s="3" t="s">
        <v>26</v>
      </c>
      <c r="R645" s="3">
        <v>0</v>
      </c>
      <c r="S645" s="3" t="s">
        <v>154</v>
      </c>
      <c r="T645" s="3" t="s">
        <v>372</v>
      </c>
      <c r="U645" s="3">
        <v>0</v>
      </c>
      <c r="V645" s="3">
        <v>35</v>
      </c>
      <c r="W645" s="3">
        <v>43</v>
      </c>
    </row>
    <row r="646" spans="1:23" ht="11.25" customHeight="1" x14ac:dyDescent="0.25">
      <c r="A646" s="3" t="s">
        <v>28</v>
      </c>
      <c r="B646" s="3" t="s">
        <v>22</v>
      </c>
      <c r="C646" s="3" t="s">
        <v>33</v>
      </c>
      <c r="D646" s="3" t="s">
        <v>24</v>
      </c>
      <c r="E646" s="3" t="s">
        <v>24</v>
      </c>
      <c r="F646" s="3" t="s">
        <v>25</v>
      </c>
      <c r="G646" s="3" t="s">
        <v>25</v>
      </c>
      <c r="H646" s="3" t="s">
        <v>35</v>
      </c>
      <c r="I646" s="6">
        <v>44562</v>
      </c>
      <c r="J646" s="4">
        <v>0</v>
      </c>
      <c r="K646" s="4">
        <v>0</v>
      </c>
      <c r="L646" s="4">
        <v>0.57699999999999996</v>
      </c>
      <c r="M646" s="4">
        <v>0.57699999999999996</v>
      </c>
      <c r="N646" s="4">
        <v>0.57699999999999996</v>
      </c>
      <c r="O646" s="4">
        <v>0.57699999999999996</v>
      </c>
      <c r="P646" s="4">
        <v>0</v>
      </c>
      <c r="Q646" s="3" t="s">
        <v>26</v>
      </c>
      <c r="R646" s="3">
        <v>0</v>
      </c>
      <c r="S646" s="3" t="s">
        <v>154</v>
      </c>
      <c r="T646" s="3" t="s">
        <v>372</v>
      </c>
      <c r="U646" s="3">
        <v>0</v>
      </c>
      <c r="V646" s="3">
        <v>35</v>
      </c>
      <c r="W646" s="3">
        <v>43</v>
      </c>
    </row>
    <row r="647" spans="1:23" ht="11.25" customHeight="1" x14ac:dyDescent="0.25">
      <c r="A647" s="3" t="s">
        <v>21</v>
      </c>
      <c r="B647" s="3" t="s">
        <v>22</v>
      </c>
      <c r="C647" s="3" t="s">
        <v>33</v>
      </c>
      <c r="D647" s="3" t="s">
        <v>24</v>
      </c>
      <c r="E647" s="3" t="s">
        <v>24</v>
      </c>
      <c r="F647" s="3" t="s">
        <v>25</v>
      </c>
      <c r="G647" s="3" t="s">
        <v>25</v>
      </c>
      <c r="H647" s="3" t="s">
        <v>35</v>
      </c>
      <c r="I647" s="6">
        <v>44593</v>
      </c>
      <c r="J647" s="4">
        <v>0</v>
      </c>
      <c r="K647" s="4">
        <v>0</v>
      </c>
      <c r="L647" s="4">
        <v>54.89</v>
      </c>
      <c r="M647" s="4">
        <v>54.89</v>
      </c>
      <c r="N647" s="4">
        <v>54.89</v>
      </c>
      <c r="O647" s="4">
        <v>54.89</v>
      </c>
      <c r="P647" s="4">
        <v>0</v>
      </c>
      <c r="Q647" s="3" t="s">
        <v>26</v>
      </c>
      <c r="R647" s="3">
        <v>0</v>
      </c>
      <c r="S647" s="3" t="s">
        <v>155</v>
      </c>
      <c r="T647" s="3" t="s">
        <v>373</v>
      </c>
      <c r="U647" s="3">
        <v>0</v>
      </c>
      <c r="V647" s="3">
        <v>35</v>
      </c>
      <c r="W647" s="3">
        <v>43</v>
      </c>
    </row>
    <row r="648" spans="1:23" ht="11.25" customHeight="1" x14ac:dyDescent="0.25">
      <c r="A648" s="3" t="s">
        <v>28</v>
      </c>
      <c r="B648" s="3" t="s">
        <v>22</v>
      </c>
      <c r="C648" s="3" t="s">
        <v>33</v>
      </c>
      <c r="D648" s="3" t="s">
        <v>24</v>
      </c>
      <c r="E648" s="3" t="s">
        <v>24</v>
      </c>
      <c r="F648" s="3" t="s">
        <v>25</v>
      </c>
      <c r="G648" s="3" t="s">
        <v>25</v>
      </c>
      <c r="H648" s="3" t="s">
        <v>35</v>
      </c>
      <c r="I648" s="6">
        <v>44593</v>
      </c>
      <c r="J648" s="4">
        <v>0</v>
      </c>
      <c r="K648" s="4">
        <v>0</v>
      </c>
      <c r="L648" s="4">
        <v>0.59199999999999997</v>
      </c>
      <c r="M648" s="4">
        <v>0.59199999999999997</v>
      </c>
      <c r="N648" s="4">
        <v>0.59199999999999997</v>
      </c>
      <c r="O648" s="4">
        <v>0.59199999999999997</v>
      </c>
      <c r="P648" s="4">
        <v>0</v>
      </c>
      <c r="Q648" s="3" t="s">
        <v>26</v>
      </c>
      <c r="R648" s="3">
        <v>0</v>
      </c>
      <c r="S648" s="3" t="s">
        <v>155</v>
      </c>
      <c r="T648" s="3" t="s">
        <v>373</v>
      </c>
      <c r="U648" s="3">
        <v>0</v>
      </c>
      <c r="V648" s="3">
        <v>35</v>
      </c>
      <c r="W648" s="3">
        <v>43</v>
      </c>
    </row>
    <row r="649" spans="1:23" ht="11.25" customHeight="1" x14ac:dyDescent="0.25">
      <c r="A649" s="3" t="s">
        <v>21</v>
      </c>
      <c r="B649" s="3" t="s">
        <v>22</v>
      </c>
      <c r="C649" s="3" t="s">
        <v>33</v>
      </c>
      <c r="D649" s="3" t="s">
        <v>24</v>
      </c>
      <c r="E649" s="3" t="s">
        <v>24</v>
      </c>
      <c r="F649" s="3" t="s">
        <v>25</v>
      </c>
      <c r="G649" s="3" t="s">
        <v>25</v>
      </c>
      <c r="H649" s="3" t="s">
        <v>35</v>
      </c>
      <c r="I649" s="6">
        <v>44621</v>
      </c>
      <c r="J649" s="4">
        <v>0</v>
      </c>
      <c r="K649" s="4">
        <v>0</v>
      </c>
      <c r="L649" s="4">
        <v>45.198999999999998</v>
      </c>
      <c r="M649" s="4">
        <v>45.198999999999998</v>
      </c>
      <c r="N649" s="4">
        <v>45.198999999999998</v>
      </c>
      <c r="O649" s="4">
        <v>45.198999999999998</v>
      </c>
      <c r="P649" s="4">
        <v>0</v>
      </c>
      <c r="Q649" s="3" t="s">
        <v>26</v>
      </c>
      <c r="R649" s="3">
        <v>0</v>
      </c>
      <c r="S649" s="3" t="s">
        <v>156</v>
      </c>
      <c r="T649" s="3" t="s">
        <v>374</v>
      </c>
      <c r="U649" s="3">
        <v>0</v>
      </c>
      <c r="V649" s="3">
        <v>35</v>
      </c>
      <c r="W649" s="3">
        <v>43</v>
      </c>
    </row>
    <row r="650" spans="1:23" ht="11.25" customHeight="1" x14ac:dyDescent="0.25">
      <c r="A650" s="3" t="s">
        <v>28</v>
      </c>
      <c r="B650" s="3" t="s">
        <v>22</v>
      </c>
      <c r="C650" s="3" t="s">
        <v>33</v>
      </c>
      <c r="D650" s="3" t="s">
        <v>24</v>
      </c>
      <c r="E650" s="3" t="s">
        <v>24</v>
      </c>
      <c r="F650" s="3" t="s">
        <v>25</v>
      </c>
      <c r="G650" s="3" t="s">
        <v>25</v>
      </c>
      <c r="H650" s="3" t="s">
        <v>35</v>
      </c>
      <c r="I650" s="6">
        <v>44621</v>
      </c>
      <c r="J650" s="4">
        <v>0</v>
      </c>
      <c r="K650" s="4">
        <v>0</v>
      </c>
      <c r="L650" s="4">
        <v>0.50800000000000001</v>
      </c>
      <c r="M650" s="4">
        <v>0.50800000000000001</v>
      </c>
      <c r="N650" s="4">
        <v>0.50800000000000001</v>
      </c>
      <c r="O650" s="4">
        <v>0.50800000000000001</v>
      </c>
      <c r="P650" s="4">
        <v>0</v>
      </c>
      <c r="Q650" s="3" t="s">
        <v>26</v>
      </c>
      <c r="R650" s="3">
        <v>0</v>
      </c>
      <c r="S650" s="3" t="s">
        <v>156</v>
      </c>
      <c r="T650" s="3" t="s">
        <v>374</v>
      </c>
      <c r="U650" s="3">
        <v>0</v>
      </c>
      <c r="V650" s="3">
        <v>35</v>
      </c>
      <c r="W650" s="3">
        <v>43</v>
      </c>
    </row>
    <row r="651" spans="1:23" ht="11.25" customHeight="1" x14ac:dyDescent="0.25">
      <c r="A651" s="3" t="s">
        <v>21</v>
      </c>
      <c r="B651" s="3" t="s">
        <v>22</v>
      </c>
      <c r="C651" s="3" t="s">
        <v>33</v>
      </c>
      <c r="D651" s="3" t="s">
        <v>24</v>
      </c>
      <c r="E651" s="3" t="s">
        <v>24</v>
      </c>
      <c r="F651" s="3" t="s">
        <v>25</v>
      </c>
      <c r="G651" s="3" t="s">
        <v>25</v>
      </c>
      <c r="H651" s="3" t="s">
        <v>35</v>
      </c>
      <c r="I651" s="6">
        <v>44652</v>
      </c>
      <c r="J651" s="4">
        <v>0</v>
      </c>
      <c r="K651" s="4">
        <v>0</v>
      </c>
      <c r="L651" s="4">
        <v>45.198999999999998</v>
      </c>
      <c r="M651" s="4">
        <v>45.198999999999998</v>
      </c>
      <c r="N651" s="4">
        <v>45.198999999999998</v>
      </c>
      <c r="O651" s="4">
        <v>45.198999999999998</v>
      </c>
      <c r="P651" s="4">
        <v>0</v>
      </c>
      <c r="Q651" s="3" t="s">
        <v>26</v>
      </c>
      <c r="R651" s="3">
        <v>0</v>
      </c>
      <c r="S651" s="3" t="s">
        <v>157</v>
      </c>
      <c r="T651" s="3" t="s">
        <v>375</v>
      </c>
      <c r="U651" s="3">
        <v>0</v>
      </c>
      <c r="V651" s="3">
        <v>35</v>
      </c>
      <c r="W651" s="3">
        <v>43</v>
      </c>
    </row>
    <row r="652" spans="1:23" ht="11.25" customHeight="1" x14ac:dyDescent="0.25">
      <c r="A652" s="3" t="s">
        <v>28</v>
      </c>
      <c r="B652" s="3" t="s">
        <v>22</v>
      </c>
      <c r="C652" s="3" t="s">
        <v>33</v>
      </c>
      <c r="D652" s="3" t="s">
        <v>24</v>
      </c>
      <c r="E652" s="3" t="s">
        <v>24</v>
      </c>
      <c r="F652" s="3" t="s">
        <v>25</v>
      </c>
      <c r="G652" s="3" t="s">
        <v>25</v>
      </c>
      <c r="H652" s="3" t="s">
        <v>35</v>
      </c>
      <c r="I652" s="6">
        <v>44652</v>
      </c>
      <c r="J652" s="4">
        <v>0</v>
      </c>
      <c r="K652" s="4">
        <v>0</v>
      </c>
      <c r="L652" s="4">
        <v>0.50800000000000001</v>
      </c>
      <c r="M652" s="4">
        <v>0.50800000000000001</v>
      </c>
      <c r="N652" s="4">
        <v>0.50800000000000001</v>
      </c>
      <c r="O652" s="4">
        <v>0.50800000000000001</v>
      </c>
      <c r="P652" s="4">
        <v>0</v>
      </c>
      <c r="Q652" s="3" t="s">
        <v>26</v>
      </c>
      <c r="R652" s="3">
        <v>0</v>
      </c>
      <c r="S652" s="3" t="s">
        <v>157</v>
      </c>
      <c r="T652" s="3" t="s">
        <v>375</v>
      </c>
      <c r="U652" s="3">
        <v>0</v>
      </c>
      <c r="V652" s="3">
        <v>35</v>
      </c>
      <c r="W652" s="3">
        <v>43</v>
      </c>
    </row>
    <row r="653" spans="1:23" ht="11.25" customHeight="1" x14ac:dyDescent="0.25">
      <c r="A653" s="3" t="s">
        <v>21</v>
      </c>
      <c r="B653" s="3" t="s">
        <v>22</v>
      </c>
      <c r="C653" s="3" t="s">
        <v>33</v>
      </c>
      <c r="D653" s="3" t="s">
        <v>24</v>
      </c>
      <c r="E653" s="3" t="s">
        <v>24</v>
      </c>
      <c r="F653" s="3" t="s">
        <v>25</v>
      </c>
      <c r="G653" s="3" t="s">
        <v>25</v>
      </c>
      <c r="H653" s="3" t="s">
        <v>35</v>
      </c>
      <c r="I653" s="6">
        <v>44682</v>
      </c>
      <c r="J653" s="4">
        <v>0</v>
      </c>
      <c r="K653" s="4">
        <v>0</v>
      </c>
      <c r="L653" s="4">
        <v>40.454999999999998</v>
      </c>
      <c r="M653" s="4">
        <v>40.454999999999998</v>
      </c>
      <c r="N653" s="4">
        <v>40.454999999999998</v>
      </c>
      <c r="O653" s="4">
        <v>40.454999999999998</v>
      </c>
      <c r="P653" s="4">
        <v>0</v>
      </c>
      <c r="Q653" s="3" t="s">
        <v>26</v>
      </c>
      <c r="R653" s="3">
        <v>0</v>
      </c>
      <c r="S653" s="3" t="s">
        <v>158</v>
      </c>
      <c r="T653" s="3" t="s">
        <v>376</v>
      </c>
      <c r="U653" s="3">
        <v>0</v>
      </c>
      <c r="V653" s="3">
        <v>35</v>
      </c>
      <c r="W653" s="3">
        <v>43</v>
      </c>
    </row>
    <row r="654" spans="1:23" ht="11.25" customHeight="1" x14ac:dyDescent="0.25">
      <c r="A654" s="3" t="s">
        <v>28</v>
      </c>
      <c r="B654" s="3" t="s">
        <v>22</v>
      </c>
      <c r="C654" s="3" t="s">
        <v>33</v>
      </c>
      <c r="D654" s="3" t="s">
        <v>24</v>
      </c>
      <c r="E654" s="3" t="s">
        <v>24</v>
      </c>
      <c r="F654" s="3" t="s">
        <v>25</v>
      </c>
      <c r="G654" s="3" t="s">
        <v>25</v>
      </c>
      <c r="H654" s="3" t="s">
        <v>35</v>
      </c>
      <c r="I654" s="6">
        <v>44682</v>
      </c>
      <c r="J654" s="4">
        <v>0</v>
      </c>
      <c r="K654" s="4">
        <v>0</v>
      </c>
      <c r="L654" s="4">
        <v>2.1520000000000001</v>
      </c>
      <c r="M654" s="4">
        <v>2.1520000000000001</v>
      </c>
      <c r="N654" s="4">
        <v>2.1520000000000001</v>
      </c>
      <c r="O654" s="4">
        <v>2.1520000000000001</v>
      </c>
      <c r="P654" s="4">
        <v>0</v>
      </c>
      <c r="Q654" s="3" t="s">
        <v>26</v>
      </c>
      <c r="R654" s="3">
        <v>0</v>
      </c>
      <c r="S654" s="3" t="s">
        <v>158</v>
      </c>
      <c r="T654" s="3" t="s">
        <v>376</v>
      </c>
      <c r="U654" s="3">
        <v>0</v>
      </c>
      <c r="V654" s="3">
        <v>35</v>
      </c>
      <c r="W654" s="3">
        <v>43</v>
      </c>
    </row>
    <row r="655" spans="1:23" ht="11.25" customHeight="1" x14ac:dyDescent="0.25">
      <c r="A655" s="3" t="s">
        <v>21</v>
      </c>
      <c r="B655" s="3" t="s">
        <v>22</v>
      </c>
      <c r="C655" s="3" t="s">
        <v>33</v>
      </c>
      <c r="D655" s="3" t="s">
        <v>24</v>
      </c>
      <c r="E655" s="3" t="s">
        <v>24</v>
      </c>
      <c r="F655" s="3" t="s">
        <v>25</v>
      </c>
      <c r="G655" s="3" t="s">
        <v>25</v>
      </c>
      <c r="H655" s="3" t="s">
        <v>35</v>
      </c>
      <c r="I655" s="6">
        <v>44713</v>
      </c>
      <c r="J655" s="4">
        <v>0</v>
      </c>
      <c r="K655" s="4">
        <v>0</v>
      </c>
      <c r="L655" s="4">
        <v>38.088000000000001</v>
      </c>
      <c r="M655" s="4">
        <v>38.088000000000001</v>
      </c>
      <c r="N655" s="4">
        <v>38.088000000000001</v>
      </c>
      <c r="O655" s="4">
        <v>38.088000000000001</v>
      </c>
      <c r="P655" s="4">
        <v>0</v>
      </c>
      <c r="Q655" s="3" t="s">
        <v>26</v>
      </c>
      <c r="R655" s="3">
        <v>0</v>
      </c>
      <c r="S655" s="3" t="s">
        <v>159</v>
      </c>
      <c r="T655" s="3" t="s">
        <v>377</v>
      </c>
      <c r="U655" s="3">
        <v>0</v>
      </c>
      <c r="V655" s="3">
        <v>35</v>
      </c>
      <c r="W655" s="3">
        <v>43</v>
      </c>
    </row>
    <row r="656" spans="1:23" ht="11.25" customHeight="1" x14ac:dyDescent="0.25">
      <c r="A656" s="3" t="s">
        <v>28</v>
      </c>
      <c r="B656" s="3" t="s">
        <v>22</v>
      </c>
      <c r="C656" s="3" t="s">
        <v>33</v>
      </c>
      <c r="D656" s="3" t="s">
        <v>24</v>
      </c>
      <c r="E656" s="3" t="s">
        <v>24</v>
      </c>
      <c r="F656" s="3" t="s">
        <v>25</v>
      </c>
      <c r="G656" s="3" t="s">
        <v>25</v>
      </c>
      <c r="H656" s="3" t="s">
        <v>35</v>
      </c>
      <c r="I656" s="6">
        <v>44713</v>
      </c>
      <c r="J656" s="4">
        <v>0</v>
      </c>
      <c r="K656" s="4">
        <v>0</v>
      </c>
      <c r="L656" s="4">
        <v>0.38300000000000001</v>
      </c>
      <c r="M656" s="4">
        <v>0.38300000000000001</v>
      </c>
      <c r="N656" s="4">
        <v>0.38300000000000001</v>
      </c>
      <c r="O656" s="4">
        <v>0.38300000000000001</v>
      </c>
      <c r="P656" s="4">
        <v>0</v>
      </c>
      <c r="Q656" s="3" t="s">
        <v>26</v>
      </c>
      <c r="R656" s="3">
        <v>0</v>
      </c>
      <c r="S656" s="3" t="s">
        <v>159</v>
      </c>
      <c r="T656" s="3" t="s">
        <v>377</v>
      </c>
      <c r="U656" s="3">
        <v>0</v>
      </c>
      <c r="V656" s="3">
        <v>35</v>
      </c>
      <c r="W656" s="3">
        <v>43</v>
      </c>
    </row>
    <row r="657" spans="1:23" ht="11.25" customHeight="1" x14ac:dyDescent="0.25">
      <c r="A657" s="3" t="s">
        <v>21</v>
      </c>
      <c r="B657" s="3" t="s">
        <v>22</v>
      </c>
      <c r="C657" s="3" t="s">
        <v>33</v>
      </c>
      <c r="D657" s="3" t="s">
        <v>24</v>
      </c>
      <c r="E657" s="3" t="s">
        <v>24</v>
      </c>
      <c r="F657" s="3" t="s">
        <v>25</v>
      </c>
      <c r="G657" s="3" t="s">
        <v>25</v>
      </c>
      <c r="H657" s="3" t="s">
        <v>35</v>
      </c>
      <c r="I657" s="6">
        <v>44743</v>
      </c>
      <c r="J657" s="4">
        <v>0</v>
      </c>
      <c r="K657" s="4">
        <v>0</v>
      </c>
      <c r="L657" s="4">
        <v>38.624000000000002</v>
      </c>
      <c r="M657" s="4">
        <v>38.624000000000002</v>
      </c>
      <c r="N657" s="4">
        <v>38.624000000000002</v>
      </c>
      <c r="O657" s="4">
        <v>38.624000000000002</v>
      </c>
      <c r="P657" s="4">
        <v>0</v>
      </c>
      <c r="Q657" s="3" t="s">
        <v>26</v>
      </c>
      <c r="R657" s="3">
        <v>0</v>
      </c>
      <c r="S657" s="3" t="s">
        <v>160</v>
      </c>
      <c r="T657" s="3" t="s">
        <v>378</v>
      </c>
      <c r="U657" s="3">
        <v>0</v>
      </c>
      <c r="V657" s="3">
        <v>35</v>
      </c>
      <c r="W657" s="3">
        <v>43</v>
      </c>
    </row>
    <row r="658" spans="1:23" ht="11.25" customHeight="1" x14ac:dyDescent="0.25">
      <c r="A658" s="3" t="s">
        <v>28</v>
      </c>
      <c r="B658" s="3" t="s">
        <v>22</v>
      </c>
      <c r="C658" s="3" t="s">
        <v>33</v>
      </c>
      <c r="D658" s="3" t="s">
        <v>24</v>
      </c>
      <c r="E658" s="3" t="s">
        <v>24</v>
      </c>
      <c r="F658" s="3" t="s">
        <v>25</v>
      </c>
      <c r="G658" s="3" t="s">
        <v>25</v>
      </c>
      <c r="H658" s="3" t="s">
        <v>35</v>
      </c>
      <c r="I658" s="6">
        <v>44743</v>
      </c>
      <c r="J658" s="4">
        <v>0</v>
      </c>
      <c r="K658" s="4">
        <v>0</v>
      </c>
      <c r="L658" s="4">
        <v>0.439</v>
      </c>
      <c r="M658" s="4">
        <v>0.439</v>
      </c>
      <c r="N658" s="4">
        <v>0.439</v>
      </c>
      <c r="O658" s="4">
        <v>0.439</v>
      </c>
      <c r="P658" s="4">
        <v>0</v>
      </c>
      <c r="Q658" s="3" t="s">
        <v>26</v>
      </c>
      <c r="R658" s="3">
        <v>0</v>
      </c>
      <c r="S658" s="3" t="s">
        <v>160</v>
      </c>
      <c r="T658" s="3" t="s">
        <v>378</v>
      </c>
      <c r="U658" s="3">
        <v>0</v>
      </c>
      <c r="V658" s="3">
        <v>35</v>
      </c>
      <c r="W658" s="3">
        <v>43</v>
      </c>
    </row>
    <row r="659" spans="1:23" ht="11.25" customHeight="1" x14ac:dyDescent="0.25">
      <c r="A659" s="3" t="s">
        <v>21</v>
      </c>
      <c r="B659" s="3" t="s">
        <v>22</v>
      </c>
      <c r="C659" s="3" t="s">
        <v>33</v>
      </c>
      <c r="D659" s="3" t="s">
        <v>24</v>
      </c>
      <c r="E659" s="3" t="s">
        <v>24</v>
      </c>
      <c r="F659" s="3" t="s">
        <v>25</v>
      </c>
      <c r="G659" s="3" t="s">
        <v>25</v>
      </c>
      <c r="H659" s="3" t="s">
        <v>35</v>
      </c>
      <c r="I659" s="6">
        <v>44774</v>
      </c>
      <c r="J659" s="4">
        <v>0</v>
      </c>
      <c r="K659" s="4">
        <v>0</v>
      </c>
      <c r="L659" s="4">
        <v>47.058999999999997</v>
      </c>
      <c r="M659" s="4">
        <v>47.058999999999997</v>
      </c>
      <c r="N659" s="4">
        <v>47.058999999999997</v>
      </c>
      <c r="O659" s="4">
        <v>47.058999999999997</v>
      </c>
      <c r="P659" s="4">
        <v>0</v>
      </c>
      <c r="Q659" s="3" t="s">
        <v>26</v>
      </c>
      <c r="R659" s="3">
        <v>0</v>
      </c>
      <c r="S659" s="3" t="s">
        <v>161</v>
      </c>
      <c r="T659" s="3" t="s">
        <v>379</v>
      </c>
      <c r="U659" s="3">
        <v>0</v>
      </c>
      <c r="V659" s="3">
        <v>35</v>
      </c>
      <c r="W659" s="3">
        <v>43</v>
      </c>
    </row>
    <row r="660" spans="1:23" ht="11.25" customHeight="1" x14ac:dyDescent="0.25">
      <c r="A660" s="3" t="s">
        <v>28</v>
      </c>
      <c r="B660" s="3" t="s">
        <v>22</v>
      </c>
      <c r="C660" s="3" t="s">
        <v>33</v>
      </c>
      <c r="D660" s="3" t="s">
        <v>24</v>
      </c>
      <c r="E660" s="3" t="s">
        <v>24</v>
      </c>
      <c r="F660" s="3" t="s">
        <v>25</v>
      </c>
      <c r="G660" s="3" t="s">
        <v>25</v>
      </c>
      <c r="H660" s="3" t="s">
        <v>35</v>
      </c>
      <c r="I660" s="6">
        <v>44774</v>
      </c>
      <c r="J660" s="4">
        <v>0</v>
      </c>
      <c r="K660" s="4">
        <v>0</v>
      </c>
      <c r="L660" s="4">
        <v>0.53200000000000003</v>
      </c>
      <c r="M660" s="4">
        <v>0.53200000000000003</v>
      </c>
      <c r="N660" s="4">
        <v>0.53200000000000003</v>
      </c>
      <c r="O660" s="4">
        <v>0.53200000000000003</v>
      </c>
      <c r="P660" s="4">
        <v>0</v>
      </c>
      <c r="Q660" s="3" t="s">
        <v>26</v>
      </c>
      <c r="R660" s="3">
        <v>0</v>
      </c>
      <c r="S660" s="3" t="s">
        <v>161</v>
      </c>
      <c r="T660" s="3" t="s">
        <v>379</v>
      </c>
      <c r="U660" s="3">
        <v>0</v>
      </c>
      <c r="V660" s="3">
        <v>35</v>
      </c>
      <c r="W660" s="3">
        <v>43</v>
      </c>
    </row>
    <row r="661" spans="1:23" ht="11.25" customHeight="1" x14ac:dyDescent="0.25">
      <c r="A661" s="3" t="s">
        <v>21</v>
      </c>
      <c r="B661" s="3" t="s">
        <v>22</v>
      </c>
      <c r="C661" s="3" t="s">
        <v>33</v>
      </c>
      <c r="D661" s="3" t="s">
        <v>24</v>
      </c>
      <c r="E661" s="3" t="s">
        <v>24</v>
      </c>
      <c r="F661" s="3" t="s">
        <v>25</v>
      </c>
      <c r="G661" s="3" t="s">
        <v>25</v>
      </c>
      <c r="H661" s="3" t="s">
        <v>35</v>
      </c>
      <c r="I661" s="6">
        <v>44805</v>
      </c>
      <c r="J661" s="4">
        <v>0</v>
      </c>
      <c r="K661" s="4">
        <v>0</v>
      </c>
      <c r="L661" s="4">
        <v>45.725000000000001</v>
      </c>
      <c r="M661" s="4">
        <v>45.725000000000001</v>
      </c>
      <c r="N661" s="4">
        <v>45.725000000000001</v>
      </c>
      <c r="O661" s="4">
        <v>45.725000000000001</v>
      </c>
      <c r="P661" s="4">
        <v>0</v>
      </c>
      <c r="Q661" s="3" t="s">
        <v>26</v>
      </c>
      <c r="R661" s="3">
        <v>0</v>
      </c>
      <c r="S661" s="3" t="s">
        <v>162</v>
      </c>
      <c r="T661" s="3" t="s">
        <v>380</v>
      </c>
      <c r="U661" s="3">
        <v>0</v>
      </c>
      <c r="V661" s="3">
        <v>35</v>
      </c>
      <c r="W661" s="3">
        <v>43</v>
      </c>
    </row>
    <row r="662" spans="1:23" ht="11.25" customHeight="1" x14ac:dyDescent="0.25">
      <c r="A662" s="3" t="s">
        <v>28</v>
      </c>
      <c r="B662" s="3" t="s">
        <v>22</v>
      </c>
      <c r="C662" s="3" t="s">
        <v>33</v>
      </c>
      <c r="D662" s="3" t="s">
        <v>24</v>
      </c>
      <c r="E662" s="3" t="s">
        <v>24</v>
      </c>
      <c r="F662" s="3" t="s">
        <v>25</v>
      </c>
      <c r="G662" s="3" t="s">
        <v>25</v>
      </c>
      <c r="H662" s="3" t="s">
        <v>35</v>
      </c>
      <c r="I662" s="6">
        <v>44805</v>
      </c>
      <c r="J662" s="4">
        <v>0</v>
      </c>
      <c r="K662" s="4">
        <v>0</v>
      </c>
      <c r="L662" s="4">
        <v>0.55400000000000005</v>
      </c>
      <c r="M662" s="4">
        <v>0.55400000000000005</v>
      </c>
      <c r="N662" s="4">
        <v>0.55400000000000005</v>
      </c>
      <c r="O662" s="4">
        <v>0.55400000000000005</v>
      </c>
      <c r="P662" s="4">
        <v>0</v>
      </c>
      <c r="Q662" s="3" t="s">
        <v>26</v>
      </c>
      <c r="R662" s="3">
        <v>0</v>
      </c>
      <c r="S662" s="3" t="s">
        <v>162</v>
      </c>
      <c r="T662" s="3" t="s">
        <v>380</v>
      </c>
      <c r="U662" s="3">
        <v>0</v>
      </c>
      <c r="V662" s="3">
        <v>35</v>
      </c>
      <c r="W662" s="3">
        <v>43</v>
      </c>
    </row>
    <row r="663" spans="1:23" ht="11.25" customHeight="1" x14ac:dyDescent="0.25">
      <c r="A663" s="3" t="s">
        <v>55</v>
      </c>
      <c r="B663" s="3" t="s">
        <v>22</v>
      </c>
      <c r="C663" s="3" t="s">
        <v>33</v>
      </c>
      <c r="D663" s="3" t="s">
        <v>24</v>
      </c>
      <c r="E663" s="3" t="s">
        <v>24</v>
      </c>
      <c r="F663" s="3" t="s">
        <v>25</v>
      </c>
      <c r="G663" s="3" t="s">
        <v>25</v>
      </c>
      <c r="H663" s="3" t="s">
        <v>35</v>
      </c>
      <c r="I663" s="6">
        <v>44835</v>
      </c>
      <c r="J663" s="4">
        <v>0</v>
      </c>
      <c r="K663" s="4">
        <v>0</v>
      </c>
      <c r="L663" s="4">
        <v>45.725000000000001</v>
      </c>
      <c r="M663" s="4">
        <v>45.725000000000001</v>
      </c>
      <c r="N663" s="4">
        <v>45.725000000000001</v>
      </c>
      <c r="O663" s="4">
        <v>45.725000000000001</v>
      </c>
      <c r="P663" s="4">
        <v>0</v>
      </c>
      <c r="Q663" s="3" t="s">
        <v>26</v>
      </c>
      <c r="R663" s="3">
        <v>0</v>
      </c>
      <c r="S663" s="3" t="s">
        <v>163</v>
      </c>
      <c r="T663" s="3" t="s">
        <v>381</v>
      </c>
      <c r="U663" s="3">
        <v>0</v>
      </c>
      <c r="V663" s="3">
        <v>35</v>
      </c>
      <c r="W663" s="3">
        <v>43</v>
      </c>
    </row>
    <row r="664" spans="1:23" ht="11.25" customHeight="1" x14ac:dyDescent="0.25">
      <c r="A664" s="3" t="s">
        <v>55</v>
      </c>
      <c r="B664" s="3" t="s">
        <v>22</v>
      </c>
      <c r="C664" s="3" t="s">
        <v>33</v>
      </c>
      <c r="D664" s="3" t="s">
        <v>24</v>
      </c>
      <c r="E664" s="3" t="s">
        <v>24</v>
      </c>
      <c r="F664" s="3" t="s">
        <v>25</v>
      </c>
      <c r="G664" s="3" t="s">
        <v>25</v>
      </c>
      <c r="H664" s="3" t="s">
        <v>35</v>
      </c>
      <c r="I664" s="6">
        <v>44835</v>
      </c>
      <c r="J664" s="4">
        <v>0</v>
      </c>
      <c r="K664" s="4">
        <v>0</v>
      </c>
      <c r="L664" s="4">
        <v>0.55400000000000005</v>
      </c>
      <c r="M664" s="4">
        <v>0.55400000000000005</v>
      </c>
      <c r="N664" s="4">
        <v>0.55400000000000005</v>
      </c>
      <c r="O664" s="4">
        <v>0.55400000000000005</v>
      </c>
      <c r="P664" s="4">
        <v>0</v>
      </c>
      <c r="Q664" s="3" t="s">
        <v>26</v>
      </c>
      <c r="R664" s="3">
        <v>0</v>
      </c>
      <c r="S664" s="3" t="s">
        <v>163</v>
      </c>
      <c r="T664" s="3" t="s">
        <v>381</v>
      </c>
      <c r="U664" s="3">
        <v>0</v>
      </c>
      <c r="V664" s="3">
        <v>35</v>
      </c>
      <c r="W664" s="3">
        <v>43</v>
      </c>
    </row>
    <row r="665" spans="1:23" ht="11.25" customHeight="1" x14ac:dyDescent="0.25">
      <c r="A665" s="3" t="s">
        <v>21</v>
      </c>
      <c r="B665" s="3" t="s">
        <v>22</v>
      </c>
      <c r="C665" s="3" t="s">
        <v>33</v>
      </c>
      <c r="D665" s="3" t="s">
        <v>24</v>
      </c>
      <c r="E665" s="3" t="s">
        <v>24</v>
      </c>
      <c r="F665" s="3" t="s">
        <v>25</v>
      </c>
      <c r="G665" s="3" t="s">
        <v>25</v>
      </c>
      <c r="H665" s="3" t="s">
        <v>36</v>
      </c>
      <c r="I665" s="6">
        <v>44501</v>
      </c>
      <c r="J665" s="4">
        <v>0</v>
      </c>
      <c r="K665" s="4">
        <v>0</v>
      </c>
      <c r="L665" s="4">
        <v>4.1340000000000003</v>
      </c>
      <c r="M665" s="4">
        <v>4.1340000000000003</v>
      </c>
      <c r="N665" s="4">
        <v>4.1340000000000003</v>
      </c>
      <c r="O665" s="4">
        <v>4.1340000000000003</v>
      </c>
      <c r="P665" s="4">
        <v>0</v>
      </c>
      <c r="Q665" s="3" t="s">
        <v>26</v>
      </c>
      <c r="R665" s="3">
        <v>0</v>
      </c>
      <c r="S665" s="3" t="s">
        <v>164</v>
      </c>
      <c r="T665" s="3" t="s">
        <v>382</v>
      </c>
      <c r="U665" s="3">
        <v>0</v>
      </c>
      <c r="V665" s="3">
        <v>28</v>
      </c>
      <c r="W665" s="3">
        <v>36</v>
      </c>
    </row>
    <row r="666" spans="1:23" ht="11.25" customHeight="1" x14ac:dyDescent="0.25">
      <c r="A666" s="3" t="s">
        <v>21</v>
      </c>
      <c r="B666" s="3" t="s">
        <v>22</v>
      </c>
      <c r="C666" s="3" t="s">
        <v>33</v>
      </c>
      <c r="D666" s="3" t="s">
        <v>24</v>
      </c>
      <c r="E666" s="3" t="s">
        <v>24</v>
      </c>
      <c r="F666" s="3" t="s">
        <v>25</v>
      </c>
      <c r="G666" s="3" t="s">
        <v>25</v>
      </c>
      <c r="H666" s="3" t="s">
        <v>36</v>
      </c>
      <c r="I666" s="6">
        <v>44531</v>
      </c>
      <c r="J666" s="4">
        <v>0</v>
      </c>
      <c r="K666" s="4">
        <v>0</v>
      </c>
      <c r="L666" s="4">
        <v>4.0659999999999998</v>
      </c>
      <c r="M666" s="4">
        <v>4.0659999999999998</v>
      </c>
      <c r="N666" s="4">
        <v>4.0659999999999998</v>
      </c>
      <c r="O666" s="4">
        <v>4.0659999999999998</v>
      </c>
      <c r="P666" s="4">
        <v>0</v>
      </c>
      <c r="Q666" s="3" t="s">
        <v>26</v>
      </c>
      <c r="R666" s="3">
        <v>0</v>
      </c>
      <c r="S666" s="3" t="s">
        <v>165</v>
      </c>
      <c r="T666" s="3" t="s">
        <v>383</v>
      </c>
      <c r="U666" s="3">
        <v>0</v>
      </c>
      <c r="V666" s="3">
        <v>28</v>
      </c>
      <c r="W666" s="3">
        <v>36</v>
      </c>
    </row>
    <row r="667" spans="1:23" ht="11.25" customHeight="1" x14ac:dyDescent="0.25">
      <c r="A667" s="3" t="s">
        <v>21</v>
      </c>
      <c r="B667" s="3" t="s">
        <v>22</v>
      </c>
      <c r="C667" s="3" t="s">
        <v>33</v>
      </c>
      <c r="D667" s="3" t="s">
        <v>24</v>
      </c>
      <c r="E667" s="3" t="s">
        <v>24</v>
      </c>
      <c r="F667" s="3" t="s">
        <v>25</v>
      </c>
      <c r="G667" s="3" t="s">
        <v>25</v>
      </c>
      <c r="H667" s="3" t="s">
        <v>36</v>
      </c>
      <c r="I667" s="6">
        <v>44562</v>
      </c>
      <c r="J667" s="4">
        <v>0</v>
      </c>
      <c r="K667" s="4">
        <v>0</v>
      </c>
      <c r="L667" s="4">
        <v>3.4689999999999999</v>
      </c>
      <c r="M667" s="4">
        <v>3.4689999999999999</v>
      </c>
      <c r="N667" s="4">
        <v>3.4689999999999999</v>
      </c>
      <c r="O667" s="4">
        <v>3.4689999999999999</v>
      </c>
      <c r="P667" s="4">
        <v>0</v>
      </c>
      <c r="Q667" s="3" t="s">
        <v>26</v>
      </c>
      <c r="R667" s="3">
        <v>0</v>
      </c>
      <c r="S667" s="3" t="s">
        <v>166</v>
      </c>
      <c r="T667" s="3" t="s">
        <v>384</v>
      </c>
      <c r="U667" s="3">
        <v>0</v>
      </c>
      <c r="V667" s="3">
        <v>28</v>
      </c>
      <c r="W667" s="3">
        <v>36</v>
      </c>
    </row>
    <row r="668" spans="1:23" ht="11.25" customHeight="1" x14ac:dyDescent="0.25">
      <c r="A668" s="3" t="s">
        <v>21</v>
      </c>
      <c r="B668" s="3" t="s">
        <v>22</v>
      </c>
      <c r="C668" s="3" t="s">
        <v>33</v>
      </c>
      <c r="D668" s="3" t="s">
        <v>24</v>
      </c>
      <c r="E668" s="3" t="s">
        <v>24</v>
      </c>
      <c r="F668" s="3" t="s">
        <v>25</v>
      </c>
      <c r="G668" s="3" t="s">
        <v>25</v>
      </c>
      <c r="H668" s="3" t="s">
        <v>36</v>
      </c>
      <c r="I668" s="6">
        <v>44593</v>
      </c>
      <c r="J668" s="4">
        <v>0</v>
      </c>
      <c r="K668" s="4">
        <v>0</v>
      </c>
      <c r="L668" s="4">
        <v>3.867</v>
      </c>
      <c r="M668" s="4">
        <v>3.867</v>
      </c>
      <c r="N668" s="4">
        <v>3.867</v>
      </c>
      <c r="O668" s="4">
        <v>3.867</v>
      </c>
      <c r="P668" s="4">
        <v>0</v>
      </c>
      <c r="Q668" s="3" t="s">
        <v>26</v>
      </c>
      <c r="R668" s="3">
        <v>0</v>
      </c>
      <c r="S668" s="3" t="s">
        <v>167</v>
      </c>
      <c r="T668" s="3" t="s">
        <v>385</v>
      </c>
      <c r="U668" s="3">
        <v>0</v>
      </c>
      <c r="V668" s="3">
        <v>28</v>
      </c>
      <c r="W668" s="3">
        <v>36</v>
      </c>
    </row>
    <row r="669" spans="1:23" ht="11.25" customHeight="1" x14ac:dyDescent="0.25">
      <c r="A669" s="3" t="s">
        <v>21</v>
      </c>
      <c r="B669" s="3" t="s">
        <v>22</v>
      </c>
      <c r="C669" s="3" t="s">
        <v>33</v>
      </c>
      <c r="D669" s="3" t="s">
        <v>24</v>
      </c>
      <c r="E669" s="3" t="s">
        <v>24</v>
      </c>
      <c r="F669" s="3" t="s">
        <v>25</v>
      </c>
      <c r="G669" s="3" t="s">
        <v>25</v>
      </c>
      <c r="H669" s="3" t="s">
        <v>36</v>
      </c>
      <c r="I669" s="6">
        <v>44621</v>
      </c>
      <c r="J669" s="4">
        <v>0</v>
      </c>
      <c r="K669" s="4">
        <v>0</v>
      </c>
      <c r="L669" s="4">
        <v>3.5209999999999999</v>
      </c>
      <c r="M669" s="4">
        <v>3.5209999999999999</v>
      </c>
      <c r="N669" s="4">
        <v>3.5209999999999999</v>
      </c>
      <c r="O669" s="4">
        <v>3.5209999999999999</v>
      </c>
      <c r="P669" s="4">
        <v>0</v>
      </c>
      <c r="Q669" s="3" t="s">
        <v>26</v>
      </c>
      <c r="R669" s="3">
        <v>0</v>
      </c>
      <c r="S669" s="3" t="s">
        <v>168</v>
      </c>
      <c r="T669" s="3" t="s">
        <v>386</v>
      </c>
      <c r="U669" s="3">
        <v>0</v>
      </c>
      <c r="V669" s="3">
        <v>28</v>
      </c>
      <c r="W669" s="3">
        <v>36</v>
      </c>
    </row>
    <row r="670" spans="1:23" ht="11.25" customHeight="1" x14ac:dyDescent="0.25">
      <c r="A670" s="3" t="s">
        <v>21</v>
      </c>
      <c r="B670" s="3" t="s">
        <v>22</v>
      </c>
      <c r="C670" s="3" t="s">
        <v>33</v>
      </c>
      <c r="D670" s="3" t="s">
        <v>24</v>
      </c>
      <c r="E670" s="3" t="s">
        <v>24</v>
      </c>
      <c r="F670" s="3" t="s">
        <v>25</v>
      </c>
      <c r="G670" s="3" t="s">
        <v>25</v>
      </c>
      <c r="H670" s="3" t="s">
        <v>36</v>
      </c>
      <c r="I670" s="6">
        <v>44652</v>
      </c>
      <c r="J670" s="4">
        <v>0</v>
      </c>
      <c r="K670" s="4">
        <v>0</v>
      </c>
      <c r="L670" s="4">
        <v>3.5209999999999999</v>
      </c>
      <c r="M670" s="4">
        <v>3.5209999999999999</v>
      </c>
      <c r="N670" s="4">
        <v>3.5209999999999999</v>
      </c>
      <c r="O670" s="4">
        <v>3.5209999999999999</v>
      </c>
      <c r="P670" s="4">
        <v>0</v>
      </c>
      <c r="Q670" s="3" t="s">
        <v>26</v>
      </c>
      <c r="R670" s="3">
        <v>0</v>
      </c>
      <c r="S670" s="3" t="s">
        <v>169</v>
      </c>
      <c r="T670" s="3" t="s">
        <v>387</v>
      </c>
      <c r="U670" s="3">
        <v>0</v>
      </c>
      <c r="V670" s="3">
        <v>28</v>
      </c>
      <c r="W670" s="3">
        <v>36</v>
      </c>
    </row>
    <row r="671" spans="1:23" ht="11.25" customHeight="1" x14ac:dyDescent="0.25">
      <c r="A671" s="3" t="s">
        <v>21</v>
      </c>
      <c r="B671" s="3" t="s">
        <v>22</v>
      </c>
      <c r="C671" s="3" t="s">
        <v>33</v>
      </c>
      <c r="D671" s="3" t="s">
        <v>24</v>
      </c>
      <c r="E671" s="3" t="s">
        <v>24</v>
      </c>
      <c r="F671" s="3" t="s">
        <v>25</v>
      </c>
      <c r="G671" s="3" t="s">
        <v>25</v>
      </c>
      <c r="H671" s="3" t="s">
        <v>36</v>
      </c>
      <c r="I671" s="6">
        <v>44682</v>
      </c>
      <c r="J671" s="4">
        <v>0</v>
      </c>
      <c r="K671" s="4">
        <v>0</v>
      </c>
      <c r="L671" s="4">
        <v>3.0379999999999998</v>
      </c>
      <c r="M671" s="4">
        <v>3.0379999999999998</v>
      </c>
      <c r="N671" s="4">
        <v>3.0379999999999998</v>
      </c>
      <c r="O671" s="4">
        <v>3.0379999999999998</v>
      </c>
      <c r="P671" s="4">
        <v>0</v>
      </c>
      <c r="Q671" s="3" t="s">
        <v>26</v>
      </c>
      <c r="R671" s="3">
        <v>0</v>
      </c>
      <c r="S671" s="3" t="s">
        <v>170</v>
      </c>
      <c r="T671" s="3" t="s">
        <v>388</v>
      </c>
      <c r="U671" s="3">
        <v>0</v>
      </c>
      <c r="V671" s="3">
        <v>28</v>
      </c>
      <c r="W671" s="3">
        <v>36</v>
      </c>
    </row>
    <row r="672" spans="1:23" ht="11.25" customHeight="1" x14ac:dyDescent="0.25">
      <c r="A672" s="3" t="s">
        <v>21</v>
      </c>
      <c r="B672" s="3" t="s">
        <v>22</v>
      </c>
      <c r="C672" s="3" t="s">
        <v>33</v>
      </c>
      <c r="D672" s="3" t="s">
        <v>24</v>
      </c>
      <c r="E672" s="3" t="s">
        <v>24</v>
      </c>
      <c r="F672" s="3" t="s">
        <v>25</v>
      </c>
      <c r="G672" s="3" t="s">
        <v>25</v>
      </c>
      <c r="H672" s="3" t="s">
        <v>36</v>
      </c>
      <c r="I672" s="6">
        <v>44713</v>
      </c>
      <c r="J672" s="4">
        <v>0</v>
      </c>
      <c r="K672" s="4">
        <v>0</v>
      </c>
      <c r="L672" s="4">
        <v>2.9569999999999999</v>
      </c>
      <c r="M672" s="4">
        <v>2.9569999999999999</v>
      </c>
      <c r="N672" s="4">
        <v>2.9569999999999999</v>
      </c>
      <c r="O672" s="4">
        <v>2.9569999999999999</v>
      </c>
      <c r="P672" s="4">
        <v>0</v>
      </c>
      <c r="Q672" s="3" t="s">
        <v>26</v>
      </c>
      <c r="R672" s="3">
        <v>0</v>
      </c>
      <c r="S672" s="3" t="s">
        <v>171</v>
      </c>
      <c r="T672" s="3" t="s">
        <v>389</v>
      </c>
      <c r="U672" s="3">
        <v>0</v>
      </c>
      <c r="V672" s="3">
        <v>28</v>
      </c>
      <c r="W672" s="3">
        <v>36</v>
      </c>
    </row>
    <row r="673" spans="1:23" ht="11.25" customHeight="1" x14ac:dyDescent="0.25">
      <c r="A673" s="3" t="s">
        <v>21</v>
      </c>
      <c r="B673" s="3" t="s">
        <v>22</v>
      </c>
      <c r="C673" s="3" t="s">
        <v>33</v>
      </c>
      <c r="D673" s="3" t="s">
        <v>24</v>
      </c>
      <c r="E673" s="3" t="s">
        <v>24</v>
      </c>
      <c r="F673" s="3" t="s">
        <v>25</v>
      </c>
      <c r="G673" s="3" t="s">
        <v>25</v>
      </c>
      <c r="H673" s="3" t="s">
        <v>36</v>
      </c>
      <c r="I673" s="6">
        <v>44743</v>
      </c>
      <c r="J673" s="4">
        <v>0</v>
      </c>
      <c r="K673" s="4">
        <v>0</v>
      </c>
      <c r="L673" s="4">
        <v>3.0139999999999998</v>
      </c>
      <c r="M673" s="4">
        <v>3.0139999999999998</v>
      </c>
      <c r="N673" s="4">
        <v>3.0139999999999998</v>
      </c>
      <c r="O673" s="4">
        <v>3.0139999999999998</v>
      </c>
      <c r="P673" s="4">
        <v>0</v>
      </c>
      <c r="Q673" s="3" t="s">
        <v>26</v>
      </c>
      <c r="R673" s="3">
        <v>0</v>
      </c>
      <c r="S673" s="3" t="s">
        <v>172</v>
      </c>
      <c r="T673" s="3" t="s">
        <v>390</v>
      </c>
      <c r="U673" s="3">
        <v>0</v>
      </c>
      <c r="V673" s="3">
        <v>28</v>
      </c>
      <c r="W673" s="3">
        <v>36</v>
      </c>
    </row>
    <row r="674" spans="1:23" ht="11.25" customHeight="1" x14ac:dyDescent="0.25">
      <c r="A674" s="3" t="s">
        <v>21</v>
      </c>
      <c r="B674" s="3" t="s">
        <v>22</v>
      </c>
      <c r="C674" s="3" t="s">
        <v>33</v>
      </c>
      <c r="D674" s="3" t="s">
        <v>24</v>
      </c>
      <c r="E674" s="3" t="s">
        <v>24</v>
      </c>
      <c r="F674" s="3" t="s">
        <v>25</v>
      </c>
      <c r="G674" s="3" t="s">
        <v>25</v>
      </c>
      <c r="H674" s="3" t="s">
        <v>36</v>
      </c>
      <c r="I674" s="6">
        <v>44774</v>
      </c>
      <c r="J674" s="4">
        <v>0</v>
      </c>
      <c r="K674" s="4">
        <v>0</v>
      </c>
      <c r="L674" s="4">
        <v>3.6819999999999999</v>
      </c>
      <c r="M674" s="4">
        <v>3.6819999999999999</v>
      </c>
      <c r="N674" s="4">
        <v>3.6819999999999999</v>
      </c>
      <c r="O674" s="4">
        <v>3.6819999999999999</v>
      </c>
      <c r="P674" s="4">
        <v>0</v>
      </c>
      <c r="Q674" s="3" t="s">
        <v>26</v>
      </c>
      <c r="R674" s="3">
        <v>0</v>
      </c>
      <c r="S674" s="3" t="s">
        <v>173</v>
      </c>
      <c r="T674" s="3" t="s">
        <v>391</v>
      </c>
      <c r="U674" s="3">
        <v>0</v>
      </c>
      <c r="V674" s="3">
        <v>28</v>
      </c>
      <c r="W674" s="3">
        <v>36</v>
      </c>
    </row>
    <row r="675" spans="1:23" ht="11.25" customHeight="1" x14ac:dyDescent="0.25">
      <c r="A675" s="3" t="s">
        <v>21</v>
      </c>
      <c r="B675" s="3" t="s">
        <v>22</v>
      </c>
      <c r="C675" s="3" t="s">
        <v>33</v>
      </c>
      <c r="D675" s="3" t="s">
        <v>24</v>
      </c>
      <c r="E675" s="3" t="s">
        <v>24</v>
      </c>
      <c r="F675" s="3" t="s">
        <v>25</v>
      </c>
      <c r="G675" s="3" t="s">
        <v>25</v>
      </c>
      <c r="H675" s="3" t="s">
        <v>36</v>
      </c>
      <c r="I675" s="6">
        <v>44805</v>
      </c>
      <c r="J675" s="4">
        <v>0</v>
      </c>
      <c r="K675" s="4">
        <v>0</v>
      </c>
      <c r="L675" s="4">
        <v>3.3959999999999999</v>
      </c>
      <c r="M675" s="4">
        <v>3.3959999999999999</v>
      </c>
      <c r="N675" s="4">
        <v>3.3959999999999999</v>
      </c>
      <c r="O675" s="4">
        <v>3.3959999999999999</v>
      </c>
      <c r="P675" s="4">
        <v>0</v>
      </c>
      <c r="Q675" s="3" t="s">
        <v>26</v>
      </c>
      <c r="R675" s="3">
        <v>0</v>
      </c>
      <c r="S675" s="3" t="s">
        <v>174</v>
      </c>
      <c r="T675" s="3" t="s">
        <v>392</v>
      </c>
      <c r="U675" s="3">
        <v>0</v>
      </c>
      <c r="V675" s="3">
        <v>28</v>
      </c>
      <c r="W675" s="3">
        <v>36</v>
      </c>
    </row>
    <row r="676" spans="1:23" ht="11.25" customHeight="1" x14ac:dyDescent="0.25">
      <c r="A676" s="3" t="s">
        <v>55</v>
      </c>
      <c r="B676" s="3" t="s">
        <v>22</v>
      </c>
      <c r="C676" s="3" t="s">
        <v>33</v>
      </c>
      <c r="D676" s="3" t="s">
        <v>24</v>
      </c>
      <c r="E676" s="3" t="s">
        <v>24</v>
      </c>
      <c r="F676" s="3" t="s">
        <v>25</v>
      </c>
      <c r="G676" s="3" t="s">
        <v>25</v>
      </c>
      <c r="H676" s="3" t="s">
        <v>36</v>
      </c>
      <c r="I676" s="6">
        <v>44835</v>
      </c>
      <c r="J676" s="4">
        <v>0</v>
      </c>
      <c r="K676" s="4">
        <v>0</v>
      </c>
      <c r="L676" s="4">
        <v>3.3959999999999999</v>
      </c>
      <c r="M676" s="4">
        <v>3.3959999999999999</v>
      </c>
      <c r="N676" s="4">
        <v>3.3959999999999999</v>
      </c>
      <c r="O676" s="4">
        <v>3.3959999999999999</v>
      </c>
      <c r="P676" s="4">
        <v>0</v>
      </c>
      <c r="Q676" s="3" t="s">
        <v>26</v>
      </c>
      <c r="R676" s="3">
        <v>0</v>
      </c>
      <c r="S676" s="3" t="s">
        <v>175</v>
      </c>
      <c r="T676" s="3" t="s">
        <v>393</v>
      </c>
      <c r="U676" s="3">
        <v>0</v>
      </c>
      <c r="V676" s="3">
        <v>28</v>
      </c>
      <c r="W676" s="3">
        <v>36</v>
      </c>
    </row>
    <row r="677" spans="1:23" ht="11.25" customHeight="1" x14ac:dyDescent="0.25">
      <c r="A677" s="3" t="s">
        <v>21</v>
      </c>
      <c r="B677" s="3" t="s">
        <v>22</v>
      </c>
      <c r="C677" s="3" t="s">
        <v>33</v>
      </c>
      <c r="D677" s="3" t="s">
        <v>24</v>
      </c>
      <c r="E677" s="3" t="s">
        <v>24</v>
      </c>
      <c r="F677" s="3" t="s">
        <v>25</v>
      </c>
      <c r="G677" s="3" t="s">
        <v>25</v>
      </c>
      <c r="H677" s="3" t="s">
        <v>34</v>
      </c>
      <c r="I677" s="6">
        <v>44501</v>
      </c>
      <c r="J677" s="4">
        <v>0</v>
      </c>
      <c r="K677" s="4">
        <v>0</v>
      </c>
      <c r="L677" s="4">
        <v>5.9640000000000004</v>
      </c>
      <c r="M677" s="4">
        <v>5.9640000000000004</v>
      </c>
      <c r="N677" s="4">
        <v>5.9640000000000004</v>
      </c>
      <c r="O677" s="4">
        <v>5.9640000000000004</v>
      </c>
      <c r="P677" s="4">
        <v>0</v>
      </c>
      <c r="Q677" s="3" t="s">
        <v>26</v>
      </c>
      <c r="R677" s="3">
        <v>0</v>
      </c>
      <c r="S677" s="3" t="s">
        <v>176</v>
      </c>
      <c r="T677" s="3" t="s">
        <v>394</v>
      </c>
      <c r="U677" s="3">
        <v>0</v>
      </c>
      <c r="V677" s="3">
        <v>13</v>
      </c>
      <c r="W677" s="3">
        <v>26</v>
      </c>
    </row>
    <row r="678" spans="1:23" ht="11.25" customHeight="1" x14ac:dyDescent="0.25">
      <c r="A678" s="3" t="s">
        <v>28</v>
      </c>
      <c r="B678" s="3" t="s">
        <v>22</v>
      </c>
      <c r="C678" s="3" t="s">
        <v>33</v>
      </c>
      <c r="D678" s="3" t="s">
        <v>24</v>
      </c>
      <c r="E678" s="3" t="s">
        <v>24</v>
      </c>
      <c r="F678" s="3" t="s">
        <v>25</v>
      </c>
      <c r="G678" s="3" t="s">
        <v>25</v>
      </c>
      <c r="H678" s="3" t="s">
        <v>34</v>
      </c>
      <c r="I678" s="6">
        <v>44501</v>
      </c>
      <c r="J678" s="4">
        <v>0</v>
      </c>
      <c r="K678" s="4">
        <v>0</v>
      </c>
      <c r="L678" s="4">
        <v>8.7999999999999995E-2</v>
      </c>
      <c r="M678" s="4">
        <v>8.7999999999999995E-2</v>
      </c>
      <c r="N678" s="4">
        <v>8.7999999999999995E-2</v>
      </c>
      <c r="O678" s="4">
        <v>8.7999999999999995E-2</v>
      </c>
      <c r="P678" s="4">
        <v>0</v>
      </c>
      <c r="Q678" s="3" t="s">
        <v>26</v>
      </c>
      <c r="R678" s="3">
        <v>0</v>
      </c>
      <c r="S678" s="3" t="s">
        <v>176</v>
      </c>
      <c r="T678" s="3" t="s">
        <v>394</v>
      </c>
      <c r="U678" s="3">
        <v>0</v>
      </c>
      <c r="V678" s="3">
        <v>13</v>
      </c>
      <c r="W678" s="3">
        <v>26</v>
      </c>
    </row>
    <row r="679" spans="1:23" ht="11.25" customHeight="1" x14ac:dyDescent="0.25">
      <c r="A679" s="3" t="s">
        <v>21</v>
      </c>
      <c r="B679" s="3" t="s">
        <v>22</v>
      </c>
      <c r="C679" s="3" t="s">
        <v>33</v>
      </c>
      <c r="D679" s="3" t="s">
        <v>24</v>
      </c>
      <c r="E679" s="3" t="s">
        <v>24</v>
      </c>
      <c r="F679" s="3" t="s">
        <v>25</v>
      </c>
      <c r="G679" s="3" t="s">
        <v>25</v>
      </c>
      <c r="H679" s="3" t="s">
        <v>34</v>
      </c>
      <c r="I679" s="6">
        <v>44531</v>
      </c>
      <c r="J679" s="4">
        <v>0</v>
      </c>
      <c r="K679" s="4">
        <v>0</v>
      </c>
      <c r="L679" s="4">
        <v>5.851</v>
      </c>
      <c r="M679" s="4">
        <v>5.851</v>
      </c>
      <c r="N679" s="4">
        <v>5.851</v>
      </c>
      <c r="O679" s="4">
        <v>5.851</v>
      </c>
      <c r="P679" s="4">
        <v>0</v>
      </c>
      <c r="Q679" s="3" t="s">
        <v>26</v>
      </c>
      <c r="R679" s="3">
        <v>0</v>
      </c>
      <c r="S679" s="3" t="s">
        <v>177</v>
      </c>
      <c r="T679" s="3" t="s">
        <v>395</v>
      </c>
      <c r="U679" s="3">
        <v>0</v>
      </c>
      <c r="V679" s="3">
        <v>13</v>
      </c>
      <c r="W679" s="3">
        <v>26</v>
      </c>
    </row>
    <row r="680" spans="1:23" ht="11.25" customHeight="1" x14ac:dyDescent="0.25">
      <c r="A680" s="3" t="s">
        <v>28</v>
      </c>
      <c r="B680" s="3" t="s">
        <v>22</v>
      </c>
      <c r="C680" s="3" t="s">
        <v>33</v>
      </c>
      <c r="D680" s="3" t="s">
        <v>24</v>
      </c>
      <c r="E680" s="3" t="s">
        <v>24</v>
      </c>
      <c r="F680" s="3" t="s">
        <v>25</v>
      </c>
      <c r="G680" s="3" t="s">
        <v>25</v>
      </c>
      <c r="H680" s="3" t="s">
        <v>34</v>
      </c>
      <c r="I680" s="6">
        <v>44531</v>
      </c>
      <c r="J680" s="4">
        <v>0</v>
      </c>
      <c r="K680" s="4">
        <v>0</v>
      </c>
      <c r="L680" s="4">
        <v>6.2E-2</v>
      </c>
      <c r="M680" s="4">
        <v>6.2E-2</v>
      </c>
      <c r="N680" s="4">
        <v>6.2E-2</v>
      </c>
      <c r="O680" s="4">
        <v>6.2E-2</v>
      </c>
      <c r="P680" s="4">
        <v>0</v>
      </c>
      <c r="Q680" s="3" t="s">
        <v>26</v>
      </c>
      <c r="R680" s="3">
        <v>0</v>
      </c>
      <c r="S680" s="3" t="s">
        <v>177</v>
      </c>
      <c r="T680" s="3" t="s">
        <v>395</v>
      </c>
      <c r="U680" s="3">
        <v>0</v>
      </c>
      <c r="V680" s="3">
        <v>13</v>
      </c>
      <c r="W680" s="3">
        <v>26</v>
      </c>
    </row>
    <row r="681" spans="1:23" ht="11.25" customHeight="1" x14ac:dyDescent="0.25">
      <c r="A681" s="3" t="s">
        <v>21</v>
      </c>
      <c r="B681" s="3" t="s">
        <v>22</v>
      </c>
      <c r="C681" s="3" t="s">
        <v>33</v>
      </c>
      <c r="D681" s="3" t="s">
        <v>24</v>
      </c>
      <c r="E681" s="3" t="s">
        <v>24</v>
      </c>
      <c r="F681" s="3" t="s">
        <v>25</v>
      </c>
      <c r="G681" s="3" t="s">
        <v>25</v>
      </c>
      <c r="H681" s="3" t="s">
        <v>34</v>
      </c>
      <c r="I681" s="6">
        <v>44562</v>
      </c>
      <c r="J681" s="4">
        <v>0</v>
      </c>
      <c r="K681" s="4">
        <v>0</v>
      </c>
      <c r="L681" s="4">
        <v>5.1840000000000002</v>
      </c>
      <c r="M681" s="4">
        <v>5.1840000000000002</v>
      </c>
      <c r="N681" s="4">
        <v>5.1840000000000002</v>
      </c>
      <c r="O681" s="4">
        <v>5.1840000000000002</v>
      </c>
      <c r="P681" s="4">
        <v>0</v>
      </c>
      <c r="Q681" s="3" t="s">
        <v>26</v>
      </c>
      <c r="R681" s="3">
        <v>0</v>
      </c>
      <c r="S681" s="3" t="s">
        <v>178</v>
      </c>
      <c r="T681" s="3" t="s">
        <v>396</v>
      </c>
      <c r="U681" s="3">
        <v>0</v>
      </c>
      <c r="V681" s="3">
        <v>13</v>
      </c>
      <c r="W681" s="3">
        <v>26</v>
      </c>
    </row>
    <row r="682" spans="1:23" ht="11.25" customHeight="1" x14ac:dyDescent="0.25">
      <c r="A682" s="3" t="s">
        <v>28</v>
      </c>
      <c r="B682" s="3" t="s">
        <v>22</v>
      </c>
      <c r="C682" s="3" t="s">
        <v>33</v>
      </c>
      <c r="D682" s="3" t="s">
        <v>24</v>
      </c>
      <c r="E682" s="3" t="s">
        <v>24</v>
      </c>
      <c r="F682" s="3" t="s">
        <v>25</v>
      </c>
      <c r="G682" s="3" t="s">
        <v>25</v>
      </c>
      <c r="H682" s="3" t="s">
        <v>34</v>
      </c>
      <c r="I682" s="6">
        <v>44562</v>
      </c>
      <c r="J682" s="4">
        <v>0</v>
      </c>
      <c r="K682" s="4">
        <v>0</v>
      </c>
      <c r="L682" s="4">
        <v>6.7000000000000004E-2</v>
      </c>
      <c r="M682" s="4">
        <v>6.7000000000000004E-2</v>
      </c>
      <c r="N682" s="4">
        <v>6.7000000000000004E-2</v>
      </c>
      <c r="O682" s="4">
        <v>6.7000000000000004E-2</v>
      </c>
      <c r="P682" s="4">
        <v>0</v>
      </c>
      <c r="Q682" s="3" t="s">
        <v>26</v>
      </c>
      <c r="R682" s="3">
        <v>0</v>
      </c>
      <c r="S682" s="3" t="s">
        <v>178</v>
      </c>
      <c r="T682" s="3" t="s">
        <v>396</v>
      </c>
      <c r="U682" s="3">
        <v>0</v>
      </c>
      <c r="V682" s="3">
        <v>13</v>
      </c>
      <c r="W682" s="3">
        <v>26</v>
      </c>
    </row>
    <row r="683" spans="1:23" ht="11.25" customHeight="1" x14ac:dyDescent="0.25">
      <c r="A683" s="3" t="s">
        <v>21</v>
      </c>
      <c r="B683" s="3" t="s">
        <v>22</v>
      </c>
      <c r="C683" s="3" t="s">
        <v>33</v>
      </c>
      <c r="D683" s="3" t="s">
        <v>24</v>
      </c>
      <c r="E683" s="3" t="s">
        <v>24</v>
      </c>
      <c r="F683" s="3" t="s">
        <v>25</v>
      </c>
      <c r="G683" s="3" t="s">
        <v>25</v>
      </c>
      <c r="H683" s="3" t="s">
        <v>34</v>
      </c>
      <c r="I683" s="6">
        <v>44593</v>
      </c>
      <c r="J683" s="4">
        <v>0</v>
      </c>
      <c r="K683" s="4">
        <v>0</v>
      </c>
      <c r="L683" s="4">
        <v>5.74</v>
      </c>
      <c r="M683" s="4">
        <v>5.74</v>
      </c>
      <c r="N683" s="4">
        <v>5.74</v>
      </c>
      <c r="O683" s="4">
        <v>5.74</v>
      </c>
      <c r="P683" s="4">
        <v>0</v>
      </c>
      <c r="Q683" s="3" t="s">
        <v>26</v>
      </c>
      <c r="R683" s="3">
        <v>0</v>
      </c>
      <c r="S683" s="3" t="s">
        <v>179</v>
      </c>
      <c r="T683" s="3" t="s">
        <v>397</v>
      </c>
      <c r="U683" s="3">
        <v>0</v>
      </c>
      <c r="V683" s="3">
        <v>13</v>
      </c>
      <c r="W683" s="3">
        <v>26</v>
      </c>
    </row>
    <row r="684" spans="1:23" ht="11.25" customHeight="1" x14ac:dyDescent="0.25">
      <c r="A684" s="3" t="s">
        <v>28</v>
      </c>
      <c r="B684" s="3" t="s">
        <v>22</v>
      </c>
      <c r="C684" s="3" t="s">
        <v>33</v>
      </c>
      <c r="D684" s="3" t="s">
        <v>24</v>
      </c>
      <c r="E684" s="3" t="s">
        <v>24</v>
      </c>
      <c r="F684" s="3" t="s">
        <v>25</v>
      </c>
      <c r="G684" s="3" t="s">
        <v>25</v>
      </c>
      <c r="H684" s="3" t="s">
        <v>34</v>
      </c>
      <c r="I684" s="6">
        <v>44593</v>
      </c>
      <c r="J684" s="4">
        <v>0</v>
      </c>
      <c r="K684" s="4">
        <v>0</v>
      </c>
      <c r="L684" s="4">
        <v>8.2000000000000003E-2</v>
      </c>
      <c r="M684" s="4">
        <v>8.2000000000000003E-2</v>
      </c>
      <c r="N684" s="4">
        <v>8.2000000000000003E-2</v>
      </c>
      <c r="O684" s="4">
        <v>8.2000000000000003E-2</v>
      </c>
      <c r="P684" s="4">
        <v>0</v>
      </c>
      <c r="Q684" s="3" t="s">
        <v>26</v>
      </c>
      <c r="R684" s="3">
        <v>0</v>
      </c>
      <c r="S684" s="3" t="s">
        <v>179</v>
      </c>
      <c r="T684" s="3" t="s">
        <v>397</v>
      </c>
      <c r="U684" s="3">
        <v>0</v>
      </c>
      <c r="V684" s="3">
        <v>13</v>
      </c>
      <c r="W684" s="3">
        <v>26</v>
      </c>
    </row>
    <row r="685" spans="1:23" ht="11.25" customHeight="1" x14ac:dyDescent="0.25">
      <c r="A685" s="3" t="s">
        <v>21</v>
      </c>
      <c r="B685" s="3" t="s">
        <v>22</v>
      </c>
      <c r="C685" s="3" t="s">
        <v>33</v>
      </c>
      <c r="D685" s="3" t="s">
        <v>24</v>
      </c>
      <c r="E685" s="3" t="s">
        <v>24</v>
      </c>
      <c r="F685" s="3" t="s">
        <v>25</v>
      </c>
      <c r="G685" s="3" t="s">
        <v>25</v>
      </c>
      <c r="H685" s="3" t="s">
        <v>34</v>
      </c>
      <c r="I685" s="6">
        <v>44621</v>
      </c>
      <c r="J685" s="4">
        <v>0</v>
      </c>
      <c r="K685" s="4">
        <v>0</v>
      </c>
      <c r="L685" s="4">
        <v>5.0720000000000001</v>
      </c>
      <c r="M685" s="4">
        <v>5.0720000000000001</v>
      </c>
      <c r="N685" s="4">
        <v>5.0720000000000001</v>
      </c>
      <c r="O685" s="4">
        <v>5.0720000000000001</v>
      </c>
      <c r="P685" s="4">
        <v>0</v>
      </c>
      <c r="Q685" s="3" t="s">
        <v>26</v>
      </c>
      <c r="R685" s="3">
        <v>0</v>
      </c>
      <c r="S685" s="3" t="s">
        <v>180</v>
      </c>
      <c r="T685" s="3" t="s">
        <v>398</v>
      </c>
      <c r="U685" s="3">
        <v>0</v>
      </c>
      <c r="V685" s="3">
        <v>13</v>
      </c>
      <c r="W685" s="3">
        <v>26</v>
      </c>
    </row>
    <row r="686" spans="1:23" ht="11.25" customHeight="1" x14ac:dyDescent="0.25">
      <c r="A686" s="3" t="s">
        <v>28</v>
      </c>
      <c r="B686" s="3" t="s">
        <v>22</v>
      </c>
      <c r="C686" s="3" t="s">
        <v>33</v>
      </c>
      <c r="D686" s="3" t="s">
        <v>24</v>
      </c>
      <c r="E686" s="3" t="s">
        <v>24</v>
      </c>
      <c r="F686" s="3" t="s">
        <v>25</v>
      </c>
      <c r="G686" s="3" t="s">
        <v>25</v>
      </c>
      <c r="H686" s="3" t="s">
        <v>34</v>
      </c>
      <c r="I686" s="6">
        <v>44621</v>
      </c>
      <c r="J686" s="4">
        <v>0</v>
      </c>
      <c r="K686" s="4">
        <v>0</v>
      </c>
      <c r="L686" s="4">
        <v>8.4000000000000005E-2</v>
      </c>
      <c r="M686" s="4">
        <v>8.4000000000000005E-2</v>
      </c>
      <c r="N686" s="4">
        <v>8.4000000000000005E-2</v>
      </c>
      <c r="O686" s="4">
        <v>8.4000000000000005E-2</v>
      </c>
      <c r="P686" s="4">
        <v>0</v>
      </c>
      <c r="Q686" s="3" t="s">
        <v>26</v>
      </c>
      <c r="R686" s="3">
        <v>0</v>
      </c>
      <c r="S686" s="3" t="s">
        <v>180</v>
      </c>
      <c r="T686" s="3" t="s">
        <v>398</v>
      </c>
      <c r="U686" s="3">
        <v>0</v>
      </c>
      <c r="V686" s="3">
        <v>13</v>
      </c>
      <c r="W686" s="3">
        <v>26</v>
      </c>
    </row>
    <row r="687" spans="1:23" ht="11.25" customHeight="1" x14ac:dyDescent="0.25">
      <c r="A687" s="3" t="s">
        <v>21</v>
      </c>
      <c r="B687" s="3" t="s">
        <v>22</v>
      </c>
      <c r="C687" s="3" t="s">
        <v>33</v>
      </c>
      <c r="D687" s="3" t="s">
        <v>24</v>
      </c>
      <c r="E687" s="3" t="s">
        <v>24</v>
      </c>
      <c r="F687" s="3" t="s">
        <v>25</v>
      </c>
      <c r="G687" s="3" t="s">
        <v>25</v>
      </c>
      <c r="H687" s="3" t="s">
        <v>34</v>
      </c>
      <c r="I687" s="6">
        <v>44652</v>
      </c>
      <c r="J687" s="4">
        <v>0</v>
      </c>
      <c r="K687" s="4">
        <v>0</v>
      </c>
      <c r="L687" s="4">
        <v>5.0720000000000001</v>
      </c>
      <c r="M687" s="4">
        <v>5.0720000000000001</v>
      </c>
      <c r="N687" s="4">
        <v>5.0720000000000001</v>
      </c>
      <c r="O687" s="4">
        <v>5.0720000000000001</v>
      </c>
      <c r="P687" s="4">
        <v>0</v>
      </c>
      <c r="Q687" s="3" t="s">
        <v>26</v>
      </c>
      <c r="R687" s="3">
        <v>0</v>
      </c>
      <c r="S687" s="3" t="s">
        <v>181</v>
      </c>
      <c r="T687" s="3" t="s">
        <v>399</v>
      </c>
      <c r="U687" s="3">
        <v>0</v>
      </c>
      <c r="V687" s="3">
        <v>13</v>
      </c>
      <c r="W687" s="3">
        <v>26</v>
      </c>
    </row>
    <row r="688" spans="1:23" ht="11.25" customHeight="1" x14ac:dyDescent="0.25">
      <c r="A688" s="3" t="s">
        <v>28</v>
      </c>
      <c r="B688" s="3" t="s">
        <v>22</v>
      </c>
      <c r="C688" s="3" t="s">
        <v>33</v>
      </c>
      <c r="D688" s="3" t="s">
        <v>24</v>
      </c>
      <c r="E688" s="3" t="s">
        <v>24</v>
      </c>
      <c r="F688" s="3" t="s">
        <v>25</v>
      </c>
      <c r="G688" s="3" t="s">
        <v>25</v>
      </c>
      <c r="H688" s="3" t="s">
        <v>34</v>
      </c>
      <c r="I688" s="6">
        <v>44652</v>
      </c>
      <c r="J688" s="4">
        <v>0</v>
      </c>
      <c r="K688" s="4">
        <v>0</v>
      </c>
      <c r="L688" s="4">
        <v>8.4000000000000005E-2</v>
      </c>
      <c r="M688" s="4">
        <v>8.4000000000000005E-2</v>
      </c>
      <c r="N688" s="4">
        <v>8.4000000000000005E-2</v>
      </c>
      <c r="O688" s="4">
        <v>8.4000000000000005E-2</v>
      </c>
      <c r="P688" s="4">
        <v>0</v>
      </c>
      <c r="Q688" s="3" t="s">
        <v>26</v>
      </c>
      <c r="R688" s="3">
        <v>0</v>
      </c>
      <c r="S688" s="3" t="s">
        <v>181</v>
      </c>
      <c r="T688" s="3" t="s">
        <v>399</v>
      </c>
      <c r="U688" s="3">
        <v>0</v>
      </c>
      <c r="V688" s="3">
        <v>13</v>
      </c>
      <c r="W688" s="3">
        <v>26</v>
      </c>
    </row>
    <row r="689" spans="1:23" ht="11.25" customHeight="1" x14ac:dyDescent="0.25">
      <c r="A689" s="3" t="s">
        <v>21</v>
      </c>
      <c r="B689" s="3" t="s">
        <v>22</v>
      </c>
      <c r="C689" s="3" t="s">
        <v>33</v>
      </c>
      <c r="D689" s="3" t="s">
        <v>24</v>
      </c>
      <c r="E689" s="3" t="s">
        <v>24</v>
      </c>
      <c r="F689" s="3" t="s">
        <v>25</v>
      </c>
      <c r="G689" s="3" t="s">
        <v>25</v>
      </c>
      <c r="H689" s="3" t="s">
        <v>34</v>
      </c>
      <c r="I689" s="6">
        <v>44682</v>
      </c>
      <c r="J689" s="4">
        <v>0</v>
      </c>
      <c r="K689" s="4">
        <v>0</v>
      </c>
      <c r="L689" s="4">
        <v>4.3920000000000003</v>
      </c>
      <c r="M689" s="4">
        <v>4.3920000000000003</v>
      </c>
      <c r="N689" s="4">
        <v>4.3920000000000003</v>
      </c>
      <c r="O689" s="4">
        <v>4.3920000000000003</v>
      </c>
      <c r="P689" s="4">
        <v>0</v>
      </c>
      <c r="Q689" s="3" t="s">
        <v>26</v>
      </c>
      <c r="R689" s="3">
        <v>0</v>
      </c>
      <c r="S689" s="3" t="s">
        <v>182</v>
      </c>
      <c r="T689" s="3" t="s">
        <v>400</v>
      </c>
      <c r="U689" s="3">
        <v>0</v>
      </c>
      <c r="V689" s="3">
        <v>13</v>
      </c>
      <c r="W689" s="3">
        <v>26</v>
      </c>
    </row>
    <row r="690" spans="1:23" ht="11.25" customHeight="1" x14ac:dyDescent="0.25">
      <c r="A690" s="3" t="s">
        <v>28</v>
      </c>
      <c r="B690" s="3" t="s">
        <v>22</v>
      </c>
      <c r="C690" s="3" t="s">
        <v>33</v>
      </c>
      <c r="D690" s="3" t="s">
        <v>24</v>
      </c>
      <c r="E690" s="3" t="s">
        <v>24</v>
      </c>
      <c r="F690" s="3" t="s">
        <v>25</v>
      </c>
      <c r="G690" s="3" t="s">
        <v>25</v>
      </c>
      <c r="H690" s="3" t="s">
        <v>34</v>
      </c>
      <c r="I690" s="6">
        <v>44682</v>
      </c>
      <c r="J690" s="4">
        <v>0</v>
      </c>
      <c r="K690" s="4">
        <v>0</v>
      </c>
      <c r="L690" s="4">
        <v>0.26</v>
      </c>
      <c r="M690" s="4">
        <v>0.26</v>
      </c>
      <c r="N690" s="4">
        <v>0.26</v>
      </c>
      <c r="O690" s="4">
        <v>0.26</v>
      </c>
      <c r="P690" s="4">
        <v>0</v>
      </c>
      <c r="Q690" s="3" t="s">
        <v>26</v>
      </c>
      <c r="R690" s="3">
        <v>0</v>
      </c>
      <c r="S690" s="3" t="s">
        <v>182</v>
      </c>
      <c r="T690" s="3" t="s">
        <v>400</v>
      </c>
      <c r="U690" s="3">
        <v>0</v>
      </c>
      <c r="V690" s="3">
        <v>13</v>
      </c>
      <c r="W690" s="3">
        <v>26</v>
      </c>
    </row>
    <row r="691" spans="1:23" ht="11.25" customHeight="1" x14ac:dyDescent="0.25">
      <c r="A691" s="3" t="s">
        <v>21</v>
      </c>
      <c r="B691" s="3" t="s">
        <v>22</v>
      </c>
      <c r="C691" s="3" t="s">
        <v>33</v>
      </c>
      <c r="D691" s="3" t="s">
        <v>24</v>
      </c>
      <c r="E691" s="3" t="s">
        <v>24</v>
      </c>
      <c r="F691" s="3" t="s">
        <v>25</v>
      </c>
      <c r="G691" s="3" t="s">
        <v>25</v>
      </c>
      <c r="H691" s="3" t="s">
        <v>34</v>
      </c>
      <c r="I691" s="6">
        <v>44713</v>
      </c>
      <c r="J691" s="4">
        <v>0</v>
      </c>
      <c r="K691" s="4">
        <v>0</v>
      </c>
      <c r="L691" s="4">
        <v>4.133</v>
      </c>
      <c r="M691" s="4">
        <v>4.133</v>
      </c>
      <c r="N691" s="4">
        <v>4.133</v>
      </c>
      <c r="O691" s="4">
        <v>4.133</v>
      </c>
      <c r="P691" s="4">
        <v>0</v>
      </c>
      <c r="Q691" s="3" t="s">
        <v>26</v>
      </c>
      <c r="R691" s="3">
        <v>0</v>
      </c>
      <c r="S691" s="3" t="s">
        <v>183</v>
      </c>
      <c r="T691" s="3" t="s">
        <v>401</v>
      </c>
      <c r="U691" s="3">
        <v>0</v>
      </c>
      <c r="V691" s="3">
        <v>13</v>
      </c>
      <c r="W691" s="3">
        <v>26</v>
      </c>
    </row>
    <row r="692" spans="1:23" ht="11.25" customHeight="1" x14ac:dyDescent="0.25">
      <c r="A692" s="3" t="s">
        <v>28</v>
      </c>
      <c r="B692" s="3" t="s">
        <v>22</v>
      </c>
      <c r="C692" s="3" t="s">
        <v>33</v>
      </c>
      <c r="D692" s="3" t="s">
        <v>24</v>
      </c>
      <c r="E692" s="3" t="s">
        <v>24</v>
      </c>
      <c r="F692" s="3" t="s">
        <v>25</v>
      </c>
      <c r="G692" s="3" t="s">
        <v>25</v>
      </c>
      <c r="H692" s="3" t="s">
        <v>34</v>
      </c>
      <c r="I692" s="6">
        <v>44713</v>
      </c>
      <c r="J692" s="4">
        <v>0</v>
      </c>
      <c r="K692" s="4">
        <v>0</v>
      </c>
      <c r="L692" s="4">
        <v>5.0999999999999997E-2</v>
      </c>
      <c r="M692" s="4">
        <v>5.0999999999999997E-2</v>
      </c>
      <c r="N692" s="4">
        <v>5.0999999999999997E-2</v>
      </c>
      <c r="O692" s="4">
        <v>5.0999999999999997E-2</v>
      </c>
      <c r="P692" s="4">
        <v>0</v>
      </c>
      <c r="Q692" s="3" t="s">
        <v>26</v>
      </c>
      <c r="R692" s="3">
        <v>0</v>
      </c>
      <c r="S692" s="3" t="s">
        <v>183</v>
      </c>
      <c r="T692" s="3" t="s">
        <v>401</v>
      </c>
      <c r="U692" s="3">
        <v>0</v>
      </c>
      <c r="V692" s="3">
        <v>13</v>
      </c>
      <c r="W692" s="3">
        <v>26</v>
      </c>
    </row>
    <row r="693" spans="1:23" ht="11.25" customHeight="1" x14ac:dyDescent="0.25">
      <c r="A693" s="3" t="s">
        <v>21</v>
      </c>
      <c r="B693" s="3" t="s">
        <v>22</v>
      </c>
      <c r="C693" s="3" t="s">
        <v>33</v>
      </c>
      <c r="D693" s="3" t="s">
        <v>24</v>
      </c>
      <c r="E693" s="3" t="s">
        <v>24</v>
      </c>
      <c r="F693" s="3" t="s">
        <v>25</v>
      </c>
      <c r="G693" s="3" t="s">
        <v>25</v>
      </c>
      <c r="H693" s="3" t="s">
        <v>34</v>
      </c>
      <c r="I693" s="6">
        <v>44743</v>
      </c>
      <c r="J693" s="4">
        <v>0</v>
      </c>
      <c r="K693" s="4">
        <v>0</v>
      </c>
      <c r="L693" s="4">
        <v>9.3829999999999991</v>
      </c>
      <c r="M693" s="4">
        <v>9.3829999999999991</v>
      </c>
      <c r="N693" s="4">
        <v>9.3829999999999991</v>
      </c>
      <c r="O693" s="4">
        <v>9.3829999999999991</v>
      </c>
      <c r="P693" s="4">
        <v>0</v>
      </c>
      <c r="Q693" s="3" t="s">
        <v>26</v>
      </c>
      <c r="R693" s="3">
        <v>0</v>
      </c>
      <c r="S693" s="3" t="s">
        <v>184</v>
      </c>
      <c r="T693" s="3" t="s">
        <v>402</v>
      </c>
      <c r="U693" s="3">
        <v>0</v>
      </c>
      <c r="V693" s="3">
        <v>13</v>
      </c>
      <c r="W693" s="3">
        <v>26</v>
      </c>
    </row>
    <row r="694" spans="1:23" ht="11.25" customHeight="1" x14ac:dyDescent="0.25">
      <c r="A694" s="3" t="s">
        <v>28</v>
      </c>
      <c r="B694" s="3" t="s">
        <v>22</v>
      </c>
      <c r="C694" s="3" t="s">
        <v>33</v>
      </c>
      <c r="D694" s="3" t="s">
        <v>24</v>
      </c>
      <c r="E694" s="3" t="s">
        <v>24</v>
      </c>
      <c r="F694" s="3" t="s">
        <v>25</v>
      </c>
      <c r="G694" s="3" t="s">
        <v>25</v>
      </c>
      <c r="H694" s="3" t="s">
        <v>34</v>
      </c>
      <c r="I694" s="6">
        <v>44743</v>
      </c>
      <c r="J694" s="4">
        <v>0</v>
      </c>
      <c r="K694" s="4">
        <v>0</v>
      </c>
      <c r="L694" s="4">
        <v>6.6000000000000003E-2</v>
      </c>
      <c r="M694" s="4">
        <v>6.6000000000000003E-2</v>
      </c>
      <c r="N694" s="4">
        <v>6.6000000000000003E-2</v>
      </c>
      <c r="O694" s="4">
        <v>6.6000000000000003E-2</v>
      </c>
      <c r="P694" s="4">
        <v>0</v>
      </c>
      <c r="Q694" s="3" t="s">
        <v>26</v>
      </c>
      <c r="R694" s="3">
        <v>0</v>
      </c>
      <c r="S694" s="3" t="s">
        <v>184</v>
      </c>
      <c r="T694" s="3" t="s">
        <v>402</v>
      </c>
      <c r="U694" s="3">
        <v>0</v>
      </c>
      <c r="V694" s="3">
        <v>13</v>
      </c>
      <c r="W694" s="3">
        <v>26</v>
      </c>
    </row>
    <row r="695" spans="1:23" ht="11.25" customHeight="1" x14ac:dyDescent="0.25">
      <c r="A695" s="3" t="s">
        <v>21</v>
      </c>
      <c r="B695" s="3" t="s">
        <v>22</v>
      </c>
      <c r="C695" s="3" t="s">
        <v>33</v>
      </c>
      <c r="D695" s="3" t="s">
        <v>24</v>
      </c>
      <c r="E695" s="3" t="s">
        <v>24</v>
      </c>
      <c r="F695" s="3" t="s">
        <v>25</v>
      </c>
      <c r="G695" s="3" t="s">
        <v>25</v>
      </c>
      <c r="H695" s="3" t="s">
        <v>34</v>
      </c>
      <c r="I695" s="6">
        <v>44774</v>
      </c>
      <c r="J695" s="4">
        <v>0</v>
      </c>
      <c r="K695" s="4">
        <v>0</v>
      </c>
      <c r="L695" s="4">
        <v>5.3840000000000003</v>
      </c>
      <c r="M695" s="4">
        <v>5.3840000000000003</v>
      </c>
      <c r="N695" s="4">
        <v>5.3840000000000003</v>
      </c>
      <c r="O695" s="4">
        <v>5.3840000000000003</v>
      </c>
      <c r="P695" s="4">
        <v>0</v>
      </c>
      <c r="Q695" s="3" t="s">
        <v>26</v>
      </c>
      <c r="R695" s="3">
        <v>0</v>
      </c>
      <c r="S695" s="3" t="s">
        <v>185</v>
      </c>
      <c r="T695" s="3" t="s">
        <v>403</v>
      </c>
      <c r="U695" s="3">
        <v>0</v>
      </c>
      <c r="V695" s="3">
        <v>13</v>
      </c>
      <c r="W695" s="3">
        <v>26</v>
      </c>
    </row>
    <row r="696" spans="1:23" ht="11.25" customHeight="1" x14ac:dyDescent="0.25">
      <c r="A696" s="3" t="s">
        <v>28</v>
      </c>
      <c r="B696" s="3" t="s">
        <v>22</v>
      </c>
      <c r="C696" s="3" t="s">
        <v>33</v>
      </c>
      <c r="D696" s="3" t="s">
        <v>24</v>
      </c>
      <c r="E696" s="3" t="s">
        <v>24</v>
      </c>
      <c r="F696" s="3" t="s">
        <v>25</v>
      </c>
      <c r="G696" s="3" t="s">
        <v>25</v>
      </c>
      <c r="H696" s="3" t="s">
        <v>34</v>
      </c>
      <c r="I696" s="6">
        <v>44774</v>
      </c>
      <c r="J696" s="4">
        <v>0</v>
      </c>
      <c r="K696" s="4">
        <v>0</v>
      </c>
      <c r="L696" s="4">
        <v>6.4000000000000001E-2</v>
      </c>
      <c r="M696" s="4">
        <v>6.4000000000000001E-2</v>
      </c>
      <c r="N696" s="4">
        <v>6.4000000000000001E-2</v>
      </c>
      <c r="O696" s="4">
        <v>6.4000000000000001E-2</v>
      </c>
      <c r="P696" s="4">
        <v>0</v>
      </c>
      <c r="Q696" s="3" t="s">
        <v>26</v>
      </c>
      <c r="R696" s="3">
        <v>0</v>
      </c>
      <c r="S696" s="3" t="s">
        <v>185</v>
      </c>
      <c r="T696" s="3" t="s">
        <v>403</v>
      </c>
      <c r="U696" s="3">
        <v>0</v>
      </c>
      <c r="V696" s="3">
        <v>13</v>
      </c>
      <c r="W696" s="3">
        <v>26</v>
      </c>
    </row>
    <row r="697" spans="1:23" ht="11.25" customHeight="1" x14ac:dyDescent="0.25">
      <c r="A697" s="3" t="s">
        <v>21</v>
      </c>
      <c r="B697" s="3" t="s">
        <v>22</v>
      </c>
      <c r="C697" s="3" t="s">
        <v>33</v>
      </c>
      <c r="D697" s="3" t="s">
        <v>24</v>
      </c>
      <c r="E697" s="3" t="s">
        <v>24</v>
      </c>
      <c r="F697" s="3" t="s">
        <v>25</v>
      </c>
      <c r="G697" s="3" t="s">
        <v>25</v>
      </c>
      <c r="H697" s="3" t="s">
        <v>34</v>
      </c>
      <c r="I697" s="6">
        <v>44805</v>
      </c>
      <c r="J697" s="4">
        <v>0</v>
      </c>
      <c r="K697" s="4">
        <v>0</v>
      </c>
      <c r="L697" s="4">
        <v>4.9820000000000002</v>
      </c>
      <c r="M697" s="4">
        <v>4.9820000000000002</v>
      </c>
      <c r="N697" s="4">
        <v>4.9820000000000002</v>
      </c>
      <c r="O697" s="4">
        <v>4.9820000000000002</v>
      </c>
      <c r="P697" s="4">
        <v>0</v>
      </c>
      <c r="Q697" s="3" t="s">
        <v>26</v>
      </c>
      <c r="R697" s="3">
        <v>0</v>
      </c>
      <c r="S697" s="3" t="s">
        <v>186</v>
      </c>
      <c r="T697" s="3" t="s">
        <v>404</v>
      </c>
      <c r="U697" s="3">
        <v>0</v>
      </c>
      <c r="V697" s="3">
        <v>13</v>
      </c>
      <c r="W697" s="3">
        <v>26</v>
      </c>
    </row>
    <row r="698" spans="1:23" ht="11.25" customHeight="1" x14ac:dyDescent="0.25">
      <c r="A698" s="3" t="s">
        <v>28</v>
      </c>
      <c r="B698" s="3" t="s">
        <v>22</v>
      </c>
      <c r="C698" s="3" t="s">
        <v>33</v>
      </c>
      <c r="D698" s="3" t="s">
        <v>24</v>
      </c>
      <c r="E698" s="3" t="s">
        <v>24</v>
      </c>
      <c r="F698" s="3" t="s">
        <v>25</v>
      </c>
      <c r="G698" s="3" t="s">
        <v>25</v>
      </c>
      <c r="H698" s="3" t="s">
        <v>34</v>
      </c>
      <c r="I698" s="6">
        <v>44805</v>
      </c>
      <c r="J698" s="4">
        <v>0</v>
      </c>
      <c r="K698" s="4">
        <v>0</v>
      </c>
      <c r="L698" s="4">
        <v>0.09</v>
      </c>
      <c r="M698" s="4">
        <v>0.09</v>
      </c>
      <c r="N698" s="4">
        <v>0.09</v>
      </c>
      <c r="O698" s="4">
        <v>0.09</v>
      </c>
      <c r="P698" s="4">
        <v>0</v>
      </c>
      <c r="Q698" s="3" t="s">
        <v>26</v>
      </c>
      <c r="R698" s="3">
        <v>0</v>
      </c>
      <c r="S698" s="3" t="s">
        <v>186</v>
      </c>
      <c r="T698" s="3" t="s">
        <v>404</v>
      </c>
      <c r="U698" s="3">
        <v>0</v>
      </c>
      <c r="V698" s="3">
        <v>13</v>
      </c>
      <c r="W698" s="3">
        <v>26</v>
      </c>
    </row>
    <row r="699" spans="1:23" ht="11.25" customHeight="1" x14ac:dyDescent="0.25">
      <c r="A699" s="3" t="s">
        <v>55</v>
      </c>
      <c r="B699" s="3" t="s">
        <v>22</v>
      </c>
      <c r="C699" s="3" t="s">
        <v>33</v>
      </c>
      <c r="D699" s="3" t="s">
        <v>24</v>
      </c>
      <c r="E699" s="3" t="s">
        <v>24</v>
      </c>
      <c r="F699" s="3" t="s">
        <v>25</v>
      </c>
      <c r="G699" s="3" t="s">
        <v>25</v>
      </c>
      <c r="H699" s="3" t="s">
        <v>34</v>
      </c>
      <c r="I699" s="6">
        <v>44835</v>
      </c>
      <c r="J699" s="4">
        <v>0</v>
      </c>
      <c r="K699" s="4">
        <v>0</v>
      </c>
      <c r="L699" s="4">
        <v>4.9820000000000002</v>
      </c>
      <c r="M699" s="4">
        <v>4.9820000000000002</v>
      </c>
      <c r="N699" s="4">
        <v>4.9820000000000002</v>
      </c>
      <c r="O699" s="4">
        <v>4.9820000000000002</v>
      </c>
      <c r="P699" s="4">
        <v>0</v>
      </c>
      <c r="Q699" s="3" t="s">
        <v>26</v>
      </c>
      <c r="R699" s="3">
        <v>0</v>
      </c>
      <c r="S699" s="3" t="s">
        <v>187</v>
      </c>
      <c r="T699" s="3" t="s">
        <v>405</v>
      </c>
      <c r="U699" s="3">
        <v>0</v>
      </c>
      <c r="V699" s="3">
        <v>13</v>
      </c>
      <c r="W699" s="3">
        <v>26</v>
      </c>
    </row>
    <row r="700" spans="1:23" ht="11.25" customHeight="1" x14ac:dyDescent="0.25">
      <c r="A700" s="3" t="s">
        <v>55</v>
      </c>
      <c r="B700" s="3" t="s">
        <v>22</v>
      </c>
      <c r="C700" s="3" t="s">
        <v>33</v>
      </c>
      <c r="D700" s="3" t="s">
        <v>24</v>
      </c>
      <c r="E700" s="3" t="s">
        <v>24</v>
      </c>
      <c r="F700" s="3" t="s">
        <v>25</v>
      </c>
      <c r="G700" s="3" t="s">
        <v>25</v>
      </c>
      <c r="H700" s="3" t="s">
        <v>34</v>
      </c>
      <c r="I700" s="6">
        <v>44835</v>
      </c>
      <c r="J700" s="4">
        <v>0</v>
      </c>
      <c r="K700" s="4">
        <v>0</v>
      </c>
      <c r="L700" s="4">
        <v>0.09</v>
      </c>
      <c r="M700" s="4">
        <v>0.09</v>
      </c>
      <c r="N700" s="4">
        <v>0.09</v>
      </c>
      <c r="O700" s="4">
        <v>0.09</v>
      </c>
      <c r="P700" s="4">
        <v>0</v>
      </c>
      <c r="Q700" s="3" t="s">
        <v>26</v>
      </c>
      <c r="R700" s="3">
        <v>0</v>
      </c>
      <c r="S700" s="3" t="s">
        <v>187</v>
      </c>
      <c r="T700" s="3" t="s">
        <v>405</v>
      </c>
      <c r="U700" s="3">
        <v>0</v>
      </c>
      <c r="V700" s="3">
        <v>13</v>
      </c>
      <c r="W700" s="3">
        <v>26</v>
      </c>
    </row>
    <row r="701" spans="1:23" ht="11.25" customHeight="1" x14ac:dyDescent="0.25">
      <c r="A701" s="3" t="s">
        <v>21</v>
      </c>
      <c r="B701" s="3" t="s">
        <v>22</v>
      </c>
      <c r="C701" s="3" t="s">
        <v>23</v>
      </c>
      <c r="D701" s="3" t="s">
        <v>24</v>
      </c>
      <c r="E701" s="3" t="s">
        <v>24</v>
      </c>
      <c r="F701" s="3" t="s">
        <v>25</v>
      </c>
      <c r="G701" s="3" t="s">
        <v>25</v>
      </c>
      <c r="H701" s="3" t="s">
        <v>25</v>
      </c>
      <c r="I701" s="6">
        <v>44501</v>
      </c>
      <c r="J701" s="4">
        <v>0</v>
      </c>
      <c r="K701" s="4">
        <v>0</v>
      </c>
      <c r="L701" s="4">
        <v>49041.118999999999</v>
      </c>
      <c r="M701" s="4">
        <v>49041.118999999999</v>
      </c>
      <c r="N701" s="4">
        <v>49041.118999999999</v>
      </c>
      <c r="O701" s="4">
        <v>49041.118999999999</v>
      </c>
      <c r="P701" s="4">
        <v>124757</v>
      </c>
      <c r="Q701" s="3" t="s">
        <v>26</v>
      </c>
      <c r="R701" s="3">
        <v>0</v>
      </c>
      <c r="S701" s="3" t="s">
        <v>188</v>
      </c>
      <c r="T701" s="3" t="s">
        <v>406</v>
      </c>
      <c r="U701" s="3">
        <v>0</v>
      </c>
      <c r="V701" s="3">
        <v>24</v>
      </c>
      <c r="W701" s="3">
        <v>40</v>
      </c>
    </row>
    <row r="702" spans="1:23" ht="11.25" customHeight="1" x14ac:dyDescent="0.25">
      <c r="A702" s="3" t="s">
        <v>27</v>
      </c>
      <c r="B702" s="3" t="s">
        <v>22</v>
      </c>
      <c r="C702" s="3" t="s">
        <v>23</v>
      </c>
      <c r="D702" s="3" t="s">
        <v>24</v>
      </c>
      <c r="E702" s="3" t="s">
        <v>24</v>
      </c>
      <c r="F702" s="3" t="s">
        <v>25</v>
      </c>
      <c r="G702" s="3" t="s">
        <v>25</v>
      </c>
      <c r="H702" s="3" t="s">
        <v>25</v>
      </c>
      <c r="I702" s="6">
        <v>44501</v>
      </c>
      <c r="J702" s="4">
        <v>0</v>
      </c>
      <c r="K702" s="4">
        <v>0</v>
      </c>
      <c r="L702" s="4">
        <v>-126.026</v>
      </c>
      <c r="M702" s="4">
        <v>-126.026</v>
      </c>
      <c r="N702" s="4">
        <v>-126.026</v>
      </c>
      <c r="O702" s="4">
        <v>-126.026</v>
      </c>
      <c r="P702" s="4">
        <v>-140</v>
      </c>
      <c r="Q702" s="3" t="s">
        <v>26</v>
      </c>
      <c r="R702" s="3">
        <v>0</v>
      </c>
      <c r="S702" s="3" t="s">
        <v>188</v>
      </c>
      <c r="T702" s="3" t="s">
        <v>406</v>
      </c>
      <c r="U702" s="3">
        <v>0</v>
      </c>
      <c r="V702" s="3">
        <v>24</v>
      </c>
      <c r="W702" s="3">
        <v>40</v>
      </c>
    </row>
    <row r="703" spans="1:23" ht="11.25" customHeight="1" x14ac:dyDescent="0.25">
      <c r="A703" s="3" t="s">
        <v>28</v>
      </c>
      <c r="B703" s="3" t="s">
        <v>22</v>
      </c>
      <c r="C703" s="3" t="s">
        <v>23</v>
      </c>
      <c r="D703" s="3" t="s">
        <v>24</v>
      </c>
      <c r="E703" s="3" t="s">
        <v>24</v>
      </c>
      <c r="F703" s="3" t="s">
        <v>25</v>
      </c>
      <c r="G703" s="3" t="s">
        <v>25</v>
      </c>
      <c r="H703" s="3" t="s">
        <v>25</v>
      </c>
      <c r="I703" s="6">
        <v>44501</v>
      </c>
      <c r="J703" s="4">
        <v>0</v>
      </c>
      <c r="K703" s="4">
        <v>0</v>
      </c>
      <c r="L703" s="4">
        <v>487.62299999999999</v>
      </c>
      <c r="M703" s="4">
        <v>487.62299999999999</v>
      </c>
      <c r="N703" s="4">
        <v>487.62299999999999</v>
      </c>
      <c r="O703" s="4">
        <v>487.62299999999999</v>
      </c>
      <c r="P703" s="4">
        <v>529</v>
      </c>
      <c r="Q703" s="3" t="s">
        <v>26</v>
      </c>
      <c r="R703" s="3">
        <v>0</v>
      </c>
      <c r="S703" s="3" t="s">
        <v>188</v>
      </c>
      <c r="T703" s="3" t="s">
        <v>406</v>
      </c>
      <c r="U703" s="3">
        <v>0</v>
      </c>
      <c r="V703" s="3">
        <v>24</v>
      </c>
      <c r="W703" s="3">
        <v>40</v>
      </c>
    </row>
    <row r="704" spans="1:23" ht="11.25" customHeight="1" x14ac:dyDescent="0.25">
      <c r="A704" s="3" t="s">
        <v>28</v>
      </c>
      <c r="B704" s="3" t="s">
        <v>22</v>
      </c>
      <c r="C704" s="3" t="s">
        <v>23</v>
      </c>
      <c r="D704" s="3" t="s">
        <v>24</v>
      </c>
      <c r="E704" s="3" t="s">
        <v>24</v>
      </c>
      <c r="F704" s="3" t="s">
        <v>25</v>
      </c>
      <c r="G704" s="3" t="s">
        <v>25</v>
      </c>
      <c r="H704" s="3" t="s">
        <v>25</v>
      </c>
      <c r="I704" s="6">
        <v>44501</v>
      </c>
      <c r="J704" s="4">
        <v>0</v>
      </c>
      <c r="K704" s="4">
        <v>0</v>
      </c>
      <c r="L704" s="4">
        <v>2.1629999999999998</v>
      </c>
      <c r="M704" s="4">
        <v>2.1629999999999998</v>
      </c>
      <c r="N704" s="4">
        <v>2.1629999999999998</v>
      </c>
      <c r="O704" s="4">
        <v>2.1629999999999998</v>
      </c>
      <c r="P704" s="4">
        <v>1</v>
      </c>
      <c r="Q704" s="3" t="s">
        <v>26</v>
      </c>
      <c r="R704" s="3">
        <v>0</v>
      </c>
      <c r="S704" s="3" t="s">
        <v>188</v>
      </c>
      <c r="T704" s="3" t="s">
        <v>406</v>
      </c>
      <c r="U704" s="3">
        <v>0</v>
      </c>
      <c r="V704" s="3">
        <v>24</v>
      </c>
      <c r="W704" s="3">
        <v>40</v>
      </c>
    </row>
    <row r="705" spans="1:23" ht="11.25" customHeight="1" x14ac:dyDescent="0.25">
      <c r="A705" s="3" t="s">
        <v>21</v>
      </c>
      <c r="B705" s="3" t="s">
        <v>22</v>
      </c>
      <c r="C705" s="3" t="s">
        <v>23</v>
      </c>
      <c r="D705" s="3" t="s">
        <v>24</v>
      </c>
      <c r="E705" s="3" t="s">
        <v>24</v>
      </c>
      <c r="F705" s="3" t="s">
        <v>25</v>
      </c>
      <c r="G705" s="3" t="s">
        <v>25</v>
      </c>
      <c r="H705" s="3" t="s">
        <v>25</v>
      </c>
      <c r="I705" s="6">
        <v>44531</v>
      </c>
      <c r="J705" s="4">
        <v>0</v>
      </c>
      <c r="K705" s="4">
        <v>0</v>
      </c>
      <c r="L705" s="4">
        <v>45706.932999999997</v>
      </c>
      <c r="M705" s="4">
        <v>45706.932999999997</v>
      </c>
      <c r="N705" s="4">
        <v>45706.932999999997</v>
      </c>
      <c r="O705" s="4">
        <v>45706.932999999997</v>
      </c>
      <c r="P705" s="4">
        <v>125428</v>
      </c>
      <c r="Q705" s="3" t="s">
        <v>26</v>
      </c>
      <c r="R705" s="3">
        <v>0</v>
      </c>
      <c r="S705" s="3" t="s">
        <v>189</v>
      </c>
      <c r="T705" s="3" t="s">
        <v>407</v>
      </c>
      <c r="U705" s="3">
        <v>0</v>
      </c>
      <c r="V705" s="3">
        <v>24</v>
      </c>
      <c r="W705" s="3">
        <v>40</v>
      </c>
    </row>
    <row r="706" spans="1:23" ht="11.25" customHeight="1" x14ac:dyDescent="0.25">
      <c r="A706" s="3" t="s">
        <v>27</v>
      </c>
      <c r="B706" s="3" t="s">
        <v>22</v>
      </c>
      <c r="C706" s="3" t="s">
        <v>23</v>
      </c>
      <c r="D706" s="3" t="s">
        <v>24</v>
      </c>
      <c r="E706" s="3" t="s">
        <v>24</v>
      </c>
      <c r="F706" s="3" t="s">
        <v>25</v>
      </c>
      <c r="G706" s="3" t="s">
        <v>25</v>
      </c>
      <c r="H706" s="3" t="s">
        <v>25</v>
      </c>
      <c r="I706" s="6">
        <v>44531</v>
      </c>
      <c r="J706" s="4">
        <v>0</v>
      </c>
      <c r="K706" s="4">
        <v>0</v>
      </c>
      <c r="L706" s="4">
        <v>-68.465999999999994</v>
      </c>
      <c r="M706" s="4">
        <v>-68.465999999999994</v>
      </c>
      <c r="N706" s="4">
        <v>-68.465999999999994</v>
      </c>
      <c r="O706" s="4">
        <v>-68.465999999999994</v>
      </c>
      <c r="P706" s="4">
        <v>-139</v>
      </c>
      <c r="Q706" s="3" t="s">
        <v>26</v>
      </c>
      <c r="R706" s="3">
        <v>0</v>
      </c>
      <c r="S706" s="3" t="s">
        <v>189</v>
      </c>
      <c r="T706" s="3" t="s">
        <v>407</v>
      </c>
      <c r="U706" s="3">
        <v>0</v>
      </c>
      <c r="V706" s="3">
        <v>24</v>
      </c>
      <c r="W706" s="3">
        <v>40</v>
      </c>
    </row>
    <row r="707" spans="1:23" ht="11.25" customHeight="1" x14ac:dyDescent="0.25">
      <c r="A707" s="3" t="s">
        <v>28</v>
      </c>
      <c r="B707" s="3" t="s">
        <v>22</v>
      </c>
      <c r="C707" s="3" t="s">
        <v>23</v>
      </c>
      <c r="D707" s="3" t="s">
        <v>24</v>
      </c>
      <c r="E707" s="3" t="s">
        <v>24</v>
      </c>
      <c r="F707" s="3" t="s">
        <v>25</v>
      </c>
      <c r="G707" s="3" t="s">
        <v>25</v>
      </c>
      <c r="H707" s="3" t="s">
        <v>25</v>
      </c>
      <c r="I707" s="6">
        <v>44531</v>
      </c>
      <c r="J707" s="4">
        <v>0</v>
      </c>
      <c r="K707" s="4">
        <v>0</v>
      </c>
      <c r="L707" s="4">
        <v>465.87</v>
      </c>
      <c r="M707" s="4">
        <v>465.87</v>
      </c>
      <c r="N707" s="4">
        <v>465.87</v>
      </c>
      <c r="O707" s="4">
        <v>465.87</v>
      </c>
      <c r="P707" s="4">
        <v>558</v>
      </c>
      <c r="Q707" s="3" t="s">
        <v>26</v>
      </c>
      <c r="R707" s="3">
        <v>0</v>
      </c>
      <c r="S707" s="3" t="s">
        <v>189</v>
      </c>
      <c r="T707" s="3" t="s">
        <v>407</v>
      </c>
      <c r="U707" s="3">
        <v>0</v>
      </c>
      <c r="V707" s="3">
        <v>24</v>
      </c>
      <c r="W707" s="3">
        <v>40</v>
      </c>
    </row>
    <row r="708" spans="1:23" ht="11.25" customHeight="1" x14ac:dyDescent="0.25">
      <c r="A708" s="3" t="s">
        <v>28</v>
      </c>
      <c r="B708" s="3" t="s">
        <v>22</v>
      </c>
      <c r="C708" s="3" t="s">
        <v>23</v>
      </c>
      <c r="D708" s="3" t="s">
        <v>24</v>
      </c>
      <c r="E708" s="3" t="s">
        <v>24</v>
      </c>
      <c r="F708" s="3" t="s">
        <v>25</v>
      </c>
      <c r="G708" s="3" t="s">
        <v>25</v>
      </c>
      <c r="H708" s="3" t="s">
        <v>25</v>
      </c>
      <c r="I708" s="6">
        <v>44531</v>
      </c>
      <c r="J708" s="4">
        <v>0</v>
      </c>
      <c r="K708" s="4">
        <v>0</v>
      </c>
      <c r="L708" s="4">
        <v>1.512</v>
      </c>
      <c r="M708" s="4">
        <v>1.512</v>
      </c>
      <c r="N708" s="4">
        <v>1.512</v>
      </c>
      <c r="O708" s="4">
        <v>1.512</v>
      </c>
      <c r="P708" s="4">
        <v>1</v>
      </c>
      <c r="Q708" s="3" t="s">
        <v>26</v>
      </c>
      <c r="R708" s="3">
        <v>0</v>
      </c>
      <c r="S708" s="3" t="s">
        <v>189</v>
      </c>
      <c r="T708" s="3" t="s">
        <v>407</v>
      </c>
      <c r="U708" s="3">
        <v>0</v>
      </c>
      <c r="V708" s="3">
        <v>24</v>
      </c>
      <c r="W708" s="3">
        <v>40</v>
      </c>
    </row>
    <row r="709" spans="1:23" ht="11.25" customHeight="1" x14ac:dyDescent="0.25">
      <c r="A709" s="3" t="s">
        <v>21</v>
      </c>
      <c r="B709" s="3" t="s">
        <v>22</v>
      </c>
      <c r="C709" s="3" t="s">
        <v>23</v>
      </c>
      <c r="D709" s="3" t="s">
        <v>24</v>
      </c>
      <c r="E709" s="3" t="s">
        <v>24</v>
      </c>
      <c r="F709" s="3" t="s">
        <v>25</v>
      </c>
      <c r="G709" s="3" t="s">
        <v>25</v>
      </c>
      <c r="H709" s="3" t="s">
        <v>25</v>
      </c>
      <c r="I709" s="6">
        <v>44562</v>
      </c>
      <c r="J709" s="4">
        <v>0</v>
      </c>
      <c r="K709" s="4">
        <v>0</v>
      </c>
      <c r="L709" s="4">
        <v>42246.652999999998</v>
      </c>
      <c r="M709" s="4">
        <v>42246.652999999998</v>
      </c>
      <c r="N709" s="4">
        <v>42246.652999999998</v>
      </c>
      <c r="O709" s="4">
        <v>42246.652999999998</v>
      </c>
      <c r="P709" s="4">
        <v>125697</v>
      </c>
      <c r="Q709" s="3" t="s">
        <v>26</v>
      </c>
      <c r="R709" s="3">
        <v>0</v>
      </c>
      <c r="S709" s="3" t="s">
        <v>190</v>
      </c>
      <c r="T709" s="3" t="s">
        <v>408</v>
      </c>
      <c r="U709" s="3">
        <v>0</v>
      </c>
      <c r="V709" s="3">
        <v>24</v>
      </c>
      <c r="W709" s="3">
        <v>40</v>
      </c>
    </row>
    <row r="710" spans="1:23" ht="11.25" customHeight="1" x14ac:dyDescent="0.25">
      <c r="A710" s="3" t="s">
        <v>27</v>
      </c>
      <c r="B710" s="3" t="s">
        <v>22</v>
      </c>
      <c r="C710" s="3" t="s">
        <v>23</v>
      </c>
      <c r="D710" s="3" t="s">
        <v>24</v>
      </c>
      <c r="E710" s="3" t="s">
        <v>24</v>
      </c>
      <c r="F710" s="3" t="s">
        <v>25</v>
      </c>
      <c r="G710" s="3" t="s">
        <v>25</v>
      </c>
      <c r="H710" s="3" t="s">
        <v>25</v>
      </c>
      <c r="I710" s="6">
        <v>44562</v>
      </c>
      <c r="J710" s="4">
        <v>0</v>
      </c>
      <c r="K710" s="4">
        <v>0</v>
      </c>
      <c r="L710" s="4">
        <v>-54.203000000000003</v>
      </c>
      <c r="M710" s="4">
        <v>-54.203000000000003</v>
      </c>
      <c r="N710" s="4">
        <v>-54.203000000000003</v>
      </c>
      <c r="O710" s="4">
        <v>-54.203000000000003</v>
      </c>
      <c r="P710" s="4">
        <v>10</v>
      </c>
      <c r="Q710" s="3" t="s">
        <v>26</v>
      </c>
      <c r="R710" s="3">
        <v>0</v>
      </c>
      <c r="S710" s="3" t="s">
        <v>190</v>
      </c>
      <c r="T710" s="3" t="s">
        <v>408</v>
      </c>
      <c r="U710" s="3">
        <v>0</v>
      </c>
      <c r="V710" s="3">
        <v>24</v>
      </c>
      <c r="W710" s="3">
        <v>40</v>
      </c>
    </row>
    <row r="711" spans="1:23" ht="11.25" customHeight="1" x14ac:dyDescent="0.25">
      <c r="A711" s="3" t="s">
        <v>28</v>
      </c>
      <c r="B711" s="3" t="s">
        <v>22</v>
      </c>
      <c r="C711" s="3" t="s">
        <v>23</v>
      </c>
      <c r="D711" s="3" t="s">
        <v>24</v>
      </c>
      <c r="E711" s="3" t="s">
        <v>24</v>
      </c>
      <c r="F711" s="3" t="s">
        <v>25</v>
      </c>
      <c r="G711" s="3" t="s">
        <v>25</v>
      </c>
      <c r="H711" s="3" t="s">
        <v>25</v>
      </c>
      <c r="I711" s="6">
        <v>44562</v>
      </c>
      <c r="J711" s="4">
        <v>0</v>
      </c>
      <c r="K711" s="4">
        <v>0</v>
      </c>
      <c r="L711" s="4">
        <v>440.35300000000001</v>
      </c>
      <c r="M711" s="4">
        <v>440.35300000000001</v>
      </c>
      <c r="N711" s="4">
        <v>440.35300000000001</v>
      </c>
      <c r="O711" s="4">
        <v>440.35300000000001</v>
      </c>
      <c r="P711" s="4">
        <v>582</v>
      </c>
      <c r="Q711" s="3" t="s">
        <v>26</v>
      </c>
      <c r="R711" s="3">
        <v>0</v>
      </c>
      <c r="S711" s="3" t="s">
        <v>190</v>
      </c>
      <c r="T711" s="3" t="s">
        <v>408</v>
      </c>
      <c r="U711" s="3">
        <v>0</v>
      </c>
      <c r="V711" s="3">
        <v>24</v>
      </c>
      <c r="W711" s="3">
        <v>40</v>
      </c>
    </row>
    <row r="712" spans="1:23" ht="11.25" customHeight="1" x14ac:dyDescent="0.25">
      <c r="A712" s="3" t="s">
        <v>21</v>
      </c>
      <c r="B712" s="3" t="s">
        <v>22</v>
      </c>
      <c r="C712" s="3" t="s">
        <v>23</v>
      </c>
      <c r="D712" s="3" t="s">
        <v>24</v>
      </c>
      <c r="E712" s="3" t="s">
        <v>24</v>
      </c>
      <c r="F712" s="3" t="s">
        <v>25</v>
      </c>
      <c r="G712" s="3" t="s">
        <v>25</v>
      </c>
      <c r="H712" s="3" t="s">
        <v>25</v>
      </c>
      <c r="I712" s="6">
        <v>44593</v>
      </c>
      <c r="J712" s="4">
        <v>0</v>
      </c>
      <c r="K712" s="4">
        <v>0</v>
      </c>
      <c r="L712" s="4">
        <v>44085.08</v>
      </c>
      <c r="M712" s="4">
        <v>44085.08</v>
      </c>
      <c r="N712" s="4">
        <v>44085.08</v>
      </c>
      <c r="O712" s="4">
        <v>44085.08</v>
      </c>
      <c r="P712" s="4">
        <v>126004</v>
      </c>
      <c r="Q712" s="3" t="s">
        <v>26</v>
      </c>
      <c r="R712" s="3">
        <v>0</v>
      </c>
      <c r="S712" s="3" t="s">
        <v>191</v>
      </c>
      <c r="T712" s="3" t="s">
        <v>409</v>
      </c>
      <c r="U712" s="3">
        <v>0</v>
      </c>
      <c r="V712" s="3">
        <v>24</v>
      </c>
      <c r="W712" s="3">
        <v>40</v>
      </c>
    </row>
    <row r="713" spans="1:23" ht="11.25" customHeight="1" x14ac:dyDescent="0.25">
      <c r="A713" s="3" t="s">
        <v>27</v>
      </c>
      <c r="B713" s="3" t="s">
        <v>22</v>
      </c>
      <c r="C713" s="3" t="s">
        <v>23</v>
      </c>
      <c r="D713" s="3" t="s">
        <v>24</v>
      </c>
      <c r="E713" s="3" t="s">
        <v>24</v>
      </c>
      <c r="F713" s="3" t="s">
        <v>25</v>
      </c>
      <c r="G713" s="3" t="s">
        <v>25</v>
      </c>
      <c r="H713" s="3" t="s">
        <v>25</v>
      </c>
      <c r="I713" s="6">
        <v>44593</v>
      </c>
      <c r="J713" s="4">
        <v>0</v>
      </c>
      <c r="K713" s="4">
        <v>0</v>
      </c>
      <c r="L713" s="4">
        <v>-86.834999999999994</v>
      </c>
      <c r="M713" s="4">
        <v>-86.834999999999994</v>
      </c>
      <c r="N713" s="4">
        <v>-86.834999999999994</v>
      </c>
      <c r="O713" s="4">
        <v>-86.834999999999994</v>
      </c>
      <c r="P713" s="4">
        <v>-57</v>
      </c>
      <c r="Q713" s="3" t="s">
        <v>26</v>
      </c>
      <c r="R713" s="3">
        <v>0</v>
      </c>
      <c r="S713" s="3" t="s">
        <v>191</v>
      </c>
      <c r="T713" s="3" t="s">
        <v>409</v>
      </c>
      <c r="U713" s="3">
        <v>0</v>
      </c>
      <c r="V713" s="3">
        <v>24</v>
      </c>
      <c r="W713" s="3">
        <v>40</v>
      </c>
    </row>
    <row r="714" spans="1:23" ht="11.25" customHeight="1" x14ac:dyDescent="0.25">
      <c r="A714" s="3" t="s">
        <v>28</v>
      </c>
      <c r="B714" s="3" t="s">
        <v>22</v>
      </c>
      <c r="C714" s="3" t="s">
        <v>23</v>
      </c>
      <c r="D714" s="3" t="s">
        <v>24</v>
      </c>
      <c r="E714" s="3" t="s">
        <v>24</v>
      </c>
      <c r="F714" s="3" t="s">
        <v>25</v>
      </c>
      <c r="G714" s="3" t="s">
        <v>25</v>
      </c>
      <c r="H714" s="3" t="s">
        <v>25</v>
      </c>
      <c r="I714" s="6">
        <v>44593</v>
      </c>
      <c r="J714" s="4">
        <v>0</v>
      </c>
      <c r="K714" s="4">
        <v>0</v>
      </c>
      <c r="L714" s="4">
        <v>465.59199999999998</v>
      </c>
      <c r="M714" s="4">
        <v>465.59199999999998</v>
      </c>
      <c r="N714" s="4">
        <v>465.59199999999998</v>
      </c>
      <c r="O714" s="4">
        <v>465.59199999999998</v>
      </c>
      <c r="P714" s="4">
        <v>606</v>
      </c>
      <c r="Q714" s="3" t="s">
        <v>26</v>
      </c>
      <c r="R714" s="3">
        <v>0</v>
      </c>
      <c r="S714" s="3" t="s">
        <v>191</v>
      </c>
      <c r="T714" s="3" t="s">
        <v>409</v>
      </c>
      <c r="U714" s="3">
        <v>0</v>
      </c>
      <c r="V714" s="3">
        <v>24</v>
      </c>
      <c r="W714" s="3">
        <v>40</v>
      </c>
    </row>
    <row r="715" spans="1:23" ht="11.25" customHeight="1" x14ac:dyDescent="0.25">
      <c r="A715" s="3" t="s">
        <v>28</v>
      </c>
      <c r="B715" s="3" t="s">
        <v>22</v>
      </c>
      <c r="C715" s="3" t="s">
        <v>23</v>
      </c>
      <c r="D715" s="3" t="s">
        <v>24</v>
      </c>
      <c r="E715" s="3" t="s">
        <v>24</v>
      </c>
      <c r="F715" s="3" t="s">
        <v>25</v>
      </c>
      <c r="G715" s="3" t="s">
        <v>25</v>
      </c>
      <c r="H715" s="3" t="s">
        <v>25</v>
      </c>
      <c r="I715" s="6">
        <v>44593</v>
      </c>
      <c r="J715" s="4">
        <v>0</v>
      </c>
      <c r="K715" s="4">
        <v>0</v>
      </c>
      <c r="L715" s="4">
        <v>0.56100000000000005</v>
      </c>
      <c r="M715" s="4">
        <v>0.56100000000000005</v>
      </c>
      <c r="N715" s="4">
        <v>0.56100000000000005</v>
      </c>
      <c r="O715" s="4">
        <v>0.56100000000000005</v>
      </c>
      <c r="P715" s="4">
        <v>1</v>
      </c>
      <c r="Q715" s="3" t="s">
        <v>26</v>
      </c>
      <c r="R715" s="3">
        <v>0</v>
      </c>
      <c r="S715" s="3" t="s">
        <v>191</v>
      </c>
      <c r="T715" s="3" t="s">
        <v>409</v>
      </c>
      <c r="U715" s="3">
        <v>0</v>
      </c>
      <c r="V715" s="3">
        <v>24</v>
      </c>
      <c r="W715" s="3">
        <v>40</v>
      </c>
    </row>
    <row r="716" spans="1:23" ht="11.25" customHeight="1" x14ac:dyDescent="0.25">
      <c r="A716" s="3" t="s">
        <v>21</v>
      </c>
      <c r="B716" s="3" t="s">
        <v>22</v>
      </c>
      <c r="C716" s="3" t="s">
        <v>23</v>
      </c>
      <c r="D716" s="3" t="s">
        <v>24</v>
      </c>
      <c r="E716" s="3" t="s">
        <v>24</v>
      </c>
      <c r="F716" s="3" t="s">
        <v>25</v>
      </c>
      <c r="G716" s="3" t="s">
        <v>25</v>
      </c>
      <c r="H716" s="3" t="s">
        <v>25</v>
      </c>
      <c r="I716" s="6">
        <v>44621</v>
      </c>
      <c r="J716" s="4">
        <v>0</v>
      </c>
      <c r="K716" s="4">
        <v>0</v>
      </c>
      <c r="L716" s="4">
        <v>44094.889000000003</v>
      </c>
      <c r="M716" s="4">
        <v>44094.889000000003</v>
      </c>
      <c r="N716" s="4">
        <v>44094.889000000003</v>
      </c>
      <c r="O716" s="4">
        <v>44094.889000000003</v>
      </c>
      <c r="P716" s="4">
        <v>126071</v>
      </c>
      <c r="Q716" s="3" t="s">
        <v>26</v>
      </c>
      <c r="R716" s="3">
        <v>0</v>
      </c>
      <c r="S716" s="3" t="s">
        <v>192</v>
      </c>
      <c r="T716" s="3" t="s">
        <v>410</v>
      </c>
      <c r="U716" s="3">
        <v>0</v>
      </c>
      <c r="V716" s="3">
        <v>24</v>
      </c>
      <c r="W716" s="3">
        <v>40</v>
      </c>
    </row>
    <row r="717" spans="1:23" ht="11.25" customHeight="1" x14ac:dyDescent="0.25">
      <c r="A717" s="3" t="s">
        <v>27</v>
      </c>
      <c r="B717" s="3" t="s">
        <v>22</v>
      </c>
      <c r="C717" s="3" t="s">
        <v>23</v>
      </c>
      <c r="D717" s="3" t="s">
        <v>24</v>
      </c>
      <c r="E717" s="3" t="s">
        <v>24</v>
      </c>
      <c r="F717" s="3" t="s">
        <v>25</v>
      </c>
      <c r="G717" s="3" t="s">
        <v>25</v>
      </c>
      <c r="H717" s="3" t="s">
        <v>25</v>
      </c>
      <c r="I717" s="6">
        <v>44621</v>
      </c>
      <c r="J717" s="4">
        <v>0</v>
      </c>
      <c r="K717" s="4">
        <v>0</v>
      </c>
      <c r="L717" s="4">
        <v>-68.965000000000003</v>
      </c>
      <c r="M717" s="4">
        <v>-68.965000000000003</v>
      </c>
      <c r="N717" s="4">
        <v>-68.965000000000003</v>
      </c>
      <c r="O717" s="4">
        <v>-68.965000000000003</v>
      </c>
      <c r="P717" s="4">
        <v>-24</v>
      </c>
      <c r="Q717" s="3" t="s">
        <v>26</v>
      </c>
      <c r="R717" s="3">
        <v>0</v>
      </c>
      <c r="S717" s="3" t="s">
        <v>192</v>
      </c>
      <c r="T717" s="3" t="s">
        <v>410</v>
      </c>
      <c r="U717" s="3">
        <v>0</v>
      </c>
      <c r="V717" s="3">
        <v>24</v>
      </c>
      <c r="W717" s="3">
        <v>40</v>
      </c>
    </row>
    <row r="718" spans="1:23" ht="11.25" customHeight="1" x14ac:dyDescent="0.25">
      <c r="A718" s="3" t="s">
        <v>28</v>
      </c>
      <c r="B718" s="3" t="s">
        <v>22</v>
      </c>
      <c r="C718" s="3" t="s">
        <v>23</v>
      </c>
      <c r="D718" s="3" t="s">
        <v>24</v>
      </c>
      <c r="E718" s="3" t="s">
        <v>24</v>
      </c>
      <c r="F718" s="3" t="s">
        <v>25</v>
      </c>
      <c r="G718" s="3" t="s">
        <v>25</v>
      </c>
      <c r="H718" s="3" t="s">
        <v>25</v>
      </c>
      <c r="I718" s="6">
        <v>44621</v>
      </c>
      <c r="J718" s="4">
        <v>0</v>
      </c>
      <c r="K718" s="4">
        <v>0</v>
      </c>
      <c r="L718" s="4">
        <v>498.952</v>
      </c>
      <c r="M718" s="4">
        <v>498.952</v>
      </c>
      <c r="N718" s="4">
        <v>498.952</v>
      </c>
      <c r="O718" s="4">
        <v>498.952</v>
      </c>
      <c r="P718" s="4">
        <v>651</v>
      </c>
      <c r="Q718" s="3" t="s">
        <v>26</v>
      </c>
      <c r="R718" s="3">
        <v>0</v>
      </c>
      <c r="S718" s="3" t="s">
        <v>192</v>
      </c>
      <c r="T718" s="3" t="s">
        <v>410</v>
      </c>
      <c r="U718" s="3">
        <v>0</v>
      </c>
      <c r="V718" s="3">
        <v>24</v>
      </c>
      <c r="W718" s="3">
        <v>40</v>
      </c>
    </row>
    <row r="719" spans="1:23" ht="11.25" customHeight="1" x14ac:dyDescent="0.25">
      <c r="A719" s="3" t="s">
        <v>21</v>
      </c>
      <c r="B719" s="3" t="s">
        <v>22</v>
      </c>
      <c r="C719" s="3" t="s">
        <v>23</v>
      </c>
      <c r="D719" s="3" t="s">
        <v>24</v>
      </c>
      <c r="E719" s="3" t="s">
        <v>24</v>
      </c>
      <c r="F719" s="3" t="s">
        <v>25</v>
      </c>
      <c r="G719" s="3" t="s">
        <v>25</v>
      </c>
      <c r="H719" s="3" t="s">
        <v>25</v>
      </c>
      <c r="I719" s="6">
        <v>44652</v>
      </c>
      <c r="J719" s="4">
        <v>0</v>
      </c>
      <c r="K719" s="4">
        <v>0</v>
      </c>
      <c r="L719" s="4">
        <v>44094.889000000003</v>
      </c>
      <c r="M719" s="4">
        <v>44094.889000000003</v>
      </c>
      <c r="N719" s="4">
        <v>44094.889000000003</v>
      </c>
      <c r="O719" s="4">
        <v>44094.889000000003</v>
      </c>
      <c r="P719" s="4">
        <v>126071</v>
      </c>
      <c r="Q719" s="3" t="s">
        <v>26</v>
      </c>
      <c r="R719" s="3">
        <v>0</v>
      </c>
      <c r="S719" s="3" t="s">
        <v>193</v>
      </c>
      <c r="T719" s="3" t="s">
        <v>411</v>
      </c>
      <c r="U719" s="3">
        <v>0</v>
      </c>
      <c r="V719" s="3">
        <v>24</v>
      </c>
      <c r="W719" s="3">
        <v>40</v>
      </c>
    </row>
    <row r="720" spans="1:23" ht="11.25" customHeight="1" x14ac:dyDescent="0.25">
      <c r="A720" s="3" t="s">
        <v>27</v>
      </c>
      <c r="B720" s="3" t="s">
        <v>22</v>
      </c>
      <c r="C720" s="3" t="s">
        <v>23</v>
      </c>
      <c r="D720" s="3" t="s">
        <v>24</v>
      </c>
      <c r="E720" s="3" t="s">
        <v>24</v>
      </c>
      <c r="F720" s="3" t="s">
        <v>25</v>
      </c>
      <c r="G720" s="3" t="s">
        <v>25</v>
      </c>
      <c r="H720" s="3" t="s">
        <v>25</v>
      </c>
      <c r="I720" s="6">
        <v>44652</v>
      </c>
      <c r="J720" s="4">
        <v>0</v>
      </c>
      <c r="K720" s="4">
        <v>0</v>
      </c>
      <c r="L720" s="4">
        <v>-68.965000000000003</v>
      </c>
      <c r="M720" s="4">
        <v>-68.965000000000003</v>
      </c>
      <c r="N720" s="4">
        <v>-68.965000000000003</v>
      </c>
      <c r="O720" s="4">
        <v>-68.965000000000003</v>
      </c>
      <c r="P720" s="4">
        <v>-24</v>
      </c>
      <c r="Q720" s="3" t="s">
        <v>26</v>
      </c>
      <c r="R720" s="3">
        <v>0</v>
      </c>
      <c r="S720" s="3" t="s">
        <v>193</v>
      </c>
      <c r="T720" s="3" t="s">
        <v>411</v>
      </c>
      <c r="U720" s="3">
        <v>0</v>
      </c>
      <c r="V720" s="3">
        <v>24</v>
      </c>
      <c r="W720" s="3">
        <v>40</v>
      </c>
    </row>
    <row r="721" spans="1:23" ht="11.25" customHeight="1" x14ac:dyDescent="0.25">
      <c r="A721" s="3" t="s">
        <v>28</v>
      </c>
      <c r="B721" s="3" t="s">
        <v>22</v>
      </c>
      <c r="C721" s="3" t="s">
        <v>23</v>
      </c>
      <c r="D721" s="3" t="s">
        <v>24</v>
      </c>
      <c r="E721" s="3" t="s">
        <v>24</v>
      </c>
      <c r="F721" s="3" t="s">
        <v>25</v>
      </c>
      <c r="G721" s="3" t="s">
        <v>25</v>
      </c>
      <c r="H721" s="3" t="s">
        <v>25</v>
      </c>
      <c r="I721" s="6">
        <v>44652</v>
      </c>
      <c r="J721" s="4">
        <v>0</v>
      </c>
      <c r="K721" s="4">
        <v>0</v>
      </c>
      <c r="L721" s="4">
        <v>498.952</v>
      </c>
      <c r="M721" s="4">
        <v>498.952</v>
      </c>
      <c r="N721" s="4">
        <v>498.952</v>
      </c>
      <c r="O721" s="4">
        <v>498.952</v>
      </c>
      <c r="P721" s="4">
        <v>651</v>
      </c>
      <c r="Q721" s="3" t="s">
        <v>26</v>
      </c>
      <c r="R721" s="3">
        <v>0</v>
      </c>
      <c r="S721" s="3" t="s">
        <v>193</v>
      </c>
      <c r="T721" s="3" t="s">
        <v>411</v>
      </c>
      <c r="U721" s="3">
        <v>0</v>
      </c>
      <c r="V721" s="3">
        <v>24</v>
      </c>
      <c r="W721" s="3">
        <v>40</v>
      </c>
    </row>
    <row r="722" spans="1:23" ht="11.25" customHeight="1" x14ac:dyDescent="0.25">
      <c r="A722" s="3" t="s">
        <v>21</v>
      </c>
      <c r="B722" s="3" t="s">
        <v>22</v>
      </c>
      <c r="C722" s="3" t="s">
        <v>23</v>
      </c>
      <c r="D722" s="3" t="s">
        <v>24</v>
      </c>
      <c r="E722" s="3" t="s">
        <v>24</v>
      </c>
      <c r="F722" s="3" t="s">
        <v>25</v>
      </c>
      <c r="G722" s="3" t="s">
        <v>25</v>
      </c>
      <c r="H722" s="3" t="s">
        <v>25</v>
      </c>
      <c r="I722" s="6">
        <v>44682</v>
      </c>
      <c r="J722" s="4">
        <v>0</v>
      </c>
      <c r="K722" s="4">
        <v>0</v>
      </c>
      <c r="L722" s="4">
        <v>39334.377999999997</v>
      </c>
      <c r="M722" s="4">
        <v>39334.377999999997</v>
      </c>
      <c r="N722" s="4">
        <v>39334.377999999997</v>
      </c>
      <c r="O722" s="4">
        <v>39334.377999999997</v>
      </c>
      <c r="P722" s="4">
        <v>127199</v>
      </c>
      <c r="Q722" s="3" t="s">
        <v>26</v>
      </c>
      <c r="R722" s="3">
        <v>0</v>
      </c>
      <c r="S722" s="3" t="s">
        <v>194</v>
      </c>
      <c r="T722" s="3" t="s">
        <v>412</v>
      </c>
      <c r="U722" s="3">
        <v>0</v>
      </c>
      <c r="V722" s="3">
        <v>24</v>
      </c>
      <c r="W722" s="3">
        <v>40</v>
      </c>
    </row>
    <row r="723" spans="1:23" ht="11.25" customHeight="1" x14ac:dyDescent="0.25">
      <c r="A723" s="3" t="s">
        <v>27</v>
      </c>
      <c r="B723" s="3" t="s">
        <v>22</v>
      </c>
      <c r="C723" s="3" t="s">
        <v>23</v>
      </c>
      <c r="D723" s="3" t="s">
        <v>24</v>
      </c>
      <c r="E723" s="3" t="s">
        <v>24</v>
      </c>
      <c r="F723" s="3" t="s">
        <v>25</v>
      </c>
      <c r="G723" s="3" t="s">
        <v>25</v>
      </c>
      <c r="H723" s="3" t="s">
        <v>25</v>
      </c>
      <c r="I723" s="6">
        <v>44682</v>
      </c>
      <c r="J723" s="4">
        <v>0</v>
      </c>
      <c r="K723" s="4">
        <v>0</v>
      </c>
      <c r="L723" s="4">
        <v>-312.94400000000002</v>
      </c>
      <c r="M723" s="4">
        <v>-312.94400000000002</v>
      </c>
      <c r="N723" s="4">
        <v>-312.94400000000002</v>
      </c>
      <c r="O723" s="4">
        <v>-312.94400000000002</v>
      </c>
      <c r="P723" s="4">
        <v>-272</v>
      </c>
      <c r="Q723" s="3" t="s">
        <v>26</v>
      </c>
      <c r="R723" s="3">
        <v>0</v>
      </c>
      <c r="S723" s="3" t="s">
        <v>194</v>
      </c>
      <c r="T723" s="3" t="s">
        <v>412</v>
      </c>
      <c r="U723" s="3">
        <v>0</v>
      </c>
      <c r="V723" s="3">
        <v>24</v>
      </c>
      <c r="W723" s="3">
        <v>40</v>
      </c>
    </row>
    <row r="724" spans="1:23" ht="11.25" customHeight="1" x14ac:dyDescent="0.25">
      <c r="A724" s="3" t="s">
        <v>28</v>
      </c>
      <c r="B724" s="3" t="s">
        <v>22</v>
      </c>
      <c r="C724" s="3" t="s">
        <v>23</v>
      </c>
      <c r="D724" s="3" t="s">
        <v>24</v>
      </c>
      <c r="E724" s="3" t="s">
        <v>24</v>
      </c>
      <c r="F724" s="3" t="s">
        <v>25</v>
      </c>
      <c r="G724" s="3" t="s">
        <v>25</v>
      </c>
      <c r="H724" s="3" t="s">
        <v>25</v>
      </c>
      <c r="I724" s="6">
        <v>44682</v>
      </c>
      <c r="J724" s="4">
        <v>0</v>
      </c>
      <c r="K724" s="4">
        <v>0</v>
      </c>
      <c r="L724" s="4">
        <v>2010.116</v>
      </c>
      <c r="M724" s="4">
        <v>2010.116</v>
      </c>
      <c r="N724" s="4">
        <v>2010.116</v>
      </c>
      <c r="O724" s="4">
        <v>2010.116</v>
      </c>
      <c r="P724" s="4">
        <v>2892</v>
      </c>
      <c r="Q724" s="3" t="s">
        <v>26</v>
      </c>
      <c r="R724" s="3">
        <v>0</v>
      </c>
      <c r="S724" s="3" t="s">
        <v>194</v>
      </c>
      <c r="T724" s="3" t="s">
        <v>412</v>
      </c>
      <c r="U724" s="3">
        <v>0</v>
      </c>
      <c r="V724" s="3">
        <v>24</v>
      </c>
      <c r="W724" s="3">
        <v>40</v>
      </c>
    </row>
    <row r="725" spans="1:23" ht="11.25" customHeight="1" x14ac:dyDescent="0.25">
      <c r="A725" s="3" t="s">
        <v>21</v>
      </c>
      <c r="B725" s="3" t="s">
        <v>22</v>
      </c>
      <c r="C725" s="3" t="s">
        <v>23</v>
      </c>
      <c r="D725" s="3" t="s">
        <v>24</v>
      </c>
      <c r="E725" s="3" t="s">
        <v>24</v>
      </c>
      <c r="F725" s="3" t="s">
        <v>25</v>
      </c>
      <c r="G725" s="3" t="s">
        <v>25</v>
      </c>
      <c r="H725" s="3" t="s">
        <v>25</v>
      </c>
      <c r="I725" s="6">
        <v>44713</v>
      </c>
      <c r="J725" s="4">
        <v>0</v>
      </c>
      <c r="K725" s="4">
        <v>0</v>
      </c>
      <c r="L725" s="4">
        <v>37710.915000000001</v>
      </c>
      <c r="M725" s="4">
        <v>37710.915000000001</v>
      </c>
      <c r="N725" s="4">
        <v>37710.915000000001</v>
      </c>
      <c r="O725" s="4">
        <v>37710.915000000001</v>
      </c>
      <c r="P725" s="4">
        <v>127280</v>
      </c>
      <c r="Q725" s="3" t="s">
        <v>26</v>
      </c>
      <c r="R725" s="3">
        <v>0</v>
      </c>
      <c r="S725" s="3" t="s">
        <v>195</v>
      </c>
      <c r="T725" s="3" t="s">
        <v>413</v>
      </c>
      <c r="U725" s="3">
        <v>0</v>
      </c>
      <c r="V725" s="3">
        <v>24</v>
      </c>
      <c r="W725" s="3">
        <v>40</v>
      </c>
    </row>
    <row r="726" spans="1:23" ht="11.25" customHeight="1" x14ac:dyDescent="0.25">
      <c r="A726" s="3" t="s">
        <v>27</v>
      </c>
      <c r="B726" s="3" t="s">
        <v>22</v>
      </c>
      <c r="C726" s="3" t="s">
        <v>23</v>
      </c>
      <c r="D726" s="3" t="s">
        <v>24</v>
      </c>
      <c r="E726" s="3" t="s">
        <v>24</v>
      </c>
      <c r="F726" s="3" t="s">
        <v>25</v>
      </c>
      <c r="G726" s="3" t="s">
        <v>25</v>
      </c>
      <c r="H726" s="3" t="s">
        <v>25</v>
      </c>
      <c r="I726" s="6">
        <v>44713</v>
      </c>
      <c r="J726" s="4">
        <v>0</v>
      </c>
      <c r="K726" s="4">
        <v>0</v>
      </c>
      <c r="L726" s="4">
        <v>-64.581999999999994</v>
      </c>
      <c r="M726" s="4">
        <v>-64.581999999999994</v>
      </c>
      <c r="N726" s="4">
        <v>-64.581999999999994</v>
      </c>
      <c r="O726" s="4">
        <v>-64.581999999999994</v>
      </c>
      <c r="P726" s="4">
        <v>-23</v>
      </c>
      <c r="Q726" s="3" t="s">
        <v>26</v>
      </c>
      <c r="R726" s="3">
        <v>0</v>
      </c>
      <c r="S726" s="3" t="s">
        <v>195</v>
      </c>
      <c r="T726" s="3" t="s">
        <v>413</v>
      </c>
      <c r="U726" s="3">
        <v>0</v>
      </c>
      <c r="V726" s="3">
        <v>24</v>
      </c>
      <c r="W726" s="3">
        <v>40</v>
      </c>
    </row>
    <row r="727" spans="1:23" ht="11.25" customHeight="1" x14ac:dyDescent="0.25">
      <c r="A727" s="3" t="s">
        <v>28</v>
      </c>
      <c r="B727" s="3" t="s">
        <v>22</v>
      </c>
      <c r="C727" s="3" t="s">
        <v>23</v>
      </c>
      <c r="D727" s="3" t="s">
        <v>24</v>
      </c>
      <c r="E727" s="3" t="s">
        <v>24</v>
      </c>
      <c r="F727" s="3" t="s">
        <v>25</v>
      </c>
      <c r="G727" s="3" t="s">
        <v>25</v>
      </c>
      <c r="H727" s="3" t="s">
        <v>25</v>
      </c>
      <c r="I727" s="6">
        <v>44713</v>
      </c>
      <c r="J727" s="4">
        <v>0</v>
      </c>
      <c r="K727" s="4">
        <v>0</v>
      </c>
      <c r="L727" s="4">
        <v>492.12700000000001</v>
      </c>
      <c r="M727" s="4">
        <v>492.12700000000001</v>
      </c>
      <c r="N727" s="4">
        <v>492.12700000000001</v>
      </c>
      <c r="O727" s="4">
        <v>492.12700000000001</v>
      </c>
      <c r="P727" s="4">
        <v>758</v>
      </c>
      <c r="Q727" s="3" t="s">
        <v>26</v>
      </c>
      <c r="R727" s="3">
        <v>0</v>
      </c>
      <c r="S727" s="3" t="s">
        <v>195</v>
      </c>
      <c r="T727" s="3" t="s">
        <v>413</v>
      </c>
      <c r="U727" s="3">
        <v>0</v>
      </c>
      <c r="V727" s="3">
        <v>24</v>
      </c>
      <c r="W727" s="3">
        <v>40</v>
      </c>
    </row>
    <row r="728" spans="1:23" ht="11.25" customHeight="1" x14ac:dyDescent="0.25">
      <c r="A728" s="3" t="s">
        <v>21</v>
      </c>
      <c r="B728" s="3" t="s">
        <v>22</v>
      </c>
      <c r="C728" s="3" t="s">
        <v>23</v>
      </c>
      <c r="D728" s="3" t="s">
        <v>24</v>
      </c>
      <c r="E728" s="3" t="s">
        <v>24</v>
      </c>
      <c r="F728" s="3" t="s">
        <v>25</v>
      </c>
      <c r="G728" s="3" t="s">
        <v>25</v>
      </c>
      <c r="H728" s="3" t="s">
        <v>25</v>
      </c>
      <c r="I728" s="6">
        <v>44743</v>
      </c>
      <c r="J728" s="4">
        <v>0</v>
      </c>
      <c r="K728" s="4">
        <v>0</v>
      </c>
      <c r="L728" s="4">
        <v>37634.930999999997</v>
      </c>
      <c r="M728" s="4">
        <v>37634.930999999997</v>
      </c>
      <c r="N728" s="4">
        <v>37634.930999999997</v>
      </c>
      <c r="O728" s="4">
        <v>37634.930999999997</v>
      </c>
      <c r="P728" s="4">
        <v>127258</v>
      </c>
      <c r="Q728" s="3" t="s">
        <v>26</v>
      </c>
      <c r="R728" s="3">
        <v>0</v>
      </c>
      <c r="S728" s="3" t="s">
        <v>196</v>
      </c>
      <c r="T728" s="3" t="s">
        <v>414</v>
      </c>
      <c r="U728" s="3">
        <v>0</v>
      </c>
      <c r="V728" s="3">
        <v>24</v>
      </c>
      <c r="W728" s="3">
        <v>40</v>
      </c>
    </row>
    <row r="729" spans="1:23" ht="11.25" customHeight="1" x14ac:dyDescent="0.25">
      <c r="A729" s="3" t="s">
        <v>27</v>
      </c>
      <c r="B729" s="3" t="s">
        <v>22</v>
      </c>
      <c r="C729" s="3" t="s">
        <v>23</v>
      </c>
      <c r="D729" s="3" t="s">
        <v>24</v>
      </c>
      <c r="E729" s="3" t="s">
        <v>24</v>
      </c>
      <c r="F729" s="3" t="s">
        <v>25</v>
      </c>
      <c r="G729" s="3" t="s">
        <v>25</v>
      </c>
      <c r="H729" s="3" t="s">
        <v>25</v>
      </c>
      <c r="I729" s="6">
        <v>44743</v>
      </c>
      <c r="J729" s="4">
        <v>0</v>
      </c>
      <c r="K729" s="4">
        <v>0</v>
      </c>
      <c r="L729" s="4">
        <v>-25.3</v>
      </c>
      <c r="M729" s="4">
        <v>-25.3</v>
      </c>
      <c r="N729" s="4">
        <v>-25.3</v>
      </c>
      <c r="O729" s="4">
        <v>-25.3</v>
      </c>
      <c r="P729" s="4">
        <v>11</v>
      </c>
      <c r="Q729" s="3" t="s">
        <v>26</v>
      </c>
      <c r="R729" s="3">
        <v>0</v>
      </c>
      <c r="S729" s="3" t="s">
        <v>196</v>
      </c>
      <c r="T729" s="3" t="s">
        <v>414</v>
      </c>
      <c r="U729" s="3">
        <v>0</v>
      </c>
      <c r="V729" s="3">
        <v>24</v>
      </c>
      <c r="W729" s="3">
        <v>40</v>
      </c>
    </row>
    <row r="730" spans="1:23" ht="11.25" customHeight="1" x14ac:dyDescent="0.25">
      <c r="A730" s="3" t="s">
        <v>28</v>
      </c>
      <c r="B730" s="3" t="s">
        <v>22</v>
      </c>
      <c r="C730" s="3" t="s">
        <v>23</v>
      </c>
      <c r="D730" s="3" t="s">
        <v>24</v>
      </c>
      <c r="E730" s="3" t="s">
        <v>24</v>
      </c>
      <c r="F730" s="3" t="s">
        <v>25</v>
      </c>
      <c r="G730" s="3" t="s">
        <v>25</v>
      </c>
      <c r="H730" s="3" t="s">
        <v>25</v>
      </c>
      <c r="I730" s="6">
        <v>44743</v>
      </c>
      <c r="J730" s="4">
        <v>0</v>
      </c>
      <c r="K730" s="4">
        <v>0</v>
      </c>
      <c r="L730" s="4">
        <v>519.245</v>
      </c>
      <c r="M730" s="4">
        <v>519.245</v>
      </c>
      <c r="N730" s="4">
        <v>519.245</v>
      </c>
      <c r="O730" s="4">
        <v>519.245</v>
      </c>
      <c r="P730" s="4">
        <v>799</v>
      </c>
      <c r="Q730" s="3" t="s">
        <v>26</v>
      </c>
      <c r="R730" s="3">
        <v>0</v>
      </c>
      <c r="S730" s="3" t="s">
        <v>196</v>
      </c>
      <c r="T730" s="3" t="s">
        <v>414</v>
      </c>
      <c r="U730" s="3">
        <v>0</v>
      </c>
      <c r="V730" s="3">
        <v>24</v>
      </c>
      <c r="W730" s="3">
        <v>40</v>
      </c>
    </row>
    <row r="731" spans="1:23" ht="11.25" customHeight="1" x14ac:dyDescent="0.25">
      <c r="A731" s="3" t="s">
        <v>28</v>
      </c>
      <c r="B731" s="3" t="s">
        <v>22</v>
      </c>
      <c r="C731" s="3" t="s">
        <v>23</v>
      </c>
      <c r="D731" s="3" t="s">
        <v>24</v>
      </c>
      <c r="E731" s="3" t="s">
        <v>24</v>
      </c>
      <c r="F731" s="3" t="s">
        <v>25</v>
      </c>
      <c r="G731" s="3" t="s">
        <v>25</v>
      </c>
      <c r="H731" s="3" t="s">
        <v>25</v>
      </c>
      <c r="I731" s="6">
        <v>44743</v>
      </c>
      <c r="J731" s="4">
        <v>0</v>
      </c>
      <c r="K731" s="4">
        <v>0</v>
      </c>
      <c r="L731" s="4">
        <v>-1.341</v>
      </c>
      <c r="M731" s="4">
        <v>-1.341</v>
      </c>
      <c r="N731" s="4">
        <v>-1.341</v>
      </c>
      <c r="O731" s="4">
        <v>-1.341</v>
      </c>
      <c r="P731" s="4">
        <v>-1</v>
      </c>
      <c r="Q731" s="3" t="s">
        <v>26</v>
      </c>
      <c r="R731" s="3">
        <v>0</v>
      </c>
      <c r="S731" s="3" t="s">
        <v>196</v>
      </c>
      <c r="T731" s="3" t="s">
        <v>414</v>
      </c>
      <c r="U731" s="3">
        <v>0</v>
      </c>
      <c r="V731" s="3">
        <v>24</v>
      </c>
      <c r="W731" s="3">
        <v>40</v>
      </c>
    </row>
    <row r="732" spans="1:23" ht="11.25" customHeight="1" x14ac:dyDescent="0.25">
      <c r="A732" s="3" t="s">
        <v>21</v>
      </c>
      <c r="B732" s="3" t="s">
        <v>22</v>
      </c>
      <c r="C732" s="3" t="s">
        <v>23</v>
      </c>
      <c r="D732" s="3" t="s">
        <v>24</v>
      </c>
      <c r="E732" s="3" t="s">
        <v>24</v>
      </c>
      <c r="F732" s="3" t="s">
        <v>25</v>
      </c>
      <c r="G732" s="3" t="s">
        <v>25</v>
      </c>
      <c r="H732" s="3" t="s">
        <v>25</v>
      </c>
      <c r="I732" s="6">
        <v>44774</v>
      </c>
      <c r="J732" s="4">
        <v>0</v>
      </c>
      <c r="K732" s="4">
        <v>0</v>
      </c>
      <c r="L732" s="4">
        <v>44574.142</v>
      </c>
      <c r="M732" s="4">
        <v>44574.142</v>
      </c>
      <c r="N732" s="4">
        <v>44574.142</v>
      </c>
      <c r="O732" s="4">
        <v>44574.142</v>
      </c>
      <c r="P732" s="4">
        <v>126585</v>
      </c>
      <c r="Q732" s="3" t="s">
        <v>26</v>
      </c>
      <c r="R732" s="3">
        <v>0</v>
      </c>
      <c r="S732" s="3" t="s">
        <v>197</v>
      </c>
      <c r="T732" s="3" t="s">
        <v>415</v>
      </c>
      <c r="U732" s="3">
        <v>0</v>
      </c>
      <c r="V732" s="3">
        <v>24</v>
      </c>
      <c r="W732" s="3">
        <v>40</v>
      </c>
    </row>
    <row r="733" spans="1:23" ht="11.25" customHeight="1" x14ac:dyDescent="0.25">
      <c r="A733" s="3" t="s">
        <v>27</v>
      </c>
      <c r="B733" s="3" t="s">
        <v>22</v>
      </c>
      <c r="C733" s="3" t="s">
        <v>23</v>
      </c>
      <c r="D733" s="3" t="s">
        <v>24</v>
      </c>
      <c r="E733" s="3" t="s">
        <v>24</v>
      </c>
      <c r="F733" s="3" t="s">
        <v>25</v>
      </c>
      <c r="G733" s="3" t="s">
        <v>25</v>
      </c>
      <c r="H733" s="3" t="s">
        <v>25</v>
      </c>
      <c r="I733" s="6">
        <v>44774</v>
      </c>
      <c r="J733" s="4">
        <v>0</v>
      </c>
      <c r="K733" s="4">
        <v>0</v>
      </c>
      <c r="L733" s="4">
        <v>-180.69399999999999</v>
      </c>
      <c r="M733" s="4">
        <v>-180.69399999999999</v>
      </c>
      <c r="N733" s="4">
        <v>-180.69399999999999</v>
      </c>
      <c r="O733" s="4">
        <v>-180.69399999999999</v>
      </c>
      <c r="P733" s="4">
        <v>-46</v>
      </c>
      <c r="Q733" s="3" t="s">
        <v>26</v>
      </c>
      <c r="R733" s="3">
        <v>0</v>
      </c>
      <c r="S733" s="3" t="s">
        <v>197</v>
      </c>
      <c r="T733" s="3" t="s">
        <v>415</v>
      </c>
      <c r="U733" s="3">
        <v>0</v>
      </c>
      <c r="V733" s="3">
        <v>24</v>
      </c>
      <c r="W733" s="3">
        <v>40</v>
      </c>
    </row>
    <row r="734" spans="1:23" ht="11.25" customHeight="1" x14ac:dyDescent="0.25">
      <c r="A734" s="3" t="s">
        <v>28</v>
      </c>
      <c r="B734" s="3" t="s">
        <v>22</v>
      </c>
      <c r="C734" s="3" t="s">
        <v>23</v>
      </c>
      <c r="D734" s="3" t="s">
        <v>24</v>
      </c>
      <c r="E734" s="3" t="s">
        <v>24</v>
      </c>
      <c r="F734" s="3" t="s">
        <v>25</v>
      </c>
      <c r="G734" s="3" t="s">
        <v>25</v>
      </c>
      <c r="H734" s="3" t="s">
        <v>25</v>
      </c>
      <c r="I734" s="6">
        <v>44774</v>
      </c>
      <c r="J734" s="4">
        <v>0</v>
      </c>
      <c r="K734" s="4">
        <v>0</v>
      </c>
      <c r="L734" s="4">
        <v>678.17</v>
      </c>
      <c r="M734" s="4">
        <v>678.17</v>
      </c>
      <c r="N734" s="4">
        <v>678.17</v>
      </c>
      <c r="O734" s="4">
        <v>678.17</v>
      </c>
      <c r="P734" s="4">
        <v>845</v>
      </c>
      <c r="Q734" s="3" t="s">
        <v>26</v>
      </c>
      <c r="R734" s="3">
        <v>0</v>
      </c>
      <c r="S734" s="3" t="s">
        <v>197</v>
      </c>
      <c r="T734" s="3" t="s">
        <v>415</v>
      </c>
      <c r="U734" s="3">
        <v>0</v>
      </c>
      <c r="V734" s="3">
        <v>24</v>
      </c>
      <c r="W734" s="3">
        <v>40</v>
      </c>
    </row>
    <row r="735" spans="1:23" ht="11.25" customHeight="1" x14ac:dyDescent="0.25">
      <c r="A735" s="3" t="s">
        <v>28</v>
      </c>
      <c r="B735" s="3" t="s">
        <v>22</v>
      </c>
      <c r="C735" s="3" t="s">
        <v>23</v>
      </c>
      <c r="D735" s="3" t="s">
        <v>24</v>
      </c>
      <c r="E735" s="3" t="s">
        <v>24</v>
      </c>
      <c r="F735" s="3" t="s">
        <v>25</v>
      </c>
      <c r="G735" s="3" t="s">
        <v>25</v>
      </c>
      <c r="H735" s="3" t="s">
        <v>25</v>
      </c>
      <c r="I735" s="6">
        <v>44774</v>
      </c>
      <c r="J735" s="4">
        <v>0</v>
      </c>
      <c r="K735" s="4">
        <v>0</v>
      </c>
      <c r="L735" s="4">
        <v>-0.45900000000000002</v>
      </c>
      <c r="M735" s="4">
        <v>-0.45900000000000002</v>
      </c>
      <c r="N735" s="4">
        <v>-0.45900000000000002</v>
      </c>
      <c r="O735" s="4">
        <v>-0.45900000000000002</v>
      </c>
      <c r="P735" s="4">
        <v>0</v>
      </c>
      <c r="Q735" s="3" t="s">
        <v>26</v>
      </c>
      <c r="R735" s="3">
        <v>0</v>
      </c>
      <c r="S735" s="3" t="s">
        <v>197</v>
      </c>
      <c r="T735" s="3" t="s">
        <v>415</v>
      </c>
      <c r="U735" s="3">
        <v>0</v>
      </c>
      <c r="V735" s="3">
        <v>24</v>
      </c>
      <c r="W735" s="3">
        <v>40</v>
      </c>
    </row>
    <row r="736" spans="1:23" ht="11.25" customHeight="1" x14ac:dyDescent="0.25">
      <c r="A736" s="3" t="s">
        <v>21</v>
      </c>
      <c r="B736" s="3" t="s">
        <v>22</v>
      </c>
      <c r="C736" s="3" t="s">
        <v>23</v>
      </c>
      <c r="D736" s="3" t="s">
        <v>24</v>
      </c>
      <c r="E736" s="3" t="s">
        <v>24</v>
      </c>
      <c r="F736" s="3" t="s">
        <v>25</v>
      </c>
      <c r="G736" s="3" t="s">
        <v>25</v>
      </c>
      <c r="H736" s="3" t="s">
        <v>25</v>
      </c>
      <c r="I736" s="6">
        <v>44805</v>
      </c>
      <c r="J736" s="4">
        <v>0</v>
      </c>
      <c r="K736" s="4">
        <v>0</v>
      </c>
      <c r="L736" s="4">
        <v>45779.404000000002</v>
      </c>
      <c r="M736" s="4">
        <v>45779.404000000002</v>
      </c>
      <c r="N736" s="4">
        <v>45779.404000000002</v>
      </c>
      <c r="O736" s="4">
        <v>45779.404000000002</v>
      </c>
      <c r="P736" s="4">
        <v>127057</v>
      </c>
      <c r="Q736" s="3" t="s">
        <v>26</v>
      </c>
      <c r="R736" s="3">
        <v>0</v>
      </c>
      <c r="S736" s="3" t="s">
        <v>198</v>
      </c>
      <c r="T736" s="3" t="s">
        <v>416</v>
      </c>
      <c r="U736" s="3">
        <v>0</v>
      </c>
      <c r="V736" s="3">
        <v>24</v>
      </c>
      <c r="W736" s="3">
        <v>40</v>
      </c>
    </row>
    <row r="737" spans="1:23" ht="11.25" customHeight="1" x14ac:dyDescent="0.25">
      <c r="A737" s="3" t="s">
        <v>27</v>
      </c>
      <c r="B737" s="3" t="s">
        <v>22</v>
      </c>
      <c r="C737" s="3" t="s">
        <v>23</v>
      </c>
      <c r="D737" s="3" t="s">
        <v>24</v>
      </c>
      <c r="E737" s="3" t="s">
        <v>24</v>
      </c>
      <c r="F737" s="3" t="s">
        <v>25</v>
      </c>
      <c r="G737" s="3" t="s">
        <v>25</v>
      </c>
      <c r="H737" s="3" t="s">
        <v>25</v>
      </c>
      <c r="I737" s="6">
        <v>44805</v>
      </c>
      <c r="J737" s="4">
        <v>0</v>
      </c>
      <c r="K737" s="4">
        <v>0</v>
      </c>
      <c r="L737" s="4">
        <v>-95.093999999999994</v>
      </c>
      <c r="M737" s="4">
        <v>-95.093999999999994</v>
      </c>
      <c r="N737" s="4">
        <v>-95.093999999999994</v>
      </c>
      <c r="O737" s="4">
        <v>-95.093999999999994</v>
      </c>
      <c r="P737" s="4">
        <v>-57</v>
      </c>
      <c r="Q737" s="3" t="s">
        <v>26</v>
      </c>
      <c r="R737" s="3">
        <v>0</v>
      </c>
      <c r="S737" s="3" t="s">
        <v>198</v>
      </c>
      <c r="T737" s="3" t="s">
        <v>416</v>
      </c>
      <c r="U737" s="3">
        <v>0</v>
      </c>
      <c r="V737" s="3">
        <v>24</v>
      </c>
      <c r="W737" s="3">
        <v>40</v>
      </c>
    </row>
    <row r="738" spans="1:23" ht="11.25" customHeight="1" x14ac:dyDescent="0.25">
      <c r="A738" s="3" t="s">
        <v>28</v>
      </c>
      <c r="B738" s="3" t="s">
        <v>22</v>
      </c>
      <c r="C738" s="3" t="s">
        <v>23</v>
      </c>
      <c r="D738" s="3" t="s">
        <v>24</v>
      </c>
      <c r="E738" s="3" t="s">
        <v>24</v>
      </c>
      <c r="F738" s="3" t="s">
        <v>25</v>
      </c>
      <c r="G738" s="3" t="s">
        <v>25</v>
      </c>
      <c r="H738" s="3" t="s">
        <v>25</v>
      </c>
      <c r="I738" s="6">
        <v>44805</v>
      </c>
      <c r="J738" s="4">
        <v>0</v>
      </c>
      <c r="K738" s="4">
        <v>0</v>
      </c>
      <c r="L738" s="4">
        <v>713.95600000000002</v>
      </c>
      <c r="M738" s="4">
        <v>713.95600000000002</v>
      </c>
      <c r="N738" s="4">
        <v>713.95600000000002</v>
      </c>
      <c r="O738" s="4">
        <v>713.95600000000002</v>
      </c>
      <c r="P738" s="4">
        <v>879</v>
      </c>
      <c r="Q738" s="3" t="s">
        <v>26</v>
      </c>
      <c r="R738" s="3">
        <v>0</v>
      </c>
      <c r="S738" s="3" t="s">
        <v>198</v>
      </c>
      <c r="T738" s="3" t="s">
        <v>416</v>
      </c>
      <c r="U738" s="3">
        <v>0</v>
      </c>
      <c r="V738" s="3">
        <v>24</v>
      </c>
      <c r="W738" s="3">
        <v>40</v>
      </c>
    </row>
    <row r="739" spans="1:23" ht="11.25" customHeight="1" x14ac:dyDescent="0.25">
      <c r="A739" s="3" t="s">
        <v>28</v>
      </c>
      <c r="B739" s="3" t="s">
        <v>22</v>
      </c>
      <c r="C739" s="3" t="s">
        <v>23</v>
      </c>
      <c r="D739" s="3" t="s">
        <v>24</v>
      </c>
      <c r="E739" s="3" t="s">
        <v>24</v>
      </c>
      <c r="F739" s="3" t="s">
        <v>25</v>
      </c>
      <c r="G739" s="3" t="s">
        <v>25</v>
      </c>
      <c r="H739" s="3" t="s">
        <v>25</v>
      </c>
      <c r="I739" s="6">
        <v>44805</v>
      </c>
      <c r="J739" s="4">
        <v>0</v>
      </c>
      <c r="K739" s="4">
        <v>0</v>
      </c>
      <c r="L739" s="4">
        <v>-0.23699999999999999</v>
      </c>
      <c r="M739" s="4">
        <v>-0.23699999999999999</v>
      </c>
      <c r="N739" s="4">
        <v>-0.23699999999999999</v>
      </c>
      <c r="O739" s="4">
        <v>-0.23699999999999999</v>
      </c>
      <c r="P739" s="4">
        <v>1</v>
      </c>
      <c r="Q739" s="3" t="s">
        <v>26</v>
      </c>
      <c r="R739" s="3">
        <v>0</v>
      </c>
      <c r="S739" s="3" t="s">
        <v>198</v>
      </c>
      <c r="T739" s="3" t="s">
        <v>416</v>
      </c>
      <c r="U739" s="3">
        <v>0</v>
      </c>
      <c r="V739" s="3">
        <v>24</v>
      </c>
      <c r="W739" s="3">
        <v>40</v>
      </c>
    </row>
    <row r="740" spans="1:23" ht="11.25" customHeight="1" x14ac:dyDescent="0.25">
      <c r="A740" s="3" t="s">
        <v>55</v>
      </c>
      <c r="B740" s="3" t="s">
        <v>22</v>
      </c>
      <c r="C740" s="3" t="s">
        <v>23</v>
      </c>
      <c r="D740" s="3" t="s">
        <v>24</v>
      </c>
      <c r="E740" s="3" t="s">
        <v>24</v>
      </c>
      <c r="F740" s="3" t="s">
        <v>25</v>
      </c>
      <c r="G740" s="3" t="s">
        <v>25</v>
      </c>
      <c r="H740" s="3" t="s">
        <v>25</v>
      </c>
      <c r="I740" s="6">
        <v>44835</v>
      </c>
      <c r="J740" s="4">
        <v>0</v>
      </c>
      <c r="K740" s="4">
        <v>0</v>
      </c>
      <c r="L740" s="4">
        <v>45779.404000000002</v>
      </c>
      <c r="M740" s="4">
        <v>45779.404000000002</v>
      </c>
      <c r="N740" s="4">
        <v>45779.404000000002</v>
      </c>
      <c r="O740" s="4">
        <v>45779.404000000002</v>
      </c>
      <c r="P740" s="4">
        <v>127057</v>
      </c>
      <c r="Q740" s="3" t="s">
        <v>26</v>
      </c>
      <c r="R740" s="3">
        <v>0</v>
      </c>
      <c r="S740" s="3" t="s">
        <v>199</v>
      </c>
      <c r="T740" s="3" t="s">
        <v>417</v>
      </c>
      <c r="U740" s="3">
        <v>0</v>
      </c>
      <c r="V740" s="3">
        <v>24</v>
      </c>
      <c r="W740" s="3">
        <v>40</v>
      </c>
    </row>
    <row r="741" spans="1:23" ht="11.25" customHeight="1" x14ac:dyDescent="0.25">
      <c r="A741" s="3" t="s">
        <v>55</v>
      </c>
      <c r="B741" s="3" t="s">
        <v>22</v>
      </c>
      <c r="C741" s="3" t="s">
        <v>23</v>
      </c>
      <c r="D741" s="3" t="s">
        <v>24</v>
      </c>
      <c r="E741" s="3" t="s">
        <v>24</v>
      </c>
      <c r="F741" s="3" t="s">
        <v>25</v>
      </c>
      <c r="G741" s="3" t="s">
        <v>25</v>
      </c>
      <c r="H741" s="3" t="s">
        <v>25</v>
      </c>
      <c r="I741" s="6">
        <v>44835</v>
      </c>
      <c r="J741" s="4">
        <v>0</v>
      </c>
      <c r="K741" s="4">
        <v>0</v>
      </c>
      <c r="L741" s="4">
        <v>-95.093999999999994</v>
      </c>
      <c r="M741" s="4">
        <v>-95.093999999999994</v>
      </c>
      <c r="N741" s="4">
        <v>-95.093999999999994</v>
      </c>
      <c r="O741" s="4">
        <v>-95.093999999999994</v>
      </c>
      <c r="P741" s="4">
        <v>-57</v>
      </c>
      <c r="Q741" s="3" t="s">
        <v>26</v>
      </c>
      <c r="R741" s="3">
        <v>0</v>
      </c>
      <c r="S741" s="3" t="s">
        <v>199</v>
      </c>
      <c r="T741" s="3" t="s">
        <v>417</v>
      </c>
      <c r="U741" s="3">
        <v>0</v>
      </c>
      <c r="V741" s="3">
        <v>24</v>
      </c>
      <c r="W741" s="3">
        <v>40</v>
      </c>
    </row>
    <row r="742" spans="1:23" ht="11.25" customHeight="1" x14ac:dyDescent="0.25">
      <c r="A742" s="3" t="s">
        <v>55</v>
      </c>
      <c r="B742" s="3" t="s">
        <v>22</v>
      </c>
      <c r="C742" s="3" t="s">
        <v>23</v>
      </c>
      <c r="D742" s="3" t="s">
        <v>24</v>
      </c>
      <c r="E742" s="3" t="s">
        <v>24</v>
      </c>
      <c r="F742" s="3" t="s">
        <v>25</v>
      </c>
      <c r="G742" s="3" t="s">
        <v>25</v>
      </c>
      <c r="H742" s="3" t="s">
        <v>25</v>
      </c>
      <c r="I742" s="6">
        <v>44835</v>
      </c>
      <c r="J742" s="4">
        <v>0</v>
      </c>
      <c r="K742" s="4">
        <v>0</v>
      </c>
      <c r="L742" s="4">
        <v>713.95600000000002</v>
      </c>
      <c r="M742" s="4">
        <v>713.95600000000002</v>
      </c>
      <c r="N742" s="4">
        <v>713.95600000000002</v>
      </c>
      <c r="O742" s="4">
        <v>713.95600000000002</v>
      </c>
      <c r="P742" s="4">
        <v>879</v>
      </c>
      <c r="Q742" s="3" t="s">
        <v>26</v>
      </c>
      <c r="R742" s="3">
        <v>0</v>
      </c>
      <c r="S742" s="3" t="s">
        <v>199</v>
      </c>
      <c r="T742" s="3" t="s">
        <v>417</v>
      </c>
      <c r="U742" s="3">
        <v>0</v>
      </c>
      <c r="V742" s="3">
        <v>24</v>
      </c>
      <c r="W742" s="3">
        <v>40</v>
      </c>
    </row>
    <row r="743" spans="1:23" ht="11.25" customHeight="1" x14ac:dyDescent="0.25">
      <c r="A743" s="3" t="s">
        <v>55</v>
      </c>
      <c r="B743" s="3" t="s">
        <v>22</v>
      </c>
      <c r="C743" s="3" t="s">
        <v>23</v>
      </c>
      <c r="D743" s="3" t="s">
        <v>24</v>
      </c>
      <c r="E743" s="3" t="s">
        <v>24</v>
      </c>
      <c r="F743" s="3" t="s">
        <v>25</v>
      </c>
      <c r="G743" s="3" t="s">
        <v>25</v>
      </c>
      <c r="H743" s="3" t="s">
        <v>25</v>
      </c>
      <c r="I743" s="6">
        <v>44835</v>
      </c>
      <c r="J743" s="4">
        <v>0</v>
      </c>
      <c r="K743" s="4">
        <v>0</v>
      </c>
      <c r="L743" s="4">
        <v>-0.23699999999999999</v>
      </c>
      <c r="M743" s="4">
        <v>-0.23699999999999999</v>
      </c>
      <c r="N743" s="4">
        <v>-0.23699999999999999</v>
      </c>
      <c r="O743" s="4">
        <v>-0.23699999999999999</v>
      </c>
      <c r="P743" s="4">
        <v>1</v>
      </c>
      <c r="Q743" s="3" t="s">
        <v>26</v>
      </c>
      <c r="R743" s="3">
        <v>0</v>
      </c>
      <c r="S743" s="3" t="s">
        <v>199</v>
      </c>
      <c r="T743" s="3" t="s">
        <v>417</v>
      </c>
      <c r="U743" s="3">
        <v>0</v>
      </c>
      <c r="V743" s="3">
        <v>24</v>
      </c>
      <c r="W743" s="3">
        <v>40</v>
      </c>
    </row>
    <row r="744" spans="1:23" ht="11.25" customHeight="1" x14ac:dyDescent="0.25">
      <c r="A744" s="3" t="s">
        <v>21</v>
      </c>
      <c r="B744" s="3" t="s">
        <v>22</v>
      </c>
      <c r="C744" s="3" t="s">
        <v>23</v>
      </c>
      <c r="D744" s="3" t="s">
        <v>24</v>
      </c>
      <c r="E744" s="3" t="s">
        <v>29</v>
      </c>
      <c r="F744" s="3" t="s">
        <v>25</v>
      </c>
      <c r="G744" s="3" t="s">
        <v>25</v>
      </c>
      <c r="H744" s="3" t="s">
        <v>25</v>
      </c>
      <c r="I744" s="6">
        <v>44501</v>
      </c>
      <c r="J744" s="4">
        <v>0</v>
      </c>
      <c r="K744" s="4">
        <v>0</v>
      </c>
      <c r="L744" s="4">
        <v>824.10400000000004</v>
      </c>
      <c r="M744" s="4">
        <v>824.10400000000004</v>
      </c>
      <c r="N744" s="4">
        <v>824.10400000000004</v>
      </c>
      <c r="O744" s="4">
        <v>824.10400000000004</v>
      </c>
      <c r="P744" s="4">
        <v>992</v>
      </c>
      <c r="Q744" s="3" t="s">
        <v>26</v>
      </c>
      <c r="R744" s="3">
        <v>0</v>
      </c>
      <c r="S744" s="3" t="s">
        <v>200</v>
      </c>
      <c r="T744" s="3" t="s">
        <v>418</v>
      </c>
      <c r="U744" s="3">
        <v>0</v>
      </c>
      <c r="V744" s="3">
        <v>17</v>
      </c>
      <c r="W744" s="3">
        <v>60</v>
      </c>
    </row>
    <row r="745" spans="1:23" ht="11.25" customHeight="1" x14ac:dyDescent="0.25">
      <c r="A745" s="3" t="s">
        <v>27</v>
      </c>
      <c r="B745" s="3" t="s">
        <v>22</v>
      </c>
      <c r="C745" s="3" t="s">
        <v>23</v>
      </c>
      <c r="D745" s="3" t="s">
        <v>24</v>
      </c>
      <c r="E745" s="3" t="s">
        <v>29</v>
      </c>
      <c r="F745" s="3" t="s">
        <v>25</v>
      </c>
      <c r="G745" s="3" t="s">
        <v>25</v>
      </c>
      <c r="H745" s="3" t="s">
        <v>25</v>
      </c>
      <c r="I745" s="6">
        <v>44501</v>
      </c>
      <c r="J745" s="4">
        <v>0</v>
      </c>
      <c r="K745" s="4">
        <v>0</v>
      </c>
      <c r="L745" s="4">
        <v>-0.87</v>
      </c>
      <c r="M745" s="4">
        <v>-0.87</v>
      </c>
      <c r="N745" s="4">
        <v>-0.87</v>
      </c>
      <c r="O745" s="4">
        <v>-0.87</v>
      </c>
      <c r="P745" s="4">
        <v>2</v>
      </c>
      <c r="Q745" s="3" t="s">
        <v>26</v>
      </c>
      <c r="R745" s="3">
        <v>0</v>
      </c>
      <c r="S745" s="3" t="s">
        <v>200</v>
      </c>
      <c r="T745" s="3" t="s">
        <v>418</v>
      </c>
      <c r="U745" s="3">
        <v>0</v>
      </c>
      <c r="V745" s="3">
        <v>17</v>
      </c>
      <c r="W745" s="3">
        <v>60</v>
      </c>
    </row>
    <row r="746" spans="1:23" ht="11.25" customHeight="1" x14ac:dyDescent="0.25">
      <c r="A746" s="3" t="s">
        <v>21</v>
      </c>
      <c r="B746" s="3" t="s">
        <v>22</v>
      </c>
      <c r="C746" s="3" t="s">
        <v>23</v>
      </c>
      <c r="D746" s="3" t="s">
        <v>24</v>
      </c>
      <c r="E746" s="3" t="s">
        <v>29</v>
      </c>
      <c r="F746" s="3" t="s">
        <v>25</v>
      </c>
      <c r="G746" s="3" t="s">
        <v>25</v>
      </c>
      <c r="H746" s="3" t="s">
        <v>25</v>
      </c>
      <c r="I746" s="6">
        <v>44531</v>
      </c>
      <c r="J746" s="4">
        <v>0</v>
      </c>
      <c r="K746" s="4">
        <v>0</v>
      </c>
      <c r="L746" s="4">
        <v>827.75900000000001</v>
      </c>
      <c r="M746" s="4">
        <v>827.75900000000001</v>
      </c>
      <c r="N746" s="4">
        <v>827.75900000000001</v>
      </c>
      <c r="O746" s="4">
        <v>827.75900000000001</v>
      </c>
      <c r="P746" s="4">
        <v>1015</v>
      </c>
      <c r="Q746" s="3" t="s">
        <v>26</v>
      </c>
      <c r="R746" s="3">
        <v>0</v>
      </c>
      <c r="S746" s="3" t="s">
        <v>201</v>
      </c>
      <c r="T746" s="3" t="s">
        <v>419</v>
      </c>
      <c r="U746" s="3">
        <v>0</v>
      </c>
      <c r="V746" s="3">
        <v>17</v>
      </c>
      <c r="W746" s="3">
        <v>60</v>
      </c>
    </row>
    <row r="747" spans="1:23" ht="11.25" customHeight="1" x14ac:dyDescent="0.25">
      <c r="A747" s="3" t="s">
        <v>21</v>
      </c>
      <c r="B747" s="3" t="s">
        <v>22</v>
      </c>
      <c r="C747" s="3" t="s">
        <v>23</v>
      </c>
      <c r="D747" s="3" t="s">
        <v>24</v>
      </c>
      <c r="E747" s="3" t="s">
        <v>29</v>
      </c>
      <c r="F747" s="3" t="s">
        <v>25</v>
      </c>
      <c r="G747" s="3" t="s">
        <v>25</v>
      </c>
      <c r="H747" s="3" t="s">
        <v>25</v>
      </c>
      <c r="I747" s="6">
        <v>44562</v>
      </c>
      <c r="J747" s="4">
        <v>0</v>
      </c>
      <c r="K747" s="4">
        <v>0</v>
      </c>
      <c r="L747" s="4">
        <v>837.77499999999998</v>
      </c>
      <c r="M747" s="4">
        <v>837.77499999999998</v>
      </c>
      <c r="N747" s="4">
        <v>837.77499999999998</v>
      </c>
      <c r="O747" s="4">
        <v>837.77499999999998</v>
      </c>
      <c r="P747" s="4">
        <v>1061</v>
      </c>
      <c r="Q747" s="3" t="s">
        <v>26</v>
      </c>
      <c r="R747" s="3">
        <v>0</v>
      </c>
      <c r="S747" s="3" t="s">
        <v>202</v>
      </c>
      <c r="T747" s="3" t="s">
        <v>420</v>
      </c>
      <c r="U747" s="3">
        <v>0</v>
      </c>
      <c r="V747" s="3">
        <v>17</v>
      </c>
      <c r="W747" s="3">
        <v>60</v>
      </c>
    </row>
    <row r="748" spans="1:23" ht="11.25" customHeight="1" x14ac:dyDescent="0.25">
      <c r="A748" s="3" t="s">
        <v>21</v>
      </c>
      <c r="B748" s="3" t="s">
        <v>22</v>
      </c>
      <c r="C748" s="3" t="s">
        <v>23</v>
      </c>
      <c r="D748" s="3" t="s">
        <v>24</v>
      </c>
      <c r="E748" s="3" t="s">
        <v>29</v>
      </c>
      <c r="F748" s="3" t="s">
        <v>25</v>
      </c>
      <c r="G748" s="3" t="s">
        <v>25</v>
      </c>
      <c r="H748" s="3" t="s">
        <v>25</v>
      </c>
      <c r="I748" s="6">
        <v>44593</v>
      </c>
      <c r="J748" s="4">
        <v>0</v>
      </c>
      <c r="K748" s="4">
        <v>0</v>
      </c>
      <c r="L748" s="4">
        <v>848.42499999999995</v>
      </c>
      <c r="M748" s="4">
        <v>848.42499999999995</v>
      </c>
      <c r="N748" s="4">
        <v>848.42499999999995</v>
      </c>
      <c r="O748" s="4">
        <v>848.42499999999995</v>
      </c>
      <c r="P748" s="4">
        <v>1078</v>
      </c>
      <c r="Q748" s="3" t="s">
        <v>26</v>
      </c>
      <c r="R748" s="3">
        <v>0</v>
      </c>
      <c r="S748" s="3" t="s">
        <v>203</v>
      </c>
      <c r="T748" s="3" t="s">
        <v>421</v>
      </c>
      <c r="U748" s="3">
        <v>0</v>
      </c>
      <c r="V748" s="3">
        <v>17</v>
      </c>
      <c r="W748" s="3">
        <v>60</v>
      </c>
    </row>
    <row r="749" spans="1:23" ht="11.25" customHeight="1" x14ac:dyDescent="0.25">
      <c r="A749" s="3" t="s">
        <v>27</v>
      </c>
      <c r="B749" s="3" t="s">
        <v>22</v>
      </c>
      <c r="C749" s="3" t="s">
        <v>23</v>
      </c>
      <c r="D749" s="3" t="s">
        <v>24</v>
      </c>
      <c r="E749" s="3" t="s">
        <v>29</v>
      </c>
      <c r="F749" s="3" t="s">
        <v>25</v>
      </c>
      <c r="G749" s="3" t="s">
        <v>25</v>
      </c>
      <c r="H749" s="3" t="s">
        <v>25</v>
      </c>
      <c r="I749" s="6">
        <v>44593</v>
      </c>
      <c r="J749" s="4">
        <v>0</v>
      </c>
      <c r="K749" s="4">
        <v>0</v>
      </c>
      <c r="L749" s="4">
        <v>-0.12</v>
      </c>
      <c r="M749" s="4">
        <v>-0.12</v>
      </c>
      <c r="N749" s="4">
        <v>-0.12</v>
      </c>
      <c r="O749" s="4">
        <v>-0.12</v>
      </c>
      <c r="P749" s="4">
        <v>0</v>
      </c>
      <c r="Q749" s="3" t="s">
        <v>26</v>
      </c>
      <c r="R749" s="3">
        <v>0</v>
      </c>
      <c r="S749" s="3" t="s">
        <v>203</v>
      </c>
      <c r="T749" s="3" t="s">
        <v>421</v>
      </c>
      <c r="U749" s="3">
        <v>0</v>
      </c>
      <c r="V749" s="3">
        <v>17</v>
      </c>
      <c r="W749" s="3">
        <v>60</v>
      </c>
    </row>
    <row r="750" spans="1:23" ht="11.25" customHeight="1" x14ac:dyDescent="0.25">
      <c r="A750" s="3" t="s">
        <v>21</v>
      </c>
      <c r="B750" s="3" t="s">
        <v>22</v>
      </c>
      <c r="C750" s="3" t="s">
        <v>23</v>
      </c>
      <c r="D750" s="3" t="s">
        <v>24</v>
      </c>
      <c r="E750" s="3" t="s">
        <v>29</v>
      </c>
      <c r="F750" s="3" t="s">
        <v>25</v>
      </c>
      <c r="G750" s="3" t="s">
        <v>25</v>
      </c>
      <c r="H750" s="3" t="s">
        <v>25</v>
      </c>
      <c r="I750" s="6">
        <v>44621</v>
      </c>
      <c r="J750" s="4">
        <v>0</v>
      </c>
      <c r="K750" s="4">
        <v>0</v>
      </c>
      <c r="L750" s="4">
        <v>866.26</v>
      </c>
      <c r="M750" s="4">
        <v>866.26</v>
      </c>
      <c r="N750" s="4">
        <v>866.26</v>
      </c>
      <c r="O750" s="4">
        <v>866.26</v>
      </c>
      <c r="P750" s="4">
        <v>1089</v>
      </c>
      <c r="Q750" s="3" t="s">
        <v>26</v>
      </c>
      <c r="R750" s="3">
        <v>0</v>
      </c>
      <c r="S750" s="3" t="s">
        <v>204</v>
      </c>
      <c r="T750" s="3" t="s">
        <v>422</v>
      </c>
      <c r="U750" s="3">
        <v>0</v>
      </c>
      <c r="V750" s="3">
        <v>17</v>
      </c>
      <c r="W750" s="3">
        <v>60</v>
      </c>
    </row>
    <row r="751" spans="1:23" ht="11.25" customHeight="1" x14ac:dyDescent="0.25">
      <c r="A751" s="3" t="s">
        <v>21</v>
      </c>
      <c r="B751" s="3" t="s">
        <v>22</v>
      </c>
      <c r="C751" s="3" t="s">
        <v>23</v>
      </c>
      <c r="D751" s="3" t="s">
        <v>24</v>
      </c>
      <c r="E751" s="3" t="s">
        <v>29</v>
      </c>
      <c r="F751" s="3" t="s">
        <v>25</v>
      </c>
      <c r="G751" s="3" t="s">
        <v>25</v>
      </c>
      <c r="H751" s="3" t="s">
        <v>25</v>
      </c>
      <c r="I751" s="6">
        <v>44652</v>
      </c>
      <c r="J751" s="4">
        <v>0</v>
      </c>
      <c r="K751" s="4">
        <v>0</v>
      </c>
      <c r="L751" s="4">
        <v>866.26</v>
      </c>
      <c r="M751" s="4">
        <v>866.26</v>
      </c>
      <c r="N751" s="4">
        <v>866.26</v>
      </c>
      <c r="O751" s="4">
        <v>866.26</v>
      </c>
      <c r="P751" s="4">
        <v>1089</v>
      </c>
      <c r="Q751" s="3" t="s">
        <v>26</v>
      </c>
      <c r="R751" s="3">
        <v>0</v>
      </c>
      <c r="S751" s="3" t="s">
        <v>205</v>
      </c>
      <c r="T751" s="3" t="s">
        <v>423</v>
      </c>
      <c r="U751" s="3">
        <v>0</v>
      </c>
      <c r="V751" s="3">
        <v>17</v>
      </c>
      <c r="W751" s="3">
        <v>60</v>
      </c>
    </row>
    <row r="752" spans="1:23" ht="11.25" customHeight="1" x14ac:dyDescent="0.25">
      <c r="A752" s="3" t="s">
        <v>21</v>
      </c>
      <c r="B752" s="3" t="s">
        <v>22</v>
      </c>
      <c r="C752" s="3" t="s">
        <v>23</v>
      </c>
      <c r="D752" s="3" t="s">
        <v>24</v>
      </c>
      <c r="E752" s="3" t="s">
        <v>29</v>
      </c>
      <c r="F752" s="3" t="s">
        <v>25</v>
      </c>
      <c r="G752" s="3" t="s">
        <v>25</v>
      </c>
      <c r="H752" s="3" t="s">
        <v>25</v>
      </c>
      <c r="I752" s="6">
        <v>44682</v>
      </c>
      <c r="J752" s="4">
        <v>0</v>
      </c>
      <c r="K752" s="4">
        <v>0</v>
      </c>
      <c r="L752" s="4">
        <v>871.81600000000003</v>
      </c>
      <c r="M752" s="4">
        <v>871.81600000000003</v>
      </c>
      <c r="N752" s="4">
        <v>871.81600000000003</v>
      </c>
      <c r="O752" s="4">
        <v>871.81600000000003</v>
      </c>
      <c r="P752" s="4">
        <v>1182</v>
      </c>
      <c r="Q752" s="3" t="s">
        <v>26</v>
      </c>
      <c r="R752" s="3">
        <v>0</v>
      </c>
      <c r="S752" s="3" t="s">
        <v>206</v>
      </c>
      <c r="T752" s="3" t="s">
        <v>424</v>
      </c>
      <c r="U752" s="3">
        <v>0</v>
      </c>
      <c r="V752" s="3">
        <v>17</v>
      </c>
      <c r="W752" s="3">
        <v>60</v>
      </c>
    </row>
    <row r="753" spans="1:23" ht="11.25" customHeight="1" x14ac:dyDescent="0.25">
      <c r="A753" s="3" t="s">
        <v>27</v>
      </c>
      <c r="B753" s="3" t="s">
        <v>22</v>
      </c>
      <c r="C753" s="3" t="s">
        <v>23</v>
      </c>
      <c r="D753" s="3" t="s">
        <v>24</v>
      </c>
      <c r="E753" s="3" t="s">
        <v>29</v>
      </c>
      <c r="F753" s="3" t="s">
        <v>25</v>
      </c>
      <c r="G753" s="3" t="s">
        <v>25</v>
      </c>
      <c r="H753" s="3" t="s">
        <v>25</v>
      </c>
      <c r="I753" s="6">
        <v>44682</v>
      </c>
      <c r="J753" s="4">
        <v>0</v>
      </c>
      <c r="K753" s="4">
        <v>0</v>
      </c>
      <c r="L753" s="4">
        <v>0.24</v>
      </c>
      <c r="M753" s="4">
        <v>0.24</v>
      </c>
      <c r="N753" s="4">
        <v>0.24</v>
      </c>
      <c r="O753" s="4">
        <v>0.24</v>
      </c>
      <c r="P753" s="4">
        <v>0</v>
      </c>
      <c r="Q753" s="3" t="s">
        <v>26</v>
      </c>
      <c r="R753" s="3">
        <v>0</v>
      </c>
      <c r="S753" s="3" t="s">
        <v>206</v>
      </c>
      <c r="T753" s="3" t="s">
        <v>424</v>
      </c>
      <c r="U753" s="3">
        <v>0</v>
      </c>
      <c r="V753" s="3">
        <v>17</v>
      </c>
      <c r="W753" s="3">
        <v>60</v>
      </c>
    </row>
    <row r="754" spans="1:23" ht="11.25" customHeight="1" x14ac:dyDescent="0.25">
      <c r="A754" s="3" t="s">
        <v>21</v>
      </c>
      <c r="B754" s="3" t="s">
        <v>22</v>
      </c>
      <c r="C754" s="3" t="s">
        <v>23</v>
      </c>
      <c r="D754" s="3" t="s">
        <v>24</v>
      </c>
      <c r="E754" s="3" t="s">
        <v>29</v>
      </c>
      <c r="F754" s="3" t="s">
        <v>25</v>
      </c>
      <c r="G754" s="3" t="s">
        <v>25</v>
      </c>
      <c r="H754" s="3" t="s">
        <v>25</v>
      </c>
      <c r="I754" s="6">
        <v>44713</v>
      </c>
      <c r="J754" s="4">
        <v>0</v>
      </c>
      <c r="K754" s="4">
        <v>0</v>
      </c>
      <c r="L754" s="4">
        <v>882.245</v>
      </c>
      <c r="M754" s="4">
        <v>882.245</v>
      </c>
      <c r="N754" s="4">
        <v>882.245</v>
      </c>
      <c r="O754" s="4">
        <v>882.245</v>
      </c>
      <c r="P754" s="4">
        <v>1182</v>
      </c>
      <c r="Q754" s="3" t="s">
        <v>26</v>
      </c>
      <c r="R754" s="3">
        <v>0</v>
      </c>
      <c r="S754" s="3" t="s">
        <v>207</v>
      </c>
      <c r="T754" s="3" t="s">
        <v>425</v>
      </c>
      <c r="U754" s="3">
        <v>0</v>
      </c>
      <c r="V754" s="3">
        <v>17</v>
      </c>
      <c r="W754" s="3">
        <v>60</v>
      </c>
    </row>
    <row r="755" spans="1:23" ht="11.25" customHeight="1" x14ac:dyDescent="0.25">
      <c r="A755" s="3" t="s">
        <v>27</v>
      </c>
      <c r="B755" s="3" t="s">
        <v>22</v>
      </c>
      <c r="C755" s="3" t="s">
        <v>23</v>
      </c>
      <c r="D755" s="3" t="s">
        <v>24</v>
      </c>
      <c r="E755" s="3" t="s">
        <v>29</v>
      </c>
      <c r="F755" s="3" t="s">
        <v>25</v>
      </c>
      <c r="G755" s="3" t="s">
        <v>25</v>
      </c>
      <c r="H755" s="3" t="s">
        <v>25</v>
      </c>
      <c r="I755" s="6">
        <v>44713</v>
      </c>
      <c r="J755" s="4">
        <v>0</v>
      </c>
      <c r="K755" s="4">
        <v>0</v>
      </c>
      <c r="L755" s="4">
        <v>-0.15</v>
      </c>
      <c r="M755" s="4">
        <v>-0.15</v>
      </c>
      <c r="N755" s="4">
        <v>-0.15</v>
      </c>
      <c r="O755" s="4">
        <v>-0.15</v>
      </c>
      <c r="P755" s="4">
        <v>-3</v>
      </c>
      <c r="Q755" s="3" t="s">
        <v>26</v>
      </c>
      <c r="R755" s="3">
        <v>0</v>
      </c>
      <c r="S755" s="3" t="s">
        <v>207</v>
      </c>
      <c r="T755" s="3" t="s">
        <v>425</v>
      </c>
      <c r="U755" s="3">
        <v>0</v>
      </c>
      <c r="V755" s="3">
        <v>17</v>
      </c>
      <c r="W755" s="3">
        <v>60</v>
      </c>
    </row>
    <row r="756" spans="1:23" ht="11.25" customHeight="1" x14ac:dyDescent="0.25">
      <c r="A756" s="3" t="s">
        <v>21</v>
      </c>
      <c r="B756" s="3" t="s">
        <v>22</v>
      </c>
      <c r="C756" s="3" t="s">
        <v>23</v>
      </c>
      <c r="D756" s="3" t="s">
        <v>24</v>
      </c>
      <c r="E756" s="3" t="s">
        <v>29</v>
      </c>
      <c r="F756" s="3" t="s">
        <v>25</v>
      </c>
      <c r="G756" s="3" t="s">
        <v>25</v>
      </c>
      <c r="H756" s="3" t="s">
        <v>25</v>
      </c>
      <c r="I756" s="6">
        <v>44743</v>
      </c>
      <c r="J756" s="4">
        <v>0</v>
      </c>
      <c r="K756" s="4">
        <v>0</v>
      </c>
      <c r="L756" s="4">
        <v>883.91099999999994</v>
      </c>
      <c r="M756" s="4">
        <v>883.91099999999994</v>
      </c>
      <c r="N756" s="4">
        <v>883.91099999999994</v>
      </c>
      <c r="O756" s="4">
        <v>883.91099999999994</v>
      </c>
      <c r="P756" s="4">
        <v>1212</v>
      </c>
      <c r="Q756" s="3" t="s">
        <v>26</v>
      </c>
      <c r="R756" s="3">
        <v>0</v>
      </c>
      <c r="S756" s="3" t="s">
        <v>208</v>
      </c>
      <c r="T756" s="3" t="s">
        <v>426</v>
      </c>
      <c r="U756" s="3">
        <v>0</v>
      </c>
      <c r="V756" s="3">
        <v>17</v>
      </c>
      <c r="W756" s="3">
        <v>60</v>
      </c>
    </row>
    <row r="757" spans="1:23" ht="11.25" customHeight="1" x14ac:dyDescent="0.25">
      <c r="A757" s="3" t="s">
        <v>27</v>
      </c>
      <c r="B757" s="3" t="s">
        <v>22</v>
      </c>
      <c r="C757" s="3" t="s">
        <v>23</v>
      </c>
      <c r="D757" s="3" t="s">
        <v>24</v>
      </c>
      <c r="E757" s="3" t="s">
        <v>29</v>
      </c>
      <c r="F757" s="3" t="s">
        <v>25</v>
      </c>
      <c r="G757" s="3" t="s">
        <v>25</v>
      </c>
      <c r="H757" s="3" t="s">
        <v>25</v>
      </c>
      <c r="I757" s="6">
        <v>44743</v>
      </c>
      <c r="J757" s="4">
        <v>0</v>
      </c>
      <c r="K757" s="4">
        <v>0</v>
      </c>
      <c r="L757" s="4">
        <v>0.03</v>
      </c>
      <c r="M757" s="4">
        <v>0.03</v>
      </c>
      <c r="N757" s="4">
        <v>0.03</v>
      </c>
      <c r="O757" s="4">
        <v>0.03</v>
      </c>
      <c r="P757" s="4">
        <v>0</v>
      </c>
      <c r="Q757" s="3" t="s">
        <v>26</v>
      </c>
      <c r="R757" s="3">
        <v>0</v>
      </c>
      <c r="S757" s="3" t="s">
        <v>208</v>
      </c>
      <c r="T757" s="3" t="s">
        <v>426</v>
      </c>
      <c r="U757" s="3">
        <v>0</v>
      </c>
      <c r="V757" s="3">
        <v>17</v>
      </c>
      <c r="W757" s="3">
        <v>60</v>
      </c>
    </row>
    <row r="758" spans="1:23" ht="11.25" customHeight="1" x14ac:dyDescent="0.25">
      <c r="A758" s="3" t="s">
        <v>21</v>
      </c>
      <c r="B758" s="3" t="s">
        <v>22</v>
      </c>
      <c r="C758" s="3" t="s">
        <v>23</v>
      </c>
      <c r="D758" s="3" t="s">
        <v>24</v>
      </c>
      <c r="E758" s="3" t="s">
        <v>29</v>
      </c>
      <c r="F758" s="3" t="s">
        <v>25</v>
      </c>
      <c r="G758" s="3" t="s">
        <v>25</v>
      </c>
      <c r="H758" s="3" t="s">
        <v>25</v>
      </c>
      <c r="I758" s="6">
        <v>44774</v>
      </c>
      <c r="J758" s="4">
        <v>0</v>
      </c>
      <c r="K758" s="4">
        <v>0</v>
      </c>
      <c r="L758" s="4">
        <v>888.11099999999999</v>
      </c>
      <c r="M758" s="4">
        <v>888.11099999999999</v>
      </c>
      <c r="N758" s="4">
        <v>888.11099999999999</v>
      </c>
      <c r="O758" s="4">
        <v>888.11099999999999</v>
      </c>
      <c r="P758" s="4">
        <v>1182</v>
      </c>
      <c r="Q758" s="3" t="s">
        <v>26</v>
      </c>
      <c r="R758" s="3">
        <v>0</v>
      </c>
      <c r="S758" s="3" t="s">
        <v>209</v>
      </c>
      <c r="T758" s="3" t="s">
        <v>427</v>
      </c>
      <c r="U758" s="3">
        <v>0</v>
      </c>
      <c r="V758" s="3">
        <v>17</v>
      </c>
      <c r="W758" s="3">
        <v>60</v>
      </c>
    </row>
    <row r="759" spans="1:23" ht="11.25" customHeight="1" x14ac:dyDescent="0.25">
      <c r="A759" s="3" t="s">
        <v>27</v>
      </c>
      <c r="B759" s="3" t="s">
        <v>22</v>
      </c>
      <c r="C759" s="3" t="s">
        <v>23</v>
      </c>
      <c r="D759" s="3" t="s">
        <v>24</v>
      </c>
      <c r="E759" s="3" t="s">
        <v>29</v>
      </c>
      <c r="F759" s="3" t="s">
        <v>25</v>
      </c>
      <c r="G759" s="3" t="s">
        <v>25</v>
      </c>
      <c r="H759" s="3" t="s">
        <v>25</v>
      </c>
      <c r="I759" s="6">
        <v>44774</v>
      </c>
      <c r="J759" s="4">
        <v>0</v>
      </c>
      <c r="K759" s="4">
        <v>0</v>
      </c>
      <c r="L759" s="4">
        <v>0.15</v>
      </c>
      <c r="M759" s="4">
        <v>0.15</v>
      </c>
      <c r="N759" s="4">
        <v>0.15</v>
      </c>
      <c r="O759" s="4">
        <v>0.15</v>
      </c>
      <c r="P759" s="4">
        <v>-2</v>
      </c>
      <c r="Q759" s="3" t="s">
        <v>26</v>
      </c>
      <c r="R759" s="3">
        <v>0</v>
      </c>
      <c r="S759" s="3" t="s">
        <v>209</v>
      </c>
      <c r="T759" s="3" t="s">
        <v>427</v>
      </c>
      <c r="U759" s="3">
        <v>0</v>
      </c>
      <c r="V759" s="3">
        <v>17</v>
      </c>
      <c r="W759" s="3">
        <v>60</v>
      </c>
    </row>
    <row r="760" spans="1:23" ht="11.25" customHeight="1" x14ac:dyDescent="0.25">
      <c r="A760" s="3" t="s">
        <v>28</v>
      </c>
      <c r="B760" s="3" t="s">
        <v>22</v>
      </c>
      <c r="C760" s="3" t="s">
        <v>23</v>
      </c>
      <c r="D760" s="3" t="s">
        <v>24</v>
      </c>
      <c r="E760" s="3" t="s">
        <v>29</v>
      </c>
      <c r="F760" s="3" t="s">
        <v>25</v>
      </c>
      <c r="G760" s="3" t="s">
        <v>25</v>
      </c>
      <c r="H760" s="3" t="s">
        <v>25</v>
      </c>
      <c r="I760" s="6">
        <v>44774</v>
      </c>
      <c r="J760" s="4">
        <v>0</v>
      </c>
      <c r="K760" s="4">
        <v>0</v>
      </c>
      <c r="L760" s="4">
        <v>5.5090000000000003</v>
      </c>
      <c r="M760" s="4">
        <v>5.5090000000000003</v>
      </c>
      <c r="N760" s="4">
        <v>5.5090000000000003</v>
      </c>
      <c r="O760" s="4">
        <v>5.5090000000000003</v>
      </c>
      <c r="P760" s="4">
        <v>9</v>
      </c>
      <c r="Q760" s="3" t="s">
        <v>26</v>
      </c>
      <c r="R760" s="3">
        <v>0</v>
      </c>
      <c r="S760" s="3" t="s">
        <v>209</v>
      </c>
      <c r="T760" s="3" t="s">
        <v>427</v>
      </c>
      <c r="U760" s="3">
        <v>0</v>
      </c>
      <c r="V760" s="3">
        <v>17</v>
      </c>
      <c r="W760" s="3">
        <v>60</v>
      </c>
    </row>
    <row r="761" spans="1:23" ht="11.25" customHeight="1" x14ac:dyDescent="0.25">
      <c r="A761" s="3" t="s">
        <v>21</v>
      </c>
      <c r="B761" s="3" t="s">
        <v>22</v>
      </c>
      <c r="C761" s="3" t="s">
        <v>23</v>
      </c>
      <c r="D761" s="3" t="s">
        <v>24</v>
      </c>
      <c r="E761" s="3" t="s">
        <v>29</v>
      </c>
      <c r="F761" s="3" t="s">
        <v>25</v>
      </c>
      <c r="G761" s="3" t="s">
        <v>25</v>
      </c>
      <c r="H761" s="3" t="s">
        <v>25</v>
      </c>
      <c r="I761" s="6">
        <v>44805</v>
      </c>
      <c r="J761" s="4">
        <v>0</v>
      </c>
      <c r="K761" s="4">
        <v>0</v>
      </c>
      <c r="L761" s="4">
        <v>892.39700000000005</v>
      </c>
      <c r="M761" s="4">
        <v>892.39700000000005</v>
      </c>
      <c r="N761" s="4">
        <v>892.39700000000005</v>
      </c>
      <c r="O761" s="4">
        <v>892.39700000000005</v>
      </c>
      <c r="P761" s="4">
        <v>1259</v>
      </c>
      <c r="Q761" s="3" t="s">
        <v>26</v>
      </c>
      <c r="R761" s="3">
        <v>0</v>
      </c>
      <c r="S761" s="3" t="s">
        <v>210</v>
      </c>
      <c r="T761" s="3" t="s">
        <v>428</v>
      </c>
      <c r="U761" s="3">
        <v>0</v>
      </c>
      <c r="V761" s="3">
        <v>17</v>
      </c>
      <c r="W761" s="3">
        <v>60</v>
      </c>
    </row>
    <row r="762" spans="1:23" ht="11.25" customHeight="1" x14ac:dyDescent="0.25">
      <c r="A762" s="3" t="s">
        <v>27</v>
      </c>
      <c r="B762" s="3" t="s">
        <v>22</v>
      </c>
      <c r="C762" s="3" t="s">
        <v>23</v>
      </c>
      <c r="D762" s="3" t="s">
        <v>24</v>
      </c>
      <c r="E762" s="3" t="s">
        <v>29</v>
      </c>
      <c r="F762" s="3" t="s">
        <v>25</v>
      </c>
      <c r="G762" s="3" t="s">
        <v>25</v>
      </c>
      <c r="H762" s="3" t="s">
        <v>25</v>
      </c>
      <c r="I762" s="6">
        <v>44805</v>
      </c>
      <c r="J762" s="4">
        <v>0</v>
      </c>
      <c r="K762" s="4">
        <v>0</v>
      </c>
      <c r="L762" s="4">
        <v>-0.03</v>
      </c>
      <c r="M762" s="4">
        <v>-0.03</v>
      </c>
      <c r="N762" s="4">
        <v>-0.03</v>
      </c>
      <c r="O762" s="4">
        <v>-0.03</v>
      </c>
      <c r="P762" s="4">
        <v>4</v>
      </c>
      <c r="Q762" s="3" t="s">
        <v>26</v>
      </c>
      <c r="R762" s="3">
        <v>0</v>
      </c>
      <c r="S762" s="3" t="s">
        <v>210</v>
      </c>
      <c r="T762" s="3" t="s">
        <v>428</v>
      </c>
      <c r="U762" s="3">
        <v>0</v>
      </c>
      <c r="V762" s="3">
        <v>17</v>
      </c>
      <c r="W762" s="3">
        <v>60</v>
      </c>
    </row>
    <row r="763" spans="1:23" ht="11.25" customHeight="1" x14ac:dyDescent="0.25">
      <c r="A763" s="3" t="s">
        <v>28</v>
      </c>
      <c r="B763" s="3" t="s">
        <v>22</v>
      </c>
      <c r="C763" s="3" t="s">
        <v>23</v>
      </c>
      <c r="D763" s="3" t="s">
        <v>24</v>
      </c>
      <c r="E763" s="3" t="s">
        <v>29</v>
      </c>
      <c r="F763" s="3" t="s">
        <v>25</v>
      </c>
      <c r="G763" s="3" t="s">
        <v>25</v>
      </c>
      <c r="H763" s="3" t="s">
        <v>25</v>
      </c>
      <c r="I763" s="6">
        <v>44805</v>
      </c>
      <c r="J763" s="4">
        <v>0</v>
      </c>
      <c r="K763" s="4">
        <v>0</v>
      </c>
      <c r="L763" s="4">
        <v>7.8840000000000003</v>
      </c>
      <c r="M763" s="4">
        <v>7.8840000000000003</v>
      </c>
      <c r="N763" s="4">
        <v>7.8840000000000003</v>
      </c>
      <c r="O763" s="4">
        <v>7.8840000000000003</v>
      </c>
      <c r="P763" s="4">
        <v>18</v>
      </c>
      <c r="Q763" s="3" t="s">
        <v>26</v>
      </c>
      <c r="R763" s="3">
        <v>0</v>
      </c>
      <c r="S763" s="3" t="s">
        <v>210</v>
      </c>
      <c r="T763" s="3" t="s">
        <v>428</v>
      </c>
      <c r="U763" s="3">
        <v>0</v>
      </c>
      <c r="V763" s="3">
        <v>17</v>
      </c>
      <c r="W763" s="3">
        <v>60</v>
      </c>
    </row>
    <row r="764" spans="1:23" ht="11.25" customHeight="1" x14ac:dyDescent="0.25">
      <c r="A764" s="3" t="s">
        <v>28</v>
      </c>
      <c r="B764" s="3" t="s">
        <v>22</v>
      </c>
      <c r="C764" s="3" t="s">
        <v>23</v>
      </c>
      <c r="D764" s="3" t="s">
        <v>24</v>
      </c>
      <c r="E764" s="3" t="s">
        <v>29</v>
      </c>
      <c r="F764" s="3" t="s">
        <v>25</v>
      </c>
      <c r="G764" s="3" t="s">
        <v>25</v>
      </c>
      <c r="H764" s="3" t="s">
        <v>25</v>
      </c>
      <c r="I764" s="6">
        <v>44805</v>
      </c>
      <c r="J764" s="4">
        <v>0</v>
      </c>
      <c r="K764" s="4">
        <v>0</v>
      </c>
      <c r="L764" s="4">
        <v>-0.44500000000000001</v>
      </c>
      <c r="M764" s="4">
        <v>-0.44500000000000001</v>
      </c>
      <c r="N764" s="4">
        <v>-0.44500000000000001</v>
      </c>
      <c r="O764" s="4">
        <v>-0.44500000000000001</v>
      </c>
      <c r="P764" s="4">
        <v>1</v>
      </c>
      <c r="Q764" s="3" t="s">
        <v>26</v>
      </c>
      <c r="R764" s="3">
        <v>0</v>
      </c>
      <c r="S764" s="3" t="s">
        <v>210</v>
      </c>
      <c r="T764" s="3" t="s">
        <v>428</v>
      </c>
      <c r="U764" s="3">
        <v>0</v>
      </c>
      <c r="V764" s="3">
        <v>17</v>
      </c>
      <c r="W764" s="3">
        <v>60</v>
      </c>
    </row>
    <row r="765" spans="1:23" ht="11.25" customHeight="1" x14ac:dyDescent="0.25">
      <c r="A765" s="3" t="s">
        <v>55</v>
      </c>
      <c r="B765" s="3" t="s">
        <v>22</v>
      </c>
      <c r="C765" s="3" t="s">
        <v>23</v>
      </c>
      <c r="D765" s="3" t="s">
        <v>24</v>
      </c>
      <c r="E765" s="3" t="s">
        <v>29</v>
      </c>
      <c r="F765" s="3" t="s">
        <v>25</v>
      </c>
      <c r="G765" s="3" t="s">
        <v>25</v>
      </c>
      <c r="H765" s="3" t="s">
        <v>25</v>
      </c>
      <c r="I765" s="6">
        <v>44835</v>
      </c>
      <c r="J765" s="4">
        <v>0</v>
      </c>
      <c r="K765" s="4">
        <v>0</v>
      </c>
      <c r="L765" s="4">
        <v>892.39700000000005</v>
      </c>
      <c r="M765" s="4">
        <v>892.39700000000005</v>
      </c>
      <c r="N765" s="4">
        <v>892.39700000000005</v>
      </c>
      <c r="O765" s="4">
        <v>892.39700000000005</v>
      </c>
      <c r="P765" s="4">
        <v>1259</v>
      </c>
      <c r="Q765" s="3" t="s">
        <v>26</v>
      </c>
      <c r="R765" s="3">
        <v>0</v>
      </c>
      <c r="S765" s="3" t="s">
        <v>211</v>
      </c>
      <c r="T765" s="3" t="s">
        <v>429</v>
      </c>
      <c r="U765" s="3">
        <v>0</v>
      </c>
      <c r="V765" s="3">
        <v>17</v>
      </c>
      <c r="W765" s="3">
        <v>60</v>
      </c>
    </row>
    <row r="766" spans="1:23" ht="11.25" customHeight="1" x14ac:dyDescent="0.25">
      <c r="A766" s="3" t="s">
        <v>55</v>
      </c>
      <c r="B766" s="3" t="s">
        <v>22</v>
      </c>
      <c r="C766" s="3" t="s">
        <v>23</v>
      </c>
      <c r="D766" s="3" t="s">
        <v>24</v>
      </c>
      <c r="E766" s="3" t="s">
        <v>29</v>
      </c>
      <c r="F766" s="3" t="s">
        <v>25</v>
      </c>
      <c r="G766" s="3" t="s">
        <v>25</v>
      </c>
      <c r="H766" s="3" t="s">
        <v>25</v>
      </c>
      <c r="I766" s="6">
        <v>44835</v>
      </c>
      <c r="J766" s="4">
        <v>0</v>
      </c>
      <c r="K766" s="4">
        <v>0</v>
      </c>
      <c r="L766" s="4">
        <v>-0.03</v>
      </c>
      <c r="M766" s="4">
        <v>-0.03</v>
      </c>
      <c r="N766" s="4">
        <v>-0.03</v>
      </c>
      <c r="O766" s="4">
        <v>-0.03</v>
      </c>
      <c r="P766" s="4">
        <v>4</v>
      </c>
      <c r="Q766" s="3" t="s">
        <v>26</v>
      </c>
      <c r="R766" s="3">
        <v>0</v>
      </c>
      <c r="S766" s="3" t="s">
        <v>211</v>
      </c>
      <c r="T766" s="3" t="s">
        <v>429</v>
      </c>
      <c r="U766" s="3">
        <v>0</v>
      </c>
      <c r="V766" s="3">
        <v>17</v>
      </c>
      <c r="W766" s="3">
        <v>60</v>
      </c>
    </row>
    <row r="767" spans="1:23" ht="11.25" customHeight="1" x14ac:dyDescent="0.25">
      <c r="A767" s="3" t="s">
        <v>55</v>
      </c>
      <c r="B767" s="3" t="s">
        <v>22</v>
      </c>
      <c r="C767" s="3" t="s">
        <v>23</v>
      </c>
      <c r="D767" s="3" t="s">
        <v>24</v>
      </c>
      <c r="E767" s="3" t="s">
        <v>29</v>
      </c>
      <c r="F767" s="3" t="s">
        <v>25</v>
      </c>
      <c r="G767" s="3" t="s">
        <v>25</v>
      </c>
      <c r="H767" s="3" t="s">
        <v>25</v>
      </c>
      <c r="I767" s="6">
        <v>44835</v>
      </c>
      <c r="J767" s="4">
        <v>0</v>
      </c>
      <c r="K767" s="4">
        <v>0</v>
      </c>
      <c r="L767" s="4">
        <v>7.8840000000000003</v>
      </c>
      <c r="M767" s="4">
        <v>7.8840000000000003</v>
      </c>
      <c r="N767" s="4">
        <v>7.8840000000000003</v>
      </c>
      <c r="O767" s="4">
        <v>7.8840000000000003</v>
      </c>
      <c r="P767" s="4">
        <v>18</v>
      </c>
      <c r="Q767" s="3" t="s">
        <v>26</v>
      </c>
      <c r="R767" s="3">
        <v>0</v>
      </c>
      <c r="S767" s="3" t="s">
        <v>211</v>
      </c>
      <c r="T767" s="3" t="s">
        <v>429</v>
      </c>
      <c r="U767" s="3">
        <v>0</v>
      </c>
      <c r="V767" s="3">
        <v>17</v>
      </c>
      <c r="W767" s="3">
        <v>60</v>
      </c>
    </row>
    <row r="768" spans="1:23" ht="11.25" customHeight="1" x14ac:dyDescent="0.25">
      <c r="A768" s="3" t="s">
        <v>55</v>
      </c>
      <c r="B768" s="3" t="s">
        <v>22</v>
      </c>
      <c r="C768" s="3" t="s">
        <v>23</v>
      </c>
      <c r="D768" s="3" t="s">
        <v>24</v>
      </c>
      <c r="E768" s="3" t="s">
        <v>29</v>
      </c>
      <c r="F768" s="3" t="s">
        <v>25</v>
      </c>
      <c r="G768" s="3" t="s">
        <v>25</v>
      </c>
      <c r="H768" s="3" t="s">
        <v>25</v>
      </c>
      <c r="I768" s="6">
        <v>44835</v>
      </c>
      <c r="J768" s="4">
        <v>0</v>
      </c>
      <c r="K768" s="4">
        <v>0</v>
      </c>
      <c r="L768" s="4">
        <v>-0.44500000000000001</v>
      </c>
      <c r="M768" s="4">
        <v>-0.44500000000000001</v>
      </c>
      <c r="N768" s="4">
        <v>-0.44500000000000001</v>
      </c>
      <c r="O768" s="4">
        <v>-0.44500000000000001</v>
      </c>
      <c r="P768" s="4">
        <v>1</v>
      </c>
      <c r="Q768" s="3" t="s">
        <v>26</v>
      </c>
      <c r="R768" s="3">
        <v>0</v>
      </c>
      <c r="S768" s="3" t="s">
        <v>211</v>
      </c>
      <c r="T768" s="3" t="s">
        <v>429</v>
      </c>
      <c r="U768" s="3">
        <v>0</v>
      </c>
      <c r="V768" s="3">
        <v>17</v>
      </c>
      <c r="W768" s="3">
        <v>60</v>
      </c>
    </row>
    <row r="769" spans="1:23" ht="11.25" customHeight="1" x14ac:dyDescent="0.25">
      <c r="A769" s="3" t="s">
        <v>21</v>
      </c>
      <c r="B769" s="3" t="s">
        <v>22</v>
      </c>
      <c r="C769" s="3" t="s">
        <v>23</v>
      </c>
      <c r="D769" s="3" t="s">
        <v>24</v>
      </c>
      <c r="E769" s="3" t="s">
        <v>30</v>
      </c>
      <c r="F769" s="3" t="s">
        <v>25</v>
      </c>
      <c r="G769" s="3" t="s">
        <v>25</v>
      </c>
      <c r="H769" s="3" t="s">
        <v>25</v>
      </c>
      <c r="I769" s="6">
        <v>44501</v>
      </c>
      <c r="J769" s="4">
        <v>0</v>
      </c>
      <c r="K769" s="4">
        <v>0</v>
      </c>
      <c r="L769" s="4">
        <v>1731.1079999999999</v>
      </c>
      <c r="M769" s="4">
        <v>1731.1079999999999</v>
      </c>
      <c r="N769" s="4">
        <v>1731.1079999999999</v>
      </c>
      <c r="O769" s="4">
        <v>1731.1079999999999</v>
      </c>
      <c r="P769" s="4">
        <v>3868</v>
      </c>
      <c r="Q769" s="3" t="s">
        <v>26</v>
      </c>
      <c r="R769" s="3">
        <v>0</v>
      </c>
      <c r="S769" s="3" t="s">
        <v>212</v>
      </c>
      <c r="T769" s="3" t="s">
        <v>430</v>
      </c>
      <c r="U769" s="3">
        <v>0</v>
      </c>
      <c r="V769" s="3">
        <v>39</v>
      </c>
      <c r="W769" s="3">
        <v>80</v>
      </c>
    </row>
    <row r="770" spans="1:23" ht="11.25" customHeight="1" x14ac:dyDescent="0.25">
      <c r="A770" s="3" t="s">
        <v>27</v>
      </c>
      <c r="B770" s="3" t="s">
        <v>22</v>
      </c>
      <c r="C770" s="3" t="s">
        <v>23</v>
      </c>
      <c r="D770" s="3" t="s">
        <v>24</v>
      </c>
      <c r="E770" s="3" t="s">
        <v>30</v>
      </c>
      <c r="F770" s="3" t="s">
        <v>25</v>
      </c>
      <c r="G770" s="3" t="s">
        <v>25</v>
      </c>
      <c r="H770" s="3" t="s">
        <v>25</v>
      </c>
      <c r="I770" s="6">
        <v>44501</v>
      </c>
      <c r="J770" s="4">
        <v>0</v>
      </c>
      <c r="K770" s="4">
        <v>0</v>
      </c>
      <c r="L770" s="4">
        <v>-1.635</v>
      </c>
      <c r="M770" s="4">
        <v>-1.635</v>
      </c>
      <c r="N770" s="4">
        <v>-1.635</v>
      </c>
      <c r="O770" s="4">
        <v>-1.635</v>
      </c>
      <c r="P770" s="4">
        <v>-9</v>
      </c>
      <c r="Q770" s="3" t="s">
        <v>26</v>
      </c>
      <c r="R770" s="3">
        <v>0</v>
      </c>
      <c r="S770" s="3" t="s">
        <v>212</v>
      </c>
      <c r="T770" s="3" t="s">
        <v>430</v>
      </c>
      <c r="U770" s="3">
        <v>0</v>
      </c>
      <c r="V770" s="3">
        <v>39</v>
      </c>
      <c r="W770" s="3">
        <v>80</v>
      </c>
    </row>
    <row r="771" spans="1:23" ht="11.25" customHeight="1" x14ac:dyDescent="0.25">
      <c r="A771" s="3" t="s">
        <v>21</v>
      </c>
      <c r="B771" s="3" t="s">
        <v>22</v>
      </c>
      <c r="C771" s="3" t="s">
        <v>23</v>
      </c>
      <c r="D771" s="3" t="s">
        <v>24</v>
      </c>
      <c r="E771" s="3" t="s">
        <v>30</v>
      </c>
      <c r="F771" s="3" t="s">
        <v>25</v>
      </c>
      <c r="G771" s="3" t="s">
        <v>25</v>
      </c>
      <c r="H771" s="3" t="s">
        <v>25</v>
      </c>
      <c r="I771" s="6">
        <v>44531</v>
      </c>
      <c r="J771" s="4">
        <v>0</v>
      </c>
      <c r="K771" s="4">
        <v>0</v>
      </c>
      <c r="L771" s="4">
        <v>1730.51</v>
      </c>
      <c r="M771" s="4">
        <v>1730.51</v>
      </c>
      <c r="N771" s="4">
        <v>1730.51</v>
      </c>
      <c r="O771" s="4">
        <v>1730.51</v>
      </c>
      <c r="P771" s="4">
        <v>4163</v>
      </c>
      <c r="Q771" s="3" t="s">
        <v>26</v>
      </c>
      <c r="R771" s="3">
        <v>0</v>
      </c>
      <c r="S771" s="3" t="s">
        <v>213</v>
      </c>
      <c r="T771" s="3" t="s">
        <v>431</v>
      </c>
      <c r="U771" s="3">
        <v>0</v>
      </c>
      <c r="V771" s="3">
        <v>39</v>
      </c>
      <c r="W771" s="3">
        <v>80</v>
      </c>
    </row>
    <row r="772" spans="1:23" ht="11.25" customHeight="1" x14ac:dyDescent="0.25">
      <c r="A772" s="3" t="s">
        <v>27</v>
      </c>
      <c r="B772" s="3" t="s">
        <v>22</v>
      </c>
      <c r="C772" s="3" t="s">
        <v>23</v>
      </c>
      <c r="D772" s="3" t="s">
        <v>24</v>
      </c>
      <c r="E772" s="3" t="s">
        <v>30</v>
      </c>
      <c r="F772" s="3" t="s">
        <v>25</v>
      </c>
      <c r="G772" s="3" t="s">
        <v>25</v>
      </c>
      <c r="H772" s="3" t="s">
        <v>25</v>
      </c>
      <c r="I772" s="6">
        <v>44531</v>
      </c>
      <c r="J772" s="4">
        <v>0</v>
      </c>
      <c r="K772" s="4">
        <v>0</v>
      </c>
      <c r="L772" s="4">
        <v>-0.10199999999999999</v>
      </c>
      <c r="M772" s="4">
        <v>-0.10199999999999999</v>
      </c>
      <c r="N772" s="4">
        <v>-0.10199999999999999</v>
      </c>
      <c r="O772" s="4">
        <v>-0.10199999999999999</v>
      </c>
      <c r="P772" s="4">
        <v>1</v>
      </c>
      <c r="Q772" s="3" t="s">
        <v>26</v>
      </c>
      <c r="R772" s="3">
        <v>0</v>
      </c>
      <c r="S772" s="3" t="s">
        <v>213</v>
      </c>
      <c r="T772" s="3" t="s">
        <v>431</v>
      </c>
      <c r="U772" s="3">
        <v>0</v>
      </c>
      <c r="V772" s="3">
        <v>39</v>
      </c>
      <c r="W772" s="3">
        <v>80</v>
      </c>
    </row>
    <row r="773" spans="1:23" ht="11.25" customHeight="1" x14ac:dyDescent="0.25">
      <c r="A773" s="3" t="s">
        <v>21</v>
      </c>
      <c r="B773" s="3" t="s">
        <v>22</v>
      </c>
      <c r="C773" s="3" t="s">
        <v>23</v>
      </c>
      <c r="D773" s="3" t="s">
        <v>24</v>
      </c>
      <c r="E773" s="3" t="s">
        <v>30</v>
      </c>
      <c r="F773" s="3" t="s">
        <v>25</v>
      </c>
      <c r="G773" s="3" t="s">
        <v>25</v>
      </c>
      <c r="H773" s="3" t="s">
        <v>25</v>
      </c>
      <c r="I773" s="6">
        <v>44562</v>
      </c>
      <c r="J773" s="4">
        <v>0</v>
      </c>
      <c r="K773" s="4">
        <v>0</v>
      </c>
      <c r="L773" s="4">
        <v>1734.8710000000001</v>
      </c>
      <c r="M773" s="4">
        <v>1734.8710000000001</v>
      </c>
      <c r="N773" s="4">
        <v>1734.8710000000001</v>
      </c>
      <c r="O773" s="4">
        <v>1734.8710000000001</v>
      </c>
      <c r="P773" s="4">
        <v>4783</v>
      </c>
      <c r="Q773" s="3" t="s">
        <v>26</v>
      </c>
      <c r="R773" s="3">
        <v>0</v>
      </c>
      <c r="S773" s="3" t="s">
        <v>214</v>
      </c>
      <c r="T773" s="3" t="s">
        <v>432</v>
      </c>
      <c r="U773" s="3">
        <v>0</v>
      </c>
      <c r="V773" s="3">
        <v>39</v>
      </c>
      <c r="W773" s="3">
        <v>80</v>
      </c>
    </row>
    <row r="774" spans="1:23" ht="11.25" customHeight="1" x14ac:dyDescent="0.25">
      <c r="A774" s="3" t="s">
        <v>27</v>
      </c>
      <c r="B774" s="3" t="s">
        <v>22</v>
      </c>
      <c r="C774" s="3" t="s">
        <v>23</v>
      </c>
      <c r="D774" s="3" t="s">
        <v>24</v>
      </c>
      <c r="E774" s="3" t="s">
        <v>30</v>
      </c>
      <c r="F774" s="3" t="s">
        <v>25</v>
      </c>
      <c r="G774" s="3" t="s">
        <v>25</v>
      </c>
      <c r="H774" s="3" t="s">
        <v>25</v>
      </c>
      <c r="I774" s="6">
        <v>44562</v>
      </c>
      <c r="J774" s="4">
        <v>0</v>
      </c>
      <c r="K774" s="4">
        <v>0</v>
      </c>
      <c r="L774" s="4">
        <v>8.5000000000000006E-2</v>
      </c>
      <c r="M774" s="4">
        <v>8.5000000000000006E-2</v>
      </c>
      <c r="N774" s="4">
        <v>8.5000000000000006E-2</v>
      </c>
      <c r="O774" s="4">
        <v>8.5000000000000006E-2</v>
      </c>
      <c r="P774" s="4">
        <v>2</v>
      </c>
      <c r="Q774" s="3" t="s">
        <v>26</v>
      </c>
      <c r="R774" s="3">
        <v>0</v>
      </c>
      <c r="S774" s="3" t="s">
        <v>214</v>
      </c>
      <c r="T774" s="3" t="s">
        <v>432</v>
      </c>
      <c r="U774" s="3">
        <v>0</v>
      </c>
      <c r="V774" s="3">
        <v>39</v>
      </c>
      <c r="W774" s="3">
        <v>80</v>
      </c>
    </row>
    <row r="775" spans="1:23" ht="11.25" customHeight="1" x14ac:dyDescent="0.25">
      <c r="A775" s="3" t="s">
        <v>21</v>
      </c>
      <c r="B775" s="3" t="s">
        <v>22</v>
      </c>
      <c r="C775" s="3" t="s">
        <v>23</v>
      </c>
      <c r="D775" s="3" t="s">
        <v>24</v>
      </c>
      <c r="E775" s="3" t="s">
        <v>30</v>
      </c>
      <c r="F775" s="3" t="s">
        <v>25</v>
      </c>
      <c r="G775" s="3" t="s">
        <v>25</v>
      </c>
      <c r="H775" s="3" t="s">
        <v>25</v>
      </c>
      <c r="I775" s="6">
        <v>44593</v>
      </c>
      <c r="J775" s="4">
        <v>0</v>
      </c>
      <c r="K775" s="4">
        <v>0</v>
      </c>
      <c r="L775" s="4">
        <v>1761.0409999999999</v>
      </c>
      <c r="M775" s="4">
        <v>1761.0409999999999</v>
      </c>
      <c r="N775" s="4">
        <v>1761.0409999999999</v>
      </c>
      <c r="O775" s="4">
        <v>1761.0409999999999</v>
      </c>
      <c r="P775" s="4">
        <v>4598</v>
      </c>
      <c r="Q775" s="3" t="s">
        <v>26</v>
      </c>
      <c r="R775" s="3">
        <v>0</v>
      </c>
      <c r="S775" s="3" t="s">
        <v>215</v>
      </c>
      <c r="T775" s="3" t="s">
        <v>433</v>
      </c>
      <c r="U775" s="3">
        <v>0</v>
      </c>
      <c r="V775" s="3">
        <v>39</v>
      </c>
      <c r="W775" s="3">
        <v>80</v>
      </c>
    </row>
    <row r="776" spans="1:23" ht="11.25" customHeight="1" x14ac:dyDescent="0.25">
      <c r="A776" s="3" t="s">
        <v>27</v>
      </c>
      <c r="B776" s="3" t="s">
        <v>22</v>
      </c>
      <c r="C776" s="3" t="s">
        <v>23</v>
      </c>
      <c r="D776" s="3" t="s">
        <v>24</v>
      </c>
      <c r="E776" s="3" t="s">
        <v>30</v>
      </c>
      <c r="F776" s="3" t="s">
        <v>25</v>
      </c>
      <c r="G776" s="3" t="s">
        <v>25</v>
      </c>
      <c r="H776" s="3" t="s">
        <v>25</v>
      </c>
      <c r="I776" s="6">
        <v>44593</v>
      </c>
      <c r="J776" s="4">
        <v>0</v>
      </c>
      <c r="K776" s="4">
        <v>0</v>
      </c>
      <c r="L776" s="4">
        <v>-0.42799999999999999</v>
      </c>
      <c r="M776" s="4">
        <v>-0.42799999999999999</v>
      </c>
      <c r="N776" s="4">
        <v>-0.42799999999999999</v>
      </c>
      <c r="O776" s="4">
        <v>-0.42799999999999999</v>
      </c>
      <c r="P776" s="4">
        <v>4</v>
      </c>
      <c r="Q776" s="3" t="s">
        <v>26</v>
      </c>
      <c r="R776" s="3">
        <v>0</v>
      </c>
      <c r="S776" s="3" t="s">
        <v>215</v>
      </c>
      <c r="T776" s="3" t="s">
        <v>433</v>
      </c>
      <c r="U776" s="3">
        <v>0</v>
      </c>
      <c r="V776" s="3">
        <v>39</v>
      </c>
      <c r="W776" s="3">
        <v>80</v>
      </c>
    </row>
    <row r="777" spans="1:23" ht="11.25" customHeight="1" x14ac:dyDescent="0.25">
      <c r="A777" s="3" t="s">
        <v>21</v>
      </c>
      <c r="B777" s="3" t="s">
        <v>22</v>
      </c>
      <c r="C777" s="3" t="s">
        <v>23</v>
      </c>
      <c r="D777" s="3" t="s">
        <v>24</v>
      </c>
      <c r="E777" s="3" t="s">
        <v>30</v>
      </c>
      <c r="F777" s="3" t="s">
        <v>25</v>
      </c>
      <c r="G777" s="3" t="s">
        <v>25</v>
      </c>
      <c r="H777" s="3" t="s">
        <v>25</v>
      </c>
      <c r="I777" s="6">
        <v>44621</v>
      </c>
      <c r="J777" s="4">
        <v>0</v>
      </c>
      <c r="K777" s="4">
        <v>0</v>
      </c>
      <c r="L777" s="4">
        <v>1807.567</v>
      </c>
      <c r="M777" s="4">
        <v>1807.567</v>
      </c>
      <c r="N777" s="4">
        <v>1807.567</v>
      </c>
      <c r="O777" s="4">
        <v>1807.567</v>
      </c>
      <c r="P777" s="4">
        <v>4461</v>
      </c>
      <c r="Q777" s="3" t="s">
        <v>26</v>
      </c>
      <c r="R777" s="3">
        <v>0</v>
      </c>
      <c r="S777" s="3" t="s">
        <v>216</v>
      </c>
      <c r="T777" s="3" t="s">
        <v>434</v>
      </c>
      <c r="U777" s="3">
        <v>0</v>
      </c>
      <c r="V777" s="3">
        <v>39</v>
      </c>
      <c r="W777" s="3">
        <v>80</v>
      </c>
    </row>
    <row r="778" spans="1:23" ht="11.25" customHeight="1" x14ac:dyDescent="0.25">
      <c r="A778" s="3" t="s">
        <v>27</v>
      </c>
      <c r="B778" s="3" t="s">
        <v>22</v>
      </c>
      <c r="C778" s="3" t="s">
        <v>23</v>
      </c>
      <c r="D778" s="3" t="s">
        <v>24</v>
      </c>
      <c r="E778" s="3" t="s">
        <v>30</v>
      </c>
      <c r="F778" s="3" t="s">
        <v>25</v>
      </c>
      <c r="G778" s="3" t="s">
        <v>25</v>
      </c>
      <c r="H778" s="3" t="s">
        <v>25</v>
      </c>
      <c r="I778" s="6">
        <v>44621</v>
      </c>
      <c r="J778" s="4">
        <v>0</v>
      </c>
      <c r="K778" s="4">
        <v>0</v>
      </c>
      <c r="L778" s="4">
        <v>0.02</v>
      </c>
      <c r="M778" s="4">
        <v>0.02</v>
      </c>
      <c r="N778" s="4">
        <v>0.02</v>
      </c>
      <c r="O778" s="4">
        <v>0.02</v>
      </c>
      <c r="P778" s="4">
        <v>1</v>
      </c>
      <c r="Q778" s="3" t="s">
        <v>26</v>
      </c>
      <c r="R778" s="3">
        <v>0</v>
      </c>
      <c r="S778" s="3" t="s">
        <v>216</v>
      </c>
      <c r="T778" s="3" t="s">
        <v>434</v>
      </c>
      <c r="U778" s="3">
        <v>0</v>
      </c>
      <c r="V778" s="3">
        <v>39</v>
      </c>
      <c r="W778" s="3">
        <v>80</v>
      </c>
    </row>
    <row r="779" spans="1:23" ht="11.25" customHeight="1" x14ac:dyDescent="0.25">
      <c r="A779" s="3" t="s">
        <v>21</v>
      </c>
      <c r="B779" s="3" t="s">
        <v>22</v>
      </c>
      <c r="C779" s="3" t="s">
        <v>23</v>
      </c>
      <c r="D779" s="3" t="s">
        <v>24</v>
      </c>
      <c r="E779" s="3" t="s">
        <v>30</v>
      </c>
      <c r="F779" s="3" t="s">
        <v>25</v>
      </c>
      <c r="G779" s="3" t="s">
        <v>25</v>
      </c>
      <c r="H779" s="3" t="s">
        <v>25</v>
      </c>
      <c r="I779" s="6">
        <v>44652</v>
      </c>
      <c r="J779" s="4">
        <v>0</v>
      </c>
      <c r="K779" s="4">
        <v>0</v>
      </c>
      <c r="L779" s="4">
        <v>1807.567</v>
      </c>
      <c r="M779" s="4">
        <v>1807.567</v>
      </c>
      <c r="N779" s="4">
        <v>1807.567</v>
      </c>
      <c r="O779" s="4">
        <v>1807.567</v>
      </c>
      <c r="P779" s="4">
        <v>4461</v>
      </c>
      <c r="Q779" s="3" t="s">
        <v>26</v>
      </c>
      <c r="R779" s="3">
        <v>0</v>
      </c>
      <c r="S779" s="3" t="s">
        <v>217</v>
      </c>
      <c r="T779" s="3" t="s">
        <v>435</v>
      </c>
      <c r="U779" s="3">
        <v>0</v>
      </c>
      <c r="V779" s="3">
        <v>39</v>
      </c>
      <c r="W779" s="3">
        <v>80</v>
      </c>
    </row>
    <row r="780" spans="1:23" ht="11.25" customHeight="1" x14ac:dyDescent="0.25">
      <c r="A780" s="3" t="s">
        <v>27</v>
      </c>
      <c r="B780" s="3" t="s">
        <v>22</v>
      </c>
      <c r="C780" s="3" t="s">
        <v>23</v>
      </c>
      <c r="D780" s="3" t="s">
        <v>24</v>
      </c>
      <c r="E780" s="3" t="s">
        <v>30</v>
      </c>
      <c r="F780" s="3" t="s">
        <v>25</v>
      </c>
      <c r="G780" s="3" t="s">
        <v>25</v>
      </c>
      <c r="H780" s="3" t="s">
        <v>25</v>
      </c>
      <c r="I780" s="6">
        <v>44652</v>
      </c>
      <c r="J780" s="4">
        <v>0</v>
      </c>
      <c r="K780" s="4">
        <v>0</v>
      </c>
      <c r="L780" s="4">
        <v>0.02</v>
      </c>
      <c r="M780" s="4">
        <v>0.02</v>
      </c>
      <c r="N780" s="4">
        <v>0.02</v>
      </c>
      <c r="O780" s="4">
        <v>0.02</v>
      </c>
      <c r="P780" s="4">
        <v>1</v>
      </c>
      <c r="Q780" s="3" t="s">
        <v>26</v>
      </c>
      <c r="R780" s="3">
        <v>0</v>
      </c>
      <c r="S780" s="3" t="s">
        <v>217</v>
      </c>
      <c r="T780" s="3" t="s">
        <v>435</v>
      </c>
      <c r="U780" s="3">
        <v>0</v>
      </c>
      <c r="V780" s="3">
        <v>39</v>
      </c>
      <c r="W780" s="3">
        <v>80</v>
      </c>
    </row>
    <row r="781" spans="1:23" ht="11.25" customHeight="1" x14ac:dyDescent="0.25">
      <c r="A781" s="3" t="s">
        <v>21</v>
      </c>
      <c r="B781" s="3" t="s">
        <v>22</v>
      </c>
      <c r="C781" s="3" t="s">
        <v>23</v>
      </c>
      <c r="D781" s="3" t="s">
        <v>24</v>
      </c>
      <c r="E781" s="3" t="s">
        <v>30</v>
      </c>
      <c r="F781" s="3" t="s">
        <v>25</v>
      </c>
      <c r="G781" s="3" t="s">
        <v>25</v>
      </c>
      <c r="H781" s="3" t="s">
        <v>25</v>
      </c>
      <c r="I781" s="6">
        <v>44682</v>
      </c>
      <c r="J781" s="4">
        <v>0</v>
      </c>
      <c r="K781" s="4">
        <v>0</v>
      </c>
      <c r="L781" s="4">
        <v>1802.001</v>
      </c>
      <c r="M781" s="4">
        <v>1802.001</v>
      </c>
      <c r="N781" s="4">
        <v>1802.001</v>
      </c>
      <c r="O781" s="4">
        <v>1802.001</v>
      </c>
      <c r="P781" s="4">
        <v>4835</v>
      </c>
      <c r="Q781" s="3" t="s">
        <v>26</v>
      </c>
      <c r="R781" s="3">
        <v>0</v>
      </c>
      <c r="S781" s="3" t="s">
        <v>218</v>
      </c>
      <c r="T781" s="3" t="s">
        <v>436</v>
      </c>
      <c r="U781" s="3">
        <v>0</v>
      </c>
      <c r="V781" s="3">
        <v>39</v>
      </c>
      <c r="W781" s="3">
        <v>80</v>
      </c>
    </row>
    <row r="782" spans="1:23" ht="11.25" customHeight="1" x14ac:dyDescent="0.25">
      <c r="A782" s="3" t="s">
        <v>27</v>
      </c>
      <c r="B782" s="3" t="s">
        <v>22</v>
      </c>
      <c r="C782" s="3" t="s">
        <v>23</v>
      </c>
      <c r="D782" s="3" t="s">
        <v>24</v>
      </c>
      <c r="E782" s="3" t="s">
        <v>30</v>
      </c>
      <c r="F782" s="3" t="s">
        <v>25</v>
      </c>
      <c r="G782" s="3" t="s">
        <v>25</v>
      </c>
      <c r="H782" s="3" t="s">
        <v>25</v>
      </c>
      <c r="I782" s="6">
        <v>44682</v>
      </c>
      <c r="J782" s="4">
        <v>0</v>
      </c>
      <c r="K782" s="4">
        <v>0</v>
      </c>
      <c r="L782" s="4">
        <v>0.14399999999999999</v>
      </c>
      <c r="M782" s="4">
        <v>0.14399999999999999</v>
      </c>
      <c r="N782" s="4">
        <v>0.14399999999999999</v>
      </c>
      <c r="O782" s="4">
        <v>0.14399999999999999</v>
      </c>
      <c r="P782" s="4">
        <v>16</v>
      </c>
      <c r="Q782" s="3" t="s">
        <v>26</v>
      </c>
      <c r="R782" s="3">
        <v>0</v>
      </c>
      <c r="S782" s="3" t="s">
        <v>218</v>
      </c>
      <c r="T782" s="3" t="s">
        <v>436</v>
      </c>
      <c r="U782" s="3">
        <v>0</v>
      </c>
      <c r="V782" s="3">
        <v>39</v>
      </c>
      <c r="W782" s="3">
        <v>80</v>
      </c>
    </row>
    <row r="783" spans="1:23" ht="11.25" customHeight="1" x14ac:dyDescent="0.25">
      <c r="A783" s="3" t="s">
        <v>21</v>
      </c>
      <c r="B783" s="3" t="s">
        <v>22</v>
      </c>
      <c r="C783" s="3" t="s">
        <v>23</v>
      </c>
      <c r="D783" s="3" t="s">
        <v>24</v>
      </c>
      <c r="E783" s="3" t="s">
        <v>30</v>
      </c>
      <c r="F783" s="3" t="s">
        <v>25</v>
      </c>
      <c r="G783" s="3" t="s">
        <v>25</v>
      </c>
      <c r="H783" s="3" t="s">
        <v>25</v>
      </c>
      <c r="I783" s="6">
        <v>44713</v>
      </c>
      <c r="J783" s="4">
        <v>0</v>
      </c>
      <c r="K783" s="4">
        <v>0</v>
      </c>
      <c r="L783" s="4">
        <v>1820.7850000000001</v>
      </c>
      <c r="M783" s="4">
        <v>1820.7850000000001</v>
      </c>
      <c r="N783" s="4">
        <v>1820.7850000000001</v>
      </c>
      <c r="O783" s="4">
        <v>1820.7850000000001</v>
      </c>
      <c r="P783" s="4">
        <v>5009</v>
      </c>
      <c r="Q783" s="3" t="s">
        <v>26</v>
      </c>
      <c r="R783" s="3">
        <v>0</v>
      </c>
      <c r="S783" s="3" t="s">
        <v>219</v>
      </c>
      <c r="T783" s="3" t="s">
        <v>437</v>
      </c>
      <c r="U783" s="3">
        <v>0</v>
      </c>
      <c r="V783" s="3">
        <v>39</v>
      </c>
      <c r="W783" s="3">
        <v>80</v>
      </c>
    </row>
    <row r="784" spans="1:23" ht="11.25" customHeight="1" x14ac:dyDescent="0.25">
      <c r="A784" s="3" t="s">
        <v>27</v>
      </c>
      <c r="B784" s="3" t="s">
        <v>22</v>
      </c>
      <c r="C784" s="3" t="s">
        <v>23</v>
      </c>
      <c r="D784" s="3" t="s">
        <v>24</v>
      </c>
      <c r="E784" s="3" t="s">
        <v>30</v>
      </c>
      <c r="F784" s="3" t="s">
        <v>25</v>
      </c>
      <c r="G784" s="3" t="s">
        <v>25</v>
      </c>
      <c r="H784" s="3" t="s">
        <v>25</v>
      </c>
      <c r="I784" s="6">
        <v>44713</v>
      </c>
      <c r="J784" s="4">
        <v>0</v>
      </c>
      <c r="K784" s="4">
        <v>0</v>
      </c>
      <c r="L784" s="4">
        <v>-0.25900000000000001</v>
      </c>
      <c r="M784" s="4">
        <v>-0.25900000000000001</v>
      </c>
      <c r="N784" s="4">
        <v>-0.25900000000000001</v>
      </c>
      <c r="O784" s="4">
        <v>-0.25900000000000001</v>
      </c>
      <c r="P784" s="4">
        <v>2</v>
      </c>
      <c r="Q784" s="3" t="s">
        <v>26</v>
      </c>
      <c r="R784" s="3">
        <v>0</v>
      </c>
      <c r="S784" s="3" t="s">
        <v>219</v>
      </c>
      <c r="T784" s="3" t="s">
        <v>437</v>
      </c>
      <c r="U784" s="3">
        <v>0</v>
      </c>
      <c r="V784" s="3">
        <v>39</v>
      </c>
      <c r="W784" s="3">
        <v>80</v>
      </c>
    </row>
    <row r="785" spans="1:23" ht="11.25" customHeight="1" x14ac:dyDescent="0.25">
      <c r="A785" s="3" t="s">
        <v>21</v>
      </c>
      <c r="B785" s="3" t="s">
        <v>22</v>
      </c>
      <c r="C785" s="3" t="s">
        <v>23</v>
      </c>
      <c r="D785" s="3" t="s">
        <v>24</v>
      </c>
      <c r="E785" s="3" t="s">
        <v>30</v>
      </c>
      <c r="F785" s="3" t="s">
        <v>25</v>
      </c>
      <c r="G785" s="3" t="s">
        <v>25</v>
      </c>
      <c r="H785" s="3" t="s">
        <v>25</v>
      </c>
      <c r="I785" s="6">
        <v>44743</v>
      </c>
      <c r="J785" s="4">
        <v>0</v>
      </c>
      <c r="K785" s="4">
        <v>0</v>
      </c>
      <c r="L785" s="4">
        <v>1813.701</v>
      </c>
      <c r="M785" s="4">
        <v>1813.701</v>
      </c>
      <c r="N785" s="4">
        <v>1813.701</v>
      </c>
      <c r="O785" s="4">
        <v>1813.701</v>
      </c>
      <c r="P785" s="4">
        <v>5311</v>
      </c>
      <c r="Q785" s="3" t="s">
        <v>26</v>
      </c>
      <c r="R785" s="3">
        <v>0</v>
      </c>
      <c r="S785" s="3" t="s">
        <v>220</v>
      </c>
      <c r="T785" s="3" t="s">
        <v>438</v>
      </c>
      <c r="U785" s="3">
        <v>0</v>
      </c>
      <c r="V785" s="3">
        <v>39</v>
      </c>
      <c r="W785" s="3">
        <v>80</v>
      </c>
    </row>
    <row r="786" spans="1:23" ht="11.25" customHeight="1" x14ac:dyDescent="0.25">
      <c r="A786" s="3" t="s">
        <v>27</v>
      </c>
      <c r="B786" s="3" t="s">
        <v>22</v>
      </c>
      <c r="C786" s="3" t="s">
        <v>23</v>
      </c>
      <c r="D786" s="3" t="s">
        <v>24</v>
      </c>
      <c r="E786" s="3" t="s">
        <v>30</v>
      </c>
      <c r="F786" s="3" t="s">
        <v>25</v>
      </c>
      <c r="G786" s="3" t="s">
        <v>25</v>
      </c>
      <c r="H786" s="3" t="s">
        <v>25</v>
      </c>
      <c r="I786" s="6">
        <v>44743</v>
      </c>
      <c r="J786" s="4">
        <v>0</v>
      </c>
      <c r="K786" s="4">
        <v>0</v>
      </c>
      <c r="L786" s="4">
        <v>3.3000000000000002E-2</v>
      </c>
      <c r="M786" s="4">
        <v>3.3000000000000002E-2</v>
      </c>
      <c r="N786" s="4">
        <v>3.3000000000000002E-2</v>
      </c>
      <c r="O786" s="4">
        <v>3.3000000000000002E-2</v>
      </c>
      <c r="P786" s="4">
        <v>2</v>
      </c>
      <c r="Q786" s="3" t="s">
        <v>26</v>
      </c>
      <c r="R786" s="3">
        <v>0</v>
      </c>
      <c r="S786" s="3" t="s">
        <v>220</v>
      </c>
      <c r="T786" s="3" t="s">
        <v>438</v>
      </c>
      <c r="U786" s="3">
        <v>0</v>
      </c>
      <c r="V786" s="3">
        <v>39</v>
      </c>
      <c r="W786" s="3">
        <v>80</v>
      </c>
    </row>
    <row r="787" spans="1:23" ht="11.25" customHeight="1" x14ac:dyDescent="0.25">
      <c r="A787" s="3" t="s">
        <v>21</v>
      </c>
      <c r="B787" s="3" t="s">
        <v>22</v>
      </c>
      <c r="C787" s="3" t="s">
        <v>23</v>
      </c>
      <c r="D787" s="3" t="s">
        <v>24</v>
      </c>
      <c r="E787" s="3" t="s">
        <v>30</v>
      </c>
      <c r="F787" s="3" t="s">
        <v>25</v>
      </c>
      <c r="G787" s="3" t="s">
        <v>25</v>
      </c>
      <c r="H787" s="3" t="s">
        <v>25</v>
      </c>
      <c r="I787" s="6">
        <v>44774</v>
      </c>
      <c r="J787" s="4">
        <v>0</v>
      </c>
      <c r="K787" s="4">
        <v>0</v>
      </c>
      <c r="L787" s="4">
        <v>1855.4280000000001</v>
      </c>
      <c r="M787" s="4">
        <v>1855.4280000000001</v>
      </c>
      <c r="N787" s="4">
        <v>1855.4280000000001</v>
      </c>
      <c r="O787" s="4">
        <v>1855.4280000000001</v>
      </c>
      <c r="P787" s="4">
        <v>4297</v>
      </c>
      <c r="Q787" s="3" t="s">
        <v>26</v>
      </c>
      <c r="R787" s="3">
        <v>0</v>
      </c>
      <c r="S787" s="3" t="s">
        <v>221</v>
      </c>
      <c r="T787" s="3" t="s">
        <v>439</v>
      </c>
      <c r="U787" s="3">
        <v>0</v>
      </c>
      <c r="V787" s="3">
        <v>39</v>
      </c>
      <c r="W787" s="3">
        <v>80</v>
      </c>
    </row>
    <row r="788" spans="1:23" ht="11.25" customHeight="1" x14ac:dyDescent="0.25">
      <c r="A788" s="3" t="s">
        <v>27</v>
      </c>
      <c r="B788" s="3" t="s">
        <v>22</v>
      </c>
      <c r="C788" s="3" t="s">
        <v>23</v>
      </c>
      <c r="D788" s="3" t="s">
        <v>24</v>
      </c>
      <c r="E788" s="3" t="s">
        <v>30</v>
      </c>
      <c r="F788" s="3" t="s">
        <v>25</v>
      </c>
      <c r="G788" s="3" t="s">
        <v>25</v>
      </c>
      <c r="H788" s="3" t="s">
        <v>25</v>
      </c>
      <c r="I788" s="6">
        <v>44774</v>
      </c>
      <c r="J788" s="4">
        <v>0</v>
      </c>
      <c r="K788" s="4">
        <v>0</v>
      </c>
      <c r="L788" s="4">
        <v>-0.14799999999999999</v>
      </c>
      <c r="M788" s="4">
        <v>-0.14799999999999999</v>
      </c>
      <c r="N788" s="4">
        <v>-0.14799999999999999</v>
      </c>
      <c r="O788" s="4">
        <v>-0.14799999999999999</v>
      </c>
      <c r="P788" s="4">
        <v>13</v>
      </c>
      <c r="Q788" s="3" t="s">
        <v>26</v>
      </c>
      <c r="R788" s="3">
        <v>0</v>
      </c>
      <c r="S788" s="3" t="s">
        <v>221</v>
      </c>
      <c r="T788" s="3" t="s">
        <v>439</v>
      </c>
      <c r="U788" s="3">
        <v>0</v>
      </c>
      <c r="V788" s="3">
        <v>39</v>
      </c>
      <c r="W788" s="3">
        <v>80</v>
      </c>
    </row>
    <row r="789" spans="1:23" ht="11.25" customHeight="1" x14ac:dyDescent="0.25">
      <c r="A789" s="3" t="s">
        <v>21</v>
      </c>
      <c r="B789" s="3" t="s">
        <v>22</v>
      </c>
      <c r="C789" s="3" t="s">
        <v>23</v>
      </c>
      <c r="D789" s="3" t="s">
        <v>24</v>
      </c>
      <c r="E789" s="3" t="s">
        <v>30</v>
      </c>
      <c r="F789" s="3" t="s">
        <v>25</v>
      </c>
      <c r="G789" s="3" t="s">
        <v>25</v>
      </c>
      <c r="H789" s="3" t="s">
        <v>25</v>
      </c>
      <c r="I789" s="6">
        <v>44805</v>
      </c>
      <c r="J789" s="4">
        <v>0</v>
      </c>
      <c r="K789" s="4">
        <v>0</v>
      </c>
      <c r="L789" s="4">
        <v>1857.8969999999999</v>
      </c>
      <c r="M789" s="4">
        <v>1857.8969999999999</v>
      </c>
      <c r="N789" s="4">
        <v>1857.8969999999999</v>
      </c>
      <c r="O789" s="4">
        <v>1857.8969999999999</v>
      </c>
      <c r="P789" s="4">
        <v>4429</v>
      </c>
      <c r="Q789" s="3" t="s">
        <v>26</v>
      </c>
      <c r="R789" s="3">
        <v>0</v>
      </c>
      <c r="S789" s="3" t="s">
        <v>222</v>
      </c>
      <c r="T789" s="3" t="s">
        <v>440</v>
      </c>
      <c r="U789" s="3">
        <v>0</v>
      </c>
      <c r="V789" s="3">
        <v>39</v>
      </c>
      <c r="W789" s="3">
        <v>80</v>
      </c>
    </row>
    <row r="790" spans="1:23" ht="11.25" customHeight="1" x14ac:dyDescent="0.25">
      <c r="A790" s="3" t="s">
        <v>27</v>
      </c>
      <c r="B790" s="3" t="s">
        <v>22</v>
      </c>
      <c r="C790" s="3" t="s">
        <v>23</v>
      </c>
      <c r="D790" s="3" t="s">
        <v>24</v>
      </c>
      <c r="E790" s="3" t="s">
        <v>30</v>
      </c>
      <c r="F790" s="3" t="s">
        <v>25</v>
      </c>
      <c r="G790" s="3" t="s">
        <v>25</v>
      </c>
      <c r="H790" s="3" t="s">
        <v>25</v>
      </c>
      <c r="I790" s="6">
        <v>44805</v>
      </c>
      <c r="J790" s="4">
        <v>0</v>
      </c>
      <c r="K790" s="4">
        <v>0</v>
      </c>
      <c r="L790" s="4">
        <v>-0.4</v>
      </c>
      <c r="M790" s="4">
        <v>-0.4</v>
      </c>
      <c r="N790" s="4">
        <v>-0.4</v>
      </c>
      <c r="O790" s="4">
        <v>-0.4</v>
      </c>
      <c r="P790" s="4">
        <v>3</v>
      </c>
      <c r="Q790" s="3" t="s">
        <v>26</v>
      </c>
      <c r="R790" s="3">
        <v>0</v>
      </c>
      <c r="S790" s="3" t="s">
        <v>222</v>
      </c>
      <c r="T790" s="3" t="s">
        <v>440</v>
      </c>
      <c r="U790" s="3">
        <v>0</v>
      </c>
      <c r="V790" s="3">
        <v>39</v>
      </c>
      <c r="W790" s="3">
        <v>80</v>
      </c>
    </row>
    <row r="791" spans="1:23" ht="11.25" customHeight="1" x14ac:dyDescent="0.25">
      <c r="A791" s="3" t="s">
        <v>55</v>
      </c>
      <c r="B791" s="3" t="s">
        <v>22</v>
      </c>
      <c r="C791" s="3" t="s">
        <v>23</v>
      </c>
      <c r="D791" s="3" t="s">
        <v>24</v>
      </c>
      <c r="E791" s="3" t="s">
        <v>30</v>
      </c>
      <c r="F791" s="3" t="s">
        <v>25</v>
      </c>
      <c r="G791" s="3" t="s">
        <v>25</v>
      </c>
      <c r="H791" s="3" t="s">
        <v>25</v>
      </c>
      <c r="I791" s="6">
        <v>44835</v>
      </c>
      <c r="J791" s="4">
        <v>0</v>
      </c>
      <c r="K791" s="4">
        <v>0</v>
      </c>
      <c r="L791" s="4">
        <v>1857.8969999999999</v>
      </c>
      <c r="M791" s="4">
        <v>1857.8969999999999</v>
      </c>
      <c r="N791" s="4">
        <v>1857.8969999999999</v>
      </c>
      <c r="O791" s="4">
        <v>1857.8969999999999</v>
      </c>
      <c r="P791" s="4">
        <v>4429</v>
      </c>
      <c r="Q791" s="3" t="s">
        <v>26</v>
      </c>
      <c r="R791" s="3">
        <v>0</v>
      </c>
      <c r="S791" s="3" t="s">
        <v>223</v>
      </c>
      <c r="T791" s="3" t="s">
        <v>441</v>
      </c>
      <c r="U791" s="3">
        <v>0</v>
      </c>
      <c r="V791" s="3">
        <v>39</v>
      </c>
      <c r="W791" s="3">
        <v>80</v>
      </c>
    </row>
    <row r="792" spans="1:23" ht="11.25" customHeight="1" x14ac:dyDescent="0.25">
      <c r="A792" s="3" t="s">
        <v>55</v>
      </c>
      <c r="B792" s="3" t="s">
        <v>22</v>
      </c>
      <c r="C792" s="3" t="s">
        <v>23</v>
      </c>
      <c r="D792" s="3" t="s">
        <v>24</v>
      </c>
      <c r="E792" s="3" t="s">
        <v>30</v>
      </c>
      <c r="F792" s="3" t="s">
        <v>25</v>
      </c>
      <c r="G792" s="3" t="s">
        <v>25</v>
      </c>
      <c r="H792" s="3" t="s">
        <v>25</v>
      </c>
      <c r="I792" s="6">
        <v>44835</v>
      </c>
      <c r="J792" s="4">
        <v>0</v>
      </c>
      <c r="K792" s="4">
        <v>0</v>
      </c>
      <c r="L792" s="4">
        <v>-0.4</v>
      </c>
      <c r="M792" s="4">
        <v>-0.4</v>
      </c>
      <c r="N792" s="4">
        <v>-0.4</v>
      </c>
      <c r="O792" s="4">
        <v>-0.4</v>
      </c>
      <c r="P792" s="4">
        <v>3</v>
      </c>
      <c r="Q792" s="3" t="s">
        <v>26</v>
      </c>
      <c r="R792" s="3">
        <v>0</v>
      </c>
      <c r="S792" s="3" t="s">
        <v>223</v>
      </c>
      <c r="T792" s="3" t="s">
        <v>441</v>
      </c>
      <c r="U792" s="3">
        <v>0</v>
      </c>
      <c r="V792" s="3">
        <v>39</v>
      </c>
      <c r="W792" s="3">
        <v>80</v>
      </c>
    </row>
    <row r="793" spans="1:23" ht="11.25" customHeight="1" x14ac:dyDescent="0.25">
      <c r="A793" s="3" t="s">
        <v>21</v>
      </c>
      <c r="B793" s="3" t="s">
        <v>22</v>
      </c>
      <c r="C793" s="3" t="s">
        <v>23</v>
      </c>
      <c r="D793" s="3" t="s">
        <v>24</v>
      </c>
      <c r="E793" s="3" t="s">
        <v>31</v>
      </c>
      <c r="F793" s="3" t="s">
        <v>25</v>
      </c>
      <c r="G793" s="3" t="s">
        <v>25</v>
      </c>
      <c r="H793" s="3" t="s">
        <v>25</v>
      </c>
      <c r="I793" s="6">
        <v>44501</v>
      </c>
      <c r="J793" s="4">
        <v>0</v>
      </c>
      <c r="K793" s="4">
        <v>0</v>
      </c>
      <c r="L793" s="4">
        <v>2145.4</v>
      </c>
      <c r="M793" s="4">
        <v>2145.4</v>
      </c>
      <c r="N793" s="4">
        <v>2145.4</v>
      </c>
      <c r="O793" s="4">
        <v>2145.4</v>
      </c>
      <c r="P793" s="4">
        <v>9435</v>
      </c>
      <c r="Q793" s="3" t="s">
        <v>26</v>
      </c>
      <c r="R793" s="3">
        <v>0</v>
      </c>
      <c r="S793" s="3" t="s">
        <v>224</v>
      </c>
      <c r="T793" s="3" t="s">
        <v>442</v>
      </c>
      <c r="U793" s="3">
        <v>0</v>
      </c>
      <c r="V793" s="3">
        <v>61</v>
      </c>
      <c r="W793" s="3">
        <v>65</v>
      </c>
    </row>
    <row r="794" spans="1:23" ht="11.25" customHeight="1" x14ac:dyDescent="0.25">
      <c r="A794" s="3" t="s">
        <v>27</v>
      </c>
      <c r="B794" s="3" t="s">
        <v>22</v>
      </c>
      <c r="C794" s="3" t="s">
        <v>23</v>
      </c>
      <c r="D794" s="3" t="s">
        <v>24</v>
      </c>
      <c r="E794" s="3" t="s">
        <v>31</v>
      </c>
      <c r="F794" s="3" t="s">
        <v>25</v>
      </c>
      <c r="G794" s="3" t="s">
        <v>25</v>
      </c>
      <c r="H794" s="3" t="s">
        <v>25</v>
      </c>
      <c r="I794" s="6">
        <v>44501</v>
      </c>
      <c r="J794" s="4">
        <v>0</v>
      </c>
      <c r="K794" s="4">
        <v>0</v>
      </c>
      <c r="L794" s="4">
        <v>-1.8240000000000001</v>
      </c>
      <c r="M794" s="4">
        <v>-1.8240000000000001</v>
      </c>
      <c r="N794" s="4">
        <v>-1.8240000000000001</v>
      </c>
      <c r="O794" s="4">
        <v>-1.8240000000000001</v>
      </c>
      <c r="P794" s="4">
        <v>-6</v>
      </c>
      <c r="Q794" s="3" t="s">
        <v>26</v>
      </c>
      <c r="R794" s="3">
        <v>0</v>
      </c>
      <c r="S794" s="3" t="s">
        <v>224</v>
      </c>
      <c r="T794" s="3" t="s">
        <v>442</v>
      </c>
      <c r="U794" s="3">
        <v>0</v>
      </c>
      <c r="V794" s="3">
        <v>61</v>
      </c>
      <c r="W794" s="3">
        <v>65</v>
      </c>
    </row>
    <row r="795" spans="1:23" ht="11.25" customHeight="1" x14ac:dyDescent="0.25">
      <c r="A795" s="3" t="s">
        <v>21</v>
      </c>
      <c r="B795" s="3" t="s">
        <v>22</v>
      </c>
      <c r="C795" s="3" t="s">
        <v>23</v>
      </c>
      <c r="D795" s="3" t="s">
        <v>24</v>
      </c>
      <c r="E795" s="3" t="s">
        <v>31</v>
      </c>
      <c r="F795" s="3" t="s">
        <v>25</v>
      </c>
      <c r="G795" s="3" t="s">
        <v>25</v>
      </c>
      <c r="H795" s="3" t="s">
        <v>25</v>
      </c>
      <c r="I795" s="6">
        <v>44531</v>
      </c>
      <c r="J795" s="4">
        <v>0</v>
      </c>
      <c r="K795" s="4">
        <v>0</v>
      </c>
      <c r="L795" s="4">
        <v>2095.386</v>
      </c>
      <c r="M795" s="4">
        <v>2095.386</v>
      </c>
      <c r="N795" s="4">
        <v>2095.386</v>
      </c>
      <c r="O795" s="4">
        <v>2095.386</v>
      </c>
      <c r="P795" s="4">
        <v>9714</v>
      </c>
      <c r="Q795" s="3" t="s">
        <v>26</v>
      </c>
      <c r="R795" s="3">
        <v>0</v>
      </c>
      <c r="S795" s="3" t="s">
        <v>225</v>
      </c>
      <c r="T795" s="3" t="s">
        <v>443</v>
      </c>
      <c r="U795" s="3">
        <v>0</v>
      </c>
      <c r="V795" s="3">
        <v>61</v>
      </c>
      <c r="W795" s="3">
        <v>65</v>
      </c>
    </row>
    <row r="796" spans="1:23" ht="11.25" customHeight="1" x14ac:dyDescent="0.25">
      <c r="A796" s="3" t="s">
        <v>27</v>
      </c>
      <c r="B796" s="3" t="s">
        <v>22</v>
      </c>
      <c r="C796" s="3" t="s">
        <v>23</v>
      </c>
      <c r="D796" s="3" t="s">
        <v>24</v>
      </c>
      <c r="E796" s="3" t="s">
        <v>31</v>
      </c>
      <c r="F796" s="3" t="s">
        <v>25</v>
      </c>
      <c r="G796" s="3" t="s">
        <v>25</v>
      </c>
      <c r="H796" s="3" t="s">
        <v>25</v>
      </c>
      <c r="I796" s="6">
        <v>44531</v>
      </c>
      <c r="J796" s="4">
        <v>0</v>
      </c>
      <c r="K796" s="4">
        <v>0</v>
      </c>
      <c r="L796" s="4">
        <v>-0.437</v>
      </c>
      <c r="M796" s="4">
        <v>-0.437</v>
      </c>
      <c r="N796" s="4">
        <v>-0.437</v>
      </c>
      <c r="O796" s="4">
        <v>-0.437</v>
      </c>
      <c r="P796" s="4">
        <v>2</v>
      </c>
      <c r="Q796" s="3" t="s">
        <v>26</v>
      </c>
      <c r="R796" s="3">
        <v>0</v>
      </c>
      <c r="S796" s="3" t="s">
        <v>225</v>
      </c>
      <c r="T796" s="3" t="s">
        <v>443</v>
      </c>
      <c r="U796" s="3">
        <v>0</v>
      </c>
      <c r="V796" s="3">
        <v>61</v>
      </c>
      <c r="W796" s="3">
        <v>65</v>
      </c>
    </row>
    <row r="797" spans="1:23" ht="11.25" customHeight="1" x14ac:dyDescent="0.25">
      <c r="A797" s="3" t="s">
        <v>21</v>
      </c>
      <c r="B797" s="3" t="s">
        <v>22</v>
      </c>
      <c r="C797" s="3" t="s">
        <v>23</v>
      </c>
      <c r="D797" s="3" t="s">
        <v>24</v>
      </c>
      <c r="E797" s="3" t="s">
        <v>31</v>
      </c>
      <c r="F797" s="3" t="s">
        <v>25</v>
      </c>
      <c r="G797" s="3" t="s">
        <v>25</v>
      </c>
      <c r="H797" s="3" t="s">
        <v>25</v>
      </c>
      <c r="I797" s="6">
        <v>44562</v>
      </c>
      <c r="J797" s="4">
        <v>0</v>
      </c>
      <c r="K797" s="4">
        <v>0</v>
      </c>
      <c r="L797" s="4">
        <v>2007.2349999999999</v>
      </c>
      <c r="M797" s="4">
        <v>2007.2349999999999</v>
      </c>
      <c r="N797" s="4">
        <v>2007.2349999999999</v>
      </c>
      <c r="O797" s="4">
        <v>2007.2349999999999</v>
      </c>
      <c r="P797" s="4">
        <v>10293</v>
      </c>
      <c r="Q797" s="3" t="s">
        <v>26</v>
      </c>
      <c r="R797" s="3">
        <v>0</v>
      </c>
      <c r="S797" s="3" t="s">
        <v>226</v>
      </c>
      <c r="T797" s="3" t="s">
        <v>444</v>
      </c>
      <c r="U797" s="3">
        <v>0</v>
      </c>
      <c r="V797" s="3">
        <v>61</v>
      </c>
      <c r="W797" s="3">
        <v>65</v>
      </c>
    </row>
    <row r="798" spans="1:23" ht="11.25" customHeight="1" x14ac:dyDescent="0.25">
      <c r="A798" s="3" t="s">
        <v>27</v>
      </c>
      <c r="B798" s="3" t="s">
        <v>22</v>
      </c>
      <c r="C798" s="3" t="s">
        <v>23</v>
      </c>
      <c r="D798" s="3" t="s">
        <v>24</v>
      </c>
      <c r="E798" s="3" t="s">
        <v>31</v>
      </c>
      <c r="F798" s="3" t="s">
        <v>25</v>
      </c>
      <c r="G798" s="3" t="s">
        <v>25</v>
      </c>
      <c r="H798" s="3" t="s">
        <v>25</v>
      </c>
      <c r="I798" s="6">
        <v>44562</v>
      </c>
      <c r="J798" s="4">
        <v>0</v>
      </c>
      <c r="K798" s="4">
        <v>0</v>
      </c>
      <c r="L798" s="4">
        <v>-0.16500000000000001</v>
      </c>
      <c r="M798" s="4">
        <v>-0.16500000000000001</v>
      </c>
      <c r="N798" s="4">
        <v>-0.16500000000000001</v>
      </c>
      <c r="O798" s="4">
        <v>-0.16500000000000001</v>
      </c>
      <c r="P798" s="4">
        <v>3</v>
      </c>
      <c r="Q798" s="3" t="s">
        <v>26</v>
      </c>
      <c r="R798" s="3">
        <v>0</v>
      </c>
      <c r="S798" s="3" t="s">
        <v>226</v>
      </c>
      <c r="T798" s="3" t="s">
        <v>444</v>
      </c>
      <c r="U798" s="3">
        <v>0</v>
      </c>
      <c r="V798" s="3">
        <v>61</v>
      </c>
      <c r="W798" s="3">
        <v>65</v>
      </c>
    </row>
    <row r="799" spans="1:23" ht="11.25" customHeight="1" x14ac:dyDescent="0.25">
      <c r="A799" s="3" t="s">
        <v>21</v>
      </c>
      <c r="B799" s="3" t="s">
        <v>22</v>
      </c>
      <c r="C799" s="3" t="s">
        <v>23</v>
      </c>
      <c r="D799" s="3" t="s">
        <v>24</v>
      </c>
      <c r="E799" s="3" t="s">
        <v>31</v>
      </c>
      <c r="F799" s="3" t="s">
        <v>25</v>
      </c>
      <c r="G799" s="3" t="s">
        <v>25</v>
      </c>
      <c r="H799" s="3" t="s">
        <v>25</v>
      </c>
      <c r="I799" s="6">
        <v>44593</v>
      </c>
      <c r="J799" s="4">
        <v>0</v>
      </c>
      <c r="K799" s="4">
        <v>0</v>
      </c>
      <c r="L799" s="4">
        <v>2077.3789999999999</v>
      </c>
      <c r="M799" s="4">
        <v>2077.3789999999999</v>
      </c>
      <c r="N799" s="4">
        <v>2077.3789999999999</v>
      </c>
      <c r="O799" s="4">
        <v>2077.3789999999999</v>
      </c>
      <c r="P799" s="4">
        <v>10155</v>
      </c>
      <c r="Q799" s="3" t="s">
        <v>26</v>
      </c>
      <c r="R799" s="3">
        <v>0</v>
      </c>
      <c r="S799" s="3" t="s">
        <v>227</v>
      </c>
      <c r="T799" s="3" t="s">
        <v>445</v>
      </c>
      <c r="U799" s="3">
        <v>0</v>
      </c>
      <c r="V799" s="3">
        <v>61</v>
      </c>
      <c r="W799" s="3">
        <v>65</v>
      </c>
    </row>
    <row r="800" spans="1:23" ht="11.25" customHeight="1" x14ac:dyDescent="0.25">
      <c r="A800" s="3" t="s">
        <v>27</v>
      </c>
      <c r="B800" s="3" t="s">
        <v>22</v>
      </c>
      <c r="C800" s="3" t="s">
        <v>23</v>
      </c>
      <c r="D800" s="3" t="s">
        <v>24</v>
      </c>
      <c r="E800" s="3" t="s">
        <v>31</v>
      </c>
      <c r="F800" s="3" t="s">
        <v>25</v>
      </c>
      <c r="G800" s="3" t="s">
        <v>25</v>
      </c>
      <c r="H800" s="3" t="s">
        <v>25</v>
      </c>
      <c r="I800" s="6">
        <v>44593</v>
      </c>
      <c r="J800" s="4">
        <v>0</v>
      </c>
      <c r="K800" s="4">
        <v>0</v>
      </c>
      <c r="L800" s="4">
        <v>-0.8</v>
      </c>
      <c r="M800" s="4">
        <v>-0.8</v>
      </c>
      <c r="N800" s="4">
        <v>-0.8</v>
      </c>
      <c r="O800" s="4">
        <v>-0.8</v>
      </c>
      <c r="P800" s="4">
        <v>-3</v>
      </c>
      <c r="Q800" s="3" t="s">
        <v>26</v>
      </c>
      <c r="R800" s="3">
        <v>0</v>
      </c>
      <c r="S800" s="3" t="s">
        <v>227</v>
      </c>
      <c r="T800" s="3" t="s">
        <v>445</v>
      </c>
      <c r="U800" s="3">
        <v>0</v>
      </c>
      <c r="V800" s="3">
        <v>61</v>
      </c>
      <c r="W800" s="3">
        <v>65</v>
      </c>
    </row>
    <row r="801" spans="1:23" ht="11.25" customHeight="1" x14ac:dyDescent="0.25">
      <c r="A801" s="3" t="s">
        <v>21</v>
      </c>
      <c r="B801" s="3" t="s">
        <v>22</v>
      </c>
      <c r="C801" s="3" t="s">
        <v>23</v>
      </c>
      <c r="D801" s="3" t="s">
        <v>24</v>
      </c>
      <c r="E801" s="3" t="s">
        <v>31</v>
      </c>
      <c r="F801" s="3" t="s">
        <v>25</v>
      </c>
      <c r="G801" s="3" t="s">
        <v>25</v>
      </c>
      <c r="H801" s="3" t="s">
        <v>25</v>
      </c>
      <c r="I801" s="6">
        <v>44621</v>
      </c>
      <c r="J801" s="4">
        <v>0</v>
      </c>
      <c r="K801" s="4">
        <v>0</v>
      </c>
      <c r="L801" s="4">
        <v>2154.9009999999998</v>
      </c>
      <c r="M801" s="4">
        <v>2154.9009999999998</v>
      </c>
      <c r="N801" s="4">
        <v>2154.9009999999998</v>
      </c>
      <c r="O801" s="4">
        <v>2154.9009999999998</v>
      </c>
      <c r="P801" s="4">
        <v>10453</v>
      </c>
      <c r="Q801" s="3" t="s">
        <v>26</v>
      </c>
      <c r="R801" s="3">
        <v>0</v>
      </c>
      <c r="S801" s="3" t="s">
        <v>228</v>
      </c>
      <c r="T801" s="3" t="s">
        <v>446</v>
      </c>
      <c r="U801" s="3">
        <v>0</v>
      </c>
      <c r="V801" s="3">
        <v>61</v>
      </c>
      <c r="W801" s="3">
        <v>65</v>
      </c>
    </row>
    <row r="802" spans="1:23" ht="11.25" customHeight="1" x14ac:dyDescent="0.25">
      <c r="A802" s="3" t="s">
        <v>27</v>
      </c>
      <c r="B802" s="3" t="s">
        <v>22</v>
      </c>
      <c r="C802" s="3" t="s">
        <v>23</v>
      </c>
      <c r="D802" s="3" t="s">
        <v>24</v>
      </c>
      <c r="E802" s="3" t="s">
        <v>31</v>
      </c>
      <c r="F802" s="3" t="s">
        <v>25</v>
      </c>
      <c r="G802" s="3" t="s">
        <v>25</v>
      </c>
      <c r="H802" s="3" t="s">
        <v>25</v>
      </c>
      <c r="I802" s="6">
        <v>44621</v>
      </c>
      <c r="J802" s="4">
        <v>0</v>
      </c>
      <c r="K802" s="4">
        <v>0</v>
      </c>
      <c r="L802" s="4">
        <v>4.4999999999999998E-2</v>
      </c>
      <c r="M802" s="4">
        <v>4.4999999999999998E-2</v>
      </c>
      <c r="N802" s="4">
        <v>4.4999999999999998E-2</v>
      </c>
      <c r="O802" s="4">
        <v>4.4999999999999998E-2</v>
      </c>
      <c r="P802" s="4">
        <v>0</v>
      </c>
      <c r="Q802" s="3" t="s">
        <v>26</v>
      </c>
      <c r="R802" s="3">
        <v>0</v>
      </c>
      <c r="S802" s="3" t="s">
        <v>228</v>
      </c>
      <c r="T802" s="3" t="s">
        <v>446</v>
      </c>
      <c r="U802" s="3">
        <v>0</v>
      </c>
      <c r="V802" s="3">
        <v>61</v>
      </c>
      <c r="W802" s="3">
        <v>65</v>
      </c>
    </row>
    <row r="803" spans="1:23" ht="11.25" customHeight="1" x14ac:dyDescent="0.25">
      <c r="A803" s="3" t="s">
        <v>21</v>
      </c>
      <c r="B803" s="3" t="s">
        <v>22</v>
      </c>
      <c r="C803" s="3" t="s">
        <v>23</v>
      </c>
      <c r="D803" s="3" t="s">
        <v>24</v>
      </c>
      <c r="E803" s="3" t="s">
        <v>31</v>
      </c>
      <c r="F803" s="3" t="s">
        <v>25</v>
      </c>
      <c r="G803" s="3" t="s">
        <v>25</v>
      </c>
      <c r="H803" s="3" t="s">
        <v>25</v>
      </c>
      <c r="I803" s="6">
        <v>44652</v>
      </c>
      <c r="J803" s="4">
        <v>0</v>
      </c>
      <c r="K803" s="4">
        <v>0</v>
      </c>
      <c r="L803" s="4">
        <v>2154.9009999999998</v>
      </c>
      <c r="M803" s="4">
        <v>2154.9009999999998</v>
      </c>
      <c r="N803" s="4">
        <v>2154.9009999999998</v>
      </c>
      <c r="O803" s="4">
        <v>2154.9009999999998</v>
      </c>
      <c r="P803" s="4">
        <v>10453</v>
      </c>
      <c r="Q803" s="3" t="s">
        <v>26</v>
      </c>
      <c r="R803" s="3">
        <v>0</v>
      </c>
      <c r="S803" s="3" t="s">
        <v>229</v>
      </c>
      <c r="T803" s="3" t="s">
        <v>447</v>
      </c>
      <c r="U803" s="3">
        <v>0</v>
      </c>
      <c r="V803" s="3">
        <v>61</v>
      </c>
      <c r="W803" s="3">
        <v>65</v>
      </c>
    </row>
    <row r="804" spans="1:23" ht="11.25" customHeight="1" x14ac:dyDescent="0.25">
      <c r="A804" s="3" t="s">
        <v>27</v>
      </c>
      <c r="B804" s="3" t="s">
        <v>22</v>
      </c>
      <c r="C804" s="3" t="s">
        <v>23</v>
      </c>
      <c r="D804" s="3" t="s">
        <v>24</v>
      </c>
      <c r="E804" s="3" t="s">
        <v>31</v>
      </c>
      <c r="F804" s="3" t="s">
        <v>25</v>
      </c>
      <c r="G804" s="3" t="s">
        <v>25</v>
      </c>
      <c r="H804" s="3" t="s">
        <v>25</v>
      </c>
      <c r="I804" s="6">
        <v>44652</v>
      </c>
      <c r="J804" s="4">
        <v>0</v>
      </c>
      <c r="K804" s="4">
        <v>0</v>
      </c>
      <c r="L804" s="4">
        <v>4.4999999999999998E-2</v>
      </c>
      <c r="M804" s="4">
        <v>4.4999999999999998E-2</v>
      </c>
      <c r="N804" s="4">
        <v>4.4999999999999998E-2</v>
      </c>
      <c r="O804" s="4">
        <v>4.4999999999999998E-2</v>
      </c>
      <c r="P804" s="4">
        <v>0</v>
      </c>
      <c r="Q804" s="3" t="s">
        <v>26</v>
      </c>
      <c r="R804" s="3">
        <v>0</v>
      </c>
      <c r="S804" s="3" t="s">
        <v>229</v>
      </c>
      <c r="T804" s="3" t="s">
        <v>447</v>
      </c>
      <c r="U804" s="3">
        <v>0</v>
      </c>
      <c r="V804" s="3">
        <v>61</v>
      </c>
      <c r="W804" s="3">
        <v>65</v>
      </c>
    </row>
    <row r="805" spans="1:23" ht="11.25" customHeight="1" x14ac:dyDescent="0.25">
      <c r="A805" s="3" t="s">
        <v>21</v>
      </c>
      <c r="B805" s="3" t="s">
        <v>22</v>
      </c>
      <c r="C805" s="3" t="s">
        <v>23</v>
      </c>
      <c r="D805" s="3" t="s">
        <v>24</v>
      </c>
      <c r="E805" s="3" t="s">
        <v>31</v>
      </c>
      <c r="F805" s="3" t="s">
        <v>25</v>
      </c>
      <c r="G805" s="3" t="s">
        <v>25</v>
      </c>
      <c r="H805" s="3" t="s">
        <v>25</v>
      </c>
      <c r="I805" s="6">
        <v>44682</v>
      </c>
      <c r="J805" s="4">
        <v>0</v>
      </c>
      <c r="K805" s="4">
        <v>0</v>
      </c>
      <c r="L805" s="4">
        <v>2075.8119999999999</v>
      </c>
      <c r="M805" s="4">
        <v>2075.8119999999999</v>
      </c>
      <c r="N805" s="4">
        <v>2075.8119999999999</v>
      </c>
      <c r="O805" s="4">
        <v>2075.8119999999999</v>
      </c>
      <c r="P805" s="4">
        <v>11083</v>
      </c>
      <c r="Q805" s="3" t="s">
        <v>26</v>
      </c>
      <c r="R805" s="3">
        <v>0</v>
      </c>
      <c r="S805" s="3" t="s">
        <v>230</v>
      </c>
      <c r="T805" s="3" t="s">
        <v>448</v>
      </c>
      <c r="U805" s="3">
        <v>0</v>
      </c>
      <c r="V805" s="3">
        <v>61</v>
      </c>
      <c r="W805" s="3">
        <v>65</v>
      </c>
    </row>
    <row r="806" spans="1:23" ht="11.25" customHeight="1" x14ac:dyDescent="0.25">
      <c r="A806" s="3" t="s">
        <v>27</v>
      </c>
      <c r="B806" s="3" t="s">
        <v>22</v>
      </c>
      <c r="C806" s="3" t="s">
        <v>23</v>
      </c>
      <c r="D806" s="3" t="s">
        <v>24</v>
      </c>
      <c r="E806" s="3" t="s">
        <v>31</v>
      </c>
      <c r="F806" s="3" t="s">
        <v>25</v>
      </c>
      <c r="G806" s="3" t="s">
        <v>25</v>
      </c>
      <c r="H806" s="3" t="s">
        <v>25</v>
      </c>
      <c r="I806" s="6">
        <v>44682</v>
      </c>
      <c r="J806" s="4">
        <v>0</v>
      </c>
      <c r="K806" s="4">
        <v>0</v>
      </c>
      <c r="L806" s="4">
        <v>-1.6479999999999999</v>
      </c>
      <c r="M806" s="4">
        <v>-1.6479999999999999</v>
      </c>
      <c r="N806" s="4">
        <v>-1.6479999999999999</v>
      </c>
      <c r="O806" s="4">
        <v>-1.6479999999999999</v>
      </c>
      <c r="P806" s="4">
        <v>4</v>
      </c>
      <c r="Q806" s="3" t="s">
        <v>26</v>
      </c>
      <c r="R806" s="3">
        <v>0</v>
      </c>
      <c r="S806" s="3" t="s">
        <v>230</v>
      </c>
      <c r="T806" s="3" t="s">
        <v>448</v>
      </c>
      <c r="U806" s="3">
        <v>0</v>
      </c>
      <c r="V806" s="3">
        <v>61</v>
      </c>
      <c r="W806" s="3">
        <v>65</v>
      </c>
    </row>
    <row r="807" spans="1:23" ht="11.25" customHeight="1" x14ac:dyDescent="0.25">
      <c r="A807" s="3" t="s">
        <v>21</v>
      </c>
      <c r="B807" s="3" t="s">
        <v>22</v>
      </c>
      <c r="C807" s="3" t="s">
        <v>23</v>
      </c>
      <c r="D807" s="3" t="s">
        <v>24</v>
      </c>
      <c r="E807" s="3" t="s">
        <v>31</v>
      </c>
      <c r="F807" s="3" t="s">
        <v>25</v>
      </c>
      <c r="G807" s="3" t="s">
        <v>25</v>
      </c>
      <c r="H807" s="3" t="s">
        <v>25</v>
      </c>
      <c r="I807" s="6">
        <v>44713</v>
      </c>
      <c r="J807" s="4">
        <v>0</v>
      </c>
      <c r="K807" s="4">
        <v>0</v>
      </c>
      <c r="L807" s="4">
        <v>2074.1880000000001</v>
      </c>
      <c r="M807" s="4">
        <v>2074.1880000000001</v>
      </c>
      <c r="N807" s="4">
        <v>2074.1880000000001</v>
      </c>
      <c r="O807" s="4">
        <v>2074.1880000000001</v>
      </c>
      <c r="P807" s="4">
        <v>11491</v>
      </c>
      <c r="Q807" s="3" t="s">
        <v>26</v>
      </c>
      <c r="R807" s="3">
        <v>0</v>
      </c>
      <c r="S807" s="3" t="s">
        <v>231</v>
      </c>
      <c r="T807" s="3" t="s">
        <v>449</v>
      </c>
      <c r="U807" s="3">
        <v>0</v>
      </c>
      <c r="V807" s="3">
        <v>61</v>
      </c>
      <c r="W807" s="3">
        <v>65</v>
      </c>
    </row>
    <row r="808" spans="1:23" ht="11.25" customHeight="1" x14ac:dyDescent="0.25">
      <c r="A808" s="3" t="s">
        <v>27</v>
      </c>
      <c r="B808" s="3" t="s">
        <v>22</v>
      </c>
      <c r="C808" s="3" t="s">
        <v>23</v>
      </c>
      <c r="D808" s="3" t="s">
        <v>24</v>
      </c>
      <c r="E808" s="3" t="s">
        <v>31</v>
      </c>
      <c r="F808" s="3" t="s">
        <v>25</v>
      </c>
      <c r="G808" s="3" t="s">
        <v>25</v>
      </c>
      <c r="H808" s="3" t="s">
        <v>25</v>
      </c>
      <c r="I808" s="6">
        <v>44713</v>
      </c>
      <c r="J808" s="4">
        <v>0</v>
      </c>
      <c r="K808" s="4">
        <v>0</v>
      </c>
      <c r="L808" s="4">
        <v>-0.48</v>
      </c>
      <c r="M808" s="4">
        <v>-0.48</v>
      </c>
      <c r="N808" s="4">
        <v>-0.48</v>
      </c>
      <c r="O808" s="4">
        <v>-0.48</v>
      </c>
      <c r="P808" s="4">
        <v>0</v>
      </c>
      <c r="Q808" s="3" t="s">
        <v>26</v>
      </c>
      <c r="R808" s="3">
        <v>0</v>
      </c>
      <c r="S808" s="3" t="s">
        <v>231</v>
      </c>
      <c r="T808" s="3" t="s">
        <v>449</v>
      </c>
      <c r="U808" s="3">
        <v>0</v>
      </c>
      <c r="V808" s="3">
        <v>61</v>
      </c>
      <c r="W808" s="3">
        <v>65</v>
      </c>
    </row>
    <row r="809" spans="1:23" ht="11.25" customHeight="1" x14ac:dyDescent="0.25">
      <c r="A809" s="3" t="s">
        <v>21</v>
      </c>
      <c r="B809" s="3" t="s">
        <v>22</v>
      </c>
      <c r="C809" s="3" t="s">
        <v>23</v>
      </c>
      <c r="D809" s="3" t="s">
        <v>24</v>
      </c>
      <c r="E809" s="3" t="s">
        <v>31</v>
      </c>
      <c r="F809" s="3" t="s">
        <v>25</v>
      </c>
      <c r="G809" s="3" t="s">
        <v>25</v>
      </c>
      <c r="H809" s="3" t="s">
        <v>25</v>
      </c>
      <c r="I809" s="6">
        <v>44743</v>
      </c>
      <c r="J809" s="4">
        <v>0</v>
      </c>
      <c r="K809" s="4">
        <v>0</v>
      </c>
      <c r="L809" s="4">
        <v>2027.6849999999999</v>
      </c>
      <c r="M809" s="4">
        <v>2027.6849999999999</v>
      </c>
      <c r="N809" s="4">
        <v>2027.6849999999999</v>
      </c>
      <c r="O809" s="4">
        <v>2027.6849999999999</v>
      </c>
      <c r="P809" s="4">
        <v>11515</v>
      </c>
      <c r="Q809" s="3" t="s">
        <v>26</v>
      </c>
      <c r="R809" s="3">
        <v>0</v>
      </c>
      <c r="S809" s="3" t="s">
        <v>232</v>
      </c>
      <c r="T809" s="3" t="s">
        <v>450</v>
      </c>
      <c r="U809" s="3">
        <v>0</v>
      </c>
      <c r="V809" s="3">
        <v>61</v>
      </c>
      <c r="W809" s="3">
        <v>65</v>
      </c>
    </row>
    <row r="810" spans="1:23" ht="11.25" customHeight="1" x14ac:dyDescent="0.25">
      <c r="A810" s="3" t="s">
        <v>27</v>
      </c>
      <c r="B810" s="3" t="s">
        <v>22</v>
      </c>
      <c r="C810" s="3" t="s">
        <v>23</v>
      </c>
      <c r="D810" s="3" t="s">
        <v>24</v>
      </c>
      <c r="E810" s="3" t="s">
        <v>31</v>
      </c>
      <c r="F810" s="3" t="s">
        <v>25</v>
      </c>
      <c r="G810" s="3" t="s">
        <v>25</v>
      </c>
      <c r="H810" s="3" t="s">
        <v>25</v>
      </c>
      <c r="I810" s="6">
        <v>44743</v>
      </c>
      <c r="J810" s="4">
        <v>0</v>
      </c>
      <c r="K810" s="4">
        <v>0</v>
      </c>
      <c r="L810" s="4">
        <v>-0.54600000000000004</v>
      </c>
      <c r="M810" s="4">
        <v>-0.54600000000000004</v>
      </c>
      <c r="N810" s="4">
        <v>-0.54600000000000004</v>
      </c>
      <c r="O810" s="4">
        <v>-0.54600000000000004</v>
      </c>
      <c r="P810" s="4">
        <v>3</v>
      </c>
      <c r="Q810" s="3" t="s">
        <v>26</v>
      </c>
      <c r="R810" s="3">
        <v>0</v>
      </c>
      <c r="S810" s="3" t="s">
        <v>232</v>
      </c>
      <c r="T810" s="3" t="s">
        <v>450</v>
      </c>
      <c r="U810" s="3">
        <v>0</v>
      </c>
      <c r="V810" s="3">
        <v>61</v>
      </c>
      <c r="W810" s="3">
        <v>65</v>
      </c>
    </row>
    <row r="811" spans="1:23" ht="11.25" customHeight="1" x14ac:dyDescent="0.25">
      <c r="A811" s="3" t="s">
        <v>21</v>
      </c>
      <c r="B811" s="3" t="s">
        <v>22</v>
      </c>
      <c r="C811" s="3" t="s">
        <v>23</v>
      </c>
      <c r="D811" s="3" t="s">
        <v>24</v>
      </c>
      <c r="E811" s="3" t="s">
        <v>31</v>
      </c>
      <c r="F811" s="3" t="s">
        <v>25</v>
      </c>
      <c r="G811" s="3" t="s">
        <v>25</v>
      </c>
      <c r="H811" s="3" t="s">
        <v>25</v>
      </c>
      <c r="I811" s="6">
        <v>44774</v>
      </c>
      <c r="J811" s="4">
        <v>0</v>
      </c>
      <c r="K811" s="4">
        <v>0</v>
      </c>
      <c r="L811" s="4">
        <v>2259.4780000000001</v>
      </c>
      <c r="M811" s="4">
        <v>2259.4780000000001</v>
      </c>
      <c r="N811" s="4">
        <v>2259.4780000000001</v>
      </c>
      <c r="O811" s="4">
        <v>2259.4780000000001</v>
      </c>
      <c r="P811" s="4">
        <v>10407</v>
      </c>
      <c r="Q811" s="3" t="s">
        <v>26</v>
      </c>
      <c r="R811" s="3">
        <v>0</v>
      </c>
      <c r="S811" s="3" t="s">
        <v>233</v>
      </c>
      <c r="T811" s="3" t="s">
        <v>451</v>
      </c>
      <c r="U811" s="3">
        <v>0</v>
      </c>
      <c r="V811" s="3">
        <v>61</v>
      </c>
      <c r="W811" s="3">
        <v>65</v>
      </c>
    </row>
    <row r="812" spans="1:23" ht="11.25" customHeight="1" x14ac:dyDescent="0.25">
      <c r="A812" s="3" t="s">
        <v>27</v>
      </c>
      <c r="B812" s="3" t="s">
        <v>22</v>
      </c>
      <c r="C812" s="3" t="s">
        <v>23</v>
      </c>
      <c r="D812" s="3" t="s">
        <v>24</v>
      </c>
      <c r="E812" s="3" t="s">
        <v>31</v>
      </c>
      <c r="F812" s="3" t="s">
        <v>25</v>
      </c>
      <c r="G812" s="3" t="s">
        <v>25</v>
      </c>
      <c r="H812" s="3" t="s">
        <v>25</v>
      </c>
      <c r="I812" s="6">
        <v>44774</v>
      </c>
      <c r="J812" s="4">
        <v>0</v>
      </c>
      <c r="K812" s="4">
        <v>0</v>
      </c>
      <c r="L812" s="4">
        <v>-0.36599999999999999</v>
      </c>
      <c r="M812" s="4">
        <v>-0.36599999999999999</v>
      </c>
      <c r="N812" s="4">
        <v>-0.36599999999999999</v>
      </c>
      <c r="O812" s="4">
        <v>-0.36599999999999999</v>
      </c>
      <c r="P812" s="4">
        <v>-3</v>
      </c>
      <c r="Q812" s="3" t="s">
        <v>26</v>
      </c>
      <c r="R812" s="3">
        <v>0</v>
      </c>
      <c r="S812" s="3" t="s">
        <v>233</v>
      </c>
      <c r="T812" s="3" t="s">
        <v>451</v>
      </c>
      <c r="U812" s="3">
        <v>0</v>
      </c>
      <c r="V812" s="3">
        <v>61</v>
      </c>
      <c r="W812" s="3">
        <v>65</v>
      </c>
    </row>
    <row r="813" spans="1:23" ht="11.25" customHeight="1" x14ac:dyDescent="0.25">
      <c r="A813" s="3" t="s">
        <v>21</v>
      </c>
      <c r="B813" s="3" t="s">
        <v>22</v>
      </c>
      <c r="C813" s="3" t="s">
        <v>23</v>
      </c>
      <c r="D813" s="3" t="s">
        <v>24</v>
      </c>
      <c r="E813" s="3" t="s">
        <v>31</v>
      </c>
      <c r="F813" s="3" t="s">
        <v>25</v>
      </c>
      <c r="G813" s="3" t="s">
        <v>25</v>
      </c>
      <c r="H813" s="3" t="s">
        <v>25</v>
      </c>
      <c r="I813" s="6">
        <v>44805</v>
      </c>
      <c r="J813" s="4">
        <v>0</v>
      </c>
      <c r="K813" s="4">
        <v>0</v>
      </c>
      <c r="L813" s="4">
        <v>2240.3069999999998</v>
      </c>
      <c r="M813" s="4">
        <v>2240.3069999999998</v>
      </c>
      <c r="N813" s="4">
        <v>2240.3069999999998</v>
      </c>
      <c r="O813" s="4">
        <v>2240.3069999999998</v>
      </c>
      <c r="P813" s="4">
        <v>10535</v>
      </c>
      <c r="Q813" s="3" t="s">
        <v>26</v>
      </c>
      <c r="R813" s="3">
        <v>0</v>
      </c>
      <c r="S813" s="3" t="s">
        <v>234</v>
      </c>
      <c r="T813" s="3" t="s">
        <v>452</v>
      </c>
      <c r="U813" s="3">
        <v>0</v>
      </c>
      <c r="V813" s="3">
        <v>61</v>
      </c>
      <c r="W813" s="3">
        <v>65</v>
      </c>
    </row>
    <row r="814" spans="1:23" ht="11.25" customHeight="1" x14ac:dyDescent="0.25">
      <c r="A814" s="3" t="s">
        <v>27</v>
      </c>
      <c r="B814" s="3" t="s">
        <v>22</v>
      </c>
      <c r="C814" s="3" t="s">
        <v>23</v>
      </c>
      <c r="D814" s="3" t="s">
        <v>24</v>
      </c>
      <c r="E814" s="3" t="s">
        <v>31</v>
      </c>
      <c r="F814" s="3" t="s">
        <v>25</v>
      </c>
      <c r="G814" s="3" t="s">
        <v>25</v>
      </c>
      <c r="H814" s="3" t="s">
        <v>25</v>
      </c>
      <c r="I814" s="6">
        <v>44805</v>
      </c>
      <c r="J814" s="4">
        <v>0</v>
      </c>
      <c r="K814" s="4">
        <v>0</v>
      </c>
      <c r="L814" s="4">
        <v>-0.69499999999999995</v>
      </c>
      <c r="M814" s="4">
        <v>-0.69499999999999995</v>
      </c>
      <c r="N814" s="4">
        <v>-0.69499999999999995</v>
      </c>
      <c r="O814" s="4">
        <v>-0.69499999999999995</v>
      </c>
      <c r="P814" s="4">
        <v>-3</v>
      </c>
      <c r="Q814" s="3" t="s">
        <v>26</v>
      </c>
      <c r="R814" s="3">
        <v>0</v>
      </c>
      <c r="S814" s="3" t="s">
        <v>234</v>
      </c>
      <c r="T814" s="3" t="s">
        <v>452</v>
      </c>
      <c r="U814" s="3">
        <v>0</v>
      </c>
      <c r="V814" s="3">
        <v>61</v>
      </c>
      <c r="W814" s="3">
        <v>65</v>
      </c>
    </row>
    <row r="815" spans="1:23" ht="11.25" customHeight="1" x14ac:dyDescent="0.25">
      <c r="A815" s="3" t="s">
        <v>55</v>
      </c>
      <c r="B815" s="3" t="s">
        <v>22</v>
      </c>
      <c r="C815" s="3" t="s">
        <v>23</v>
      </c>
      <c r="D815" s="3" t="s">
        <v>24</v>
      </c>
      <c r="E815" s="3" t="s">
        <v>31</v>
      </c>
      <c r="F815" s="3" t="s">
        <v>25</v>
      </c>
      <c r="G815" s="3" t="s">
        <v>25</v>
      </c>
      <c r="H815" s="3" t="s">
        <v>25</v>
      </c>
      <c r="I815" s="6">
        <v>44835</v>
      </c>
      <c r="J815" s="4">
        <v>0</v>
      </c>
      <c r="K815" s="4">
        <v>0</v>
      </c>
      <c r="L815" s="4">
        <v>2240.3069999999998</v>
      </c>
      <c r="M815" s="4">
        <v>2240.3069999999998</v>
      </c>
      <c r="N815" s="4">
        <v>2240.3069999999998</v>
      </c>
      <c r="O815" s="4">
        <v>2240.3069999999998</v>
      </c>
      <c r="P815" s="4">
        <v>10535</v>
      </c>
      <c r="Q815" s="3" t="s">
        <v>26</v>
      </c>
      <c r="R815" s="3">
        <v>0</v>
      </c>
      <c r="S815" s="3" t="s">
        <v>235</v>
      </c>
      <c r="T815" s="3" t="s">
        <v>453</v>
      </c>
      <c r="U815" s="3">
        <v>0</v>
      </c>
      <c r="V815" s="3">
        <v>61</v>
      </c>
      <c r="W815" s="3">
        <v>65</v>
      </c>
    </row>
    <row r="816" spans="1:23" ht="11.25" customHeight="1" x14ac:dyDescent="0.25">
      <c r="A816" s="3" t="s">
        <v>55</v>
      </c>
      <c r="B816" s="3" t="s">
        <v>22</v>
      </c>
      <c r="C816" s="3" t="s">
        <v>23</v>
      </c>
      <c r="D816" s="3" t="s">
        <v>24</v>
      </c>
      <c r="E816" s="3" t="s">
        <v>31</v>
      </c>
      <c r="F816" s="3" t="s">
        <v>25</v>
      </c>
      <c r="G816" s="3" t="s">
        <v>25</v>
      </c>
      <c r="H816" s="3" t="s">
        <v>25</v>
      </c>
      <c r="I816" s="6">
        <v>44835</v>
      </c>
      <c r="J816" s="4">
        <v>0</v>
      </c>
      <c r="K816" s="4">
        <v>0</v>
      </c>
      <c r="L816" s="4">
        <v>-0.69499999999999995</v>
      </c>
      <c r="M816" s="4">
        <v>-0.69499999999999995</v>
      </c>
      <c r="N816" s="4">
        <v>-0.69499999999999995</v>
      </c>
      <c r="O816" s="4">
        <v>-0.69499999999999995</v>
      </c>
      <c r="P816" s="4">
        <v>-3</v>
      </c>
      <c r="Q816" s="3" t="s">
        <v>26</v>
      </c>
      <c r="R816" s="3">
        <v>0</v>
      </c>
      <c r="S816" s="3" t="s">
        <v>235</v>
      </c>
      <c r="T816" s="3" t="s">
        <v>453</v>
      </c>
      <c r="U816" s="3">
        <v>0</v>
      </c>
      <c r="V816" s="3">
        <v>61</v>
      </c>
      <c r="W816" s="3">
        <v>65</v>
      </c>
    </row>
    <row r="817" spans="1:23" ht="11.25" customHeight="1" x14ac:dyDescent="0.25">
      <c r="A817" s="3" t="s">
        <v>21</v>
      </c>
      <c r="B817" s="3" t="s">
        <v>22</v>
      </c>
      <c r="C817" s="3" t="s">
        <v>23</v>
      </c>
      <c r="D817" s="3" t="s">
        <v>24</v>
      </c>
      <c r="E817" s="3" t="s">
        <v>32</v>
      </c>
      <c r="F817" s="3" t="s">
        <v>25</v>
      </c>
      <c r="G817" s="3" t="s">
        <v>25</v>
      </c>
      <c r="H817" s="3" t="s">
        <v>25</v>
      </c>
      <c r="I817" s="6">
        <v>44501</v>
      </c>
      <c r="J817" s="4">
        <v>0</v>
      </c>
      <c r="K817" s="4">
        <v>0</v>
      </c>
      <c r="L817" s="4">
        <v>2719.3229999999999</v>
      </c>
      <c r="M817" s="4">
        <v>2719.3229999999999</v>
      </c>
      <c r="N817" s="4">
        <v>2719.3229999999999</v>
      </c>
      <c r="O817" s="4">
        <v>2719.3229999999999</v>
      </c>
      <c r="P817" s="4">
        <v>13185</v>
      </c>
      <c r="Q817" s="3" t="s">
        <v>26</v>
      </c>
      <c r="R817" s="3">
        <v>0</v>
      </c>
      <c r="S817" s="3" t="s">
        <v>236</v>
      </c>
      <c r="T817" s="3" t="s">
        <v>454</v>
      </c>
      <c r="U817" s="3">
        <v>0</v>
      </c>
      <c r="V817" s="3">
        <v>12</v>
      </c>
      <c r="W817" s="3">
        <v>52</v>
      </c>
    </row>
    <row r="818" spans="1:23" ht="11.25" customHeight="1" x14ac:dyDescent="0.25">
      <c r="A818" s="3" t="s">
        <v>27</v>
      </c>
      <c r="B818" s="3" t="s">
        <v>22</v>
      </c>
      <c r="C818" s="3" t="s">
        <v>23</v>
      </c>
      <c r="D818" s="3" t="s">
        <v>24</v>
      </c>
      <c r="E818" s="3" t="s">
        <v>32</v>
      </c>
      <c r="F818" s="3" t="s">
        <v>25</v>
      </c>
      <c r="G818" s="3" t="s">
        <v>25</v>
      </c>
      <c r="H818" s="3" t="s">
        <v>25</v>
      </c>
      <c r="I818" s="6">
        <v>44501</v>
      </c>
      <c r="J818" s="4">
        <v>0</v>
      </c>
      <c r="K818" s="4">
        <v>0</v>
      </c>
      <c r="L818" s="4">
        <v>-6.7809999999999997</v>
      </c>
      <c r="M818" s="4">
        <v>-6.7809999999999997</v>
      </c>
      <c r="N818" s="4">
        <v>-6.7809999999999997</v>
      </c>
      <c r="O818" s="4">
        <v>-6.7809999999999997</v>
      </c>
      <c r="P818" s="4">
        <v>-13</v>
      </c>
      <c r="Q818" s="3" t="s">
        <v>26</v>
      </c>
      <c r="R818" s="3">
        <v>0</v>
      </c>
      <c r="S818" s="3" t="s">
        <v>236</v>
      </c>
      <c r="T818" s="3" t="s">
        <v>454</v>
      </c>
      <c r="U818" s="3">
        <v>0</v>
      </c>
      <c r="V818" s="3">
        <v>12</v>
      </c>
      <c r="W818" s="3">
        <v>52</v>
      </c>
    </row>
    <row r="819" spans="1:23" ht="11.25" customHeight="1" x14ac:dyDescent="0.25">
      <c r="A819" s="3" t="s">
        <v>21</v>
      </c>
      <c r="B819" s="3" t="s">
        <v>22</v>
      </c>
      <c r="C819" s="3" t="s">
        <v>23</v>
      </c>
      <c r="D819" s="3" t="s">
        <v>24</v>
      </c>
      <c r="E819" s="3" t="s">
        <v>32</v>
      </c>
      <c r="F819" s="3" t="s">
        <v>25</v>
      </c>
      <c r="G819" s="3" t="s">
        <v>25</v>
      </c>
      <c r="H819" s="3" t="s">
        <v>25</v>
      </c>
      <c r="I819" s="6">
        <v>44531</v>
      </c>
      <c r="J819" s="4">
        <v>0</v>
      </c>
      <c r="K819" s="4">
        <v>0</v>
      </c>
      <c r="L819" s="4">
        <v>2468.0030000000002</v>
      </c>
      <c r="M819" s="4">
        <v>2468.0030000000002</v>
      </c>
      <c r="N819" s="4">
        <v>2468.0030000000002</v>
      </c>
      <c r="O819" s="4">
        <v>2468.0030000000002</v>
      </c>
      <c r="P819" s="4">
        <v>12705</v>
      </c>
      <c r="Q819" s="3" t="s">
        <v>26</v>
      </c>
      <c r="R819" s="3">
        <v>0</v>
      </c>
      <c r="S819" s="3" t="s">
        <v>237</v>
      </c>
      <c r="T819" s="3" t="s">
        <v>455</v>
      </c>
      <c r="U819" s="3">
        <v>0</v>
      </c>
      <c r="V819" s="3">
        <v>12</v>
      </c>
      <c r="W819" s="3">
        <v>52</v>
      </c>
    </row>
    <row r="820" spans="1:23" ht="11.25" customHeight="1" x14ac:dyDescent="0.25">
      <c r="A820" s="3" t="s">
        <v>27</v>
      </c>
      <c r="B820" s="3" t="s">
        <v>22</v>
      </c>
      <c r="C820" s="3" t="s">
        <v>23</v>
      </c>
      <c r="D820" s="3" t="s">
        <v>24</v>
      </c>
      <c r="E820" s="3" t="s">
        <v>32</v>
      </c>
      <c r="F820" s="3" t="s">
        <v>25</v>
      </c>
      <c r="G820" s="3" t="s">
        <v>25</v>
      </c>
      <c r="H820" s="3" t="s">
        <v>25</v>
      </c>
      <c r="I820" s="6">
        <v>44531</v>
      </c>
      <c r="J820" s="4">
        <v>0</v>
      </c>
      <c r="K820" s="4">
        <v>0</v>
      </c>
      <c r="L820" s="4">
        <v>-2.0510000000000002</v>
      </c>
      <c r="M820" s="4">
        <v>-2.0510000000000002</v>
      </c>
      <c r="N820" s="4">
        <v>-2.0510000000000002</v>
      </c>
      <c r="O820" s="4">
        <v>-2.0510000000000002</v>
      </c>
      <c r="P820" s="4">
        <v>-4</v>
      </c>
      <c r="Q820" s="3" t="s">
        <v>26</v>
      </c>
      <c r="R820" s="3">
        <v>0</v>
      </c>
      <c r="S820" s="3" t="s">
        <v>237</v>
      </c>
      <c r="T820" s="3" t="s">
        <v>455</v>
      </c>
      <c r="U820" s="3">
        <v>0</v>
      </c>
      <c r="V820" s="3">
        <v>12</v>
      </c>
      <c r="W820" s="3">
        <v>52</v>
      </c>
    </row>
    <row r="821" spans="1:23" ht="11.25" customHeight="1" x14ac:dyDescent="0.25">
      <c r="A821" s="3" t="s">
        <v>21</v>
      </c>
      <c r="B821" s="3" t="s">
        <v>22</v>
      </c>
      <c r="C821" s="3" t="s">
        <v>23</v>
      </c>
      <c r="D821" s="3" t="s">
        <v>24</v>
      </c>
      <c r="E821" s="3" t="s">
        <v>32</v>
      </c>
      <c r="F821" s="3" t="s">
        <v>25</v>
      </c>
      <c r="G821" s="3" t="s">
        <v>25</v>
      </c>
      <c r="H821" s="3" t="s">
        <v>25</v>
      </c>
      <c r="I821" s="6">
        <v>44562</v>
      </c>
      <c r="J821" s="4">
        <v>0</v>
      </c>
      <c r="K821" s="4">
        <v>0</v>
      </c>
      <c r="L821" s="4">
        <v>2111.3409999999999</v>
      </c>
      <c r="M821" s="4">
        <v>2111.3409999999999</v>
      </c>
      <c r="N821" s="4">
        <v>2111.3409999999999</v>
      </c>
      <c r="O821" s="4">
        <v>2111.3409999999999</v>
      </c>
      <c r="P821" s="4">
        <v>11798</v>
      </c>
      <c r="Q821" s="3" t="s">
        <v>26</v>
      </c>
      <c r="R821" s="3">
        <v>0</v>
      </c>
      <c r="S821" s="3" t="s">
        <v>238</v>
      </c>
      <c r="T821" s="3" t="s">
        <v>456</v>
      </c>
      <c r="U821" s="3">
        <v>0</v>
      </c>
      <c r="V821" s="3">
        <v>12</v>
      </c>
      <c r="W821" s="3">
        <v>52</v>
      </c>
    </row>
    <row r="822" spans="1:23" ht="11.25" customHeight="1" x14ac:dyDescent="0.25">
      <c r="A822" s="3" t="s">
        <v>27</v>
      </c>
      <c r="B822" s="3" t="s">
        <v>22</v>
      </c>
      <c r="C822" s="3" t="s">
        <v>23</v>
      </c>
      <c r="D822" s="3" t="s">
        <v>24</v>
      </c>
      <c r="E822" s="3" t="s">
        <v>32</v>
      </c>
      <c r="F822" s="3" t="s">
        <v>25</v>
      </c>
      <c r="G822" s="3" t="s">
        <v>25</v>
      </c>
      <c r="H822" s="3" t="s">
        <v>25</v>
      </c>
      <c r="I822" s="6">
        <v>44562</v>
      </c>
      <c r="J822" s="4">
        <v>0</v>
      </c>
      <c r="K822" s="4">
        <v>0</v>
      </c>
      <c r="L822" s="4">
        <v>-5.3890000000000002</v>
      </c>
      <c r="M822" s="4">
        <v>-5.3890000000000002</v>
      </c>
      <c r="N822" s="4">
        <v>-5.3890000000000002</v>
      </c>
      <c r="O822" s="4">
        <v>-5.3890000000000002</v>
      </c>
      <c r="P822" s="4">
        <v>-3</v>
      </c>
      <c r="Q822" s="3" t="s">
        <v>26</v>
      </c>
      <c r="R822" s="3">
        <v>0</v>
      </c>
      <c r="S822" s="3" t="s">
        <v>238</v>
      </c>
      <c r="T822" s="3" t="s">
        <v>456</v>
      </c>
      <c r="U822" s="3">
        <v>0</v>
      </c>
      <c r="V822" s="3">
        <v>12</v>
      </c>
      <c r="W822" s="3">
        <v>52</v>
      </c>
    </row>
    <row r="823" spans="1:23" ht="11.25" customHeight="1" x14ac:dyDescent="0.25">
      <c r="A823" s="3" t="s">
        <v>21</v>
      </c>
      <c r="B823" s="3" t="s">
        <v>22</v>
      </c>
      <c r="C823" s="3" t="s">
        <v>23</v>
      </c>
      <c r="D823" s="3" t="s">
        <v>24</v>
      </c>
      <c r="E823" s="3" t="s">
        <v>32</v>
      </c>
      <c r="F823" s="3" t="s">
        <v>25</v>
      </c>
      <c r="G823" s="3" t="s">
        <v>25</v>
      </c>
      <c r="H823" s="3" t="s">
        <v>25</v>
      </c>
      <c r="I823" s="6">
        <v>44593</v>
      </c>
      <c r="J823" s="4">
        <v>0</v>
      </c>
      <c r="K823" s="4">
        <v>0</v>
      </c>
      <c r="L823" s="4">
        <v>2431.8009999999999</v>
      </c>
      <c r="M823" s="4">
        <v>2431.8009999999999</v>
      </c>
      <c r="N823" s="4">
        <v>2431.8009999999999</v>
      </c>
      <c r="O823" s="4">
        <v>2431.8009999999999</v>
      </c>
      <c r="P823" s="4">
        <v>12459</v>
      </c>
      <c r="Q823" s="3" t="s">
        <v>26</v>
      </c>
      <c r="R823" s="3">
        <v>0</v>
      </c>
      <c r="S823" s="3" t="s">
        <v>239</v>
      </c>
      <c r="T823" s="3" t="s">
        <v>457</v>
      </c>
      <c r="U823" s="3">
        <v>0</v>
      </c>
      <c r="V823" s="3">
        <v>12</v>
      </c>
      <c r="W823" s="3">
        <v>52</v>
      </c>
    </row>
    <row r="824" spans="1:23" ht="11.25" customHeight="1" x14ac:dyDescent="0.25">
      <c r="A824" s="3" t="s">
        <v>27</v>
      </c>
      <c r="B824" s="3" t="s">
        <v>22</v>
      </c>
      <c r="C824" s="3" t="s">
        <v>23</v>
      </c>
      <c r="D824" s="3" t="s">
        <v>24</v>
      </c>
      <c r="E824" s="3" t="s">
        <v>32</v>
      </c>
      <c r="F824" s="3" t="s">
        <v>25</v>
      </c>
      <c r="G824" s="3" t="s">
        <v>25</v>
      </c>
      <c r="H824" s="3" t="s">
        <v>25</v>
      </c>
      <c r="I824" s="6">
        <v>44593</v>
      </c>
      <c r="J824" s="4">
        <v>0</v>
      </c>
      <c r="K824" s="4">
        <v>0</v>
      </c>
      <c r="L824" s="4">
        <v>-1.526</v>
      </c>
      <c r="M824" s="4">
        <v>-1.526</v>
      </c>
      <c r="N824" s="4">
        <v>-1.526</v>
      </c>
      <c r="O824" s="4">
        <v>-1.526</v>
      </c>
      <c r="P824" s="4">
        <v>-4</v>
      </c>
      <c r="Q824" s="3" t="s">
        <v>26</v>
      </c>
      <c r="R824" s="3">
        <v>0</v>
      </c>
      <c r="S824" s="3" t="s">
        <v>239</v>
      </c>
      <c r="T824" s="3" t="s">
        <v>457</v>
      </c>
      <c r="U824" s="3">
        <v>0</v>
      </c>
      <c r="V824" s="3">
        <v>12</v>
      </c>
      <c r="W824" s="3">
        <v>52</v>
      </c>
    </row>
    <row r="825" spans="1:23" ht="11.25" customHeight="1" x14ac:dyDescent="0.25">
      <c r="A825" s="3" t="s">
        <v>21</v>
      </c>
      <c r="B825" s="3" t="s">
        <v>22</v>
      </c>
      <c r="C825" s="3" t="s">
        <v>23</v>
      </c>
      <c r="D825" s="3" t="s">
        <v>24</v>
      </c>
      <c r="E825" s="3" t="s">
        <v>32</v>
      </c>
      <c r="F825" s="3" t="s">
        <v>25</v>
      </c>
      <c r="G825" s="3" t="s">
        <v>25</v>
      </c>
      <c r="H825" s="3" t="s">
        <v>25</v>
      </c>
      <c r="I825" s="6">
        <v>44621</v>
      </c>
      <c r="J825" s="4">
        <v>0</v>
      </c>
      <c r="K825" s="4">
        <v>0</v>
      </c>
      <c r="L825" s="4">
        <v>2401.2710000000002</v>
      </c>
      <c r="M825" s="4">
        <v>2401.2710000000002</v>
      </c>
      <c r="N825" s="4">
        <v>2401.2710000000002</v>
      </c>
      <c r="O825" s="4">
        <v>2401.2710000000002</v>
      </c>
      <c r="P825" s="4">
        <v>12885</v>
      </c>
      <c r="Q825" s="3" t="s">
        <v>26</v>
      </c>
      <c r="R825" s="3">
        <v>0</v>
      </c>
      <c r="S825" s="3" t="s">
        <v>240</v>
      </c>
      <c r="T825" s="3" t="s">
        <v>458</v>
      </c>
      <c r="U825" s="3">
        <v>0</v>
      </c>
      <c r="V825" s="3">
        <v>12</v>
      </c>
      <c r="W825" s="3">
        <v>52</v>
      </c>
    </row>
    <row r="826" spans="1:23" ht="11.25" customHeight="1" x14ac:dyDescent="0.25">
      <c r="A826" s="3" t="s">
        <v>27</v>
      </c>
      <c r="B826" s="3" t="s">
        <v>22</v>
      </c>
      <c r="C826" s="3" t="s">
        <v>23</v>
      </c>
      <c r="D826" s="3" t="s">
        <v>24</v>
      </c>
      <c r="E826" s="3" t="s">
        <v>32</v>
      </c>
      <c r="F826" s="3" t="s">
        <v>25</v>
      </c>
      <c r="G826" s="3" t="s">
        <v>25</v>
      </c>
      <c r="H826" s="3" t="s">
        <v>25</v>
      </c>
      <c r="I826" s="6">
        <v>44621</v>
      </c>
      <c r="J826" s="4">
        <v>0</v>
      </c>
      <c r="K826" s="4">
        <v>0</v>
      </c>
      <c r="L826" s="4">
        <v>-1</v>
      </c>
      <c r="M826" s="4">
        <v>-1</v>
      </c>
      <c r="N826" s="4">
        <v>-1</v>
      </c>
      <c r="O826" s="4">
        <v>-1</v>
      </c>
      <c r="P826" s="4">
        <v>0</v>
      </c>
      <c r="Q826" s="3" t="s">
        <v>26</v>
      </c>
      <c r="R826" s="3">
        <v>0</v>
      </c>
      <c r="S826" s="3" t="s">
        <v>240</v>
      </c>
      <c r="T826" s="3" t="s">
        <v>458</v>
      </c>
      <c r="U826" s="3">
        <v>0</v>
      </c>
      <c r="V826" s="3">
        <v>12</v>
      </c>
      <c r="W826" s="3">
        <v>52</v>
      </c>
    </row>
    <row r="827" spans="1:23" ht="11.25" customHeight="1" x14ac:dyDescent="0.25">
      <c r="A827" s="3" t="s">
        <v>21</v>
      </c>
      <c r="B827" s="3" t="s">
        <v>22</v>
      </c>
      <c r="C827" s="3" t="s">
        <v>23</v>
      </c>
      <c r="D827" s="3" t="s">
        <v>24</v>
      </c>
      <c r="E827" s="3" t="s">
        <v>32</v>
      </c>
      <c r="F827" s="3" t="s">
        <v>25</v>
      </c>
      <c r="G827" s="3" t="s">
        <v>25</v>
      </c>
      <c r="H827" s="3" t="s">
        <v>25</v>
      </c>
      <c r="I827" s="6">
        <v>44652</v>
      </c>
      <c r="J827" s="4">
        <v>0</v>
      </c>
      <c r="K827" s="4">
        <v>0</v>
      </c>
      <c r="L827" s="4">
        <v>2401.2710000000002</v>
      </c>
      <c r="M827" s="4">
        <v>2401.2710000000002</v>
      </c>
      <c r="N827" s="4">
        <v>2401.2710000000002</v>
      </c>
      <c r="O827" s="4">
        <v>2401.2710000000002</v>
      </c>
      <c r="P827" s="4">
        <v>12885</v>
      </c>
      <c r="Q827" s="3" t="s">
        <v>26</v>
      </c>
      <c r="R827" s="3">
        <v>0</v>
      </c>
      <c r="S827" s="3" t="s">
        <v>241</v>
      </c>
      <c r="T827" s="3" t="s">
        <v>459</v>
      </c>
      <c r="U827" s="3">
        <v>0</v>
      </c>
      <c r="V827" s="3">
        <v>12</v>
      </c>
      <c r="W827" s="3">
        <v>52</v>
      </c>
    </row>
    <row r="828" spans="1:23" ht="11.25" customHeight="1" x14ac:dyDescent="0.25">
      <c r="A828" s="3" t="s">
        <v>27</v>
      </c>
      <c r="B828" s="3" t="s">
        <v>22</v>
      </c>
      <c r="C828" s="3" t="s">
        <v>23</v>
      </c>
      <c r="D828" s="3" t="s">
        <v>24</v>
      </c>
      <c r="E828" s="3" t="s">
        <v>32</v>
      </c>
      <c r="F828" s="3" t="s">
        <v>25</v>
      </c>
      <c r="G828" s="3" t="s">
        <v>25</v>
      </c>
      <c r="H828" s="3" t="s">
        <v>25</v>
      </c>
      <c r="I828" s="6">
        <v>44652</v>
      </c>
      <c r="J828" s="4">
        <v>0</v>
      </c>
      <c r="K828" s="4">
        <v>0</v>
      </c>
      <c r="L828" s="4">
        <v>-1</v>
      </c>
      <c r="M828" s="4">
        <v>-1</v>
      </c>
      <c r="N828" s="4">
        <v>-1</v>
      </c>
      <c r="O828" s="4">
        <v>-1</v>
      </c>
      <c r="P828" s="4">
        <v>0</v>
      </c>
      <c r="Q828" s="3" t="s">
        <v>26</v>
      </c>
      <c r="R828" s="3">
        <v>0</v>
      </c>
      <c r="S828" s="3" t="s">
        <v>241</v>
      </c>
      <c r="T828" s="3" t="s">
        <v>459</v>
      </c>
      <c r="U828" s="3">
        <v>0</v>
      </c>
      <c r="V828" s="3">
        <v>12</v>
      </c>
      <c r="W828" s="3">
        <v>52</v>
      </c>
    </row>
    <row r="829" spans="1:23" ht="11.25" customHeight="1" x14ac:dyDescent="0.25">
      <c r="A829" s="3" t="s">
        <v>21</v>
      </c>
      <c r="B829" s="3" t="s">
        <v>22</v>
      </c>
      <c r="C829" s="3" t="s">
        <v>23</v>
      </c>
      <c r="D829" s="3" t="s">
        <v>24</v>
      </c>
      <c r="E829" s="3" t="s">
        <v>32</v>
      </c>
      <c r="F829" s="3" t="s">
        <v>25</v>
      </c>
      <c r="G829" s="3" t="s">
        <v>25</v>
      </c>
      <c r="H829" s="3" t="s">
        <v>25</v>
      </c>
      <c r="I829" s="6">
        <v>44682</v>
      </c>
      <c r="J829" s="4">
        <v>0</v>
      </c>
      <c r="K829" s="4">
        <v>0</v>
      </c>
      <c r="L829" s="4">
        <v>2022.807</v>
      </c>
      <c r="M829" s="4">
        <v>2022.807</v>
      </c>
      <c r="N829" s="4">
        <v>2022.807</v>
      </c>
      <c r="O829" s="4">
        <v>2022.807</v>
      </c>
      <c r="P829" s="4">
        <v>11976</v>
      </c>
      <c r="Q829" s="3" t="s">
        <v>26</v>
      </c>
      <c r="R829" s="3">
        <v>0</v>
      </c>
      <c r="S829" s="3" t="s">
        <v>242</v>
      </c>
      <c r="T829" s="3" t="s">
        <v>460</v>
      </c>
      <c r="U829" s="3">
        <v>0</v>
      </c>
      <c r="V829" s="3">
        <v>12</v>
      </c>
      <c r="W829" s="3">
        <v>52</v>
      </c>
    </row>
    <row r="830" spans="1:23" ht="11.25" customHeight="1" x14ac:dyDescent="0.25">
      <c r="A830" s="3" t="s">
        <v>27</v>
      </c>
      <c r="B830" s="3" t="s">
        <v>22</v>
      </c>
      <c r="C830" s="3" t="s">
        <v>23</v>
      </c>
      <c r="D830" s="3" t="s">
        <v>24</v>
      </c>
      <c r="E830" s="3" t="s">
        <v>32</v>
      </c>
      <c r="F830" s="3" t="s">
        <v>25</v>
      </c>
      <c r="G830" s="3" t="s">
        <v>25</v>
      </c>
      <c r="H830" s="3" t="s">
        <v>25</v>
      </c>
      <c r="I830" s="6">
        <v>44682</v>
      </c>
      <c r="J830" s="4">
        <v>0</v>
      </c>
      <c r="K830" s="4">
        <v>0</v>
      </c>
      <c r="L830" s="4">
        <v>-9.1880000000000006</v>
      </c>
      <c r="M830" s="4">
        <v>-9.1880000000000006</v>
      </c>
      <c r="N830" s="4">
        <v>-9.1880000000000006</v>
      </c>
      <c r="O830" s="4">
        <v>-9.1880000000000006</v>
      </c>
      <c r="P830" s="4">
        <v>-12</v>
      </c>
      <c r="Q830" s="3" t="s">
        <v>26</v>
      </c>
      <c r="R830" s="3">
        <v>0</v>
      </c>
      <c r="S830" s="3" t="s">
        <v>242</v>
      </c>
      <c r="T830" s="3" t="s">
        <v>460</v>
      </c>
      <c r="U830" s="3">
        <v>0</v>
      </c>
      <c r="V830" s="3">
        <v>12</v>
      </c>
      <c r="W830" s="3">
        <v>52</v>
      </c>
    </row>
    <row r="831" spans="1:23" ht="11.25" customHeight="1" x14ac:dyDescent="0.25">
      <c r="A831" s="3" t="s">
        <v>21</v>
      </c>
      <c r="B831" s="3" t="s">
        <v>22</v>
      </c>
      <c r="C831" s="3" t="s">
        <v>23</v>
      </c>
      <c r="D831" s="3" t="s">
        <v>24</v>
      </c>
      <c r="E831" s="3" t="s">
        <v>32</v>
      </c>
      <c r="F831" s="3" t="s">
        <v>25</v>
      </c>
      <c r="G831" s="3" t="s">
        <v>25</v>
      </c>
      <c r="H831" s="3" t="s">
        <v>25</v>
      </c>
      <c r="I831" s="6">
        <v>44713</v>
      </c>
      <c r="J831" s="4">
        <v>0</v>
      </c>
      <c r="K831" s="4">
        <v>0</v>
      </c>
      <c r="L831" s="4">
        <v>1881.3389999999999</v>
      </c>
      <c r="M831" s="4">
        <v>1881.3389999999999</v>
      </c>
      <c r="N831" s="4">
        <v>1881.3389999999999</v>
      </c>
      <c r="O831" s="4">
        <v>1881.3389999999999</v>
      </c>
      <c r="P831" s="4">
        <v>11750</v>
      </c>
      <c r="Q831" s="3" t="s">
        <v>26</v>
      </c>
      <c r="R831" s="3">
        <v>0</v>
      </c>
      <c r="S831" s="3" t="s">
        <v>243</v>
      </c>
      <c r="T831" s="3" t="s">
        <v>461</v>
      </c>
      <c r="U831" s="3">
        <v>0</v>
      </c>
      <c r="V831" s="3">
        <v>12</v>
      </c>
      <c r="W831" s="3">
        <v>52</v>
      </c>
    </row>
    <row r="832" spans="1:23" ht="11.25" customHeight="1" x14ac:dyDescent="0.25">
      <c r="A832" s="3" t="s">
        <v>27</v>
      </c>
      <c r="B832" s="3" t="s">
        <v>22</v>
      </c>
      <c r="C832" s="3" t="s">
        <v>23</v>
      </c>
      <c r="D832" s="3" t="s">
        <v>24</v>
      </c>
      <c r="E832" s="3" t="s">
        <v>32</v>
      </c>
      <c r="F832" s="3" t="s">
        <v>25</v>
      </c>
      <c r="G832" s="3" t="s">
        <v>25</v>
      </c>
      <c r="H832" s="3" t="s">
        <v>25</v>
      </c>
      <c r="I832" s="6">
        <v>44713</v>
      </c>
      <c r="J832" s="4">
        <v>0</v>
      </c>
      <c r="K832" s="4">
        <v>0</v>
      </c>
      <c r="L832" s="4">
        <v>-1.528</v>
      </c>
      <c r="M832" s="4">
        <v>-1.528</v>
      </c>
      <c r="N832" s="4">
        <v>-1.528</v>
      </c>
      <c r="O832" s="4">
        <v>-1.528</v>
      </c>
      <c r="P832" s="4">
        <v>-4</v>
      </c>
      <c r="Q832" s="3" t="s">
        <v>26</v>
      </c>
      <c r="R832" s="3">
        <v>0</v>
      </c>
      <c r="S832" s="3" t="s">
        <v>243</v>
      </c>
      <c r="T832" s="3" t="s">
        <v>461</v>
      </c>
      <c r="U832" s="3">
        <v>0</v>
      </c>
      <c r="V832" s="3">
        <v>12</v>
      </c>
      <c r="W832" s="3">
        <v>52</v>
      </c>
    </row>
    <row r="833" spans="1:23" ht="11.25" customHeight="1" x14ac:dyDescent="0.25">
      <c r="A833" s="3" t="s">
        <v>21</v>
      </c>
      <c r="B833" s="3" t="s">
        <v>22</v>
      </c>
      <c r="C833" s="3" t="s">
        <v>23</v>
      </c>
      <c r="D833" s="3" t="s">
        <v>24</v>
      </c>
      <c r="E833" s="3" t="s">
        <v>32</v>
      </c>
      <c r="F833" s="3" t="s">
        <v>25</v>
      </c>
      <c r="G833" s="3" t="s">
        <v>25</v>
      </c>
      <c r="H833" s="3" t="s">
        <v>25</v>
      </c>
      <c r="I833" s="6">
        <v>44743</v>
      </c>
      <c r="J833" s="4">
        <v>0</v>
      </c>
      <c r="K833" s="4">
        <v>0</v>
      </c>
      <c r="L833" s="4">
        <v>2822.0010000000002</v>
      </c>
      <c r="M833" s="4">
        <v>2822.0010000000002</v>
      </c>
      <c r="N833" s="4">
        <v>2822.0010000000002</v>
      </c>
      <c r="O833" s="4">
        <v>2822.0010000000002</v>
      </c>
      <c r="P833" s="4">
        <v>11437</v>
      </c>
      <c r="Q833" s="3" t="s">
        <v>26</v>
      </c>
      <c r="R833" s="3">
        <v>0</v>
      </c>
      <c r="S833" s="3" t="s">
        <v>244</v>
      </c>
      <c r="T833" s="3" t="s">
        <v>462</v>
      </c>
      <c r="U833" s="3">
        <v>0</v>
      </c>
      <c r="V833" s="3">
        <v>12</v>
      </c>
      <c r="W833" s="3">
        <v>52</v>
      </c>
    </row>
    <row r="834" spans="1:23" ht="11.25" customHeight="1" x14ac:dyDescent="0.25">
      <c r="A834" s="3" t="s">
        <v>27</v>
      </c>
      <c r="B834" s="3" t="s">
        <v>22</v>
      </c>
      <c r="C834" s="3" t="s">
        <v>23</v>
      </c>
      <c r="D834" s="3" t="s">
        <v>24</v>
      </c>
      <c r="E834" s="3" t="s">
        <v>32</v>
      </c>
      <c r="F834" s="3" t="s">
        <v>25</v>
      </c>
      <c r="G834" s="3" t="s">
        <v>25</v>
      </c>
      <c r="H834" s="3" t="s">
        <v>25</v>
      </c>
      <c r="I834" s="6">
        <v>44743</v>
      </c>
      <c r="J834" s="4">
        <v>0</v>
      </c>
      <c r="K834" s="4">
        <v>0</v>
      </c>
      <c r="L834" s="4">
        <v>-1.2849999999999999</v>
      </c>
      <c r="M834" s="4">
        <v>-1.2849999999999999</v>
      </c>
      <c r="N834" s="4">
        <v>-1.2849999999999999</v>
      </c>
      <c r="O834" s="4">
        <v>-1.2849999999999999</v>
      </c>
      <c r="P834" s="4">
        <v>-4</v>
      </c>
      <c r="Q834" s="3" t="s">
        <v>26</v>
      </c>
      <c r="R834" s="3">
        <v>0</v>
      </c>
      <c r="S834" s="3" t="s">
        <v>244</v>
      </c>
      <c r="T834" s="3" t="s">
        <v>462</v>
      </c>
      <c r="U834" s="3">
        <v>0</v>
      </c>
      <c r="V834" s="3">
        <v>12</v>
      </c>
      <c r="W834" s="3">
        <v>52</v>
      </c>
    </row>
    <row r="835" spans="1:23" ht="11.25" customHeight="1" x14ac:dyDescent="0.25">
      <c r="A835" s="3" t="s">
        <v>21</v>
      </c>
      <c r="B835" s="3" t="s">
        <v>22</v>
      </c>
      <c r="C835" s="3" t="s">
        <v>23</v>
      </c>
      <c r="D835" s="3" t="s">
        <v>24</v>
      </c>
      <c r="E835" s="3" t="s">
        <v>32</v>
      </c>
      <c r="F835" s="3" t="s">
        <v>25</v>
      </c>
      <c r="G835" s="3" t="s">
        <v>25</v>
      </c>
      <c r="H835" s="3" t="s">
        <v>25</v>
      </c>
      <c r="I835" s="6">
        <v>44774</v>
      </c>
      <c r="J835" s="4">
        <v>0</v>
      </c>
      <c r="K835" s="4">
        <v>0</v>
      </c>
      <c r="L835" s="4">
        <v>2604.6489999999999</v>
      </c>
      <c r="M835" s="4">
        <v>2604.6489999999999</v>
      </c>
      <c r="N835" s="4">
        <v>2604.6489999999999</v>
      </c>
      <c r="O835" s="4">
        <v>2604.6489999999999</v>
      </c>
      <c r="P835" s="4">
        <v>13729</v>
      </c>
      <c r="Q835" s="3" t="s">
        <v>26</v>
      </c>
      <c r="R835" s="3">
        <v>0</v>
      </c>
      <c r="S835" s="3" t="s">
        <v>245</v>
      </c>
      <c r="T835" s="3" t="s">
        <v>463</v>
      </c>
      <c r="U835" s="3">
        <v>0</v>
      </c>
      <c r="V835" s="3">
        <v>12</v>
      </c>
      <c r="W835" s="3">
        <v>52</v>
      </c>
    </row>
    <row r="836" spans="1:23" ht="11.25" customHeight="1" x14ac:dyDescent="0.25">
      <c r="A836" s="3" t="s">
        <v>27</v>
      </c>
      <c r="B836" s="3" t="s">
        <v>22</v>
      </c>
      <c r="C836" s="3" t="s">
        <v>23</v>
      </c>
      <c r="D836" s="3" t="s">
        <v>24</v>
      </c>
      <c r="E836" s="3" t="s">
        <v>32</v>
      </c>
      <c r="F836" s="3" t="s">
        <v>25</v>
      </c>
      <c r="G836" s="3" t="s">
        <v>25</v>
      </c>
      <c r="H836" s="3" t="s">
        <v>25</v>
      </c>
      <c r="I836" s="6">
        <v>44774</v>
      </c>
      <c r="J836" s="4">
        <v>0</v>
      </c>
      <c r="K836" s="4">
        <v>0</v>
      </c>
      <c r="L836" s="4">
        <v>-1002.128</v>
      </c>
      <c r="M836" s="4">
        <v>-1002.128</v>
      </c>
      <c r="N836" s="4">
        <v>-1002.128</v>
      </c>
      <c r="O836" s="4">
        <v>-1002.128</v>
      </c>
      <c r="P836" s="4">
        <v>-3</v>
      </c>
      <c r="Q836" s="3" t="s">
        <v>26</v>
      </c>
      <c r="R836" s="3">
        <v>0</v>
      </c>
      <c r="S836" s="3" t="s">
        <v>245</v>
      </c>
      <c r="T836" s="3" t="s">
        <v>463</v>
      </c>
      <c r="U836" s="3">
        <v>0</v>
      </c>
      <c r="V836" s="3">
        <v>12</v>
      </c>
      <c r="W836" s="3">
        <v>52</v>
      </c>
    </row>
    <row r="837" spans="1:23" ht="11.25" customHeight="1" x14ac:dyDescent="0.25">
      <c r="A837" s="3" t="s">
        <v>21</v>
      </c>
      <c r="B837" s="3" t="s">
        <v>22</v>
      </c>
      <c r="C837" s="3" t="s">
        <v>23</v>
      </c>
      <c r="D837" s="3" t="s">
        <v>24</v>
      </c>
      <c r="E837" s="3" t="s">
        <v>32</v>
      </c>
      <c r="F837" s="3" t="s">
        <v>25</v>
      </c>
      <c r="G837" s="3" t="s">
        <v>25</v>
      </c>
      <c r="H837" s="3" t="s">
        <v>25</v>
      </c>
      <c r="I837" s="6">
        <v>44805</v>
      </c>
      <c r="J837" s="4">
        <v>0</v>
      </c>
      <c r="K837" s="4">
        <v>0</v>
      </c>
      <c r="L837" s="4">
        <v>2634.4989999999998</v>
      </c>
      <c r="M837" s="4">
        <v>2634.4989999999998</v>
      </c>
      <c r="N837" s="4">
        <v>2634.4989999999998</v>
      </c>
      <c r="O837" s="4">
        <v>2634.4989999999998</v>
      </c>
      <c r="P837" s="4">
        <v>13544</v>
      </c>
      <c r="Q837" s="3" t="s">
        <v>26</v>
      </c>
      <c r="R837" s="3">
        <v>0</v>
      </c>
      <c r="S837" s="3" t="s">
        <v>246</v>
      </c>
      <c r="T837" s="3" t="s">
        <v>464</v>
      </c>
      <c r="U837" s="3">
        <v>0</v>
      </c>
      <c r="V837" s="3">
        <v>12</v>
      </c>
      <c r="W837" s="3">
        <v>52</v>
      </c>
    </row>
    <row r="838" spans="1:23" ht="11.25" customHeight="1" x14ac:dyDescent="0.25">
      <c r="A838" s="3" t="s">
        <v>27</v>
      </c>
      <c r="B838" s="3" t="s">
        <v>22</v>
      </c>
      <c r="C838" s="3" t="s">
        <v>23</v>
      </c>
      <c r="D838" s="3" t="s">
        <v>24</v>
      </c>
      <c r="E838" s="3" t="s">
        <v>32</v>
      </c>
      <c r="F838" s="3" t="s">
        <v>25</v>
      </c>
      <c r="G838" s="3" t="s">
        <v>25</v>
      </c>
      <c r="H838" s="3" t="s">
        <v>25</v>
      </c>
      <c r="I838" s="6">
        <v>44805</v>
      </c>
      <c r="J838" s="4">
        <v>0</v>
      </c>
      <c r="K838" s="4">
        <v>0</v>
      </c>
      <c r="L838" s="4">
        <v>-2.8319999999999999</v>
      </c>
      <c r="M838" s="4">
        <v>-2.8319999999999999</v>
      </c>
      <c r="N838" s="4">
        <v>-2.8319999999999999</v>
      </c>
      <c r="O838" s="4">
        <v>-2.8319999999999999</v>
      </c>
      <c r="P838" s="4">
        <v>-5</v>
      </c>
      <c r="Q838" s="3" t="s">
        <v>26</v>
      </c>
      <c r="R838" s="3">
        <v>0</v>
      </c>
      <c r="S838" s="3" t="s">
        <v>246</v>
      </c>
      <c r="T838" s="3" t="s">
        <v>464</v>
      </c>
      <c r="U838" s="3">
        <v>0</v>
      </c>
      <c r="V838" s="3">
        <v>12</v>
      </c>
      <c r="W838" s="3">
        <v>52</v>
      </c>
    </row>
    <row r="839" spans="1:23" ht="11.25" customHeight="1" x14ac:dyDescent="0.25">
      <c r="A839" s="3" t="s">
        <v>55</v>
      </c>
      <c r="B839" s="3" t="s">
        <v>22</v>
      </c>
      <c r="C839" s="3" t="s">
        <v>23</v>
      </c>
      <c r="D839" s="3" t="s">
        <v>24</v>
      </c>
      <c r="E839" s="3" t="s">
        <v>32</v>
      </c>
      <c r="F839" s="3" t="s">
        <v>25</v>
      </c>
      <c r="G839" s="3" t="s">
        <v>25</v>
      </c>
      <c r="H839" s="3" t="s">
        <v>25</v>
      </c>
      <c r="I839" s="6">
        <v>44835</v>
      </c>
      <c r="J839" s="4">
        <v>0</v>
      </c>
      <c r="K839" s="4">
        <v>0</v>
      </c>
      <c r="L839" s="4">
        <v>2634.4989999999998</v>
      </c>
      <c r="M839" s="4">
        <v>2634.4989999999998</v>
      </c>
      <c r="N839" s="4">
        <v>2634.4989999999998</v>
      </c>
      <c r="O839" s="4">
        <v>2634.4989999999998</v>
      </c>
      <c r="P839" s="4">
        <v>13544</v>
      </c>
      <c r="Q839" s="3" t="s">
        <v>26</v>
      </c>
      <c r="R839" s="3">
        <v>0</v>
      </c>
      <c r="S839" s="3" t="s">
        <v>247</v>
      </c>
      <c r="T839" s="3" t="s">
        <v>465</v>
      </c>
      <c r="U839" s="3">
        <v>0</v>
      </c>
      <c r="V839" s="3">
        <v>12</v>
      </c>
      <c r="W839" s="3">
        <v>52</v>
      </c>
    </row>
    <row r="840" spans="1:23" ht="11.25" customHeight="1" x14ac:dyDescent="0.25">
      <c r="A840" s="3" t="s">
        <v>55</v>
      </c>
      <c r="B840" s="3" t="s">
        <v>22</v>
      </c>
      <c r="C840" s="3" t="s">
        <v>23</v>
      </c>
      <c r="D840" s="3" t="s">
        <v>24</v>
      </c>
      <c r="E840" s="3" t="s">
        <v>32</v>
      </c>
      <c r="F840" s="3" t="s">
        <v>25</v>
      </c>
      <c r="G840" s="3" t="s">
        <v>25</v>
      </c>
      <c r="H840" s="3" t="s">
        <v>25</v>
      </c>
      <c r="I840" s="6">
        <v>44835</v>
      </c>
      <c r="J840" s="4">
        <v>0</v>
      </c>
      <c r="K840" s="4">
        <v>0</v>
      </c>
      <c r="L840" s="4">
        <v>-2.8319999999999999</v>
      </c>
      <c r="M840" s="4">
        <v>-2.8319999999999999</v>
      </c>
      <c r="N840" s="4">
        <v>-2.8319999999999999</v>
      </c>
      <c r="O840" s="4">
        <v>-2.8319999999999999</v>
      </c>
      <c r="P840" s="4">
        <v>-5</v>
      </c>
      <c r="Q840" s="3" t="s">
        <v>26</v>
      </c>
      <c r="R840" s="3">
        <v>0</v>
      </c>
      <c r="S840" s="3" t="s">
        <v>247</v>
      </c>
      <c r="T840" s="3" t="s">
        <v>465</v>
      </c>
      <c r="U840" s="3">
        <v>0</v>
      </c>
      <c r="V840" s="3">
        <v>12</v>
      </c>
      <c r="W840" s="3">
        <v>52</v>
      </c>
    </row>
    <row r="841" spans="1:23" ht="11.25" customHeight="1" x14ac:dyDescent="0.25">
      <c r="A841" s="3" t="s">
        <v>21</v>
      </c>
      <c r="B841" s="3" t="s">
        <v>43</v>
      </c>
      <c r="C841" s="3" t="s">
        <v>33</v>
      </c>
      <c r="D841" s="3" t="s">
        <v>44</v>
      </c>
      <c r="E841" s="3" t="s">
        <v>25</v>
      </c>
      <c r="F841" s="3" t="s">
        <v>25</v>
      </c>
      <c r="G841" s="3" t="s">
        <v>25</v>
      </c>
      <c r="H841" s="3" t="s">
        <v>35</v>
      </c>
      <c r="I841" s="6">
        <v>44501</v>
      </c>
      <c r="J841" s="4">
        <v>0</v>
      </c>
      <c r="K841" s="4">
        <v>0</v>
      </c>
      <c r="L841" s="4">
        <v>0.129</v>
      </c>
      <c r="M841" s="4">
        <v>0.129</v>
      </c>
      <c r="N841" s="4">
        <v>0.129</v>
      </c>
      <c r="O841" s="4">
        <v>0.129</v>
      </c>
      <c r="P841" s="4">
        <v>0</v>
      </c>
      <c r="Q841" s="3" t="s">
        <v>26</v>
      </c>
      <c r="R841" s="3">
        <v>0</v>
      </c>
      <c r="S841" s="3" t="s">
        <v>248</v>
      </c>
      <c r="T841" s="3" t="s">
        <v>466</v>
      </c>
      <c r="U841" s="3">
        <v>0</v>
      </c>
      <c r="V841" s="3">
        <v>70</v>
      </c>
      <c r="W841" s="3">
        <v>69</v>
      </c>
    </row>
    <row r="842" spans="1:23" ht="11.25" customHeight="1" x14ac:dyDescent="0.25">
      <c r="A842" s="3" t="s">
        <v>21</v>
      </c>
      <c r="B842" s="3" t="s">
        <v>43</v>
      </c>
      <c r="C842" s="3" t="s">
        <v>33</v>
      </c>
      <c r="D842" s="3" t="s">
        <v>44</v>
      </c>
      <c r="E842" s="3" t="s">
        <v>25</v>
      </c>
      <c r="F842" s="3" t="s">
        <v>25</v>
      </c>
      <c r="G842" s="3" t="s">
        <v>25</v>
      </c>
      <c r="H842" s="3" t="s">
        <v>35</v>
      </c>
      <c r="I842" s="6">
        <v>44531</v>
      </c>
      <c r="J842" s="4">
        <v>0</v>
      </c>
      <c r="K842" s="4">
        <v>0</v>
      </c>
      <c r="L842" s="4">
        <v>0.115</v>
      </c>
      <c r="M842" s="4">
        <v>0.115</v>
      </c>
      <c r="N842" s="4">
        <v>0.115</v>
      </c>
      <c r="O842" s="4">
        <v>0.115</v>
      </c>
      <c r="P842" s="4">
        <v>0</v>
      </c>
      <c r="Q842" s="3" t="s">
        <v>26</v>
      </c>
      <c r="R842" s="3">
        <v>0</v>
      </c>
      <c r="S842" s="3" t="s">
        <v>249</v>
      </c>
      <c r="T842" s="3" t="s">
        <v>467</v>
      </c>
      <c r="U842" s="3">
        <v>0</v>
      </c>
      <c r="V842" s="3">
        <v>70</v>
      </c>
      <c r="W842" s="3">
        <v>69</v>
      </c>
    </row>
    <row r="843" spans="1:23" ht="11.25" customHeight="1" x14ac:dyDescent="0.25">
      <c r="A843" s="3" t="s">
        <v>21</v>
      </c>
      <c r="B843" s="3" t="s">
        <v>43</v>
      </c>
      <c r="C843" s="3" t="s">
        <v>33</v>
      </c>
      <c r="D843" s="3" t="s">
        <v>44</v>
      </c>
      <c r="E843" s="3" t="s">
        <v>25</v>
      </c>
      <c r="F843" s="3" t="s">
        <v>25</v>
      </c>
      <c r="G843" s="3" t="s">
        <v>25</v>
      </c>
      <c r="H843" s="3" t="s">
        <v>35</v>
      </c>
      <c r="I843" s="6">
        <v>44562</v>
      </c>
      <c r="J843" s="4">
        <v>0</v>
      </c>
      <c r="K843" s="4">
        <v>0</v>
      </c>
      <c r="L843" s="4">
        <v>0.17699999999999999</v>
      </c>
      <c r="M843" s="4">
        <v>0.17699999999999999</v>
      </c>
      <c r="N843" s="4">
        <v>0.17699999999999999</v>
      </c>
      <c r="O843" s="4">
        <v>0.17699999999999999</v>
      </c>
      <c r="P843" s="4">
        <v>0</v>
      </c>
      <c r="Q843" s="3" t="s">
        <v>26</v>
      </c>
      <c r="R843" s="3">
        <v>0</v>
      </c>
      <c r="S843" s="3" t="s">
        <v>250</v>
      </c>
      <c r="T843" s="3" t="s">
        <v>468</v>
      </c>
      <c r="U843" s="3">
        <v>0</v>
      </c>
      <c r="V843" s="3">
        <v>70</v>
      </c>
      <c r="W843" s="3">
        <v>69</v>
      </c>
    </row>
    <row r="844" spans="1:23" ht="11.25" customHeight="1" x14ac:dyDescent="0.25">
      <c r="A844" s="3" t="s">
        <v>21</v>
      </c>
      <c r="B844" s="3" t="s">
        <v>43</v>
      </c>
      <c r="C844" s="3" t="s">
        <v>33</v>
      </c>
      <c r="D844" s="3" t="s">
        <v>44</v>
      </c>
      <c r="E844" s="3" t="s">
        <v>25</v>
      </c>
      <c r="F844" s="3" t="s">
        <v>25</v>
      </c>
      <c r="G844" s="3" t="s">
        <v>25</v>
      </c>
      <c r="H844" s="3" t="s">
        <v>35</v>
      </c>
      <c r="I844" s="6">
        <v>44593</v>
      </c>
      <c r="J844" s="4">
        <v>0</v>
      </c>
      <c r="K844" s="4">
        <v>0</v>
      </c>
      <c r="L844" s="4">
        <v>0.13400000000000001</v>
      </c>
      <c r="M844" s="4">
        <v>0.13400000000000001</v>
      </c>
      <c r="N844" s="4">
        <v>0.13400000000000001</v>
      </c>
      <c r="O844" s="4">
        <v>0.13400000000000001</v>
      </c>
      <c r="P844" s="4">
        <v>0</v>
      </c>
      <c r="Q844" s="3" t="s">
        <v>26</v>
      </c>
      <c r="R844" s="3">
        <v>0</v>
      </c>
      <c r="S844" s="3" t="s">
        <v>251</v>
      </c>
      <c r="T844" s="3" t="s">
        <v>469</v>
      </c>
      <c r="U844" s="3">
        <v>0</v>
      </c>
      <c r="V844" s="3">
        <v>70</v>
      </c>
      <c r="W844" s="3">
        <v>69</v>
      </c>
    </row>
    <row r="845" spans="1:23" ht="11.25" customHeight="1" x14ac:dyDescent="0.25">
      <c r="A845" s="3" t="s">
        <v>21</v>
      </c>
      <c r="B845" s="3" t="s">
        <v>43</v>
      </c>
      <c r="C845" s="3" t="s">
        <v>33</v>
      </c>
      <c r="D845" s="3" t="s">
        <v>44</v>
      </c>
      <c r="E845" s="3" t="s">
        <v>25</v>
      </c>
      <c r="F845" s="3" t="s">
        <v>25</v>
      </c>
      <c r="G845" s="3" t="s">
        <v>25</v>
      </c>
      <c r="H845" s="3" t="s">
        <v>35</v>
      </c>
      <c r="I845" s="6">
        <v>44621</v>
      </c>
      <c r="J845" s="4">
        <v>0</v>
      </c>
      <c r="K845" s="4">
        <v>0</v>
      </c>
      <c r="L845" s="4">
        <v>0.11700000000000001</v>
      </c>
      <c r="M845" s="4">
        <v>0.11700000000000001</v>
      </c>
      <c r="N845" s="4">
        <v>0.11700000000000001</v>
      </c>
      <c r="O845" s="4">
        <v>0.11700000000000001</v>
      </c>
      <c r="P845" s="4">
        <v>0</v>
      </c>
      <c r="Q845" s="3" t="s">
        <v>26</v>
      </c>
      <c r="R845" s="3">
        <v>0</v>
      </c>
      <c r="S845" s="3" t="s">
        <v>252</v>
      </c>
      <c r="T845" s="3" t="s">
        <v>470</v>
      </c>
      <c r="U845" s="3">
        <v>0</v>
      </c>
      <c r="V845" s="3">
        <v>70</v>
      </c>
      <c r="W845" s="3">
        <v>69</v>
      </c>
    </row>
    <row r="846" spans="1:23" ht="11.25" customHeight="1" x14ac:dyDescent="0.25">
      <c r="A846" s="3" t="s">
        <v>21</v>
      </c>
      <c r="B846" s="3" t="s">
        <v>43</v>
      </c>
      <c r="C846" s="3" t="s">
        <v>33</v>
      </c>
      <c r="D846" s="3" t="s">
        <v>44</v>
      </c>
      <c r="E846" s="3" t="s">
        <v>25</v>
      </c>
      <c r="F846" s="3" t="s">
        <v>25</v>
      </c>
      <c r="G846" s="3" t="s">
        <v>25</v>
      </c>
      <c r="H846" s="3" t="s">
        <v>35</v>
      </c>
      <c r="I846" s="6">
        <v>44652</v>
      </c>
      <c r="J846" s="4">
        <v>0</v>
      </c>
      <c r="K846" s="4">
        <v>0</v>
      </c>
      <c r="L846" s="4">
        <v>0.11700000000000001</v>
      </c>
      <c r="M846" s="4">
        <v>0.11700000000000001</v>
      </c>
      <c r="N846" s="4">
        <v>0.11700000000000001</v>
      </c>
      <c r="O846" s="4">
        <v>0.11700000000000001</v>
      </c>
      <c r="P846" s="4">
        <v>0</v>
      </c>
      <c r="Q846" s="3" t="s">
        <v>26</v>
      </c>
      <c r="R846" s="3">
        <v>0</v>
      </c>
      <c r="S846" s="3" t="s">
        <v>253</v>
      </c>
      <c r="T846" s="3" t="s">
        <v>471</v>
      </c>
      <c r="U846" s="3">
        <v>0</v>
      </c>
      <c r="V846" s="3">
        <v>70</v>
      </c>
      <c r="W846" s="3">
        <v>69</v>
      </c>
    </row>
    <row r="847" spans="1:23" ht="11.25" customHeight="1" x14ac:dyDescent="0.25">
      <c r="A847" s="3" t="s">
        <v>21</v>
      </c>
      <c r="B847" s="3" t="s">
        <v>43</v>
      </c>
      <c r="C847" s="3" t="s">
        <v>33</v>
      </c>
      <c r="D847" s="3" t="s">
        <v>44</v>
      </c>
      <c r="E847" s="3" t="s">
        <v>25</v>
      </c>
      <c r="F847" s="3" t="s">
        <v>25</v>
      </c>
      <c r="G847" s="3" t="s">
        <v>25</v>
      </c>
      <c r="H847" s="3" t="s">
        <v>35</v>
      </c>
      <c r="I847" s="6">
        <v>44682</v>
      </c>
      <c r="J847" s="4">
        <v>0</v>
      </c>
      <c r="K847" s="4">
        <v>0</v>
      </c>
      <c r="L847" s="4">
        <v>0.127</v>
      </c>
      <c r="M847" s="4">
        <v>0.127</v>
      </c>
      <c r="N847" s="4">
        <v>0.127</v>
      </c>
      <c r="O847" s="4">
        <v>0.127</v>
      </c>
      <c r="P847" s="4">
        <v>0</v>
      </c>
      <c r="Q847" s="3" t="s">
        <v>26</v>
      </c>
      <c r="R847" s="3">
        <v>0</v>
      </c>
      <c r="S847" s="3" t="s">
        <v>254</v>
      </c>
      <c r="T847" s="3" t="s">
        <v>472</v>
      </c>
      <c r="U847" s="3">
        <v>0</v>
      </c>
      <c r="V847" s="3">
        <v>70</v>
      </c>
      <c r="W847" s="3">
        <v>69</v>
      </c>
    </row>
    <row r="848" spans="1:23" ht="11.25" customHeight="1" x14ac:dyDescent="0.25">
      <c r="A848" s="3" t="s">
        <v>21</v>
      </c>
      <c r="B848" s="3" t="s">
        <v>43</v>
      </c>
      <c r="C848" s="3" t="s">
        <v>33</v>
      </c>
      <c r="D848" s="3" t="s">
        <v>44</v>
      </c>
      <c r="E848" s="3" t="s">
        <v>25</v>
      </c>
      <c r="F848" s="3" t="s">
        <v>25</v>
      </c>
      <c r="G848" s="3" t="s">
        <v>25</v>
      </c>
      <c r="H848" s="3" t="s">
        <v>36</v>
      </c>
      <c r="I848" s="6">
        <v>44501</v>
      </c>
      <c r="J848" s="4">
        <v>0</v>
      </c>
      <c r="K848" s="4">
        <v>0</v>
      </c>
      <c r="L848" s="4">
        <v>0.01</v>
      </c>
      <c r="M848" s="4">
        <v>0.01</v>
      </c>
      <c r="N848" s="4">
        <v>0.01</v>
      </c>
      <c r="O848" s="4">
        <v>0.01</v>
      </c>
      <c r="P848" s="4">
        <v>0</v>
      </c>
      <c r="Q848" s="3" t="s">
        <v>26</v>
      </c>
      <c r="R848" s="3">
        <v>0</v>
      </c>
      <c r="S848" s="3" t="s">
        <v>255</v>
      </c>
      <c r="T848" s="3" t="s">
        <v>473</v>
      </c>
      <c r="U848" s="3">
        <v>0</v>
      </c>
      <c r="V848" s="3">
        <v>22</v>
      </c>
      <c r="W848" s="3">
        <v>47</v>
      </c>
    </row>
    <row r="849" spans="1:23" ht="11.25" customHeight="1" x14ac:dyDescent="0.25">
      <c r="A849" s="3" t="s">
        <v>21</v>
      </c>
      <c r="B849" s="3" t="s">
        <v>43</v>
      </c>
      <c r="C849" s="3" t="s">
        <v>33</v>
      </c>
      <c r="D849" s="3" t="s">
        <v>44</v>
      </c>
      <c r="E849" s="3" t="s">
        <v>25</v>
      </c>
      <c r="F849" s="3" t="s">
        <v>25</v>
      </c>
      <c r="G849" s="3" t="s">
        <v>25</v>
      </c>
      <c r="H849" s="3" t="s">
        <v>36</v>
      </c>
      <c r="I849" s="6">
        <v>44531</v>
      </c>
      <c r="J849" s="4">
        <v>0</v>
      </c>
      <c r="K849" s="4">
        <v>0</v>
      </c>
      <c r="L849" s="4">
        <v>8.9999999999999993E-3</v>
      </c>
      <c r="M849" s="4">
        <v>8.9999999999999993E-3</v>
      </c>
      <c r="N849" s="4">
        <v>8.9999999999999993E-3</v>
      </c>
      <c r="O849" s="4">
        <v>8.9999999999999993E-3</v>
      </c>
      <c r="P849" s="4">
        <v>0</v>
      </c>
      <c r="Q849" s="3" t="s">
        <v>26</v>
      </c>
      <c r="R849" s="3">
        <v>0</v>
      </c>
      <c r="S849" s="3" t="s">
        <v>256</v>
      </c>
      <c r="T849" s="3" t="s">
        <v>474</v>
      </c>
      <c r="U849" s="3">
        <v>0</v>
      </c>
      <c r="V849" s="3">
        <v>22</v>
      </c>
      <c r="W849" s="3">
        <v>47</v>
      </c>
    </row>
    <row r="850" spans="1:23" ht="11.25" customHeight="1" x14ac:dyDescent="0.25">
      <c r="A850" s="3" t="s">
        <v>21</v>
      </c>
      <c r="B850" s="3" t="s">
        <v>43</v>
      </c>
      <c r="C850" s="3" t="s">
        <v>33</v>
      </c>
      <c r="D850" s="3" t="s">
        <v>44</v>
      </c>
      <c r="E850" s="3" t="s">
        <v>25</v>
      </c>
      <c r="F850" s="3" t="s">
        <v>25</v>
      </c>
      <c r="G850" s="3" t="s">
        <v>25</v>
      </c>
      <c r="H850" s="3" t="s">
        <v>36</v>
      </c>
      <c r="I850" s="6">
        <v>44562</v>
      </c>
      <c r="J850" s="4">
        <v>0</v>
      </c>
      <c r="K850" s="4">
        <v>0</v>
      </c>
      <c r="L850" s="4">
        <v>1.2999999999999999E-2</v>
      </c>
      <c r="M850" s="4">
        <v>1.2999999999999999E-2</v>
      </c>
      <c r="N850" s="4">
        <v>1.2999999999999999E-2</v>
      </c>
      <c r="O850" s="4">
        <v>1.2999999999999999E-2</v>
      </c>
      <c r="P850" s="4">
        <v>0</v>
      </c>
      <c r="Q850" s="3" t="s">
        <v>26</v>
      </c>
      <c r="R850" s="3">
        <v>0</v>
      </c>
      <c r="S850" s="3" t="s">
        <v>257</v>
      </c>
      <c r="T850" s="3" t="s">
        <v>475</v>
      </c>
      <c r="U850" s="3">
        <v>0</v>
      </c>
      <c r="V850" s="3">
        <v>22</v>
      </c>
      <c r="W850" s="3">
        <v>47</v>
      </c>
    </row>
    <row r="851" spans="1:23" ht="11.25" customHeight="1" x14ac:dyDescent="0.25">
      <c r="A851" s="3" t="s">
        <v>21</v>
      </c>
      <c r="B851" s="3" t="s">
        <v>43</v>
      </c>
      <c r="C851" s="3" t="s">
        <v>33</v>
      </c>
      <c r="D851" s="3" t="s">
        <v>44</v>
      </c>
      <c r="E851" s="3" t="s">
        <v>25</v>
      </c>
      <c r="F851" s="3" t="s">
        <v>25</v>
      </c>
      <c r="G851" s="3" t="s">
        <v>25</v>
      </c>
      <c r="H851" s="3" t="s">
        <v>36</v>
      </c>
      <c r="I851" s="6">
        <v>44593</v>
      </c>
      <c r="J851" s="4">
        <v>0</v>
      </c>
      <c r="K851" s="4">
        <v>0</v>
      </c>
      <c r="L851" s="4">
        <v>1.2E-2</v>
      </c>
      <c r="M851" s="4">
        <v>1.2E-2</v>
      </c>
      <c r="N851" s="4">
        <v>1.2E-2</v>
      </c>
      <c r="O851" s="4">
        <v>1.2E-2</v>
      </c>
      <c r="P851" s="4">
        <v>0</v>
      </c>
      <c r="Q851" s="3" t="s">
        <v>26</v>
      </c>
      <c r="R851" s="3">
        <v>0</v>
      </c>
      <c r="S851" s="3" t="s">
        <v>258</v>
      </c>
      <c r="T851" s="3" t="s">
        <v>476</v>
      </c>
      <c r="U851" s="3">
        <v>0</v>
      </c>
      <c r="V851" s="3">
        <v>22</v>
      </c>
      <c r="W851" s="3">
        <v>47</v>
      </c>
    </row>
    <row r="852" spans="1:23" ht="11.25" customHeight="1" x14ac:dyDescent="0.25">
      <c r="A852" s="3" t="s">
        <v>21</v>
      </c>
      <c r="B852" s="3" t="s">
        <v>43</v>
      </c>
      <c r="C852" s="3" t="s">
        <v>33</v>
      </c>
      <c r="D852" s="3" t="s">
        <v>44</v>
      </c>
      <c r="E852" s="3" t="s">
        <v>25</v>
      </c>
      <c r="F852" s="3" t="s">
        <v>25</v>
      </c>
      <c r="G852" s="3" t="s">
        <v>25</v>
      </c>
      <c r="H852" s="3" t="s">
        <v>36</v>
      </c>
      <c r="I852" s="6">
        <v>44621</v>
      </c>
      <c r="J852" s="4">
        <v>0</v>
      </c>
      <c r="K852" s="4">
        <v>0</v>
      </c>
      <c r="L852" s="4">
        <v>0.01</v>
      </c>
      <c r="M852" s="4">
        <v>0.01</v>
      </c>
      <c r="N852" s="4">
        <v>0.01</v>
      </c>
      <c r="O852" s="4">
        <v>0.01</v>
      </c>
      <c r="P852" s="4">
        <v>0</v>
      </c>
      <c r="Q852" s="3" t="s">
        <v>26</v>
      </c>
      <c r="R852" s="3">
        <v>0</v>
      </c>
      <c r="S852" s="3" t="s">
        <v>259</v>
      </c>
      <c r="T852" s="3" t="s">
        <v>477</v>
      </c>
      <c r="U852" s="3">
        <v>0</v>
      </c>
      <c r="V852" s="3">
        <v>22</v>
      </c>
      <c r="W852" s="3">
        <v>47</v>
      </c>
    </row>
    <row r="853" spans="1:23" ht="11.25" customHeight="1" x14ac:dyDescent="0.25">
      <c r="A853" s="3" t="s">
        <v>21</v>
      </c>
      <c r="B853" s="3" t="s">
        <v>43</v>
      </c>
      <c r="C853" s="3" t="s">
        <v>33</v>
      </c>
      <c r="D853" s="3" t="s">
        <v>44</v>
      </c>
      <c r="E853" s="3" t="s">
        <v>25</v>
      </c>
      <c r="F853" s="3" t="s">
        <v>25</v>
      </c>
      <c r="G853" s="3" t="s">
        <v>25</v>
      </c>
      <c r="H853" s="3" t="s">
        <v>36</v>
      </c>
      <c r="I853" s="6">
        <v>44652</v>
      </c>
      <c r="J853" s="4">
        <v>0</v>
      </c>
      <c r="K853" s="4">
        <v>0</v>
      </c>
      <c r="L853" s="4">
        <v>0.01</v>
      </c>
      <c r="M853" s="4">
        <v>0.01</v>
      </c>
      <c r="N853" s="4">
        <v>0.01</v>
      </c>
      <c r="O853" s="4">
        <v>0.01</v>
      </c>
      <c r="P853" s="4">
        <v>0</v>
      </c>
      <c r="Q853" s="3" t="s">
        <v>26</v>
      </c>
      <c r="R853" s="3">
        <v>0</v>
      </c>
      <c r="S853" s="3" t="s">
        <v>260</v>
      </c>
      <c r="T853" s="3" t="s">
        <v>478</v>
      </c>
      <c r="U853" s="3">
        <v>0</v>
      </c>
      <c r="V853" s="3">
        <v>22</v>
      </c>
      <c r="W853" s="3">
        <v>47</v>
      </c>
    </row>
    <row r="854" spans="1:23" ht="11.25" customHeight="1" x14ac:dyDescent="0.25">
      <c r="A854" s="3" t="s">
        <v>21</v>
      </c>
      <c r="B854" s="3" t="s">
        <v>43</v>
      </c>
      <c r="C854" s="3" t="s">
        <v>33</v>
      </c>
      <c r="D854" s="3" t="s">
        <v>44</v>
      </c>
      <c r="E854" s="3" t="s">
        <v>25</v>
      </c>
      <c r="F854" s="3" t="s">
        <v>25</v>
      </c>
      <c r="G854" s="3" t="s">
        <v>25</v>
      </c>
      <c r="H854" s="3" t="s">
        <v>36</v>
      </c>
      <c r="I854" s="6">
        <v>44682</v>
      </c>
      <c r="J854" s="4">
        <v>0</v>
      </c>
      <c r="K854" s="4">
        <v>0</v>
      </c>
      <c r="L854" s="4">
        <v>1.0999999999999999E-2</v>
      </c>
      <c r="M854" s="4">
        <v>1.0999999999999999E-2</v>
      </c>
      <c r="N854" s="4">
        <v>1.0999999999999999E-2</v>
      </c>
      <c r="O854" s="4">
        <v>1.0999999999999999E-2</v>
      </c>
      <c r="P854" s="4">
        <v>0</v>
      </c>
      <c r="Q854" s="3" t="s">
        <v>26</v>
      </c>
      <c r="R854" s="3">
        <v>0</v>
      </c>
      <c r="S854" s="3" t="s">
        <v>261</v>
      </c>
      <c r="T854" s="3" t="s">
        <v>479</v>
      </c>
      <c r="U854" s="3">
        <v>0</v>
      </c>
      <c r="V854" s="3">
        <v>22</v>
      </c>
      <c r="W854" s="3">
        <v>47</v>
      </c>
    </row>
    <row r="855" spans="1:23" ht="11.25" customHeight="1" x14ac:dyDescent="0.25">
      <c r="A855" s="3" t="s">
        <v>21</v>
      </c>
      <c r="B855" s="3" t="s">
        <v>43</v>
      </c>
      <c r="C855" s="3" t="s">
        <v>33</v>
      </c>
      <c r="D855" s="3" t="s">
        <v>44</v>
      </c>
      <c r="E855" s="3" t="s">
        <v>25</v>
      </c>
      <c r="F855" s="3" t="s">
        <v>25</v>
      </c>
      <c r="G855" s="3" t="s">
        <v>25</v>
      </c>
      <c r="H855" s="3" t="s">
        <v>34</v>
      </c>
      <c r="I855" s="6">
        <v>44501</v>
      </c>
      <c r="J855" s="4">
        <v>0</v>
      </c>
      <c r="K855" s="4">
        <v>0</v>
      </c>
      <c r="L855" s="4">
        <v>1.4999999999999999E-2</v>
      </c>
      <c r="M855" s="4">
        <v>1.4999999999999999E-2</v>
      </c>
      <c r="N855" s="4">
        <v>1.4999999999999999E-2</v>
      </c>
      <c r="O855" s="4">
        <v>1.4999999999999999E-2</v>
      </c>
      <c r="P855" s="4">
        <v>0</v>
      </c>
      <c r="Q855" s="3" t="s">
        <v>26</v>
      </c>
      <c r="R855" s="3">
        <v>0</v>
      </c>
      <c r="S855" s="3" t="s">
        <v>262</v>
      </c>
      <c r="T855" s="3" t="s">
        <v>480</v>
      </c>
      <c r="U855" s="3">
        <v>0</v>
      </c>
      <c r="V855" s="3">
        <v>14</v>
      </c>
      <c r="W855" s="3">
        <v>62</v>
      </c>
    </row>
    <row r="856" spans="1:23" ht="11.25" customHeight="1" x14ac:dyDescent="0.25">
      <c r="A856" s="3" t="s">
        <v>21</v>
      </c>
      <c r="B856" s="3" t="s">
        <v>43</v>
      </c>
      <c r="C856" s="3" t="s">
        <v>33</v>
      </c>
      <c r="D856" s="3" t="s">
        <v>44</v>
      </c>
      <c r="E856" s="3" t="s">
        <v>25</v>
      </c>
      <c r="F856" s="3" t="s">
        <v>25</v>
      </c>
      <c r="G856" s="3" t="s">
        <v>25</v>
      </c>
      <c r="H856" s="3" t="s">
        <v>34</v>
      </c>
      <c r="I856" s="6">
        <v>44531</v>
      </c>
      <c r="J856" s="4">
        <v>0</v>
      </c>
      <c r="K856" s="4">
        <v>0</v>
      </c>
      <c r="L856" s="4">
        <v>1.2999999999999999E-2</v>
      </c>
      <c r="M856" s="4">
        <v>1.2999999999999999E-2</v>
      </c>
      <c r="N856" s="4">
        <v>1.2999999999999999E-2</v>
      </c>
      <c r="O856" s="4">
        <v>1.2999999999999999E-2</v>
      </c>
      <c r="P856" s="4">
        <v>0</v>
      </c>
      <c r="Q856" s="3" t="s">
        <v>26</v>
      </c>
      <c r="R856" s="3">
        <v>0</v>
      </c>
      <c r="S856" s="3" t="s">
        <v>263</v>
      </c>
      <c r="T856" s="3" t="s">
        <v>481</v>
      </c>
      <c r="U856" s="3">
        <v>0</v>
      </c>
      <c r="V856" s="3">
        <v>14</v>
      </c>
      <c r="W856" s="3">
        <v>62</v>
      </c>
    </row>
    <row r="857" spans="1:23" ht="11.25" customHeight="1" x14ac:dyDescent="0.25">
      <c r="A857" s="3" t="s">
        <v>21</v>
      </c>
      <c r="B857" s="3" t="s">
        <v>43</v>
      </c>
      <c r="C857" s="3" t="s">
        <v>33</v>
      </c>
      <c r="D857" s="3" t="s">
        <v>44</v>
      </c>
      <c r="E857" s="3" t="s">
        <v>25</v>
      </c>
      <c r="F857" s="3" t="s">
        <v>25</v>
      </c>
      <c r="G857" s="3" t="s">
        <v>25</v>
      </c>
      <c r="H857" s="3" t="s">
        <v>34</v>
      </c>
      <c r="I857" s="6">
        <v>44562</v>
      </c>
      <c r="J857" s="4">
        <v>0</v>
      </c>
      <c r="K857" s="4">
        <v>0</v>
      </c>
      <c r="L857" s="4">
        <v>1.9E-2</v>
      </c>
      <c r="M857" s="4">
        <v>1.9E-2</v>
      </c>
      <c r="N857" s="4">
        <v>1.9E-2</v>
      </c>
      <c r="O857" s="4">
        <v>1.9E-2</v>
      </c>
      <c r="P857" s="4">
        <v>0</v>
      </c>
      <c r="Q857" s="3" t="s">
        <v>26</v>
      </c>
      <c r="R857" s="3">
        <v>0</v>
      </c>
      <c r="S857" s="3" t="s">
        <v>264</v>
      </c>
      <c r="T857" s="3" t="s">
        <v>482</v>
      </c>
      <c r="U857" s="3">
        <v>0</v>
      </c>
      <c r="V857" s="3">
        <v>14</v>
      </c>
      <c r="W857" s="3">
        <v>62</v>
      </c>
    </row>
    <row r="858" spans="1:23" ht="11.25" customHeight="1" x14ac:dyDescent="0.25">
      <c r="A858" s="3" t="s">
        <v>21</v>
      </c>
      <c r="B858" s="3" t="s">
        <v>43</v>
      </c>
      <c r="C858" s="3" t="s">
        <v>33</v>
      </c>
      <c r="D858" s="3" t="s">
        <v>44</v>
      </c>
      <c r="E858" s="3" t="s">
        <v>25</v>
      </c>
      <c r="F858" s="3" t="s">
        <v>25</v>
      </c>
      <c r="G858" s="3" t="s">
        <v>25</v>
      </c>
      <c r="H858" s="3" t="s">
        <v>34</v>
      </c>
      <c r="I858" s="6">
        <v>44593</v>
      </c>
      <c r="J858" s="4">
        <v>0</v>
      </c>
      <c r="K858" s="4">
        <v>0</v>
      </c>
      <c r="L858" s="4">
        <v>1.7999999999999999E-2</v>
      </c>
      <c r="M858" s="4">
        <v>1.7999999999999999E-2</v>
      </c>
      <c r="N858" s="4">
        <v>1.7999999999999999E-2</v>
      </c>
      <c r="O858" s="4">
        <v>1.7999999999999999E-2</v>
      </c>
      <c r="P858" s="4">
        <v>0</v>
      </c>
      <c r="Q858" s="3" t="s">
        <v>26</v>
      </c>
      <c r="R858" s="3">
        <v>0</v>
      </c>
      <c r="S858" s="3" t="s">
        <v>265</v>
      </c>
      <c r="T858" s="3" t="s">
        <v>483</v>
      </c>
      <c r="U858" s="3">
        <v>0</v>
      </c>
      <c r="V858" s="3">
        <v>14</v>
      </c>
      <c r="W858" s="3">
        <v>62</v>
      </c>
    </row>
    <row r="859" spans="1:23" ht="11.25" customHeight="1" x14ac:dyDescent="0.25">
      <c r="A859" s="3" t="s">
        <v>21</v>
      </c>
      <c r="B859" s="3" t="s">
        <v>43</v>
      </c>
      <c r="C859" s="3" t="s">
        <v>33</v>
      </c>
      <c r="D859" s="3" t="s">
        <v>44</v>
      </c>
      <c r="E859" s="3" t="s">
        <v>25</v>
      </c>
      <c r="F859" s="3" t="s">
        <v>25</v>
      </c>
      <c r="G859" s="3" t="s">
        <v>25</v>
      </c>
      <c r="H859" s="3" t="s">
        <v>34</v>
      </c>
      <c r="I859" s="6">
        <v>44621</v>
      </c>
      <c r="J859" s="4">
        <v>0</v>
      </c>
      <c r="K859" s="4">
        <v>0</v>
      </c>
      <c r="L859" s="4">
        <v>1.4999999999999999E-2</v>
      </c>
      <c r="M859" s="4">
        <v>1.4999999999999999E-2</v>
      </c>
      <c r="N859" s="4">
        <v>1.4999999999999999E-2</v>
      </c>
      <c r="O859" s="4">
        <v>1.4999999999999999E-2</v>
      </c>
      <c r="P859" s="4">
        <v>0</v>
      </c>
      <c r="Q859" s="3" t="s">
        <v>26</v>
      </c>
      <c r="R859" s="3">
        <v>0</v>
      </c>
      <c r="S859" s="3" t="s">
        <v>266</v>
      </c>
      <c r="T859" s="3" t="s">
        <v>484</v>
      </c>
      <c r="U859" s="3">
        <v>0</v>
      </c>
      <c r="V859" s="3">
        <v>14</v>
      </c>
      <c r="W859" s="3">
        <v>62</v>
      </c>
    </row>
    <row r="860" spans="1:23" ht="11.25" customHeight="1" x14ac:dyDescent="0.25">
      <c r="A860" s="3" t="s">
        <v>21</v>
      </c>
      <c r="B860" s="3" t="s">
        <v>43</v>
      </c>
      <c r="C860" s="3" t="s">
        <v>33</v>
      </c>
      <c r="D860" s="3" t="s">
        <v>44</v>
      </c>
      <c r="E860" s="3" t="s">
        <v>25</v>
      </c>
      <c r="F860" s="3" t="s">
        <v>25</v>
      </c>
      <c r="G860" s="3" t="s">
        <v>25</v>
      </c>
      <c r="H860" s="3" t="s">
        <v>34</v>
      </c>
      <c r="I860" s="6">
        <v>44652</v>
      </c>
      <c r="J860" s="4">
        <v>0</v>
      </c>
      <c r="K860" s="4">
        <v>0</v>
      </c>
      <c r="L860" s="4">
        <v>1.4999999999999999E-2</v>
      </c>
      <c r="M860" s="4">
        <v>1.4999999999999999E-2</v>
      </c>
      <c r="N860" s="4">
        <v>1.4999999999999999E-2</v>
      </c>
      <c r="O860" s="4">
        <v>1.4999999999999999E-2</v>
      </c>
      <c r="P860" s="4">
        <v>0</v>
      </c>
      <c r="Q860" s="3" t="s">
        <v>26</v>
      </c>
      <c r="R860" s="3">
        <v>0</v>
      </c>
      <c r="S860" s="3" t="s">
        <v>267</v>
      </c>
      <c r="T860" s="3" t="s">
        <v>485</v>
      </c>
      <c r="U860" s="3">
        <v>0</v>
      </c>
      <c r="V860" s="3">
        <v>14</v>
      </c>
      <c r="W860" s="3">
        <v>62</v>
      </c>
    </row>
    <row r="861" spans="1:23" ht="11.25" customHeight="1" x14ac:dyDescent="0.25">
      <c r="A861" s="3" t="s">
        <v>21</v>
      </c>
      <c r="B861" s="3" t="s">
        <v>43</v>
      </c>
      <c r="C861" s="3" t="s">
        <v>33</v>
      </c>
      <c r="D861" s="3" t="s">
        <v>44</v>
      </c>
      <c r="E861" s="3" t="s">
        <v>25</v>
      </c>
      <c r="F861" s="3" t="s">
        <v>25</v>
      </c>
      <c r="G861" s="3" t="s">
        <v>25</v>
      </c>
      <c r="H861" s="3" t="s">
        <v>34</v>
      </c>
      <c r="I861" s="6">
        <v>44682</v>
      </c>
      <c r="J861" s="4">
        <v>0</v>
      </c>
      <c r="K861" s="4">
        <v>0</v>
      </c>
      <c r="L861" s="4">
        <v>1.7000000000000001E-2</v>
      </c>
      <c r="M861" s="4">
        <v>1.7000000000000001E-2</v>
      </c>
      <c r="N861" s="4">
        <v>1.7000000000000001E-2</v>
      </c>
      <c r="O861" s="4">
        <v>1.7000000000000001E-2</v>
      </c>
      <c r="P861" s="4">
        <v>0</v>
      </c>
      <c r="Q861" s="3" t="s">
        <v>26</v>
      </c>
      <c r="R861" s="3">
        <v>0</v>
      </c>
      <c r="S861" s="3" t="s">
        <v>268</v>
      </c>
      <c r="T861" s="3" t="s">
        <v>486</v>
      </c>
      <c r="U861" s="3">
        <v>0</v>
      </c>
      <c r="V861" s="3">
        <v>14</v>
      </c>
      <c r="W861" s="3">
        <v>62</v>
      </c>
    </row>
    <row r="862" spans="1:23" ht="11.25" customHeight="1" x14ac:dyDescent="0.25">
      <c r="A862" s="3" t="s">
        <v>21</v>
      </c>
      <c r="B862" s="3" t="s">
        <v>43</v>
      </c>
      <c r="C862" s="3" t="s">
        <v>23</v>
      </c>
      <c r="D862" s="3" t="s">
        <v>44</v>
      </c>
      <c r="E862" s="3" t="s">
        <v>52</v>
      </c>
      <c r="F862" s="3" t="s">
        <v>53</v>
      </c>
      <c r="G862" s="3" t="s">
        <v>25</v>
      </c>
      <c r="H862" s="3" t="s">
        <v>25</v>
      </c>
      <c r="I862" s="6">
        <v>44501</v>
      </c>
      <c r="J862" s="4">
        <v>0</v>
      </c>
      <c r="K862" s="4">
        <v>0</v>
      </c>
      <c r="L862" s="4">
        <v>33.698999999999998</v>
      </c>
      <c r="M862" s="4">
        <v>33.698999999999998</v>
      </c>
      <c r="N862" s="4">
        <v>33.698999999999998</v>
      </c>
      <c r="O862" s="4">
        <v>33.698999999999998</v>
      </c>
      <c r="P862" s="4">
        <v>0</v>
      </c>
      <c r="Q862" s="3" t="s">
        <v>26</v>
      </c>
      <c r="R862" s="3">
        <v>0</v>
      </c>
      <c r="S862" s="3" t="s">
        <v>269</v>
      </c>
      <c r="T862" s="3" t="s">
        <v>487</v>
      </c>
      <c r="U862" s="3">
        <v>0</v>
      </c>
      <c r="V862" s="3">
        <v>25</v>
      </c>
      <c r="W862" s="3">
        <v>77</v>
      </c>
    </row>
    <row r="863" spans="1:23" ht="11.25" customHeight="1" x14ac:dyDescent="0.25">
      <c r="A863" s="3" t="s">
        <v>21</v>
      </c>
      <c r="B863" s="3" t="s">
        <v>43</v>
      </c>
      <c r="C863" s="3" t="s">
        <v>23</v>
      </c>
      <c r="D863" s="3" t="s">
        <v>44</v>
      </c>
      <c r="E863" s="3" t="s">
        <v>52</v>
      </c>
      <c r="F863" s="3" t="s">
        <v>53</v>
      </c>
      <c r="G863" s="3" t="s">
        <v>25</v>
      </c>
      <c r="H863" s="3" t="s">
        <v>25</v>
      </c>
      <c r="I863" s="6">
        <v>44531</v>
      </c>
      <c r="J863" s="4">
        <v>0</v>
      </c>
      <c r="K863" s="4">
        <v>0</v>
      </c>
      <c r="L863" s="4">
        <v>27.946999999999999</v>
      </c>
      <c r="M863" s="4">
        <v>27.946999999999999</v>
      </c>
      <c r="N863" s="4">
        <v>27.946999999999999</v>
      </c>
      <c r="O863" s="4">
        <v>27.946999999999999</v>
      </c>
      <c r="P863" s="4">
        <v>0</v>
      </c>
      <c r="Q863" s="3" t="s">
        <v>26</v>
      </c>
      <c r="R863" s="3">
        <v>0</v>
      </c>
      <c r="S863" s="3" t="s">
        <v>270</v>
      </c>
      <c r="T863" s="3" t="s">
        <v>488</v>
      </c>
      <c r="U863" s="3">
        <v>0</v>
      </c>
      <c r="V863" s="3">
        <v>25</v>
      </c>
      <c r="W863" s="3">
        <v>77</v>
      </c>
    </row>
    <row r="864" spans="1:23" ht="11.25" customHeight="1" x14ac:dyDescent="0.25">
      <c r="A864" s="3" t="s">
        <v>21</v>
      </c>
      <c r="B864" s="3" t="s">
        <v>43</v>
      </c>
      <c r="C864" s="3" t="s">
        <v>23</v>
      </c>
      <c r="D864" s="3" t="s">
        <v>44</v>
      </c>
      <c r="E864" s="3" t="s">
        <v>52</v>
      </c>
      <c r="F864" s="3" t="s">
        <v>53</v>
      </c>
      <c r="G864" s="3" t="s">
        <v>25</v>
      </c>
      <c r="H864" s="3" t="s">
        <v>25</v>
      </c>
      <c r="I864" s="6">
        <v>44562</v>
      </c>
      <c r="J864" s="4">
        <v>0</v>
      </c>
      <c r="K864" s="4">
        <v>0</v>
      </c>
      <c r="L864" s="4">
        <v>52.139000000000003</v>
      </c>
      <c r="M864" s="4">
        <v>52.139000000000003</v>
      </c>
      <c r="N864" s="4">
        <v>52.139000000000003</v>
      </c>
      <c r="O864" s="4">
        <v>52.139000000000003</v>
      </c>
      <c r="P864" s="4">
        <v>0</v>
      </c>
      <c r="Q864" s="3" t="s">
        <v>26</v>
      </c>
      <c r="R864" s="3">
        <v>0</v>
      </c>
      <c r="S864" s="3" t="s">
        <v>271</v>
      </c>
      <c r="T864" s="3" t="s">
        <v>489</v>
      </c>
      <c r="U864" s="3">
        <v>0</v>
      </c>
      <c r="V864" s="3">
        <v>25</v>
      </c>
      <c r="W864" s="3">
        <v>77</v>
      </c>
    </row>
    <row r="865" spans="1:23" ht="11.25" customHeight="1" x14ac:dyDescent="0.25">
      <c r="A865" s="3" t="s">
        <v>21</v>
      </c>
      <c r="B865" s="3" t="s">
        <v>43</v>
      </c>
      <c r="C865" s="3" t="s">
        <v>23</v>
      </c>
      <c r="D865" s="3" t="s">
        <v>44</v>
      </c>
      <c r="E865" s="3" t="s">
        <v>52</v>
      </c>
      <c r="F865" s="3" t="s">
        <v>53</v>
      </c>
      <c r="G865" s="3" t="s">
        <v>25</v>
      </c>
      <c r="H865" s="3" t="s">
        <v>25</v>
      </c>
      <c r="I865" s="6">
        <v>44593</v>
      </c>
      <c r="J865" s="4">
        <v>0</v>
      </c>
      <c r="K865" s="4">
        <v>0</v>
      </c>
      <c r="L865" s="4">
        <v>56.188000000000002</v>
      </c>
      <c r="M865" s="4">
        <v>56.188000000000002</v>
      </c>
      <c r="N865" s="4">
        <v>56.188000000000002</v>
      </c>
      <c r="O865" s="4">
        <v>56.188000000000002</v>
      </c>
      <c r="P865" s="4">
        <v>0</v>
      </c>
      <c r="Q865" s="3" t="s">
        <v>26</v>
      </c>
      <c r="R865" s="3">
        <v>0</v>
      </c>
      <c r="S865" s="3" t="s">
        <v>272</v>
      </c>
      <c r="T865" s="3" t="s">
        <v>490</v>
      </c>
      <c r="U865" s="3">
        <v>0</v>
      </c>
      <c r="V865" s="3">
        <v>25</v>
      </c>
      <c r="W865" s="3">
        <v>77</v>
      </c>
    </row>
    <row r="866" spans="1:23" ht="11.25" customHeight="1" x14ac:dyDescent="0.25">
      <c r="A866" s="3" t="s">
        <v>21</v>
      </c>
      <c r="B866" s="3" t="s">
        <v>43</v>
      </c>
      <c r="C866" s="3" t="s">
        <v>23</v>
      </c>
      <c r="D866" s="3" t="s">
        <v>44</v>
      </c>
      <c r="E866" s="3" t="s">
        <v>52</v>
      </c>
      <c r="F866" s="3" t="s">
        <v>53</v>
      </c>
      <c r="G866" s="3" t="s">
        <v>25</v>
      </c>
      <c r="H866" s="3" t="s">
        <v>25</v>
      </c>
      <c r="I866" s="6">
        <v>44621</v>
      </c>
      <c r="J866" s="4">
        <v>0</v>
      </c>
      <c r="K866" s="4">
        <v>0</v>
      </c>
      <c r="L866" s="4">
        <v>23.486000000000001</v>
      </c>
      <c r="M866" s="4">
        <v>23.486000000000001</v>
      </c>
      <c r="N866" s="4">
        <v>23.486000000000001</v>
      </c>
      <c r="O866" s="4">
        <v>23.486000000000001</v>
      </c>
      <c r="P866" s="4">
        <v>0</v>
      </c>
      <c r="Q866" s="3" t="s">
        <v>26</v>
      </c>
      <c r="R866" s="3">
        <v>0</v>
      </c>
      <c r="S866" s="3" t="s">
        <v>273</v>
      </c>
      <c r="T866" s="3" t="s">
        <v>491</v>
      </c>
      <c r="U866" s="3">
        <v>0</v>
      </c>
      <c r="V866" s="3">
        <v>25</v>
      </c>
      <c r="W866" s="3">
        <v>77</v>
      </c>
    </row>
    <row r="867" spans="1:23" ht="11.25" customHeight="1" x14ac:dyDescent="0.25">
      <c r="A867" s="3" t="s">
        <v>27</v>
      </c>
      <c r="B867" s="3" t="s">
        <v>43</v>
      </c>
      <c r="C867" s="3" t="s">
        <v>23</v>
      </c>
      <c r="D867" s="3" t="s">
        <v>44</v>
      </c>
      <c r="E867" s="3" t="s">
        <v>52</v>
      </c>
      <c r="F867" s="3" t="s">
        <v>53</v>
      </c>
      <c r="G867" s="3" t="s">
        <v>25</v>
      </c>
      <c r="H867" s="3" t="s">
        <v>25</v>
      </c>
      <c r="I867" s="6">
        <v>44621</v>
      </c>
      <c r="J867" s="4">
        <v>0</v>
      </c>
      <c r="K867" s="4">
        <v>0</v>
      </c>
      <c r="L867" s="4">
        <v>-7.391</v>
      </c>
      <c r="M867" s="4">
        <v>-7.391</v>
      </c>
      <c r="N867" s="4">
        <v>-7.391</v>
      </c>
      <c r="O867" s="4">
        <v>-7.391</v>
      </c>
      <c r="P867" s="4">
        <v>0</v>
      </c>
      <c r="Q867" s="3" t="s">
        <v>26</v>
      </c>
      <c r="R867" s="3">
        <v>0</v>
      </c>
      <c r="S867" s="3" t="s">
        <v>273</v>
      </c>
      <c r="T867" s="3" t="s">
        <v>491</v>
      </c>
      <c r="U867" s="3">
        <v>0</v>
      </c>
      <c r="V867" s="3">
        <v>25</v>
      </c>
      <c r="W867" s="3">
        <v>77</v>
      </c>
    </row>
    <row r="868" spans="1:23" ht="11.25" customHeight="1" x14ac:dyDescent="0.25">
      <c r="A868" s="3" t="s">
        <v>21</v>
      </c>
      <c r="B868" s="3" t="s">
        <v>43</v>
      </c>
      <c r="C868" s="3" t="s">
        <v>23</v>
      </c>
      <c r="D868" s="3" t="s">
        <v>44</v>
      </c>
      <c r="E868" s="3" t="s">
        <v>52</v>
      </c>
      <c r="F868" s="3" t="s">
        <v>53</v>
      </c>
      <c r="G868" s="3" t="s">
        <v>25</v>
      </c>
      <c r="H868" s="3" t="s">
        <v>25</v>
      </c>
      <c r="I868" s="6">
        <v>44652</v>
      </c>
      <c r="J868" s="4">
        <v>0</v>
      </c>
      <c r="K868" s="4">
        <v>0</v>
      </c>
      <c r="L868" s="4">
        <v>23.486000000000001</v>
      </c>
      <c r="M868" s="4">
        <v>23.486000000000001</v>
      </c>
      <c r="N868" s="4">
        <v>23.486000000000001</v>
      </c>
      <c r="O868" s="4">
        <v>23.486000000000001</v>
      </c>
      <c r="P868" s="4">
        <v>0</v>
      </c>
      <c r="Q868" s="3" t="s">
        <v>26</v>
      </c>
      <c r="R868" s="3">
        <v>0</v>
      </c>
      <c r="S868" s="3" t="s">
        <v>274</v>
      </c>
      <c r="T868" s="3" t="s">
        <v>492</v>
      </c>
      <c r="U868" s="3">
        <v>0</v>
      </c>
      <c r="V868" s="3">
        <v>25</v>
      </c>
      <c r="W868" s="3">
        <v>77</v>
      </c>
    </row>
    <row r="869" spans="1:23" ht="11.25" customHeight="1" x14ac:dyDescent="0.25">
      <c r="A869" s="3" t="s">
        <v>27</v>
      </c>
      <c r="B869" s="3" t="s">
        <v>43</v>
      </c>
      <c r="C869" s="3" t="s">
        <v>23</v>
      </c>
      <c r="D869" s="3" t="s">
        <v>44</v>
      </c>
      <c r="E869" s="3" t="s">
        <v>52</v>
      </c>
      <c r="F869" s="3" t="s">
        <v>53</v>
      </c>
      <c r="G869" s="3" t="s">
        <v>25</v>
      </c>
      <c r="H869" s="3" t="s">
        <v>25</v>
      </c>
      <c r="I869" s="6">
        <v>44652</v>
      </c>
      <c r="J869" s="4">
        <v>0</v>
      </c>
      <c r="K869" s="4">
        <v>0</v>
      </c>
      <c r="L869" s="4">
        <v>-7.391</v>
      </c>
      <c r="M869" s="4">
        <v>-7.391</v>
      </c>
      <c r="N869" s="4">
        <v>-7.391</v>
      </c>
      <c r="O869" s="4">
        <v>-7.391</v>
      </c>
      <c r="P869" s="4">
        <v>0</v>
      </c>
      <c r="Q869" s="3" t="s">
        <v>26</v>
      </c>
      <c r="R869" s="3">
        <v>0</v>
      </c>
      <c r="S869" s="3" t="s">
        <v>274</v>
      </c>
      <c r="T869" s="3" t="s">
        <v>492</v>
      </c>
      <c r="U869" s="3">
        <v>0</v>
      </c>
      <c r="V869" s="3">
        <v>25</v>
      </c>
      <c r="W869" s="3">
        <v>77</v>
      </c>
    </row>
    <row r="870" spans="1:23" ht="11.25" customHeight="1" x14ac:dyDescent="0.25">
      <c r="A870" s="3" t="s">
        <v>21</v>
      </c>
      <c r="B870" s="3" t="s">
        <v>43</v>
      </c>
      <c r="C870" s="3" t="s">
        <v>23</v>
      </c>
      <c r="D870" s="3" t="s">
        <v>44</v>
      </c>
      <c r="E870" s="3" t="s">
        <v>52</v>
      </c>
      <c r="F870" s="3" t="s">
        <v>53</v>
      </c>
      <c r="G870" s="3" t="s">
        <v>25</v>
      </c>
      <c r="H870" s="3" t="s">
        <v>25</v>
      </c>
      <c r="I870" s="6">
        <v>44682</v>
      </c>
      <c r="J870" s="4">
        <v>0</v>
      </c>
      <c r="K870" s="4">
        <v>0</v>
      </c>
      <c r="L870" s="4">
        <v>12.192</v>
      </c>
      <c r="M870" s="4">
        <v>12.192</v>
      </c>
      <c r="N870" s="4">
        <v>12.192</v>
      </c>
      <c r="O870" s="4">
        <v>12.192</v>
      </c>
      <c r="P870" s="4">
        <v>0</v>
      </c>
      <c r="Q870" s="3" t="s">
        <v>26</v>
      </c>
      <c r="R870" s="3">
        <v>0</v>
      </c>
      <c r="S870" s="3" t="s">
        <v>275</v>
      </c>
      <c r="T870" s="3" t="s">
        <v>493</v>
      </c>
      <c r="U870" s="3">
        <v>0</v>
      </c>
      <c r="V870" s="3">
        <v>25</v>
      </c>
      <c r="W870" s="3">
        <v>77</v>
      </c>
    </row>
    <row r="871" spans="1:23" ht="11.25" customHeight="1" x14ac:dyDescent="0.25">
      <c r="A871" s="3" t="s">
        <v>27</v>
      </c>
      <c r="B871" s="3" t="s">
        <v>43</v>
      </c>
      <c r="C871" s="3" t="s">
        <v>23</v>
      </c>
      <c r="D871" s="3" t="s">
        <v>44</v>
      </c>
      <c r="E871" s="3" t="s">
        <v>52</v>
      </c>
      <c r="F871" s="3" t="s">
        <v>53</v>
      </c>
      <c r="G871" s="3" t="s">
        <v>25</v>
      </c>
      <c r="H871" s="3" t="s">
        <v>25</v>
      </c>
      <c r="I871" s="6">
        <v>44682</v>
      </c>
      <c r="J871" s="4">
        <v>0</v>
      </c>
      <c r="K871" s="4">
        <v>0</v>
      </c>
      <c r="L871" s="4">
        <v>-18.808</v>
      </c>
      <c r="M871" s="4">
        <v>-18.808</v>
      </c>
      <c r="N871" s="4">
        <v>-18.808</v>
      </c>
      <c r="O871" s="4">
        <v>-18.808</v>
      </c>
      <c r="P871" s="4">
        <v>0</v>
      </c>
      <c r="Q871" s="3" t="s">
        <v>26</v>
      </c>
      <c r="R871" s="3">
        <v>0</v>
      </c>
      <c r="S871" s="3" t="s">
        <v>275</v>
      </c>
      <c r="T871" s="3" t="s">
        <v>493</v>
      </c>
      <c r="U871" s="3">
        <v>0</v>
      </c>
      <c r="V871" s="3">
        <v>25</v>
      </c>
      <c r="W871" s="3">
        <v>77</v>
      </c>
    </row>
    <row r="872" spans="1:23" ht="11.25" customHeight="1" x14ac:dyDescent="0.25">
      <c r="A872" s="3" t="s">
        <v>21</v>
      </c>
      <c r="B872" s="3" t="s">
        <v>43</v>
      </c>
      <c r="C872" s="3" t="s">
        <v>23</v>
      </c>
      <c r="D872" s="3" t="s">
        <v>44</v>
      </c>
      <c r="E872" s="3" t="s">
        <v>52</v>
      </c>
      <c r="F872" s="3" t="s">
        <v>53</v>
      </c>
      <c r="G872" s="3" t="s">
        <v>25</v>
      </c>
      <c r="H872" s="3" t="s">
        <v>25</v>
      </c>
      <c r="I872" s="6">
        <v>44713</v>
      </c>
      <c r="J872" s="4">
        <v>0</v>
      </c>
      <c r="K872" s="4">
        <v>0</v>
      </c>
      <c r="L872" s="4">
        <v>8.4719999999999995</v>
      </c>
      <c r="M872" s="4">
        <v>8.4719999999999995</v>
      </c>
      <c r="N872" s="4">
        <v>8.4719999999999995</v>
      </c>
      <c r="O872" s="4">
        <v>8.4719999999999995</v>
      </c>
      <c r="P872" s="4">
        <v>0</v>
      </c>
      <c r="Q872" s="3" t="s">
        <v>26</v>
      </c>
      <c r="R872" s="3">
        <v>0</v>
      </c>
      <c r="S872" s="3" t="s">
        <v>276</v>
      </c>
      <c r="T872" s="3" t="s">
        <v>494</v>
      </c>
      <c r="U872" s="3">
        <v>0</v>
      </c>
      <c r="V872" s="3">
        <v>25</v>
      </c>
      <c r="W872" s="3">
        <v>77</v>
      </c>
    </row>
    <row r="873" spans="1:23" ht="11.25" customHeight="1" x14ac:dyDescent="0.25">
      <c r="A873" s="3" t="s">
        <v>27</v>
      </c>
      <c r="B873" s="3" t="s">
        <v>43</v>
      </c>
      <c r="C873" s="3" t="s">
        <v>23</v>
      </c>
      <c r="D873" s="3" t="s">
        <v>44</v>
      </c>
      <c r="E873" s="3" t="s">
        <v>52</v>
      </c>
      <c r="F873" s="3" t="s">
        <v>53</v>
      </c>
      <c r="G873" s="3" t="s">
        <v>25</v>
      </c>
      <c r="H873" s="3" t="s">
        <v>25</v>
      </c>
      <c r="I873" s="6">
        <v>44713</v>
      </c>
      <c r="J873" s="4">
        <v>0</v>
      </c>
      <c r="K873" s="4">
        <v>0</v>
      </c>
      <c r="L873" s="4">
        <v>-1.696</v>
      </c>
      <c r="M873" s="4">
        <v>-1.696</v>
      </c>
      <c r="N873" s="4">
        <v>-1.696</v>
      </c>
      <c r="O873" s="4">
        <v>-1.696</v>
      </c>
      <c r="P873" s="4">
        <v>0</v>
      </c>
      <c r="Q873" s="3" t="s">
        <v>26</v>
      </c>
      <c r="R873" s="3">
        <v>0</v>
      </c>
      <c r="S873" s="3" t="s">
        <v>276</v>
      </c>
      <c r="T873" s="3" t="s">
        <v>494</v>
      </c>
      <c r="U873" s="3">
        <v>0</v>
      </c>
      <c r="V873" s="3">
        <v>25</v>
      </c>
      <c r="W873" s="3">
        <v>77</v>
      </c>
    </row>
    <row r="874" spans="1:23" ht="11.25" customHeight="1" x14ac:dyDescent="0.25">
      <c r="A874" s="3" t="s">
        <v>21</v>
      </c>
      <c r="B874" s="3" t="s">
        <v>43</v>
      </c>
      <c r="C874" s="3" t="s">
        <v>23</v>
      </c>
      <c r="D874" s="3" t="s">
        <v>44</v>
      </c>
      <c r="E874" s="3" t="s">
        <v>52</v>
      </c>
      <c r="F874" s="3" t="s">
        <v>53</v>
      </c>
      <c r="G874" s="3" t="s">
        <v>25</v>
      </c>
      <c r="H874" s="3" t="s">
        <v>25</v>
      </c>
      <c r="I874" s="6">
        <v>44743</v>
      </c>
      <c r="J874" s="4">
        <v>0</v>
      </c>
      <c r="K874" s="4">
        <v>0</v>
      </c>
      <c r="L874" s="4">
        <v>7.734</v>
      </c>
      <c r="M874" s="4">
        <v>7.734</v>
      </c>
      <c r="N874" s="4">
        <v>7.734</v>
      </c>
      <c r="O874" s="4">
        <v>7.734</v>
      </c>
      <c r="P874" s="4">
        <v>0</v>
      </c>
      <c r="Q874" s="3" t="s">
        <v>26</v>
      </c>
      <c r="R874" s="3">
        <v>0</v>
      </c>
      <c r="S874" s="3" t="s">
        <v>277</v>
      </c>
      <c r="T874" s="3" t="s">
        <v>495</v>
      </c>
      <c r="U874" s="3">
        <v>0</v>
      </c>
      <c r="V874" s="3">
        <v>25</v>
      </c>
      <c r="W874" s="3">
        <v>77</v>
      </c>
    </row>
    <row r="875" spans="1:23" ht="11.25" customHeight="1" x14ac:dyDescent="0.25">
      <c r="A875" s="3" t="s">
        <v>21</v>
      </c>
      <c r="B875" s="3" t="s">
        <v>43</v>
      </c>
      <c r="C875" s="3" t="s">
        <v>23</v>
      </c>
      <c r="D875" s="3" t="s">
        <v>44</v>
      </c>
      <c r="E875" s="3" t="s">
        <v>52</v>
      </c>
      <c r="F875" s="3" t="s">
        <v>53</v>
      </c>
      <c r="G875" s="3" t="s">
        <v>25</v>
      </c>
      <c r="H875" s="3" t="s">
        <v>25</v>
      </c>
      <c r="I875" s="6">
        <v>44774</v>
      </c>
      <c r="J875" s="4">
        <v>0</v>
      </c>
      <c r="K875" s="4">
        <v>0</v>
      </c>
      <c r="L875" s="4">
        <v>11.044</v>
      </c>
      <c r="M875" s="4">
        <v>11.044</v>
      </c>
      <c r="N875" s="4">
        <v>11.044</v>
      </c>
      <c r="O875" s="4">
        <v>11.044</v>
      </c>
      <c r="P875" s="4">
        <v>0</v>
      </c>
      <c r="Q875" s="3" t="s">
        <v>26</v>
      </c>
      <c r="R875" s="3">
        <v>0</v>
      </c>
      <c r="S875" s="3" t="s">
        <v>278</v>
      </c>
      <c r="T875" s="3" t="s">
        <v>496</v>
      </c>
      <c r="U875" s="3">
        <v>0</v>
      </c>
      <c r="V875" s="3">
        <v>25</v>
      </c>
      <c r="W875" s="3">
        <v>77</v>
      </c>
    </row>
    <row r="876" spans="1:23" ht="11.25" customHeight="1" x14ac:dyDescent="0.25">
      <c r="A876" s="3" t="s">
        <v>21</v>
      </c>
      <c r="B876" s="3" t="s">
        <v>43</v>
      </c>
      <c r="C876" s="3" t="s">
        <v>23</v>
      </c>
      <c r="D876" s="3" t="s">
        <v>44</v>
      </c>
      <c r="E876" s="3" t="s">
        <v>52</v>
      </c>
      <c r="F876" s="3" t="s">
        <v>53</v>
      </c>
      <c r="G876" s="3" t="s">
        <v>25</v>
      </c>
      <c r="H876" s="3" t="s">
        <v>25</v>
      </c>
      <c r="I876" s="6">
        <v>44805</v>
      </c>
      <c r="J876" s="4">
        <v>0</v>
      </c>
      <c r="K876" s="4">
        <v>0</v>
      </c>
      <c r="L876" s="4">
        <v>24.166</v>
      </c>
      <c r="M876" s="4">
        <v>24.166</v>
      </c>
      <c r="N876" s="4">
        <v>24.166</v>
      </c>
      <c r="O876" s="4">
        <v>24.166</v>
      </c>
      <c r="P876" s="4">
        <v>0</v>
      </c>
      <c r="Q876" s="3" t="s">
        <v>26</v>
      </c>
      <c r="R876" s="3">
        <v>0</v>
      </c>
      <c r="S876" s="3" t="s">
        <v>279</v>
      </c>
      <c r="T876" s="3" t="s">
        <v>497</v>
      </c>
      <c r="U876" s="3">
        <v>0</v>
      </c>
      <c r="V876" s="3">
        <v>25</v>
      </c>
      <c r="W876" s="3">
        <v>77</v>
      </c>
    </row>
    <row r="877" spans="1:23" ht="11.25" customHeight="1" x14ac:dyDescent="0.25">
      <c r="A877" s="3" t="s">
        <v>27</v>
      </c>
      <c r="B877" s="3" t="s">
        <v>43</v>
      </c>
      <c r="C877" s="3" t="s">
        <v>23</v>
      </c>
      <c r="D877" s="3" t="s">
        <v>44</v>
      </c>
      <c r="E877" s="3" t="s">
        <v>52</v>
      </c>
      <c r="F877" s="3" t="s">
        <v>53</v>
      </c>
      <c r="G877" s="3" t="s">
        <v>25</v>
      </c>
      <c r="H877" s="3" t="s">
        <v>25</v>
      </c>
      <c r="I877" s="6">
        <v>44805</v>
      </c>
      <c r="J877" s="4">
        <v>0</v>
      </c>
      <c r="K877" s="4">
        <v>0</v>
      </c>
      <c r="L877" s="4">
        <v>8.843</v>
      </c>
      <c r="M877" s="4">
        <v>8.843</v>
      </c>
      <c r="N877" s="4">
        <v>8.843</v>
      </c>
      <c r="O877" s="4">
        <v>8.843</v>
      </c>
      <c r="P877" s="4">
        <v>0</v>
      </c>
      <c r="Q877" s="3" t="s">
        <v>26</v>
      </c>
      <c r="R877" s="3">
        <v>0</v>
      </c>
      <c r="S877" s="3" t="s">
        <v>279</v>
      </c>
      <c r="T877" s="3" t="s">
        <v>497</v>
      </c>
      <c r="U877" s="3">
        <v>0</v>
      </c>
      <c r="V877" s="3">
        <v>25</v>
      </c>
      <c r="W877" s="3">
        <v>77</v>
      </c>
    </row>
    <row r="878" spans="1:23" ht="11.25" customHeight="1" x14ac:dyDescent="0.25">
      <c r="A878" s="3" t="s">
        <v>55</v>
      </c>
      <c r="B878" s="3" t="s">
        <v>43</v>
      </c>
      <c r="C878" s="3" t="s">
        <v>23</v>
      </c>
      <c r="D878" s="3" t="s">
        <v>44</v>
      </c>
      <c r="E878" s="3" t="s">
        <v>52</v>
      </c>
      <c r="F878" s="3" t="s">
        <v>53</v>
      </c>
      <c r="G878" s="3" t="s">
        <v>25</v>
      </c>
      <c r="H878" s="3" t="s">
        <v>25</v>
      </c>
      <c r="I878" s="6">
        <v>44835</v>
      </c>
      <c r="J878" s="4">
        <v>0</v>
      </c>
      <c r="K878" s="4">
        <v>0</v>
      </c>
      <c r="L878" s="4">
        <v>24.166</v>
      </c>
      <c r="M878" s="4">
        <v>24.166</v>
      </c>
      <c r="N878" s="4">
        <v>24.166</v>
      </c>
      <c r="O878" s="4">
        <v>24.166</v>
      </c>
      <c r="P878" s="4">
        <v>0</v>
      </c>
      <c r="Q878" s="3" t="s">
        <v>26</v>
      </c>
      <c r="R878" s="3">
        <v>0</v>
      </c>
      <c r="S878" s="3" t="s">
        <v>280</v>
      </c>
      <c r="T878" s="3" t="s">
        <v>498</v>
      </c>
      <c r="U878" s="3">
        <v>0</v>
      </c>
      <c r="V878" s="3">
        <v>25</v>
      </c>
      <c r="W878" s="3">
        <v>77</v>
      </c>
    </row>
    <row r="879" spans="1:23" ht="11.25" customHeight="1" x14ac:dyDescent="0.25">
      <c r="A879" s="3" t="s">
        <v>55</v>
      </c>
      <c r="B879" s="3" t="s">
        <v>43</v>
      </c>
      <c r="C879" s="3" t="s">
        <v>23</v>
      </c>
      <c r="D879" s="3" t="s">
        <v>44</v>
      </c>
      <c r="E879" s="3" t="s">
        <v>52</v>
      </c>
      <c r="F879" s="3" t="s">
        <v>53</v>
      </c>
      <c r="G879" s="3" t="s">
        <v>25</v>
      </c>
      <c r="H879" s="3" t="s">
        <v>25</v>
      </c>
      <c r="I879" s="6">
        <v>44835</v>
      </c>
      <c r="J879" s="4">
        <v>0</v>
      </c>
      <c r="K879" s="4">
        <v>0</v>
      </c>
      <c r="L879" s="4">
        <v>8.843</v>
      </c>
      <c r="M879" s="4">
        <v>8.843</v>
      </c>
      <c r="N879" s="4">
        <v>8.843</v>
      </c>
      <c r="O879" s="4">
        <v>8.843</v>
      </c>
      <c r="P879" s="4">
        <v>0</v>
      </c>
      <c r="Q879" s="3" t="s">
        <v>26</v>
      </c>
      <c r="R879" s="3">
        <v>0</v>
      </c>
      <c r="S879" s="3" t="s">
        <v>280</v>
      </c>
      <c r="T879" s="3" t="s">
        <v>498</v>
      </c>
      <c r="U879" s="3">
        <v>0</v>
      </c>
      <c r="V879" s="3">
        <v>25</v>
      </c>
      <c r="W879" s="3">
        <v>77</v>
      </c>
    </row>
    <row r="880" spans="1:23" ht="11.25" customHeight="1" x14ac:dyDescent="0.25">
      <c r="A880" s="3" t="s">
        <v>21</v>
      </c>
      <c r="B880" s="3" t="s">
        <v>43</v>
      </c>
      <c r="C880" s="3" t="s">
        <v>23</v>
      </c>
      <c r="D880" s="3" t="s">
        <v>44</v>
      </c>
      <c r="E880" s="3" t="s">
        <v>52</v>
      </c>
      <c r="F880" s="3" t="s">
        <v>54</v>
      </c>
      <c r="G880" s="3" t="s">
        <v>25</v>
      </c>
      <c r="H880" s="3" t="s">
        <v>25</v>
      </c>
      <c r="I880" s="6">
        <v>44501</v>
      </c>
      <c r="J880" s="4">
        <v>0</v>
      </c>
      <c r="K880" s="4">
        <v>0</v>
      </c>
      <c r="L880" s="4">
        <v>51.384999999999998</v>
      </c>
      <c r="M880" s="4">
        <v>16.957049999999999</v>
      </c>
      <c r="N880" s="4">
        <v>51.384999999999998</v>
      </c>
      <c r="O880" s="4">
        <v>16.957049999999999</v>
      </c>
      <c r="P880" s="4">
        <v>0</v>
      </c>
      <c r="Q880" s="3" t="s">
        <v>26</v>
      </c>
      <c r="R880" s="3">
        <v>0</v>
      </c>
      <c r="S880" s="3" t="s">
        <v>269</v>
      </c>
      <c r="T880" s="3" t="s">
        <v>487</v>
      </c>
      <c r="U880" s="3">
        <v>0</v>
      </c>
      <c r="V880" s="3">
        <v>25</v>
      </c>
      <c r="W880" s="3">
        <v>77</v>
      </c>
    </row>
    <row r="881" spans="1:23" ht="11.25" customHeight="1" x14ac:dyDescent="0.25">
      <c r="A881" s="3" t="s">
        <v>21</v>
      </c>
      <c r="B881" s="3" t="s">
        <v>43</v>
      </c>
      <c r="C881" s="3" t="s">
        <v>23</v>
      </c>
      <c r="D881" s="3" t="s">
        <v>44</v>
      </c>
      <c r="E881" s="3" t="s">
        <v>52</v>
      </c>
      <c r="F881" s="3" t="s">
        <v>54</v>
      </c>
      <c r="G881" s="3" t="s">
        <v>25</v>
      </c>
      <c r="H881" s="3" t="s">
        <v>25</v>
      </c>
      <c r="I881" s="6">
        <v>44531</v>
      </c>
      <c r="J881" s="4">
        <v>0</v>
      </c>
      <c r="K881" s="4">
        <v>0</v>
      </c>
      <c r="L881" s="4">
        <v>56.213999999999999</v>
      </c>
      <c r="M881" s="4">
        <v>18.550619999999999</v>
      </c>
      <c r="N881" s="4">
        <v>56.213999999999999</v>
      </c>
      <c r="O881" s="4">
        <v>18.550619999999999</v>
      </c>
      <c r="P881" s="4">
        <v>0</v>
      </c>
      <c r="Q881" s="3" t="s">
        <v>26</v>
      </c>
      <c r="R881" s="3">
        <v>0</v>
      </c>
      <c r="S881" s="3" t="s">
        <v>270</v>
      </c>
      <c r="T881" s="3" t="s">
        <v>488</v>
      </c>
      <c r="U881" s="3">
        <v>0</v>
      </c>
      <c r="V881" s="3">
        <v>25</v>
      </c>
      <c r="W881" s="3">
        <v>77</v>
      </c>
    </row>
    <row r="882" spans="1:23" ht="11.25" customHeight="1" x14ac:dyDescent="0.25">
      <c r="A882" s="3" t="s">
        <v>21</v>
      </c>
      <c r="B882" s="3" t="s">
        <v>43</v>
      </c>
      <c r="C882" s="3" t="s">
        <v>23</v>
      </c>
      <c r="D882" s="3" t="s">
        <v>44</v>
      </c>
      <c r="E882" s="3" t="s">
        <v>52</v>
      </c>
      <c r="F882" s="3" t="s">
        <v>54</v>
      </c>
      <c r="G882" s="3" t="s">
        <v>25</v>
      </c>
      <c r="H882" s="3" t="s">
        <v>25</v>
      </c>
      <c r="I882" s="6">
        <v>44562</v>
      </c>
      <c r="J882" s="4">
        <v>0</v>
      </c>
      <c r="K882" s="4">
        <v>0</v>
      </c>
      <c r="L882" s="4">
        <v>114.125</v>
      </c>
      <c r="M882" s="4">
        <v>37.661250000000003</v>
      </c>
      <c r="N882" s="4">
        <v>114.125</v>
      </c>
      <c r="O882" s="4">
        <v>37.661250000000003</v>
      </c>
      <c r="P882" s="4">
        <v>0</v>
      </c>
      <c r="Q882" s="3" t="s">
        <v>26</v>
      </c>
      <c r="R882" s="3">
        <v>0</v>
      </c>
      <c r="S882" s="3" t="s">
        <v>271</v>
      </c>
      <c r="T882" s="3" t="s">
        <v>489</v>
      </c>
      <c r="U882" s="3">
        <v>0</v>
      </c>
      <c r="V882" s="3">
        <v>25</v>
      </c>
      <c r="W882" s="3">
        <v>77</v>
      </c>
    </row>
    <row r="883" spans="1:23" ht="11.25" customHeight="1" x14ac:dyDescent="0.25">
      <c r="A883" s="3" t="s">
        <v>21</v>
      </c>
      <c r="B883" s="3" t="s">
        <v>43</v>
      </c>
      <c r="C883" s="3" t="s">
        <v>23</v>
      </c>
      <c r="D883" s="3" t="s">
        <v>44</v>
      </c>
      <c r="E883" s="3" t="s">
        <v>52</v>
      </c>
      <c r="F883" s="3" t="s">
        <v>54</v>
      </c>
      <c r="G883" s="3" t="s">
        <v>25</v>
      </c>
      <c r="H883" s="3" t="s">
        <v>25</v>
      </c>
      <c r="I883" s="6">
        <v>44593</v>
      </c>
      <c r="J883" s="4">
        <v>0</v>
      </c>
      <c r="K883" s="4">
        <v>0</v>
      </c>
      <c r="L883" s="4">
        <v>101.014</v>
      </c>
      <c r="M883" s="4">
        <v>33.334620000000001</v>
      </c>
      <c r="N883" s="4">
        <v>101.014</v>
      </c>
      <c r="O883" s="4">
        <v>33.334620000000001</v>
      </c>
      <c r="P883" s="4">
        <v>0</v>
      </c>
      <c r="Q883" s="3" t="s">
        <v>26</v>
      </c>
      <c r="R883" s="3">
        <v>0</v>
      </c>
      <c r="S883" s="3" t="s">
        <v>272</v>
      </c>
      <c r="T883" s="3" t="s">
        <v>490</v>
      </c>
      <c r="U883" s="3">
        <v>0</v>
      </c>
      <c r="V883" s="3">
        <v>25</v>
      </c>
      <c r="W883" s="3">
        <v>77</v>
      </c>
    </row>
    <row r="884" spans="1:23" ht="11.25" customHeight="1" x14ac:dyDescent="0.25">
      <c r="A884" s="3" t="s">
        <v>21</v>
      </c>
      <c r="B884" s="3" t="s">
        <v>43</v>
      </c>
      <c r="C884" s="3" t="s">
        <v>23</v>
      </c>
      <c r="D884" s="3" t="s">
        <v>44</v>
      </c>
      <c r="E884" s="3" t="s">
        <v>52</v>
      </c>
      <c r="F884" s="3" t="s">
        <v>54</v>
      </c>
      <c r="G884" s="3" t="s">
        <v>25</v>
      </c>
      <c r="H884" s="3" t="s">
        <v>25</v>
      </c>
      <c r="I884" s="6">
        <v>44621</v>
      </c>
      <c r="J884" s="4">
        <v>0</v>
      </c>
      <c r="K884" s="4">
        <v>0</v>
      </c>
      <c r="L884" s="4">
        <v>40.966000000000001</v>
      </c>
      <c r="M884" s="4">
        <v>13.51878</v>
      </c>
      <c r="N884" s="4">
        <v>40.966000000000001</v>
      </c>
      <c r="O884" s="4">
        <v>13.51878</v>
      </c>
      <c r="P884" s="4">
        <v>0</v>
      </c>
      <c r="Q884" s="3" t="s">
        <v>26</v>
      </c>
      <c r="R884" s="3">
        <v>0</v>
      </c>
      <c r="S884" s="3" t="s">
        <v>273</v>
      </c>
      <c r="T884" s="3" t="s">
        <v>491</v>
      </c>
      <c r="U884" s="3">
        <v>0</v>
      </c>
      <c r="V884" s="3">
        <v>25</v>
      </c>
      <c r="W884" s="3">
        <v>77</v>
      </c>
    </row>
    <row r="885" spans="1:23" ht="11.25" customHeight="1" x14ac:dyDescent="0.25">
      <c r="A885" s="3" t="s">
        <v>27</v>
      </c>
      <c r="B885" s="3" t="s">
        <v>43</v>
      </c>
      <c r="C885" s="3" t="s">
        <v>23</v>
      </c>
      <c r="D885" s="3" t="s">
        <v>44</v>
      </c>
      <c r="E885" s="3" t="s">
        <v>52</v>
      </c>
      <c r="F885" s="3" t="s">
        <v>54</v>
      </c>
      <c r="G885" s="3" t="s">
        <v>25</v>
      </c>
      <c r="H885" s="3" t="s">
        <v>25</v>
      </c>
      <c r="I885" s="6">
        <v>44621</v>
      </c>
      <c r="J885" s="4">
        <v>0</v>
      </c>
      <c r="K885" s="4">
        <v>0</v>
      </c>
      <c r="L885" s="4">
        <v>7.3369999999999997</v>
      </c>
      <c r="M885" s="4">
        <v>2.4212099999999999</v>
      </c>
      <c r="N885" s="4">
        <v>7.3369999999999997</v>
      </c>
      <c r="O885" s="4">
        <v>2.4212099999999999</v>
      </c>
      <c r="P885" s="4">
        <v>0</v>
      </c>
      <c r="Q885" s="3" t="s">
        <v>26</v>
      </c>
      <c r="R885" s="3">
        <v>0</v>
      </c>
      <c r="S885" s="3" t="s">
        <v>273</v>
      </c>
      <c r="T885" s="3" t="s">
        <v>491</v>
      </c>
      <c r="U885" s="3">
        <v>0</v>
      </c>
      <c r="V885" s="3">
        <v>25</v>
      </c>
      <c r="W885" s="3">
        <v>77</v>
      </c>
    </row>
    <row r="886" spans="1:23" ht="11.25" customHeight="1" x14ac:dyDescent="0.25">
      <c r="A886" s="3" t="s">
        <v>21</v>
      </c>
      <c r="B886" s="3" t="s">
        <v>43</v>
      </c>
      <c r="C886" s="3" t="s">
        <v>23</v>
      </c>
      <c r="D886" s="3" t="s">
        <v>44</v>
      </c>
      <c r="E886" s="3" t="s">
        <v>52</v>
      </c>
      <c r="F886" s="3" t="s">
        <v>54</v>
      </c>
      <c r="G886" s="3" t="s">
        <v>25</v>
      </c>
      <c r="H886" s="3" t="s">
        <v>25</v>
      </c>
      <c r="I886" s="6">
        <v>44652</v>
      </c>
      <c r="J886" s="4">
        <v>0</v>
      </c>
      <c r="K886" s="4">
        <v>0</v>
      </c>
      <c r="L886" s="4">
        <v>40.966000000000001</v>
      </c>
      <c r="M886" s="4">
        <v>13.51878</v>
      </c>
      <c r="N886" s="4">
        <v>40.966000000000001</v>
      </c>
      <c r="O886" s="4">
        <v>13.51878</v>
      </c>
      <c r="P886" s="4">
        <v>0</v>
      </c>
      <c r="Q886" s="3" t="s">
        <v>26</v>
      </c>
      <c r="R886" s="3">
        <v>0</v>
      </c>
      <c r="S886" s="3" t="s">
        <v>274</v>
      </c>
      <c r="T886" s="3" t="s">
        <v>492</v>
      </c>
      <c r="U886" s="3">
        <v>0</v>
      </c>
      <c r="V886" s="3">
        <v>25</v>
      </c>
      <c r="W886" s="3">
        <v>77</v>
      </c>
    </row>
    <row r="887" spans="1:23" ht="11.25" customHeight="1" x14ac:dyDescent="0.25">
      <c r="A887" s="3" t="s">
        <v>27</v>
      </c>
      <c r="B887" s="3" t="s">
        <v>43</v>
      </c>
      <c r="C887" s="3" t="s">
        <v>23</v>
      </c>
      <c r="D887" s="3" t="s">
        <v>44</v>
      </c>
      <c r="E887" s="3" t="s">
        <v>52</v>
      </c>
      <c r="F887" s="3" t="s">
        <v>54</v>
      </c>
      <c r="G887" s="3" t="s">
        <v>25</v>
      </c>
      <c r="H887" s="3" t="s">
        <v>25</v>
      </c>
      <c r="I887" s="6">
        <v>44652</v>
      </c>
      <c r="J887" s="4">
        <v>0</v>
      </c>
      <c r="K887" s="4">
        <v>0</v>
      </c>
      <c r="L887" s="4">
        <v>7.3369999999999997</v>
      </c>
      <c r="M887" s="4">
        <v>2.4212099999999999</v>
      </c>
      <c r="N887" s="4">
        <v>7.3369999999999997</v>
      </c>
      <c r="O887" s="4">
        <v>2.4212099999999999</v>
      </c>
      <c r="P887" s="4">
        <v>0</v>
      </c>
      <c r="Q887" s="3" t="s">
        <v>26</v>
      </c>
      <c r="R887" s="3">
        <v>0</v>
      </c>
      <c r="S887" s="3" t="s">
        <v>274</v>
      </c>
      <c r="T887" s="3" t="s">
        <v>492</v>
      </c>
      <c r="U887" s="3">
        <v>0</v>
      </c>
      <c r="V887" s="3">
        <v>25</v>
      </c>
      <c r="W887" s="3">
        <v>77</v>
      </c>
    </row>
    <row r="888" spans="1:23" ht="11.25" customHeight="1" x14ac:dyDescent="0.25">
      <c r="A888" s="3" t="s">
        <v>21</v>
      </c>
      <c r="B888" s="3" t="s">
        <v>43</v>
      </c>
      <c r="C888" s="3" t="s">
        <v>23</v>
      </c>
      <c r="D888" s="3" t="s">
        <v>44</v>
      </c>
      <c r="E888" s="3" t="s">
        <v>52</v>
      </c>
      <c r="F888" s="3" t="s">
        <v>54</v>
      </c>
      <c r="G888" s="3" t="s">
        <v>25</v>
      </c>
      <c r="H888" s="3" t="s">
        <v>25</v>
      </c>
      <c r="I888" s="6">
        <v>44682</v>
      </c>
      <c r="J888" s="4">
        <v>0</v>
      </c>
      <c r="K888" s="4">
        <v>0</v>
      </c>
      <c r="L888" s="4">
        <v>28.706</v>
      </c>
      <c r="M888" s="4">
        <v>9.4729799999999997</v>
      </c>
      <c r="N888" s="4">
        <v>28.706</v>
      </c>
      <c r="O888" s="4">
        <v>9.4729799999999997</v>
      </c>
      <c r="P888" s="4">
        <v>0</v>
      </c>
      <c r="Q888" s="3" t="s">
        <v>26</v>
      </c>
      <c r="R888" s="3">
        <v>0</v>
      </c>
      <c r="S888" s="3" t="s">
        <v>275</v>
      </c>
      <c r="T888" s="3" t="s">
        <v>493</v>
      </c>
      <c r="U888" s="3">
        <v>0</v>
      </c>
      <c r="V888" s="3">
        <v>25</v>
      </c>
      <c r="W888" s="3">
        <v>77</v>
      </c>
    </row>
    <row r="889" spans="1:23" ht="11.25" customHeight="1" x14ac:dyDescent="0.25">
      <c r="A889" s="3" t="s">
        <v>27</v>
      </c>
      <c r="B889" s="3" t="s">
        <v>43</v>
      </c>
      <c r="C889" s="3" t="s">
        <v>23</v>
      </c>
      <c r="D889" s="3" t="s">
        <v>44</v>
      </c>
      <c r="E889" s="3" t="s">
        <v>52</v>
      </c>
      <c r="F889" s="3" t="s">
        <v>54</v>
      </c>
      <c r="G889" s="3" t="s">
        <v>25</v>
      </c>
      <c r="H889" s="3" t="s">
        <v>25</v>
      </c>
      <c r="I889" s="6">
        <v>44682</v>
      </c>
      <c r="J889" s="4">
        <v>0</v>
      </c>
      <c r="K889" s="4">
        <v>0</v>
      </c>
      <c r="L889" s="4">
        <v>18.808</v>
      </c>
      <c r="M889" s="4">
        <v>6.2066400000000002</v>
      </c>
      <c r="N889" s="4">
        <v>18.808</v>
      </c>
      <c r="O889" s="4">
        <v>6.2066400000000002</v>
      </c>
      <c r="P889" s="4">
        <v>0</v>
      </c>
      <c r="Q889" s="3" t="s">
        <v>26</v>
      </c>
      <c r="R889" s="3">
        <v>0</v>
      </c>
      <c r="S889" s="3" t="s">
        <v>275</v>
      </c>
      <c r="T889" s="3" t="s">
        <v>493</v>
      </c>
      <c r="U889" s="3">
        <v>0</v>
      </c>
      <c r="V889" s="3">
        <v>25</v>
      </c>
      <c r="W889" s="3">
        <v>77</v>
      </c>
    </row>
    <row r="890" spans="1:23" ht="11.25" customHeight="1" x14ac:dyDescent="0.25">
      <c r="A890" s="3" t="s">
        <v>21</v>
      </c>
      <c r="B890" s="3" t="s">
        <v>43</v>
      </c>
      <c r="C890" s="3" t="s">
        <v>23</v>
      </c>
      <c r="D890" s="3" t="s">
        <v>44</v>
      </c>
      <c r="E890" s="3" t="s">
        <v>52</v>
      </c>
      <c r="F890" s="3" t="s">
        <v>54</v>
      </c>
      <c r="G890" s="3" t="s">
        <v>25</v>
      </c>
      <c r="H890" s="3" t="s">
        <v>25</v>
      </c>
      <c r="I890" s="6">
        <v>44713</v>
      </c>
      <c r="J890" s="4">
        <v>0</v>
      </c>
      <c r="K890" s="4">
        <v>0</v>
      </c>
      <c r="L890" s="4">
        <v>12.865</v>
      </c>
      <c r="M890" s="4">
        <v>4.2454499999999999</v>
      </c>
      <c r="N890" s="4">
        <v>12.865</v>
      </c>
      <c r="O890" s="4">
        <v>4.2454499999999999</v>
      </c>
      <c r="P890" s="4">
        <v>0</v>
      </c>
      <c r="Q890" s="3" t="s">
        <v>26</v>
      </c>
      <c r="R890" s="3">
        <v>0</v>
      </c>
      <c r="S890" s="3" t="s">
        <v>276</v>
      </c>
      <c r="T890" s="3" t="s">
        <v>494</v>
      </c>
      <c r="U890" s="3">
        <v>0</v>
      </c>
      <c r="V890" s="3">
        <v>25</v>
      </c>
      <c r="W890" s="3">
        <v>77</v>
      </c>
    </row>
    <row r="891" spans="1:23" ht="11.25" customHeight="1" x14ac:dyDescent="0.25">
      <c r="A891" s="3" t="s">
        <v>27</v>
      </c>
      <c r="B891" s="3" t="s">
        <v>43</v>
      </c>
      <c r="C891" s="3" t="s">
        <v>23</v>
      </c>
      <c r="D891" s="3" t="s">
        <v>44</v>
      </c>
      <c r="E891" s="3" t="s">
        <v>52</v>
      </c>
      <c r="F891" s="3" t="s">
        <v>54</v>
      </c>
      <c r="G891" s="3" t="s">
        <v>25</v>
      </c>
      <c r="H891" s="3" t="s">
        <v>25</v>
      </c>
      <c r="I891" s="6">
        <v>44713</v>
      </c>
      <c r="J891" s="4">
        <v>0</v>
      </c>
      <c r="K891" s="4">
        <v>0</v>
      </c>
      <c r="L891" s="4">
        <v>-12.435</v>
      </c>
      <c r="M891" s="4">
        <v>-4.1035500000000003</v>
      </c>
      <c r="N891" s="4">
        <v>-12.435</v>
      </c>
      <c r="O891" s="4">
        <v>-4.1035500000000003</v>
      </c>
      <c r="P891" s="4">
        <v>0</v>
      </c>
      <c r="Q891" s="3" t="s">
        <v>26</v>
      </c>
      <c r="R891" s="3">
        <v>0</v>
      </c>
      <c r="S891" s="3" t="s">
        <v>276</v>
      </c>
      <c r="T891" s="3" t="s">
        <v>494</v>
      </c>
      <c r="U891" s="3">
        <v>0</v>
      </c>
      <c r="V891" s="3">
        <v>25</v>
      </c>
      <c r="W891" s="3">
        <v>77</v>
      </c>
    </row>
    <row r="892" spans="1:23" ht="11.25" customHeight="1" x14ac:dyDescent="0.25">
      <c r="A892" s="3" t="s">
        <v>21</v>
      </c>
      <c r="B892" s="3" t="s">
        <v>43</v>
      </c>
      <c r="C892" s="3" t="s">
        <v>23</v>
      </c>
      <c r="D892" s="3" t="s">
        <v>44</v>
      </c>
      <c r="E892" s="3" t="s">
        <v>52</v>
      </c>
      <c r="F892" s="3" t="s">
        <v>54</v>
      </c>
      <c r="G892" s="3" t="s">
        <v>25</v>
      </c>
      <c r="H892" s="3" t="s">
        <v>25</v>
      </c>
      <c r="I892" s="6">
        <v>44743</v>
      </c>
      <c r="J892" s="4">
        <v>0</v>
      </c>
      <c r="K892" s="4">
        <v>0</v>
      </c>
      <c r="L892" s="4">
        <v>11.131</v>
      </c>
      <c r="M892" s="4">
        <v>3.6732300000000002</v>
      </c>
      <c r="N892" s="4">
        <v>11.131</v>
      </c>
      <c r="O892" s="4">
        <v>3.6732300000000002</v>
      </c>
      <c r="P892" s="4">
        <v>0</v>
      </c>
      <c r="Q892" s="3" t="s">
        <v>26</v>
      </c>
      <c r="R892" s="3">
        <v>0</v>
      </c>
      <c r="S892" s="3" t="s">
        <v>277</v>
      </c>
      <c r="T892" s="3" t="s">
        <v>495</v>
      </c>
      <c r="U892" s="3">
        <v>0</v>
      </c>
      <c r="V892" s="3">
        <v>25</v>
      </c>
      <c r="W892" s="3">
        <v>77</v>
      </c>
    </row>
    <row r="893" spans="1:23" ht="11.25" customHeight="1" x14ac:dyDescent="0.25">
      <c r="A893" s="3" t="s">
        <v>21</v>
      </c>
      <c r="B893" s="3" t="s">
        <v>43</v>
      </c>
      <c r="C893" s="3" t="s">
        <v>23</v>
      </c>
      <c r="D893" s="3" t="s">
        <v>44</v>
      </c>
      <c r="E893" s="3" t="s">
        <v>52</v>
      </c>
      <c r="F893" s="3" t="s">
        <v>54</v>
      </c>
      <c r="G893" s="3" t="s">
        <v>25</v>
      </c>
      <c r="H893" s="3" t="s">
        <v>25</v>
      </c>
      <c r="I893" s="6">
        <v>44774</v>
      </c>
      <c r="J893" s="4">
        <v>0</v>
      </c>
      <c r="K893" s="4">
        <v>0</v>
      </c>
      <c r="L893" s="4">
        <v>17.03</v>
      </c>
      <c r="M893" s="4">
        <v>5.6199000000000003</v>
      </c>
      <c r="N893" s="4">
        <v>17.03</v>
      </c>
      <c r="O893" s="4">
        <v>5.6199000000000003</v>
      </c>
      <c r="P893" s="4">
        <v>0</v>
      </c>
      <c r="Q893" s="3" t="s">
        <v>26</v>
      </c>
      <c r="R893" s="3">
        <v>0</v>
      </c>
      <c r="S893" s="3" t="s">
        <v>278</v>
      </c>
      <c r="T893" s="3" t="s">
        <v>496</v>
      </c>
      <c r="U893" s="3">
        <v>0</v>
      </c>
      <c r="V893" s="3">
        <v>25</v>
      </c>
      <c r="W893" s="3">
        <v>77</v>
      </c>
    </row>
    <row r="894" spans="1:23" ht="11.25" customHeight="1" x14ac:dyDescent="0.25">
      <c r="A894" s="3" t="s">
        <v>21</v>
      </c>
      <c r="B894" s="3" t="s">
        <v>43</v>
      </c>
      <c r="C894" s="3" t="s">
        <v>23</v>
      </c>
      <c r="D894" s="3" t="s">
        <v>44</v>
      </c>
      <c r="E894" s="3" t="s">
        <v>52</v>
      </c>
      <c r="F894" s="3" t="s">
        <v>54</v>
      </c>
      <c r="G894" s="3" t="s">
        <v>25</v>
      </c>
      <c r="H894" s="3" t="s">
        <v>25</v>
      </c>
      <c r="I894" s="6">
        <v>44805</v>
      </c>
      <c r="J894" s="4">
        <v>0</v>
      </c>
      <c r="K894" s="4">
        <v>0</v>
      </c>
      <c r="L894" s="4">
        <v>26.576000000000001</v>
      </c>
      <c r="M894" s="4">
        <v>8.7700800000000001</v>
      </c>
      <c r="N894" s="4">
        <v>26.576000000000001</v>
      </c>
      <c r="O894" s="4">
        <v>8.7700800000000001</v>
      </c>
      <c r="P894" s="4">
        <v>0</v>
      </c>
      <c r="Q894" s="3" t="s">
        <v>26</v>
      </c>
      <c r="R894" s="3">
        <v>0</v>
      </c>
      <c r="S894" s="3" t="s">
        <v>279</v>
      </c>
      <c r="T894" s="3" t="s">
        <v>497</v>
      </c>
      <c r="U894" s="3">
        <v>0</v>
      </c>
      <c r="V894" s="3">
        <v>25</v>
      </c>
      <c r="W894" s="3">
        <v>77</v>
      </c>
    </row>
    <row r="895" spans="1:23" ht="11.25" customHeight="1" x14ac:dyDescent="0.25">
      <c r="A895" s="3" t="s">
        <v>27</v>
      </c>
      <c r="B895" s="3" t="s">
        <v>43</v>
      </c>
      <c r="C895" s="3" t="s">
        <v>23</v>
      </c>
      <c r="D895" s="3" t="s">
        <v>44</v>
      </c>
      <c r="E895" s="3" t="s">
        <v>52</v>
      </c>
      <c r="F895" s="3" t="s">
        <v>54</v>
      </c>
      <c r="G895" s="3" t="s">
        <v>25</v>
      </c>
      <c r="H895" s="3" t="s">
        <v>25</v>
      </c>
      <c r="I895" s="6">
        <v>44805</v>
      </c>
      <c r="J895" s="4">
        <v>0</v>
      </c>
      <c r="K895" s="4">
        <v>0</v>
      </c>
      <c r="L895" s="4">
        <v>4.5650000000000004</v>
      </c>
      <c r="M895" s="4">
        <v>1.5064500000000001</v>
      </c>
      <c r="N895" s="4">
        <v>4.5650000000000004</v>
      </c>
      <c r="O895" s="4">
        <v>1.5064500000000001</v>
      </c>
      <c r="P895" s="4">
        <v>0</v>
      </c>
      <c r="Q895" s="3" t="s">
        <v>26</v>
      </c>
      <c r="R895" s="3">
        <v>0</v>
      </c>
      <c r="S895" s="3" t="s">
        <v>279</v>
      </c>
      <c r="T895" s="3" t="s">
        <v>497</v>
      </c>
      <c r="U895" s="3">
        <v>0</v>
      </c>
      <c r="V895" s="3">
        <v>25</v>
      </c>
      <c r="W895" s="3">
        <v>77</v>
      </c>
    </row>
    <row r="896" spans="1:23" ht="11.25" customHeight="1" x14ac:dyDescent="0.25">
      <c r="A896" s="3" t="s">
        <v>55</v>
      </c>
      <c r="B896" s="3" t="s">
        <v>43</v>
      </c>
      <c r="C896" s="3" t="s">
        <v>23</v>
      </c>
      <c r="D896" s="3" t="s">
        <v>44</v>
      </c>
      <c r="E896" s="3" t="s">
        <v>52</v>
      </c>
      <c r="F896" s="3" t="s">
        <v>54</v>
      </c>
      <c r="G896" s="3" t="s">
        <v>25</v>
      </c>
      <c r="H896" s="3" t="s">
        <v>25</v>
      </c>
      <c r="I896" s="6">
        <v>44835</v>
      </c>
      <c r="J896" s="4">
        <v>0</v>
      </c>
      <c r="K896" s="4">
        <v>0</v>
      </c>
      <c r="L896" s="4">
        <v>26.576000000000001</v>
      </c>
      <c r="M896" s="4">
        <v>8.7700800000000001</v>
      </c>
      <c r="N896" s="4">
        <v>26.576000000000001</v>
      </c>
      <c r="O896" s="4">
        <v>8.7700800000000001</v>
      </c>
      <c r="P896" s="4">
        <v>0</v>
      </c>
      <c r="Q896" s="3" t="s">
        <v>26</v>
      </c>
      <c r="R896" s="3">
        <v>0</v>
      </c>
      <c r="S896" s="3" t="s">
        <v>280</v>
      </c>
      <c r="T896" s="3" t="s">
        <v>498</v>
      </c>
      <c r="U896" s="3">
        <v>0</v>
      </c>
      <c r="V896" s="3">
        <v>25</v>
      </c>
      <c r="W896" s="3">
        <v>77</v>
      </c>
    </row>
    <row r="897" spans="1:23" ht="11.25" customHeight="1" x14ac:dyDescent="0.25">
      <c r="A897" s="3" t="s">
        <v>55</v>
      </c>
      <c r="B897" s="3" t="s">
        <v>43</v>
      </c>
      <c r="C897" s="3" t="s">
        <v>23</v>
      </c>
      <c r="D897" s="3" t="s">
        <v>44</v>
      </c>
      <c r="E897" s="3" t="s">
        <v>52</v>
      </c>
      <c r="F897" s="3" t="s">
        <v>54</v>
      </c>
      <c r="G897" s="3" t="s">
        <v>25</v>
      </c>
      <c r="H897" s="3" t="s">
        <v>25</v>
      </c>
      <c r="I897" s="6">
        <v>44835</v>
      </c>
      <c r="J897" s="4">
        <v>0</v>
      </c>
      <c r="K897" s="4">
        <v>0</v>
      </c>
      <c r="L897" s="4">
        <v>4.5650000000000004</v>
      </c>
      <c r="M897" s="4">
        <v>1.5064500000000001</v>
      </c>
      <c r="N897" s="4">
        <v>4.5650000000000004</v>
      </c>
      <c r="O897" s="4">
        <v>1.5064500000000001</v>
      </c>
      <c r="P897" s="4">
        <v>0</v>
      </c>
      <c r="Q897" s="3" t="s">
        <v>26</v>
      </c>
      <c r="R897" s="3">
        <v>0</v>
      </c>
      <c r="S897" s="3" t="s">
        <v>280</v>
      </c>
      <c r="T897" s="3" t="s">
        <v>498</v>
      </c>
      <c r="U897" s="3">
        <v>0</v>
      </c>
      <c r="V897" s="3">
        <v>25</v>
      </c>
      <c r="W897" s="3">
        <v>77</v>
      </c>
    </row>
    <row r="898" spans="1:23" ht="11.25" customHeight="1" x14ac:dyDescent="0.25">
      <c r="A898" s="3" t="s">
        <v>21</v>
      </c>
      <c r="B898" s="3" t="s">
        <v>43</v>
      </c>
      <c r="C898" s="3" t="s">
        <v>23</v>
      </c>
      <c r="D898" s="3" t="s">
        <v>44</v>
      </c>
      <c r="E898" s="3" t="s">
        <v>25</v>
      </c>
      <c r="F898" s="3" t="s">
        <v>25</v>
      </c>
      <c r="G898" s="3" t="s">
        <v>25</v>
      </c>
      <c r="H898" s="3" t="s">
        <v>25</v>
      </c>
      <c r="I898" s="6">
        <v>44501</v>
      </c>
      <c r="J898" s="4">
        <v>0</v>
      </c>
      <c r="K898" s="4">
        <v>0</v>
      </c>
      <c r="L898" s="4">
        <v>4749.16</v>
      </c>
      <c r="M898" s="4">
        <v>4749.16</v>
      </c>
      <c r="N898" s="4">
        <v>4749.16</v>
      </c>
      <c r="O898" s="4">
        <v>4749.16</v>
      </c>
      <c r="P898" s="4">
        <v>20785</v>
      </c>
      <c r="Q898" s="3" t="s">
        <v>26</v>
      </c>
      <c r="R898" s="3">
        <v>0</v>
      </c>
      <c r="S898" s="3" t="s">
        <v>269</v>
      </c>
      <c r="T898" s="3" t="s">
        <v>487</v>
      </c>
      <c r="U898" s="3">
        <v>0</v>
      </c>
      <c r="V898" s="3">
        <v>45</v>
      </c>
      <c r="W898" s="3">
        <v>77</v>
      </c>
    </row>
    <row r="899" spans="1:23" ht="11.25" customHeight="1" x14ac:dyDescent="0.25">
      <c r="A899" s="3" t="s">
        <v>27</v>
      </c>
      <c r="B899" s="3" t="s">
        <v>43</v>
      </c>
      <c r="C899" s="3" t="s">
        <v>23</v>
      </c>
      <c r="D899" s="3" t="s">
        <v>44</v>
      </c>
      <c r="E899" s="3" t="s">
        <v>25</v>
      </c>
      <c r="F899" s="3" t="s">
        <v>25</v>
      </c>
      <c r="G899" s="3" t="s">
        <v>25</v>
      </c>
      <c r="H899" s="3" t="s">
        <v>25</v>
      </c>
      <c r="I899" s="6">
        <v>44501</v>
      </c>
      <c r="J899" s="4">
        <v>0</v>
      </c>
      <c r="K899" s="4">
        <v>0</v>
      </c>
      <c r="L899" s="4">
        <v>-12.611000000000001</v>
      </c>
      <c r="M899" s="4">
        <v>-12.611000000000001</v>
      </c>
      <c r="N899" s="4">
        <v>-12.611000000000001</v>
      </c>
      <c r="O899" s="4">
        <v>-12.611000000000001</v>
      </c>
      <c r="P899" s="4">
        <v>-141</v>
      </c>
      <c r="Q899" s="3" t="s">
        <v>26</v>
      </c>
      <c r="R899" s="3">
        <v>0</v>
      </c>
      <c r="S899" s="3" t="s">
        <v>269</v>
      </c>
      <c r="T899" s="3" t="s">
        <v>487</v>
      </c>
      <c r="U899" s="3">
        <v>0</v>
      </c>
      <c r="V899" s="3">
        <v>45</v>
      </c>
      <c r="W899" s="3">
        <v>77</v>
      </c>
    </row>
    <row r="900" spans="1:23" ht="11.25" customHeight="1" x14ac:dyDescent="0.25">
      <c r="A900" s="3" t="s">
        <v>28</v>
      </c>
      <c r="B900" s="3" t="s">
        <v>43</v>
      </c>
      <c r="C900" s="3" t="s">
        <v>23</v>
      </c>
      <c r="D900" s="3" t="s">
        <v>44</v>
      </c>
      <c r="E900" s="3" t="s">
        <v>25</v>
      </c>
      <c r="F900" s="3" t="s">
        <v>25</v>
      </c>
      <c r="G900" s="3" t="s">
        <v>25</v>
      </c>
      <c r="H900" s="3" t="s">
        <v>25</v>
      </c>
      <c r="I900" s="6">
        <v>44501</v>
      </c>
      <c r="J900" s="4">
        <v>0</v>
      </c>
      <c r="K900" s="4">
        <v>0</v>
      </c>
      <c r="L900" s="4">
        <v>10.558</v>
      </c>
      <c r="M900" s="4">
        <v>10.558</v>
      </c>
      <c r="N900" s="4">
        <v>10.558</v>
      </c>
      <c r="O900" s="4">
        <v>10.558</v>
      </c>
      <c r="P900" s="4">
        <v>18</v>
      </c>
      <c r="Q900" s="3" t="s">
        <v>26</v>
      </c>
      <c r="R900" s="3">
        <v>0</v>
      </c>
      <c r="S900" s="3" t="s">
        <v>269</v>
      </c>
      <c r="T900" s="3" t="s">
        <v>487</v>
      </c>
      <c r="U900" s="3">
        <v>0</v>
      </c>
      <c r="V900" s="3">
        <v>45</v>
      </c>
      <c r="W900" s="3">
        <v>77</v>
      </c>
    </row>
    <row r="901" spans="1:23" ht="11.25" customHeight="1" x14ac:dyDescent="0.25">
      <c r="A901" s="3" t="s">
        <v>21</v>
      </c>
      <c r="B901" s="3" t="s">
        <v>43</v>
      </c>
      <c r="C901" s="3" t="s">
        <v>23</v>
      </c>
      <c r="D901" s="3" t="s">
        <v>44</v>
      </c>
      <c r="E901" s="3" t="s">
        <v>25</v>
      </c>
      <c r="F901" s="3" t="s">
        <v>25</v>
      </c>
      <c r="G901" s="3" t="s">
        <v>25</v>
      </c>
      <c r="H901" s="3" t="s">
        <v>25</v>
      </c>
      <c r="I901" s="6">
        <v>44531</v>
      </c>
      <c r="J901" s="4">
        <v>0</v>
      </c>
      <c r="K901" s="4">
        <v>0</v>
      </c>
      <c r="L901" s="4">
        <v>4572.6369999999997</v>
      </c>
      <c r="M901" s="4">
        <v>4572.6369999999997</v>
      </c>
      <c r="N901" s="4">
        <v>4572.6369999999997</v>
      </c>
      <c r="O901" s="4">
        <v>4572.6369999999997</v>
      </c>
      <c r="P901" s="4">
        <v>20901</v>
      </c>
      <c r="Q901" s="3" t="s">
        <v>26</v>
      </c>
      <c r="R901" s="3">
        <v>0</v>
      </c>
      <c r="S901" s="3" t="s">
        <v>270</v>
      </c>
      <c r="T901" s="3" t="s">
        <v>488</v>
      </c>
      <c r="U901" s="3">
        <v>0</v>
      </c>
      <c r="V901" s="3">
        <v>45</v>
      </c>
      <c r="W901" s="3">
        <v>77</v>
      </c>
    </row>
    <row r="902" spans="1:23" ht="11.25" customHeight="1" x14ac:dyDescent="0.25">
      <c r="A902" s="3" t="s">
        <v>27</v>
      </c>
      <c r="B902" s="3" t="s">
        <v>43</v>
      </c>
      <c r="C902" s="3" t="s">
        <v>23</v>
      </c>
      <c r="D902" s="3" t="s">
        <v>44</v>
      </c>
      <c r="E902" s="3" t="s">
        <v>25</v>
      </c>
      <c r="F902" s="3" t="s">
        <v>25</v>
      </c>
      <c r="G902" s="3" t="s">
        <v>25</v>
      </c>
      <c r="H902" s="3" t="s">
        <v>25</v>
      </c>
      <c r="I902" s="6">
        <v>44531</v>
      </c>
      <c r="J902" s="4">
        <v>0</v>
      </c>
      <c r="K902" s="4">
        <v>0</v>
      </c>
      <c r="L902" s="4">
        <v>-1.2390000000000001</v>
      </c>
      <c r="M902" s="4">
        <v>-1.2390000000000001</v>
      </c>
      <c r="N902" s="4">
        <v>-1.2390000000000001</v>
      </c>
      <c r="O902" s="4">
        <v>-1.2390000000000001</v>
      </c>
      <c r="P902" s="4">
        <v>-1</v>
      </c>
      <c r="Q902" s="3" t="s">
        <v>26</v>
      </c>
      <c r="R902" s="3">
        <v>0</v>
      </c>
      <c r="S902" s="3" t="s">
        <v>270</v>
      </c>
      <c r="T902" s="3" t="s">
        <v>488</v>
      </c>
      <c r="U902" s="3">
        <v>0</v>
      </c>
      <c r="V902" s="3">
        <v>45</v>
      </c>
      <c r="W902" s="3">
        <v>77</v>
      </c>
    </row>
    <row r="903" spans="1:23" ht="11.25" customHeight="1" x14ac:dyDescent="0.25">
      <c r="A903" s="3" t="s">
        <v>28</v>
      </c>
      <c r="B903" s="3" t="s">
        <v>43</v>
      </c>
      <c r="C903" s="3" t="s">
        <v>23</v>
      </c>
      <c r="D903" s="3" t="s">
        <v>44</v>
      </c>
      <c r="E903" s="3" t="s">
        <v>25</v>
      </c>
      <c r="F903" s="3" t="s">
        <v>25</v>
      </c>
      <c r="G903" s="3" t="s">
        <v>25</v>
      </c>
      <c r="H903" s="3" t="s">
        <v>25</v>
      </c>
      <c r="I903" s="6">
        <v>44531</v>
      </c>
      <c r="J903" s="4">
        <v>0</v>
      </c>
      <c r="K903" s="4">
        <v>0</v>
      </c>
      <c r="L903" s="4">
        <v>12.677</v>
      </c>
      <c r="M903" s="4">
        <v>12.677</v>
      </c>
      <c r="N903" s="4">
        <v>12.677</v>
      </c>
      <c r="O903" s="4">
        <v>12.677</v>
      </c>
      <c r="P903" s="4">
        <v>22</v>
      </c>
      <c r="Q903" s="3" t="s">
        <v>26</v>
      </c>
      <c r="R903" s="3">
        <v>0</v>
      </c>
      <c r="S903" s="3" t="s">
        <v>270</v>
      </c>
      <c r="T903" s="3" t="s">
        <v>488</v>
      </c>
      <c r="U903" s="3">
        <v>0</v>
      </c>
      <c r="V903" s="3">
        <v>45</v>
      </c>
      <c r="W903" s="3">
        <v>77</v>
      </c>
    </row>
    <row r="904" spans="1:23" ht="11.25" customHeight="1" x14ac:dyDescent="0.25">
      <c r="A904" s="3" t="s">
        <v>21</v>
      </c>
      <c r="B904" s="3" t="s">
        <v>43</v>
      </c>
      <c r="C904" s="3" t="s">
        <v>23</v>
      </c>
      <c r="D904" s="3" t="s">
        <v>44</v>
      </c>
      <c r="E904" s="3" t="s">
        <v>25</v>
      </c>
      <c r="F904" s="3" t="s">
        <v>25</v>
      </c>
      <c r="G904" s="3" t="s">
        <v>25</v>
      </c>
      <c r="H904" s="3" t="s">
        <v>25</v>
      </c>
      <c r="I904" s="6">
        <v>44562</v>
      </c>
      <c r="J904" s="4">
        <v>0</v>
      </c>
      <c r="K904" s="4">
        <v>0</v>
      </c>
      <c r="L904" s="4">
        <v>4610.8729999999996</v>
      </c>
      <c r="M904" s="4">
        <v>4610.8729999999996</v>
      </c>
      <c r="N904" s="4">
        <v>4610.8729999999996</v>
      </c>
      <c r="O904" s="4">
        <v>4610.8729999999996</v>
      </c>
      <c r="P904" s="4">
        <v>21236</v>
      </c>
      <c r="Q904" s="3" t="s">
        <v>26</v>
      </c>
      <c r="R904" s="3">
        <v>0</v>
      </c>
      <c r="S904" s="3" t="s">
        <v>271</v>
      </c>
      <c r="T904" s="3" t="s">
        <v>489</v>
      </c>
      <c r="U904" s="3">
        <v>0</v>
      </c>
      <c r="V904" s="3">
        <v>45</v>
      </c>
      <c r="W904" s="3">
        <v>77</v>
      </c>
    </row>
    <row r="905" spans="1:23" ht="11.25" customHeight="1" x14ac:dyDescent="0.25">
      <c r="A905" s="3" t="s">
        <v>27</v>
      </c>
      <c r="B905" s="3" t="s">
        <v>43</v>
      </c>
      <c r="C905" s="3" t="s">
        <v>23</v>
      </c>
      <c r="D905" s="3" t="s">
        <v>44</v>
      </c>
      <c r="E905" s="3" t="s">
        <v>25</v>
      </c>
      <c r="F905" s="3" t="s">
        <v>25</v>
      </c>
      <c r="G905" s="3" t="s">
        <v>25</v>
      </c>
      <c r="H905" s="3" t="s">
        <v>25</v>
      </c>
      <c r="I905" s="6">
        <v>44562</v>
      </c>
      <c r="J905" s="4">
        <v>0</v>
      </c>
      <c r="K905" s="4">
        <v>0</v>
      </c>
      <c r="L905" s="4">
        <v>-35.445999999999998</v>
      </c>
      <c r="M905" s="4">
        <v>-35.445999999999998</v>
      </c>
      <c r="N905" s="4">
        <v>-35.445999999999998</v>
      </c>
      <c r="O905" s="4">
        <v>-35.445999999999998</v>
      </c>
      <c r="P905" s="4">
        <v>-10</v>
      </c>
      <c r="Q905" s="3" t="s">
        <v>26</v>
      </c>
      <c r="R905" s="3">
        <v>0</v>
      </c>
      <c r="S905" s="3" t="s">
        <v>271</v>
      </c>
      <c r="T905" s="3" t="s">
        <v>489</v>
      </c>
      <c r="U905" s="3">
        <v>0</v>
      </c>
      <c r="V905" s="3">
        <v>45</v>
      </c>
      <c r="W905" s="3">
        <v>77</v>
      </c>
    </row>
    <row r="906" spans="1:23" ht="11.25" customHeight="1" x14ac:dyDescent="0.25">
      <c r="A906" s="3" t="s">
        <v>28</v>
      </c>
      <c r="B906" s="3" t="s">
        <v>43</v>
      </c>
      <c r="C906" s="3" t="s">
        <v>23</v>
      </c>
      <c r="D906" s="3" t="s">
        <v>44</v>
      </c>
      <c r="E906" s="3" t="s">
        <v>25</v>
      </c>
      <c r="F906" s="3" t="s">
        <v>25</v>
      </c>
      <c r="G906" s="3" t="s">
        <v>25</v>
      </c>
      <c r="H906" s="3" t="s">
        <v>25</v>
      </c>
      <c r="I906" s="6">
        <v>44562</v>
      </c>
      <c r="J906" s="4">
        <v>0</v>
      </c>
      <c r="K906" s="4">
        <v>0</v>
      </c>
      <c r="L906" s="4">
        <v>12.787000000000001</v>
      </c>
      <c r="M906" s="4">
        <v>12.787000000000001</v>
      </c>
      <c r="N906" s="4">
        <v>12.787000000000001</v>
      </c>
      <c r="O906" s="4">
        <v>12.787000000000001</v>
      </c>
      <c r="P906" s="4">
        <v>23</v>
      </c>
      <c r="Q906" s="3" t="s">
        <v>26</v>
      </c>
      <c r="R906" s="3">
        <v>0</v>
      </c>
      <c r="S906" s="3" t="s">
        <v>271</v>
      </c>
      <c r="T906" s="3" t="s">
        <v>489</v>
      </c>
      <c r="U906" s="3">
        <v>0</v>
      </c>
      <c r="V906" s="3">
        <v>45</v>
      </c>
      <c r="W906" s="3">
        <v>77</v>
      </c>
    </row>
    <row r="907" spans="1:23" ht="11.25" customHeight="1" x14ac:dyDescent="0.25">
      <c r="A907" s="3" t="s">
        <v>21</v>
      </c>
      <c r="B907" s="3" t="s">
        <v>43</v>
      </c>
      <c r="C907" s="3" t="s">
        <v>23</v>
      </c>
      <c r="D907" s="3" t="s">
        <v>44</v>
      </c>
      <c r="E907" s="3" t="s">
        <v>25</v>
      </c>
      <c r="F907" s="3" t="s">
        <v>25</v>
      </c>
      <c r="G907" s="3" t="s">
        <v>25</v>
      </c>
      <c r="H907" s="3" t="s">
        <v>25</v>
      </c>
      <c r="I907" s="6">
        <v>44593</v>
      </c>
      <c r="J907" s="4">
        <v>0</v>
      </c>
      <c r="K907" s="4">
        <v>0</v>
      </c>
      <c r="L907" s="4">
        <v>4667.0829999999996</v>
      </c>
      <c r="M907" s="4">
        <v>4667.0829999999996</v>
      </c>
      <c r="N907" s="4">
        <v>4667.0829999999996</v>
      </c>
      <c r="O907" s="4">
        <v>4667.0829999999996</v>
      </c>
      <c r="P907" s="4">
        <v>21352</v>
      </c>
      <c r="Q907" s="3" t="s">
        <v>26</v>
      </c>
      <c r="R907" s="3">
        <v>0</v>
      </c>
      <c r="S907" s="3" t="s">
        <v>272</v>
      </c>
      <c r="T907" s="3" t="s">
        <v>490</v>
      </c>
      <c r="U907" s="3">
        <v>0</v>
      </c>
      <c r="V907" s="3">
        <v>45</v>
      </c>
      <c r="W907" s="3">
        <v>77</v>
      </c>
    </row>
    <row r="908" spans="1:23" ht="11.25" customHeight="1" x14ac:dyDescent="0.25">
      <c r="A908" s="3" t="s">
        <v>27</v>
      </c>
      <c r="B908" s="3" t="s">
        <v>43</v>
      </c>
      <c r="C908" s="3" t="s">
        <v>23</v>
      </c>
      <c r="D908" s="3" t="s">
        <v>44</v>
      </c>
      <c r="E908" s="3" t="s">
        <v>25</v>
      </c>
      <c r="F908" s="3" t="s">
        <v>25</v>
      </c>
      <c r="G908" s="3" t="s">
        <v>25</v>
      </c>
      <c r="H908" s="3" t="s">
        <v>25</v>
      </c>
      <c r="I908" s="6">
        <v>44593</v>
      </c>
      <c r="J908" s="4">
        <v>0</v>
      </c>
      <c r="K908" s="4">
        <v>0</v>
      </c>
      <c r="L908" s="4">
        <v>-10.644</v>
      </c>
      <c r="M908" s="4">
        <v>-10.644</v>
      </c>
      <c r="N908" s="4">
        <v>-10.644</v>
      </c>
      <c r="O908" s="4">
        <v>-10.644</v>
      </c>
      <c r="P908" s="4">
        <v>-119</v>
      </c>
      <c r="Q908" s="3" t="s">
        <v>26</v>
      </c>
      <c r="R908" s="3">
        <v>0</v>
      </c>
      <c r="S908" s="3" t="s">
        <v>272</v>
      </c>
      <c r="T908" s="3" t="s">
        <v>490</v>
      </c>
      <c r="U908" s="3">
        <v>0</v>
      </c>
      <c r="V908" s="3">
        <v>45</v>
      </c>
      <c r="W908" s="3">
        <v>77</v>
      </c>
    </row>
    <row r="909" spans="1:23" ht="11.25" customHeight="1" x14ac:dyDescent="0.25">
      <c r="A909" s="3" t="s">
        <v>28</v>
      </c>
      <c r="B909" s="3" t="s">
        <v>43</v>
      </c>
      <c r="C909" s="3" t="s">
        <v>23</v>
      </c>
      <c r="D909" s="3" t="s">
        <v>44</v>
      </c>
      <c r="E909" s="3" t="s">
        <v>25</v>
      </c>
      <c r="F909" s="3" t="s">
        <v>25</v>
      </c>
      <c r="G909" s="3" t="s">
        <v>25</v>
      </c>
      <c r="H909" s="3" t="s">
        <v>25</v>
      </c>
      <c r="I909" s="6">
        <v>44593</v>
      </c>
      <c r="J909" s="4">
        <v>0</v>
      </c>
      <c r="K909" s="4">
        <v>0</v>
      </c>
      <c r="L909" s="4">
        <v>15.285</v>
      </c>
      <c r="M909" s="4">
        <v>15.285</v>
      </c>
      <c r="N909" s="4">
        <v>15.285</v>
      </c>
      <c r="O909" s="4">
        <v>15.285</v>
      </c>
      <c r="P909" s="4">
        <v>23</v>
      </c>
      <c r="Q909" s="3" t="s">
        <v>26</v>
      </c>
      <c r="R909" s="3">
        <v>0</v>
      </c>
      <c r="S909" s="3" t="s">
        <v>272</v>
      </c>
      <c r="T909" s="3" t="s">
        <v>490</v>
      </c>
      <c r="U909" s="3">
        <v>0</v>
      </c>
      <c r="V909" s="3">
        <v>45</v>
      </c>
      <c r="W909" s="3">
        <v>77</v>
      </c>
    </row>
    <row r="910" spans="1:23" ht="11.25" customHeight="1" x14ac:dyDescent="0.25">
      <c r="A910" s="3" t="s">
        <v>21</v>
      </c>
      <c r="B910" s="3" t="s">
        <v>43</v>
      </c>
      <c r="C910" s="3" t="s">
        <v>23</v>
      </c>
      <c r="D910" s="3" t="s">
        <v>44</v>
      </c>
      <c r="E910" s="3" t="s">
        <v>25</v>
      </c>
      <c r="F910" s="3" t="s">
        <v>25</v>
      </c>
      <c r="G910" s="3" t="s">
        <v>25</v>
      </c>
      <c r="H910" s="3" t="s">
        <v>25</v>
      </c>
      <c r="I910" s="6">
        <v>44621</v>
      </c>
      <c r="J910" s="4">
        <v>0</v>
      </c>
      <c r="K910" s="4">
        <v>0</v>
      </c>
      <c r="L910" s="4">
        <v>4556.893</v>
      </c>
      <c r="M910" s="4">
        <v>4556.893</v>
      </c>
      <c r="N910" s="4">
        <v>4556.893</v>
      </c>
      <c r="O910" s="4">
        <v>4556.893</v>
      </c>
      <c r="P910" s="4">
        <v>21403</v>
      </c>
      <c r="Q910" s="3" t="s">
        <v>26</v>
      </c>
      <c r="R910" s="3">
        <v>0</v>
      </c>
      <c r="S910" s="3" t="s">
        <v>273</v>
      </c>
      <c r="T910" s="3" t="s">
        <v>491</v>
      </c>
      <c r="U910" s="3">
        <v>0</v>
      </c>
      <c r="V910" s="3">
        <v>45</v>
      </c>
      <c r="W910" s="3">
        <v>77</v>
      </c>
    </row>
    <row r="911" spans="1:23" ht="11.25" customHeight="1" x14ac:dyDescent="0.25">
      <c r="A911" s="3" t="s">
        <v>27</v>
      </c>
      <c r="B911" s="3" t="s">
        <v>43</v>
      </c>
      <c r="C911" s="3" t="s">
        <v>23</v>
      </c>
      <c r="D911" s="3" t="s">
        <v>44</v>
      </c>
      <c r="E911" s="3" t="s">
        <v>25</v>
      </c>
      <c r="F911" s="3" t="s">
        <v>25</v>
      </c>
      <c r="G911" s="3" t="s">
        <v>25</v>
      </c>
      <c r="H911" s="3" t="s">
        <v>25</v>
      </c>
      <c r="I911" s="6">
        <v>44621</v>
      </c>
      <c r="J911" s="4">
        <v>0</v>
      </c>
      <c r="K911" s="4">
        <v>0</v>
      </c>
      <c r="L911" s="4">
        <v>-10.068</v>
      </c>
      <c r="M911" s="4">
        <v>-10.068</v>
      </c>
      <c r="N911" s="4">
        <v>-10.068</v>
      </c>
      <c r="O911" s="4">
        <v>-10.068</v>
      </c>
      <c r="P911" s="4">
        <v>-23</v>
      </c>
      <c r="Q911" s="3" t="s">
        <v>26</v>
      </c>
      <c r="R911" s="3">
        <v>0</v>
      </c>
      <c r="S911" s="3" t="s">
        <v>273</v>
      </c>
      <c r="T911" s="3" t="s">
        <v>491</v>
      </c>
      <c r="U911" s="3">
        <v>0</v>
      </c>
      <c r="V911" s="3">
        <v>45</v>
      </c>
      <c r="W911" s="3">
        <v>77</v>
      </c>
    </row>
    <row r="912" spans="1:23" ht="11.25" customHeight="1" x14ac:dyDescent="0.25">
      <c r="A912" s="3" t="s">
        <v>28</v>
      </c>
      <c r="B912" s="3" t="s">
        <v>43</v>
      </c>
      <c r="C912" s="3" t="s">
        <v>23</v>
      </c>
      <c r="D912" s="3" t="s">
        <v>44</v>
      </c>
      <c r="E912" s="3" t="s">
        <v>25</v>
      </c>
      <c r="F912" s="3" t="s">
        <v>25</v>
      </c>
      <c r="G912" s="3" t="s">
        <v>25</v>
      </c>
      <c r="H912" s="3" t="s">
        <v>25</v>
      </c>
      <c r="I912" s="6">
        <v>44621</v>
      </c>
      <c r="J912" s="4">
        <v>0</v>
      </c>
      <c r="K912" s="4">
        <v>0</v>
      </c>
      <c r="L912" s="4">
        <v>14.442</v>
      </c>
      <c r="M912" s="4">
        <v>14.442</v>
      </c>
      <c r="N912" s="4">
        <v>14.442</v>
      </c>
      <c r="O912" s="4">
        <v>14.442</v>
      </c>
      <c r="P912" s="4">
        <v>24</v>
      </c>
      <c r="Q912" s="3" t="s">
        <v>26</v>
      </c>
      <c r="R912" s="3">
        <v>0</v>
      </c>
      <c r="S912" s="3" t="s">
        <v>273</v>
      </c>
      <c r="T912" s="3" t="s">
        <v>491</v>
      </c>
      <c r="U912" s="3">
        <v>0</v>
      </c>
      <c r="V912" s="3">
        <v>45</v>
      </c>
      <c r="W912" s="3">
        <v>77</v>
      </c>
    </row>
    <row r="913" spans="1:23" ht="11.25" customHeight="1" x14ac:dyDescent="0.25">
      <c r="A913" s="3" t="s">
        <v>21</v>
      </c>
      <c r="B913" s="3" t="s">
        <v>43</v>
      </c>
      <c r="C913" s="3" t="s">
        <v>23</v>
      </c>
      <c r="D913" s="3" t="s">
        <v>44</v>
      </c>
      <c r="E913" s="3" t="s">
        <v>25</v>
      </c>
      <c r="F913" s="3" t="s">
        <v>25</v>
      </c>
      <c r="G913" s="3" t="s">
        <v>25</v>
      </c>
      <c r="H913" s="3" t="s">
        <v>25</v>
      </c>
      <c r="I913" s="6">
        <v>44652</v>
      </c>
      <c r="J913" s="4">
        <v>0</v>
      </c>
      <c r="K913" s="4">
        <v>0</v>
      </c>
      <c r="L913" s="4">
        <v>4556.893</v>
      </c>
      <c r="M913" s="4">
        <v>4556.893</v>
      </c>
      <c r="N913" s="4">
        <v>4556.893</v>
      </c>
      <c r="O913" s="4">
        <v>4556.893</v>
      </c>
      <c r="P913" s="4">
        <v>21403</v>
      </c>
      <c r="Q913" s="3" t="s">
        <v>26</v>
      </c>
      <c r="R913" s="3">
        <v>0</v>
      </c>
      <c r="S913" s="3" t="s">
        <v>274</v>
      </c>
      <c r="T913" s="3" t="s">
        <v>492</v>
      </c>
      <c r="U913" s="3">
        <v>0</v>
      </c>
      <c r="V913" s="3">
        <v>45</v>
      </c>
      <c r="W913" s="3">
        <v>77</v>
      </c>
    </row>
    <row r="914" spans="1:23" ht="11.25" customHeight="1" x14ac:dyDescent="0.25">
      <c r="A914" s="3" t="s">
        <v>27</v>
      </c>
      <c r="B914" s="3" t="s">
        <v>43</v>
      </c>
      <c r="C914" s="3" t="s">
        <v>23</v>
      </c>
      <c r="D914" s="3" t="s">
        <v>44</v>
      </c>
      <c r="E914" s="3" t="s">
        <v>25</v>
      </c>
      <c r="F914" s="3" t="s">
        <v>25</v>
      </c>
      <c r="G914" s="3" t="s">
        <v>25</v>
      </c>
      <c r="H914" s="3" t="s">
        <v>25</v>
      </c>
      <c r="I914" s="6">
        <v>44652</v>
      </c>
      <c r="J914" s="4">
        <v>0</v>
      </c>
      <c r="K914" s="4">
        <v>0</v>
      </c>
      <c r="L914" s="4">
        <v>-10.068</v>
      </c>
      <c r="M914" s="4">
        <v>-10.068</v>
      </c>
      <c r="N914" s="4">
        <v>-10.068</v>
      </c>
      <c r="O914" s="4">
        <v>-10.068</v>
      </c>
      <c r="P914" s="4">
        <v>-23</v>
      </c>
      <c r="Q914" s="3" t="s">
        <v>26</v>
      </c>
      <c r="R914" s="3">
        <v>0</v>
      </c>
      <c r="S914" s="3" t="s">
        <v>274</v>
      </c>
      <c r="T914" s="3" t="s">
        <v>492</v>
      </c>
      <c r="U914" s="3">
        <v>0</v>
      </c>
      <c r="V914" s="3">
        <v>45</v>
      </c>
      <c r="W914" s="3">
        <v>77</v>
      </c>
    </row>
    <row r="915" spans="1:23" ht="11.25" customHeight="1" x14ac:dyDescent="0.25">
      <c r="A915" s="3" t="s">
        <v>28</v>
      </c>
      <c r="B915" s="3" t="s">
        <v>43</v>
      </c>
      <c r="C915" s="3" t="s">
        <v>23</v>
      </c>
      <c r="D915" s="3" t="s">
        <v>44</v>
      </c>
      <c r="E915" s="3" t="s">
        <v>25</v>
      </c>
      <c r="F915" s="3" t="s">
        <v>25</v>
      </c>
      <c r="G915" s="3" t="s">
        <v>25</v>
      </c>
      <c r="H915" s="3" t="s">
        <v>25</v>
      </c>
      <c r="I915" s="6">
        <v>44652</v>
      </c>
      <c r="J915" s="4">
        <v>0</v>
      </c>
      <c r="K915" s="4">
        <v>0</v>
      </c>
      <c r="L915" s="4">
        <v>14.442</v>
      </c>
      <c r="M915" s="4">
        <v>14.442</v>
      </c>
      <c r="N915" s="4">
        <v>14.442</v>
      </c>
      <c r="O915" s="4">
        <v>14.442</v>
      </c>
      <c r="P915" s="4">
        <v>24</v>
      </c>
      <c r="Q915" s="3" t="s">
        <v>26</v>
      </c>
      <c r="R915" s="3">
        <v>0</v>
      </c>
      <c r="S915" s="3" t="s">
        <v>274</v>
      </c>
      <c r="T915" s="3" t="s">
        <v>492</v>
      </c>
      <c r="U915" s="3">
        <v>0</v>
      </c>
      <c r="V915" s="3">
        <v>45</v>
      </c>
      <c r="W915" s="3">
        <v>77</v>
      </c>
    </row>
    <row r="916" spans="1:23" ht="11.25" customHeight="1" x14ac:dyDescent="0.25">
      <c r="A916" s="3" t="s">
        <v>21</v>
      </c>
      <c r="B916" s="3" t="s">
        <v>43</v>
      </c>
      <c r="C916" s="3" t="s">
        <v>23</v>
      </c>
      <c r="D916" s="3" t="s">
        <v>44</v>
      </c>
      <c r="E916" s="3" t="s">
        <v>25</v>
      </c>
      <c r="F916" s="3" t="s">
        <v>25</v>
      </c>
      <c r="G916" s="3" t="s">
        <v>25</v>
      </c>
      <c r="H916" s="3" t="s">
        <v>25</v>
      </c>
      <c r="I916" s="6">
        <v>44682</v>
      </c>
      <c r="J916" s="4">
        <v>0</v>
      </c>
      <c r="K916" s="4">
        <v>0</v>
      </c>
      <c r="L916" s="4">
        <v>4387.3059999999996</v>
      </c>
      <c r="M916" s="4">
        <v>4387.3059999999996</v>
      </c>
      <c r="N916" s="4">
        <v>4387.3059999999996</v>
      </c>
      <c r="O916" s="4">
        <v>4387.3059999999996</v>
      </c>
      <c r="P916" s="4">
        <v>21390</v>
      </c>
      <c r="Q916" s="3" t="s">
        <v>26</v>
      </c>
      <c r="R916" s="3">
        <v>0</v>
      </c>
      <c r="S916" s="3" t="s">
        <v>275</v>
      </c>
      <c r="T916" s="3" t="s">
        <v>493</v>
      </c>
      <c r="U916" s="3">
        <v>0</v>
      </c>
      <c r="V916" s="3">
        <v>45</v>
      </c>
      <c r="W916" s="3">
        <v>77</v>
      </c>
    </row>
    <row r="917" spans="1:23" ht="11.25" customHeight="1" x14ac:dyDescent="0.25">
      <c r="A917" s="3" t="s">
        <v>27</v>
      </c>
      <c r="B917" s="3" t="s">
        <v>43</v>
      </c>
      <c r="C917" s="3" t="s">
        <v>23</v>
      </c>
      <c r="D917" s="3" t="s">
        <v>44</v>
      </c>
      <c r="E917" s="3" t="s">
        <v>25</v>
      </c>
      <c r="F917" s="3" t="s">
        <v>25</v>
      </c>
      <c r="G917" s="3" t="s">
        <v>25</v>
      </c>
      <c r="H917" s="3" t="s">
        <v>25</v>
      </c>
      <c r="I917" s="6">
        <v>44682</v>
      </c>
      <c r="J917" s="4">
        <v>0</v>
      </c>
      <c r="K917" s="4">
        <v>0</v>
      </c>
      <c r="L917" s="4">
        <v>-14.311999999999999</v>
      </c>
      <c r="M917" s="4">
        <v>-14.311999999999999</v>
      </c>
      <c r="N917" s="4">
        <v>-14.311999999999999</v>
      </c>
      <c r="O917" s="4">
        <v>-14.311999999999999</v>
      </c>
      <c r="P917" s="4">
        <v>0</v>
      </c>
      <c r="Q917" s="3" t="s">
        <v>26</v>
      </c>
      <c r="R917" s="3">
        <v>0</v>
      </c>
      <c r="S917" s="3" t="s">
        <v>275</v>
      </c>
      <c r="T917" s="3" t="s">
        <v>493</v>
      </c>
      <c r="U917" s="3">
        <v>0</v>
      </c>
      <c r="V917" s="3">
        <v>45</v>
      </c>
      <c r="W917" s="3">
        <v>77</v>
      </c>
    </row>
    <row r="918" spans="1:23" ht="11.25" customHeight="1" x14ac:dyDescent="0.25">
      <c r="A918" s="3" t="s">
        <v>28</v>
      </c>
      <c r="B918" s="3" t="s">
        <v>43</v>
      </c>
      <c r="C918" s="3" t="s">
        <v>23</v>
      </c>
      <c r="D918" s="3" t="s">
        <v>44</v>
      </c>
      <c r="E918" s="3" t="s">
        <v>25</v>
      </c>
      <c r="F918" s="3" t="s">
        <v>25</v>
      </c>
      <c r="G918" s="3" t="s">
        <v>25</v>
      </c>
      <c r="H918" s="3" t="s">
        <v>25</v>
      </c>
      <c r="I918" s="6">
        <v>44682</v>
      </c>
      <c r="J918" s="4">
        <v>0</v>
      </c>
      <c r="K918" s="4">
        <v>0</v>
      </c>
      <c r="L918" s="4">
        <v>64.147999999999996</v>
      </c>
      <c r="M918" s="4">
        <v>64.147999999999996</v>
      </c>
      <c r="N918" s="4">
        <v>64.147999999999996</v>
      </c>
      <c r="O918" s="4">
        <v>64.147999999999996</v>
      </c>
      <c r="P918" s="4">
        <v>120</v>
      </c>
      <c r="Q918" s="3" t="s">
        <v>26</v>
      </c>
      <c r="R918" s="3">
        <v>0</v>
      </c>
      <c r="S918" s="3" t="s">
        <v>275</v>
      </c>
      <c r="T918" s="3" t="s">
        <v>493</v>
      </c>
      <c r="U918" s="3">
        <v>0</v>
      </c>
      <c r="V918" s="3">
        <v>45</v>
      </c>
      <c r="W918" s="3">
        <v>77</v>
      </c>
    </row>
    <row r="919" spans="1:23" ht="11.25" customHeight="1" x14ac:dyDescent="0.25">
      <c r="A919" s="3" t="s">
        <v>21</v>
      </c>
      <c r="B919" s="3" t="s">
        <v>43</v>
      </c>
      <c r="C919" s="3" t="s">
        <v>23</v>
      </c>
      <c r="D919" s="3" t="s">
        <v>44</v>
      </c>
      <c r="E919" s="3" t="s">
        <v>25</v>
      </c>
      <c r="F919" s="3" t="s">
        <v>25</v>
      </c>
      <c r="G919" s="3" t="s">
        <v>25</v>
      </c>
      <c r="H919" s="3" t="s">
        <v>25</v>
      </c>
      <c r="I919" s="6">
        <v>44713</v>
      </c>
      <c r="J919" s="4">
        <v>0</v>
      </c>
      <c r="K919" s="4">
        <v>0</v>
      </c>
      <c r="L919" s="4">
        <v>4146.3980000000001</v>
      </c>
      <c r="M919" s="4">
        <v>4146.3980000000001</v>
      </c>
      <c r="N919" s="4">
        <v>4146.3980000000001</v>
      </c>
      <c r="O919" s="4">
        <v>4146.3980000000001</v>
      </c>
      <c r="P919" s="4">
        <v>21395</v>
      </c>
      <c r="Q919" s="3" t="s">
        <v>26</v>
      </c>
      <c r="R919" s="3">
        <v>0</v>
      </c>
      <c r="S919" s="3" t="s">
        <v>276</v>
      </c>
      <c r="T919" s="3" t="s">
        <v>494</v>
      </c>
      <c r="U919" s="3">
        <v>0</v>
      </c>
      <c r="V919" s="3">
        <v>45</v>
      </c>
      <c r="W919" s="3">
        <v>77</v>
      </c>
    </row>
    <row r="920" spans="1:23" ht="11.25" customHeight="1" x14ac:dyDescent="0.25">
      <c r="A920" s="3" t="s">
        <v>27</v>
      </c>
      <c r="B920" s="3" t="s">
        <v>43</v>
      </c>
      <c r="C920" s="3" t="s">
        <v>23</v>
      </c>
      <c r="D920" s="3" t="s">
        <v>44</v>
      </c>
      <c r="E920" s="3" t="s">
        <v>25</v>
      </c>
      <c r="F920" s="3" t="s">
        <v>25</v>
      </c>
      <c r="G920" s="3" t="s">
        <v>25</v>
      </c>
      <c r="H920" s="3" t="s">
        <v>25</v>
      </c>
      <c r="I920" s="6">
        <v>44713</v>
      </c>
      <c r="J920" s="4">
        <v>0</v>
      </c>
      <c r="K920" s="4">
        <v>0</v>
      </c>
      <c r="L920" s="4">
        <v>-4.468</v>
      </c>
      <c r="M920" s="4">
        <v>-4.468</v>
      </c>
      <c r="N920" s="4">
        <v>-4.468</v>
      </c>
      <c r="O920" s="4">
        <v>-4.468</v>
      </c>
      <c r="P920" s="4">
        <v>-1</v>
      </c>
      <c r="Q920" s="3" t="s">
        <v>26</v>
      </c>
      <c r="R920" s="3">
        <v>0</v>
      </c>
      <c r="S920" s="3" t="s">
        <v>276</v>
      </c>
      <c r="T920" s="3" t="s">
        <v>494</v>
      </c>
      <c r="U920" s="3">
        <v>0</v>
      </c>
      <c r="V920" s="3">
        <v>45</v>
      </c>
      <c r="W920" s="3">
        <v>77</v>
      </c>
    </row>
    <row r="921" spans="1:23" ht="11.25" customHeight="1" x14ac:dyDescent="0.25">
      <c r="A921" s="3" t="s">
        <v>28</v>
      </c>
      <c r="B921" s="3" t="s">
        <v>43</v>
      </c>
      <c r="C921" s="3" t="s">
        <v>23</v>
      </c>
      <c r="D921" s="3" t="s">
        <v>44</v>
      </c>
      <c r="E921" s="3" t="s">
        <v>25</v>
      </c>
      <c r="F921" s="3" t="s">
        <v>25</v>
      </c>
      <c r="G921" s="3" t="s">
        <v>25</v>
      </c>
      <c r="H921" s="3" t="s">
        <v>25</v>
      </c>
      <c r="I921" s="6">
        <v>44713</v>
      </c>
      <c r="J921" s="4">
        <v>0</v>
      </c>
      <c r="K921" s="4">
        <v>0</v>
      </c>
      <c r="L921" s="4">
        <v>15.835000000000001</v>
      </c>
      <c r="M921" s="4">
        <v>15.835000000000001</v>
      </c>
      <c r="N921" s="4">
        <v>15.835000000000001</v>
      </c>
      <c r="O921" s="4">
        <v>15.835000000000001</v>
      </c>
      <c r="P921" s="4">
        <v>33</v>
      </c>
      <c r="Q921" s="3" t="s">
        <v>26</v>
      </c>
      <c r="R921" s="3">
        <v>0</v>
      </c>
      <c r="S921" s="3" t="s">
        <v>276</v>
      </c>
      <c r="T921" s="3" t="s">
        <v>494</v>
      </c>
      <c r="U921" s="3">
        <v>0</v>
      </c>
      <c r="V921" s="3">
        <v>45</v>
      </c>
      <c r="W921" s="3">
        <v>77</v>
      </c>
    </row>
    <row r="922" spans="1:23" ht="11.25" customHeight="1" x14ac:dyDescent="0.25">
      <c r="A922" s="3" t="s">
        <v>21</v>
      </c>
      <c r="B922" s="3" t="s">
        <v>43</v>
      </c>
      <c r="C922" s="3" t="s">
        <v>23</v>
      </c>
      <c r="D922" s="3" t="s">
        <v>44</v>
      </c>
      <c r="E922" s="3" t="s">
        <v>25</v>
      </c>
      <c r="F922" s="3" t="s">
        <v>25</v>
      </c>
      <c r="G922" s="3" t="s">
        <v>25</v>
      </c>
      <c r="H922" s="3" t="s">
        <v>25</v>
      </c>
      <c r="I922" s="6">
        <v>44743</v>
      </c>
      <c r="J922" s="4">
        <v>0</v>
      </c>
      <c r="K922" s="4">
        <v>0</v>
      </c>
      <c r="L922" s="4">
        <v>4019.98</v>
      </c>
      <c r="M922" s="4">
        <v>4019.98</v>
      </c>
      <c r="N922" s="4">
        <v>4019.98</v>
      </c>
      <c r="O922" s="4">
        <v>4019.98</v>
      </c>
      <c r="P922" s="4">
        <v>21381</v>
      </c>
      <c r="Q922" s="3" t="s">
        <v>26</v>
      </c>
      <c r="R922" s="3">
        <v>0</v>
      </c>
      <c r="S922" s="3" t="s">
        <v>277</v>
      </c>
      <c r="T922" s="3" t="s">
        <v>495</v>
      </c>
      <c r="U922" s="3">
        <v>0</v>
      </c>
      <c r="V922" s="3">
        <v>45</v>
      </c>
      <c r="W922" s="3">
        <v>77</v>
      </c>
    </row>
    <row r="923" spans="1:23" ht="11.25" customHeight="1" x14ac:dyDescent="0.25">
      <c r="A923" s="3" t="s">
        <v>27</v>
      </c>
      <c r="B923" s="3" t="s">
        <v>43</v>
      </c>
      <c r="C923" s="3" t="s">
        <v>23</v>
      </c>
      <c r="D923" s="3" t="s">
        <v>44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44743</v>
      </c>
      <c r="J923" s="4">
        <v>0</v>
      </c>
      <c r="K923" s="4">
        <v>0</v>
      </c>
      <c r="L923" s="4">
        <v>-7.952</v>
      </c>
      <c r="M923" s="4">
        <v>-7.952</v>
      </c>
      <c r="N923" s="4">
        <v>-7.952</v>
      </c>
      <c r="O923" s="4">
        <v>-7.952</v>
      </c>
      <c r="P923" s="4">
        <v>-17</v>
      </c>
      <c r="Q923" s="3" t="s">
        <v>26</v>
      </c>
      <c r="R923" s="3">
        <v>0</v>
      </c>
      <c r="S923" s="3" t="s">
        <v>277</v>
      </c>
      <c r="T923" s="3" t="s">
        <v>495</v>
      </c>
      <c r="U923" s="3">
        <v>0</v>
      </c>
      <c r="V923" s="3">
        <v>45</v>
      </c>
      <c r="W923" s="3">
        <v>77</v>
      </c>
    </row>
    <row r="924" spans="1:23" ht="11.25" customHeight="1" x14ac:dyDescent="0.25">
      <c r="A924" s="3" t="s">
        <v>28</v>
      </c>
      <c r="B924" s="3" t="s">
        <v>43</v>
      </c>
      <c r="C924" s="3" t="s">
        <v>23</v>
      </c>
      <c r="D924" s="3" t="s">
        <v>44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44743</v>
      </c>
      <c r="J924" s="4">
        <v>0</v>
      </c>
      <c r="K924" s="4">
        <v>0</v>
      </c>
      <c r="L924" s="4">
        <v>30.071999999999999</v>
      </c>
      <c r="M924" s="4">
        <v>30.071999999999999</v>
      </c>
      <c r="N924" s="4">
        <v>30.071999999999999</v>
      </c>
      <c r="O924" s="4">
        <v>30.071999999999999</v>
      </c>
      <c r="P924" s="4">
        <v>36</v>
      </c>
      <c r="Q924" s="3" t="s">
        <v>26</v>
      </c>
      <c r="R924" s="3">
        <v>0</v>
      </c>
      <c r="S924" s="3" t="s">
        <v>277</v>
      </c>
      <c r="T924" s="3" t="s">
        <v>495</v>
      </c>
      <c r="U924" s="3">
        <v>0</v>
      </c>
      <c r="V924" s="3">
        <v>45</v>
      </c>
      <c r="W924" s="3">
        <v>77</v>
      </c>
    </row>
    <row r="925" spans="1:23" ht="11.25" customHeight="1" x14ac:dyDescent="0.25">
      <c r="A925" s="3" t="s">
        <v>21</v>
      </c>
      <c r="B925" s="3" t="s">
        <v>43</v>
      </c>
      <c r="C925" s="3" t="s">
        <v>23</v>
      </c>
      <c r="D925" s="3" t="s">
        <v>44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44774</v>
      </c>
      <c r="J925" s="4">
        <v>0</v>
      </c>
      <c r="K925" s="4">
        <v>0</v>
      </c>
      <c r="L925" s="4">
        <v>4611.3069999999998</v>
      </c>
      <c r="M925" s="4">
        <v>4611.3069999999998</v>
      </c>
      <c r="N925" s="4">
        <v>4611.3069999999998</v>
      </c>
      <c r="O925" s="4">
        <v>4611.3069999999998</v>
      </c>
      <c r="P925" s="4">
        <v>21359</v>
      </c>
      <c r="Q925" s="3" t="s">
        <v>26</v>
      </c>
      <c r="R925" s="3">
        <v>0</v>
      </c>
      <c r="S925" s="3" t="s">
        <v>278</v>
      </c>
      <c r="T925" s="3" t="s">
        <v>496</v>
      </c>
      <c r="U925" s="3">
        <v>0</v>
      </c>
      <c r="V925" s="3">
        <v>45</v>
      </c>
      <c r="W925" s="3">
        <v>77</v>
      </c>
    </row>
    <row r="926" spans="1:23" ht="11.25" customHeight="1" x14ac:dyDescent="0.25">
      <c r="A926" s="3" t="s">
        <v>27</v>
      </c>
      <c r="B926" s="3" t="s">
        <v>43</v>
      </c>
      <c r="C926" s="3" t="s">
        <v>23</v>
      </c>
      <c r="D926" s="3" t="s">
        <v>44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44774</v>
      </c>
      <c r="J926" s="4">
        <v>0</v>
      </c>
      <c r="K926" s="4">
        <v>0</v>
      </c>
      <c r="L926" s="4">
        <v>-6.3239999999999998</v>
      </c>
      <c r="M926" s="4">
        <v>-6.3239999999999998</v>
      </c>
      <c r="N926" s="4">
        <v>-6.3239999999999998</v>
      </c>
      <c r="O926" s="4">
        <v>-6.3239999999999998</v>
      </c>
      <c r="P926" s="4">
        <v>-87</v>
      </c>
      <c r="Q926" s="3" t="s">
        <v>26</v>
      </c>
      <c r="R926" s="3">
        <v>0</v>
      </c>
      <c r="S926" s="3" t="s">
        <v>278</v>
      </c>
      <c r="T926" s="3" t="s">
        <v>496</v>
      </c>
      <c r="U926" s="3">
        <v>0</v>
      </c>
      <c r="V926" s="3">
        <v>45</v>
      </c>
      <c r="W926" s="3">
        <v>77</v>
      </c>
    </row>
    <row r="927" spans="1:23" ht="11.25" customHeight="1" x14ac:dyDescent="0.25">
      <c r="A927" s="3" t="s">
        <v>28</v>
      </c>
      <c r="B927" s="3" t="s">
        <v>43</v>
      </c>
      <c r="C927" s="3" t="s">
        <v>23</v>
      </c>
      <c r="D927" s="3" t="s">
        <v>44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44774</v>
      </c>
      <c r="J927" s="4">
        <v>0</v>
      </c>
      <c r="K927" s="4">
        <v>0</v>
      </c>
      <c r="L927" s="4">
        <v>29.541</v>
      </c>
      <c r="M927" s="4">
        <v>29.541</v>
      </c>
      <c r="N927" s="4">
        <v>29.541</v>
      </c>
      <c r="O927" s="4">
        <v>29.541</v>
      </c>
      <c r="P927" s="4">
        <v>39</v>
      </c>
      <c r="Q927" s="3" t="s">
        <v>26</v>
      </c>
      <c r="R927" s="3">
        <v>0</v>
      </c>
      <c r="S927" s="3" t="s">
        <v>278</v>
      </c>
      <c r="T927" s="3" t="s">
        <v>496</v>
      </c>
      <c r="U927" s="3">
        <v>0</v>
      </c>
      <c r="V927" s="3">
        <v>45</v>
      </c>
      <c r="W927" s="3">
        <v>77</v>
      </c>
    </row>
    <row r="928" spans="1:23" ht="11.25" customHeight="1" x14ac:dyDescent="0.25">
      <c r="A928" s="3" t="s">
        <v>21</v>
      </c>
      <c r="B928" s="3" t="s">
        <v>43</v>
      </c>
      <c r="C928" s="3" t="s">
        <v>23</v>
      </c>
      <c r="D928" s="3" t="s">
        <v>44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44805</v>
      </c>
      <c r="J928" s="4">
        <v>0</v>
      </c>
      <c r="K928" s="4">
        <v>0</v>
      </c>
      <c r="L928" s="4">
        <v>4477.0479999999998</v>
      </c>
      <c r="M928" s="4">
        <v>4477.0479999999998</v>
      </c>
      <c r="N928" s="4">
        <v>4477.0479999999998</v>
      </c>
      <c r="O928" s="4">
        <v>4477.0479999999998</v>
      </c>
      <c r="P928" s="4">
        <v>21315</v>
      </c>
      <c r="Q928" s="3" t="s">
        <v>26</v>
      </c>
      <c r="R928" s="3">
        <v>0</v>
      </c>
      <c r="S928" s="3" t="s">
        <v>279</v>
      </c>
      <c r="T928" s="3" t="s">
        <v>497</v>
      </c>
      <c r="U928" s="3">
        <v>0</v>
      </c>
      <c r="V928" s="3">
        <v>45</v>
      </c>
      <c r="W928" s="3">
        <v>77</v>
      </c>
    </row>
    <row r="929" spans="1:23" ht="11.25" customHeight="1" x14ac:dyDescent="0.25">
      <c r="A929" s="3" t="s">
        <v>27</v>
      </c>
      <c r="B929" s="3" t="s">
        <v>43</v>
      </c>
      <c r="C929" s="3" t="s">
        <v>23</v>
      </c>
      <c r="D929" s="3" t="s">
        <v>44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44805</v>
      </c>
      <c r="J929" s="4">
        <v>0</v>
      </c>
      <c r="K929" s="4">
        <v>0</v>
      </c>
      <c r="L929" s="4">
        <v>-17.190999999999999</v>
      </c>
      <c r="M929" s="4">
        <v>-17.190999999999999</v>
      </c>
      <c r="N929" s="4">
        <v>-17.190999999999999</v>
      </c>
      <c r="O929" s="4">
        <v>-17.190999999999999</v>
      </c>
      <c r="P929" s="4">
        <v>-48</v>
      </c>
      <c r="Q929" s="3" t="s">
        <v>26</v>
      </c>
      <c r="R929" s="3">
        <v>0</v>
      </c>
      <c r="S929" s="3" t="s">
        <v>279</v>
      </c>
      <c r="T929" s="3" t="s">
        <v>497</v>
      </c>
      <c r="U929" s="3">
        <v>0</v>
      </c>
      <c r="V929" s="3">
        <v>45</v>
      </c>
      <c r="W929" s="3">
        <v>77</v>
      </c>
    </row>
    <row r="930" spans="1:23" ht="11.25" customHeight="1" x14ac:dyDescent="0.25">
      <c r="A930" s="3" t="s">
        <v>28</v>
      </c>
      <c r="B930" s="3" t="s">
        <v>43</v>
      </c>
      <c r="C930" s="3" t="s">
        <v>23</v>
      </c>
      <c r="D930" s="3" t="s">
        <v>44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44805</v>
      </c>
      <c r="J930" s="4">
        <v>0</v>
      </c>
      <c r="K930" s="4">
        <v>0</v>
      </c>
      <c r="L930" s="4">
        <v>33.85</v>
      </c>
      <c r="M930" s="4">
        <v>33.85</v>
      </c>
      <c r="N930" s="4">
        <v>33.85</v>
      </c>
      <c r="O930" s="4">
        <v>33.85</v>
      </c>
      <c r="P930" s="4">
        <v>40</v>
      </c>
      <c r="Q930" s="3" t="s">
        <v>26</v>
      </c>
      <c r="R930" s="3">
        <v>0</v>
      </c>
      <c r="S930" s="3" t="s">
        <v>279</v>
      </c>
      <c r="T930" s="3" t="s">
        <v>497</v>
      </c>
      <c r="U930" s="3">
        <v>0</v>
      </c>
      <c r="V930" s="3">
        <v>45</v>
      </c>
      <c r="W930" s="3">
        <v>77</v>
      </c>
    </row>
    <row r="931" spans="1:23" ht="11.25" customHeight="1" x14ac:dyDescent="0.25">
      <c r="A931" s="3" t="s">
        <v>55</v>
      </c>
      <c r="B931" s="3" t="s">
        <v>43</v>
      </c>
      <c r="C931" s="3" t="s">
        <v>23</v>
      </c>
      <c r="D931" s="3" t="s">
        <v>44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44835</v>
      </c>
      <c r="J931" s="4">
        <v>0</v>
      </c>
      <c r="K931" s="4">
        <v>0</v>
      </c>
      <c r="L931" s="4">
        <v>4477.0479999999998</v>
      </c>
      <c r="M931" s="4">
        <v>4477.0479999999998</v>
      </c>
      <c r="N931" s="4">
        <v>4477.0479999999998</v>
      </c>
      <c r="O931" s="4">
        <v>4477.0479999999998</v>
      </c>
      <c r="P931" s="4">
        <v>21315</v>
      </c>
      <c r="Q931" s="3" t="s">
        <v>26</v>
      </c>
      <c r="R931" s="3">
        <v>0</v>
      </c>
      <c r="S931" s="3" t="s">
        <v>280</v>
      </c>
      <c r="T931" s="3" t="s">
        <v>498</v>
      </c>
      <c r="U931" s="3">
        <v>0</v>
      </c>
      <c r="V931" s="3">
        <v>45</v>
      </c>
      <c r="W931" s="3">
        <v>77</v>
      </c>
    </row>
    <row r="932" spans="1:23" ht="11.25" customHeight="1" x14ac:dyDescent="0.25">
      <c r="A932" s="3" t="s">
        <v>55</v>
      </c>
      <c r="B932" s="3" t="s">
        <v>43</v>
      </c>
      <c r="C932" s="3" t="s">
        <v>23</v>
      </c>
      <c r="D932" s="3" t="s">
        <v>44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44835</v>
      </c>
      <c r="J932" s="4">
        <v>0</v>
      </c>
      <c r="K932" s="4">
        <v>0</v>
      </c>
      <c r="L932" s="4">
        <v>-17.190999999999999</v>
      </c>
      <c r="M932" s="4">
        <v>-17.190999999999999</v>
      </c>
      <c r="N932" s="4">
        <v>-17.190999999999999</v>
      </c>
      <c r="O932" s="4">
        <v>-17.190999999999999</v>
      </c>
      <c r="P932" s="4">
        <v>-48</v>
      </c>
      <c r="Q932" s="3" t="s">
        <v>26</v>
      </c>
      <c r="R932" s="3">
        <v>0</v>
      </c>
      <c r="S932" s="3" t="s">
        <v>280</v>
      </c>
      <c r="T932" s="3" t="s">
        <v>498</v>
      </c>
      <c r="U932" s="3">
        <v>0</v>
      </c>
      <c r="V932" s="3">
        <v>45</v>
      </c>
      <c r="W932" s="3">
        <v>77</v>
      </c>
    </row>
    <row r="933" spans="1:23" ht="11.25" customHeight="1" x14ac:dyDescent="0.25">
      <c r="A933" s="3" t="s">
        <v>55</v>
      </c>
      <c r="B933" s="3" t="s">
        <v>43</v>
      </c>
      <c r="C933" s="3" t="s">
        <v>23</v>
      </c>
      <c r="D933" s="3" t="s">
        <v>44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44835</v>
      </c>
      <c r="J933" s="4">
        <v>0</v>
      </c>
      <c r="K933" s="4">
        <v>0</v>
      </c>
      <c r="L933" s="4">
        <v>33.85</v>
      </c>
      <c r="M933" s="4">
        <v>33.85</v>
      </c>
      <c r="N933" s="4">
        <v>33.85</v>
      </c>
      <c r="O933" s="4">
        <v>33.85</v>
      </c>
      <c r="P933" s="4">
        <v>40</v>
      </c>
      <c r="Q933" s="3" t="s">
        <v>26</v>
      </c>
      <c r="R933" s="3">
        <v>0</v>
      </c>
      <c r="S933" s="3" t="s">
        <v>280</v>
      </c>
      <c r="T933" s="3" t="s">
        <v>498</v>
      </c>
      <c r="U933" s="3">
        <v>0</v>
      </c>
      <c r="V933" s="3">
        <v>45</v>
      </c>
      <c r="W933" s="3">
        <v>77</v>
      </c>
    </row>
    <row r="934" spans="1:23" ht="11.25" customHeight="1" x14ac:dyDescent="0.25">
      <c r="A934" s="3" t="s">
        <v>21</v>
      </c>
      <c r="B934" s="3" t="s">
        <v>37</v>
      </c>
      <c r="C934" s="3" t="s">
        <v>33</v>
      </c>
      <c r="D934" s="3" t="s">
        <v>42</v>
      </c>
      <c r="E934" s="3" t="s">
        <v>25</v>
      </c>
      <c r="F934" s="3" t="s">
        <v>25</v>
      </c>
      <c r="G934" s="3" t="s">
        <v>25</v>
      </c>
      <c r="H934" s="3" t="s">
        <v>35</v>
      </c>
      <c r="I934" s="6">
        <v>44501</v>
      </c>
      <c r="J934" s="4">
        <v>0</v>
      </c>
      <c r="K934" s="4">
        <v>0</v>
      </c>
      <c r="L934" s="4">
        <v>89.212000000000003</v>
      </c>
      <c r="M934" s="4">
        <v>89.212000000000003</v>
      </c>
      <c r="N934" s="4">
        <v>89.212000000000003</v>
      </c>
      <c r="O934" s="4">
        <v>89.212000000000003</v>
      </c>
      <c r="P934" s="4">
        <v>0</v>
      </c>
      <c r="Q934" s="3" t="s">
        <v>26</v>
      </c>
      <c r="R934" s="3">
        <v>0</v>
      </c>
      <c r="S934" s="3" t="s">
        <v>281</v>
      </c>
      <c r="T934" s="3" t="s">
        <v>499</v>
      </c>
      <c r="U934" s="3">
        <v>0</v>
      </c>
      <c r="V934" s="3">
        <v>46</v>
      </c>
      <c r="W934" s="3">
        <v>74</v>
      </c>
    </row>
    <row r="935" spans="1:23" ht="11.25" customHeight="1" x14ac:dyDescent="0.25">
      <c r="A935" s="3" t="s">
        <v>28</v>
      </c>
      <c r="B935" s="3" t="s">
        <v>37</v>
      </c>
      <c r="C935" s="3" t="s">
        <v>33</v>
      </c>
      <c r="D935" s="3" t="s">
        <v>42</v>
      </c>
      <c r="E935" s="3" t="s">
        <v>25</v>
      </c>
      <c r="F935" s="3" t="s">
        <v>25</v>
      </c>
      <c r="G935" s="3" t="s">
        <v>25</v>
      </c>
      <c r="H935" s="3" t="s">
        <v>35</v>
      </c>
      <c r="I935" s="6">
        <v>44501</v>
      </c>
      <c r="J935" s="4">
        <v>0</v>
      </c>
      <c r="K935" s="4">
        <v>0</v>
      </c>
      <c r="L935" s="4">
        <v>8.1999999999999993</v>
      </c>
      <c r="M935" s="4">
        <v>8.1999999999999993</v>
      </c>
      <c r="N935" s="4">
        <v>8.1999999999999993</v>
      </c>
      <c r="O935" s="4">
        <v>8.1999999999999993</v>
      </c>
      <c r="P935" s="4">
        <v>0</v>
      </c>
      <c r="Q935" s="3" t="s">
        <v>26</v>
      </c>
      <c r="R935" s="3">
        <v>0</v>
      </c>
      <c r="S935" s="3" t="s">
        <v>281</v>
      </c>
      <c r="T935" s="3" t="s">
        <v>499</v>
      </c>
      <c r="U935" s="3">
        <v>0</v>
      </c>
      <c r="V935" s="3">
        <v>46</v>
      </c>
      <c r="W935" s="3">
        <v>74</v>
      </c>
    </row>
    <row r="936" spans="1:23" ht="11.25" customHeight="1" x14ac:dyDescent="0.25">
      <c r="A936" s="3" t="s">
        <v>21</v>
      </c>
      <c r="B936" s="3" t="s">
        <v>37</v>
      </c>
      <c r="C936" s="3" t="s">
        <v>33</v>
      </c>
      <c r="D936" s="3" t="s">
        <v>42</v>
      </c>
      <c r="E936" s="3" t="s">
        <v>25</v>
      </c>
      <c r="F936" s="3" t="s">
        <v>25</v>
      </c>
      <c r="G936" s="3" t="s">
        <v>25</v>
      </c>
      <c r="H936" s="3" t="s">
        <v>35</v>
      </c>
      <c r="I936" s="6">
        <v>44531</v>
      </c>
      <c r="J936" s="4">
        <v>0</v>
      </c>
      <c r="K936" s="4">
        <v>0</v>
      </c>
      <c r="L936" s="4">
        <v>88.055000000000007</v>
      </c>
      <c r="M936" s="4">
        <v>88.055000000000007</v>
      </c>
      <c r="N936" s="4">
        <v>88.055000000000007</v>
      </c>
      <c r="O936" s="4">
        <v>88.055000000000007</v>
      </c>
      <c r="P936" s="4">
        <v>0</v>
      </c>
      <c r="Q936" s="3" t="s">
        <v>26</v>
      </c>
      <c r="R936" s="3">
        <v>0</v>
      </c>
      <c r="S936" s="3" t="s">
        <v>282</v>
      </c>
      <c r="T936" s="3" t="s">
        <v>500</v>
      </c>
      <c r="U936" s="3">
        <v>0</v>
      </c>
      <c r="V936" s="3">
        <v>46</v>
      </c>
      <c r="W936" s="3">
        <v>74</v>
      </c>
    </row>
    <row r="937" spans="1:23" ht="11.25" customHeight="1" x14ac:dyDescent="0.25">
      <c r="A937" s="3" t="s">
        <v>28</v>
      </c>
      <c r="B937" s="3" t="s">
        <v>37</v>
      </c>
      <c r="C937" s="3" t="s">
        <v>33</v>
      </c>
      <c r="D937" s="3" t="s">
        <v>42</v>
      </c>
      <c r="E937" s="3" t="s">
        <v>25</v>
      </c>
      <c r="F937" s="3" t="s">
        <v>25</v>
      </c>
      <c r="G937" s="3" t="s">
        <v>25</v>
      </c>
      <c r="H937" s="3" t="s">
        <v>35</v>
      </c>
      <c r="I937" s="6">
        <v>44531</v>
      </c>
      <c r="J937" s="4">
        <v>0</v>
      </c>
      <c r="K937" s="4">
        <v>0</v>
      </c>
      <c r="L937" s="4">
        <v>8.4789999999999992</v>
      </c>
      <c r="M937" s="4">
        <v>8.4789999999999992</v>
      </c>
      <c r="N937" s="4">
        <v>8.4789999999999992</v>
      </c>
      <c r="O937" s="4">
        <v>8.4789999999999992</v>
      </c>
      <c r="P937" s="4">
        <v>0</v>
      </c>
      <c r="Q937" s="3" t="s">
        <v>26</v>
      </c>
      <c r="R937" s="3">
        <v>0</v>
      </c>
      <c r="S937" s="3" t="s">
        <v>282</v>
      </c>
      <c r="T937" s="3" t="s">
        <v>500</v>
      </c>
      <c r="U937" s="3">
        <v>0</v>
      </c>
      <c r="V937" s="3">
        <v>46</v>
      </c>
      <c r="W937" s="3">
        <v>74</v>
      </c>
    </row>
    <row r="938" spans="1:23" ht="11.25" customHeight="1" x14ac:dyDescent="0.25">
      <c r="A938" s="3" t="s">
        <v>21</v>
      </c>
      <c r="B938" s="3" t="s">
        <v>37</v>
      </c>
      <c r="C938" s="3" t="s">
        <v>33</v>
      </c>
      <c r="D938" s="3" t="s">
        <v>42</v>
      </c>
      <c r="E938" s="3" t="s">
        <v>25</v>
      </c>
      <c r="F938" s="3" t="s">
        <v>25</v>
      </c>
      <c r="G938" s="3" t="s">
        <v>25</v>
      </c>
      <c r="H938" s="3" t="s">
        <v>35</v>
      </c>
      <c r="I938" s="6">
        <v>44562</v>
      </c>
      <c r="J938" s="4">
        <v>0</v>
      </c>
      <c r="K938" s="4">
        <v>0</v>
      </c>
      <c r="L938" s="4">
        <v>73.453000000000003</v>
      </c>
      <c r="M938" s="4">
        <v>73.453000000000003</v>
      </c>
      <c r="N938" s="4">
        <v>73.453000000000003</v>
      </c>
      <c r="O938" s="4">
        <v>73.453000000000003</v>
      </c>
      <c r="P938" s="4">
        <v>0</v>
      </c>
      <c r="Q938" s="3" t="s">
        <v>26</v>
      </c>
      <c r="R938" s="3">
        <v>0</v>
      </c>
      <c r="S938" s="3" t="s">
        <v>283</v>
      </c>
      <c r="T938" s="3" t="s">
        <v>501</v>
      </c>
      <c r="U938" s="3">
        <v>0</v>
      </c>
      <c r="V938" s="3">
        <v>46</v>
      </c>
      <c r="W938" s="3">
        <v>74</v>
      </c>
    </row>
    <row r="939" spans="1:23" ht="11.25" customHeight="1" x14ac:dyDescent="0.25">
      <c r="A939" s="3" t="s">
        <v>28</v>
      </c>
      <c r="B939" s="3" t="s">
        <v>37</v>
      </c>
      <c r="C939" s="3" t="s">
        <v>33</v>
      </c>
      <c r="D939" s="3" t="s">
        <v>42</v>
      </c>
      <c r="E939" s="3" t="s">
        <v>25</v>
      </c>
      <c r="F939" s="3" t="s">
        <v>25</v>
      </c>
      <c r="G939" s="3" t="s">
        <v>25</v>
      </c>
      <c r="H939" s="3" t="s">
        <v>35</v>
      </c>
      <c r="I939" s="6">
        <v>44562</v>
      </c>
      <c r="J939" s="4">
        <v>0</v>
      </c>
      <c r="K939" s="4">
        <v>0</v>
      </c>
      <c r="L939" s="4">
        <v>7.1130000000000004</v>
      </c>
      <c r="M939" s="4">
        <v>7.1130000000000004</v>
      </c>
      <c r="N939" s="4">
        <v>7.1130000000000004</v>
      </c>
      <c r="O939" s="4">
        <v>7.1130000000000004</v>
      </c>
      <c r="P939" s="4">
        <v>0</v>
      </c>
      <c r="Q939" s="3" t="s">
        <v>26</v>
      </c>
      <c r="R939" s="3">
        <v>0</v>
      </c>
      <c r="S939" s="3" t="s">
        <v>283</v>
      </c>
      <c r="T939" s="3" t="s">
        <v>501</v>
      </c>
      <c r="U939" s="3">
        <v>0</v>
      </c>
      <c r="V939" s="3">
        <v>46</v>
      </c>
      <c r="W939" s="3">
        <v>74</v>
      </c>
    </row>
    <row r="940" spans="1:23" ht="11.25" customHeight="1" x14ac:dyDescent="0.25">
      <c r="A940" s="3" t="s">
        <v>21</v>
      </c>
      <c r="B940" s="3" t="s">
        <v>37</v>
      </c>
      <c r="C940" s="3" t="s">
        <v>33</v>
      </c>
      <c r="D940" s="3" t="s">
        <v>42</v>
      </c>
      <c r="E940" s="3" t="s">
        <v>25</v>
      </c>
      <c r="F940" s="3" t="s">
        <v>25</v>
      </c>
      <c r="G940" s="3" t="s">
        <v>25</v>
      </c>
      <c r="H940" s="3" t="s">
        <v>35</v>
      </c>
      <c r="I940" s="6">
        <v>44593</v>
      </c>
      <c r="J940" s="4">
        <v>0</v>
      </c>
      <c r="K940" s="4">
        <v>0</v>
      </c>
      <c r="L940" s="4">
        <v>80.587000000000003</v>
      </c>
      <c r="M940" s="4">
        <v>80.587000000000003</v>
      </c>
      <c r="N940" s="4">
        <v>80.587000000000003</v>
      </c>
      <c r="O940" s="4">
        <v>80.587000000000003</v>
      </c>
      <c r="P940" s="4">
        <v>0</v>
      </c>
      <c r="Q940" s="3" t="s">
        <v>26</v>
      </c>
      <c r="R940" s="3">
        <v>0</v>
      </c>
      <c r="S940" s="3" t="s">
        <v>284</v>
      </c>
      <c r="T940" s="3" t="s">
        <v>502</v>
      </c>
      <c r="U940" s="3">
        <v>0</v>
      </c>
      <c r="V940" s="3">
        <v>46</v>
      </c>
      <c r="W940" s="3">
        <v>74</v>
      </c>
    </row>
    <row r="941" spans="1:23" ht="11.25" customHeight="1" x14ac:dyDescent="0.25">
      <c r="A941" s="3" t="s">
        <v>28</v>
      </c>
      <c r="B941" s="3" t="s">
        <v>37</v>
      </c>
      <c r="C941" s="3" t="s">
        <v>33</v>
      </c>
      <c r="D941" s="3" t="s">
        <v>42</v>
      </c>
      <c r="E941" s="3" t="s">
        <v>25</v>
      </c>
      <c r="F941" s="3" t="s">
        <v>25</v>
      </c>
      <c r="G941" s="3" t="s">
        <v>25</v>
      </c>
      <c r="H941" s="3" t="s">
        <v>35</v>
      </c>
      <c r="I941" s="6">
        <v>44593</v>
      </c>
      <c r="J941" s="4">
        <v>0</v>
      </c>
      <c r="K941" s="4">
        <v>0</v>
      </c>
      <c r="L941" s="4">
        <v>6.3689999999999998</v>
      </c>
      <c r="M941" s="4">
        <v>6.3689999999999998</v>
      </c>
      <c r="N941" s="4">
        <v>6.3689999999999998</v>
      </c>
      <c r="O941" s="4">
        <v>6.3689999999999998</v>
      </c>
      <c r="P941" s="4">
        <v>0</v>
      </c>
      <c r="Q941" s="3" t="s">
        <v>26</v>
      </c>
      <c r="R941" s="3">
        <v>0</v>
      </c>
      <c r="S941" s="3" t="s">
        <v>284</v>
      </c>
      <c r="T941" s="3" t="s">
        <v>502</v>
      </c>
      <c r="U941" s="3">
        <v>0</v>
      </c>
      <c r="V941" s="3">
        <v>46</v>
      </c>
      <c r="W941" s="3">
        <v>74</v>
      </c>
    </row>
    <row r="942" spans="1:23" ht="11.25" customHeight="1" x14ac:dyDescent="0.25">
      <c r="A942" s="3" t="s">
        <v>21</v>
      </c>
      <c r="B942" s="3" t="s">
        <v>37</v>
      </c>
      <c r="C942" s="3" t="s">
        <v>33</v>
      </c>
      <c r="D942" s="3" t="s">
        <v>42</v>
      </c>
      <c r="E942" s="3" t="s">
        <v>25</v>
      </c>
      <c r="F942" s="3" t="s">
        <v>25</v>
      </c>
      <c r="G942" s="3" t="s">
        <v>25</v>
      </c>
      <c r="H942" s="3" t="s">
        <v>35</v>
      </c>
      <c r="I942" s="6">
        <v>44621</v>
      </c>
      <c r="J942" s="4">
        <v>0</v>
      </c>
      <c r="K942" s="4">
        <v>0</v>
      </c>
      <c r="L942" s="4">
        <v>91.36</v>
      </c>
      <c r="M942" s="4">
        <v>91.36</v>
      </c>
      <c r="N942" s="4">
        <v>91.36</v>
      </c>
      <c r="O942" s="4">
        <v>91.36</v>
      </c>
      <c r="P942" s="4">
        <v>0</v>
      </c>
      <c r="Q942" s="3" t="s">
        <v>26</v>
      </c>
      <c r="R942" s="3">
        <v>0</v>
      </c>
      <c r="S942" s="3" t="s">
        <v>285</v>
      </c>
      <c r="T942" s="3" t="s">
        <v>503</v>
      </c>
      <c r="U942" s="3">
        <v>0</v>
      </c>
      <c r="V942" s="3">
        <v>46</v>
      </c>
      <c r="W942" s="3">
        <v>74</v>
      </c>
    </row>
    <row r="943" spans="1:23" ht="11.25" customHeight="1" x14ac:dyDescent="0.25">
      <c r="A943" s="3" t="s">
        <v>28</v>
      </c>
      <c r="B943" s="3" t="s">
        <v>37</v>
      </c>
      <c r="C943" s="3" t="s">
        <v>33</v>
      </c>
      <c r="D943" s="3" t="s">
        <v>42</v>
      </c>
      <c r="E943" s="3" t="s">
        <v>25</v>
      </c>
      <c r="F943" s="3" t="s">
        <v>25</v>
      </c>
      <c r="G943" s="3" t="s">
        <v>25</v>
      </c>
      <c r="H943" s="3" t="s">
        <v>35</v>
      </c>
      <c r="I943" s="6">
        <v>44621</v>
      </c>
      <c r="J943" s="4">
        <v>0</v>
      </c>
      <c r="K943" s="4">
        <v>0</v>
      </c>
      <c r="L943" s="4">
        <v>4.6559999999999997</v>
      </c>
      <c r="M943" s="4">
        <v>4.6559999999999997</v>
      </c>
      <c r="N943" s="4">
        <v>4.6559999999999997</v>
      </c>
      <c r="O943" s="4">
        <v>4.6559999999999997</v>
      </c>
      <c r="P943" s="4">
        <v>0</v>
      </c>
      <c r="Q943" s="3" t="s">
        <v>26</v>
      </c>
      <c r="R943" s="3">
        <v>0</v>
      </c>
      <c r="S943" s="3" t="s">
        <v>285</v>
      </c>
      <c r="T943" s="3" t="s">
        <v>503</v>
      </c>
      <c r="U943" s="3">
        <v>0</v>
      </c>
      <c r="V943" s="3">
        <v>46</v>
      </c>
      <c r="W943" s="3">
        <v>74</v>
      </c>
    </row>
    <row r="944" spans="1:23" ht="11.25" customHeight="1" x14ac:dyDescent="0.25">
      <c r="A944" s="3" t="s">
        <v>21</v>
      </c>
      <c r="B944" s="3" t="s">
        <v>37</v>
      </c>
      <c r="C944" s="3" t="s">
        <v>33</v>
      </c>
      <c r="D944" s="3" t="s">
        <v>42</v>
      </c>
      <c r="E944" s="3" t="s">
        <v>25</v>
      </c>
      <c r="F944" s="3" t="s">
        <v>25</v>
      </c>
      <c r="G944" s="3" t="s">
        <v>25</v>
      </c>
      <c r="H944" s="3" t="s">
        <v>35</v>
      </c>
      <c r="I944" s="6">
        <v>44652</v>
      </c>
      <c r="J944" s="4">
        <v>0</v>
      </c>
      <c r="K944" s="4">
        <v>0</v>
      </c>
      <c r="L944" s="4">
        <v>91.36</v>
      </c>
      <c r="M944" s="4">
        <v>91.36</v>
      </c>
      <c r="N944" s="4">
        <v>91.36</v>
      </c>
      <c r="O944" s="4">
        <v>91.36</v>
      </c>
      <c r="P944" s="4">
        <v>0</v>
      </c>
      <c r="Q944" s="3" t="s">
        <v>26</v>
      </c>
      <c r="R944" s="3">
        <v>0</v>
      </c>
      <c r="S944" s="3" t="s">
        <v>286</v>
      </c>
      <c r="T944" s="3" t="s">
        <v>504</v>
      </c>
      <c r="U944" s="3">
        <v>0</v>
      </c>
      <c r="V944" s="3">
        <v>46</v>
      </c>
      <c r="W944" s="3">
        <v>74</v>
      </c>
    </row>
    <row r="945" spans="1:23" ht="11.25" customHeight="1" x14ac:dyDescent="0.25">
      <c r="A945" s="3" t="s">
        <v>28</v>
      </c>
      <c r="B945" s="3" t="s">
        <v>37</v>
      </c>
      <c r="C945" s="3" t="s">
        <v>33</v>
      </c>
      <c r="D945" s="3" t="s">
        <v>42</v>
      </c>
      <c r="E945" s="3" t="s">
        <v>25</v>
      </c>
      <c r="F945" s="3" t="s">
        <v>25</v>
      </c>
      <c r="G945" s="3" t="s">
        <v>25</v>
      </c>
      <c r="H945" s="3" t="s">
        <v>35</v>
      </c>
      <c r="I945" s="6">
        <v>44652</v>
      </c>
      <c r="J945" s="4">
        <v>0</v>
      </c>
      <c r="K945" s="4">
        <v>0</v>
      </c>
      <c r="L945" s="4">
        <v>4.6559999999999997</v>
      </c>
      <c r="M945" s="4">
        <v>4.6559999999999997</v>
      </c>
      <c r="N945" s="4">
        <v>4.6559999999999997</v>
      </c>
      <c r="O945" s="4">
        <v>4.6559999999999997</v>
      </c>
      <c r="P945" s="4">
        <v>0</v>
      </c>
      <c r="Q945" s="3" t="s">
        <v>26</v>
      </c>
      <c r="R945" s="3">
        <v>0</v>
      </c>
      <c r="S945" s="3" t="s">
        <v>286</v>
      </c>
      <c r="T945" s="3" t="s">
        <v>504</v>
      </c>
      <c r="U945" s="3">
        <v>0</v>
      </c>
      <c r="V945" s="3">
        <v>46</v>
      </c>
      <c r="W945" s="3">
        <v>74</v>
      </c>
    </row>
    <row r="946" spans="1:23" ht="11.25" customHeight="1" x14ac:dyDescent="0.25">
      <c r="A946" s="3" t="s">
        <v>21</v>
      </c>
      <c r="B946" s="3" t="s">
        <v>37</v>
      </c>
      <c r="C946" s="3" t="s">
        <v>33</v>
      </c>
      <c r="D946" s="3" t="s">
        <v>42</v>
      </c>
      <c r="E946" s="3" t="s">
        <v>25</v>
      </c>
      <c r="F946" s="3" t="s">
        <v>25</v>
      </c>
      <c r="G946" s="3" t="s">
        <v>25</v>
      </c>
      <c r="H946" s="3" t="s">
        <v>35</v>
      </c>
      <c r="I946" s="6">
        <v>44682</v>
      </c>
      <c r="J946" s="4">
        <v>0</v>
      </c>
      <c r="K946" s="4">
        <v>0</v>
      </c>
      <c r="L946" s="4">
        <v>89.512</v>
      </c>
      <c r="M946" s="4">
        <v>89.512</v>
      </c>
      <c r="N946" s="4">
        <v>89.512</v>
      </c>
      <c r="O946" s="4">
        <v>89.512</v>
      </c>
      <c r="P946" s="4">
        <v>0</v>
      </c>
      <c r="Q946" s="3" t="s">
        <v>26</v>
      </c>
      <c r="R946" s="3">
        <v>0</v>
      </c>
      <c r="S946" s="3" t="s">
        <v>287</v>
      </c>
      <c r="T946" s="3" t="s">
        <v>505</v>
      </c>
      <c r="U946" s="3">
        <v>0</v>
      </c>
      <c r="V946" s="3">
        <v>46</v>
      </c>
      <c r="W946" s="3">
        <v>74</v>
      </c>
    </row>
    <row r="947" spans="1:23" ht="11.25" customHeight="1" x14ac:dyDescent="0.25">
      <c r="A947" s="3" t="s">
        <v>28</v>
      </c>
      <c r="B947" s="3" t="s">
        <v>37</v>
      </c>
      <c r="C947" s="3" t="s">
        <v>33</v>
      </c>
      <c r="D947" s="3" t="s">
        <v>42</v>
      </c>
      <c r="E947" s="3" t="s">
        <v>25</v>
      </c>
      <c r="F947" s="3" t="s">
        <v>25</v>
      </c>
      <c r="G947" s="3" t="s">
        <v>25</v>
      </c>
      <c r="H947" s="3" t="s">
        <v>35</v>
      </c>
      <c r="I947" s="6">
        <v>44682</v>
      </c>
      <c r="J947" s="4">
        <v>0</v>
      </c>
      <c r="K947" s="4">
        <v>0</v>
      </c>
      <c r="L947" s="4">
        <v>18.28</v>
      </c>
      <c r="M947" s="4">
        <v>18.28</v>
      </c>
      <c r="N947" s="4">
        <v>18.28</v>
      </c>
      <c r="O947" s="4">
        <v>18.28</v>
      </c>
      <c r="P947" s="4">
        <v>0</v>
      </c>
      <c r="Q947" s="3" t="s">
        <v>26</v>
      </c>
      <c r="R947" s="3">
        <v>0</v>
      </c>
      <c r="S947" s="3" t="s">
        <v>287</v>
      </c>
      <c r="T947" s="3" t="s">
        <v>505</v>
      </c>
      <c r="U947" s="3">
        <v>0</v>
      </c>
      <c r="V947" s="3">
        <v>46</v>
      </c>
      <c r="W947" s="3">
        <v>74</v>
      </c>
    </row>
    <row r="948" spans="1:23" ht="11.25" customHeight="1" x14ac:dyDescent="0.25">
      <c r="A948" s="3" t="s">
        <v>21</v>
      </c>
      <c r="B948" s="3" t="s">
        <v>37</v>
      </c>
      <c r="C948" s="3" t="s">
        <v>33</v>
      </c>
      <c r="D948" s="3" t="s">
        <v>42</v>
      </c>
      <c r="E948" s="3" t="s">
        <v>25</v>
      </c>
      <c r="F948" s="3" t="s">
        <v>25</v>
      </c>
      <c r="G948" s="3" t="s">
        <v>25</v>
      </c>
      <c r="H948" s="3" t="s">
        <v>35</v>
      </c>
      <c r="I948" s="6">
        <v>44713</v>
      </c>
      <c r="J948" s="4">
        <v>0</v>
      </c>
      <c r="K948" s="4">
        <v>0</v>
      </c>
      <c r="L948" s="4">
        <v>86.263999999999996</v>
      </c>
      <c r="M948" s="4">
        <v>86.263999999999996</v>
      </c>
      <c r="N948" s="4">
        <v>86.263999999999996</v>
      </c>
      <c r="O948" s="4">
        <v>86.263999999999996</v>
      </c>
      <c r="P948" s="4">
        <v>0</v>
      </c>
      <c r="Q948" s="3" t="s">
        <v>26</v>
      </c>
      <c r="R948" s="3">
        <v>0</v>
      </c>
      <c r="S948" s="3" t="s">
        <v>288</v>
      </c>
      <c r="T948" s="3" t="s">
        <v>506</v>
      </c>
      <c r="U948" s="3">
        <v>0</v>
      </c>
      <c r="V948" s="3">
        <v>46</v>
      </c>
      <c r="W948" s="3">
        <v>74</v>
      </c>
    </row>
    <row r="949" spans="1:23" ht="11.25" customHeight="1" x14ac:dyDescent="0.25">
      <c r="A949" s="3" t="s">
        <v>28</v>
      </c>
      <c r="B949" s="3" t="s">
        <v>37</v>
      </c>
      <c r="C949" s="3" t="s">
        <v>33</v>
      </c>
      <c r="D949" s="3" t="s">
        <v>42</v>
      </c>
      <c r="E949" s="3" t="s">
        <v>25</v>
      </c>
      <c r="F949" s="3" t="s">
        <v>25</v>
      </c>
      <c r="G949" s="3" t="s">
        <v>25</v>
      </c>
      <c r="H949" s="3" t="s">
        <v>35</v>
      </c>
      <c r="I949" s="6">
        <v>44713</v>
      </c>
      <c r="J949" s="4">
        <v>0</v>
      </c>
      <c r="K949" s="4">
        <v>0</v>
      </c>
      <c r="L949" s="4">
        <v>4.4560000000000004</v>
      </c>
      <c r="M949" s="4">
        <v>4.4560000000000004</v>
      </c>
      <c r="N949" s="4">
        <v>4.4560000000000004</v>
      </c>
      <c r="O949" s="4">
        <v>4.4560000000000004</v>
      </c>
      <c r="P949" s="4">
        <v>0</v>
      </c>
      <c r="Q949" s="3" t="s">
        <v>26</v>
      </c>
      <c r="R949" s="3">
        <v>0</v>
      </c>
      <c r="S949" s="3" t="s">
        <v>288</v>
      </c>
      <c r="T949" s="3" t="s">
        <v>506</v>
      </c>
      <c r="U949" s="3">
        <v>0</v>
      </c>
      <c r="V949" s="3">
        <v>46</v>
      </c>
      <c r="W949" s="3">
        <v>74</v>
      </c>
    </row>
    <row r="950" spans="1:23" ht="11.25" customHeight="1" x14ac:dyDescent="0.25">
      <c r="A950" s="3" t="s">
        <v>21</v>
      </c>
      <c r="B950" s="3" t="s">
        <v>37</v>
      </c>
      <c r="C950" s="3" t="s">
        <v>33</v>
      </c>
      <c r="D950" s="3" t="s">
        <v>42</v>
      </c>
      <c r="E950" s="3" t="s">
        <v>25</v>
      </c>
      <c r="F950" s="3" t="s">
        <v>25</v>
      </c>
      <c r="G950" s="3" t="s">
        <v>25</v>
      </c>
      <c r="H950" s="3" t="s">
        <v>35</v>
      </c>
      <c r="I950" s="6">
        <v>44743</v>
      </c>
      <c r="J950" s="4">
        <v>0</v>
      </c>
      <c r="K950" s="4">
        <v>0</v>
      </c>
      <c r="L950" s="4">
        <v>87.045000000000002</v>
      </c>
      <c r="M950" s="4">
        <v>87.045000000000002</v>
      </c>
      <c r="N950" s="4">
        <v>87.045000000000002</v>
      </c>
      <c r="O950" s="4">
        <v>87.045000000000002</v>
      </c>
      <c r="P950" s="4">
        <v>0</v>
      </c>
      <c r="Q950" s="3" t="s">
        <v>26</v>
      </c>
      <c r="R950" s="3">
        <v>0</v>
      </c>
      <c r="S950" s="3" t="s">
        <v>289</v>
      </c>
      <c r="T950" s="3" t="s">
        <v>507</v>
      </c>
      <c r="U950" s="3">
        <v>0</v>
      </c>
      <c r="V950" s="3">
        <v>46</v>
      </c>
      <c r="W950" s="3">
        <v>74</v>
      </c>
    </row>
    <row r="951" spans="1:23" ht="11.25" customHeight="1" x14ac:dyDescent="0.25">
      <c r="A951" s="3" t="s">
        <v>28</v>
      </c>
      <c r="B951" s="3" t="s">
        <v>37</v>
      </c>
      <c r="C951" s="3" t="s">
        <v>33</v>
      </c>
      <c r="D951" s="3" t="s">
        <v>42</v>
      </c>
      <c r="E951" s="3" t="s">
        <v>25</v>
      </c>
      <c r="F951" s="3" t="s">
        <v>25</v>
      </c>
      <c r="G951" s="3" t="s">
        <v>25</v>
      </c>
      <c r="H951" s="3" t="s">
        <v>35</v>
      </c>
      <c r="I951" s="6">
        <v>44743</v>
      </c>
      <c r="J951" s="4">
        <v>0</v>
      </c>
      <c r="K951" s="4">
        <v>0</v>
      </c>
      <c r="L951" s="4">
        <v>4.4320000000000004</v>
      </c>
      <c r="M951" s="4">
        <v>4.4320000000000004</v>
      </c>
      <c r="N951" s="4">
        <v>4.4320000000000004</v>
      </c>
      <c r="O951" s="4">
        <v>4.4320000000000004</v>
      </c>
      <c r="P951" s="4">
        <v>0</v>
      </c>
      <c r="Q951" s="3" t="s">
        <v>26</v>
      </c>
      <c r="R951" s="3">
        <v>0</v>
      </c>
      <c r="S951" s="3" t="s">
        <v>289</v>
      </c>
      <c r="T951" s="3" t="s">
        <v>507</v>
      </c>
      <c r="U951" s="3">
        <v>0</v>
      </c>
      <c r="V951" s="3">
        <v>46</v>
      </c>
      <c r="W951" s="3">
        <v>74</v>
      </c>
    </row>
    <row r="952" spans="1:23" ht="11.25" customHeight="1" x14ac:dyDescent="0.25">
      <c r="A952" s="3" t="s">
        <v>21</v>
      </c>
      <c r="B952" s="3" t="s">
        <v>37</v>
      </c>
      <c r="C952" s="3" t="s">
        <v>33</v>
      </c>
      <c r="D952" s="3" t="s">
        <v>42</v>
      </c>
      <c r="E952" s="3" t="s">
        <v>25</v>
      </c>
      <c r="F952" s="3" t="s">
        <v>25</v>
      </c>
      <c r="G952" s="3" t="s">
        <v>25</v>
      </c>
      <c r="H952" s="3" t="s">
        <v>35</v>
      </c>
      <c r="I952" s="6">
        <v>44774</v>
      </c>
      <c r="J952" s="4">
        <v>0</v>
      </c>
      <c r="K952" s="4">
        <v>0</v>
      </c>
      <c r="L952" s="4">
        <v>109.024</v>
      </c>
      <c r="M952" s="4">
        <v>109.024</v>
      </c>
      <c r="N952" s="4">
        <v>109.024</v>
      </c>
      <c r="O952" s="4">
        <v>109.024</v>
      </c>
      <c r="P952" s="4">
        <v>0</v>
      </c>
      <c r="Q952" s="3" t="s">
        <v>26</v>
      </c>
      <c r="R952" s="3">
        <v>0</v>
      </c>
      <c r="S952" s="3" t="s">
        <v>290</v>
      </c>
      <c r="T952" s="3" t="s">
        <v>508</v>
      </c>
      <c r="U952" s="3">
        <v>0</v>
      </c>
      <c r="V952" s="3">
        <v>46</v>
      </c>
      <c r="W952" s="3">
        <v>74</v>
      </c>
    </row>
    <row r="953" spans="1:23" ht="11.25" customHeight="1" x14ac:dyDescent="0.25">
      <c r="A953" s="3" t="s">
        <v>28</v>
      </c>
      <c r="B953" s="3" t="s">
        <v>37</v>
      </c>
      <c r="C953" s="3" t="s">
        <v>33</v>
      </c>
      <c r="D953" s="3" t="s">
        <v>42</v>
      </c>
      <c r="E953" s="3" t="s">
        <v>25</v>
      </c>
      <c r="F953" s="3" t="s">
        <v>25</v>
      </c>
      <c r="G953" s="3" t="s">
        <v>25</v>
      </c>
      <c r="H953" s="3" t="s">
        <v>35</v>
      </c>
      <c r="I953" s="6">
        <v>44774</v>
      </c>
      <c r="J953" s="4">
        <v>0</v>
      </c>
      <c r="K953" s="4">
        <v>0</v>
      </c>
      <c r="L953" s="4">
        <v>5.5510000000000002</v>
      </c>
      <c r="M953" s="4">
        <v>5.5510000000000002</v>
      </c>
      <c r="N953" s="4">
        <v>5.5510000000000002</v>
      </c>
      <c r="O953" s="4">
        <v>5.5510000000000002</v>
      </c>
      <c r="P953" s="4">
        <v>0</v>
      </c>
      <c r="Q953" s="3" t="s">
        <v>26</v>
      </c>
      <c r="R953" s="3">
        <v>0</v>
      </c>
      <c r="S953" s="3" t="s">
        <v>290</v>
      </c>
      <c r="T953" s="3" t="s">
        <v>508</v>
      </c>
      <c r="U953" s="3">
        <v>0</v>
      </c>
      <c r="V953" s="3">
        <v>46</v>
      </c>
      <c r="W953" s="3">
        <v>74</v>
      </c>
    </row>
    <row r="954" spans="1:23" ht="11.25" customHeight="1" x14ac:dyDescent="0.25">
      <c r="A954" s="3" t="s">
        <v>21</v>
      </c>
      <c r="B954" s="3" t="s">
        <v>37</v>
      </c>
      <c r="C954" s="3" t="s">
        <v>33</v>
      </c>
      <c r="D954" s="3" t="s">
        <v>42</v>
      </c>
      <c r="E954" s="3" t="s">
        <v>25</v>
      </c>
      <c r="F954" s="3" t="s">
        <v>25</v>
      </c>
      <c r="G954" s="3" t="s">
        <v>25</v>
      </c>
      <c r="H954" s="3" t="s">
        <v>35</v>
      </c>
      <c r="I954" s="6">
        <v>44805</v>
      </c>
      <c r="J954" s="4">
        <v>0</v>
      </c>
      <c r="K954" s="4">
        <v>0</v>
      </c>
      <c r="L954" s="4">
        <v>105.971</v>
      </c>
      <c r="M954" s="4">
        <v>105.971</v>
      </c>
      <c r="N954" s="4">
        <v>105.971</v>
      </c>
      <c r="O954" s="4">
        <v>105.971</v>
      </c>
      <c r="P954" s="4">
        <v>0</v>
      </c>
      <c r="Q954" s="3" t="s">
        <v>26</v>
      </c>
      <c r="R954" s="3">
        <v>0</v>
      </c>
      <c r="S954" s="3" t="s">
        <v>291</v>
      </c>
      <c r="T954" s="3" t="s">
        <v>509</v>
      </c>
      <c r="U954" s="3">
        <v>0</v>
      </c>
      <c r="V954" s="3">
        <v>46</v>
      </c>
      <c r="W954" s="3">
        <v>74</v>
      </c>
    </row>
    <row r="955" spans="1:23" ht="11.25" customHeight="1" x14ac:dyDescent="0.25">
      <c r="A955" s="3" t="s">
        <v>28</v>
      </c>
      <c r="B955" s="3" t="s">
        <v>37</v>
      </c>
      <c r="C955" s="3" t="s">
        <v>33</v>
      </c>
      <c r="D955" s="3" t="s">
        <v>42</v>
      </c>
      <c r="E955" s="3" t="s">
        <v>25</v>
      </c>
      <c r="F955" s="3" t="s">
        <v>25</v>
      </c>
      <c r="G955" s="3" t="s">
        <v>25</v>
      </c>
      <c r="H955" s="3" t="s">
        <v>35</v>
      </c>
      <c r="I955" s="6">
        <v>44805</v>
      </c>
      <c r="J955" s="4">
        <v>0</v>
      </c>
      <c r="K955" s="4">
        <v>0</v>
      </c>
      <c r="L955" s="4">
        <v>5.8120000000000003</v>
      </c>
      <c r="M955" s="4">
        <v>5.8120000000000003</v>
      </c>
      <c r="N955" s="4">
        <v>5.8120000000000003</v>
      </c>
      <c r="O955" s="4">
        <v>5.8120000000000003</v>
      </c>
      <c r="P955" s="4">
        <v>0</v>
      </c>
      <c r="Q955" s="3" t="s">
        <v>26</v>
      </c>
      <c r="R955" s="3">
        <v>0</v>
      </c>
      <c r="S955" s="3" t="s">
        <v>291</v>
      </c>
      <c r="T955" s="3" t="s">
        <v>509</v>
      </c>
      <c r="U955" s="3">
        <v>0</v>
      </c>
      <c r="V955" s="3">
        <v>46</v>
      </c>
      <c r="W955" s="3">
        <v>74</v>
      </c>
    </row>
    <row r="956" spans="1:23" ht="11.25" customHeight="1" x14ac:dyDescent="0.25">
      <c r="A956" s="3" t="s">
        <v>55</v>
      </c>
      <c r="B956" s="3" t="s">
        <v>37</v>
      </c>
      <c r="C956" s="3" t="s">
        <v>33</v>
      </c>
      <c r="D956" s="3" t="s">
        <v>42</v>
      </c>
      <c r="E956" s="3" t="s">
        <v>25</v>
      </c>
      <c r="F956" s="3" t="s">
        <v>25</v>
      </c>
      <c r="G956" s="3" t="s">
        <v>25</v>
      </c>
      <c r="H956" s="3" t="s">
        <v>35</v>
      </c>
      <c r="I956" s="6">
        <v>44835</v>
      </c>
      <c r="J956" s="4">
        <v>0</v>
      </c>
      <c r="K956" s="4">
        <v>0</v>
      </c>
      <c r="L956" s="4">
        <v>105.971</v>
      </c>
      <c r="M956" s="4">
        <v>105.971</v>
      </c>
      <c r="N956" s="4">
        <v>105.971</v>
      </c>
      <c r="O956" s="4">
        <v>105.971</v>
      </c>
      <c r="P956" s="4">
        <v>0</v>
      </c>
      <c r="Q956" s="3" t="s">
        <v>26</v>
      </c>
      <c r="R956" s="3">
        <v>0</v>
      </c>
      <c r="S956" s="3" t="s">
        <v>292</v>
      </c>
      <c r="T956" s="3" t="s">
        <v>510</v>
      </c>
      <c r="U956" s="3">
        <v>0</v>
      </c>
      <c r="V956" s="3">
        <v>46</v>
      </c>
      <c r="W956" s="3">
        <v>74</v>
      </c>
    </row>
    <row r="957" spans="1:23" ht="11.25" customHeight="1" x14ac:dyDescent="0.25">
      <c r="A957" s="3" t="s">
        <v>55</v>
      </c>
      <c r="B957" s="3" t="s">
        <v>37</v>
      </c>
      <c r="C957" s="3" t="s">
        <v>33</v>
      </c>
      <c r="D957" s="3" t="s">
        <v>42</v>
      </c>
      <c r="E957" s="3" t="s">
        <v>25</v>
      </c>
      <c r="F957" s="3" t="s">
        <v>25</v>
      </c>
      <c r="G957" s="3" t="s">
        <v>25</v>
      </c>
      <c r="H957" s="3" t="s">
        <v>35</v>
      </c>
      <c r="I957" s="6">
        <v>44835</v>
      </c>
      <c r="J957" s="4">
        <v>0</v>
      </c>
      <c r="K957" s="4">
        <v>0</v>
      </c>
      <c r="L957" s="4">
        <v>5.8120000000000003</v>
      </c>
      <c r="M957" s="4">
        <v>5.8120000000000003</v>
      </c>
      <c r="N957" s="4">
        <v>5.8120000000000003</v>
      </c>
      <c r="O957" s="4">
        <v>5.8120000000000003</v>
      </c>
      <c r="P957" s="4">
        <v>0</v>
      </c>
      <c r="Q957" s="3" t="s">
        <v>26</v>
      </c>
      <c r="R957" s="3">
        <v>0</v>
      </c>
      <c r="S957" s="3" t="s">
        <v>292</v>
      </c>
      <c r="T957" s="3" t="s">
        <v>510</v>
      </c>
      <c r="U957" s="3">
        <v>0</v>
      </c>
      <c r="V957" s="3">
        <v>46</v>
      </c>
      <c r="W957" s="3">
        <v>74</v>
      </c>
    </row>
    <row r="958" spans="1:23" ht="11.25" customHeight="1" x14ac:dyDescent="0.25">
      <c r="A958" s="3" t="s">
        <v>21</v>
      </c>
      <c r="B958" s="3" t="s">
        <v>37</v>
      </c>
      <c r="C958" s="3" t="s">
        <v>33</v>
      </c>
      <c r="D958" s="3" t="s">
        <v>42</v>
      </c>
      <c r="E958" s="3" t="s">
        <v>25</v>
      </c>
      <c r="F958" s="3" t="s">
        <v>25</v>
      </c>
      <c r="G958" s="3" t="s">
        <v>25</v>
      </c>
      <c r="H958" s="3" t="s">
        <v>36</v>
      </c>
      <c r="I958" s="6">
        <v>44501</v>
      </c>
      <c r="J958" s="4">
        <v>0</v>
      </c>
      <c r="K958" s="4">
        <v>0</v>
      </c>
      <c r="L958" s="4">
        <v>2.2509999999999999</v>
      </c>
      <c r="M958" s="4">
        <v>2.2509999999999999</v>
      </c>
      <c r="N958" s="4">
        <v>2.2509999999999999</v>
      </c>
      <c r="O958" s="4">
        <v>2.2509999999999999</v>
      </c>
      <c r="P958" s="4">
        <v>0</v>
      </c>
      <c r="Q958" s="3" t="s">
        <v>26</v>
      </c>
      <c r="R958" s="3">
        <v>0</v>
      </c>
      <c r="S958" s="3" t="s">
        <v>293</v>
      </c>
      <c r="T958" s="3" t="s">
        <v>511</v>
      </c>
      <c r="U958" s="3">
        <v>0</v>
      </c>
      <c r="V958" s="3">
        <v>54</v>
      </c>
      <c r="W958" s="3">
        <v>82</v>
      </c>
    </row>
    <row r="959" spans="1:23" ht="11.25" customHeight="1" x14ac:dyDescent="0.25">
      <c r="A959" s="3" t="s">
        <v>21</v>
      </c>
      <c r="B959" s="3" t="s">
        <v>37</v>
      </c>
      <c r="C959" s="3" t="s">
        <v>33</v>
      </c>
      <c r="D959" s="3" t="s">
        <v>42</v>
      </c>
      <c r="E959" s="3" t="s">
        <v>25</v>
      </c>
      <c r="F959" s="3" t="s">
        <v>25</v>
      </c>
      <c r="G959" s="3" t="s">
        <v>25</v>
      </c>
      <c r="H959" s="3" t="s">
        <v>36</v>
      </c>
      <c r="I959" s="6">
        <v>44531</v>
      </c>
      <c r="J959" s="4">
        <v>0</v>
      </c>
      <c r="K959" s="4">
        <v>0</v>
      </c>
      <c r="L959" s="4">
        <v>2.1259999999999999</v>
      </c>
      <c r="M959" s="4">
        <v>2.1259999999999999</v>
      </c>
      <c r="N959" s="4">
        <v>2.1259999999999999</v>
      </c>
      <c r="O959" s="4">
        <v>2.1259999999999999</v>
      </c>
      <c r="P959" s="4">
        <v>0</v>
      </c>
      <c r="Q959" s="3" t="s">
        <v>26</v>
      </c>
      <c r="R959" s="3">
        <v>0</v>
      </c>
      <c r="S959" s="3" t="s">
        <v>294</v>
      </c>
      <c r="T959" s="3" t="s">
        <v>512</v>
      </c>
      <c r="U959" s="3">
        <v>0</v>
      </c>
      <c r="V959" s="3">
        <v>54</v>
      </c>
      <c r="W959" s="3">
        <v>82</v>
      </c>
    </row>
    <row r="960" spans="1:23" ht="11.25" customHeight="1" x14ac:dyDescent="0.25">
      <c r="A960" s="3" t="s">
        <v>21</v>
      </c>
      <c r="B960" s="3" t="s">
        <v>37</v>
      </c>
      <c r="C960" s="3" t="s">
        <v>33</v>
      </c>
      <c r="D960" s="3" t="s">
        <v>42</v>
      </c>
      <c r="E960" s="3" t="s">
        <v>25</v>
      </c>
      <c r="F960" s="3" t="s">
        <v>25</v>
      </c>
      <c r="G960" s="3" t="s">
        <v>25</v>
      </c>
      <c r="H960" s="3" t="s">
        <v>36</v>
      </c>
      <c r="I960" s="6">
        <v>44562</v>
      </c>
      <c r="J960" s="4">
        <v>0</v>
      </c>
      <c r="K960" s="4">
        <v>0</v>
      </c>
      <c r="L960" s="4">
        <v>1.875</v>
      </c>
      <c r="M960" s="4">
        <v>1.875</v>
      </c>
      <c r="N960" s="4">
        <v>1.875</v>
      </c>
      <c r="O960" s="4">
        <v>1.875</v>
      </c>
      <c r="P960" s="4">
        <v>0</v>
      </c>
      <c r="Q960" s="3" t="s">
        <v>26</v>
      </c>
      <c r="R960" s="3">
        <v>0</v>
      </c>
      <c r="S960" s="3" t="s">
        <v>295</v>
      </c>
      <c r="T960" s="3" t="s">
        <v>513</v>
      </c>
      <c r="U960" s="3">
        <v>0</v>
      </c>
      <c r="V960" s="3">
        <v>54</v>
      </c>
      <c r="W960" s="3">
        <v>82</v>
      </c>
    </row>
    <row r="961" spans="1:23" ht="11.25" customHeight="1" x14ac:dyDescent="0.25">
      <c r="A961" s="3" t="s">
        <v>21</v>
      </c>
      <c r="B961" s="3" t="s">
        <v>37</v>
      </c>
      <c r="C961" s="3" t="s">
        <v>33</v>
      </c>
      <c r="D961" s="3" t="s">
        <v>42</v>
      </c>
      <c r="E961" s="3" t="s">
        <v>25</v>
      </c>
      <c r="F961" s="3" t="s">
        <v>25</v>
      </c>
      <c r="G961" s="3" t="s">
        <v>25</v>
      </c>
      <c r="H961" s="3" t="s">
        <v>36</v>
      </c>
      <c r="I961" s="6">
        <v>44593</v>
      </c>
      <c r="J961" s="4">
        <v>0</v>
      </c>
      <c r="K961" s="4">
        <v>0</v>
      </c>
      <c r="L961" s="4">
        <v>1.8560000000000001</v>
      </c>
      <c r="M961" s="4">
        <v>1.8560000000000001</v>
      </c>
      <c r="N961" s="4">
        <v>1.8560000000000001</v>
      </c>
      <c r="O961" s="4">
        <v>1.8560000000000001</v>
      </c>
      <c r="P961" s="4">
        <v>0</v>
      </c>
      <c r="Q961" s="3" t="s">
        <v>26</v>
      </c>
      <c r="R961" s="3">
        <v>0</v>
      </c>
      <c r="S961" s="3" t="s">
        <v>296</v>
      </c>
      <c r="T961" s="3" t="s">
        <v>514</v>
      </c>
      <c r="U961" s="3">
        <v>0</v>
      </c>
      <c r="V961" s="3">
        <v>54</v>
      </c>
      <c r="W961" s="3">
        <v>82</v>
      </c>
    </row>
    <row r="962" spans="1:23" ht="11.25" customHeight="1" x14ac:dyDescent="0.25">
      <c r="A962" s="3" t="s">
        <v>21</v>
      </c>
      <c r="B962" s="3" t="s">
        <v>37</v>
      </c>
      <c r="C962" s="3" t="s">
        <v>33</v>
      </c>
      <c r="D962" s="3" t="s">
        <v>42</v>
      </c>
      <c r="E962" s="3" t="s">
        <v>25</v>
      </c>
      <c r="F962" s="3" t="s">
        <v>25</v>
      </c>
      <c r="G962" s="3" t="s">
        <v>25</v>
      </c>
      <c r="H962" s="3" t="s">
        <v>36</v>
      </c>
      <c r="I962" s="6">
        <v>44621</v>
      </c>
      <c r="J962" s="4">
        <v>0</v>
      </c>
      <c r="K962" s="4">
        <v>0</v>
      </c>
      <c r="L962" s="4">
        <v>2.1440000000000001</v>
      </c>
      <c r="M962" s="4">
        <v>2.1440000000000001</v>
      </c>
      <c r="N962" s="4">
        <v>2.1440000000000001</v>
      </c>
      <c r="O962" s="4">
        <v>2.1440000000000001</v>
      </c>
      <c r="P962" s="4">
        <v>0</v>
      </c>
      <c r="Q962" s="3" t="s">
        <v>26</v>
      </c>
      <c r="R962" s="3">
        <v>0</v>
      </c>
      <c r="S962" s="3" t="s">
        <v>297</v>
      </c>
      <c r="T962" s="3" t="s">
        <v>515</v>
      </c>
      <c r="U962" s="3">
        <v>0</v>
      </c>
      <c r="V962" s="3">
        <v>54</v>
      </c>
      <c r="W962" s="3">
        <v>82</v>
      </c>
    </row>
    <row r="963" spans="1:23" ht="11.25" customHeight="1" x14ac:dyDescent="0.25">
      <c r="A963" s="3" t="s">
        <v>21</v>
      </c>
      <c r="B963" s="3" t="s">
        <v>37</v>
      </c>
      <c r="C963" s="3" t="s">
        <v>33</v>
      </c>
      <c r="D963" s="3" t="s">
        <v>42</v>
      </c>
      <c r="E963" s="3" t="s">
        <v>25</v>
      </c>
      <c r="F963" s="3" t="s">
        <v>25</v>
      </c>
      <c r="G963" s="3" t="s">
        <v>25</v>
      </c>
      <c r="H963" s="3" t="s">
        <v>36</v>
      </c>
      <c r="I963" s="6">
        <v>44652</v>
      </c>
      <c r="J963" s="4">
        <v>0</v>
      </c>
      <c r="K963" s="4">
        <v>0</v>
      </c>
      <c r="L963" s="4">
        <v>2.1440000000000001</v>
      </c>
      <c r="M963" s="4">
        <v>2.1440000000000001</v>
      </c>
      <c r="N963" s="4">
        <v>2.1440000000000001</v>
      </c>
      <c r="O963" s="4">
        <v>2.1440000000000001</v>
      </c>
      <c r="P963" s="4">
        <v>0</v>
      </c>
      <c r="Q963" s="3" t="s">
        <v>26</v>
      </c>
      <c r="R963" s="3">
        <v>0</v>
      </c>
      <c r="S963" s="3" t="s">
        <v>298</v>
      </c>
      <c r="T963" s="3" t="s">
        <v>516</v>
      </c>
      <c r="U963" s="3">
        <v>0</v>
      </c>
      <c r="V963" s="3">
        <v>54</v>
      </c>
      <c r="W963" s="3">
        <v>82</v>
      </c>
    </row>
    <row r="964" spans="1:23" ht="11.25" customHeight="1" x14ac:dyDescent="0.25">
      <c r="A964" s="3" t="s">
        <v>21</v>
      </c>
      <c r="B964" s="3" t="s">
        <v>37</v>
      </c>
      <c r="C964" s="3" t="s">
        <v>33</v>
      </c>
      <c r="D964" s="3" t="s">
        <v>42</v>
      </c>
      <c r="E964" s="3" t="s">
        <v>25</v>
      </c>
      <c r="F964" s="3" t="s">
        <v>25</v>
      </c>
      <c r="G964" s="3" t="s">
        <v>25</v>
      </c>
      <c r="H964" s="3" t="s">
        <v>36</v>
      </c>
      <c r="I964" s="6">
        <v>44682</v>
      </c>
      <c r="J964" s="4">
        <v>0</v>
      </c>
      <c r="K964" s="4">
        <v>0</v>
      </c>
      <c r="L964" s="4">
        <v>2.036</v>
      </c>
      <c r="M964" s="4">
        <v>2.036</v>
      </c>
      <c r="N964" s="4">
        <v>2.036</v>
      </c>
      <c r="O964" s="4">
        <v>2.036</v>
      </c>
      <c r="P964" s="4">
        <v>0</v>
      </c>
      <c r="Q964" s="3" t="s">
        <v>26</v>
      </c>
      <c r="R964" s="3">
        <v>0</v>
      </c>
      <c r="S964" s="3" t="s">
        <v>299</v>
      </c>
      <c r="T964" s="3" t="s">
        <v>517</v>
      </c>
      <c r="U964" s="3">
        <v>0</v>
      </c>
      <c r="V964" s="3">
        <v>54</v>
      </c>
      <c r="W964" s="3">
        <v>82</v>
      </c>
    </row>
    <row r="965" spans="1:23" ht="11.25" customHeight="1" x14ac:dyDescent="0.25">
      <c r="A965" s="3" t="s">
        <v>21</v>
      </c>
      <c r="B965" s="3" t="s">
        <v>37</v>
      </c>
      <c r="C965" s="3" t="s">
        <v>33</v>
      </c>
      <c r="D965" s="3" t="s">
        <v>42</v>
      </c>
      <c r="E965" s="3" t="s">
        <v>25</v>
      </c>
      <c r="F965" s="3" t="s">
        <v>25</v>
      </c>
      <c r="G965" s="3" t="s">
        <v>25</v>
      </c>
      <c r="H965" s="3" t="s">
        <v>36</v>
      </c>
      <c r="I965" s="6">
        <v>44713</v>
      </c>
      <c r="J965" s="4">
        <v>0</v>
      </c>
      <c r="K965" s="4">
        <v>0</v>
      </c>
      <c r="L965" s="4">
        <v>2.3340000000000001</v>
      </c>
      <c r="M965" s="4">
        <v>2.3340000000000001</v>
      </c>
      <c r="N965" s="4">
        <v>2.3340000000000001</v>
      </c>
      <c r="O965" s="4">
        <v>2.3340000000000001</v>
      </c>
      <c r="P965" s="4">
        <v>0</v>
      </c>
      <c r="Q965" s="3" t="s">
        <v>26</v>
      </c>
      <c r="R965" s="3">
        <v>0</v>
      </c>
      <c r="S965" s="3" t="s">
        <v>300</v>
      </c>
      <c r="T965" s="3" t="s">
        <v>518</v>
      </c>
      <c r="U965" s="3">
        <v>0</v>
      </c>
      <c r="V965" s="3">
        <v>54</v>
      </c>
      <c r="W965" s="3">
        <v>82</v>
      </c>
    </row>
    <row r="966" spans="1:23" ht="11.25" customHeight="1" x14ac:dyDescent="0.25">
      <c r="A966" s="3" t="s">
        <v>21</v>
      </c>
      <c r="B966" s="3" t="s">
        <v>37</v>
      </c>
      <c r="C966" s="3" t="s">
        <v>33</v>
      </c>
      <c r="D966" s="3" t="s">
        <v>42</v>
      </c>
      <c r="E966" s="3" t="s">
        <v>25</v>
      </c>
      <c r="F966" s="3" t="s">
        <v>25</v>
      </c>
      <c r="G966" s="3" t="s">
        <v>25</v>
      </c>
      <c r="H966" s="3" t="s">
        <v>36</v>
      </c>
      <c r="I966" s="6">
        <v>44743</v>
      </c>
      <c r="J966" s="4">
        <v>0</v>
      </c>
      <c r="K966" s="4">
        <v>0</v>
      </c>
      <c r="L966" s="4">
        <v>2.3199999999999998</v>
      </c>
      <c r="M966" s="4">
        <v>2.3199999999999998</v>
      </c>
      <c r="N966" s="4">
        <v>2.3199999999999998</v>
      </c>
      <c r="O966" s="4">
        <v>2.3199999999999998</v>
      </c>
      <c r="P966" s="4">
        <v>0</v>
      </c>
      <c r="Q966" s="3" t="s">
        <v>26</v>
      </c>
      <c r="R966" s="3">
        <v>0</v>
      </c>
      <c r="S966" s="3" t="s">
        <v>301</v>
      </c>
      <c r="T966" s="3" t="s">
        <v>519</v>
      </c>
      <c r="U966" s="3">
        <v>0</v>
      </c>
      <c r="V966" s="3">
        <v>54</v>
      </c>
      <c r="W966" s="3">
        <v>82</v>
      </c>
    </row>
    <row r="967" spans="1:23" ht="11.25" customHeight="1" x14ac:dyDescent="0.25">
      <c r="A967" s="3" t="s">
        <v>21</v>
      </c>
      <c r="B967" s="3" t="s">
        <v>37</v>
      </c>
      <c r="C967" s="3" t="s">
        <v>33</v>
      </c>
      <c r="D967" s="3" t="s">
        <v>42</v>
      </c>
      <c r="E967" s="3" t="s">
        <v>25</v>
      </c>
      <c r="F967" s="3" t="s">
        <v>25</v>
      </c>
      <c r="G967" s="3" t="s">
        <v>25</v>
      </c>
      <c r="H967" s="3" t="s">
        <v>36</v>
      </c>
      <c r="I967" s="6">
        <v>44774</v>
      </c>
      <c r="J967" s="4">
        <v>0</v>
      </c>
      <c r="K967" s="4">
        <v>0</v>
      </c>
      <c r="L967" s="4">
        <v>2.6160000000000001</v>
      </c>
      <c r="M967" s="4">
        <v>2.6160000000000001</v>
      </c>
      <c r="N967" s="4">
        <v>2.6160000000000001</v>
      </c>
      <c r="O967" s="4">
        <v>2.6160000000000001</v>
      </c>
      <c r="P967" s="4">
        <v>0</v>
      </c>
      <c r="Q967" s="3" t="s">
        <v>26</v>
      </c>
      <c r="R967" s="3">
        <v>0</v>
      </c>
      <c r="S967" s="3" t="s">
        <v>302</v>
      </c>
      <c r="T967" s="3" t="s">
        <v>520</v>
      </c>
      <c r="U967" s="3">
        <v>0</v>
      </c>
      <c r="V967" s="3">
        <v>54</v>
      </c>
      <c r="W967" s="3">
        <v>82</v>
      </c>
    </row>
    <row r="968" spans="1:23" ht="11.25" customHeight="1" x14ac:dyDescent="0.25">
      <c r="A968" s="3" t="s">
        <v>21</v>
      </c>
      <c r="B968" s="3" t="s">
        <v>37</v>
      </c>
      <c r="C968" s="3" t="s">
        <v>33</v>
      </c>
      <c r="D968" s="3" t="s">
        <v>42</v>
      </c>
      <c r="E968" s="3" t="s">
        <v>25</v>
      </c>
      <c r="F968" s="3" t="s">
        <v>25</v>
      </c>
      <c r="G968" s="3" t="s">
        <v>25</v>
      </c>
      <c r="H968" s="3" t="s">
        <v>36</v>
      </c>
      <c r="I968" s="6">
        <v>44805</v>
      </c>
      <c r="J968" s="4">
        <v>0</v>
      </c>
      <c r="K968" s="4">
        <v>0</v>
      </c>
      <c r="L968" s="4">
        <v>2.3439999999999999</v>
      </c>
      <c r="M968" s="4">
        <v>2.3439999999999999</v>
      </c>
      <c r="N968" s="4">
        <v>2.3439999999999999</v>
      </c>
      <c r="O968" s="4">
        <v>2.3439999999999999</v>
      </c>
      <c r="P968" s="4">
        <v>0</v>
      </c>
      <c r="Q968" s="3" t="s">
        <v>26</v>
      </c>
      <c r="R968" s="3">
        <v>0</v>
      </c>
      <c r="S968" s="3" t="s">
        <v>303</v>
      </c>
      <c r="T968" s="3" t="s">
        <v>521</v>
      </c>
      <c r="U968" s="3">
        <v>0</v>
      </c>
      <c r="V968" s="3">
        <v>54</v>
      </c>
      <c r="W968" s="3">
        <v>82</v>
      </c>
    </row>
    <row r="969" spans="1:23" ht="11.25" customHeight="1" x14ac:dyDescent="0.25">
      <c r="A969" s="3" t="s">
        <v>55</v>
      </c>
      <c r="B969" s="3" t="s">
        <v>37</v>
      </c>
      <c r="C969" s="3" t="s">
        <v>33</v>
      </c>
      <c r="D969" s="3" t="s">
        <v>42</v>
      </c>
      <c r="E969" s="3" t="s">
        <v>25</v>
      </c>
      <c r="F969" s="3" t="s">
        <v>25</v>
      </c>
      <c r="G969" s="3" t="s">
        <v>25</v>
      </c>
      <c r="H969" s="3" t="s">
        <v>36</v>
      </c>
      <c r="I969" s="6">
        <v>44835</v>
      </c>
      <c r="J969" s="4">
        <v>0</v>
      </c>
      <c r="K969" s="4">
        <v>0</v>
      </c>
      <c r="L969" s="4">
        <v>2.3439999999999999</v>
      </c>
      <c r="M969" s="4">
        <v>2.3439999999999999</v>
      </c>
      <c r="N969" s="4">
        <v>2.3439999999999999</v>
      </c>
      <c r="O969" s="4">
        <v>2.3439999999999999</v>
      </c>
      <c r="P969" s="4">
        <v>0</v>
      </c>
      <c r="Q969" s="3" t="s">
        <v>26</v>
      </c>
      <c r="R969" s="3">
        <v>0</v>
      </c>
      <c r="S969" s="3" t="s">
        <v>304</v>
      </c>
      <c r="T969" s="3" t="s">
        <v>522</v>
      </c>
      <c r="U969" s="3">
        <v>0</v>
      </c>
      <c r="V969" s="3">
        <v>54</v>
      </c>
      <c r="W969" s="3">
        <v>82</v>
      </c>
    </row>
    <row r="970" spans="1:23" ht="11.25" customHeight="1" x14ac:dyDescent="0.25">
      <c r="A970" s="3" t="s">
        <v>21</v>
      </c>
      <c r="B970" s="3" t="s">
        <v>37</v>
      </c>
      <c r="C970" s="3" t="s">
        <v>33</v>
      </c>
      <c r="D970" s="3" t="s">
        <v>42</v>
      </c>
      <c r="E970" s="3" t="s">
        <v>25</v>
      </c>
      <c r="F970" s="3" t="s">
        <v>25</v>
      </c>
      <c r="G970" s="3" t="s">
        <v>25</v>
      </c>
      <c r="H970" s="3" t="s">
        <v>34</v>
      </c>
      <c r="I970" s="6">
        <v>44501</v>
      </c>
      <c r="J970" s="4">
        <v>0</v>
      </c>
      <c r="K970" s="4">
        <v>0</v>
      </c>
      <c r="L970" s="4">
        <v>3.335</v>
      </c>
      <c r="M970" s="4">
        <v>3.335</v>
      </c>
      <c r="N970" s="4">
        <v>3.335</v>
      </c>
      <c r="O970" s="4">
        <v>3.335</v>
      </c>
      <c r="P970" s="4">
        <v>0</v>
      </c>
      <c r="Q970" s="3" t="s">
        <v>26</v>
      </c>
      <c r="R970" s="3">
        <v>0</v>
      </c>
      <c r="S970" s="3" t="s">
        <v>305</v>
      </c>
      <c r="T970" s="3" t="s">
        <v>523</v>
      </c>
      <c r="U970" s="3">
        <v>0</v>
      </c>
      <c r="V970" s="3">
        <v>64</v>
      </c>
      <c r="W970" s="3">
        <v>85</v>
      </c>
    </row>
    <row r="971" spans="1:23" ht="11.25" customHeight="1" x14ac:dyDescent="0.25">
      <c r="A971" s="3" t="s">
        <v>28</v>
      </c>
      <c r="B971" s="3" t="s">
        <v>37</v>
      </c>
      <c r="C971" s="3" t="s">
        <v>33</v>
      </c>
      <c r="D971" s="3" t="s">
        <v>42</v>
      </c>
      <c r="E971" s="3" t="s">
        <v>25</v>
      </c>
      <c r="F971" s="3" t="s">
        <v>25</v>
      </c>
      <c r="G971" s="3" t="s">
        <v>25</v>
      </c>
      <c r="H971" s="3" t="s">
        <v>34</v>
      </c>
      <c r="I971" s="6">
        <v>44501</v>
      </c>
      <c r="J971" s="4">
        <v>0</v>
      </c>
      <c r="K971" s="4">
        <v>0</v>
      </c>
      <c r="L971" s="4">
        <v>0.15</v>
      </c>
      <c r="M971" s="4">
        <v>0.15</v>
      </c>
      <c r="N971" s="4">
        <v>0.15</v>
      </c>
      <c r="O971" s="4">
        <v>0.15</v>
      </c>
      <c r="P971" s="4">
        <v>0</v>
      </c>
      <c r="Q971" s="3" t="s">
        <v>26</v>
      </c>
      <c r="R971" s="3">
        <v>0</v>
      </c>
      <c r="S971" s="3" t="s">
        <v>305</v>
      </c>
      <c r="T971" s="3" t="s">
        <v>523</v>
      </c>
      <c r="U971" s="3">
        <v>0</v>
      </c>
      <c r="V971" s="3">
        <v>64</v>
      </c>
      <c r="W971" s="3">
        <v>85</v>
      </c>
    </row>
    <row r="972" spans="1:23" ht="11.25" customHeight="1" x14ac:dyDescent="0.25">
      <c r="A972" s="3" t="s">
        <v>21</v>
      </c>
      <c r="B972" s="3" t="s">
        <v>37</v>
      </c>
      <c r="C972" s="3" t="s">
        <v>33</v>
      </c>
      <c r="D972" s="3" t="s">
        <v>42</v>
      </c>
      <c r="E972" s="3" t="s">
        <v>25</v>
      </c>
      <c r="F972" s="3" t="s">
        <v>25</v>
      </c>
      <c r="G972" s="3" t="s">
        <v>25</v>
      </c>
      <c r="H972" s="3" t="s">
        <v>34</v>
      </c>
      <c r="I972" s="6">
        <v>44531</v>
      </c>
      <c r="J972" s="4">
        <v>0</v>
      </c>
      <c r="K972" s="4">
        <v>0</v>
      </c>
      <c r="L972" s="4">
        <v>2.8759999999999999</v>
      </c>
      <c r="M972" s="4">
        <v>2.8759999999999999</v>
      </c>
      <c r="N972" s="4">
        <v>2.8759999999999999</v>
      </c>
      <c r="O972" s="4">
        <v>2.8759999999999999</v>
      </c>
      <c r="P972" s="4">
        <v>0</v>
      </c>
      <c r="Q972" s="3" t="s">
        <v>26</v>
      </c>
      <c r="R972" s="3">
        <v>0</v>
      </c>
      <c r="S972" s="3" t="s">
        <v>306</v>
      </c>
      <c r="T972" s="3" t="s">
        <v>524</v>
      </c>
      <c r="U972" s="3">
        <v>0</v>
      </c>
      <c r="V972" s="3">
        <v>64</v>
      </c>
      <c r="W972" s="3">
        <v>85</v>
      </c>
    </row>
    <row r="973" spans="1:23" ht="11.25" customHeight="1" x14ac:dyDescent="0.25">
      <c r="A973" s="3" t="s">
        <v>28</v>
      </c>
      <c r="B973" s="3" t="s">
        <v>37</v>
      </c>
      <c r="C973" s="3" t="s">
        <v>33</v>
      </c>
      <c r="D973" s="3" t="s">
        <v>42</v>
      </c>
      <c r="E973" s="3" t="s">
        <v>25</v>
      </c>
      <c r="F973" s="3" t="s">
        <v>25</v>
      </c>
      <c r="G973" s="3" t="s">
        <v>25</v>
      </c>
      <c r="H973" s="3" t="s">
        <v>34</v>
      </c>
      <c r="I973" s="6">
        <v>44531</v>
      </c>
      <c r="J973" s="4">
        <v>0</v>
      </c>
      <c r="K973" s="4">
        <v>0</v>
      </c>
      <c r="L973" s="4">
        <v>0.2</v>
      </c>
      <c r="M973" s="4">
        <v>0.2</v>
      </c>
      <c r="N973" s="4">
        <v>0.2</v>
      </c>
      <c r="O973" s="4">
        <v>0.2</v>
      </c>
      <c r="P973" s="4">
        <v>0</v>
      </c>
      <c r="Q973" s="3" t="s">
        <v>26</v>
      </c>
      <c r="R973" s="3">
        <v>0</v>
      </c>
      <c r="S973" s="3" t="s">
        <v>306</v>
      </c>
      <c r="T973" s="3" t="s">
        <v>524</v>
      </c>
      <c r="U973" s="3">
        <v>0</v>
      </c>
      <c r="V973" s="3">
        <v>64</v>
      </c>
      <c r="W973" s="3">
        <v>85</v>
      </c>
    </row>
    <row r="974" spans="1:23" ht="11.25" customHeight="1" x14ac:dyDescent="0.25">
      <c r="A974" s="3" t="s">
        <v>21</v>
      </c>
      <c r="B974" s="3" t="s">
        <v>37</v>
      </c>
      <c r="C974" s="3" t="s">
        <v>33</v>
      </c>
      <c r="D974" s="3" t="s">
        <v>42</v>
      </c>
      <c r="E974" s="3" t="s">
        <v>25</v>
      </c>
      <c r="F974" s="3" t="s">
        <v>25</v>
      </c>
      <c r="G974" s="3" t="s">
        <v>25</v>
      </c>
      <c r="H974" s="3" t="s">
        <v>34</v>
      </c>
      <c r="I974" s="6">
        <v>44562</v>
      </c>
      <c r="J974" s="4">
        <v>0</v>
      </c>
      <c r="K974" s="4">
        <v>0</v>
      </c>
      <c r="L974" s="4">
        <v>2.6339999999999999</v>
      </c>
      <c r="M974" s="4">
        <v>2.6339999999999999</v>
      </c>
      <c r="N974" s="4">
        <v>2.6339999999999999</v>
      </c>
      <c r="O974" s="4">
        <v>2.6339999999999999</v>
      </c>
      <c r="P974" s="4">
        <v>0</v>
      </c>
      <c r="Q974" s="3" t="s">
        <v>26</v>
      </c>
      <c r="R974" s="3">
        <v>0</v>
      </c>
      <c r="S974" s="3" t="s">
        <v>307</v>
      </c>
      <c r="T974" s="3" t="s">
        <v>525</v>
      </c>
      <c r="U974" s="3">
        <v>0</v>
      </c>
      <c r="V974" s="3">
        <v>64</v>
      </c>
      <c r="W974" s="3">
        <v>85</v>
      </c>
    </row>
    <row r="975" spans="1:23" ht="11.25" customHeight="1" x14ac:dyDescent="0.25">
      <c r="A975" s="3" t="s">
        <v>28</v>
      </c>
      <c r="B975" s="3" t="s">
        <v>37</v>
      </c>
      <c r="C975" s="3" t="s">
        <v>33</v>
      </c>
      <c r="D975" s="3" t="s">
        <v>42</v>
      </c>
      <c r="E975" s="3" t="s">
        <v>25</v>
      </c>
      <c r="F975" s="3" t="s">
        <v>25</v>
      </c>
      <c r="G975" s="3" t="s">
        <v>25</v>
      </c>
      <c r="H975" s="3" t="s">
        <v>34</v>
      </c>
      <c r="I975" s="6">
        <v>44562</v>
      </c>
      <c r="J975" s="4">
        <v>0</v>
      </c>
      <c r="K975" s="4">
        <v>0</v>
      </c>
      <c r="L975" s="4">
        <v>0.14499999999999999</v>
      </c>
      <c r="M975" s="4">
        <v>0.14499999999999999</v>
      </c>
      <c r="N975" s="4">
        <v>0.14499999999999999</v>
      </c>
      <c r="O975" s="4">
        <v>0.14499999999999999</v>
      </c>
      <c r="P975" s="4">
        <v>0</v>
      </c>
      <c r="Q975" s="3" t="s">
        <v>26</v>
      </c>
      <c r="R975" s="3">
        <v>0</v>
      </c>
      <c r="S975" s="3" t="s">
        <v>307</v>
      </c>
      <c r="T975" s="3" t="s">
        <v>525</v>
      </c>
      <c r="U975" s="3">
        <v>0</v>
      </c>
      <c r="V975" s="3">
        <v>64</v>
      </c>
      <c r="W975" s="3">
        <v>85</v>
      </c>
    </row>
    <row r="976" spans="1:23" ht="11.25" customHeight="1" x14ac:dyDescent="0.25">
      <c r="A976" s="3" t="s">
        <v>21</v>
      </c>
      <c r="B976" s="3" t="s">
        <v>37</v>
      </c>
      <c r="C976" s="3" t="s">
        <v>33</v>
      </c>
      <c r="D976" s="3" t="s">
        <v>42</v>
      </c>
      <c r="E976" s="3" t="s">
        <v>25</v>
      </c>
      <c r="F976" s="3" t="s">
        <v>25</v>
      </c>
      <c r="G976" s="3" t="s">
        <v>25</v>
      </c>
      <c r="H976" s="3" t="s">
        <v>34</v>
      </c>
      <c r="I976" s="6">
        <v>44593</v>
      </c>
      <c r="J976" s="4">
        <v>0</v>
      </c>
      <c r="K976" s="4">
        <v>0</v>
      </c>
      <c r="L976" s="4">
        <v>2.6</v>
      </c>
      <c r="M976" s="4">
        <v>2.6</v>
      </c>
      <c r="N976" s="4">
        <v>2.6</v>
      </c>
      <c r="O976" s="4">
        <v>2.6</v>
      </c>
      <c r="P976" s="4">
        <v>0</v>
      </c>
      <c r="Q976" s="3" t="s">
        <v>26</v>
      </c>
      <c r="R976" s="3">
        <v>0</v>
      </c>
      <c r="S976" s="3" t="s">
        <v>308</v>
      </c>
      <c r="T976" s="3" t="s">
        <v>526</v>
      </c>
      <c r="U976" s="3">
        <v>0</v>
      </c>
      <c r="V976" s="3">
        <v>64</v>
      </c>
      <c r="W976" s="3">
        <v>85</v>
      </c>
    </row>
    <row r="977" spans="1:23" ht="11.25" customHeight="1" x14ac:dyDescent="0.25">
      <c r="A977" s="3" t="s">
        <v>28</v>
      </c>
      <c r="B977" s="3" t="s">
        <v>37</v>
      </c>
      <c r="C977" s="3" t="s">
        <v>33</v>
      </c>
      <c r="D977" s="3" t="s">
        <v>42</v>
      </c>
      <c r="E977" s="3" t="s">
        <v>25</v>
      </c>
      <c r="F977" s="3" t="s">
        <v>25</v>
      </c>
      <c r="G977" s="3" t="s">
        <v>25</v>
      </c>
      <c r="H977" s="3" t="s">
        <v>34</v>
      </c>
      <c r="I977" s="6">
        <v>44593</v>
      </c>
      <c r="J977" s="4">
        <v>0</v>
      </c>
      <c r="K977" s="4">
        <v>0</v>
      </c>
      <c r="L977" s="4">
        <v>0.16600000000000001</v>
      </c>
      <c r="M977" s="4">
        <v>0.16600000000000001</v>
      </c>
      <c r="N977" s="4">
        <v>0.16600000000000001</v>
      </c>
      <c r="O977" s="4">
        <v>0.16600000000000001</v>
      </c>
      <c r="P977" s="4">
        <v>0</v>
      </c>
      <c r="Q977" s="3" t="s">
        <v>26</v>
      </c>
      <c r="R977" s="3">
        <v>0</v>
      </c>
      <c r="S977" s="3" t="s">
        <v>308</v>
      </c>
      <c r="T977" s="3" t="s">
        <v>526</v>
      </c>
      <c r="U977" s="3">
        <v>0</v>
      </c>
      <c r="V977" s="3">
        <v>64</v>
      </c>
      <c r="W977" s="3">
        <v>85</v>
      </c>
    </row>
    <row r="978" spans="1:23" ht="11.25" customHeight="1" x14ac:dyDescent="0.25">
      <c r="A978" s="3" t="s">
        <v>21</v>
      </c>
      <c r="B978" s="3" t="s">
        <v>37</v>
      </c>
      <c r="C978" s="3" t="s">
        <v>33</v>
      </c>
      <c r="D978" s="3" t="s">
        <v>42</v>
      </c>
      <c r="E978" s="3" t="s">
        <v>25</v>
      </c>
      <c r="F978" s="3" t="s">
        <v>25</v>
      </c>
      <c r="G978" s="3" t="s">
        <v>25</v>
      </c>
      <c r="H978" s="3" t="s">
        <v>34</v>
      </c>
      <c r="I978" s="6">
        <v>44621</v>
      </c>
      <c r="J978" s="4">
        <v>0</v>
      </c>
      <c r="K978" s="4">
        <v>0</v>
      </c>
      <c r="L978" s="4">
        <v>2.899</v>
      </c>
      <c r="M978" s="4">
        <v>2.899</v>
      </c>
      <c r="N978" s="4">
        <v>2.899</v>
      </c>
      <c r="O978" s="4">
        <v>2.899</v>
      </c>
      <c r="P978" s="4">
        <v>0</v>
      </c>
      <c r="Q978" s="3" t="s">
        <v>26</v>
      </c>
      <c r="R978" s="3">
        <v>0</v>
      </c>
      <c r="S978" s="3" t="s">
        <v>309</v>
      </c>
      <c r="T978" s="3" t="s">
        <v>527</v>
      </c>
      <c r="U978" s="3">
        <v>0</v>
      </c>
      <c r="V978" s="3">
        <v>64</v>
      </c>
      <c r="W978" s="3">
        <v>85</v>
      </c>
    </row>
    <row r="979" spans="1:23" ht="11.25" customHeight="1" x14ac:dyDescent="0.25">
      <c r="A979" s="3" t="s">
        <v>28</v>
      </c>
      <c r="B979" s="3" t="s">
        <v>37</v>
      </c>
      <c r="C979" s="3" t="s">
        <v>33</v>
      </c>
      <c r="D979" s="3" t="s">
        <v>42</v>
      </c>
      <c r="E979" s="3" t="s">
        <v>25</v>
      </c>
      <c r="F979" s="3" t="s">
        <v>25</v>
      </c>
      <c r="G979" s="3" t="s">
        <v>25</v>
      </c>
      <c r="H979" s="3" t="s">
        <v>34</v>
      </c>
      <c r="I979" s="6">
        <v>44621</v>
      </c>
      <c r="J979" s="4">
        <v>0</v>
      </c>
      <c r="K979" s="4">
        <v>0</v>
      </c>
      <c r="L979" s="4">
        <v>0.17399999999999999</v>
      </c>
      <c r="M979" s="4">
        <v>0.17399999999999999</v>
      </c>
      <c r="N979" s="4">
        <v>0.17399999999999999</v>
      </c>
      <c r="O979" s="4">
        <v>0.17399999999999999</v>
      </c>
      <c r="P979" s="4">
        <v>0</v>
      </c>
      <c r="Q979" s="3" t="s">
        <v>26</v>
      </c>
      <c r="R979" s="3">
        <v>0</v>
      </c>
      <c r="S979" s="3" t="s">
        <v>309</v>
      </c>
      <c r="T979" s="3" t="s">
        <v>527</v>
      </c>
      <c r="U979" s="3">
        <v>0</v>
      </c>
      <c r="V979" s="3">
        <v>64</v>
      </c>
      <c r="W979" s="3">
        <v>85</v>
      </c>
    </row>
    <row r="980" spans="1:23" ht="11.25" customHeight="1" x14ac:dyDescent="0.25">
      <c r="A980" s="3" t="s">
        <v>21</v>
      </c>
      <c r="B980" s="3" t="s">
        <v>37</v>
      </c>
      <c r="C980" s="3" t="s">
        <v>33</v>
      </c>
      <c r="D980" s="3" t="s">
        <v>42</v>
      </c>
      <c r="E980" s="3" t="s">
        <v>25</v>
      </c>
      <c r="F980" s="3" t="s">
        <v>25</v>
      </c>
      <c r="G980" s="3" t="s">
        <v>25</v>
      </c>
      <c r="H980" s="3" t="s">
        <v>34</v>
      </c>
      <c r="I980" s="6">
        <v>44652</v>
      </c>
      <c r="J980" s="4">
        <v>0</v>
      </c>
      <c r="K980" s="4">
        <v>0</v>
      </c>
      <c r="L980" s="4">
        <v>2.899</v>
      </c>
      <c r="M980" s="4">
        <v>2.899</v>
      </c>
      <c r="N980" s="4">
        <v>2.899</v>
      </c>
      <c r="O980" s="4">
        <v>2.899</v>
      </c>
      <c r="P980" s="4">
        <v>0</v>
      </c>
      <c r="Q980" s="3" t="s">
        <v>26</v>
      </c>
      <c r="R980" s="3">
        <v>0</v>
      </c>
      <c r="S980" s="3" t="s">
        <v>310</v>
      </c>
      <c r="T980" s="3" t="s">
        <v>528</v>
      </c>
      <c r="U980" s="3">
        <v>0</v>
      </c>
      <c r="V980" s="3">
        <v>64</v>
      </c>
      <c r="W980" s="3">
        <v>85</v>
      </c>
    </row>
    <row r="981" spans="1:23" ht="11.25" customHeight="1" x14ac:dyDescent="0.25">
      <c r="A981" s="3" t="s">
        <v>28</v>
      </c>
      <c r="B981" s="3" t="s">
        <v>37</v>
      </c>
      <c r="C981" s="3" t="s">
        <v>33</v>
      </c>
      <c r="D981" s="3" t="s">
        <v>42</v>
      </c>
      <c r="E981" s="3" t="s">
        <v>25</v>
      </c>
      <c r="F981" s="3" t="s">
        <v>25</v>
      </c>
      <c r="G981" s="3" t="s">
        <v>25</v>
      </c>
      <c r="H981" s="3" t="s">
        <v>34</v>
      </c>
      <c r="I981" s="6">
        <v>44652</v>
      </c>
      <c r="J981" s="4">
        <v>0</v>
      </c>
      <c r="K981" s="4">
        <v>0</v>
      </c>
      <c r="L981" s="4">
        <v>0.17399999999999999</v>
      </c>
      <c r="M981" s="4">
        <v>0.17399999999999999</v>
      </c>
      <c r="N981" s="4">
        <v>0.17399999999999999</v>
      </c>
      <c r="O981" s="4">
        <v>0.17399999999999999</v>
      </c>
      <c r="P981" s="4">
        <v>0</v>
      </c>
      <c r="Q981" s="3" t="s">
        <v>26</v>
      </c>
      <c r="R981" s="3">
        <v>0</v>
      </c>
      <c r="S981" s="3" t="s">
        <v>310</v>
      </c>
      <c r="T981" s="3" t="s">
        <v>528</v>
      </c>
      <c r="U981" s="3">
        <v>0</v>
      </c>
      <c r="V981" s="3">
        <v>64</v>
      </c>
      <c r="W981" s="3">
        <v>85</v>
      </c>
    </row>
    <row r="982" spans="1:23" ht="11.25" customHeight="1" x14ac:dyDescent="0.25">
      <c r="A982" s="3" t="s">
        <v>21</v>
      </c>
      <c r="B982" s="3" t="s">
        <v>37</v>
      </c>
      <c r="C982" s="3" t="s">
        <v>33</v>
      </c>
      <c r="D982" s="3" t="s">
        <v>42</v>
      </c>
      <c r="E982" s="3" t="s">
        <v>25</v>
      </c>
      <c r="F982" s="3" t="s">
        <v>25</v>
      </c>
      <c r="G982" s="3" t="s">
        <v>25</v>
      </c>
      <c r="H982" s="3" t="s">
        <v>34</v>
      </c>
      <c r="I982" s="6">
        <v>44682</v>
      </c>
      <c r="J982" s="4">
        <v>0</v>
      </c>
      <c r="K982" s="4">
        <v>0</v>
      </c>
      <c r="L982" s="4">
        <v>3.024</v>
      </c>
      <c r="M982" s="4">
        <v>3.024</v>
      </c>
      <c r="N982" s="4">
        <v>3.024</v>
      </c>
      <c r="O982" s="4">
        <v>3.024</v>
      </c>
      <c r="P982" s="4">
        <v>0</v>
      </c>
      <c r="Q982" s="3" t="s">
        <v>26</v>
      </c>
      <c r="R982" s="3">
        <v>0</v>
      </c>
      <c r="S982" s="3" t="s">
        <v>311</v>
      </c>
      <c r="T982" s="3" t="s">
        <v>529</v>
      </c>
      <c r="U982" s="3">
        <v>0</v>
      </c>
      <c r="V982" s="3">
        <v>64</v>
      </c>
      <c r="W982" s="3">
        <v>85</v>
      </c>
    </row>
    <row r="983" spans="1:23" ht="11.25" customHeight="1" x14ac:dyDescent="0.25">
      <c r="A983" s="3" t="s">
        <v>28</v>
      </c>
      <c r="B983" s="3" t="s">
        <v>37</v>
      </c>
      <c r="C983" s="3" t="s">
        <v>33</v>
      </c>
      <c r="D983" s="3" t="s">
        <v>42</v>
      </c>
      <c r="E983" s="3" t="s">
        <v>25</v>
      </c>
      <c r="F983" s="3" t="s">
        <v>25</v>
      </c>
      <c r="G983" s="3" t="s">
        <v>25</v>
      </c>
      <c r="H983" s="3" t="s">
        <v>34</v>
      </c>
      <c r="I983" s="6">
        <v>44682</v>
      </c>
      <c r="J983" s="4">
        <v>0</v>
      </c>
      <c r="K983" s="4">
        <v>0</v>
      </c>
      <c r="L983" s="4">
        <v>0.51600000000000001</v>
      </c>
      <c r="M983" s="4">
        <v>0.51600000000000001</v>
      </c>
      <c r="N983" s="4">
        <v>0.51600000000000001</v>
      </c>
      <c r="O983" s="4">
        <v>0.51600000000000001</v>
      </c>
      <c r="P983" s="4">
        <v>0</v>
      </c>
      <c r="Q983" s="3" t="s">
        <v>26</v>
      </c>
      <c r="R983" s="3">
        <v>0</v>
      </c>
      <c r="S983" s="3" t="s">
        <v>311</v>
      </c>
      <c r="T983" s="3" t="s">
        <v>529</v>
      </c>
      <c r="U983" s="3">
        <v>0</v>
      </c>
      <c r="V983" s="3">
        <v>64</v>
      </c>
      <c r="W983" s="3">
        <v>85</v>
      </c>
    </row>
    <row r="984" spans="1:23" ht="11.25" customHeight="1" x14ac:dyDescent="0.25">
      <c r="A984" s="3" t="s">
        <v>21</v>
      </c>
      <c r="B984" s="3" t="s">
        <v>37</v>
      </c>
      <c r="C984" s="3" t="s">
        <v>33</v>
      </c>
      <c r="D984" s="3" t="s">
        <v>42</v>
      </c>
      <c r="E984" s="3" t="s">
        <v>25</v>
      </c>
      <c r="F984" s="3" t="s">
        <v>25</v>
      </c>
      <c r="G984" s="3" t="s">
        <v>25</v>
      </c>
      <c r="H984" s="3" t="s">
        <v>34</v>
      </c>
      <c r="I984" s="6">
        <v>44713</v>
      </c>
      <c r="J984" s="4">
        <v>0</v>
      </c>
      <c r="K984" s="4">
        <v>0</v>
      </c>
      <c r="L984" s="4">
        <v>3.0270000000000001</v>
      </c>
      <c r="M984" s="4">
        <v>3.0270000000000001</v>
      </c>
      <c r="N984" s="4">
        <v>3.0270000000000001</v>
      </c>
      <c r="O984" s="4">
        <v>3.0270000000000001</v>
      </c>
      <c r="P984" s="4">
        <v>0</v>
      </c>
      <c r="Q984" s="3" t="s">
        <v>26</v>
      </c>
      <c r="R984" s="3">
        <v>0</v>
      </c>
      <c r="S984" s="3" t="s">
        <v>312</v>
      </c>
      <c r="T984" s="3" t="s">
        <v>530</v>
      </c>
      <c r="U984" s="3">
        <v>0</v>
      </c>
      <c r="V984" s="3">
        <v>64</v>
      </c>
      <c r="W984" s="3">
        <v>85</v>
      </c>
    </row>
    <row r="985" spans="1:23" ht="11.25" customHeight="1" x14ac:dyDescent="0.25">
      <c r="A985" s="3" t="s">
        <v>28</v>
      </c>
      <c r="B985" s="3" t="s">
        <v>37</v>
      </c>
      <c r="C985" s="3" t="s">
        <v>33</v>
      </c>
      <c r="D985" s="3" t="s">
        <v>42</v>
      </c>
      <c r="E985" s="3" t="s">
        <v>25</v>
      </c>
      <c r="F985" s="3" t="s">
        <v>25</v>
      </c>
      <c r="G985" s="3" t="s">
        <v>25</v>
      </c>
      <c r="H985" s="3" t="s">
        <v>34</v>
      </c>
      <c r="I985" s="6">
        <v>44713</v>
      </c>
      <c r="J985" s="4">
        <v>0</v>
      </c>
      <c r="K985" s="4">
        <v>0</v>
      </c>
      <c r="L985" s="4">
        <v>0.17100000000000001</v>
      </c>
      <c r="M985" s="4">
        <v>0.17100000000000001</v>
      </c>
      <c r="N985" s="4">
        <v>0.17100000000000001</v>
      </c>
      <c r="O985" s="4">
        <v>0.17100000000000001</v>
      </c>
      <c r="P985" s="4">
        <v>0</v>
      </c>
      <c r="Q985" s="3" t="s">
        <v>26</v>
      </c>
      <c r="R985" s="3">
        <v>0</v>
      </c>
      <c r="S985" s="3" t="s">
        <v>312</v>
      </c>
      <c r="T985" s="3" t="s">
        <v>530</v>
      </c>
      <c r="U985" s="3">
        <v>0</v>
      </c>
      <c r="V985" s="3">
        <v>64</v>
      </c>
      <c r="W985" s="3">
        <v>85</v>
      </c>
    </row>
    <row r="986" spans="1:23" ht="11.25" customHeight="1" x14ac:dyDescent="0.25">
      <c r="A986" s="3" t="s">
        <v>21</v>
      </c>
      <c r="B986" s="3" t="s">
        <v>37</v>
      </c>
      <c r="C986" s="3" t="s">
        <v>33</v>
      </c>
      <c r="D986" s="3" t="s">
        <v>42</v>
      </c>
      <c r="E986" s="3" t="s">
        <v>25</v>
      </c>
      <c r="F986" s="3" t="s">
        <v>25</v>
      </c>
      <c r="G986" s="3" t="s">
        <v>25</v>
      </c>
      <c r="H986" s="3" t="s">
        <v>34</v>
      </c>
      <c r="I986" s="6">
        <v>44743</v>
      </c>
      <c r="J986" s="4">
        <v>0</v>
      </c>
      <c r="K986" s="4">
        <v>0</v>
      </c>
      <c r="L986" s="4">
        <v>2.8849999999999998</v>
      </c>
      <c r="M986" s="4">
        <v>2.8849999999999998</v>
      </c>
      <c r="N986" s="4">
        <v>2.8849999999999998</v>
      </c>
      <c r="O986" s="4">
        <v>2.8849999999999998</v>
      </c>
      <c r="P986" s="4">
        <v>0</v>
      </c>
      <c r="Q986" s="3" t="s">
        <v>26</v>
      </c>
      <c r="R986" s="3">
        <v>0</v>
      </c>
      <c r="S986" s="3" t="s">
        <v>313</v>
      </c>
      <c r="T986" s="3" t="s">
        <v>531</v>
      </c>
      <c r="U986" s="3">
        <v>0</v>
      </c>
      <c r="V986" s="3">
        <v>64</v>
      </c>
      <c r="W986" s="3">
        <v>85</v>
      </c>
    </row>
    <row r="987" spans="1:23" ht="11.25" customHeight="1" x14ac:dyDescent="0.25">
      <c r="A987" s="3" t="s">
        <v>28</v>
      </c>
      <c r="B987" s="3" t="s">
        <v>37</v>
      </c>
      <c r="C987" s="3" t="s">
        <v>33</v>
      </c>
      <c r="D987" s="3" t="s">
        <v>42</v>
      </c>
      <c r="E987" s="3" t="s">
        <v>25</v>
      </c>
      <c r="F987" s="3" t="s">
        <v>25</v>
      </c>
      <c r="G987" s="3" t="s">
        <v>25</v>
      </c>
      <c r="H987" s="3" t="s">
        <v>34</v>
      </c>
      <c r="I987" s="6">
        <v>44743</v>
      </c>
      <c r="J987" s="4">
        <v>0</v>
      </c>
      <c r="K987" s="4">
        <v>0</v>
      </c>
      <c r="L987" s="4">
        <v>0.14799999999999999</v>
      </c>
      <c r="M987" s="4">
        <v>0.14799999999999999</v>
      </c>
      <c r="N987" s="4">
        <v>0.14799999999999999</v>
      </c>
      <c r="O987" s="4">
        <v>0.14799999999999999</v>
      </c>
      <c r="P987" s="4">
        <v>0</v>
      </c>
      <c r="Q987" s="3" t="s">
        <v>26</v>
      </c>
      <c r="R987" s="3">
        <v>0</v>
      </c>
      <c r="S987" s="3" t="s">
        <v>313</v>
      </c>
      <c r="T987" s="3" t="s">
        <v>531</v>
      </c>
      <c r="U987" s="3">
        <v>0</v>
      </c>
      <c r="V987" s="3">
        <v>64</v>
      </c>
      <c r="W987" s="3">
        <v>85</v>
      </c>
    </row>
    <row r="988" spans="1:23" ht="11.25" customHeight="1" x14ac:dyDescent="0.25">
      <c r="A988" s="3" t="s">
        <v>21</v>
      </c>
      <c r="B988" s="3" t="s">
        <v>37</v>
      </c>
      <c r="C988" s="3" t="s">
        <v>33</v>
      </c>
      <c r="D988" s="3" t="s">
        <v>42</v>
      </c>
      <c r="E988" s="3" t="s">
        <v>25</v>
      </c>
      <c r="F988" s="3" t="s">
        <v>25</v>
      </c>
      <c r="G988" s="3" t="s">
        <v>25</v>
      </c>
      <c r="H988" s="3" t="s">
        <v>34</v>
      </c>
      <c r="I988" s="6">
        <v>44774</v>
      </c>
      <c r="J988" s="4">
        <v>0</v>
      </c>
      <c r="K988" s="4">
        <v>0</v>
      </c>
      <c r="L988" s="4">
        <v>3.5779999999999998</v>
      </c>
      <c r="M988" s="4">
        <v>3.5779999999999998</v>
      </c>
      <c r="N988" s="4">
        <v>3.5779999999999998</v>
      </c>
      <c r="O988" s="4">
        <v>3.5779999999999998</v>
      </c>
      <c r="P988" s="4">
        <v>0</v>
      </c>
      <c r="Q988" s="3" t="s">
        <v>26</v>
      </c>
      <c r="R988" s="3">
        <v>0</v>
      </c>
      <c r="S988" s="3" t="s">
        <v>314</v>
      </c>
      <c r="T988" s="3" t="s">
        <v>532</v>
      </c>
      <c r="U988" s="3">
        <v>0</v>
      </c>
      <c r="V988" s="3">
        <v>64</v>
      </c>
      <c r="W988" s="3">
        <v>85</v>
      </c>
    </row>
    <row r="989" spans="1:23" ht="11.25" customHeight="1" x14ac:dyDescent="0.25">
      <c r="A989" s="3" t="s">
        <v>28</v>
      </c>
      <c r="B989" s="3" t="s">
        <v>37</v>
      </c>
      <c r="C989" s="3" t="s">
        <v>33</v>
      </c>
      <c r="D989" s="3" t="s">
        <v>42</v>
      </c>
      <c r="E989" s="3" t="s">
        <v>25</v>
      </c>
      <c r="F989" s="3" t="s">
        <v>25</v>
      </c>
      <c r="G989" s="3" t="s">
        <v>25</v>
      </c>
      <c r="H989" s="3" t="s">
        <v>34</v>
      </c>
      <c r="I989" s="6">
        <v>44774</v>
      </c>
      <c r="J989" s="4">
        <v>0</v>
      </c>
      <c r="K989" s="4">
        <v>0</v>
      </c>
      <c r="L989" s="4">
        <v>0.151</v>
      </c>
      <c r="M989" s="4">
        <v>0.151</v>
      </c>
      <c r="N989" s="4">
        <v>0.151</v>
      </c>
      <c r="O989" s="4">
        <v>0.151</v>
      </c>
      <c r="P989" s="4">
        <v>0</v>
      </c>
      <c r="Q989" s="3" t="s">
        <v>26</v>
      </c>
      <c r="R989" s="3">
        <v>0</v>
      </c>
      <c r="S989" s="3" t="s">
        <v>314</v>
      </c>
      <c r="T989" s="3" t="s">
        <v>532</v>
      </c>
      <c r="U989" s="3">
        <v>0</v>
      </c>
      <c r="V989" s="3">
        <v>64</v>
      </c>
      <c r="W989" s="3">
        <v>85</v>
      </c>
    </row>
    <row r="990" spans="1:23" ht="11.25" customHeight="1" x14ac:dyDescent="0.25">
      <c r="A990" s="3" t="s">
        <v>21</v>
      </c>
      <c r="B990" s="3" t="s">
        <v>37</v>
      </c>
      <c r="C990" s="3" t="s">
        <v>33</v>
      </c>
      <c r="D990" s="3" t="s">
        <v>42</v>
      </c>
      <c r="E990" s="3" t="s">
        <v>25</v>
      </c>
      <c r="F990" s="3" t="s">
        <v>25</v>
      </c>
      <c r="G990" s="3" t="s">
        <v>25</v>
      </c>
      <c r="H990" s="3" t="s">
        <v>34</v>
      </c>
      <c r="I990" s="6">
        <v>44805</v>
      </c>
      <c r="J990" s="4">
        <v>0</v>
      </c>
      <c r="K990" s="4">
        <v>0</v>
      </c>
      <c r="L990" s="4">
        <v>3.0990000000000002</v>
      </c>
      <c r="M990" s="4">
        <v>3.0990000000000002</v>
      </c>
      <c r="N990" s="4">
        <v>3.0990000000000002</v>
      </c>
      <c r="O990" s="4">
        <v>3.0990000000000002</v>
      </c>
      <c r="P990" s="4">
        <v>0</v>
      </c>
      <c r="Q990" s="3" t="s">
        <v>26</v>
      </c>
      <c r="R990" s="3">
        <v>0</v>
      </c>
      <c r="S990" s="3" t="s">
        <v>315</v>
      </c>
      <c r="T990" s="3" t="s">
        <v>533</v>
      </c>
      <c r="U990" s="3">
        <v>0</v>
      </c>
      <c r="V990" s="3">
        <v>64</v>
      </c>
      <c r="W990" s="3">
        <v>85</v>
      </c>
    </row>
    <row r="991" spans="1:23" ht="11.25" customHeight="1" x14ac:dyDescent="0.25">
      <c r="A991" s="3" t="s">
        <v>28</v>
      </c>
      <c r="B991" s="3" t="s">
        <v>37</v>
      </c>
      <c r="C991" s="3" t="s">
        <v>33</v>
      </c>
      <c r="D991" s="3" t="s">
        <v>42</v>
      </c>
      <c r="E991" s="3" t="s">
        <v>25</v>
      </c>
      <c r="F991" s="3" t="s">
        <v>25</v>
      </c>
      <c r="G991" s="3" t="s">
        <v>25</v>
      </c>
      <c r="H991" s="3" t="s">
        <v>34</v>
      </c>
      <c r="I991" s="6">
        <v>44805</v>
      </c>
      <c r="J991" s="4">
        <v>0</v>
      </c>
      <c r="K991" s="4">
        <v>0</v>
      </c>
      <c r="L991" s="4">
        <v>0.14599999999999999</v>
      </c>
      <c r="M991" s="4">
        <v>0.14599999999999999</v>
      </c>
      <c r="N991" s="4">
        <v>0.14599999999999999</v>
      </c>
      <c r="O991" s="4">
        <v>0.14599999999999999</v>
      </c>
      <c r="P991" s="4">
        <v>0</v>
      </c>
      <c r="Q991" s="3" t="s">
        <v>26</v>
      </c>
      <c r="R991" s="3">
        <v>0</v>
      </c>
      <c r="S991" s="3" t="s">
        <v>315</v>
      </c>
      <c r="T991" s="3" t="s">
        <v>533</v>
      </c>
      <c r="U991" s="3">
        <v>0</v>
      </c>
      <c r="V991" s="3">
        <v>64</v>
      </c>
      <c r="W991" s="3">
        <v>85</v>
      </c>
    </row>
    <row r="992" spans="1:23" ht="11.25" customHeight="1" x14ac:dyDescent="0.25">
      <c r="A992" s="3" t="s">
        <v>55</v>
      </c>
      <c r="B992" s="3" t="s">
        <v>37</v>
      </c>
      <c r="C992" s="3" t="s">
        <v>33</v>
      </c>
      <c r="D992" s="3" t="s">
        <v>42</v>
      </c>
      <c r="E992" s="3" t="s">
        <v>25</v>
      </c>
      <c r="F992" s="3" t="s">
        <v>25</v>
      </c>
      <c r="G992" s="3" t="s">
        <v>25</v>
      </c>
      <c r="H992" s="3" t="s">
        <v>34</v>
      </c>
      <c r="I992" s="6">
        <v>44835</v>
      </c>
      <c r="J992" s="4">
        <v>0</v>
      </c>
      <c r="K992" s="4">
        <v>0</v>
      </c>
      <c r="L992" s="4">
        <v>3.0990000000000002</v>
      </c>
      <c r="M992" s="4">
        <v>3.0990000000000002</v>
      </c>
      <c r="N992" s="4">
        <v>3.0990000000000002</v>
      </c>
      <c r="O992" s="4">
        <v>3.0990000000000002</v>
      </c>
      <c r="P992" s="4">
        <v>0</v>
      </c>
      <c r="Q992" s="3" t="s">
        <v>26</v>
      </c>
      <c r="R992" s="3">
        <v>0</v>
      </c>
      <c r="S992" s="3" t="s">
        <v>316</v>
      </c>
      <c r="T992" s="3" t="s">
        <v>534</v>
      </c>
      <c r="U992" s="3">
        <v>0</v>
      </c>
      <c r="V992" s="3">
        <v>64</v>
      </c>
      <c r="W992" s="3">
        <v>85</v>
      </c>
    </row>
    <row r="993" spans="1:23" ht="11.25" customHeight="1" x14ac:dyDescent="0.25">
      <c r="A993" s="3" t="s">
        <v>55</v>
      </c>
      <c r="B993" s="3" t="s">
        <v>37</v>
      </c>
      <c r="C993" s="3" t="s">
        <v>33</v>
      </c>
      <c r="D993" s="3" t="s">
        <v>42</v>
      </c>
      <c r="E993" s="3" t="s">
        <v>25</v>
      </c>
      <c r="F993" s="3" t="s">
        <v>25</v>
      </c>
      <c r="G993" s="3" t="s">
        <v>25</v>
      </c>
      <c r="H993" s="3" t="s">
        <v>34</v>
      </c>
      <c r="I993" s="6">
        <v>44835</v>
      </c>
      <c r="J993" s="4">
        <v>0</v>
      </c>
      <c r="K993" s="4">
        <v>0</v>
      </c>
      <c r="L993" s="4">
        <v>0.14599999999999999</v>
      </c>
      <c r="M993" s="4">
        <v>0.14599999999999999</v>
      </c>
      <c r="N993" s="4">
        <v>0.14599999999999999</v>
      </c>
      <c r="O993" s="4">
        <v>0.14599999999999999</v>
      </c>
      <c r="P993" s="4">
        <v>0</v>
      </c>
      <c r="Q993" s="3" t="s">
        <v>26</v>
      </c>
      <c r="R993" s="3">
        <v>0</v>
      </c>
      <c r="S993" s="3" t="s">
        <v>316</v>
      </c>
      <c r="T993" s="3" t="s">
        <v>534</v>
      </c>
      <c r="U993" s="3">
        <v>0</v>
      </c>
      <c r="V993" s="3">
        <v>64</v>
      </c>
      <c r="W993" s="3">
        <v>85</v>
      </c>
    </row>
    <row r="994" spans="1:23" ht="11.25" customHeight="1" x14ac:dyDescent="0.25">
      <c r="A994" s="3" t="s">
        <v>21</v>
      </c>
      <c r="B994" s="3" t="s">
        <v>37</v>
      </c>
      <c r="C994" s="3" t="s">
        <v>23</v>
      </c>
      <c r="D994" s="3" t="s">
        <v>42</v>
      </c>
      <c r="E994" s="3" t="s">
        <v>25</v>
      </c>
      <c r="F994" s="3" t="s">
        <v>25</v>
      </c>
      <c r="G994" s="3" t="s">
        <v>25</v>
      </c>
      <c r="H994" s="3" t="s">
        <v>25</v>
      </c>
      <c r="I994" s="6">
        <v>44501</v>
      </c>
      <c r="J994" s="4">
        <v>0</v>
      </c>
      <c r="K994" s="4">
        <v>0</v>
      </c>
      <c r="L994" s="4">
        <v>12409.630999999999</v>
      </c>
      <c r="M994" s="4">
        <v>12409.630999999999</v>
      </c>
      <c r="N994" s="4">
        <v>12409.630999999999</v>
      </c>
      <c r="O994" s="4">
        <v>12409.630999999999</v>
      </c>
      <c r="P994" s="4">
        <v>12397</v>
      </c>
      <c r="Q994" s="3" t="s">
        <v>26</v>
      </c>
      <c r="R994" s="3">
        <v>0</v>
      </c>
      <c r="S994" s="3" t="s">
        <v>317</v>
      </c>
      <c r="T994" s="3" t="s">
        <v>535</v>
      </c>
      <c r="U994" s="3">
        <v>0</v>
      </c>
      <c r="V994" s="3">
        <v>33</v>
      </c>
      <c r="W994" s="3">
        <v>87</v>
      </c>
    </row>
    <row r="995" spans="1:23" ht="11.25" customHeight="1" x14ac:dyDescent="0.25">
      <c r="A995" s="3" t="s">
        <v>27</v>
      </c>
      <c r="B995" s="3" t="s">
        <v>37</v>
      </c>
      <c r="C995" s="3" t="s">
        <v>23</v>
      </c>
      <c r="D995" s="3" t="s">
        <v>42</v>
      </c>
      <c r="E995" s="3" t="s">
        <v>25</v>
      </c>
      <c r="F995" s="3" t="s">
        <v>25</v>
      </c>
      <c r="G995" s="3" t="s">
        <v>25</v>
      </c>
      <c r="H995" s="3" t="s">
        <v>25</v>
      </c>
      <c r="I995" s="6">
        <v>44501</v>
      </c>
      <c r="J995" s="4">
        <v>0</v>
      </c>
      <c r="K995" s="4">
        <v>0</v>
      </c>
      <c r="L995" s="4">
        <v>-17.187000000000001</v>
      </c>
      <c r="M995" s="4">
        <v>-17.187000000000001</v>
      </c>
      <c r="N995" s="4">
        <v>-17.187000000000001</v>
      </c>
      <c r="O995" s="4">
        <v>-17.187000000000001</v>
      </c>
      <c r="P995" s="4">
        <v>1</v>
      </c>
      <c r="Q995" s="3" t="s">
        <v>26</v>
      </c>
      <c r="R995" s="3">
        <v>0</v>
      </c>
      <c r="S995" s="3" t="s">
        <v>317</v>
      </c>
      <c r="T995" s="3" t="s">
        <v>535</v>
      </c>
      <c r="U995" s="3">
        <v>0</v>
      </c>
      <c r="V995" s="3">
        <v>33</v>
      </c>
      <c r="W995" s="3">
        <v>87</v>
      </c>
    </row>
    <row r="996" spans="1:23" ht="11.25" customHeight="1" x14ac:dyDescent="0.25">
      <c r="A996" s="3" t="s">
        <v>28</v>
      </c>
      <c r="B996" s="3" t="s">
        <v>37</v>
      </c>
      <c r="C996" s="3" t="s">
        <v>23</v>
      </c>
      <c r="D996" s="3" t="s">
        <v>42</v>
      </c>
      <c r="E996" s="3" t="s">
        <v>25</v>
      </c>
      <c r="F996" s="3" t="s">
        <v>25</v>
      </c>
      <c r="G996" s="3" t="s">
        <v>25</v>
      </c>
      <c r="H996" s="3" t="s">
        <v>25</v>
      </c>
      <c r="I996" s="6">
        <v>44501</v>
      </c>
      <c r="J996" s="4">
        <v>0</v>
      </c>
      <c r="K996" s="4">
        <v>0</v>
      </c>
      <c r="L996" s="4">
        <v>330.00400000000002</v>
      </c>
      <c r="M996" s="4">
        <v>330.00400000000002</v>
      </c>
      <c r="N996" s="4">
        <v>330.00400000000002</v>
      </c>
      <c r="O996" s="4">
        <v>330.00400000000002</v>
      </c>
      <c r="P996" s="4">
        <v>123</v>
      </c>
      <c r="Q996" s="3" t="s">
        <v>26</v>
      </c>
      <c r="R996" s="3">
        <v>0</v>
      </c>
      <c r="S996" s="3" t="s">
        <v>317</v>
      </c>
      <c r="T996" s="3" t="s">
        <v>535</v>
      </c>
      <c r="U996" s="3">
        <v>0</v>
      </c>
      <c r="V996" s="3">
        <v>33</v>
      </c>
      <c r="W996" s="3">
        <v>87</v>
      </c>
    </row>
    <row r="997" spans="1:23" ht="11.25" customHeight="1" x14ac:dyDescent="0.25">
      <c r="A997" s="3" t="s">
        <v>21</v>
      </c>
      <c r="B997" s="3" t="s">
        <v>37</v>
      </c>
      <c r="C997" s="3" t="s">
        <v>23</v>
      </c>
      <c r="D997" s="3" t="s">
        <v>42</v>
      </c>
      <c r="E997" s="3" t="s">
        <v>25</v>
      </c>
      <c r="F997" s="3" t="s">
        <v>25</v>
      </c>
      <c r="G997" s="3" t="s">
        <v>25</v>
      </c>
      <c r="H997" s="3" t="s">
        <v>25</v>
      </c>
      <c r="I997" s="6">
        <v>44531</v>
      </c>
      <c r="J997" s="4">
        <v>0</v>
      </c>
      <c r="K997" s="4">
        <v>0</v>
      </c>
      <c r="L997" s="4">
        <v>12028.57</v>
      </c>
      <c r="M997" s="4">
        <v>12028.57</v>
      </c>
      <c r="N997" s="4">
        <v>12028.57</v>
      </c>
      <c r="O997" s="4">
        <v>12028.57</v>
      </c>
      <c r="P997" s="4">
        <v>12432</v>
      </c>
      <c r="Q997" s="3" t="s">
        <v>26</v>
      </c>
      <c r="R997" s="3">
        <v>0</v>
      </c>
      <c r="S997" s="3" t="s">
        <v>318</v>
      </c>
      <c r="T997" s="3" t="s">
        <v>536</v>
      </c>
      <c r="U997" s="3">
        <v>0</v>
      </c>
      <c r="V997" s="3">
        <v>33</v>
      </c>
      <c r="W997" s="3">
        <v>87</v>
      </c>
    </row>
    <row r="998" spans="1:23" ht="11.25" customHeight="1" x14ac:dyDescent="0.25">
      <c r="A998" s="3" t="s">
        <v>27</v>
      </c>
      <c r="B998" s="3" t="s">
        <v>37</v>
      </c>
      <c r="C998" s="3" t="s">
        <v>23</v>
      </c>
      <c r="D998" s="3" t="s">
        <v>42</v>
      </c>
      <c r="E998" s="3" t="s">
        <v>25</v>
      </c>
      <c r="F998" s="3" t="s">
        <v>25</v>
      </c>
      <c r="G998" s="3" t="s">
        <v>25</v>
      </c>
      <c r="H998" s="3" t="s">
        <v>25</v>
      </c>
      <c r="I998" s="6">
        <v>44531</v>
      </c>
      <c r="J998" s="4">
        <v>0</v>
      </c>
      <c r="K998" s="4">
        <v>0</v>
      </c>
      <c r="L998" s="4">
        <v>-4.556</v>
      </c>
      <c r="M998" s="4">
        <v>-4.556</v>
      </c>
      <c r="N998" s="4">
        <v>-4.556</v>
      </c>
      <c r="O998" s="4">
        <v>-4.556</v>
      </c>
      <c r="P998" s="4">
        <v>-28</v>
      </c>
      <c r="Q998" s="3" t="s">
        <v>26</v>
      </c>
      <c r="R998" s="3">
        <v>0</v>
      </c>
      <c r="S998" s="3" t="s">
        <v>318</v>
      </c>
      <c r="T998" s="3" t="s">
        <v>536</v>
      </c>
      <c r="U998" s="3">
        <v>0</v>
      </c>
      <c r="V998" s="3">
        <v>33</v>
      </c>
      <c r="W998" s="3">
        <v>87</v>
      </c>
    </row>
    <row r="999" spans="1:23" ht="11.25" customHeight="1" x14ac:dyDescent="0.25">
      <c r="A999" s="3" t="s">
        <v>28</v>
      </c>
      <c r="B999" s="3" t="s">
        <v>37</v>
      </c>
      <c r="C999" s="3" t="s">
        <v>23</v>
      </c>
      <c r="D999" s="3" t="s">
        <v>42</v>
      </c>
      <c r="E999" s="3" t="s">
        <v>25</v>
      </c>
      <c r="F999" s="3" t="s">
        <v>25</v>
      </c>
      <c r="G999" s="3" t="s">
        <v>25</v>
      </c>
      <c r="H999" s="3" t="s">
        <v>25</v>
      </c>
      <c r="I999" s="6">
        <v>44531</v>
      </c>
      <c r="J999" s="4">
        <v>0</v>
      </c>
      <c r="K999" s="4">
        <v>0</v>
      </c>
      <c r="L999" s="4">
        <v>335.04500000000002</v>
      </c>
      <c r="M999" s="4">
        <v>335.04500000000002</v>
      </c>
      <c r="N999" s="4">
        <v>335.04500000000002</v>
      </c>
      <c r="O999" s="4">
        <v>335.04500000000002</v>
      </c>
      <c r="P999" s="4">
        <v>132</v>
      </c>
      <c r="Q999" s="3" t="s">
        <v>26</v>
      </c>
      <c r="R999" s="3">
        <v>0</v>
      </c>
      <c r="S999" s="3" t="s">
        <v>318</v>
      </c>
      <c r="T999" s="3" t="s">
        <v>536</v>
      </c>
      <c r="U999" s="3">
        <v>0</v>
      </c>
      <c r="V999" s="3">
        <v>33</v>
      </c>
      <c r="W999" s="3">
        <v>87</v>
      </c>
    </row>
    <row r="1000" spans="1:23" ht="11.25" customHeight="1" x14ac:dyDescent="0.25">
      <c r="A1000" s="3" t="s">
        <v>21</v>
      </c>
      <c r="B1000" s="3" t="s">
        <v>37</v>
      </c>
      <c r="C1000" s="3" t="s">
        <v>23</v>
      </c>
      <c r="D1000" s="3" t="s">
        <v>42</v>
      </c>
      <c r="E1000" s="3" t="s">
        <v>25</v>
      </c>
      <c r="F1000" s="3" t="s">
        <v>25</v>
      </c>
      <c r="G1000" s="3" t="s">
        <v>25</v>
      </c>
      <c r="H1000" s="3" t="s">
        <v>25</v>
      </c>
      <c r="I1000" s="6">
        <v>44562</v>
      </c>
      <c r="J1000" s="4">
        <v>0</v>
      </c>
      <c r="K1000" s="4">
        <v>0</v>
      </c>
      <c r="L1000" s="4">
        <v>10777.65</v>
      </c>
      <c r="M1000" s="4">
        <v>10777.65</v>
      </c>
      <c r="N1000" s="4">
        <v>10777.65</v>
      </c>
      <c r="O1000" s="4">
        <v>10777.65</v>
      </c>
      <c r="P1000" s="4">
        <v>12439</v>
      </c>
      <c r="Q1000" s="3" t="s">
        <v>26</v>
      </c>
      <c r="R1000" s="3">
        <v>0</v>
      </c>
      <c r="S1000" s="3" t="s">
        <v>319</v>
      </c>
      <c r="T1000" s="3" t="s">
        <v>537</v>
      </c>
      <c r="U1000" s="3">
        <v>0</v>
      </c>
      <c r="V1000" s="3">
        <v>33</v>
      </c>
      <c r="W1000" s="3">
        <v>87</v>
      </c>
    </row>
    <row r="1001" spans="1:23" ht="11.25" customHeight="1" x14ac:dyDescent="0.25">
      <c r="A1001" s="3" t="s">
        <v>27</v>
      </c>
      <c r="B1001" s="3" t="s">
        <v>37</v>
      </c>
      <c r="C1001" s="3" t="s">
        <v>23</v>
      </c>
      <c r="D1001" s="3" t="s">
        <v>42</v>
      </c>
      <c r="E1001" s="3" t="s">
        <v>25</v>
      </c>
      <c r="F1001" s="3" t="s">
        <v>25</v>
      </c>
      <c r="G1001" s="3" t="s">
        <v>25</v>
      </c>
      <c r="H1001" s="3" t="s">
        <v>25</v>
      </c>
      <c r="I1001" s="6">
        <v>44562</v>
      </c>
      <c r="J1001" s="4">
        <v>0</v>
      </c>
      <c r="K1001" s="4">
        <v>0</v>
      </c>
      <c r="L1001" s="4">
        <v>-51.652999999999999</v>
      </c>
      <c r="M1001" s="4">
        <v>-51.652999999999999</v>
      </c>
      <c r="N1001" s="4">
        <v>-51.652999999999999</v>
      </c>
      <c r="O1001" s="4">
        <v>-51.652999999999999</v>
      </c>
      <c r="P1001" s="4">
        <v>-23</v>
      </c>
      <c r="Q1001" s="3" t="s">
        <v>26</v>
      </c>
      <c r="R1001" s="3">
        <v>0</v>
      </c>
      <c r="S1001" s="3" t="s">
        <v>319</v>
      </c>
      <c r="T1001" s="3" t="s">
        <v>537</v>
      </c>
      <c r="U1001" s="3">
        <v>0</v>
      </c>
      <c r="V1001" s="3">
        <v>33</v>
      </c>
      <c r="W1001" s="3">
        <v>87</v>
      </c>
    </row>
    <row r="1002" spans="1:23" ht="11.25" customHeight="1" x14ac:dyDescent="0.25">
      <c r="A1002" s="3" t="s">
        <v>28</v>
      </c>
      <c r="B1002" s="3" t="s">
        <v>37</v>
      </c>
      <c r="C1002" s="3" t="s">
        <v>23</v>
      </c>
      <c r="D1002" s="3" t="s">
        <v>42</v>
      </c>
      <c r="E1002" s="3" t="s">
        <v>25</v>
      </c>
      <c r="F1002" s="3" t="s">
        <v>25</v>
      </c>
      <c r="G1002" s="3" t="s">
        <v>25</v>
      </c>
      <c r="H1002" s="3" t="s">
        <v>25</v>
      </c>
      <c r="I1002" s="6">
        <v>44562</v>
      </c>
      <c r="J1002" s="4">
        <v>0</v>
      </c>
      <c r="K1002" s="4">
        <v>0</v>
      </c>
      <c r="L1002" s="4">
        <v>322.72000000000003</v>
      </c>
      <c r="M1002" s="4">
        <v>322.72000000000003</v>
      </c>
      <c r="N1002" s="4">
        <v>322.72000000000003</v>
      </c>
      <c r="O1002" s="4">
        <v>322.72000000000003</v>
      </c>
      <c r="P1002" s="4">
        <v>138</v>
      </c>
      <c r="Q1002" s="3" t="s">
        <v>26</v>
      </c>
      <c r="R1002" s="3">
        <v>0</v>
      </c>
      <c r="S1002" s="3" t="s">
        <v>319</v>
      </c>
      <c r="T1002" s="3" t="s">
        <v>537</v>
      </c>
      <c r="U1002" s="3">
        <v>0</v>
      </c>
      <c r="V1002" s="3">
        <v>33</v>
      </c>
      <c r="W1002" s="3">
        <v>87</v>
      </c>
    </row>
    <row r="1003" spans="1:23" ht="11.25" customHeight="1" x14ac:dyDescent="0.25">
      <c r="A1003" s="3" t="s">
        <v>21</v>
      </c>
      <c r="B1003" s="3" t="s">
        <v>37</v>
      </c>
      <c r="C1003" s="3" t="s">
        <v>23</v>
      </c>
      <c r="D1003" s="3" t="s">
        <v>42</v>
      </c>
      <c r="E1003" s="3" t="s">
        <v>25</v>
      </c>
      <c r="F1003" s="3" t="s">
        <v>25</v>
      </c>
      <c r="G1003" s="3" t="s">
        <v>25</v>
      </c>
      <c r="H1003" s="3" t="s">
        <v>25</v>
      </c>
      <c r="I1003" s="6">
        <v>44593</v>
      </c>
      <c r="J1003" s="4">
        <v>0</v>
      </c>
      <c r="K1003" s="4">
        <v>0</v>
      </c>
      <c r="L1003" s="4">
        <v>11081.419</v>
      </c>
      <c r="M1003" s="4">
        <v>11081.419</v>
      </c>
      <c r="N1003" s="4">
        <v>11081.419</v>
      </c>
      <c r="O1003" s="4">
        <v>11081.419</v>
      </c>
      <c r="P1003" s="4">
        <v>12571</v>
      </c>
      <c r="Q1003" s="3" t="s">
        <v>26</v>
      </c>
      <c r="R1003" s="3">
        <v>0</v>
      </c>
      <c r="S1003" s="3" t="s">
        <v>320</v>
      </c>
      <c r="T1003" s="3" t="s">
        <v>538</v>
      </c>
      <c r="U1003" s="3">
        <v>0</v>
      </c>
      <c r="V1003" s="3">
        <v>33</v>
      </c>
      <c r="W1003" s="3">
        <v>87</v>
      </c>
    </row>
    <row r="1004" spans="1:23" ht="11.25" customHeight="1" x14ac:dyDescent="0.25">
      <c r="A1004" s="3" t="s">
        <v>27</v>
      </c>
      <c r="B1004" s="3" t="s">
        <v>37</v>
      </c>
      <c r="C1004" s="3" t="s">
        <v>23</v>
      </c>
      <c r="D1004" s="3" t="s">
        <v>42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44593</v>
      </c>
      <c r="J1004" s="4">
        <v>0</v>
      </c>
      <c r="K1004" s="4">
        <v>0</v>
      </c>
      <c r="L1004" s="4">
        <v>-69.700999999999993</v>
      </c>
      <c r="M1004" s="4">
        <v>-69.700999999999993</v>
      </c>
      <c r="N1004" s="4">
        <v>-69.700999999999993</v>
      </c>
      <c r="O1004" s="4">
        <v>-69.700999999999993</v>
      </c>
      <c r="P1004" s="4">
        <v>-14</v>
      </c>
      <c r="Q1004" s="3" t="s">
        <v>26</v>
      </c>
      <c r="R1004" s="3">
        <v>0</v>
      </c>
      <c r="S1004" s="3" t="s">
        <v>320</v>
      </c>
      <c r="T1004" s="3" t="s">
        <v>538</v>
      </c>
      <c r="U1004" s="3">
        <v>0</v>
      </c>
      <c r="V1004" s="3">
        <v>33</v>
      </c>
      <c r="W1004" s="3">
        <v>87</v>
      </c>
    </row>
    <row r="1005" spans="1:23" ht="11.25" customHeight="1" x14ac:dyDescent="0.25">
      <c r="A1005" s="3" t="s">
        <v>28</v>
      </c>
      <c r="B1005" s="3" t="s">
        <v>37</v>
      </c>
      <c r="C1005" s="3" t="s">
        <v>23</v>
      </c>
      <c r="D1005" s="3" t="s">
        <v>42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44593</v>
      </c>
      <c r="J1005" s="4">
        <v>0</v>
      </c>
      <c r="K1005" s="4">
        <v>0</v>
      </c>
      <c r="L1005" s="4">
        <v>328.82499999999999</v>
      </c>
      <c r="M1005" s="4">
        <v>328.82499999999999</v>
      </c>
      <c r="N1005" s="4">
        <v>328.82499999999999</v>
      </c>
      <c r="O1005" s="4">
        <v>328.82499999999999</v>
      </c>
      <c r="P1005" s="4">
        <v>147</v>
      </c>
      <c r="Q1005" s="3" t="s">
        <v>26</v>
      </c>
      <c r="R1005" s="3">
        <v>0</v>
      </c>
      <c r="S1005" s="3" t="s">
        <v>320</v>
      </c>
      <c r="T1005" s="3" t="s">
        <v>538</v>
      </c>
      <c r="U1005" s="3">
        <v>0</v>
      </c>
      <c r="V1005" s="3">
        <v>33</v>
      </c>
      <c r="W1005" s="3">
        <v>87</v>
      </c>
    </row>
    <row r="1006" spans="1:23" ht="11.25" customHeight="1" x14ac:dyDescent="0.25">
      <c r="A1006" s="3" t="s">
        <v>21</v>
      </c>
      <c r="B1006" s="3" t="s">
        <v>37</v>
      </c>
      <c r="C1006" s="3" t="s">
        <v>23</v>
      </c>
      <c r="D1006" s="3" t="s">
        <v>42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44621</v>
      </c>
      <c r="J1006" s="4">
        <v>0</v>
      </c>
      <c r="K1006" s="4">
        <v>0</v>
      </c>
      <c r="L1006" s="4">
        <v>12027.672</v>
      </c>
      <c r="M1006" s="4">
        <v>12027.672</v>
      </c>
      <c r="N1006" s="4">
        <v>12027.672</v>
      </c>
      <c r="O1006" s="4">
        <v>12027.672</v>
      </c>
      <c r="P1006" s="4">
        <v>13240</v>
      </c>
      <c r="Q1006" s="3" t="s">
        <v>26</v>
      </c>
      <c r="R1006" s="3">
        <v>0</v>
      </c>
      <c r="S1006" s="3" t="s">
        <v>321</v>
      </c>
      <c r="T1006" s="3" t="s">
        <v>539</v>
      </c>
      <c r="U1006" s="3">
        <v>0</v>
      </c>
      <c r="V1006" s="3">
        <v>33</v>
      </c>
      <c r="W1006" s="3">
        <v>87</v>
      </c>
    </row>
    <row r="1007" spans="1:23" ht="11.25" customHeight="1" x14ac:dyDescent="0.25">
      <c r="A1007" s="3" t="s">
        <v>27</v>
      </c>
      <c r="B1007" s="3" t="s">
        <v>37</v>
      </c>
      <c r="C1007" s="3" t="s">
        <v>23</v>
      </c>
      <c r="D1007" s="3" t="s">
        <v>42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44621</v>
      </c>
      <c r="J1007" s="4">
        <v>0</v>
      </c>
      <c r="K1007" s="4">
        <v>0</v>
      </c>
      <c r="L1007" s="4">
        <v>-37.176000000000002</v>
      </c>
      <c r="M1007" s="4">
        <v>-37.176000000000002</v>
      </c>
      <c r="N1007" s="4">
        <v>-37.176000000000002</v>
      </c>
      <c r="O1007" s="4">
        <v>-37.176000000000002</v>
      </c>
      <c r="P1007" s="4">
        <v>0</v>
      </c>
      <c r="Q1007" s="3" t="s">
        <v>26</v>
      </c>
      <c r="R1007" s="3">
        <v>0</v>
      </c>
      <c r="S1007" s="3" t="s">
        <v>321</v>
      </c>
      <c r="T1007" s="3" t="s">
        <v>539</v>
      </c>
      <c r="U1007" s="3">
        <v>0</v>
      </c>
      <c r="V1007" s="3">
        <v>33</v>
      </c>
      <c r="W1007" s="3">
        <v>87</v>
      </c>
    </row>
    <row r="1008" spans="1:23" ht="11.25" customHeight="1" x14ac:dyDescent="0.25">
      <c r="A1008" s="3" t="s">
        <v>28</v>
      </c>
      <c r="B1008" s="3" t="s">
        <v>37</v>
      </c>
      <c r="C1008" s="3" t="s">
        <v>23</v>
      </c>
      <c r="D1008" s="3" t="s">
        <v>42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44621</v>
      </c>
      <c r="J1008" s="4">
        <v>0</v>
      </c>
      <c r="K1008" s="4">
        <v>0</v>
      </c>
      <c r="L1008" s="4">
        <v>351.78899999999999</v>
      </c>
      <c r="M1008" s="4">
        <v>351.78899999999999</v>
      </c>
      <c r="N1008" s="4">
        <v>351.78899999999999</v>
      </c>
      <c r="O1008" s="4">
        <v>351.78899999999999</v>
      </c>
      <c r="P1008" s="4">
        <v>167</v>
      </c>
      <c r="Q1008" s="3" t="s">
        <v>26</v>
      </c>
      <c r="R1008" s="3">
        <v>0</v>
      </c>
      <c r="S1008" s="3" t="s">
        <v>321</v>
      </c>
      <c r="T1008" s="3" t="s">
        <v>539</v>
      </c>
      <c r="U1008" s="3">
        <v>0</v>
      </c>
      <c r="V1008" s="3">
        <v>33</v>
      </c>
      <c r="W1008" s="3">
        <v>87</v>
      </c>
    </row>
    <row r="1009" spans="1:23" ht="11.25" customHeight="1" x14ac:dyDescent="0.25">
      <c r="A1009" s="3" t="s">
        <v>21</v>
      </c>
      <c r="B1009" s="3" t="s">
        <v>37</v>
      </c>
      <c r="C1009" s="3" t="s">
        <v>23</v>
      </c>
      <c r="D1009" s="3" t="s">
        <v>42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44652</v>
      </c>
      <c r="J1009" s="4">
        <v>0</v>
      </c>
      <c r="K1009" s="4">
        <v>0</v>
      </c>
      <c r="L1009" s="4">
        <v>12027.672</v>
      </c>
      <c r="M1009" s="4">
        <v>12027.672</v>
      </c>
      <c r="N1009" s="4">
        <v>12027.672</v>
      </c>
      <c r="O1009" s="4">
        <v>12027.672</v>
      </c>
      <c r="P1009" s="4">
        <v>13240</v>
      </c>
      <c r="Q1009" s="3" t="s">
        <v>26</v>
      </c>
      <c r="R1009" s="3">
        <v>0</v>
      </c>
      <c r="S1009" s="3" t="s">
        <v>322</v>
      </c>
      <c r="T1009" s="3" t="s">
        <v>540</v>
      </c>
      <c r="U1009" s="3">
        <v>0</v>
      </c>
      <c r="V1009" s="3">
        <v>33</v>
      </c>
      <c r="W1009" s="3">
        <v>87</v>
      </c>
    </row>
    <row r="1010" spans="1:23" ht="11.25" customHeight="1" x14ac:dyDescent="0.25">
      <c r="A1010" s="3" t="s">
        <v>27</v>
      </c>
      <c r="B1010" s="3" t="s">
        <v>37</v>
      </c>
      <c r="C1010" s="3" t="s">
        <v>23</v>
      </c>
      <c r="D1010" s="3" t="s">
        <v>42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44652</v>
      </c>
      <c r="J1010" s="4">
        <v>0</v>
      </c>
      <c r="K1010" s="4">
        <v>0</v>
      </c>
      <c r="L1010" s="4">
        <v>-37.176000000000002</v>
      </c>
      <c r="M1010" s="4">
        <v>-37.176000000000002</v>
      </c>
      <c r="N1010" s="4">
        <v>-37.176000000000002</v>
      </c>
      <c r="O1010" s="4">
        <v>-37.176000000000002</v>
      </c>
      <c r="P1010" s="4">
        <v>0</v>
      </c>
      <c r="Q1010" s="3" t="s">
        <v>26</v>
      </c>
      <c r="R1010" s="3">
        <v>0</v>
      </c>
      <c r="S1010" s="3" t="s">
        <v>322</v>
      </c>
      <c r="T1010" s="3" t="s">
        <v>540</v>
      </c>
      <c r="U1010" s="3">
        <v>0</v>
      </c>
      <c r="V1010" s="3">
        <v>33</v>
      </c>
      <c r="W1010" s="3">
        <v>87</v>
      </c>
    </row>
    <row r="1011" spans="1:23" ht="11.25" customHeight="1" x14ac:dyDescent="0.25">
      <c r="A1011" s="3" t="s">
        <v>28</v>
      </c>
      <c r="B1011" s="3" t="s">
        <v>37</v>
      </c>
      <c r="C1011" s="3" t="s">
        <v>23</v>
      </c>
      <c r="D1011" s="3" t="s">
        <v>42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44652</v>
      </c>
      <c r="J1011" s="4">
        <v>0</v>
      </c>
      <c r="K1011" s="4">
        <v>0</v>
      </c>
      <c r="L1011" s="4">
        <v>351.78899999999999</v>
      </c>
      <c r="M1011" s="4">
        <v>351.78899999999999</v>
      </c>
      <c r="N1011" s="4">
        <v>351.78899999999999</v>
      </c>
      <c r="O1011" s="4">
        <v>351.78899999999999</v>
      </c>
      <c r="P1011" s="4">
        <v>167</v>
      </c>
      <c r="Q1011" s="3" t="s">
        <v>26</v>
      </c>
      <c r="R1011" s="3">
        <v>0</v>
      </c>
      <c r="S1011" s="3" t="s">
        <v>322</v>
      </c>
      <c r="T1011" s="3" t="s">
        <v>540</v>
      </c>
      <c r="U1011" s="3">
        <v>0</v>
      </c>
      <c r="V1011" s="3">
        <v>33</v>
      </c>
      <c r="W1011" s="3">
        <v>87</v>
      </c>
    </row>
    <row r="1012" spans="1:23" ht="11.25" customHeight="1" x14ac:dyDescent="0.25">
      <c r="A1012" s="3" t="s">
        <v>21</v>
      </c>
      <c r="B1012" s="3" t="s">
        <v>37</v>
      </c>
      <c r="C1012" s="3" t="s">
        <v>23</v>
      </c>
      <c r="D1012" s="3" t="s">
        <v>42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44682</v>
      </c>
      <c r="J1012" s="4">
        <v>0</v>
      </c>
      <c r="K1012" s="4">
        <v>0</v>
      </c>
      <c r="L1012" s="4">
        <v>11366.262000000001</v>
      </c>
      <c r="M1012" s="4">
        <v>11366.262000000001</v>
      </c>
      <c r="N1012" s="4">
        <v>11366.262000000001</v>
      </c>
      <c r="O1012" s="4">
        <v>11366.262000000001</v>
      </c>
      <c r="P1012" s="4">
        <v>13538</v>
      </c>
      <c r="Q1012" s="3" t="s">
        <v>26</v>
      </c>
      <c r="R1012" s="3">
        <v>0</v>
      </c>
      <c r="S1012" s="3" t="s">
        <v>323</v>
      </c>
      <c r="T1012" s="3" t="s">
        <v>541</v>
      </c>
      <c r="U1012" s="3">
        <v>0</v>
      </c>
      <c r="V1012" s="3">
        <v>33</v>
      </c>
      <c r="W1012" s="3">
        <v>87</v>
      </c>
    </row>
    <row r="1013" spans="1:23" ht="11.25" customHeight="1" x14ac:dyDescent="0.25">
      <c r="A1013" s="3" t="s">
        <v>27</v>
      </c>
      <c r="B1013" s="3" t="s">
        <v>37</v>
      </c>
      <c r="C1013" s="3" t="s">
        <v>23</v>
      </c>
      <c r="D1013" s="3" t="s">
        <v>42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44682</v>
      </c>
      <c r="J1013" s="4">
        <v>0</v>
      </c>
      <c r="K1013" s="4">
        <v>0</v>
      </c>
      <c r="L1013" s="4">
        <v>-118.688</v>
      </c>
      <c r="M1013" s="4">
        <v>-118.688</v>
      </c>
      <c r="N1013" s="4">
        <v>-118.688</v>
      </c>
      <c r="O1013" s="4">
        <v>-118.688</v>
      </c>
      <c r="P1013" s="4">
        <v>-112</v>
      </c>
      <c r="Q1013" s="3" t="s">
        <v>26</v>
      </c>
      <c r="R1013" s="3">
        <v>0</v>
      </c>
      <c r="S1013" s="3" t="s">
        <v>323</v>
      </c>
      <c r="T1013" s="3" t="s">
        <v>541</v>
      </c>
      <c r="U1013" s="3">
        <v>0</v>
      </c>
      <c r="V1013" s="3">
        <v>33</v>
      </c>
      <c r="W1013" s="3">
        <v>87</v>
      </c>
    </row>
    <row r="1014" spans="1:23" ht="11.25" customHeight="1" x14ac:dyDescent="0.25">
      <c r="A1014" s="3" t="s">
        <v>28</v>
      </c>
      <c r="B1014" s="3" t="s">
        <v>37</v>
      </c>
      <c r="C1014" s="3" t="s">
        <v>23</v>
      </c>
      <c r="D1014" s="3" t="s">
        <v>42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44682</v>
      </c>
      <c r="J1014" s="4">
        <v>0</v>
      </c>
      <c r="K1014" s="4">
        <v>0</v>
      </c>
      <c r="L1014" s="4">
        <v>1503.096</v>
      </c>
      <c r="M1014" s="4">
        <v>1503.096</v>
      </c>
      <c r="N1014" s="4">
        <v>1503.096</v>
      </c>
      <c r="O1014" s="4">
        <v>1503.096</v>
      </c>
      <c r="P1014" s="4">
        <v>712</v>
      </c>
      <c r="Q1014" s="3" t="s">
        <v>26</v>
      </c>
      <c r="R1014" s="3">
        <v>0</v>
      </c>
      <c r="S1014" s="3" t="s">
        <v>323</v>
      </c>
      <c r="T1014" s="3" t="s">
        <v>541</v>
      </c>
      <c r="U1014" s="3">
        <v>0</v>
      </c>
      <c r="V1014" s="3">
        <v>33</v>
      </c>
      <c r="W1014" s="3">
        <v>87</v>
      </c>
    </row>
    <row r="1015" spans="1:23" ht="11.25" customHeight="1" x14ac:dyDescent="0.25">
      <c r="A1015" s="3" t="s">
        <v>21</v>
      </c>
      <c r="B1015" s="3" t="s">
        <v>37</v>
      </c>
      <c r="C1015" s="3" t="s">
        <v>23</v>
      </c>
      <c r="D1015" s="3" t="s">
        <v>42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44713</v>
      </c>
      <c r="J1015" s="4">
        <v>0</v>
      </c>
      <c r="K1015" s="4">
        <v>0</v>
      </c>
      <c r="L1015" s="4">
        <v>11099.717000000001</v>
      </c>
      <c r="M1015" s="4">
        <v>11099.717000000001</v>
      </c>
      <c r="N1015" s="4">
        <v>11099.717000000001</v>
      </c>
      <c r="O1015" s="4">
        <v>11099.717000000001</v>
      </c>
      <c r="P1015" s="4">
        <v>13572</v>
      </c>
      <c r="Q1015" s="3" t="s">
        <v>26</v>
      </c>
      <c r="R1015" s="3">
        <v>0</v>
      </c>
      <c r="S1015" s="3" t="s">
        <v>324</v>
      </c>
      <c r="T1015" s="3" t="s">
        <v>542</v>
      </c>
      <c r="U1015" s="3">
        <v>0</v>
      </c>
      <c r="V1015" s="3">
        <v>33</v>
      </c>
      <c r="W1015" s="3">
        <v>87</v>
      </c>
    </row>
    <row r="1016" spans="1:23" ht="11.25" customHeight="1" x14ac:dyDescent="0.25">
      <c r="A1016" s="3" t="s">
        <v>27</v>
      </c>
      <c r="B1016" s="3" t="s">
        <v>37</v>
      </c>
      <c r="C1016" s="3" t="s">
        <v>23</v>
      </c>
      <c r="D1016" s="3" t="s">
        <v>42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44713</v>
      </c>
      <c r="J1016" s="4">
        <v>0</v>
      </c>
      <c r="K1016" s="4">
        <v>0</v>
      </c>
      <c r="L1016" s="4">
        <v>-43.124000000000002</v>
      </c>
      <c r="M1016" s="4">
        <v>-43.124000000000002</v>
      </c>
      <c r="N1016" s="4">
        <v>-43.124000000000002</v>
      </c>
      <c r="O1016" s="4">
        <v>-43.124000000000002</v>
      </c>
      <c r="P1016" s="4">
        <v>1</v>
      </c>
      <c r="Q1016" s="3" t="s">
        <v>26</v>
      </c>
      <c r="R1016" s="3">
        <v>0</v>
      </c>
      <c r="S1016" s="3" t="s">
        <v>324</v>
      </c>
      <c r="T1016" s="3" t="s">
        <v>542</v>
      </c>
      <c r="U1016" s="3">
        <v>0</v>
      </c>
      <c r="V1016" s="3">
        <v>33</v>
      </c>
      <c r="W1016" s="3">
        <v>87</v>
      </c>
    </row>
    <row r="1017" spans="1:23" ht="11.25" customHeight="1" x14ac:dyDescent="0.25">
      <c r="A1017" s="3" t="s">
        <v>28</v>
      </c>
      <c r="B1017" s="3" t="s">
        <v>37</v>
      </c>
      <c r="C1017" s="3" t="s">
        <v>23</v>
      </c>
      <c r="D1017" s="3" t="s">
        <v>42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44713</v>
      </c>
      <c r="J1017" s="4">
        <v>0</v>
      </c>
      <c r="K1017" s="4">
        <v>0</v>
      </c>
      <c r="L1017" s="4">
        <v>468.73700000000002</v>
      </c>
      <c r="M1017" s="4">
        <v>468.73700000000002</v>
      </c>
      <c r="N1017" s="4">
        <v>468.73700000000002</v>
      </c>
      <c r="O1017" s="4">
        <v>468.73700000000002</v>
      </c>
      <c r="P1017" s="4">
        <v>212</v>
      </c>
      <c r="Q1017" s="3" t="s">
        <v>26</v>
      </c>
      <c r="R1017" s="3">
        <v>0</v>
      </c>
      <c r="S1017" s="3" t="s">
        <v>324</v>
      </c>
      <c r="T1017" s="3" t="s">
        <v>542</v>
      </c>
      <c r="U1017" s="3">
        <v>0</v>
      </c>
      <c r="V1017" s="3">
        <v>33</v>
      </c>
      <c r="W1017" s="3">
        <v>87</v>
      </c>
    </row>
    <row r="1018" spans="1:23" ht="11.25" customHeight="1" x14ac:dyDescent="0.25">
      <c r="A1018" s="3" t="s">
        <v>28</v>
      </c>
      <c r="B1018" s="3" t="s">
        <v>37</v>
      </c>
      <c r="C1018" s="3" t="s">
        <v>23</v>
      </c>
      <c r="D1018" s="3" t="s">
        <v>42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44713</v>
      </c>
      <c r="J1018" s="4">
        <v>0</v>
      </c>
      <c r="K1018" s="4">
        <v>0</v>
      </c>
      <c r="L1018" s="4">
        <v>1.38</v>
      </c>
      <c r="M1018" s="4">
        <v>1.38</v>
      </c>
      <c r="N1018" s="4">
        <v>1.38</v>
      </c>
      <c r="O1018" s="4">
        <v>1.38</v>
      </c>
      <c r="P1018" s="4">
        <v>0</v>
      </c>
      <c r="Q1018" s="3" t="s">
        <v>26</v>
      </c>
      <c r="R1018" s="3">
        <v>0</v>
      </c>
      <c r="S1018" s="3" t="s">
        <v>324</v>
      </c>
      <c r="T1018" s="3" t="s">
        <v>542</v>
      </c>
      <c r="U1018" s="3">
        <v>0</v>
      </c>
      <c r="V1018" s="3">
        <v>33</v>
      </c>
      <c r="W1018" s="3">
        <v>87</v>
      </c>
    </row>
    <row r="1019" spans="1:23" ht="11.25" customHeight="1" x14ac:dyDescent="0.25">
      <c r="A1019" s="3" t="s">
        <v>21</v>
      </c>
      <c r="B1019" s="3" t="s">
        <v>37</v>
      </c>
      <c r="C1019" s="3" t="s">
        <v>23</v>
      </c>
      <c r="D1019" s="3" t="s">
        <v>42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44743</v>
      </c>
      <c r="J1019" s="4">
        <v>0</v>
      </c>
      <c r="K1019" s="4">
        <v>0</v>
      </c>
      <c r="L1019" s="4">
        <v>10901.441000000001</v>
      </c>
      <c r="M1019" s="4">
        <v>10901.441000000001</v>
      </c>
      <c r="N1019" s="4">
        <v>10901.441000000001</v>
      </c>
      <c r="O1019" s="4">
        <v>10901.441000000001</v>
      </c>
      <c r="P1019" s="4">
        <v>13628</v>
      </c>
      <c r="Q1019" s="3" t="s">
        <v>26</v>
      </c>
      <c r="R1019" s="3">
        <v>0</v>
      </c>
      <c r="S1019" s="3" t="s">
        <v>325</v>
      </c>
      <c r="T1019" s="3" t="s">
        <v>543</v>
      </c>
      <c r="U1019" s="3">
        <v>0</v>
      </c>
      <c r="V1019" s="3">
        <v>33</v>
      </c>
      <c r="W1019" s="3">
        <v>87</v>
      </c>
    </row>
    <row r="1020" spans="1:23" ht="11.25" customHeight="1" x14ac:dyDescent="0.25">
      <c r="A1020" s="3" t="s">
        <v>27</v>
      </c>
      <c r="B1020" s="3" t="s">
        <v>37</v>
      </c>
      <c r="C1020" s="3" t="s">
        <v>23</v>
      </c>
      <c r="D1020" s="3" t="s">
        <v>42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44743</v>
      </c>
      <c r="J1020" s="4">
        <v>0</v>
      </c>
      <c r="K1020" s="4">
        <v>0</v>
      </c>
      <c r="L1020" s="4">
        <v>-5.0979999999999999</v>
      </c>
      <c r="M1020" s="4">
        <v>-5.0979999999999999</v>
      </c>
      <c r="N1020" s="4">
        <v>-5.0979999999999999</v>
      </c>
      <c r="O1020" s="4">
        <v>-5.0979999999999999</v>
      </c>
      <c r="P1020" s="4">
        <v>-5</v>
      </c>
      <c r="Q1020" s="3" t="s">
        <v>26</v>
      </c>
      <c r="R1020" s="3">
        <v>0</v>
      </c>
      <c r="S1020" s="3" t="s">
        <v>325</v>
      </c>
      <c r="T1020" s="3" t="s">
        <v>543</v>
      </c>
      <c r="U1020" s="3">
        <v>0</v>
      </c>
      <c r="V1020" s="3">
        <v>33</v>
      </c>
      <c r="W1020" s="3">
        <v>87</v>
      </c>
    </row>
    <row r="1021" spans="1:23" ht="11.25" customHeight="1" x14ac:dyDescent="0.25">
      <c r="A1021" s="3" t="s">
        <v>28</v>
      </c>
      <c r="B1021" s="3" t="s">
        <v>37</v>
      </c>
      <c r="C1021" s="3" t="s">
        <v>23</v>
      </c>
      <c r="D1021" s="3" t="s">
        <v>42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44743</v>
      </c>
      <c r="J1021" s="4">
        <v>0</v>
      </c>
      <c r="K1021" s="4">
        <v>0</v>
      </c>
      <c r="L1021" s="4">
        <v>607.91899999999998</v>
      </c>
      <c r="M1021" s="4">
        <v>607.91899999999998</v>
      </c>
      <c r="N1021" s="4">
        <v>607.91899999999998</v>
      </c>
      <c r="O1021" s="4">
        <v>607.91899999999998</v>
      </c>
      <c r="P1021" s="4">
        <v>255</v>
      </c>
      <c r="Q1021" s="3" t="s">
        <v>26</v>
      </c>
      <c r="R1021" s="3">
        <v>0</v>
      </c>
      <c r="S1021" s="3" t="s">
        <v>325</v>
      </c>
      <c r="T1021" s="3" t="s">
        <v>543</v>
      </c>
      <c r="U1021" s="3">
        <v>0</v>
      </c>
      <c r="V1021" s="3">
        <v>33</v>
      </c>
      <c r="W1021" s="3">
        <v>87</v>
      </c>
    </row>
    <row r="1022" spans="1:23" ht="11.25" customHeight="1" x14ac:dyDescent="0.25">
      <c r="A1022" s="3" t="s">
        <v>21</v>
      </c>
      <c r="B1022" s="3" t="s">
        <v>37</v>
      </c>
      <c r="C1022" s="3" t="s">
        <v>23</v>
      </c>
      <c r="D1022" s="3" t="s">
        <v>42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44774</v>
      </c>
      <c r="J1022" s="4">
        <v>0</v>
      </c>
      <c r="K1022" s="4">
        <v>0</v>
      </c>
      <c r="L1022" s="4">
        <v>12795.486999999999</v>
      </c>
      <c r="M1022" s="4">
        <v>12795.486999999999</v>
      </c>
      <c r="N1022" s="4">
        <v>12795.486999999999</v>
      </c>
      <c r="O1022" s="4">
        <v>12795.486999999999</v>
      </c>
      <c r="P1022" s="4">
        <v>13679</v>
      </c>
      <c r="Q1022" s="3" t="s">
        <v>26</v>
      </c>
      <c r="R1022" s="3">
        <v>0</v>
      </c>
      <c r="S1022" s="3" t="s">
        <v>326</v>
      </c>
      <c r="T1022" s="3" t="s">
        <v>544</v>
      </c>
      <c r="U1022" s="3">
        <v>0</v>
      </c>
      <c r="V1022" s="3">
        <v>33</v>
      </c>
      <c r="W1022" s="3">
        <v>87</v>
      </c>
    </row>
    <row r="1023" spans="1:23" ht="11.25" customHeight="1" x14ac:dyDescent="0.25">
      <c r="A1023" s="3" t="s">
        <v>27</v>
      </c>
      <c r="B1023" s="3" t="s">
        <v>37</v>
      </c>
      <c r="C1023" s="3" t="s">
        <v>23</v>
      </c>
      <c r="D1023" s="3" t="s">
        <v>42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44774</v>
      </c>
      <c r="J1023" s="4">
        <v>0</v>
      </c>
      <c r="K1023" s="4">
        <v>0</v>
      </c>
      <c r="L1023" s="4">
        <v>-49.113</v>
      </c>
      <c r="M1023" s="4">
        <v>-49.113</v>
      </c>
      <c r="N1023" s="4">
        <v>-49.113</v>
      </c>
      <c r="O1023" s="4">
        <v>-49.113</v>
      </c>
      <c r="P1023" s="4">
        <v>-4</v>
      </c>
      <c r="Q1023" s="3" t="s">
        <v>26</v>
      </c>
      <c r="R1023" s="3">
        <v>0</v>
      </c>
      <c r="S1023" s="3" t="s">
        <v>326</v>
      </c>
      <c r="T1023" s="3" t="s">
        <v>544</v>
      </c>
      <c r="U1023" s="3">
        <v>0</v>
      </c>
      <c r="V1023" s="3">
        <v>33</v>
      </c>
      <c r="W1023" s="3">
        <v>87</v>
      </c>
    </row>
    <row r="1024" spans="1:23" ht="11.25" customHeight="1" x14ac:dyDescent="0.25">
      <c r="A1024" s="3" t="s">
        <v>28</v>
      </c>
      <c r="B1024" s="3" t="s">
        <v>37</v>
      </c>
      <c r="C1024" s="3" t="s">
        <v>23</v>
      </c>
      <c r="D1024" s="3" t="s">
        <v>42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44774</v>
      </c>
      <c r="J1024" s="4">
        <v>0</v>
      </c>
      <c r="K1024" s="4">
        <v>0</v>
      </c>
      <c r="L1024" s="4">
        <v>699.35299999999995</v>
      </c>
      <c r="M1024" s="4">
        <v>699.35299999999995</v>
      </c>
      <c r="N1024" s="4">
        <v>699.35299999999995</v>
      </c>
      <c r="O1024" s="4">
        <v>699.35299999999995</v>
      </c>
      <c r="P1024" s="4">
        <v>278</v>
      </c>
      <c r="Q1024" s="3" t="s">
        <v>26</v>
      </c>
      <c r="R1024" s="3">
        <v>0</v>
      </c>
      <c r="S1024" s="3" t="s">
        <v>326</v>
      </c>
      <c r="T1024" s="3" t="s">
        <v>544</v>
      </c>
      <c r="U1024" s="3">
        <v>0</v>
      </c>
      <c r="V1024" s="3">
        <v>33</v>
      </c>
      <c r="W1024" s="3">
        <v>87</v>
      </c>
    </row>
    <row r="1025" spans="1:23" ht="11.25" customHeight="1" x14ac:dyDescent="0.25">
      <c r="A1025" s="3" t="s">
        <v>28</v>
      </c>
      <c r="B1025" s="3" t="s">
        <v>37</v>
      </c>
      <c r="C1025" s="3" t="s">
        <v>23</v>
      </c>
      <c r="D1025" s="3" t="s">
        <v>42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44774</v>
      </c>
      <c r="J1025" s="4">
        <v>0</v>
      </c>
      <c r="K1025" s="4">
        <v>0</v>
      </c>
      <c r="L1025" s="4">
        <v>0.71699999999999997</v>
      </c>
      <c r="M1025" s="4">
        <v>0.71699999999999997</v>
      </c>
      <c r="N1025" s="4">
        <v>0.71699999999999997</v>
      </c>
      <c r="O1025" s="4">
        <v>0.71699999999999997</v>
      </c>
      <c r="P1025" s="4">
        <v>1</v>
      </c>
      <c r="Q1025" s="3" t="s">
        <v>26</v>
      </c>
      <c r="R1025" s="3">
        <v>0</v>
      </c>
      <c r="S1025" s="3" t="s">
        <v>326</v>
      </c>
      <c r="T1025" s="3" t="s">
        <v>544</v>
      </c>
      <c r="U1025" s="3">
        <v>0</v>
      </c>
      <c r="V1025" s="3">
        <v>33</v>
      </c>
      <c r="W1025" s="3">
        <v>87</v>
      </c>
    </row>
    <row r="1026" spans="1:23" ht="11.25" customHeight="1" x14ac:dyDescent="0.25">
      <c r="A1026" s="3" t="s">
        <v>21</v>
      </c>
      <c r="B1026" s="3" t="s">
        <v>37</v>
      </c>
      <c r="C1026" s="3" t="s">
        <v>23</v>
      </c>
      <c r="D1026" s="3" t="s">
        <v>42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44805</v>
      </c>
      <c r="J1026" s="4">
        <v>0</v>
      </c>
      <c r="K1026" s="4">
        <v>0</v>
      </c>
      <c r="L1026" s="4">
        <v>12873.173000000001</v>
      </c>
      <c r="M1026" s="4">
        <v>12873.173000000001</v>
      </c>
      <c r="N1026" s="4">
        <v>12873.173000000001</v>
      </c>
      <c r="O1026" s="4">
        <v>12873.173000000001</v>
      </c>
      <c r="P1026" s="4">
        <v>13754</v>
      </c>
      <c r="Q1026" s="3" t="s">
        <v>26</v>
      </c>
      <c r="R1026" s="3">
        <v>0</v>
      </c>
      <c r="S1026" s="3" t="s">
        <v>327</v>
      </c>
      <c r="T1026" s="3" t="s">
        <v>545</v>
      </c>
      <c r="U1026" s="3">
        <v>0</v>
      </c>
      <c r="V1026" s="3">
        <v>33</v>
      </c>
      <c r="W1026" s="3">
        <v>87</v>
      </c>
    </row>
    <row r="1027" spans="1:23" ht="11.25" customHeight="1" x14ac:dyDescent="0.25">
      <c r="A1027" s="3" t="s">
        <v>27</v>
      </c>
      <c r="B1027" s="3" t="s">
        <v>37</v>
      </c>
      <c r="C1027" s="3" t="s">
        <v>23</v>
      </c>
      <c r="D1027" s="3" t="s">
        <v>42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44805</v>
      </c>
      <c r="J1027" s="4">
        <v>0</v>
      </c>
      <c r="K1027" s="4">
        <v>0</v>
      </c>
      <c r="L1027" s="4">
        <v>-2.7559999999999998</v>
      </c>
      <c r="M1027" s="4">
        <v>-2.7559999999999998</v>
      </c>
      <c r="N1027" s="4">
        <v>-2.7559999999999998</v>
      </c>
      <c r="O1027" s="4">
        <v>-2.7559999999999998</v>
      </c>
      <c r="P1027" s="4">
        <v>-2</v>
      </c>
      <c r="Q1027" s="3" t="s">
        <v>26</v>
      </c>
      <c r="R1027" s="3">
        <v>0</v>
      </c>
      <c r="S1027" s="3" t="s">
        <v>327</v>
      </c>
      <c r="T1027" s="3" t="s">
        <v>545</v>
      </c>
      <c r="U1027" s="3">
        <v>0</v>
      </c>
      <c r="V1027" s="3">
        <v>33</v>
      </c>
      <c r="W1027" s="3">
        <v>87</v>
      </c>
    </row>
    <row r="1028" spans="1:23" ht="11.25" customHeight="1" x14ac:dyDescent="0.25">
      <c r="A1028" s="3" t="s">
        <v>28</v>
      </c>
      <c r="B1028" s="3" t="s">
        <v>37</v>
      </c>
      <c r="C1028" s="3" t="s">
        <v>23</v>
      </c>
      <c r="D1028" s="3" t="s">
        <v>42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44805</v>
      </c>
      <c r="J1028" s="4">
        <v>0</v>
      </c>
      <c r="K1028" s="4">
        <v>0</v>
      </c>
      <c r="L1028" s="4">
        <v>684.14599999999996</v>
      </c>
      <c r="M1028" s="4">
        <v>684.14599999999996</v>
      </c>
      <c r="N1028" s="4">
        <v>684.14599999999996</v>
      </c>
      <c r="O1028" s="4">
        <v>684.14599999999996</v>
      </c>
      <c r="P1028" s="4">
        <v>271</v>
      </c>
      <c r="Q1028" s="3" t="s">
        <v>26</v>
      </c>
      <c r="R1028" s="3">
        <v>0</v>
      </c>
      <c r="S1028" s="3" t="s">
        <v>327</v>
      </c>
      <c r="T1028" s="3" t="s">
        <v>545</v>
      </c>
      <c r="U1028" s="3">
        <v>0</v>
      </c>
      <c r="V1028" s="3">
        <v>33</v>
      </c>
      <c r="W1028" s="3">
        <v>87</v>
      </c>
    </row>
    <row r="1029" spans="1:23" ht="11.25" customHeight="1" x14ac:dyDescent="0.25">
      <c r="A1029" s="3" t="s">
        <v>28</v>
      </c>
      <c r="B1029" s="3" t="s">
        <v>37</v>
      </c>
      <c r="C1029" s="3" t="s">
        <v>23</v>
      </c>
      <c r="D1029" s="3" t="s">
        <v>42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44805</v>
      </c>
      <c r="J1029" s="4">
        <v>0</v>
      </c>
      <c r="K1029" s="4">
        <v>0</v>
      </c>
      <c r="L1029" s="4">
        <v>-1.623</v>
      </c>
      <c r="M1029" s="4">
        <v>-1.623</v>
      </c>
      <c r="N1029" s="4">
        <v>-1.623</v>
      </c>
      <c r="O1029" s="4">
        <v>-1.623</v>
      </c>
      <c r="P1029" s="4">
        <v>-1</v>
      </c>
      <c r="Q1029" s="3" t="s">
        <v>26</v>
      </c>
      <c r="R1029" s="3">
        <v>0</v>
      </c>
      <c r="S1029" s="3" t="s">
        <v>327</v>
      </c>
      <c r="T1029" s="3" t="s">
        <v>545</v>
      </c>
      <c r="U1029" s="3">
        <v>0</v>
      </c>
      <c r="V1029" s="3">
        <v>33</v>
      </c>
      <c r="W1029" s="3">
        <v>87</v>
      </c>
    </row>
    <row r="1030" spans="1:23" ht="11.25" customHeight="1" x14ac:dyDescent="0.25">
      <c r="A1030" s="3" t="s">
        <v>55</v>
      </c>
      <c r="B1030" s="3" t="s">
        <v>37</v>
      </c>
      <c r="C1030" s="3" t="s">
        <v>23</v>
      </c>
      <c r="D1030" s="3" t="s">
        <v>42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44835</v>
      </c>
      <c r="J1030" s="4">
        <v>0</v>
      </c>
      <c r="K1030" s="4">
        <v>0</v>
      </c>
      <c r="L1030" s="4">
        <v>12873.173000000001</v>
      </c>
      <c r="M1030" s="4">
        <v>12873.173000000001</v>
      </c>
      <c r="N1030" s="4">
        <v>12873.173000000001</v>
      </c>
      <c r="O1030" s="4">
        <v>12873.173000000001</v>
      </c>
      <c r="P1030" s="4">
        <v>13754</v>
      </c>
      <c r="Q1030" s="3" t="s">
        <v>26</v>
      </c>
      <c r="R1030" s="3">
        <v>0</v>
      </c>
      <c r="S1030" s="3" t="s">
        <v>328</v>
      </c>
      <c r="T1030" s="3" t="s">
        <v>546</v>
      </c>
      <c r="U1030" s="3">
        <v>0</v>
      </c>
      <c r="V1030" s="3">
        <v>33</v>
      </c>
      <c r="W1030" s="3">
        <v>87</v>
      </c>
    </row>
    <row r="1031" spans="1:23" ht="11.25" customHeight="1" x14ac:dyDescent="0.25">
      <c r="A1031" s="3" t="s">
        <v>55</v>
      </c>
      <c r="B1031" s="3" t="s">
        <v>37</v>
      </c>
      <c r="C1031" s="3" t="s">
        <v>23</v>
      </c>
      <c r="D1031" s="3" t="s">
        <v>42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44835</v>
      </c>
      <c r="J1031" s="4">
        <v>0</v>
      </c>
      <c r="K1031" s="4">
        <v>0</v>
      </c>
      <c r="L1031" s="4">
        <v>-2.7559999999999998</v>
      </c>
      <c r="M1031" s="4">
        <v>-2.7559999999999998</v>
      </c>
      <c r="N1031" s="4">
        <v>-2.7559999999999998</v>
      </c>
      <c r="O1031" s="4">
        <v>-2.7559999999999998</v>
      </c>
      <c r="P1031" s="4">
        <v>-2</v>
      </c>
      <c r="Q1031" s="3" t="s">
        <v>26</v>
      </c>
      <c r="R1031" s="3">
        <v>0</v>
      </c>
      <c r="S1031" s="3" t="s">
        <v>328</v>
      </c>
      <c r="T1031" s="3" t="s">
        <v>546</v>
      </c>
      <c r="U1031" s="3">
        <v>0</v>
      </c>
      <c r="V1031" s="3">
        <v>33</v>
      </c>
      <c r="W1031" s="3">
        <v>87</v>
      </c>
    </row>
    <row r="1032" spans="1:23" ht="11.25" customHeight="1" x14ac:dyDescent="0.25">
      <c r="A1032" s="3" t="s">
        <v>55</v>
      </c>
      <c r="B1032" s="3" t="s">
        <v>37</v>
      </c>
      <c r="C1032" s="3" t="s">
        <v>23</v>
      </c>
      <c r="D1032" s="3" t="s">
        <v>42</v>
      </c>
      <c r="E1032" s="3" t="s">
        <v>25</v>
      </c>
      <c r="F1032" s="3" t="s">
        <v>25</v>
      </c>
      <c r="G1032" s="3" t="s">
        <v>25</v>
      </c>
      <c r="H1032" s="3" t="s">
        <v>25</v>
      </c>
      <c r="I1032" s="6">
        <v>44835</v>
      </c>
      <c r="J1032" s="4">
        <v>0</v>
      </c>
      <c r="K1032" s="4">
        <v>0</v>
      </c>
      <c r="L1032" s="4">
        <v>684.14599999999996</v>
      </c>
      <c r="M1032" s="4">
        <v>684.14599999999996</v>
      </c>
      <c r="N1032" s="4">
        <v>684.14599999999996</v>
      </c>
      <c r="O1032" s="4">
        <v>684.14599999999996</v>
      </c>
      <c r="P1032" s="4">
        <v>271</v>
      </c>
      <c r="Q1032" s="3" t="s">
        <v>26</v>
      </c>
      <c r="R1032" s="3">
        <v>0</v>
      </c>
      <c r="S1032" s="3" t="s">
        <v>328</v>
      </c>
      <c r="T1032" s="3" t="s">
        <v>546</v>
      </c>
      <c r="U1032" s="3">
        <v>0</v>
      </c>
      <c r="V1032" s="3">
        <v>33</v>
      </c>
      <c r="W1032" s="3">
        <v>87</v>
      </c>
    </row>
    <row r="1033" spans="1:23" ht="11.25" customHeight="1" x14ac:dyDescent="0.25">
      <c r="A1033" s="3" t="s">
        <v>55</v>
      </c>
      <c r="B1033" s="3" t="s">
        <v>37</v>
      </c>
      <c r="C1033" s="3" t="s">
        <v>23</v>
      </c>
      <c r="D1033" s="3" t="s">
        <v>42</v>
      </c>
      <c r="E1033" s="3" t="s">
        <v>25</v>
      </c>
      <c r="F1033" s="3" t="s">
        <v>25</v>
      </c>
      <c r="G1033" s="3" t="s">
        <v>25</v>
      </c>
      <c r="H1033" s="3" t="s">
        <v>25</v>
      </c>
      <c r="I1033" s="6">
        <v>44835</v>
      </c>
      <c r="J1033" s="4">
        <v>0</v>
      </c>
      <c r="K1033" s="4">
        <v>0</v>
      </c>
      <c r="L1033" s="4">
        <v>-1.623</v>
      </c>
      <c r="M1033" s="4">
        <v>-1.623</v>
      </c>
      <c r="N1033" s="4">
        <v>-1.623</v>
      </c>
      <c r="O1033" s="4">
        <v>-1.623</v>
      </c>
      <c r="P1033" s="4">
        <v>-1</v>
      </c>
      <c r="Q1033" s="3" t="s">
        <v>26</v>
      </c>
      <c r="R1033" s="3">
        <v>0</v>
      </c>
      <c r="S1033" s="3" t="s">
        <v>328</v>
      </c>
      <c r="T1033" s="3" t="s">
        <v>546</v>
      </c>
      <c r="U1033" s="3">
        <v>0</v>
      </c>
      <c r="V1033" s="3">
        <v>33</v>
      </c>
      <c r="W1033" s="3">
        <v>87</v>
      </c>
    </row>
    <row r="1034" spans="1:23" ht="11.25" customHeight="1" x14ac:dyDescent="0.25">
      <c r="A1034" s="3" t="s">
        <v>21</v>
      </c>
      <c r="B1034" s="3" t="s">
        <v>37</v>
      </c>
      <c r="C1034" s="3" t="s">
        <v>23</v>
      </c>
      <c r="D1034" s="3" t="s">
        <v>51</v>
      </c>
      <c r="E1034" s="3" t="s">
        <v>25</v>
      </c>
      <c r="F1034" s="3" t="s">
        <v>25</v>
      </c>
      <c r="G1034" s="3" t="s">
        <v>25</v>
      </c>
      <c r="H1034" s="3" t="s">
        <v>25</v>
      </c>
      <c r="I1034" s="6">
        <v>44501</v>
      </c>
      <c r="J1034" s="4">
        <v>0</v>
      </c>
      <c r="K1034" s="4">
        <v>0</v>
      </c>
      <c r="L1034" s="4">
        <v>41.658000000000001</v>
      </c>
      <c r="M1034" s="4">
        <v>41.658000000000001</v>
      </c>
      <c r="N1034" s="4">
        <v>41.658000000000001</v>
      </c>
      <c r="O1034" s="4">
        <v>41.658000000000001</v>
      </c>
      <c r="P1034" s="4">
        <v>35</v>
      </c>
      <c r="Q1034" s="3" t="s">
        <v>26</v>
      </c>
      <c r="R1034" s="3">
        <v>0</v>
      </c>
      <c r="S1034" s="3" t="s">
        <v>317</v>
      </c>
      <c r="T1034" s="3" t="s">
        <v>535</v>
      </c>
      <c r="U1034" s="3">
        <v>0</v>
      </c>
      <c r="V1034" s="3">
        <v>33</v>
      </c>
      <c r="W1034" s="3">
        <v>87</v>
      </c>
    </row>
    <row r="1035" spans="1:23" ht="11.25" customHeight="1" x14ac:dyDescent="0.25">
      <c r="A1035" s="3" t="s">
        <v>21</v>
      </c>
      <c r="B1035" s="3" t="s">
        <v>37</v>
      </c>
      <c r="C1035" s="3" t="s">
        <v>23</v>
      </c>
      <c r="D1035" s="3" t="s">
        <v>51</v>
      </c>
      <c r="E1035" s="3" t="s">
        <v>25</v>
      </c>
      <c r="F1035" s="3" t="s">
        <v>25</v>
      </c>
      <c r="G1035" s="3" t="s">
        <v>25</v>
      </c>
      <c r="H1035" s="3" t="s">
        <v>25</v>
      </c>
      <c r="I1035" s="6">
        <v>44531</v>
      </c>
      <c r="J1035" s="4">
        <v>0</v>
      </c>
      <c r="K1035" s="4">
        <v>0</v>
      </c>
      <c r="L1035" s="4">
        <v>39.405999999999999</v>
      </c>
      <c r="M1035" s="4">
        <v>39.405999999999999</v>
      </c>
      <c r="N1035" s="4">
        <v>39.405999999999999</v>
      </c>
      <c r="O1035" s="4">
        <v>39.405999999999999</v>
      </c>
      <c r="P1035" s="4">
        <v>35</v>
      </c>
      <c r="Q1035" s="3" t="s">
        <v>26</v>
      </c>
      <c r="R1035" s="3">
        <v>0</v>
      </c>
      <c r="S1035" s="3" t="s">
        <v>318</v>
      </c>
      <c r="T1035" s="3" t="s">
        <v>536</v>
      </c>
      <c r="U1035" s="3">
        <v>0</v>
      </c>
      <c r="V1035" s="3">
        <v>33</v>
      </c>
      <c r="W1035" s="3">
        <v>87</v>
      </c>
    </row>
    <row r="1036" spans="1:23" ht="11.25" customHeight="1" x14ac:dyDescent="0.25">
      <c r="A1036" s="3" t="s">
        <v>21</v>
      </c>
      <c r="B1036" s="3" t="s">
        <v>37</v>
      </c>
      <c r="C1036" s="3" t="s">
        <v>23</v>
      </c>
      <c r="D1036" s="3" t="s">
        <v>51</v>
      </c>
      <c r="E1036" s="3" t="s">
        <v>25</v>
      </c>
      <c r="F1036" s="3" t="s">
        <v>25</v>
      </c>
      <c r="G1036" s="3" t="s">
        <v>25</v>
      </c>
      <c r="H1036" s="3" t="s">
        <v>25</v>
      </c>
      <c r="I1036" s="6">
        <v>44562</v>
      </c>
      <c r="J1036" s="4">
        <v>0</v>
      </c>
      <c r="K1036" s="4">
        <v>0</v>
      </c>
      <c r="L1036" s="4">
        <v>38.715000000000003</v>
      </c>
      <c r="M1036" s="4">
        <v>38.715000000000003</v>
      </c>
      <c r="N1036" s="4">
        <v>38.715000000000003</v>
      </c>
      <c r="O1036" s="4">
        <v>38.715000000000003</v>
      </c>
      <c r="P1036" s="4">
        <v>35</v>
      </c>
      <c r="Q1036" s="3" t="s">
        <v>26</v>
      </c>
      <c r="R1036" s="3">
        <v>0</v>
      </c>
      <c r="S1036" s="3" t="s">
        <v>319</v>
      </c>
      <c r="T1036" s="3" t="s">
        <v>537</v>
      </c>
      <c r="U1036" s="3">
        <v>0</v>
      </c>
      <c r="V1036" s="3">
        <v>33</v>
      </c>
      <c r="W1036" s="3">
        <v>87</v>
      </c>
    </row>
    <row r="1037" spans="1:23" ht="11.25" customHeight="1" x14ac:dyDescent="0.25">
      <c r="A1037" s="3" t="s">
        <v>21</v>
      </c>
      <c r="B1037" s="3" t="s">
        <v>37</v>
      </c>
      <c r="C1037" s="3" t="s">
        <v>23</v>
      </c>
      <c r="D1037" s="3" t="s">
        <v>51</v>
      </c>
      <c r="E1037" s="3" t="s">
        <v>25</v>
      </c>
      <c r="F1037" s="3" t="s">
        <v>25</v>
      </c>
      <c r="G1037" s="3" t="s">
        <v>25</v>
      </c>
      <c r="H1037" s="3" t="s">
        <v>25</v>
      </c>
      <c r="I1037" s="6">
        <v>44593</v>
      </c>
      <c r="J1037" s="4">
        <v>0</v>
      </c>
      <c r="K1037" s="4">
        <v>0</v>
      </c>
      <c r="L1037" s="4">
        <v>37.613</v>
      </c>
      <c r="M1037" s="4">
        <v>37.613</v>
      </c>
      <c r="N1037" s="4">
        <v>37.613</v>
      </c>
      <c r="O1037" s="4">
        <v>37.613</v>
      </c>
      <c r="P1037" s="4">
        <v>36</v>
      </c>
      <c r="Q1037" s="3" t="s">
        <v>26</v>
      </c>
      <c r="R1037" s="3">
        <v>0</v>
      </c>
      <c r="S1037" s="3" t="s">
        <v>320</v>
      </c>
      <c r="T1037" s="3" t="s">
        <v>538</v>
      </c>
      <c r="U1037" s="3">
        <v>0</v>
      </c>
      <c r="V1037" s="3">
        <v>33</v>
      </c>
      <c r="W1037" s="3">
        <v>87</v>
      </c>
    </row>
    <row r="1038" spans="1:23" ht="11.25" customHeight="1" x14ac:dyDescent="0.25">
      <c r="A1038" s="3" t="s">
        <v>21</v>
      </c>
      <c r="B1038" s="3" t="s">
        <v>37</v>
      </c>
      <c r="C1038" s="3" t="s">
        <v>23</v>
      </c>
      <c r="D1038" s="3" t="s">
        <v>51</v>
      </c>
      <c r="E1038" s="3" t="s">
        <v>25</v>
      </c>
      <c r="F1038" s="3" t="s">
        <v>25</v>
      </c>
      <c r="G1038" s="3" t="s">
        <v>25</v>
      </c>
      <c r="H1038" s="3" t="s">
        <v>25</v>
      </c>
      <c r="I1038" s="6">
        <v>44621</v>
      </c>
      <c r="J1038" s="4">
        <v>0</v>
      </c>
      <c r="K1038" s="4">
        <v>0</v>
      </c>
      <c r="L1038" s="4">
        <v>39.884999999999998</v>
      </c>
      <c r="M1038" s="4">
        <v>39.884999999999998</v>
      </c>
      <c r="N1038" s="4">
        <v>39.884999999999998</v>
      </c>
      <c r="O1038" s="4">
        <v>39.884999999999998</v>
      </c>
      <c r="P1038" s="4">
        <v>36</v>
      </c>
      <c r="Q1038" s="3" t="s">
        <v>26</v>
      </c>
      <c r="R1038" s="3">
        <v>0</v>
      </c>
      <c r="S1038" s="3" t="s">
        <v>321</v>
      </c>
      <c r="T1038" s="3" t="s">
        <v>539</v>
      </c>
      <c r="U1038" s="3">
        <v>0</v>
      </c>
      <c r="V1038" s="3">
        <v>33</v>
      </c>
      <c r="W1038" s="3">
        <v>87</v>
      </c>
    </row>
    <row r="1039" spans="1:23" ht="11.25" customHeight="1" x14ac:dyDescent="0.25">
      <c r="A1039" s="3" t="s">
        <v>21</v>
      </c>
      <c r="B1039" s="3" t="s">
        <v>37</v>
      </c>
      <c r="C1039" s="3" t="s">
        <v>23</v>
      </c>
      <c r="D1039" s="3" t="s">
        <v>51</v>
      </c>
      <c r="E1039" s="3" t="s">
        <v>25</v>
      </c>
      <c r="F1039" s="3" t="s">
        <v>25</v>
      </c>
      <c r="G1039" s="3" t="s">
        <v>25</v>
      </c>
      <c r="H1039" s="3" t="s">
        <v>25</v>
      </c>
      <c r="I1039" s="6">
        <v>44652</v>
      </c>
      <c r="J1039" s="4">
        <v>0</v>
      </c>
      <c r="K1039" s="4">
        <v>0</v>
      </c>
      <c r="L1039" s="4">
        <v>39.884999999999998</v>
      </c>
      <c r="M1039" s="4">
        <v>39.884999999999998</v>
      </c>
      <c r="N1039" s="4">
        <v>39.884999999999998</v>
      </c>
      <c r="O1039" s="4">
        <v>39.884999999999998</v>
      </c>
      <c r="P1039" s="4">
        <v>36</v>
      </c>
      <c r="Q1039" s="3" t="s">
        <v>26</v>
      </c>
      <c r="R1039" s="3">
        <v>0</v>
      </c>
      <c r="S1039" s="3" t="s">
        <v>322</v>
      </c>
      <c r="T1039" s="3" t="s">
        <v>540</v>
      </c>
      <c r="U1039" s="3">
        <v>0</v>
      </c>
      <c r="V1039" s="3">
        <v>33</v>
      </c>
      <c r="W1039" s="3">
        <v>87</v>
      </c>
    </row>
    <row r="1040" spans="1:23" ht="11.25" customHeight="1" x14ac:dyDescent="0.25">
      <c r="A1040" s="3" t="s">
        <v>21</v>
      </c>
      <c r="B1040" s="3" t="s">
        <v>37</v>
      </c>
      <c r="C1040" s="3" t="s">
        <v>23</v>
      </c>
      <c r="D1040" s="3" t="s">
        <v>51</v>
      </c>
      <c r="E1040" s="3" t="s">
        <v>25</v>
      </c>
      <c r="F1040" s="3" t="s">
        <v>25</v>
      </c>
      <c r="G1040" s="3" t="s">
        <v>25</v>
      </c>
      <c r="H1040" s="3" t="s">
        <v>25</v>
      </c>
      <c r="I1040" s="6">
        <v>44682</v>
      </c>
      <c r="J1040" s="4">
        <v>0</v>
      </c>
      <c r="K1040" s="4">
        <v>0</v>
      </c>
      <c r="L1040" s="4">
        <v>39.146999999999998</v>
      </c>
      <c r="M1040" s="4">
        <v>39.146999999999998</v>
      </c>
      <c r="N1040" s="4">
        <v>39.146999999999998</v>
      </c>
      <c r="O1040" s="4">
        <v>39.146999999999998</v>
      </c>
      <c r="P1040" s="4">
        <v>35</v>
      </c>
      <c r="Q1040" s="3" t="s">
        <v>26</v>
      </c>
      <c r="R1040" s="3">
        <v>0</v>
      </c>
      <c r="S1040" s="3" t="s">
        <v>323</v>
      </c>
      <c r="T1040" s="3" t="s">
        <v>541</v>
      </c>
      <c r="U1040" s="3">
        <v>0</v>
      </c>
      <c r="V1040" s="3">
        <v>33</v>
      </c>
      <c r="W1040" s="3">
        <v>87</v>
      </c>
    </row>
    <row r="1041" spans="1:23" ht="11.25" customHeight="1" x14ac:dyDescent="0.25">
      <c r="A1041" s="3" t="s">
        <v>21</v>
      </c>
      <c r="B1041" s="3" t="s">
        <v>37</v>
      </c>
      <c r="C1041" s="3" t="s">
        <v>23</v>
      </c>
      <c r="D1041" s="3" t="s">
        <v>51</v>
      </c>
      <c r="E1041" s="3" t="s">
        <v>25</v>
      </c>
      <c r="F1041" s="3" t="s">
        <v>25</v>
      </c>
      <c r="G1041" s="3" t="s">
        <v>25</v>
      </c>
      <c r="H1041" s="3" t="s">
        <v>25</v>
      </c>
      <c r="I1041" s="6">
        <v>44713</v>
      </c>
      <c r="J1041" s="4">
        <v>0</v>
      </c>
      <c r="K1041" s="4">
        <v>0</v>
      </c>
      <c r="L1041" s="4">
        <v>38.069000000000003</v>
      </c>
      <c r="M1041" s="4">
        <v>38.069000000000003</v>
      </c>
      <c r="N1041" s="4">
        <v>38.069000000000003</v>
      </c>
      <c r="O1041" s="4">
        <v>38.069000000000003</v>
      </c>
      <c r="P1041" s="4">
        <v>35</v>
      </c>
      <c r="Q1041" s="3" t="s">
        <v>26</v>
      </c>
      <c r="R1041" s="3">
        <v>0</v>
      </c>
      <c r="S1041" s="3" t="s">
        <v>324</v>
      </c>
      <c r="T1041" s="3" t="s">
        <v>542</v>
      </c>
      <c r="U1041" s="3">
        <v>0</v>
      </c>
      <c r="V1041" s="3">
        <v>33</v>
      </c>
      <c r="W1041" s="3">
        <v>87</v>
      </c>
    </row>
    <row r="1042" spans="1:23" ht="11.25" customHeight="1" x14ac:dyDescent="0.25">
      <c r="A1042" s="3" t="s">
        <v>21</v>
      </c>
      <c r="B1042" s="3" t="s">
        <v>37</v>
      </c>
      <c r="C1042" s="3" t="s">
        <v>23</v>
      </c>
      <c r="D1042" s="3" t="s">
        <v>51</v>
      </c>
      <c r="E1042" s="3" t="s">
        <v>25</v>
      </c>
      <c r="F1042" s="3" t="s">
        <v>25</v>
      </c>
      <c r="G1042" s="3" t="s">
        <v>25</v>
      </c>
      <c r="H1042" s="3" t="s">
        <v>25</v>
      </c>
      <c r="I1042" s="6">
        <v>44743</v>
      </c>
      <c r="J1042" s="4">
        <v>0</v>
      </c>
      <c r="K1042" s="4">
        <v>0</v>
      </c>
      <c r="L1042" s="4">
        <v>36.874000000000002</v>
      </c>
      <c r="M1042" s="4">
        <v>36.874000000000002</v>
      </c>
      <c r="N1042" s="4">
        <v>36.874000000000002</v>
      </c>
      <c r="O1042" s="4">
        <v>36.874000000000002</v>
      </c>
      <c r="P1042" s="4">
        <v>35</v>
      </c>
      <c r="Q1042" s="3" t="s">
        <v>26</v>
      </c>
      <c r="R1042" s="3">
        <v>0</v>
      </c>
      <c r="S1042" s="3" t="s">
        <v>325</v>
      </c>
      <c r="T1042" s="3" t="s">
        <v>543</v>
      </c>
      <c r="U1042" s="3">
        <v>0</v>
      </c>
      <c r="V1042" s="3">
        <v>33</v>
      </c>
      <c r="W1042" s="3">
        <v>87</v>
      </c>
    </row>
    <row r="1043" spans="1:23" ht="11.25" customHeight="1" x14ac:dyDescent="0.25">
      <c r="A1043" s="3" t="s">
        <v>21</v>
      </c>
      <c r="B1043" s="3" t="s">
        <v>37</v>
      </c>
      <c r="C1043" s="3" t="s">
        <v>23</v>
      </c>
      <c r="D1043" s="3" t="s">
        <v>51</v>
      </c>
      <c r="E1043" s="3" t="s">
        <v>25</v>
      </c>
      <c r="F1043" s="3" t="s">
        <v>25</v>
      </c>
      <c r="G1043" s="3" t="s">
        <v>25</v>
      </c>
      <c r="H1043" s="3" t="s">
        <v>25</v>
      </c>
      <c r="I1043" s="6">
        <v>44774</v>
      </c>
      <c r="J1043" s="4">
        <v>0</v>
      </c>
      <c r="K1043" s="4">
        <v>0</v>
      </c>
      <c r="L1043" s="4">
        <v>42.790999999999997</v>
      </c>
      <c r="M1043" s="4">
        <v>42.790999999999997</v>
      </c>
      <c r="N1043" s="4">
        <v>42.790999999999997</v>
      </c>
      <c r="O1043" s="4">
        <v>42.790999999999997</v>
      </c>
      <c r="P1043" s="4">
        <v>35</v>
      </c>
      <c r="Q1043" s="3" t="s">
        <v>26</v>
      </c>
      <c r="R1043" s="3">
        <v>0</v>
      </c>
      <c r="S1043" s="3" t="s">
        <v>326</v>
      </c>
      <c r="T1043" s="3" t="s">
        <v>544</v>
      </c>
      <c r="U1043" s="3">
        <v>0</v>
      </c>
      <c r="V1043" s="3">
        <v>33</v>
      </c>
      <c r="W1043" s="3">
        <v>87</v>
      </c>
    </row>
    <row r="1044" spans="1:23" ht="11.25" customHeight="1" x14ac:dyDescent="0.25">
      <c r="A1044" s="3" t="s">
        <v>21</v>
      </c>
      <c r="B1044" s="3" t="s">
        <v>37</v>
      </c>
      <c r="C1044" s="3" t="s">
        <v>23</v>
      </c>
      <c r="D1044" s="3" t="s">
        <v>51</v>
      </c>
      <c r="E1044" s="3" t="s">
        <v>25</v>
      </c>
      <c r="F1044" s="3" t="s">
        <v>25</v>
      </c>
      <c r="G1044" s="3" t="s">
        <v>25</v>
      </c>
      <c r="H1044" s="3" t="s">
        <v>25</v>
      </c>
      <c r="I1044" s="6">
        <v>44805</v>
      </c>
      <c r="J1044" s="4">
        <v>0</v>
      </c>
      <c r="K1044" s="4">
        <v>0</v>
      </c>
      <c r="L1044" s="4">
        <v>44.250999999999998</v>
      </c>
      <c r="M1044" s="4">
        <v>44.250999999999998</v>
      </c>
      <c r="N1044" s="4">
        <v>44.250999999999998</v>
      </c>
      <c r="O1044" s="4">
        <v>44.250999999999998</v>
      </c>
      <c r="P1044" s="4">
        <v>36</v>
      </c>
      <c r="Q1044" s="3" t="s">
        <v>26</v>
      </c>
      <c r="R1044" s="3">
        <v>0</v>
      </c>
      <c r="S1044" s="3" t="s">
        <v>327</v>
      </c>
      <c r="T1044" s="3" t="s">
        <v>545</v>
      </c>
      <c r="U1044" s="3">
        <v>0</v>
      </c>
      <c r="V1044" s="3">
        <v>33</v>
      </c>
      <c r="W1044" s="3">
        <v>87</v>
      </c>
    </row>
    <row r="1045" spans="1:23" ht="11.25" customHeight="1" x14ac:dyDescent="0.25">
      <c r="A1045" s="3" t="s">
        <v>55</v>
      </c>
      <c r="B1045" s="3" t="s">
        <v>37</v>
      </c>
      <c r="C1045" s="3" t="s">
        <v>23</v>
      </c>
      <c r="D1045" s="3" t="s">
        <v>51</v>
      </c>
      <c r="E1045" s="3" t="s">
        <v>25</v>
      </c>
      <c r="F1045" s="3" t="s">
        <v>25</v>
      </c>
      <c r="G1045" s="3" t="s">
        <v>25</v>
      </c>
      <c r="H1045" s="3" t="s">
        <v>25</v>
      </c>
      <c r="I1045" s="6">
        <v>44835</v>
      </c>
      <c r="J1045" s="4">
        <v>0</v>
      </c>
      <c r="K1045" s="4">
        <v>0</v>
      </c>
      <c r="L1045" s="4">
        <v>44.250999999999998</v>
      </c>
      <c r="M1045" s="4">
        <v>44.250999999999998</v>
      </c>
      <c r="N1045" s="4">
        <v>44.250999999999998</v>
      </c>
      <c r="O1045" s="4">
        <v>44.250999999999998</v>
      </c>
      <c r="P1045" s="4">
        <v>36</v>
      </c>
      <c r="Q1045" s="3" t="s">
        <v>26</v>
      </c>
      <c r="R1045" s="3">
        <v>0</v>
      </c>
      <c r="S1045" s="3" t="s">
        <v>328</v>
      </c>
      <c r="T1045" s="3" t="s">
        <v>546</v>
      </c>
      <c r="U1045" s="3">
        <v>0</v>
      </c>
      <c r="V1045" s="3">
        <v>33</v>
      </c>
      <c r="W1045" s="3">
        <v>87</v>
      </c>
    </row>
    <row r="1046" spans="1:23" ht="11.25" customHeight="1" x14ac:dyDescent="0.25">
      <c r="A1046" s="3" t="s">
        <v>21</v>
      </c>
      <c r="B1046" s="3" t="s">
        <v>37</v>
      </c>
      <c r="C1046" s="3" t="s">
        <v>23</v>
      </c>
      <c r="D1046" s="3" t="s">
        <v>38</v>
      </c>
      <c r="E1046" s="3" t="s">
        <v>25</v>
      </c>
      <c r="F1046" s="3" t="s">
        <v>25</v>
      </c>
      <c r="G1046" s="3" t="s">
        <v>25</v>
      </c>
      <c r="H1046" s="3" t="s">
        <v>25</v>
      </c>
      <c r="I1046" s="6">
        <v>44501</v>
      </c>
      <c r="J1046" s="4">
        <v>0</v>
      </c>
      <c r="K1046" s="4">
        <v>0</v>
      </c>
      <c r="L1046" s="4">
        <v>558.31700000000001</v>
      </c>
      <c r="M1046" s="4">
        <v>558.31700000000001</v>
      </c>
      <c r="N1046" s="4">
        <v>558.31700000000001</v>
      </c>
      <c r="O1046" s="4">
        <v>558.31700000000001</v>
      </c>
      <c r="P1046" s="4">
        <v>334</v>
      </c>
      <c r="Q1046" s="3" t="s">
        <v>26</v>
      </c>
      <c r="R1046" s="3">
        <v>0</v>
      </c>
      <c r="S1046" s="3" t="s">
        <v>317</v>
      </c>
      <c r="T1046" s="3" t="s">
        <v>535</v>
      </c>
      <c r="U1046" s="3">
        <v>0</v>
      </c>
      <c r="V1046" s="3">
        <v>33</v>
      </c>
      <c r="W1046" s="3">
        <v>87</v>
      </c>
    </row>
    <row r="1047" spans="1:23" ht="11.25" customHeight="1" x14ac:dyDescent="0.25">
      <c r="A1047" s="3" t="s">
        <v>27</v>
      </c>
      <c r="B1047" s="3" t="s">
        <v>37</v>
      </c>
      <c r="C1047" s="3" t="s">
        <v>23</v>
      </c>
      <c r="D1047" s="3" t="s">
        <v>38</v>
      </c>
      <c r="E1047" s="3" t="s">
        <v>25</v>
      </c>
      <c r="F1047" s="3" t="s">
        <v>25</v>
      </c>
      <c r="G1047" s="3" t="s">
        <v>25</v>
      </c>
      <c r="H1047" s="3" t="s">
        <v>25</v>
      </c>
      <c r="I1047" s="6">
        <v>44501</v>
      </c>
      <c r="J1047" s="4">
        <v>0</v>
      </c>
      <c r="K1047" s="4">
        <v>0</v>
      </c>
      <c r="L1047" s="4">
        <v>0.98299999999999998</v>
      </c>
      <c r="M1047" s="4">
        <v>0.98299999999999998</v>
      </c>
      <c r="N1047" s="4">
        <v>0.98299999999999998</v>
      </c>
      <c r="O1047" s="4">
        <v>0.98299999999999998</v>
      </c>
      <c r="P1047" s="4">
        <v>-2</v>
      </c>
      <c r="Q1047" s="3" t="s">
        <v>26</v>
      </c>
      <c r="R1047" s="3">
        <v>0</v>
      </c>
      <c r="S1047" s="3" t="s">
        <v>317</v>
      </c>
      <c r="T1047" s="3" t="s">
        <v>535</v>
      </c>
      <c r="U1047" s="3">
        <v>0</v>
      </c>
      <c r="V1047" s="3">
        <v>33</v>
      </c>
      <c r="W1047" s="3">
        <v>87</v>
      </c>
    </row>
    <row r="1048" spans="1:23" ht="11.25" customHeight="1" x14ac:dyDescent="0.25">
      <c r="A1048" s="3" t="s">
        <v>28</v>
      </c>
      <c r="B1048" s="3" t="s">
        <v>37</v>
      </c>
      <c r="C1048" s="3" t="s">
        <v>23</v>
      </c>
      <c r="D1048" s="3" t="s">
        <v>38</v>
      </c>
      <c r="E1048" s="3" t="s">
        <v>25</v>
      </c>
      <c r="F1048" s="3" t="s">
        <v>25</v>
      </c>
      <c r="G1048" s="3" t="s">
        <v>25</v>
      </c>
      <c r="H1048" s="3" t="s">
        <v>25</v>
      </c>
      <c r="I1048" s="6">
        <v>44501</v>
      </c>
      <c r="J1048" s="4">
        <v>0</v>
      </c>
      <c r="K1048" s="4">
        <v>0</v>
      </c>
      <c r="L1048" s="4">
        <v>4.9359999999999999</v>
      </c>
      <c r="M1048" s="4">
        <v>4.9359999999999999</v>
      </c>
      <c r="N1048" s="4">
        <v>4.9359999999999999</v>
      </c>
      <c r="O1048" s="4">
        <v>4.9359999999999999</v>
      </c>
      <c r="P1048" s="4">
        <v>2</v>
      </c>
      <c r="Q1048" s="3" t="s">
        <v>26</v>
      </c>
      <c r="R1048" s="3">
        <v>0</v>
      </c>
      <c r="S1048" s="3" t="s">
        <v>317</v>
      </c>
      <c r="T1048" s="3" t="s">
        <v>535</v>
      </c>
      <c r="U1048" s="3">
        <v>0</v>
      </c>
      <c r="V1048" s="3">
        <v>33</v>
      </c>
      <c r="W1048" s="3">
        <v>87</v>
      </c>
    </row>
    <row r="1049" spans="1:23" ht="11.25" customHeight="1" x14ac:dyDescent="0.25">
      <c r="A1049" s="3" t="s">
        <v>21</v>
      </c>
      <c r="B1049" s="3" t="s">
        <v>37</v>
      </c>
      <c r="C1049" s="3" t="s">
        <v>23</v>
      </c>
      <c r="D1049" s="3" t="s">
        <v>38</v>
      </c>
      <c r="E1049" s="3" t="s">
        <v>25</v>
      </c>
      <c r="F1049" s="3" t="s">
        <v>25</v>
      </c>
      <c r="G1049" s="3" t="s">
        <v>25</v>
      </c>
      <c r="H1049" s="3" t="s">
        <v>25</v>
      </c>
      <c r="I1049" s="6">
        <v>44531</v>
      </c>
      <c r="J1049" s="4">
        <v>0</v>
      </c>
      <c r="K1049" s="4">
        <v>0</v>
      </c>
      <c r="L1049" s="4">
        <v>584.803</v>
      </c>
      <c r="M1049" s="4">
        <v>584.803</v>
      </c>
      <c r="N1049" s="4">
        <v>584.803</v>
      </c>
      <c r="O1049" s="4">
        <v>584.803</v>
      </c>
      <c r="P1049" s="4">
        <v>330</v>
      </c>
      <c r="Q1049" s="3" t="s">
        <v>26</v>
      </c>
      <c r="R1049" s="3">
        <v>0</v>
      </c>
      <c r="S1049" s="3" t="s">
        <v>318</v>
      </c>
      <c r="T1049" s="3" t="s">
        <v>536</v>
      </c>
      <c r="U1049" s="3">
        <v>0</v>
      </c>
      <c r="V1049" s="3">
        <v>33</v>
      </c>
      <c r="W1049" s="3">
        <v>87</v>
      </c>
    </row>
    <row r="1050" spans="1:23" ht="11.25" customHeight="1" x14ac:dyDescent="0.25">
      <c r="A1050" s="3" t="s">
        <v>27</v>
      </c>
      <c r="B1050" s="3" t="s">
        <v>37</v>
      </c>
      <c r="C1050" s="3" t="s">
        <v>23</v>
      </c>
      <c r="D1050" s="3" t="s">
        <v>38</v>
      </c>
      <c r="E1050" s="3" t="s">
        <v>25</v>
      </c>
      <c r="F1050" s="3" t="s">
        <v>25</v>
      </c>
      <c r="G1050" s="3" t="s">
        <v>25</v>
      </c>
      <c r="H1050" s="3" t="s">
        <v>25</v>
      </c>
      <c r="I1050" s="6">
        <v>44531</v>
      </c>
      <c r="J1050" s="4">
        <v>0</v>
      </c>
      <c r="K1050" s="4">
        <v>0</v>
      </c>
      <c r="L1050" s="4">
        <v>0.56499999999999995</v>
      </c>
      <c r="M1050" s="4">
        <v>0.56499999999999995</v>
      </c>
      <c r="N1050" s="4">
        <v>0.56499999999999995</v>
      </c>
      <c r="O1050" s="4">
        <v>0.56499999999999995</v>
      </c>
      <c r="P1050" s="4">
        <v>0</v>
      </c>
      <c r="Q1050" s="3" t="s">
        <v>26</v>
      </c>
      <c r="R1050" s="3">
        <v>0</v>
      </c>
      <c r="S1050" s="3" t="s">
        <v>318</v>
      </c>
      <c r="T1050" s="3" t="s">
        <v>536</v>
      </c>
      <c r="U1050" s="3">
        <v>0</v>
      </c>
      <c r="V1050" s="3">
        <v>33</v>
      </c>
      <c r="W1050" s="3">
        <v>87</v>
      </c>
    </row>
    <row r="1051" spans="1:23" ht="11.25" customHeight="1" x14ac:dyDescent="0.25">
      <c r="A1051" s="3" t="s">
        <v>28</v>
      </c>
      <c r="B1051" s="3" t="s">
        <v>37</v>
      </c>
      <c r="C1051" s="3" t="s">
        <v>23</v>
      </c>
      <c r="D1051" s="3" t="s">
        <v>38</v>
      </c>
      <c r="E1051" s="3" t="s">
        <v>25</v>
      </c>
      <c r="F1051" s="3" t="s">
        <v>25</v>
      </c>
      <c r="G1051" s="3" t="s">
        <v>25</v>
      </c>
      <c r="H1051" s="3" t="s">
        <v>25</v>
      </c>
      <c r="I1051" s="6">
        <v>44531</v>
      </c>
      <c r="J1051" s="4">
        <v>0</v>
      </c>
      <c r="K1051" s="4">
        <v>0</v>
      </c>
      <c r="L1051" s="4">
        <v>5.1429999999999998</v>
      </c>
      <c r="M1051" s="4">
        <v>5.1429999999999998</v>
      </c>
      <c r="N1051" s="4">
        <v>5.1429999999999998</v>
      </c>
      <c r="O1051" s="4">
        <v>5.1429999999999998</v>
      </c>
      <c r="P1051" s="4">
        <v>2</v>
      </c>
      <c r="Q1051" s="3" t="s">
        <v>26</v>
      </c>
      <c r="R1051" s="3">
        <v>0</v>
      </c>
      <c r="S1051" s="3" t="s">
        <v>318</v>
      </c>
      <c r="T1051" s="3" t="s">
        <v>536</v>
      </c>
      <c r="U1051" s="3">
        <v>0</v>
      </c>
      <c r="V1051" s="3">
        <v>33</v>
      </c>
      <c r="W1051" s="3">
        <v>87</v>
      </c>
    </row>
    <row r="1052" spans="1:23" ht="11.25" customHeight="1" x14ac:dyDescent="0.25">
      <c r="A1052" s="3" t="s">
        <v>21</v>
      </c>
      <c r="B1052" s="3" t="s">
        <v>37</v>
      </c>
      <c r="C1052" s="3" t="s">
        <v>23</v>
      </c>
      <c r="D1052" s="3" t="s">
        <v>38</v>
      </c>
      <c r="E1052" s="3" t="s">
        <v>25</v>
      </c>
      <c r="F1052" s="3" t="s">
        <v>25</v>
      </c>
      <c r="G1052" s="3" t="s">
        <v>25</v>
      </c>
      <c r="H1052" s="3" t="s">
        <v>25</v>
      </c>
      <c r="I1052" s="6">
        <v>44562</v>
      </c>
      <c r="J1052" s="4">
        <v>0</v>
      </c>
      <c r="K1052" s="4">
        <v>0</v>
      </c>
      <c r="L1052" s="4">
        <v>558.44200000000001</v>
      </c>
      <c r="M1052" s="4">
        <v>558.44200000000001</v>
      </c>
      <c r="N1052" s="4">
        <v>558.44200000000001</v>
      </c>
      <c r="O1052" s="4">
        <v>558.44200000000001</v>
      </c>
      <c r="P1052" s="4">
        <v>333</v>
      </c>
      <c r="Q1052" s="3" t="s">
        <v>26</v>
      </c>
      <c r="R1052" s="3">
        <v>0</v>
      </c>
      <c r="S1052" s="3" t="s">
        <v>319</v>
      </c>
      <c r="T1052" s="3" t="s">
        <v>537</v>
      </c>
      <c r="U1052" s="3">
        <v>0</v>
      </c>
      <c r="V1052" s="3">
        <v>33</v>
      </c>
      <c r="W1052" s="3">
        <v>87</v>
      </c>
    </row>
    <row r="1053" spans="1:23" ht="11.25" customHeight="1" x14ac:dyDescent="0.25">
      <c r="A1053" s="3" t="s">
        <v>28</v>
      </c>
      <c r="B1053" s="3" t="s">
        <v>37</v>
      </c>
      <c r="C1053" s="3" t="s">
        <v>23</v>
      </c>
      <c r="D1053" s="3" t="s">
        <v>38</v>
      </c>
      <c r="E1053" s="3" t="s">
        <v>25</v>
      </c>
      <c r="F1053" s="3" t="s">
        <v>25</v>
      </c>
      <c r="G1053" s="3" t="s">
        <v>25</v>
      </c>
      <c r="H1053" s="3" t="s">
        <v>25</v>
      </c>
      <c r="I1053" s="6">
        <v>44562</v>
      </c>
      <c r="J1053" s="4">
        <v>0</v>
      </c>
      <c r="K1053" s="4">
        <v>0</v>
      </c>
      <c r="L1053" s="4">
        <v>5.7690000000000001</v>
      </c>
      <c r="M1053" s="4">
        <v>5.7690000000000001</v>
      </c>
      <c r="N1053" s="4">
        <v>5.7690000000000001</v>
      </c>
      <c r="O1053" s="4">
        <v>5.7690000000000001</v>
      </c>
      <c r="P1053" s="4">
        <v>2</v>
      </c>
      <c r="Q1053" s="3" t="s">
        <v>26</v>
      </c>
      <c r="R1053" s="3">
        <v>0</v>
      </c>
      <c r="S1053" s="3" t="s">
        <v>319</v>
      </c>
      <c r="T1053" s="3" t="s">
        <v>537</v>
      </c>
      <c r="U1053" s="3">
        <v>0</v>
      </c>
      <c r="V1053" s="3">
        <v>33</v>
      </c>
      <c r="W1053" s="3">
        <v>87</v>
      </c>
    </row>
    <row r="1054" spans="1:23" ht="11.25" customHeight="1" x14ac:dyDescent="0.25">
      <c r="A1054" s="3" t="s">
        <v>21</v>
      </c>
      <c r="B1054" s="3" t="s">
        <v>37</v>
      </c>
      <c r="C1054" s="3" t="s">
        <v>23</v>
      </c>
      <c r="D1054" s="3" t="s">
        <v>38</v>
      </c>
      <c r="E1054" s="3" t="s">
        <v>25</v>
      </c>
      <c r="F1054" s="3" t="s">
        <v>25</v>
      </c>
      <c r="G1054" s="3" t="s">
        <v>25</v>
      </c>
      <c r="H1054" s="3" t="s">
        <v>25</v>
      </c>
      <c r="I1054" s="6">
        <v>44593</v>
      </c>
      <c r="J1054" s="4">
        <v>0</v>
      </c>
      <c r="K1054" s="4">
        <v>0</v>
      </c>
      <c r="L1054" s="4">
        <v>593.94299999999998</v>
      </c>
      <c r="M1054" s="4">
        <v>593.94299999999998</v>
      </c>
      <c r="N1054" s="4">
        <v>593.94299999999998</v>
      </c>
      <c r="O1054" s="4">
        <v>593.94299999999998</v>
      </c>
      <c r="P1054" s="4">
        <v>332</v>
      </c>
      <c r="Q1054" s="3" t="s">
        <v>26</v>
      </c>
      <c r="R1054" s="3">
        <v>0</v>
      </c>
      <c r="S1054" s="3" t="s">
        <v>320</v>
      </c>
      <c r="T1054" s="3" t="s">
        <v>538</v>
      </c>
      <c r="U1054" s="3">
        <v>0</v>
      </c>
      <c r="V1054" s="3">
        <v>33</v>
      </c>
      <c r="W1054" s="3">
        <v>87</v>
      </c>
    </row>
    <row r="1055" spans="1:23" ht="11.25" customHeight="1" x14ac:dyDescent="0.25">
      <c r="A1055" s="3" t="s">
        <v>27</v>
      </c>
      <c r="B1055" s="3" t="s">
        <v>37</v>
      </c>
      <c r="C1055" s="3" t="s">
        <v>23</v>
      </c>
      <c r="D1055" s="3" t="s">
        <v>38</v>
      </c>
      <c r="E1055" s="3" t="s">
        <v>25</v>
      </c>
      <c r="F1055" s="3" t="s">
        <v>25</v>
      </c>
      <c r="G1055" s="3" t="s">
        <v>25</v>
      </c>
      <c r="H1055" s="3" t="s">
        <v>25</v>
      </c>
      <c r="I1055" s="6">
        <v>44593</v>
      </c>
      <c r="J1055" s="4">
        <v>0</v>
      </c>
      <c r="K1055" s="4">
        <v>0</v>
      </c>
      <c r="L1055" s="4">
        <v>0.251</v>
      </c>
      <c r="M1055" s="4">
        <v>0.251</v>
      </c>
      <c r="N1055" s="4">
        <v>0.251</v>
      </c>
      <c r="O1055" s="4">
        <v>0.251</v>
      </c>
      <c r="P1055" s="4">
        <v>-3</v>
      </c>
      <c r="Q1055" s="3" t="s">
        <v>26</v>
      </c>
      <c r="R1055" s="3">
        <v>0</v>
      </c>
      <c r="S1055" s="3" t="s">
        <v>320</v>
      </c>
      <c r="T1055" s="3" t="s">
        <v>538</v>
      </c>
      <c r="U1055" s="3">
        <v>0</v>
      </c>
      <c r="V1055" s="3">
        <v>33</v>
      </c>
      <c r="W1055" s="3">
        <v>87</v>
      </c>
    </row>
    <row r="1056" spans="1:23" ht="11.25" customHeight="1" x14ac:dyDescent="0.25">
      <c r="A1056" s="3" t="s">
        <v>28</v>
      </c>
      <c r="B1056" s="3" t="s">
        <v>37</v>
      </c>
      <c r="C1056" s="3" t="s">
        <v>23</v>
      </c>
      <c r="D1056" s="3" t="s">
        <v>38</v>
      </c>
      <c r="E1056" s="3" t="s">
        <v>25</v>
      </c>
      <c r="F1056" s="3" t="s">
        <v>25</v>
      </c>
      <c r="G1056" s="3" t="s">
        <v>25</v>
      </c>
      <c r="H1056" s="3" t="s">
        <v>25</v>
      </c>
      <c r="I1056" s="6">
        <v>44593</v>
      </c>
      <c r="J1056" s="4">
        <v>0</v>
      </c>
      <c r="K1056" s="4">
        <v>0</v>
      </c>
      <c r="L1056" s="4">
        <v>6.0030000000000001</v>
      </c>
      <c r="M1056" s="4">
        <v>6.0030000000000001</v>
      </c>
      <c r="N1056" s="4">
        <v>6.0030000000000001</v>
      </c>
      <c r="O1056" s="4">
        <v>6.0030000000000001</v>
      </c>
      <c r="P1056" s="4">
        <v>2</v>
      </c>
      <c r="Q1056" s="3" t="s">
        <v>26</v>
      </c>
      <c r="R1056" s="3">
        <v>0</v>
      </c>
      <c r="S1056" s="3" t="s">
        <v>320</v>
      </c>
      <c r="T1056" s="3" t="s">
        <v>538</v>
      </c>
      <c r="U1056" s="3">
        <v>0</v>
      </c>
      <c r="V1056" s="3">
        <v>33</v>
      </c>
      <c r="W1056" s="3">
        <v>87</v>
      </c>
    </row>
    <row r="1057" spans="1:23" ht="11.25" customHeight="1" x14ac:dyDescent="0.25">
      <c r="A1057" s="3" t="s">
        <v>21</v>
      </c>
      <c r="B1057" s="3" t="s">
        <v>37</v>
      </c>
      <c r="C1057" s="3" t="s">
        <v>23</v>
      </c>
      <c r="D1057" s="3" t="s">
        <v>38</v>
      </c>
      <c r="E1057" s="3" t="s">
        <v>25</v>
      </c>
      <c r="F1057" s="3" t="s">
        <v>25</v>
      </c>
      <c r="G1057" s="3" t="s">
        <v>25</v>
      </c>
      <c r="H1057" s="3" t="s">
        <v>25</v>
      </c>
      <c r="I1057" s="6">
        <v>44621</v>
      </c>
      <c r="J1057" s="4">
        <v>0</v>
      </c>
      <c r="K1057" s="4">
        <v>0</v>
      </c>
      <c r="L1057" s="4">
        <v>622.48699999999997</v>
      </c>
      <c r="M1057" s="4">
        <v>622.48699999999997</v>
      </c>
      <c r="N1057" s="4">
        <v>622.48699999999997</v>
      </c>
      <c r="O1057" s="4">
        <v>622.48699999999997</v>
      </c>
      <c r="P1057" s="4">
        <v>336</v>
      </c>
      <c r="Q1057" s="3" t="s">
        <v>26</v>
      </c>
      <c r="R1057" s="3">
        <v>0</v>
      </c>
      <c r="S1057" s="3" t="s">
        <v>321</v>
      </c>
      <c r="T1057" s="3" t="s">
        <v>539</v>
      </c>
      <c r="U1057" s="3">
        <v>0</v>
      </c>
      <c r="V1057" s="3">
        <v>33</v>
      </c>
      <c r="W1057" s="3">
        <v>87</v>
      </c>
    </row>
    <row r="1058" spans="1:23" ht="11.25" customHeight="1" x14ac:dyDescent="0.25">
      <c r="A1058" s="3" t="s">
        <v>28</v>
      </c>
      <c r="B1058" s="3" t="s">
        <v>37</v>
      </c>
      <c r="C1058" s="3" t="s">
        <v>23</v>
      </c>
      <c r="D1058" s="3" t="s">
        <v>38</v>
      </c>
      <c r="E1058" s="3" t="s">
        <v>25</v>
      </c>
      <c r="F1058" s="3" t="s">
        <v>25</v>
      </c>
      <c r="G1058" s="3" t="s">
        <v>25</v>
      </c>
      <c r="H1058" s="3" t="s">
        <v>25</v>
      </c>
      <c r="I1058" s="6">
        <v>44621</v>
      </c>
      <c r="J1058" s="4">
        <v>0</v>
      </c>
      <c r="K1058" s="4">
        <v>0</v>
      </c>
      <c r="L1058" s="4">
        <v>6.26</v>
      </c>
      <c r="M1058" s="4">
        <v>6.26</v>
      </c>
      <c r="N1058" s="4">
        <v>6.26</v>
      </c>
      <c r="O1058" s="4">
        <v>6.26</v>
      </c>
      <c r="P1058" s="4">
        <v>2</v>
      </c>
      <c r="Q1058" s="3" t="s">
        <v>26</v>
      </c>
      <c r="R1058" s="3">
        <v>0</v>
      </c>
      <c r="S1058" s="3" t="s">
        <v>321</v>
      </c>
      <c r="T1058" s="3" t="s">
        <v>539</v>
      </c>
      <c r="U1058" s="3">
        <v>0</v>
      </c>
      <c r="V1058" s="3">
        <v>33</v>
      </c>
      <c r="W1058" s="3">
        <v>87</v>
      </c>
    </row>
    <row r="1059" spans="1:23" ht="11.25" customHeight="1" x14ac:dyDescent="0.25">
      <c r="A1059" s="3" t="s">
        <v>21</v>
      </c>
      <c r="B1059" s="3" t="s">
        <v>37</v>
      </c>
      <c r="C1059" s="3" t="s">
        <v>23</v>
      </c>
      <c r="D1059" s="3" t="s">
        <v>38</v>
      </c>
      <c r="E1059" s="3" t="s">
        <v>25</v>
      </c>
      <c r="F1059" s="3" t="s">
        <v>25</v>
      </c>
      <c r="G1059" s="3" t="s">
        <v>25</v>
      </c>
      <c r="H1059" s="3" t="s">
        <v>25</v>
      </c>
      <c r="I1059" s="6">
        <v>44652</v>
      </c>
      <c r="J1059" s="4">
        <v>0</v>
      </c>
      <c r="K1059" s="4">
        <v>0</v>
      </c>
      <c r="L1059" s="4">
        <v>622.48699999999997</v>
      </c>
      <c r="M1059" s="4">
        <v>622.48699999999997</v>
      </c>
      <c r="N1059" s="4">
        <v>622.48699999999997</v>
      </c>
      <c r="O1059" s="4">
        <v>622.48699999999997</v>
      </c>
      <c r="P1059" s="4">
        <v>336</v>
      </c>
      <c r="Q1059" s="3" t="s">
        <v>26</v>
      </c>
      <c r="R1059" s="3">
        <v>0</v>
      </c>
      <c r="S1059" s="3" t="s">
        <v>322</v>
      </c>
      <c r="T1059" s="3" t="s">
        <v>540</v>
      </c>
      <c r="U1059" s="3">
        <v>0</v>
      </c>
      <c r="V1059" s="3">
        <v>33</v>
      </c>
      <c r="W1059" s="3">
        <v>87</v>
      </c>
    </row>
    <row r="1060" spans="1:23" ht="11.25" customHeight="1" x14ac:dyDescent="0.25">
      <c r="A1060" s="3" t="s">
        <v>28</v>
      </c>
      <c r="B1060" s="3" t="s">
        <v>37</v>
      </c>
      <c r="C1060" s="3" t="s">
        <v>23</v>
      </c>
      <c r="D1060" s="3" t="s">
        <v>38</v>
      </c>
      <c r="E1060" s="3" t="s">
        <v>25</v>
      </c>
      <c r="F1060" s="3" t="s">
        <v>25</v>
      </c>
      <c r="G1060" s="3" t="s">
        <v>25</v>
      </c>
      <c r="H1060" s="3" t="s">
        <v>25</v>
      </c>
      <c r="I1060" s="6">
        <v>44652</v>
      </c>
      <c r="J1060" s="4">
        <v>0</v>
      </c>
      <c r="K1060" s="4">
        <v>0</v>
      </c>
      <c r="L1060" s="4">
        <v>6.26</v>
      </c>
      <c r="M1060" s="4">
        <v>6.26</v>
      </c>
      <c r="N1060" s="4">
        <v>6.26</v>
      </c>
      <c r="O1060" s="4">
        <v>6.26</v>
      </c>
      <c r="P1060" s="4">
        <v>2</v>
      </c>
      <c r="Q1060" s="3" t="s">
        <v>26</v>
      </c>
      <c r="R1060" s="3">
        <v>0</v>
      </c>
      <c r="S1060" s="3" t="s">
        <v>322</v>
      </c>
      <c r="T1060" s="3" t="s">
        <v>540</v>
      </c>
      <c r="U1060" s="3">
        <v>0</v>
      </c>
      <c r="V1060" s="3">
        <v>33</v>
      </c>
      <c r="W1060" s="3">
        <v>87</v>
      </c>
    </row>
    <row r="1061" spans="1:23" ht="11.25" customHeight="1" x14ac:dyDescent="0.25">
      <c r="A1061" s="3" t="s">
        <v>21</v>
      </c>
      <c r="B1061" s="3" t="s">
        <v>37</v>
      </c>
      <c r="C1061" s="3" t="s">
        <v>23</v>
      </c>
      <c r="D1061" s="3" t="s">
        <v>38</v>
      </c>
      <c r="E1061" s="3" t="s">
        <v>25</v>
      </c>
      <c r="F1061" s="3" t="s">
        <v>25</v>
      </c>
      <c r="G1061" s="3" t="s">
        <v>25</v>
      </c>
      <c r="H1061" s="3" t="s">
        <v>25</v>
      </c>
      <c r="I1061" s="6">
        <v>44682</v>
      </c>
      <c r="J1061" s="4">
        <v>0</v>
      </c>
      <c r="K1061" s="4">
        <v>0</v>
      </c>
      <c r="L1061" s="4">
        <v>566.77200000000005</v>
      </c>
      <c r="M1061" s="4">
        <v>566.77200000000005</v>
      </c>
      <c r="N1061" s="4">
        <v>566.77200000000005</v>
      </c>
      <c r="O1061" s="4">
        <v>566.77200000000005</v>
      </c>
      <c r="P1061" s="4">
        <v>334</v>
      </c>
      <c r="Q1061" s="3" t="s">
        <v>26</v>
      </c>
      <c r="R1061" s="3">
        <v>0</v>
      </c>
      <c r="S1061" s="3" t="s">
        <v>323</v>
      </c>
      <c r="T1061" s="3" t="s">
        <v>541</v>
      </c>
      <c r="U1061" s="3">
        <v>0</v>
      </c>
      <c r="V1061" s="3">
        <v>33</v>
      </c>
      <c r="W1061" s="3">
        <v>87</v>
      </c>
    </row>
    <row r="1062" spans="1:23" ht="11.25" customHeight="1" x14ac:dyDescent="0.25">
      <c r="A1062" s="3" t="s">
        <v>27</v>
      </c>
      <c r="B1062" s="3" t="s">
        <v>37</v>
      </c>
      <c r="C1062" s="3" t="s">
        <v>23</v>
      </c>
      <c r="D1062" s="3" t="s">
        <v>38</v>
      </c>
      <c r="E1062" s="3" t="s">
        <v>25</v>
      </c>
      <c r="F1062" s="3" t="s">
        <v>25</v>
      </c>
      <c r="G1062" s="3" t="s">
        <v>25</v>
      </c>
      <c r="H1062" s="3" t="s">
        <v>25</v>
      </c>
      <c r="I1062" s="6">
        <v>44682</v>
      </c>
      <c r="J1062" s="4">
        <v>0</v>
      </c>
      <c r="K1062" s="4">
        <v>0</v>
      </c>
      <c r="L1062" s="4">
        <v>-2.74</v>
      </c>
      <c r="M1062" s="4">
        <v>-2.74</v>
      </c>
      <c r="N1062" s="4">
        <v>-2.74</v>
      </c>
      <c r="O1062" s="4">
        <v>-2.74</v>
      </c>
      <c r="P1062" s="4">
        <v>0</v>
      </c>
      <c r="Q1062" s="3" t="s">
        <v>26</v>
      </c>
      <c r="R1062" s="3">
        <v>0</v>
      </c>
      <c r="S1062" s="3" t="s">
        <v>323</v>
      </c>
      <c r="T1062" s="3" t="s">
        <v>541</v>
      </c>
      <c r="U1062" s="3">
        <v>0</v>
      </c>
      <c r="V1062" s="3">
        <v>33</v>
      </c>
      <c r="W1062" s="3">
        <v>87</v>
      </c>
    </row>
    <row r="1063" spans="1:23" ht="11.25" customHeight="1" x14ac:dyDescent="0.25">
      <c r="A1063" s="3" t="s">
        <v>28</v>
      </c>
      <c r="B1063" s="3" t="s">
        <v>37</v>
      </c>
      <c r="C1063" s="3" t="s">
        <v>23</v>
      </c>
      <c r="D1063" s="3" t="s">
        <v>38</v>
      </c>
      <c r="E1063" s="3" t="s">
        <v>25</v>
      </c>
      <c r="F1063" s="3" t="s">
        <v>25</v>
      </c>
      <c r="G1063" s="3" t="s">
        <v>25</v>
      </c>
      <c r="H1063" s="3" t="s">
        <v>25</v>
      </c>
      <c r="I1063" s="6">
        <v>44682</v>
      </c>
      <c r="J1063" s="4">
        <v>0</v>
      </c>
      <c r="K1063" s="4">
        <v>0</v>
      </c>
      <c r="L1063" s="4">
        <v>23.172000000000001</v>
      </c>
      <c r="M1063" s="4">
        <v>23.172000000000001</v>
      </c>
      <c r="N1063" s="4">
        <v>23.172000000000001</v>
      </c>
      <c r="O1063" s="4">
        <v>23.172000000000001</v>
      </c>
      <c r="P1063" s="4">
        <v>8</v>
      </c>
      <c r="Q1063" s="3" t="s">
        <v>26</v>
      </c>
      <c r="R1063" s="3">
        <v>0</v>
      </c>
      <c r="S1063" s="3" t="s">
        <v>323</v>
      </c>
      <c r="T1063" s="3" t="s">
        <v>541</v>
      </c>
      <c r="U1063" s="3">
        <v>0</v>
      </c>
      <c r="V1063" s="3">
        <v>33</v>
      </c>
      <c r="W1063" s="3">
        <v>87</v>
      </c>
    </row>
    <row r="1064" spans="1:23" ht="11.25" customHeight="1" x14ac:dyDescent="0.25">
      <c r="A1064" s="3" t="s">
        <v>21</v>
      </c>
      <c r="B1064" s="3" t="s">
        <v>37</v>
      </c>
      <c r="C1064" s="3" t="s">
        <v>23</v>
      </c>
      <c r="D1064" s="3" t="s">
        <v>38</v>
      </c>
      <c r="E1064" s="3" t="s">
        <v>25</v>
      </c>
      <c r="F1064" s="3" t="s">
        <v>25</v>
      </c>
      <c r="G1064" s="3" t="s">
        <v>25</v>
      </c>
      <c r="H1064" s="3" t="s">
        <v>25</v>
      </c>
      <c r="I1064" s="6">
        <v>44713</v>
      </c>
      <c r="J1064" s="4">
        <v>0</v>
      </c>
      <c r="K1064" s="4">
        <v>0</v>
      </c>
      <c r="L1064" s="4">
        <v>551.89300000000003</v>
      </c>
      <c r="M1064" s="4">
        <v>551.89300000000003</v>
      </c>
      <c r="N1064" s="4">
        <v>551.89300000000003</v>
      </c>
      <c r="O1064" s="4">
        <v>551.89300000000003</v>
      </c>
      <c r="P1064" s="4">
        <v>335</v>
      </c>
      <c r="Q1064" s="3" t="s">
        <v>26</v>
      </c>
      <c r="R1064" s="3">
        <v>0</v>
      </c>
      <c r="S1064" s="3" t="s">
        <v>324</v>
      </c>
      <c r="T1064" s="3" t="s">
        <v>542</v>
      </c>
      <c r="U1064" s="3">
        <v>0</v>
      </c>
      <c r="V1064" s="3">
        <v>33</v>
      </c>
      <c r="W1064" s="3">
        <v>87</v>
      </c>
    </row>
    <row r="1065" spans="1:23" ht="11.25" customHeight="1" x14ac:dyDescent="0.25">
      <c r="A1065" s="3" t="s">
        <v>28</v>
      </c>
      <c r="B1065" s="3" t="s">
        <v>37</v>
      </c>
      <c r="C1065" s="3" t="s">
        <v>23</v>
      </c>
      <c r="D1065" s="3" t="s">
        <v>38</v>
      </c>
      <c r="E1065" s="3" t="s">
        <v>25</v>
      </c>
      <c r="F1065" s="3" t="s">
        <v>25</v>
      </c>
      <c r="G1065" s="3" t="s">
        <v>25</v>
      </c>
      <c r="H1065" s="3" t="s">
        <v>25</v>
      </c>
      <c r="I1065" s="6">
        <v>44713</v>
      </c>
      <c r="J1065" s="4">
        <v>0</v>
      </c>
      <c r="K1065" s="4">
        <v>0</v>
      </c>
      <c r="L1065" s="4">
        <v>4.8869999999999996</v>
      </c>
      <c r="M1065" s="4">
        <v>4.8869999999999996</v>
      </c>
      <c r="N1065" s="4">
        <v>4.8869999999999996</v>
      </c>
      <c r="O1065" s="4">
        <v>4.8869999999999996</v>
      </c>
      <c r="P1065" s="4">
        <v>2</v>
      </c>
      <c r="Q1065" s="3" t="s">
        <v>26</v>
      </c>
      <c r="R1065" s="3">
        <v>0</v>
      </c>
      <c r="S1065" s="3" t="s">
        <v>324</v>
      </c>
      <c r="T1065" s="3" t="s">
        <v>542</v>
      </c>
      <c r="U1065" s="3">
        <v>0</v>
      </c>
      <c r="V1065" s="3">
        <v>33</v>
      </c>
      <c r="W1065" s="3">
        <v>87</v>
      </c>
    </row>
    <row r="1066" spans="1:23" ht="11.25" customHeight="1" x14ac:dyDescent="0.25">
      <c r="A1066" s="3" t="s">
        <v>21</v>
      </c>
      <c r="B1066" s="3" t="s">
        <v>37</v>
      </c>
      <c r="C1066" s="3" t="s">
        <v>23</v>
      </c>
      <c r="D1066" s="3" t="s">
        <v>38</v>
      </c>
      <c r="E1066" s="3" t="s">
        <v>25</v>
      </c>
      <c r="F1066" s="3" t="s">
        <v>25</v>
      </c>
      <c r="G1066" s="3" t="s">
        <v>25</v>
      </c>
      <c r="H1066" s="3" t="s">
        <v>25</v>
      </c>
      <c r="I1066" s="6">
        <v>44743</v>
      </c>
      <c r="J1066" s="4">
        <v>0</v>
      </c>
      <c r="K1066" s="4">
        <v>0</v>
      </c>
      <c r="L1066" s="4">
        <v>553.22799999999995</v>
      </c>
      <c r="M1066" s="4">
        <v>553.22799999999995</v>
      </c>
      <c r="N1066" s="4">
        <v>553.22799999999995</v>
      </c>
      <c r="O1066" s="4">
        <v>553.22799999999995</v>
      </c>
      <c r="P1066" s="4">
        <v>332</v>
      </c>
      <c r="Q1066" s="3" t="s">
        <v>26</v>
      </c>
      <c r="R1066" s="3">
        <v>0</v>
      </c>
      <c r="S1066" s="3" t="s">
        <v>325</v>
      </c>
      <c r="T1066" s="3" t="s">
        <v>543</v>
      </c>
      <c r="U1066" s="3">
        <v>0</v>
      </c>
      <c r="V1066" s="3">
        <v>33</v>
      </c>
      <c r="W1066" s="3">
        <v>87</v>
      </c>
    </row>
    <row r="1067" spans="1:23" ht="11.25" customHeight="1" x14ac:dyDescent="0.25">
      <c r="A1067" s="3" t="s">
        <v>27</v>
      </c>
      <c r="B1067" s="3" t="s">
        <v>37</v>
      </c>
      <c r="C1067" s="3" t="s">
        <v>23</v>
      </c>
      <c r="D1067" s="3" t="s">
        <v>38</v>
      </c>
      <c r="E1067" s="3" t="s">
        <v>25</v>
      </c>
      <c r="F1067" s="3" t="s">
        <v>25</v>
      </c>
      <c r="G1067" s="3" t="s">
        <v>25</v>
      </c>
      <c r="H1067" s="3" t="s">
        <v>25</v>
      </c>
      <c r="I1067" s="6">
        <v>44743</v>
      </c>
      <c r="J1067" s="4">
        <v>0</v>
      </c>
      <c r="K1067" s="4">
        <v>0</v>
      </c>
      <c r="L1067" s="4">
        <v>7.07</v>
      </c>
      <c r="M1067" s="4">
        <v>7.07</v>
      </c>
      <c r="N1067" s="4">
        <v>7.07</v>
      </c>
      <c r="O1067" s="4">
        <v>7.07</v>
      </c>
      <c r="P1067" s="4">
        <v>0</v>
      </c>
      <c r="Q1067" s="3" t="s">
        <v>26</v>
      </c>
      <c r="R1067" s="3">
        <v>0</v>
      </c>
      <c r="S1067" s="3" t="s">
        <v>325</v>
      </c>
      <c r="T1067" s="3" t="s">
        <v>543</v>
      </c>
      <c r="U1067" s="3">
        <v>0</v>
      </c>
      <c r="V1067" s="3">
        <v>33</v>
      </c>
      <c r="W1067" s="3">
        <v>87</v>
      </c>
    </row>
    <row r="1068" spans="1:23" ht="11.25" customHeight="1" x14ac:dyDescent="0.25">
      <c r="A1068" s="3" t="s">
        <v>28</v>
      </c>
      <c r="B1068" s="3" t="s">
        <v>37</v>
      </c>
      <c r="C1068" s="3" t="s">
        <v>23</v>
      </c>
      <c r="D1068" s="3" t="s">
        <v>38</v>
      </c>
      <c r="E1068" s="3" t="s">
        <v>25</v>
      </c>
      <c r="F1068" s="3" t="s">
        <v>25</v>
      </c>
      <c r="G1068" s="3" t="s">
        <v>25</v>
      </c>
      <c r="H1068" s="3" t="s">
        <v>25</v>
      </c>
      <c r="I1068" s="6">
        <v>44743</v>
      </c>
      <c r="J1068" s="4">
        <v>0</v>
      </c>
      <c r="K1068" s="4">
        <v>0</v>
      </c>
      <c r="L1068" s="4">
        <v>7.875</v>
      </c>
      <c r="M1068" s="4">
        <v>7.875</v>
      </c>
      <c r="N1068" s="4">
        <v>7.875</v>
      </c>
      <c r="O1068" s="4">
        <v>7.875</v>
      </c>
      <c r="P1068" s="4">
        <v>2</v>
      </c>
      <c r="Q1068" s="3" t="s">
        <v>26</v>
      </c>
      <c r="R1068" s="3">
        <v>0</v>
      </c>
      <c r="S1068" s="3" t="s">
        <v>325</v>
      </c>
      <c r="T1068" s="3" t="s">
        <v>543</v>
      </c>
      <c r="U1068" s="3">
        <v>0</v>
      </c>
      <c r="V1068" s="3">
        <v>33</v>
      </c>
      <c r="W1068" s="3">
        <v>87</v>
      </c>
    </row>
    <row r="1069" spans="1:23" ht="11.25" customHeight="1" x14ac:dyDescent="0.25">
      <c r="A1069" s="3" t="s">
        <v>21</v>
      </c>
      <c r="B1069" s="3" t="s">
        <v>37</v>
      </c>
      <c r="C1069" s="3" t="s">
        <v>23</v>
      </c>
      <c r="D1069" s="3" t="s">
        <v>38</v>
      </c>
      <c r="E1069" s="3" t="s">
        <v>25</v>
      </c>
      <c r="F1069" s="3" t="s">
        <v>25</v>
      </c>
      <c r="G1069" s="3" t="s">
        <v>25</v>
      </c>
      <c r="H1069" s="3" t="s">
        <v>25</v>
      </c>
      <c r="I1069" s="6">
        <v>44774</v>
      </c>
      <c r="J1069" s="4">
        <v>0</v>
      </c>
      <c r="K1069" s="4">
        <v>0</v>
      </c>
      <c r="L1069" s="4">
        <v>594.38</v>
      </c>
      <c r="M1069" s="4">
        <v>594.38</v>
      </c>
      <c r="N1069" s="4">
        <v>594.38</v>
      </c>
      <c r="O1069" s="4">
        <v>594.38</v>
      </c>
      <c r="P1069" s="4">
        <v>333</v>
      </c>
      <c r="Q1069" s="3" t="s">
        <v>26</v>
      </c>
      <c r="R1069" s="3">
        <v>0</v>
      </c>
      <c r="S1069" s="3" t="s">
        <v>326</v>
      </c>
      <c r="T1069" s="3" t="s">
        <v>544</v>
      </c>
      <c r="U1069" s="3">
        <v>0</v>
      </c>
      <c r="V1069" s="3">
        <v>33</v>
      </c>
      <c r="W1069" s="3">
        <v>87</v>
      </c>
    </row>
    <row r="1070" spans="1:23" ht="11.25" customHeight="1" x14ac:dyDescent="0.25">
      <c r="A1070" s="3" t="s">
        <v>27</v>
      </c>
      <c r="B1070" s="3" t="s">
        <v>37</v>
      </c>
      <c r="C1070" s="3" t="s">
        <v>23</v>
      </c>
      <c r="D1070" s="3" t="s">
        <v>38</v>
      </c>
      <c r="E1070" s="3" t="s">
        <v>25</v>
      </c>
      <c r="F1070" s="3" t="s">
        <v>25</v>
      </c>
      <c r="G1070" s="3" t="s">
        <v>25</v>
      </c>
      <c r="H1070" s="3" t="s">
        <v>25</v>
      </c>
      <c r="I1070" s="6">
        <v>44774</v>
      </c>
      <c r="J1070" s="4">
        <v>0</v>
      </c>
      <c r="K1070" s="4">
        <v>0</v>
      </c>
      <c r="L1070" s="4">
        <v>-0.4</v>
      </c>
      <c r="M1070" s="4">
        <v>-0.4</v>
      </c>
      <c r="N1070" s="4">
        <v>-0.4</v>
      </c>
      <c r="O1070" s="4">
        <v>-0.4</v>
      </c>
      <c r="P1070" s="4">
        <v>-8</v>
      </c>
      <c r="Q1070" s="3" t="s">
        <v>26</v>
      </c>
      <c r="R1070" s="3">
        <v>0</v>
      </c>
      <c r="S1070" s="3" t="s">
        <v>326</v>
      </c>
      <c r="T1070" s="3" t="s">
        <v>544</v>
      </c>
      <c r="U1070" s="3">
        <v>0</v>
      </c>
      <c r="V1070" s="3">
        <v>33</v>
      </c>
      <c r="W1070" s="3">
        <v>87</v>
      </c>
    </row>
    <row r="1071" spans="1:23" ht="11.25" customHeight="1" x14ac:dyDescent="0.25">
      <c r="A1071" s="3" t="s">
        <v>28</v>
      </c>
      <c r="B1071" s="3" t="s">
        <v>37</v>
      </c>
      <c r="C1071" s="3" t="s">
        <v>23</v>
      </c>
      <c r="D1071" s="3" t="s">
        <v>38</v>
      </c>
      <c r="E1071" s="3" t="s">
        <v>25</v>
      </c>
      <c r="F1071" s="3" t="s">
        <v>25</v>
      </c>
      <c r="G1071" s="3" t="s">
        <v>25</v>
      </c>
      <c r="H1071" s="3" t="s">
        <v>25</v>
      </c>
      <c r="I1071" s="6">
        <v>44774</v>
      </c>
      <c r="J1071" s="4">
        <v>0</v>
      </c>
      <c r="K1071" s="4">
        <v>0</v>
      </c>
      <c r="L1071" s="4">
        <v>8.7149999999999999</v>
      </c>
      <c r="M1071" s="4">
        <v>8.7149999999999999</v>
      </c>
      <c r="N1071" s="4">
        <v>8.7149999999999999</v>
      </c>
      <c r="O1071" s="4">
        <v>8.7149999999999999</v>
      </c>
      <c r="P1071" s="4">
        <v>2</v>
      </c>
      <c r="Q1071" s="3" t="s">
        <v>26</v>
      </c>
      <c r="R1071" s="3">
        <v>0</v>
      </c>
      <c r="S1071" s="3" t="s">
        <v>326</v>
      </c>
      <c r="T1071" s="3" t="s">
        <v>544</v>
      </c>
      <c r="U1071" s="3">
        <v>0</v>
      </c>
      <c r="V1071" s="3">
        <v>33</v>
      </c>
      <c r="W1071" s="3">
        <v>87</v>
      </c>
    </row>
    <row r="1072" spans="1:23" ht="11.25" customHeight="1" x14ac:dyDescent="0.25">
      <c r="A1072" s="3" t="s">
        <v>21</v>
      </c>
      <c r="B1072" s="3" t="s">
        <v>37</v>
      </c>
      <c r="C1072" s="3" t="s">
        <v>23</v>
      </c>
      <c r="D1072" s="3" t="s">
        <v>38</v>
      </c>
      <c r="E1072" s="3" t="s">
        <v>25</v>
      </c>
      <c r="F1072" s="3" t="s">
        <v>25</v>
      </c>
      <c r="G1072" s="3" t="s">
        <v>25</v>
      </c>
      <c r="H1072" s="3" t="s">
        <v>25</v>
      </c>
      <c r="I1072" s="6">
        <v>44805</v>
      </c>
      <c r="J1072" s="4">
        <v>0</v>
      </c>
      <c r="K1072" s="4">
        <v>0</v>
      </c>
      <c r="L1072" s="4">
        <v>609.09699999999998</v>
      </c>
      <c r="M1072" s="4">
        <v>609.09699999999998</v>
      </c>
      <c r="N1072" s="4">
        <v>609.09699999999998</v>
      </c>
      <c r="O1072" s="4">
        <v>609.09699999999998</v>
      </c>
      <c r="P1072" s="4">
        <v>332</v>
      </c>
      <c r="Q1072" s="3" t="s">
        <v>26</v>
      </c>
      <c r="R1072" s="3">
        <v>0</v>
      </c>
      <c r="S1072" s="3" t="s">
        <v>327</v>
      </c>
      <c r="T1072" s="3" t="s">
        <v>545</v>
      </c>
      <c r="U1072" s="3">
        <v>0</v>
      </c>
      <c r="V1072" s="3">
        <v>33</v>
      </c>
      <c r="W1072" s="3">
        <v>87</v>
      </c>
    </row>
    <row r="1073" spans="1:23" ht="11.25" customHeight="1" x14ac:dyDescent="0.25">
      <c r="A1073" s="3" t="s">
        <v>28</v>
      </c>
      <c r="B1073" s="3" t="s">
        <v>37</v>
      </c>
      <c r="C1073" s="3" t="s">
        <v>23</v>
      </c>
      <c r="D1073" s="3" t="s">
        <v>38</v>
      </c>
      <c r="E1073" s="3" t="s">
        <v>25</v>
      </c>
      <c r="F1073" s="3" t="s">
        <v>25</v>
      </c>
      <c r="G1073" s="3" t="s">
        <v>25</v>
      </c>
      <c r="H1073" s="3" t="s">
        <v>25</v>
      </c>
      <c r="I1073" s="6">
        <v>44805</v>
      </c>
      <c r="J1073" s="4">
        <v>0</v>
      </c>
      <c r="K1073" s="4">
        <v>0</v>
      </c>
      <c r="L1073" s="4">
        <v>14.805</v>
      </c>
      <c r="M1073" s="4">
        <v>14.805</v>
      </c>
      <c r="N1073" s="4">
        <v>14.805</v>
      </c>
      <c r="O1073" s="4">
        <v>14.805</v>
      </c>
      <c r="P1073" s="4">
        <v>3</v>
      </c>
      <c r="Q1073" s="3" t="s">
        <v>26</v>
      </c>
      <c r="R1073" s="3">
        <v>0</v>
      </c>
      <c r="S1073" s="3" t="s">
        <v>327</v>
      </c>
      <c r="T1073" s="3" t="s">
        <v>545</v>
      </c>
      <c r="U1073" s="3">
        <v>0</v>
      </c>
      <c r="V1073" s="3">
        <v>33</v>
      </c>
      <c r="W1073" s="3">
        <v>87</v>
      </c>
    </row>
    <row r="1074" spans="1:23" ht="11.25" customHeight="1" x14ac:dyDescent="0.25">
      <c r="A1074" s="3" t="s">
        <v>55</v>
      </c>
      <c r="B1074" s="3" t="s">
        <v>37</v>
      </c>
      <c r="C1074" s="3" t="s">
        <v>23</v>
      </c>
      <c r="D1074" s="3" t="s">
        <v>38</v>
      </c>
      <c r="E1074" s="3" t="s">
        <v>25</v>
      </c>
      <c r="F1074" s="3" t="s">
        <v>25</v>
      </c>
      <c r="G1074" s="3" t="s">
        <v>25</v>
      </c>
      <c r="H1074" s="3" t="s">
        <v>25</v>
      </c>
      <c r="I1074" s="6">
        <v>44835</v>
      </c>
      <c r="J1074" s="4">
        <v>0</v>
      </c>
      <c r="K1074" s="4">
        <v>0</v>
      </c>
      <c r="L1074" s="4">
        <v>609.09699999999998</v>
      </c>
      <c r="M1074" s="4">
        <v>609.09699999999998</v>
      </c>
      <c r="N1074" s="4">
        <v>609.09699999999998</v>
      </c>
      <c r="O1074" s="4">
        <v>609.09699999999998</v>
      </c>
      <c r="P1074" s="4">
        <v>332</v>
      </c>
      <c r="Q1074" s="3" t="s">
        <v>26</v>
      </c>
      <c r="R1074" s="3">
        <v>0</v>
      </c>
      <c r="S1074" s="3" t="s">
        <v>328</v>
      </c>
      <c r="T1074" s="3" t="s">
        <v>546</v>
      </c>
      <c r="U1074" s="3">
        <v>0</v>
      </c>
      <c r="V1074" s="3">
        <v>33</v>
      </c>
      <c r="W1074" s="3">
        <v>87</v>
      </c>
    </row>
    <row r="1075" spans="1:23" ht="11.25" customHeight="1" x14ac:dyDescent="0.25">
      <c r="A1075" s="3" t="s">
        <v>55</v>
      </c>
      <c r="B1075" s="3" t="s">
        <v>37</v>
      </c>
      <c r="C1075" s="3" t="s">
        <v>23</v>
      </c>
      <c r="D1075" s="3" t="s">
        <v>38</v>
      </c>
      <c r="E1075" s="3" t="s">
        <v>25</v>
      </c>
      <c r="F1075" s="3" t="s">
        <v>25</v>
      </c>
      <c r="G1075" s="3" t="s">
        <v>25</v>
      </c>
      <c r="H1075" s="3" t="s">
        <v>25</v>
      </c>
      <c r="I1075" s="6">
        <v>44835</v>
      </c>
      <c r="J1075" s="4">
        <v>0</v>
      </c>
      <c r="K1075" s="4">
        <v>0</v>
      </c>
      <c r="L1075" s="4">
        <v>14.805</v>
      </c>
      <c r="M1075" s="4">
        <v>14.805</v>
      </c>
      <c r="N1075" s="4">
        <v>14.805</v>
      </c>
      <c r="O1075" s="4">
        <v>14.805</v>
      </c>
      <c r="P1075" s="4">
        <v>3</v>
      </c>
      <c r="Q1075" s="3" t="s">
        <v>26</v>
      </c>
      <c r="R1075" s="3">
        <v>0</v>
      </c>
      <c r="S1075" s="3" t="s">
        <v>328</v>
      </c>
      <c r="T1075" s="3" t="s">
        <v>546</v>
      </c>
      <c r="U1075" s="3">
        <v>0</v>
      </c>
      <c r="V1075" s="3">
        <v>33</v>
      </c>
      <c r="W1075" s="3">
        <v>87</v>
      </c>
    </row>
    <row r="1076" spans="1:23" ht="11.25" customHeight="1" x14ac:dyDescent="0.25">
      <c r="A1076" s="3" t="s">
        <v>21</v>
      </c>
      <c r="B1076" s="3" t="s">
        <v>37</v>
      </c>
      <c r="C1076" s="3" t="s">
        <v>23</v>
      </c>
      <c r="D1076" s="3" t="s">
        <v>45</v>
      </c>
      <c r="E1076" s="3" t="s">
        <v>25</v>
      </c>
      <c r="F1076" s="3" t="s">
        <v>25</v>
      </c>
      <c r="G1076" s="3" t="s">
        <v>25</v>
      </c>
      <c r="H1076" s="3" t="s">
        <v>25</v>
      </c>
      <c r="I1076" s="6">
        <v>44501</v>
      </c>
      <c r="J1076" s="4">
        <v>0</v>
      </c>
      <c r="K1076" s="4">
        <v>0</v>
      </c>
      <c r="L1076" s="4">
        <v>1688.6949999999999</v>
      </c>
      <c r="M1076" s="4">
        <v>1688.6949999999999</v>
      </c>
      <c r="N1076" s="4">
        <v>1688.6949999999999</v>
      </c>
      <c r="O1076" s="4">
        <v>1688.6949999999999</v>
      </c>
      <c r="P1076" s="4">
        <v>1600</v>
      </c>
      <c r="Q1076" s="3" t="s">
        <v>26</v>
      </c>
      <c r="R1076" s="3">
        <v>0</v>
      </c>
      <c r="S1076" s="3" t="s">
        <v>317</v>
      </c>
      <c r="T1076" s="3" t="s">
        <v>535</v>
      </c>
      <c r="U1076" s="3">
        <v>0</v>
      </c>
      <c r="V1076" s="3">
        <v>33</v>
      </c>
      <c r="W1076" s="3">
        <v>87</v>
      </c>
    </row>
    <row r="1077" spans="1:23" ht="11.25" customHeight="1" x14ac:dyDescent="0.25">
      <c r="A1077" s="3" t="s">
        <v>27</v>
      </c>
      <c r="B1077" s="3" t="s">
        <v>37</v>
      </c>
      <c r="C1077" s="3" t="s">
        <v>23</v>
      </c>
      <c r="D1077" s="3" t="s">
        <v>45</v>
      </c>
      <c r="E1077" s="3" t="s">
        <v>25</v>
      </c>
      <c r="F1077" s="3" t="s">
        <v>25</v>
      </c>
      <c r="G1077" s="3" t="s">
        <v>25</v>
      </c>
      <c r="H1077" s="3" t="s">
        <v>25</v>
      </c>
      <c r="I1077" s="6">
        <v>44501</v>
      </c>
      <c r="J1077" s="4">
        <v>0</v>
      </c>
      <c r="K1077" s="4">
        <v>0</v>
      </c>
      <c r="L1077" s="4">
        <v>19.978999999999999</v>
      </c>
      <c r="M1077" s="4">
        <v>19.978999999999999</v>
      </c>
      <c r="N1077" s="4">
        <v>19.978999999999999</v>
      </c>
      <c r="O1077" s="4">
        <v>19.978999999999999</v>
      </c>
      <c r="P1077" s="4">
        <v>2</v>
      </c>
      <c r="Q1077" s="3" t="s">
        <v>26</v>
      </c>
      <c r="R1077" s="3">
        <v>0</v>
      </c>
      <c r="S1077" s="3" t="s">
        <v>317</v>
      </c>
      <c r="T1077" s="3" t="s">
        <v>535</v>
      </c>
      <c r="U1077" s="3">
        <v>0</v>
      </c>
      <c r="V1077" s="3">
        <v>33</v>
      </c>
      <c r="W1077" s="3">
        <v>87</v>
      </c>
    </row>
    <row r="1078" spans="1:23" ht="11.25" customHeight="1" x14ac:dyDescent="0.25">
      <c r="A1078" s="3" t="s">
        <v>28</v>
      </c>
      <c r="B1078" s="3" t="s">
        <v>37</v>
      </c>
      <c r="C1078" s="3" t="s">
        <v>23</v>
      </c>
      <c r="D1078" s="3" t="s">
        <v>45</v>
      </c>
      <c r="E1078" s="3" t="s">
        <v>25</v>
      </c>
      <c r="F1078" s="3" t="s">
        <v>25</v>
      </c>
      <c r="G1078" s="3" t="s">
        <v>25</v>
      </c>
      <c r="H1078" s="3" t="s">
        <v>25</v>
      </c>
      <c r="I1078" s="6">
        <v>44501</v>
      </c>
      <c r="J1078" s="4">
        <v>0</v>
      </c>
      <c r="K1078" s="4">
        <v>0</v>
      </c>
      <c r="L1078" s="4">
        <v>841.68600000000004</v>
      </c>
      <c r="M1078" s="4">
        <v>841.68600000000004</v>
      </c>
      <c r="N1078" s="4">
        <v>841.68600000000004</v>
      </c>
      <c r="O1078" s="4">
        <v>841.68600000000004</v>
      </c>
      <c r="P1078" s="4">
        <v>238</v>
      </c>
      <c r="Q1078" s="3" t="s">
        <v>26</v>
      </c>
      <c r="R1078" s="3">
        <v>0</v>
      </c>
      <c r="S1078" s="3" t="s">
        <v>317</v>
      </c>
      <c r="T1078" s="3" t="s">
        <v>535</v>
      </c>
      <c r="U1078" s="3">
        <v>0</v>
      </c>
      <c r="V1078" s="3">
        <v>33</v>
      </c>
      <c r="W1078" s="3">
        <v>87</v>
      </c>
    </row>
    <row r="1079" spans="1:23" ht="11.25" customHeight="1" x14ac:dyDescent="0.25">
      <c r="A1079" s="3" t="s">
        <v>28</v>
      </c>
      <c r="B1079" s="3" t="s">
        <v>37</v>
      </c>
      <c r="C1079" s="3" t="s">
        <v>23</v>
      </c>
      <c r="D1079" s="3" t="s">
        <v>45</v>
      </c>
      <c r="E1079" s="3" t="s">
        <v>25</v>
      </c>
      <c r="F1079" s="3" t="s">
        <v>25</v>
      </c>
      <c r="G1079" s="3" t="s">
        <v>25</v>
      </c>
      <c r="H1079" s="3" t="s">
        <v>25</v>
      </c>
      <c r="I1079" s="6">
        <v>44501</v>
      </c>
      <c r="J1079" s="4">
        <v>0</v>
      </c>
      <c r="K1079" s="4">
        <v>0</v>
      </c>
      <c r="L1079" s="4">
        <v>-0.52100000000000002</v>
      </c>
      <c r="M1079" s="4">
        <v>-0.52100000000000002</v>
      </c>
      <c r="N1079" s="4">
        <v>-0.52100000000000002</v>
      </c>
      <c r="O1079" s="4">
        <v>-0.52100000000000002</v>
      </c>
      <c r="P1079" s="4">
        <v>0</v>
      </c>
      <c r="Q1079" s="3" t="s">
        <v>26</v>
      </c>
      <c r="R1079" s="3">
        <v>0</v>
      </c>
      <c r="S1079" s="3" t="s">
        <v>317</v>
      </c>
      <c r="T1079" s="3" t="s">
        <v>535</v>
      </c>
      <c r="U1079" s="3">
        <v>0</v>
      </c>
      <c r="V1079" s="3">
        <v>33</v>
      </c>
      <c r="W1079" s="3">
        <v>87</v>
      </c>
    </row>
    <row r="1080" spans="1:23" ht="11.25" customHeight="1" x14ac:dyDescent="0.25">
      <c r="A1080" s="3" t="s">
        <v>21</v>
      </c>
      <c r="B1080" s="3" t="s">
        <v>37</v>
      </c>
      <c r="C1080" s="3" t="s">
        <v>23</v>
      </c>
      <c r="D1080" s="3" t="s">
        <v>45</v>
      </c>
      <c r="E1080" s="3" t="s">
        <v>25</v>
      </c>
      <c r="F1080" s="3" t="s">
        <v>25</v>
      </c>
      <c r="G1080" s="3" t="s">
        <v>25</v>
      </c>
      <c r="H1080" s="3" t="s">
        <v>25</v>
      </c>
      <c r="I1080" s="6">
        <v>44531</v>
      </c>
      <c r="J1080" s="4">
        <v>0</v>
      </c>
      <c r="K1080" s="4">
        <v>0</v>
      </c>
      <c r="L1080" s="4">
        <v>1591.17</v>
      </c>
      <c r="M1080" s="4">
        <v>1591.17</v>
      </c>
      <c r="N1080" s="4">
        <v>1591.17</v>
      </c>
      <c r="O1080" s="4">
        <v>1591.17</v>
      </c>
      <c r="P1080" s="4">
        <v>1603</v>
      </c>
      <c r="Q1080" s="3" t="s">
        <v>26</v>
      </c>
      <c r="R1080" s="3">
        <v>0</v>
      </c>
      <c r="S1080" s="3" t="s">
        <v>318</v>
      </c>
      <c r="T1080" s="3" t="s">
        <v>536</v>
      </c>
      <c r="U1080" s="3">
        <v>0</v>
      </c>
      <c r="V1080" s="3">
        <v>33</v>
      </c>
      <c r="W1080" s="3">
        <v>87</v>
      </c>
    </row>
    <row r="1081" spans="1:23" ht="11.25" customHeight="1" x14ac:dyDescent="0.25">
      <c r="A1081" s="3" t="s">
        <v>27</v>
      </c>
      <c r="B1081" s="3" t="s">
        <v>37</v>
      </c>
      <c r="C1081" s="3" t="s">
        <v>23</v>
      </c>
      <c r="D1081" s="3" t="s">
        <v>45</v>
      </c>
      <c r="E1081" s="3" t="s">
        <v>25</v>
      </c>
      <c r="F1081" s="3" t="s">
        <v>25</v>
      </c>
      <c r="G1081" s="3" t="s">
        <v>25</v>
      </c>
      <c r="H1081" s="3" t="s">
        <v>25</v>
      </c>
      <c r="I1081" s="6">
        <v>44531</v>
      </c>
      <c r="J1081" s="4">
        <v>0</v>
      </c>
      <c r="K1081" s="4">
        <v>0</v>
      </c>
      <c r="L1081" s="4">
        <v>3.7080000000000002</v>
      </c>
      <c r="M1081" s="4">
        <v>3.7080000000000002</v>
      </c>
      <c r="N1081" s="4">
        <v>3.7080000000000002</v>
      </c>
      <c r="O1081" s="4">
        <v>3.7080000000000002</v>
      </c>
      <c r="P1081" s="4">
        <v>4</v>
      </c>
      <c r="Q1081" s="3" t="s">
        <v>26</v>
      </c>
      <c r="R1081" s="3">
        <v>0</v>
      </c>
      <c r="S1081" s="3" t="s">
        <v>318</v>
      </c>
      <c r="T1081" s="3" t="s">
        <v>536</v>
      </c>
      <c r="U1081" s="3">
        <v>0</v>
      </c>
      <c r="V1081" s="3">
        <v>33</v>
      </c>
      <c r="W1081" s="3">
        <v>87</v>
      </c>
    </row>
    <row r="1082" spans="1:23" ht="11.25" customHeight="1" x14ac:dyDescent="0.25">
      <c r="A1082" s="3" t="s">
        <v>28</v>
      </c>
      <c r="B1082" s="3" t="s">
        <v>37</v>
      </c>
      <c r="C1082" s="3" t="s">
        <v>23</v>
      </c>
      <c r="D1082" s="3" t="s">
        <v>45</v>
      </c>
      <c r="E1082" s="3" t="s">
        <v>25</v>
      </c>
      <c r="F1082" s="3" t="s">
        <v>25</v>
      </c>
      <c r="G1082" s="3" t="s">
        <v>25</v>
      </c>
      <c r="H1082" s="3" t="s">
        <v>25</v>
      </c>
      <c r="I1082" s="6">
        <v>44531</v>
      </c>
      <c r="J1082" s="4">
        <v>0</v>
      </c>
      <c r="K1082" s="4">
        <v>0</v>
      </c>
      <c r="L1082" s="4">
        <v>781.03800000000001</v>
      </c>
      <c r="M1082" s="4">
        <v>781.03800000000001</v>
      </c>
      <c r="N1082" s="4">
        <v>781.03800000000001</v>
      </c>
      <c r="O1082" s="4">
        <v>781.03800000000001</v>
      </c>
      <c r="P1082" s="4">
        <v>237</v>
      </c>
      <c r="Q1082" s="3" t="s">
        <v>26</v>
      </c>
      <c r="R1082" s="3">
        <v>0</v>
      </c>
      <c r="S1082" s="3" t="s">
        <v>318</v>
      </c>
      <c r="T1082" s="3" t="s">
        <v>536</v>
      </c>
      <c r="U1082" s="3">
        <v>0</v>
      </c>
      <c r="V1082" s="3">
        <v>33</v>
      </c>
      <c r="W1082" s="3">
        <v>87</v>
      </c>
    </row>
    <row r="1083" spans="1:23" ht="11.25" customHeight="1" x14ac:dyDescent="0.25">
      <c r="A1083" s="3" t="s">
        <v>28</v>
      </c>
      <c r="B1083" s="3" t="s">
        <v>37</v>
      </c>
      <c r="C1083" s="3" t="s">
        <v>23</v>
      </c>
      <c r="D1083" s="3" t="s">
        <v>45</v>
      </c>
      <c r="E1083" s="3" t="s">
        <v>25</v>
      </c>
      <c r="F1083" s="3" t="s">
        <v>25</v>
      </c>
      <c r="G1083" s="3" t="s">
        <v>25</v>
      </c>
      <c r="H1083" s="3" t="s">
        <v>25</v>
      </c>
      <c r="I1083" s="6">
        <v>44531</v>
      </c>
      <c r="J1083" s="4">
        <v>0</v>
      </c>
      <c r="K1083" s="4">
        <v>0</v>
      </c>
      <c r="L1083" s="4">
        <v>-0.1</v>
      </c>
      <c r="M1083" s="4">
        <v>-0.1</v>
      </c>
      <c r="N1083" s="4">
        <v>-0.1</v>
      </c>
      <c r="O1083" s="4">
        <v>-0.1</v>
      </c>
      <c r="P1083" s="4">
        <v>0</v>
      </c>
      <c r="Q1083" s="3" t="s">
        <v>26</v>
      </c>
      <c r="R1083" s="3">
        <v>0</v>
      </c>
      <c r="S1083" s="3" t="s">
        <v>318</v>
      </c>
      <c r="T1083" s="3" t="s">
        <v>536</v>
      </c>
      <c r="U1083" s="3">
        <v>0</v>
      </c>
      <c r="V1083" s="3">
        <v>33</v>
      </c>
      <c r="W1083" s="3">
        <v>87</v>
      </c>
    </row>
    <row r="1084" spans="1:23" ht="11.25" customHeight="1" x14ac:dyDescent="0.25">
      <c r="A1084" s="3" t="s">
        <v>21</v>
      </c>
      <c r="B1084" s="3" t="s">
        <v>37</v>
      </c>
      <c r="C1084" s="3" t="s">
        <v>23</v>
      </c>
      <c r="D1084" s="3" t="s">
        <v>45</v>
      </c>
      <c r="E1084" s="3" t="s">
        <v>25</v>
      </c>
      <c r="F1084" s="3" t="s">
        <v>25</v>
      </c>
      <c r="G1084" s="3" t="s">
        <v>25</v>
      </c>
      <c r="H1084" s="3" t="s">
        <v>25</v>
      </c>
      <c r="I1084" s="6">
        <v>44562</v>
      </c>
      <c r="J1084" s="4">
        <v>0</v>
      </c>
      <c r="K1084" s="4">
        <v>0</v>
      </c>
      <c r="L1084" s="4">
        <v>1404.723</v>
      </c>
      <c r="M1084" s="4">
        <v>1404.723</v>
      </c>
      <c r="N1084" s="4">
        <v>1404.723</v>
      </c>
      <c r="O1084" s="4">
        <v>1404.723</v>
      </c>
      <c r="P1084" s="4">
        <v>1613</v>
      </c>
      <c r="Q1084" s="3" t="s">
        <v>26</v>
      </c>
      <c r="R1084" s="3">
        <v>0</v>
      </c>
      <c r="S1084" s="3" t="s">
        <v>319</v>
      </c>
      <c r="T1084" s="3" t="s">
        <v>537</v>
      </c>
      <c r="U1084" s="3">
        <v>0</v>
      </c>
      <c r="V1084" s="3">
        <v>33</v>
      </c>
      <c r="W1084" s="3">
        <v>87</v>
      </c>
    </row>
    <row r="1085" spans="1:23" ht="11.25" customHeight="1" x14ac:dyDescent="0.25">
      <c r="A1085" s="3" t="s">
        <v>27</v>
      </c>
      <c r="B1085" s="3" t="s">
        <v>37</v>
      </c>
      <c r="C1085" s="3" t="s">
        <v>23</v>
      </c>
      <c r="D1085" s="3" t="s">
        <v>45</v>
      </c>
      <c r="E1085" s="3" t="s">
        <v>25</v>
      </c>
      <c r="F1085" s="3" t="s">
        <v>25</v>
      </c>
      <c r="G1085" s="3" t="s">
        <v>25</v>
      </c>
      <c r="H1085" s="3" t="s">
        <v>25</v>
      </c>
      <c r="I1085" s="6">
        <v>44562</v>
      </c>
      <c r="J1085" s="4">
        <v>0</v>
      </c>
      <c r="K1085" s="4">
        <v>0</v>
      </c>
      <c r="L1085" s="4">
        <v>5.4480000000000004</v>
      </c>
      <c r="M1085" s="4">
        <v>5.4480000000000004</v>
      </c>
      <c r="N1085" s="4">
        <v>5.4480000000000004</v>
      </c>
      <c r="O1085" s="4">
        <v>5.4480000000000004</v>
      </c>
      <c r="P1085" s="4">
        <v>4</v>
      </c>
      <c r="Q1085" s="3" t="s">
        <v>26</v>
      </c>
      <c r="R1085" s="3">
        <v>0</v>
      </c>
      <c r="S1085" s="3" t="s">
        <v>319</v>
      </c>
      <c r="T1085" s="3" t="s">
        <v>537</v>
      </c>
      <c r="U1085" s="3">
        <v>0</v>
      </c>
      <c r="V1085" s="3">
        <v>33</v>
      </c>
      <c r="W1085" s="3">
        <v>87</v>
      </c>
    </row>
    <row r="1086" spans="1:23" ht="11.25" customHeight="1" x14ac:dyDescent="0.25">
      <c r="A1086" s="3" t="s">
        <v>28</v>
      </c>
      <c r="B1086" s="3" t="s">
        <v>37</v>
      </c>
      <c r="C1086" s="3" t="s">
        <v>23</v>
      </c>
      <c r="D1086" s="3" t="s">
        <v>45</v>
      </c>
      <c r="E1086" s="3" t="s">
        <v>25</v>
      </c>
      <c r="F1086" s="3" t="s">
        <v>25</v>
      </c>
      <c r="G1086" s="3" t="s">
        <v>25</v>
      </c>
      <c r="H1086" s="3" t="s">
        <v>25</v>
      </c>
      <c r="I1086" s="6">
        <v>44562</v>
      </c>
      <c r="J1086" s="4">
        <v>0</v>
      </c>
      <c r="K1086" s="4">
        <v>0</v>
      </c>
      <c r="L1086" s="4">
        <v>582.83699999999999</v>
      </c>
      <c r="M1086" s="4">
        <v>582.83699999999999</v>
      </c>
      <c r="N1086" s="4">
        <v>582.83699999999999</v>
      </c>
      <c r="O1086" s="4">
        <v>582.83699999999999</v>
      </c>
      <c r="P1086" s="4">
        <v>236</v>
      </c>
      <c r="Q1086" s="3" t="s">
        <v>26</v>
      </c>
      <c r="R1086" s="3">
        <v>0</v>
      </c>
      <c r="S1086" s="3" t="s">
        <v>319</v>
      </c>
      <c r="T1086" s="3" t="s">
        <v>537</v>
      </c>
      <c r="U1086" s="3">
        <v>0</v>
      </c>
      <c r="V1086" s="3">
        <v>33</v>
      </c>
      <c r="W1086" s="3">
        <v>87</v>
      </c>
    </row>
    <row r="1087" spans="1:23" ht="11.25" customHeight="1" x14ac:dyDescent="0.25">
      <c r="A1087" s="3" t="s">
        <v>21</v>
      </c>
      <c r="B1087" s="3" t="s">
        <v>37</v>
      </c>
      <c r="C1087" s="3" t="s">
        <v>23</v>
      </c>
      <c r="D1087" s="3" t="s">
        <v>45</v>
      </c>
      <c r="E1087" s="3" t="s">
        <v>25</v>
      </c>
      <c r="F1087" s="3" t="s">
        <v>25</v>
      </c>
      <c r="G1087" s="3" t="s">
        <v>25</v>
      </c>
      <c r="H1087" s="3" t="s">
        <v>25</v>
      </c>
      <c r="I1087" s="6">
        <v>44593</v>
      </c>
      <c r="J1087" s="4">
        <v>0</v>
      </c>
      <c r="K1087" s="4">
        <v>0</v>
      </c>
      <c r="L1087" s="4">
        <v>1523.3779999999999</v>
      </c>
      <c r="M1087" s="4">
        <v>1523.3779999999999</v>
      </c>
      <c r="N1087" s="4">
        <v>1523.3779999999999</v>
      </c>
      <c r="O1087" s="4">
        <v>1523.3779999999999</v>
      </c>
      <c r="P1087" s="4">
        <v>1612</v>
      </c>
      <c r="Q1087" s="3" t="s">
        <v>26</v>
      </c>
      <c r="R1087" s="3">
        <v>0</v>
      </c>
      <c r="S1087" s="3" t="s">
        <v>320</v>
      </c>
      <c r="T1087" s="3" t="s">
        <v>538</v>
      </c>
      <c r="U1087" s="3">
        <v>0</v>
      </c>
      <c r="V1087" s="3">
        <v>33</v>
      </c>
      <c r="W1087" s="3">
        <v>87</v>
      </c>
    </row>
    <row r="1088" spans="1:23" ht="11.25" customHeight="1" x14ac:dyDescent="0.25">
      <c r="A1088" s="3" t="s">
        <v>27</v>
      </c>
      <c r="B1088" s="3" t="s">
        <v>37</v>
      </c>
      <c r="C1088" s="3" t="s">
        <v>23</v>
      </c>
      <c r="D1088" s="3" t="s">
        <v>45</v>
      </c>
      <c r="E1088" s="3" t="s">
        <v>25</v>
      </c>
      <c r="F1088" s="3" t="s">
        <v>25</v>
      </c>
      <c r="G1088" s="3" t="s">
        <v>25</v>
      </c>
      <c r="H1088" s="3" t="s">
        <v>25</v>
      </c>
      <c r="I1088" s="6">
        <v>44593</v>
      </c>
      <c r="J1088" s="4">
        <v>0</v>
      </c>
      <c r="K1088" s="4">
        <v>0</v>
      </c>
      <c r="L1088" s="4">
        <v>-0.29099999999999998</v>
      </c>
      <c r="M1088" s="4">
        <v>-0.29099999999999998</v>
      </c>
      <c r="N1088" s="4">
        <v>-0.29099999999999998</v>
      </c>
      <c r="O1088" s="4">
        <v>-0.29099999999999998</v>
      </c>
      <c r="P1088" s="4">
        <v>0</v>
      </c>
      <c r="Q1088" s="3" t="s">
        <v>26</v>
      </c>
      <c r="R1088" s="3">
        <v>0</v>
      </c>
      <c r="S1088" s="3" t="s">
        <v>320</v>
      </c>
      <c r="T1088" s="3" t="s">
        <v>538</v>
      </c>
      <c r="U1088" s="3">
        <v>0</v>
      </c>
      <c r="V1088" s="3">
        <v>33</v>
      </c>
      <c r="W1088" s="3">
        <v>87</v>
      </c>
    </row>
    <row r="1089" spans="1:23" ht="11.25" customHeight="1" x14ac:dyDescent="0.25">
      <c r="A1089" s="3" t="s">
        <v>28</v>
      </c>
      <c r="B1089" s="3" t="s">
        <v>37</v>
      </c>
      <c r="C1089" s="3" t="s">
        <v>23</v>
      </c>
      <c r="D1089" s="3" t="s">
        <v>45</v>
      </c>
      <c r="E1089" s="3" t="s">
        <v>25</v>
      </c>
      <c r="F1089" s="3" t="s">
        <v>25</v>
      </c>
      <c r="G1089" s="3" t="s">
        <v>25</v>
      </c>
      <c r="H1089" s="3" t="s">
        <v>25</v>
      </c>
      <c r="I1089" s="6">
        <v>44593</v>
      </c>
      <c r="J1089" s="4">
        <v>0</v>
      </c>
      <c r="K1089" s="4">
        <v>0</v>
      </c>
      <c r="L1089" s="4">
        <v>738.68299999999999</v>
      </c>
      <c r="M1089" s="4">
        <v>738.68299999999999</v>
      </c>
      <c r="N1089" s="4">
        <v>738.68299999999999</v>
      </c>
      <c r="O1089" s="4">
        <v>738.68299999999999</v>
      </c>
      <c r="P1089" s="4">
        <v>233</v>
      </c>
      <c r="Q1089" s="3" t="s">
        <v>26</v>
      </c>
      <c r="R1089" s="3">
        <v>0</v>
      </c>
      <c r="S1089" s="3" t="s">
        <v>320</v>
      </c>
      <c r="T1089" s="3" t="s">
        <v>538</v>
      </c>
      <c r="U1089" s="3">
        <v>0</v>
      </c>
      <c r="V1089" s="3">
        <v>33</v>
      </c>
      <c r="W1089" s="3">
        <v>87</v>
      </c>
    </row>
    <row r="1090" spans="1:23" ht="11.25" customHeight="1" x14ac:dyDescent="0.25">
      <c r="A1090" s="3" t="s">
        <v>21</v>
      </c>
      <c r="B1090" s="3" t="s">
        <v>37</v>
      </c>
      <c r="C1090" s="3" t="s">
        <v>23</v>
      </c>
      <c r="D1090" s="3" t="s">
        <v>45</v>
      </c>
      <c r="E1090" s="3" t="s">
        <v>25</v>
      </c>
      <c r="F1090" s="3" t="s">
        <v>25</v>
      </c>
      <c r="G1090" s="3" t="s">
        <v>25</v>
      </c>
      <c r="H1090" s="3" t="s">
        <v>25</v>
      </c>
      <c r="I1090" s="6">
        <v>44621</v>
      </c>
      <c r="J1090" s="4">
        <v>0</v>
      </c>
      <c r="K1090" s="4">
        <v>0</v>
      </c>
      <c r="L1090" s="4">
        <v>1688.0550000000001</v>
      </c>
      <c r="M1090" s="4">
        <v>1688.0550000000001</v>
      </c>
      <c r="N1090" s="4">
        <v>1688.0550000000001</v>
      </c>
      <c r="O1090" s="4">
        <v>1688.0550000000001</v>
      </c>
      <c r="P1090" s="4">
        <v>1616</v>
      </c>
      <c r="Q1090" s="3" t="s">
        <v>26</v>
      </c>
      <c r="R1090" s="3">
        <v>0</v>
      </c>
      <c r="S1090" s="3" t="s">
        <v>321</v>
      </c>
      <c r="T1090" s="3" t="s">
        <v>539</v>
      </c>
      <c r="U1090" s="3">
        <v>0</v>
      </c>
      <c r="V1090" s="3">
        <v>33</v>
      </c>
      <c r="W1090" s="3">
        <v>87</v>
      </c>
    </row>
    <row r="1091" spans="1:23" ht="11.25" customHeight="1" x14ac:dyDescent="0.25">
      <c r="A1091" s="3" t="s">
        <v>28</v>
      </c>
      <c r="B1091" s="3" t="s">
        <v>37</v>
      </c>
      <c r="C1091" s="3" t="s">
        <v>23</v>
      </c>
      <c r="D1091" s="3" t="s">
        <v>45</v>
      </c>
      <c r="E1091" s="3" t="s">
        <v>25</v>
      </c>
      <c r="F1091" s="3" t="s">
        <v>25</v>
      </c>
      <c r="G1091" s="3" t="s">
        <v>25</v>
      </c>
      <c r="H1091" s="3" t="s">
        <v>25</v>
      </c>
      <c r="I1091" s="6">
        <v>44621</v>
      </c>
      <c r="J1091" s="4">
        <v>0</v>
      </c>
      <c r="K1091" s="4">
        <v>0</v>
      </c>
      <c r="L1091" s="4">
        <v>778.11</v>
      </c>
      <c r="M1091" s="4">
        <v>778.11</v>
      </c>
      <c r="N1091" s="4">
        <v>778.11</v>
      </c>
      <c r="O1091" s="4">
        <v>778.11</v>
      </c>
      <c r="P1091" s="4">
        <v>233</v>
      </c>
      <c r="Q1091" s="3" t="s">
        <v>26</v>
      </c>
      <c r="R1091" s="3">
        <v>0</v>
      </c>
      <c r="S1091" s="3" t="s">
        <v>321</v>
      </c>
      <c r="T1091" s="3" t="s">
        <v>539</v>
      </c>
      <c r="U1091" s="3">
        <v>0</v>
      </c>
      <c r="V1091" s="3">
        <v>33</v>
      </c>
      <c r="W1091" s="3">
        <v>87</v>
      </c>
    </row>
    <row r="1092" spans="1:23" ht="11.25" customHeight="1" x14ac:dyDescent="0.25">
      <c r="A1092" s="3" t="s">
        <v>21</v>
      </c>
      <c r="B1092" s="3" t="s">
        <v>37</v>
      </c>
      <c r="C1092" s="3" t="s">
        <v>23</v>
      </c>
      <c r="D1092" s="3" t="s">
        <v>45</v>
      </c>
      <c r="E1092" s="3" t="s">
        <v>25</v>
      </c>
      <c r="F1092" s="3" t="s">
        <v>25</v>
      </c>
      <c r="G1092" s="3" t="s">
        <v>25</v>
      </c>
      <c r="H1092" s="3" t="s">
        <v>25</v>
      </c>
      <c r="I1092" s="6">
        <v>44652</v>
      </c>
      <c r="J1092" s="4">
        <v>0</v>
      </c>
      <c r="K1092" s="4">
        <v>0</v>
      </c>
      <c r="L1092" s="4">
        <v>1688.0550000000001</v>
      </c>
      <c r="M1092" s="4">
        <v>1688.0550000000001</v>
      </c>
      <c r="N1092" s="4">
        <v>1688.0550000000001</v>
      </c>
      <c r="O1092" s="4">
        <v>1688.0550000000001</v>
      </c>
      <c r="P1092" s="4">
        <v>1616</v>
      </c>
      <c r="Q1092" s="3" t="s">
        <v>26</v>
      </c>
      <c r="R1092" s="3">
        <v>0</v>
      </c>
      <c r="S1092" s="3" t="s">
        <v>322</v>
      </c>
      <c r="T1092" s="3" t="s">
        <v>540</v>
      </c>
      <c r="U1092" s="3">
        <v>0</v>
      </c>
      <c r="V1092" s="3">
        <v>33</v>
      </c>
      <c r="W1092" s="3">
        <v>87</v>
      </c>
    </row>
    <row r="1093" spans="1:23" ht="11.25" customHeight="1" x14ac:dyDescent="0.25">
      <c r="A1093" s="3" t="s">
        <v>28</v>
      </c>
      <c r="B1093" s="3" t="s">
        <v>37</v>
      </c>
      <c r="C1093" s="3" t="s">
        <v>23</v>
      </c>
      <c r="D1093" s="3" t="s">
        <v>45</v>
      </c>
      <c r="E1093" s="3" t="s">
        <v>25</v>
      </c>
      <c r="F1093" s="3" t="s">
        <v>25</v>
      </c>
      <c r="G1093" s="3" t="s">
        <v>25</v>
      </c>
      <c r="H1093" s="3" t="s">
        <v>25</v>
      </c>
      <c r="I1093" s="6">
        <v>44652</v>
      </c>
      <c r="J1093" s="4">
        <v>0</v>
      </c>
      <c r="K1093" s="4">
        <v>0</v>
      </c>
      <c r="L1093" s="4">
        <v>778.11</v>
      </c>
      <c r="M1093" s="4">
        <v>778.11</v>
      </c>
      <c r="N1093" s="4">
        <v>778.11</v>
      </c>
      <c r="O1093" s="4">
        <v>778.11</v>
      </c>
      <c r="P1093" s="4">
        <v>233</v>
      </c>
      <c r="Q1093" s="3" t="s">
        <v>26</v>
      </c>
      <c r="R1093" s="3">
        <v>0</v>
      </c>
      <c r="S1093" s="3" t="s">
        <v>322</v>
      </c>
      <c r="T1093" s="3" t="s">
        <v>540</v>
      </c>
      <c r="U1093" s="3">
        <v>0</v>
      </c>
      <c r="V1093" s="3">
        <v>33</v>
      </c>
      <c r="W1093" s="3">
        <v>87</v>
      </c>
    </row>
    <row r="1094" spans="1:23" ht="11.25" customHeight="1" x14ac:dyDescent="0.25">
      <c r="A1094" s="3" t="s">
        <v>21</v>
      </c>
      <c r="B1094" s="3" t="s">
        <v>37</v>
      </c>
      <c r="C1094" s="3" t="s">
        <v>23</v>
      </c>
      <c r="D1094" s="3" t="s">
        <v>45</v>
      </c>
      <c r="E1094" s="3" t="s">
        <v>25</v>
      </c>
      <c r="F1094" s="3" t="s">
        <v>25</v>
      </c>
      <c r="G1094" s="3" t="s">
        <v>25</v>
      </c>
      <c r="H1094" s="3" t="s">
        <v>25</v>
      </c>
      <c r="I1094" s="6">
        <v>44682</v>
      </c>
      <c r="J1094" s="4">
        <v>0</v>
      </c>
      <c r="K1094" s="4">
        <v>0</v>
      </c>
      <c r="L1094" s="4">
        <v>1610.2909999999999</v>
      </c>
      <c r="M1094" s="4">
        <v>1610.2909999999999</v>
      </c>
      <c r="N1094" s="4">
        <v>1610.2909999999999</v>
      </c>
      <c r="O1094" s="4">
        <v>1610.2909999999999</v>
      </c>
      <c r="P1094" s="4">
        <v>1664</v>
      </c>
      <c r="Q1094" s="3" t="s">
        <v>26</v>
      </c>
      <c r="R1094" s="3">
        <v>0</v>
      </c>
      <c r="S1094" s="3" t="s">
        <v>323</v>
      </c>
      <c r="T1094" s="3" t="s">
        <v>541</v>
      </c>
      <c r="U1094" s="3">
        <v>0</v>
      </c>
      <c r="V1094" s="3">
        <v>33</v>
      </c>
      <c r="W1094" s="3">
        <v>87</v>
      </c>
    </row>
    <row r="1095" spans="1:23" ht="11.25" customHeight="1" x14ac:dyDescent="0.25">
      <c r="A1095" s="3" t="s">
        <v>27</v>
      </c>
      <c r="B1095" s="3" t="s">
        <v>37</v>
      </c>
      <c r="C1095" s="3" t="s">
        <v>23</v>
      </c>
      <c r="D1095" s="3" t="s">
        <v>45</v>
      </c>
      <c r="E1095" s="3" t="s">
        <v>25</v>
      </c>
      <c r="F1095" s="3" t="s">
        <v>25</v>
      </c>
      <c r="G1095" s="3" t="s">
        <v>25</v>
      </c>
      <c r="H1095" s="3" t="s">
        <v>25</v>
      </c>
      <c r="I1095" s="6">
        <v>44682</v>
      </c>
      <c r="J1095" s="4">
        <v>0</v>
      </c>
      <c r="K1095" s="4">
        <v>0</v>
      </c>
      <c r="L1095" s="4">
        <v>0.2</v>
      </c>
      <c r="M1095" s="4">
        <v>0.2</v>
      </c>
      <c r="N1095" s="4">
        <v>0.2</v>
      </c>
      <c r="O1095" s="4">
        <v>0.2</v>
      </c>
      <c r="P1095" s="4">
        <v>4</v>
      </c>
      <c r="Q1095" s="3" t="s">
        <v>26</v>
      </c>
      <c r="R1095" s="3">
        <v>0</v>
      </c>
      <c r="S1095" s="3" t="s">
        <v>323</v>
      </c>
      <c r="T1095" s="3" t="s">
        <v>541</v>
      </c>
      <c r="U1095" s="3">
        <v>0</v>
      </c>
      <c r="V1095" s="3">
        <v>33</v>
      </c>
      <c r="W1095" s="3">
        <v>87</v>
      </c>
    </row>
    <row r="1096" spans="1:23" ht="11.25" customHeight="1" x14ac:dyDescent="0.25">
      <c r="A1096" s="3" t="s">
        <v>28</v>
      </c>
      <c r="B1096" s="3" t="s">
        <v>37</v>
      </c>
      <c r="C1096" s="3" t="s">
        <v>23</v>
      </c>
      <c r="D1096" s="3" t="s">
        <v>45</v>
      </c>
      <c r="E1096" s="3" t="s">
        <v>25</v>
      </c>
      <c r="F1096" s="3" t="s">
        <v>25</v>
      </c>
      <c r="G1096" s="3" t="s">
        <v>25</v>
      </c>
      <c r="H1096" s="3" t="s">
        <v>25</v>
      </c>
      <c r="I1096" s="6">
        <v>44682</v>
      </c>
      <c r="J1096" s="4">
        <v>0</v>
      </c>
      <c r="K1096" s="4">
        <v>0</v>
      </c>
      <c r="L1096" s="4">
        <v>2902.1239999999998</v>
      </c>
      <c r="M1096" s="4">
        <v>2902.1239999999998</v>
      </c>
      <c r="N1096" s="4">
        <v>2902.1239999999998</v>
      </c>
      <c r="O1096" s="4">
        <v>2902.1239999999998</v>
      </c>
      <c r="P1096" s="4">
        <v>928</v>
      </c>
      <c r="Q1096" s="3" t="s">
        <v>26</v>
      </c>
      <c r="R1096" s="3">
        <v>0</v>
      </c>
      <c r="S1096" s="3" t="s">
        <v>323</v>
      </c>
      <c r="T1096" s="3" t="s">
        <v>541</v>
      </c>
      <c r="U1096" s="3">
        <v>0</v>
      </c>
      <c r="V1096" s="3">
        <v>33</v>
      </c>
      <c r="W1096" s="3">
        <v>87</v>
      </c>
    </row>
    <row r="1097" spans="1:23" ht="11.25" customHeight="1" x14ac:dyDescent="0.25">
      <c r="A1097" s="3" t="s">
        <v>21</v>
      </c>
      <c r="B1097" s="3" t="s">
        <v>37</v>
      </c>
      <c r="C1097" s="3" t="s">
        <v>23</v>
      </c>
      <c r="D1097" s="3" t="s">
        <v>45</v>
      </c>
      <c r="E1097" s="3" t="s">
        <v>25</v>
      </c>
      <c r="F1097" s="3" t="s">
        <v>25</v>
      </c>
      <c r="G1097" s="3" t="s">
        <v>25</v>
      </c>
      <c r="H1097" s="3" t="s">
        <v>25</v>
      </c>
      <c r="I1097" s="6">
        <v>44713</v>
      </c>
      <c r="J1097" s="4">
        <v>0</v>
      </c>
      <c r="K1097" s="4">
        <v>0</v>
      </c>
      <c r="L1097" s="4">
        <v>1578.172</v>
      </c>
      <c r="M1097" s="4">
        <v>1578.172</v>
      </c>
      <c r="N1097" s="4">
        <v>1578.172</v>
      </c>
      <c r="O1097" s="4">
        <v>1578.172</v>
      </c>
      <c r="P1097" s="4">
        <v>1665</v>
      </c>
      <c r="Q1097" s="3" t="s">
        <v>26</v>
      </c>
      <c r="R1097" s="3">
        <v>0</v>
      </c>
      <c r="S1097" s="3" t="s">
        <v>324</v>
      </c>
      <c r="T1097" s="3" t="s">
        <v>542</v>
      </c>
      <c r="U1097" s="3">
        <v>0</v>
      </c>
      <c r="V1097" s="3">
        <v>33</v>
      </c>
      <c r="W1097" s="3">
        <v>87</v>
      </c>
    </row>
    <row r="1098" spans="1:23" ht="11.25" customHeight="1" x14ac:dyDescent="0.25">
      <c r="A1098" s="3" t="s">
        <v>27</v>
      </c>
      <c r="B1098" s="3" t="s">
        <v>37</v>
      </c>
      <c r="C1098" s="3" t="s">
        <v>23</v>
      </c>
      <c r="D1098" s="3" t="s">
        <v>45</v>
      </c>
      <c r="E1098" s="3" t="s">
        <v>25</v>
      </c>
      <c r="F1098" s="3" t="s">
        <v>25</v>
      </c>
      <c r="G1098" s="3" t="s">
        <v>25</v>
      </c>
      <c r="H1098" s="3" t="s">
        <v>25</v>
      </c>
      <c r="I1098" s="6">
        <v>44713</v>
      </c>
      <c r="J1098" s="4">
        <v>0</v>
      </c>
      <c r="K1098" s="4">
        <v>0</v>
      </c>
      <c r="L1098" s="4">
        <v>-6.2140000000000004</v>
      </c>
      <c r="M1098" s="4">
        <v>-6.2140000000000004</v>
      </c>
      <c r="N1098" s="4">
        <v>-6.2140000000000004</v>
      </c>
      <c r="O1098" s="4">
        <v>-6.2140000000000004</v>
      </c>
      <c r="P1098" s="4">
        <v>-2</v>
      </c>
      <c r="Q1098" s="3" t="s">
        <v>26</v>
      </c>
      <c r="R1098" s="3">
        <v>0</v>
      </c>
      <c r="S1098" s="3" t="s">
        <v>324</v>
      </c>
      <c r="T1098" s="3" t="s">
        <v>542</v>
      </c>
      <c r="U1098" s="3">
        <v>0</v>
      </c>
      <c r="V1098" s="3">
        <v>33</v>
      </c>
      <c r="W1098" s="3">
        <v>87</v>
      </c>
    </row>
    <row r="1099" spans="1:23" ht="11.25" customHeight="1" x14ac:dyDescent="0.25">
      <c r="A1099" s="3" t="s">
        <v>28</v>
      </c>
      <c r="B1099" s="3" t="s">
        <v>37</v>
      </c>
      <c r="C1099" s="3" t="s">
        <v>23</v>
      </c>
      <c r="D1099" s="3" t="s">
        <v>45</v>
      </c>
      <c r="E1099" s="3" t="s">
        <v>25</v>
      </c>
      <c r="F1099" s="3" t="s">
        <v>25</v>
      </c>
      <c r="G1099" s="3" t="s">
        <v>25</v>
      </c>
      <c r="H1099" s="3" t="s">
        <v>25</v>
      </c>
      <c r="I1099" s="6">
        <v>44713</v>
      </c>
      <c r="J1099" s="4">
        <v>0</v>
      </c>
      <c r="K1099" s="4">
        <v>0</v>
      </c>
      <c r="L1099" s="4">
        <v>720.51700000000005</v>
      </c>
      <c r="M1099" s="4">
        <v>720.51700000000005</v>
      </c>
      <c r="N1099" s="4">
        <v>720.51700000000005</v>
      </c>
      <c r="O1099" s="4">
        <v>720.51700000000005</v>
      </c>
      <c r="P1099" s="4">
        <v>232</v>
      </c>
      <c r="Q1099" s="3" t="s">
        <v>26</v>
      </c>
      <c r="R1099" s="3">
        <v>0</v>
      </c>
      <c r="S1099" s="3" t="s">
        <v>324</v>
      </c>
      <c r="T1099" s="3" t="s">
        <v>542</v>
      </c>
      <c r="U1099" s="3">
        <v>0</v>
      </c>
      <c r="V1099" s="3">
        <v>33</v>
      </c>
      <c r="W1099" s="3">
        <v>87</v>
      </c>
    </row>
    <row r="1100" spans="1:23" ht="11.25" customHeight="1" x14ac:dyDescent="0.25">
      <c r="A1100" s="3" t="s">
        <v>21</v>
      </c>
      <c r="B1100" s="3" t="s">
        <v>37</v>
      </c>
      <c r="C1100" s="3" t="s">
        <v>23</v>
      </c>
      <c r="D1100" s="3" t="s">
        <v>45</v>
      </c>
      <c r="E1100" s="3" t="s">
        <v>25</v>
      </c>
      <c r="F1100" s="3" t="s">
        <v>25</v>
      </c>
      <c r="G1100" s="3" t="s">
        <v>25</v>
      </c>
      <c r="H1100" s="3" t="s">
        <v>25</v>
      </c>
      <c r="I1100" s="6">
        <v>44743</v>
      </c>
      <c r="J1100" s="4">
        <v>0</v>
      </c>
      <c r="K1100" s="4">
        <v>0</v>
      </c>
      <c r="L1100" s="4">
        <v>1497.865</v>
      </c>
      <c r="M1100" s="4">
        <v>1497.865</v>
      </c>
      <c r="N1100" s="4">
        <v>1497.865</v>
      </c>
      <c r="O1100" s="4">
        <v>1497.865</v>
      </c>
      <c r="P1100" s="4">
        <v>1654</v>
      </c>
      <c r="Q1100" s="3" t="s">
        <v>26</v>
      </c>
      <c r="R1100" s="3">
        <v>0</v>
      </c>
      <c r="S1100" s="3" t="s">
        <v>325</v>
      </c>
      <c r="T1100" s="3" t="s">
        <v>543</v>
      </c>
      <c r="U1100" s="3">
        <v>0</v>
      </c>
      <c r="V1100" s="3">
        <v>33</v>
      </c>
      <c r="W1100" s="3">
        <v>87</v>
      </c>
    </row>
    <row r="1101" spans="1:23" ht="11.25" customHeight="1" x14ac:dyDescent="0.25">
      <c r="A1101" s="3" t="s">
        <v>27</v>
      </c>
      <c r="B1101" s="3" t="s">
        <v>37</v>
      </c>
      <c r="C1101" s="3" t="s">
        <v>23</v>
      </c>
      <c r="D1101" s="3" t="s">
        <v>45</v>
      </c>
      <c r="E1101" s="3" t="s">
        <v>25</v>
      </c>
      <c r="F1101" s="3" t="s">
        <v>25</v>
      </c>
      <c r="G1101" s="3" t="s">
        <v>25</v>
      </c>
      <c r="H1101" s="3" t="s">
        <v>25</v>
      </c>
      <c r="I1101" s="6">
        <v>44743</v>
      </c>
      <c r="J1101" s="4">
        <v>0</v>
      </c>
      <c r="K1101" s="4">
        <v>0</v>
      </c>
      <c r="L1101" s="4">
        <v>-1.038</v>
      </c>
      <c r="M1101" s="4">
        <v>-1.038</v>
      </c>
      <c r="N1101" s="4">
        <v>-1.038</v>
      </c>
      <c r="O1101" s="4">
        <v>-1.038</v>
      </c>
      <c r="P1101" s="4">
        <v>-4</v>
      </c>
      <c r="Q1101" s="3" t="s">
        <v>26</v>
      </c>
      <c r="R1101" s="3">
        <v>0</v>
      </c>
      <c r="S1101" s="3" t="s">
        <v>325</v>
      </c>
      <c r="T1101" s="3" t="s">
        <v>543</v>
      </c>
      <c r="U1101" s="3">
        <v>0</v>
      </c>
      <c r="V1101" s="3">
        <v>33</v>
      </c>
      <c r="W1101" s="3">
        <v>87</v>
      </c>
    </row>
    <row r="1102" spans="1:23" ht="11.25" customHeight="1" x14ac:dyDescent="0.25">
      <c r="A1102" s="3" t="s">
        <v>28</v>
      </c>
      <c r="B1102" s="3" t="s">
        <v>37</v>
      </c>
      <c r="C1102" s="3" t="s">
        <v>23</v>
      </c>
      <c r="D1102" s="3" t="s">
        <v>45</v>
      </c>
      <c r="E1102" s="3" t="s">
        <v>25</v>
      </c>
      <c r="F1102" s="3" t="s">
        <v>25</v>
      </c>
      <c r="G1102" s="3" t="s">
        <v>25</v>
      </c>
      <c r="H1102" s="3" t="s">
        <v>25</v>
      </c>
      <c r="I1102" s="6">
        <v>44743</v>
      </c>
      <c r="J1102" s="4">
        <v>0</v>
      </c>
      <c r="K1102" s="4">
        <v>0</v>
      </c>
      <c r="L1102" s="4">
        <v>651.04999999999995</v>
      </c>
      <c r="M1102" s="4">
        <v>651.04999999999995</v>
      </c>
      <c r="N1102" s="4">
        <v>651.04999999999995</v>
      </c>
      <c r="O1102" s="4">
        <v>651.04999999999995</v>
      </c>
      <c r="P1102" s="4">
        <v>235</v>
      </c>
      <c r="Q1102" s="3" t="s">
        <v>26</v>
      </c>
      <c r="R1102" s="3">
        <v>0</v>
      </c>
      <c r="S1102" s="3" t="s">
        <v>325</v>
      </c>
      <c r="T1102" s="3" t="s">
        <v>543</v>
      </c>
      <c r="U1102" s="3">
        <v>0</v>
      </c>
      <c r="V1102" s="3">
        <v>33</v>
      </c>
      <c r="W1102" s="3">
        <v>87</v>
      </c>
    </row>
    <row r="1103" spans="1:23" ht="11.25" customHeight="1" x14ac:dyDescent="0.25">
      <c r="A1103" s="3" t="s">
        <v>21</v>
      </c>
      <c r="B1103" s="3" t="s">
        <v>37</v>
      </c>
      <c r="C1103" s="3" t="s">
        <v>23</v>
      </c>
      <c r="D1103" s="3" t="s">
        <v>45</v>
      </c>
      <c r="E1103" s="3" t="s">
        <v>25</v>
      </c>
      <c r="F1103" s="3" t="s">
        <v>25</v>
      </c>
      <c r="G1103" s="3" t="s">
        <v>25</v>
      </c>
      <c r="H1103" s="3" t="s">
        <v>25</v>
      </c>
      <c r="I1103" s="6">
        <v>44774</v>
      </c>
      <c r="J1103" s="4">
        <v>0</v>
      </c>
      <c r="K1103" s="4">
        <v>0</v>
      </c>
      <c r="L1103" s="4">
        <v>1896.625</v>
      </c>
      <c r="M1103" s="4">
        <v>1896.625</v>
      </c>
      <c r="N1103" s="4">
        <v>1896.625</v>
      </c>
      <c r="O1103" s="4">
        <v>1896.625</v>
      </c>
      <c r="P1103" s="4">
        <v>1656</v>
      </c>
      <c r="Q1103" s="3" t="s">
        <v>26</v>
      </c>
      <c r="R1103" s="3">
        <v>0</v>
      </c>
      <c r="S1103" s="3" t="s">
        <v>326</v>
      </c>
      <c r="T1103" s="3" t="s">
        <v>544</v>
      </c>
      <c r="U1103" s="3">
        <v>0</v>
      </c>
      <c r="V1103" s="3">
        <v>33</v>
      </c>
      <c r="W1103" s="3">
        <v>87</v>
      </c>
    </row>
    <row r="1104" spans="1:23" ht="11.25" customHeight="1" x14ac:dyDescent="0.25">
      <c r="A1104" s="3" t="s">
        <v>27</v>
      </c>
      <c r="B1104" s="3" t="s">
        <v>37</v>
      </c>
      <c r="C1104" s="3" t="s">
        <v>23</v>
      </c>
      <c r="D1104" s="3" t="s">
        <v>45</v>
      </c>
      <c r="E1104" s="3" t="s">
        <v>25</v>
      </c>
      <c r="F1104" s="3" t="s">
        <v>25</v>
      </c>
      <c r="G1104" s="3" t="s">
        <v>25</v>
      </c>
      <c r="H1104" s="3" t="s">
        <v>25</v>
      </c>
      <c r="I1104" s="6">
        <v>44774</v>
      </c>
      <c r="J1104" s="4">
        <v>0</v>
      </c>
      <c r="K1104" s="4">
        <v>0</v>
      </c>
      <c r="L1104" s="4">
        <v>-13.897</v>
      </c>
      <c r="M1104" s="4">
        <v>-13.897</v>
      </c>
      <c r="N1104" s="4">
        <v>-13.897</v>
      </c>
      <c r="O1104" s="4">
        <v>-13.897</v>
      </c>
      <c r="P1104" s="4">
        <v>-3</v>
      </c>
      <c r="Q1104" s="3" t="s">
        <v>26</v>
      </c>
      <c r="R1104" s="3">
        <v>0</v>
      </c>
      <c r="S1104" s="3" t="s">
        <v>326</v>
      </c>
      <c r="T1104" s="3" t="s">
        <v>544</v>
      </c>
      <c r="U1104" s="3">
        <v>0</v>
      </c>
      <c r="V1104" s="3">
        <v>33</v>
      </c>
      <c r="W1104" s="3">
        <v>87</v>
      </c>
    </row>
    <row r="1105" spans="1:23" ht="11.25" customHeight="1" x14ac:dyDescent="0.25">
      <c r="A1105" s="3" t="s">
        <v>28</v>
      </c>
      <c r="B1105" s="3" t="s">
        <v>37</v>
      </c>
      <c r="C1105" s="3" t="s">
        <v>23</v>
      </c>
      <c r="D1105" s="3" t="s">
        <v>45</v>
      </c>
      <c r="E1105" s="3" t="s">
        <v>25</v>
      </c>
      <c r="F1105" s="3" t="s">
        <v>25</v>
      </c>
      <c r="G1105" s="3" t="s">
        <v>25</v>
      </c>
      <c r="H1105" s="3" t="s">
        <v>25</v>
      </c>
      <c r="I1105" s="6">
        <v>44774</v>
      </c>
      <c r="J1105" s="4">
        <v>0</v>
      </c>
      <c r="K1105" s="4">
        <v>0</v>
      </c>
      <c r="L1105" s="4">
        <v>891.13300000000004</v>
      </c>
      <c r="M1105" s="4">
        <v>891.13300000000004</v>
      </c>
      <c r="N1105" s="4">
        <v>891.13300000000004</v>
      </c>
      <c r="O1105" s="4">
        <v>891.13300000000004</v>
      </c>
      <c r="P1105" s="4">
        <v>236</v>
      </c>
      <c r="Q1105" s="3" t="s">
        <v>26</v>
      </c>
      <c r="R1105" s="3">
        <v>0</v>
      </c>
      <c r="S1105" s="3" t="s">
        <v>326</v>
      </c>
      <c r="T1105" s="3" t="s">
        <v>544</v>
      </c>
      <c r="U1105" s="3">
        <v>0</v>
      </c>
      <c r="V1105" s="3">
        <v>33</v>
      </c>
      <c r="W1105" s="3">
        <v>87</v>
      </c>
    </row>
    <row r="1106" spans="1:23" ht="11.25" customHeight="1" x14ac:dyDescent="0.25">
      <c r="A1106" s="3" t="s">
        <v>21</v>
      </c>
      <c r="B1106" s="3" t="s">
        <v>37</v>
      </c>
      <c r="C1106" s="3" t="s">
        <v>23</v>
      </c>
      <c r="D1106" s="3" t="s">
        <v>45</v>
      </c>
      <c r="E1106" s="3" t="s">
        <v>25</v>
      </c>
      <c r="F1106" s="3" t="s">
        <v>25</v>
      </c>
      <c r="G1106" s="3" t="s">
        <v>25</v>
      </c>
      <c r="H1106" s="3" t="s">
        <v>25</v>
      </c>
      <c r="I1106" s="6">
        <v>44805</v>
      </c>
      <c r="J1106" s="4">
        <v>0</v>
      </c>
      <c r="K1106" s="4">
        <v>0</v>
      </c>
      <c r="L1106" s="4">
        <v>1919.9480000000001</v>
      </c>
      <c r="M1106" s="4">
        <v>1919.9480000000001</v>
      </c>
      <c r="N1106" s="4">
        <v>1919.9480000000001</v>
      </c>
      <c r="O1106" s="4">
        <v>1919.9480000000001</v>
      </c>
      <c r="P1106" s="4">
        <v>1665</v>
      </c>
      <c r="Q1106" s="3" t="s">
        <v>26</v>
      </c>
      <c r="R1106" s="3">
        <v>0</v>
      </c>
      <c r="S1106" s="3" t="s">
        <v>327</v>
      </c>
      <c r="T1106" s="3" t="s">
        <v>545</v>
      </c>
      <c r="U1106" s="3">
        <v>0</v>
      </c>
      <c r="V1106" s="3">
        <v>33</v>
      </c>
      <c r="W1106" s="3">
        <v>87</v>
      </c>
    </row>
    <row r="1107" spans="1:23" ht="11.25" customHeight="1" x14ac:dyDescent="0.25">
      <c r="A1107" s="3" t="s">
        <v>27</v>
      </c>
      <c r="B1107" s="3" t="s">
        <v>37</v>
      </c>
      <c r="C1107" s="3" t="s">
        <v>23</v>
      </c>
      <c r="D1107" s="3" t="s">
        <v>45</v>
      </c>
      <c r="E1107" s="3" t="s">
        <v>25</v>
      </c>
      <c r="F1107" s="3" t="s">
        <v>25</v>
      </c>
      <c r="G1107" s="3" t="s">
        <v>25</v>
      </c>
      <c r="H1107" s="3" t="s">
        <v>25</v>
      </c>
      <c r="I1107" s="6">
        <v>44805</v>
      </c>
      <c r="J1107" s="4">
        <v>0</v>
      </c>
      <c r="K1107" s="4">
        <v>0</v>
      </c>
      <c r="L1107" s="4">
        <v>-0.56899999999999995</v>
      </c>
      <c r="M1107" s="4">
        <v>-0.56899999999999995</v>
      </c>
      <c r="N1107" s="4">
        <v>-0.56899999999999995</v>
      </c>
      <c r="O1107" s="4">
        <v>-0.56899999999999995</v>
      </c>
      <c r="P1107" s="4">
        <v>-1</v>
      </c>
      <c r="Q1107" s="3" t="s">
        <v>26</v>
      </c>
      <c r="R1107" s="3">
        <v>0</v>
      </c>
      <c r="S1107" s="3" t="s">
        <v>327</v>
      </c>
      <c r="T1107" s="3" t="s">
        <v>545</v>
      </c>
      <c r="U1107" s="3">
        <v>0</v>
      </c>
      <c r="V1107" s="3">
        <v>33</v>
      </c>
      <c r="W1107" s="3">
        <v>87</v>
      </c>
    </row>
    <row r="1108" spans="1:23" ht="11.25" customHeight="1" x14ac:dyDescent="0.25">
      <c r="A1108" s="3" t="s">
        <v>28</v>
      </c>
      <c r="B1108" s="3" t="s">
        <v>37</v>
      </c>
      <c r="C1108" s="3" t="s">
        <v>23</v>
      </c>
      <c r="D1108" s="3" t="s">
        <v>45</v>
      </c>
      <c r="E1108" s="3" t="s">
        <v>25</v>
      </c>
      <c r="F1108" s="3" t="s">
        <v>25</v>
      </c>
      <c r="G1108" s="3" t="s">
        <v>25</v>
      </c>
      <c r="H1108" s="3" t="s">
        <v>25</v>
      </c>
      <c r="I1108" s="6">
        <v>44805</v>
      </c>
      <c r="J1108" s="4">
        <v>0</v>
      </c>
      <c r="K1108" s="4">
        <v>0</v>
      </c>
      <c r="L1108" s="4">
        <v>871.98199999999997</v>
      </c>
      <c r="M1108" s="4">
        <v>871.98199999999997</v>
      </c>
      <c r="N1108" s="4">
        <v>871.98199999999997</v>
      </c>
      <c r="O1108" s="4">
        <v>871.98199999999997</v>
      </c>
      <c r="P1108" s="4">
        <v>239</v>
      </c>
      <c r="Q1108" s="3" t="s">
        <v>26</v>
      </c>
      <c r="R1108" s="3">
        <v>0</v>
      </c>
      <c r="S1108" s="3" t="s">
        <v>327</v>
      </c>
      <c r="T1108" s="3" t="s">
        <v>545</v>
      </c>
      <c r="U1108" s="3">
        <v>0</v>
      </c>
      <c r="V1108" s="3">
        <v>33</v>
      </c>
      <c r="W1108" s="3">
        <v>87</v>
      </c>
    </row>
    <row r="1109" spans="1:23" ht="11.25" customHeight="1" x14ac:dyDescent="0.25">
      <c r="A1109" s="3" t="s">
        <v>55</v>
      </c>
      <c r="B1109" s="3" t="s">
        <v>37</v>
      </c>
      <c r="C1109" s="3" t="s">
        <v>23</v>
      </c>
      <c r="D1109" s="3" t="s">
        <v>45</v>
      </c>
      <c r="E1109" s="3" t="s">
        <v>25</v>
      </c>
      <c r="F1109" s="3" t="s">
        <v>25</v>
      </c>
      <c r="G1109" s="3" t="s">
        <v>25</v>
      </c>
      <c r="H1109" s="3" t="s">
        <v>25</v>
      </c>
      <c r="I1109" s="6">
        <v>44835</v>
      </c>
      <c r="J1109" s="4">
        <v>0</v>
      </c>
      <c r="K1109" s="4">
        <v>0</v>
      </c>
      <c r="L1109" s="4">
        <v>1919.9480000000001</v>
      </c>
      <c r="M1109" s="4">
        <v>1919.9480000000001</v>
      </c>
      <c r="N1109" s="4">
        <v>1919.9480000000001</v>
      </c>
      <c r="O1109" s="4">
        <v>1919.9480000000001</v>
      </c>
      <c r="P1109" s="4">
        <v>1665</v>
      </c>
      <c r="Q1109" s="3" t="s">
        <v>26</v>
      </c>
      <c r="R1109" s="3">
        <v>0</v>
      </c>
      <c r="S1109" s="3" t="s">
        <v>328</v>
      </c>
      <c r="T1109" s="3" t="s">
        <v>546</v>
      </c>
      <c r="U1109" s="3">
        <v>0</v>
      </c>
      <c r="V1109" s="3">
        <v>33</v>
      </c>
      <c r="W1109" s="3">
        <v>87</v>
      </c>
    </row>
    <row r="1110" spans="1:23" ht="11.25" customHeight="1" x14ac:dyDescent="0.25">
      <c r="A1110" s="3" t="s">
        <v>55</v>
      </c>
      <c r="B1110" s="3" t="s">
        <v>37</v>
      </c>
      <c r="C1110" s="3" t="s">
        <v>23</v>
      </c>
      <c r="D1110" s="3" t="s">
        <v>45</v>
      </c>
      <c r="E1110" s="3" t="s">
        <v>25</v>
      </c>
      <c r="F1110" s="3" t="s">
        <v>25</v>
      </c>
      <c r="G1110" s="3" t="s">
        <v>25</v>
      </c>
      <c r="H1110" s="3" t="s">
        <v>25</v>
      </c>
      <c r="I1110" s="6">
        <v>44835</v>
      </c>
      <c r="J1110" s="4">
        <v>0</v>
      </c>
      <c r="K1110" s="4">
        <v>0</v>
      </c>
      <c r="L1110" s="4">
        <v>-0.56899999999999995</v>
      </c>
      <c r="M1110" s="4">
        <v>-0.56899999999999995</v>
      </c>
      <c r="N1110" s="4">
        <v>-0.56899999999999995</v>
      </c>
      <c r="O1110" s="4">
        <v>-0.56899999999999995</v>
      </c>
      <c r="P1110" s="4">
        <v>-1</v>
      </c>
      <c r="Q1110" s="3" t="s">
        <v>26</v>
      </c>
      <c r="R1110" s="3">
        <v>0</v>
      </c>
      <c r="S1110" s="3" t="s">
        <v>328</v>
      </c>
      <c r="T1110" s="3" t="s">
        <v>546</v>
      </c>
      <c r="U1110" s="3">
        <v>0</v>
      </c>
      <c r="V1110" s="3">
        <v>33</v>
      </c>
      <c r="W1110" s="3">
        <v>87</v>
      </c>
    </row>
    <row r="1111" spans="1:23" ht="11.25" customHeight="1" x14ac:dyDescent="0.25">
      <c r="A1111" s="3" t="s">
        <v>55</v>
      </c>
      <c r="B1111" s="3" t="s">
        <v>37</v>
      </c>
      <c r="C1111" s="3" t="s">
        <v>23</v>
      </c>
      <c r="D1111" s="3" t="s">
        <v>45</v>
      </c>
      <c r="E1111" s="3" t="s">
        <v>25</v>
      </c>
      <c r="F1111" s="3" t="s">
        <v>25</v>
      </c>
      <c r="G1111" s="3" t="s">
        <v>25</v>
      </c>
      <c r="H1111" s="3" t="s">
        <v>25</v>
      </c>
      <c r="I1111" s="6">
        <v>44835</v>
      </c>
      <c r="J1111" s="4">
        <v>0</v>
      </c>
      <c r="K1111" s="4">
        <v>0</v>
      </c>
      <c r="L1111" s="4">
        <v>871.98199999999997</v>
      </c>
      <c r="M1111" s="4">
        <v>871.98199999999997</v>
      </c>
      <c r="N1111" s="4">
        <v>871.98199999999997</v>
      </c>
      <c r="O1111" s="4">
        <v>871.98199999999997</v>
      </c>
      <c r="P1111" s="4">
        <v>239</v>
      </c>
      <c r="Q1111" s="3" t="s">
        <v>26</v>
      </c>
      <c r="R1111" s="3">
        <v>0</v>
      </c>
      <c r="S1111" s="3" t="s">
        <v>328</v>
      </c>
      <c r="T1111" s="3" t="s">
        <v>546</v>
      </c>
      <c r="U1111" s="3">
        <v>0</v>
      </c>
      <c r="V1111" s="3">
        <v>33</v>
      </c>
      <c r="W1111" s="3">
        <v>87</v>
      </c>
    </row>
    <row r="1112" spans="1:23" ht="11.25" customHeight="1" x14ac:dyDescent="0.25">
      <c r="A1112" s="3" t="s">
        <v>21</v>
      </c>
      <c r="B1112" s="3" t="s">
        <v>37</v>
      </c>
      <c r="C1112" s="3" t="s">
        <v>23</v>
      </c>
      <c r="D1112" s="3" t="s">
        <v>49</v>
      </c>
      <c r="E1112" s="3" t="s">
        <v>50</v>
      </c>
      <c r="F1112" s="3" t="s">
        <v>25</v>
      </c>
      <c r="G1112" s="3" t="s">
        <v>25</v>
      </c>
      <c r="H1112" s="3" t="s">
        <v>25</v>
      </c>
      <c r="I1112" s="6">
        <v>44501</v>
      </c>
      <c r="J1112" s="4">
        <v>0</v>
      </c>
      <c r="K1112" s="4">
        <v>0</v>
      </c>
      <c r="L1112" s="4">
        <v>846.09400000000005</v>
      </c>
      <c r="M1112" s="4">
        <v>795.32835999999998</v>
      </c>
      <c r="N1112" s="4">
        <v>846.09400000000005</v>
      </c>
      <c r="O1112" s="4">
        <v>795.32835999999998</v>
      </c>
      <c r="P1112" s="4">
        <v>281</v>
      </c>
      <c r="Q1112" s="3" t="s">
        <v>26</v>
      </c>
      <c r="R1112" s="3">
        <v>0</v>
      </c>
      <c r="S1112" s="3" t="s">
        <v>317</v>
      </c>
      <c r="T1112" s="3" t="s">
        <v>535</v>
      </c>
      <c r="U1112" s="3">
        <v>0</v>
      </c>
      <c r="V1112" s="3">
        <v>33</v>
      </c>
      <c r="W1112" s="3">
        <v>87</v>
      </c>
    </row>
    <row r="1113" spans="1:23" ht="11.25" customHeight="1" x14ac:dyDescent="0.25">
      <c r="A1113" s="3" t="s">
        <v>27</v>
      </c>
      <c r="B1113" s="3" t="s">
        <v>37</v>
      </c>
      <c r="C1113" s="3" t="s">
        <v>23</v>
      </c>
      <c r="D1113" s="3" t="s">
        <v>49</v>
      </c>
      <c r="E1113" s="3" t="s">
        <v>50</v>
      </c>
      <c r="F1113" s="3" t="s">
        <v>25</v>
      </c>
      <c r="G1113" s="3" t="s">
        <v>25</v>
      </c>
      <c r="H1113" s="3" t="s">
        <v>25</v>
      </c>
      <c r="I1113" s="6">
        <v>44501</v>
      </c>
      <c r="J1113" s="4">
        <v>0</v>
      </c>
      <c r="K1113" s="4">
        <v>0</v>
      </c>
      <c r="L1113" s="4">
        <v>-10.592000000000001</v>
      </c>
      <c r="M1113" s="4">
        <v>-9.9564799999999991</v>
      </c>
      <c r="N1113" s="4">
        <v>-10.592000000000001</v>
      </c>
      <c r="O1113" s="4">
        <v>-9.9564799999999991</v>
      </c>
      <c r="P1113" s="4">
        <v>0</v>
      </c>
      <c r="Q1113" s="3" t="s">
        <v>26</v>
      </c>
      <c r="R1113" s="3">
        <v>0</v>
      </c>
      <c r="S1113" s="3" t="s">
        <v>317</v>
      </c>
      <c r="T1113" s="3" t="s">
        <v>535</v>
      </c>
      <c r="U1113" s="3">
        <v>0</v>
      </c>
      <c r="V1113" s="3">
        <v>33</v>
      </c>
      <c r="W1113" s="3">
        <v>87</v>
      </c>
    </row>
    <row r="1114" spans="1:23" ht="11.25" customHeight="1" x14ac:dyDescent="0.25">
      <c r="A1114" s="3" t="s">
        <v>21</v>
      </c>
      <c r="B1114" s="3" t="s">
        <v>37</v>
      </c>
      <c r="C1114" s="3" t="s">
        <v>23</v>
      </c>
      <c r="D1114" s="3" t="s">
        <v>49</v>
      </c>
      <c r="E1114" s="3" t="s">
        <v>50</v>
      </c>
      <c r="F1114" s="3" t="s">
        <v>25</v>
      </c>
      <c r="G1114" s="3" t="s">
        <v>25</v>
      </c>
      <c r="H1114" s="3" t="s">
        <v>25</v>
      </c>
      <c r="I1114" s="6">
        <v>44531</v>
      </c>
      <c r="J1114" s="4">
        <v>0</v>
      </c>
      <c r="K1114" s="4">
        <v>0</v>
      </c>
      <c r="L1114" s="4">
        <v>825.83399999999995</v>
      </c>
      <c r="M1114" s="4">
        <v>776.28395999999998</v>
      </c>
      <c r="N1114" s="4">
        <v>825.83399999999995</v>
      </c>
      <c r="O1114" s="4">
        <v>776.28395999999998</v>
      </c>
      <c r="P1114" s="4">
        <v>280</v>
      </c>
      <c r="Q1114" s="3" t="s">
        <v>26</v>
      </c>
      <c r="R1114" s="3">
        <v>0</v>
      </c>
      <c r="S1114" s="3" t="s">
        <v>318</v>
      </c>
      <c r="T1114" s="3" t="s">
        <v>536</v>
      </c>
      <c r="U1114" s="3">
        <v>0</v>
      </c>
      <c r="V1114" s="3">
        <v>33</v>
      </c>
      <c r="W1114" s="3">
        <v>87</v>
      </c>
    </row>
    <row r="1115" spans="1:23" ht="11.25" customHeight="1" x14ac:dyDescent="0.25">
      <c r="A1115" s="3" t="s">
        <v>27</v>
      </c>
      <c r="B1115" s="3" t="s">
        <v>37</v>
      </c>
      <c r="C1115" s="3" t="s">
        <v>23</v>
      </c>
      <c r="D1115" s="3" t="s">
        <v>49</v>
      </c>
      <c r="E1115" s="3" t="s">
        <v>50</v>
      </c>
      <c r="F1115" s="3" t="s">
        <v>25</v>
      </c>
      <c r="G1115" s="3" t="s">
        <v>25</v>
      </c>
      <c r="H1115" s="3" t="s">
        <v>25</v>
      </c>
      <c r="I1115" s="6">
        <v>44531</v>
      </c>
      <c r="J1115" s="4">
        <v>0</v>
      </c>
      <c r="K1115" s="4">
        <v>0</v>
      </c>
      <c r="L1115" s="4">
        <v>-1.276</v>
      </c>
      <c r="M1115" s="4">
        <v>-1.1994400000000001</v>
      </c>
      <c r="N1115" s="4">
        <v>-1.276</v>
      </c>
      <c r="O1115" s="4">
        <v>-1.1994400000000001</v>
      </c>
      <c r="P1115" s="4">
        <v>-1</v>
      </c>
      <c r="Q1115" s="3" t="s">
        <v>26</v>
      </c>
      <c r="R1115" s="3">
        <v>0</v>
      </c>
      <c r="S1115" s="3" t="s">
        <v>318</v>
      </c>
      <c r="T1115" s="3" t="s">
        <v>536</v>
      </c>
      <c r="U1115" s="3">
        <v>0</v>
      </c>
      <c r="V1115" s="3">
        <v>33</v>
      </c>
      <c r="W1115" s="3">
        <v>87</v>
      </c>
    </row>
    <row r="1116" spans="1:23" ht="11.25" customHeight="1" x14ac:dyDescent="0.25">
      <c r="A1116" s="3" t="s">
        <v>21</v>
      </c>
      <c r="B1116" s="3" t="s">
        <v>37</v>
      </c>
      <c r="C1116" s="3" t="s">
        <v>23</v>
      </c>
      <c r="D1116" s="3" t="s">
        <v>49</v>
      </c>
      <c r="E1116" s="3" t="s">
        <v>50</v>
      </c>
      <c r="F1116" s="3" t="s">
        <v>25</v>
      </c>
      <c r="G1116" s="3" t="s">
        <v>25</v>
      </c>
      <c r="H1116" s="3" t="s">
        <v>25</v>
      </c>
      <c r="I1116" s="6">
        <v>44562</v>
      </c>
      <c r="J1116" s="4">
        <v>0</v>
      </c>
      <c r="K1116" s="4">
        <v>0</v>
      </c>
      <c r="L1116" s="4">
        <v>770.93499999999995</v>
      </c>
      <c r="M1116" s="4">
        <v>724.6789</v>
      </c>
      <c r="N1116" s="4">
        <v>770.93499999999995</v>
      </c>
      <c r="O1116" s="4">
        <v>724.6789</v>
      </c>
      <c r="P1116" s="4">
        <v>279</v>
      </c>
      <c r="Q1116" s="3" t="s">
        <v>26</v>
      </c>
      <c r="R1116" s="3">
        <v>0</v>
      </c>
      <c r="S1116" s="3" t="s">
        <v>319</v>
      </c>
      <c r="T1116" s="3" t="s">
        <v>537</v>
      </c>
      <c r="U1116" s="3">
        <v>0</v>
      </c>
      <c r="V1116" s="3">
        <v>33</v>
      </c>
      <c r="W1116" s="3">
        <v>87</v>
      </c>
    </row>
    <row r="1117" spans="1:23" ht="11.25" customHeight="1" x14ac:dyDescent="0.25">
      <c r="A1117" s="3" t="s">
        <v>21</v>
      </c>
      <c r="B1117" s="3" t="s">
        <v>37</v>
      </c>
      <c r="C1117" s="3" t="s">
        <v>23</v>
      </c>
      <c r="D1117" s="3" t="s">
        <v>49</v>
      </c>
      <c r="E1117" s="3" t="s">
        <v>50</v>
      </c>
      <c r="F1117" s="3" t="s">
        <v>25</v>
      </c>
      <c r="G1117" s="3" t="s">
        <v>25</v>
      </c>
      <c r="H1117" s="3" t="s">
        <v>25</v>
      </c>
      <c r="I1117" s="6">
        <v>44593</v>
      </c>
      <c r="J1117" s="4">
        <v>0</v>
      </c>
      <c r="K1117" s="4">
        <v>0</v>
      </c>
      <c r="L1117" s="4">
        <v>771.96199999999999</v>
      </c>
      <c r="M1117" s="4">
        <v>725.64427999999998</v>
      </c>
      <c r="N1117" s="4">
        <v>771.96199999999999</v>
      </c>
      <c r="O1117" s="4">
        <v>725.64427999999998</v>
      </c>
      <c r="P1117" s="4">
        <v>282</v>
      </c>
      <c r="Q1117" s="3" t="s">
        <v>26</v>
      </c>
      <c r="R1117" s="3">
        <v>0</v>
      </c>
      <c r="S1117" s="3" t="s">
        <v>320</v>
      </c>
      <c r="T1117" s="3" t="s">
        <v>538</v>
      </c>
      <c r="U1117" s="3">
        <v>0</v>
      </c>
      <c r="V1117" s="3">
        <v>33</v>
      </c>
      <c r="W1117" s="3">
        <v>87</v>
      </c>
    </row>
    <row r="1118" spans="1:23" ht="11.25" customHeight="1" x14ac:dyDescent="0.25">
      <c r="A1118" s="3" t="s">
        <v>21</v>
      </c>
      <c r="B1118" s="3" t="s">
        <v>37</v>
      </c>
      <c r="C1118" s="3" t="s">
        <v>23</v>
      </c>
      <c r="D1118" s="3" t="s">
        <v>49</v>
      </c>
      <c r="E1118" s="3" t="s">
        <v>50</v>
      </c>
      <c r="F1118" s="3" t="s">
        <v>25</v>
      </c>
      <c r="G1118" s="3" t="s">
        <v>25</v>
      </c>
      <c r="H1118" s="3" t="s">
        <v>25</v>
      </c>
      <c r="I1118" s="6">
        <v>44621</v>
      </c>
      <c r="J1118" s="4">
        <v>0</v>
      </c>
      <c r="K1118" s="4">
        <v>0</v>
      </c>
      <c r="L1118" s="4">
        <v>825.13499999999999</v>
      </c>
      <c r="M1118" s="4">
        <v>775.62689999999998</v>
      </c>
      <c r="N1118" s="4">
        <v>825.13499999999999</v>
      </c>
      <c r="O1118" s="4">
        <v>775.62689999999998</v>
      </c>
      <c r="P1118" s="4">
        <v>288</v>
      </c>
      <c r="Q1118" s="3" t="s">
        <v>26</v>
      </c>
      <c r="R1118" s="3">
        <v>0</v>
      </c>
      <c r="S1118" s="3" t="s">
        <v>321</v>
      </c>
      <c r="T1118" s="3" t="s">
        <v>539</v>
      </c>
      <c r="U1118" s="3">
        <v>0</v>
      </c>
      <c r="V1118" s="3">
        <v>33</v>
      </c>
      <c r="W1118" s="3">
        <v>87</v>
      </c>
    </row>
    <row r="1119" spans="1:23" ht="11.25" customHeight="1" x14ac:dyDescent="0.25">
      <c r="A1119" s="3" t="s">
        <v>21</v>
      </c>
      <c r="B1119" s="3" t="s">
        <v>37</v>
      </c>
      <c r="C1119" s="3" t="s">
        <v>23</v>
      </c>
      <c r="D1119" s="3" t="s">
        <v>49</v>
      </c>
      <c r="E1119" s="3" t="s">
        <v>50</v>
      </c>
      <c r="F1119" s="3" t="s">
        <v>25</v>
      </c>
      <c r="G1119" s="3" t="s">
        <v>25</v>
      </c>
      <c r="H1119" s="3" t="s">
        <v>25</v>
      </c>
      <c r="I1119" s="6">
        <v>44652</v>
      </c>
      <c r="J1119" s="4">
        <v>0</v>
      </c>
      <c r="K1119" s="4">
        <v>0</v>
      </c>
      <c r="L1119" s="4">
        <v>825.13499999999999</v>
      </c>
      <c r="M1119" s="4">
        <v>775.62689999999998</v>
      </c>
      <c r="N1119" s="4">
        <v>825.13499999999999</v>
      </c>
      <c r="O1119" s="4">
        <v>775.62689999999998</v>
      </c>
      <c r="P1119" s="4">
        <v>288</v>
      </c>
      <c r="Q1119" s="3" t="s">
        <v>26</v>
      </c>
      <c r="R1119" s="3">
        <v>0</v>
      </c>
      <c r="S1119" s="3" t="s">
        <v>322</v>
      </c>
      <c r="T1119" s="3" t="s">
        <v>540</v>
      </c>
      <c r="U1119" s="3">
        <v>0</v>
      </c>
      <c r="V1119" s="3">
        <v>33</v>
      </c>
      <c r="W1119" s="3">
        <v>87</v>
      </c>
    </row>
    <row r="1120" spans="1:23" ht="11.25" customHeight="1" x14ac:dyDescent="0.25">
      <c r="A1120" s="3" t="s">
        <v>21</v>
      </c>
      <c r="B1120" s="3" t="s">
        <v>37</v>
      </c>
      <c r="C1120" s="3" t="s">
        <v>23</v>
      </c>
      <c r="D1120" s="3" t="s">
        <v>49</v>
      </c>
      <c r="E1120" s="3" t="s">
        <v>50</v>
      </c>
      <c r="F1120" s="3" t="s">
        <v>25</v>
      </c>
      <c r="G1120" s="3" t="s">
        <v>25</v>
      </c>
      <c r="H1120" s="3" t="s">
        <v>25</v>
      </c>
      <c r="I1120" s="6">
        <v>44682</v>
      </c>
      <c r="J1120" s="4">
        <v>0</v>
      </c>
      <c r="K1120" s="4">
        <v>0</v>
      </c>
      <c r="L1120" s="4">
        <v>801.51499999999999</v>
      </c>
      <c r="M1120" s="4">
        <v>753.42409999999995</v>
      </c>
      <c r="N1120" s="4">
        <v>801.51499999999999</v>
      </c>
      <c r="O1120" s="4">
        <v>753.42409999999995</v>
      </c>
      <c r="P1120" s="4">
        <v>288</v>
      </c>
      <c r="Q1120" s="3" t="s">
        <v>26</v>
      </c>
      <c r="R1120" s="3">
        <v>0</v>
      </c>
      <c r="S1120" s="3" t="s">
        <v>323</v>
      </c>
      <c r="T1120" s="3" t="s">
        <v>541</v>
      </c>
      <c r="U1120" s="3">
        <v>0</v>
      </c>
      <c r="V1120" s="3">
        <v>33</v>
      </c>
      <c r="W1120" s="3">
        <v>87</v>
      </c>
    </row>
    <row r="1121" spans="1:23" ht="11.25" customHeight="1" x14ac:dyDescent="0.25">
      <c r="A1121" s="3" t="s">
        <v>27</v>
      </c>
      <c r="B1121" s="3" t="s">
        <v>37</v>
      </c>
      <c r="C1121" s="3" t="s">
        <v>23</v>
      </c>
      <c r="D1121" s="3" t="s">
        <v>49</v>
      </c>
      <c r="E1121" s="3" t="s">
        <v>50</v>
      </c>
      <c r="F1121" s="3" t="s">
        <v>25</v>
      </c>
      <c r="G1121" s="3" t="s">
        <v>25</v>
      </c>
      <c r="H1121" s="3" t="s">
        <v>25</v>
      </c>
      <c r="I1121" s="6">
        <v>44682</v>
      </c>
      <c r="J1121" s="4">
        <v>0</v>
      </c>
      <c r="K1121" s="4">
        <v>0</v>
      </c>
      <c r="L1121" s="4">
        <v>69.284000000000006</v>
      </c>
      <c r="M1121" s="4">
        <v>65.126959999999997</v>
      </c>
      <c r="N1121" s="4">
        <v>69.284000000000006</v>
      </c>
      <c r="O1121" s="4">
        <v>65.126959999999997</v>
      </c>
      <c r="P1121" s="4">
        <v>16</v>
      </c>
      <c r="Q1121" s="3" t="s">
        <v>26</v>
      </c>
      <c r="R1121" s="3">
        <v>0</v>
      </c>
      <c r="S1121" s="3" t="s">
        <v>323</v>
      </c>
      <c r="T1121" s="3" t="s">
        <v>541</v>
      </c>
      <c r="U1121" s="3">
        <v>0</v>
      </c>
      <c r="V1121" s="3">
        <v>33</v>
      </c>
      <c r="W1121" s="3">
        <v>87</v>
      </c>
    </row>
    <row r="1122" spans="1:23" ht="11.25" customHeight="1" x14ac:dyDescent="0.25">
      <c r="A1122" s="3" t="s">
        <v>21</v>
      </c>
      <c r="B1122" s="3" t="s">
        <v>37</v>
      </c>
      <c r="C1122" s="3" t="s">
        <v>23</v>
      </c>
      <c r="D1122" s="3" t="s">
        <v>49</v>
      </c>
      <c r="E1122" s="3" t="s">
        <v>50</v>
      </c>
      <c r="F1122" s="3" t="s">
        <v>25</v>
      </c>
      <c r="G1122" s="3" t="s">
        <v>25</v>
      </c>
      <c r="H1122" s="3" t="s">
        <v>25</v>
      </c>
      <c r="I1122" s="6">
        <v>44713</v>
      </c>
      <c r="J1122" s="4">
        <v>0</v>
      </c>
      <c r="K1122" s="4">
        <v>0</v>
      </c>
      <c r="L1122" s="4">
        <v>794.80899999999997</v>
      </c>
      <c r="M1122" s="4">
        <v>747.12045999999998</v>
      </c>
      <c r="N1122" s="4">
        <v>794.80899999999997</v>
      </c>
      <c r="O1122" s="4">
        <v>747.12045999999998</v>
      </c>
      <c r="P1122" s="4">
        <v>288</v>
      </c>
      <c r="Q1122" s="3" t="s">
        <v>26</v>
      </c>
      <c r="R1122" s="3">
        <v>0</v>
      </c>
      <c r="S1122" s="3" t="s">
        <v>324</v>
      </c>
      <c r="T1122" s="3" t="s">
        <v>542</v>
      </c>
      <c r="U1122" s="3">
        <v>0</v>
      </c>
      <c r="V1122" s="3">
        <v>33</v>
      </c>
      <c r="W1122" s="3">
        <v>87</v>
      </c>
    </row>
    <row r="1123" spans="1:23" ht="11.25" customHeight="1" x14ac:dyDescent="0.25">
      <c r="A1123" s="3" t="s">
        <v>27</v>
      </c>
      <c r="B1123" s="3" t="s">
        <v>37</v>
      </c>
      <c r="C1123" s="3" t="s">
        <v>23</v>
      </c>
      <c r="D1123" s="3" t="s">
        <v>49</v>
      </c>
      <c r="E1123" s="3" t="s">
        <v>50</v>
      </c>
      <c r="F1123" s="3" t="s">
        <v>25</v>
      </c>
      <c r="G1123" s="3" t="s">
        <v>25</v>
      </c>
      <c r="H1123" s="3" t="s">
        <v>25</v>
      </c>
      <c r="I1123" s="6">
        <v>44713</v>
      </c>
      <c r="J1123" s="4">
        <v>0</v>
      </c>
      <c r="K1123" s="4">
        <v>0</v>
      </c>
      <c r="L1123" s="4">
        <v>-4.0949999999999998</v>
      </c>
      <c r="M1123" s="4">
        <v>-3.8492999999999995</v>
      </c>
      <c r="N1123" s="4">
        <v>-4.0949999999999998</v>
      </c>
      <c r="O1123" s="4">
        <v>-3.8492999999999995</v>
      </c>
      <c r="P1123" s="4">
        <v>1</v>
      </c>
      <c r="Q1123" s="3" t="s">
        <v>26</v>
      </c>
      <c r="R1123" s="3">
        <v>0</v>
      </c>
      <c r="S1123" s="3" t="s">
        <v>324</v>
      </c>
      <c r="T1123" s="3" t="s">
        <v>542</v>
      </c>
      <c r="U1123" s="3">
        <v>0</v>
      </c>
      <c r="V1123" s="3">
        <v>33</v>
      </c>
      <c r="W1123" s="3">
        <v>87</v>
      </c>
    </row>
    <row r="1124" spans="1:23" ht="11.25" customHeight="1" x14ac:dyDescent="0.25">
      <c r="A1124" s="3" t="s">
        <v>21</v>
      </c>
      <c r="B1124" s="3" t="s">
        <v>37</v>
      </c>
      <c r="C1124" s="3" t="s">
        <v>23</v>
      </c>
      <c r="D1124" s="3" t="s">
        <v>49</v>
      </c>
      <c r="E1124" s="3" t="s">
        <v>50</v>
      </c>
      <c r="F1124" s="3" t="s">
        <v>25</v>
      </c>
      <c r="G1124" s="3" t="s">
        <v>25</v>
      </c>
      <c r="H1124" s="3" t="s">
        <v>25</v>
      </c>
      <c r="I1124" s="6">
        <v>44743</v>
      </c>
      <c r="J1124" s="4">
        <v>0</v>
      </c>
      <c r="K1124" s="4">
        <v>0</v>
      </c>
      <c r="L1124" s="4">
        <v>772.72500000000002</v>
      </c>
      <c r="M1124" s="4">
        <v>726.36149999999998</v>
      </c>
      <c r="N1124" s="4">
        <v>772.72500000000002</v>
      </c>
      <c r="O1124" s="4">
        <v>726.36149999999998</v>
      </c>
      <c r="P1124" s="4">
        <v>293</v>
      </c>
      <c r="Q1124" s="3" t="s">
        <v>26</v>
      </c>
      <c r="R1124" s="3">
        <v>0</v>
      </c>
      <c r="S1124" s="3" t="s">
        <v>325</v>
      </c>
      <c r="T1124" s="3" t="s">
        <v>543</v>
      </c>
      <c r="U1124" s="3">
        <v>0</v>
      </c>
      <c r="V1124" s="3">
        <v>33</v>
      </c>
      <c r="W1124" s="3">
        <v>87</v>
      </c>
    </row>
    <row r="1125" spans="1:23" ht="11.25" customHeight="1" x14ac:dyDescent="0.25">
      <c r="A1125" s="3" t="s">
        <v>27</v>
      </c>
      <c r="B1125" s="3" t="s">
        <v>37</v>
      </c>
      <c r="C1125" s="3" t="s">
        <v>23</v>
      </c>
      <c r="D1125" s="3" t="s">
        <v>49</v>
      </c>
      <c r="E1125" s="3" t="s">
        <v>50</v>
      </c>
      <c r="F1125" s="3" t="s">
        <v>25</v>
      </c>
      <c r="G1125" s="3" t="s">
        <v>25</v>
      </c>
      <c r="H1125" s="3" t="s">
        <v>25</v>
      </c>
      <c r="I1125" s="6">
        <v>44743</v>
      </c>
      <c r="J1125" s="4">
        <v>0</v>
      </c>
      <c r="K1125" s="4">
        <v>0</v>
      </c>
      <c r="L1125" s="4">
        <v>4.7789999999999999</v>
      </c>
      <c r="M1125" s="4">
        <v>4.4922599999999999</v>
      </c>
      <c r="N1125" s="4">
        <v>4.7789999999999999</v>
      </c>
      <c r="O1125" s="4">
        <v>4.4922599999999999</v>
      </c>
      <c r="P1125" s="4">
        <v>3</v>
      </c>
      <c r="Q1125" s="3" t="s">
        <v>26</v>
      </c>
      <c r="R1125" s="3">
        <v>0</v>
      </c>
      <c r="S1125" s="3" t="s">
        <v>325</v>
      </c>
      <c r="T1125" s="3" t="s">
        <v>543</v>
      </c>
      <c r="U1125" s="3">
        <v>0</v>
      </c>
      <c r="V1125" s="3">
        <v>33</v>
      </c>
      <c r="W1125" s="3">
        <v>87</v>
      </c>
    </row>
    <row r="1126" spans="1:23" ht="11.25" customHeight="1" x14ac:dyDescent="0.25">
      <c r="A1126" s="3" t="s">
        <v>21</v>
      </c>
      <c r="B1126" s="3" t="s">
        <v>37</v>
      </c>
      <c r="C1126" s="3" t="s">
        <v>23</v>
      </c>
      <c r="D1126" s="3" t="s">
        <v>49</v>
      </c>
      <c r="E1126" s="3" t="s">
        <v>50</v>
      </c>
      <c r="F1126" s="3" t="s">
        <v>25</v>
      </c>
      <c r="G1126" s="3" t="s">
        <v>25</v>
      </c>
      <c r="H1126" s="3" t="s">
        <v>25</v>
      </c>
      <c r="I1126" s="6">
        <v>44774</v>
      </c>
      <c r="J1126" s="4">
        <v>0</v>
      </c>
      <c r="K1126" s="4">
        <v>0</v>
      </c>
      <c r="L1126" s="4">
        <v>860.15499999999997</v>
      </c>
      <c r="M1126" s="4">
        <v>808.54570000000001</v>
      </c>
      <c r="N1126" s="4">
        <v>860.15499999999997</v>
      </c>
      <c r="O1126" s="4">
        <v>808.54570000000001</v>
      </c>
      <c r="P1126" s="4">
        <v>297</v>
      </c>
      <c r="Q1126" s="3" t="s">
        <v>26</v>
      </c>
      <c r="R1126" s="3">
        <v>0</v>
      </c>
      <c r="S1126" s="3" t="s">
        <v>326</v>
      </c>
      <c r="T1126" s="3" t="s">
        <v>544</v>
      </c>
      <c r="U1126" s="3">
        <v>0</v>
      </c>
      <c r="V1126" s="3">
        <v>33</v>
      </c>
      <c r="W1126" s="3">
        <v>87</v>
      </c>
    </row>
    <row r="1127" spans="1:23" ht="11.25" customHeight="1" x14ac:dyDescent="0.25">
      <c r="A1127" s="3" t="s">
        <v>27</v>
      </c>
      <c r="B1127" s="3" t="s">
        <v>37</v>
      </c>
      <c r="C1127" s="3" t="s">
        <v>23</v>
      </c>
      <c r="D1127" s="3" t="s">
        <v>49</v>
      </c>
      <c r="E1127" s="3" t="s">
        <v>50</v>
      </c>
      <c r="F1127" s="3" t="s">
        <v>25</v>
      </c>
      <c r="G1127" s="3" t="s">
        <v>25</v>
      </c>
      <c r="H1127" s="3" t="s">
        <v>25</v>
      </c>
      <c r="I1127" s="6">
        <v>44774</v>
      </c>
      <c r="J1127" s="4">
        <v>0</v>
      </c>
      <c r="K1127" s="4">
        <v>0</v>
      </c>
      <c r="L1127" s="4">
        <v>4.7990000000000004</v>
      </c>
      <c r="M1127" s="4">
        <v>4.5110600000000005</v>
      </c>
      <c r="N1127" s="4">
        <v>4.7990000000000004</v>
      </c>
      <c r="O1127" s="4">
        <v>4.5110600000000005</v>
      </c>
      <c r="P1127" s="4">
        <v>3</v>
      </c>
      <c r="Q1127" s="3" t="s">
        <v>26</v>
      </c>
      <c r="R1127" s="3">
        <v>0</v>
      </c>
      <c r="S1127" s="3" t="s">
        <v>326</v>
      </c>
      <c r="T1127" s="3" t="s">
        <v>544</v>
      </c>
      <c r="U1127" s="3">
        <v>0</v>
      </c>
      <c r="V1127" s="3">
        <v>33</v>
      </c>
      <c r="W1127" s="3">
        <v>87</v>
      </c>
    </row>
    <row r="1128" spans="1:23" ht="11.25" customHeight="1" x14ac:dyDescent="0.25">
      <c r="A1128" s="3" t="s">
        <v>21</v>
      </c>
      <c r="B1128" s="3" t="s">
        <v>37</v>
      </c>
      <c r="C1128" s="3" t="s">
        <v>23</v>
      </c>
      <c r="D1128" s="3" t="s">
        <v>49</v>
      </c>
      <c r="E1128" s="3" t="s">
        <v>50</v>
      </c>
      <c r="F1128" s="3" t="s">
        <v>25</v>
      </c>
      <c r="G1128" s="3" t="s">
        <v>25</v>
      </c>
      <c r="H1128" s="3" t="s">
        <v>25</v>
      </c>
      <c r="I1128" s="6">
        <v>44805</v>
      </c>
      <c r="J1128" s="4">
        <v>0</v>
      </c>
      <c r="K1128" s="4">
        <v>0</v>
      </c>
      <c r="L1128" s="4">
        <v>807.41300000000001</v>
      </c>
      <c r="M1128" s="4">
        <v>758.96821999999997</v>
      </c>
      <c r="N1128" s="4">
        <v>807.41300000000001</v>
      </c>
      <c r="O1128" s="4">
        <v>758.96821999999997</v>
      </c>
      <c r="P1128" s="4">
        <v>300</v>
      </c>
      <c r="Q1128" s="3" t="s">
        <v>26</v>
      </c>
      <c r="R1128" s="3">
        <v>0</v>
      </c>
      <c r="S1128" s="3" t="s">
        <v>327</v>
      </c>
      <c r="T1128" s="3" t="s">
        <v>545</v>
      </c>
      <c r="U1128" s="3">
        <v>0</v>
      </c>
      <c r="V1128" s="3">
        <v>33</v>
      </c>
      <c r="W1128" s="3">
        <v>87</v>
      </c>
    </row>
    <row r="1129" spans="1:23" ht="11.25" customHeight="1" x14ac:dyDescent="0.25">
      <c r="A1129" s="3" t="s">
        <v>27</v>
      </c>
      <c r="B1129" s="3" t="s">
        <v>37</v>
      </c>
      <c r="C1129" s="3" t="s">
        <v>23</v>
      </c>
      <c r="D1129" s="3" t="s">
        <v>49</v>
      </c>
      <c r="E1129" s="3" t="s">
        <v>50</v>
      </c>
      <c r="F1129" s="3" t="s">
        <v>25</v>
      </c>
      <c r="G1129" s="3" t="s">
        <v>25</v>
      </c>
      <c r="H1129" s="3" t="s">
        <v>25</v>
      </c>
      <c r="I1129" s="6">
        <v>44805</v>
      </c>
      <c r="J1129" s="4">
        <v>0</v>
      </c>
      <c r="K1129" s="4">
        <v>0</v>
      </c>
      <c r="L1129" s="4">
        <v>0.92600000000000005</v>
      </c>
      <c r="M1129" s="4">
        <v>0.87043999999999999</v>
      </c>
      <c r="N1129" s="4">
        <v>0.92600000000000005</v>
      </c>
      <c r="O1129" s="4">
        <v>0.87043999999999999</v>
      </c>
      <c r="P1129" s="4">
        <v>1</v>
      </c>
      <c r="Q1129" s="3" t="s">
        <v>26</v>
      </c>
      <c r="R1129" s="3">
        <v>0</v>
      </c>
      <c r="S1129" s="3" t="s">
        <v>327</v>
      </c>
      <c r="T1129" s="3" t="s">
        <v>545</v>
      </c>
      <c r="U1129" s="3">
        <v>0</v>
      </c>
      <c r="V1129" s="3">
        <v>33</v>
      </c>
      <c r="W1129" s="3">
        <v>87</v>
      </c>
    </row>
    <row r="1130" spans="1:23" ht="11.25" customHeight="1" x14ac:dyDescent="0.25">
      <c r="A1130" s="3" t="s">
        <v>55</v>
      </c>
      <c r="B1130" s="3" t="s">
        <v>37</v>
      </c>
      <c r="C1130" s="3" t="s">
        <v>23</v>
      </c>
      <c r="D1130" s="3" t="s">
        <v>49</v>
      </c>
      <c r="E1130" s="3" t="s">
        <v>50</v>
      </c>
      <c r="F1130" s="3" t="s">
        <v>25</v>
      </c>
      <c r="G1130" s="3" t="s">
        <v>25</v>
      </c>
      <c r="H1130" s="3" t="s">
        <v>25</v>
      </c>
      <c r="I1130" s="6">
        <v>44835</v>
      </c>
      <c r="J1130" s="4">
        <v>0</v>
      </c>
      <c r="K1130" s="4">
        <v>0</v>
      </c>
      <c r="L1130" s="4">
        <v>807.41300000000001</v>
      </c>
      <c r="M1130" s="4">
        <v>758.96821999999997</v>
      </c>
      <c r="N1130" s="4">
        <v>807.41300000000001</v>
      </c>
      <c r="O1130" s="4">
        <v>758.96821999999997</v>
      </c>
      <c r="P1130" s="4">
        <v>300</v>
      </c>
      <c r="Q1130" s="3" t="s">
        <v>26</v>
      </c>
      <c r="R1130" s="3">
        <v>0</v>
      </c>
      <c r="S1130" s="3" t="s">
        <v>328</v>
      </c>
      <c r="T1130" s="3" t="s">
        <v>546</v>
      </c>
      <c r="U1130" s="3">
        <v>0</v>
      </c>
      <c r="V1130" s="3">
        <v>33</v>
      </c>
      <c r="W1130" s="3">
        <v>87</v>
      </c>
    </row>
    <row r="1131" spans="1:23" ht="11.25" customHeight="1" x14ac:dyDescent="0.25">
      <c r="A1131" s="3" t="s">
        <v>55</v>
      </c>
      <c r="B1131" s="3" t="s">
        <v>37</v>
      </c>
      <c r="C1131" s="3" t="s">
        <v>23</v>
      </c>
      <c r="D1131" s="3" t="s">
        <v>49</v>
      </c>
      <c r="E1131" s="3" t="s">
        <v>50</v>
      </c>
      <c r="F1131" s="3" t="s">
        <v>25</v>
      </c>
      <c r="G1131" s="3" t="s">
        <v>25</v>
      </c>
      <c r="H1131" s="3" t="s">
        <v>25</v>
      </c>
      <c r="I1131" s="6">
        <v>44835</v>
      </c>
      <c r="J1131" s="4">
        <v>0</v>
      </c>
      <c r="K1131" s="4">
        <v>0</v>
      </c>
      <c r="L1131" s="4">
        <v>0.92600000000000005</v>
      </c>
      <c r="M1131" s="4">
        <v>0.87043999999999999</v>
      </c>
      <c r="N1131" s="4">
        <v>0.92600000000000005</v>
      </c>
      <c r="O1131" s="4">
        <v>0.87043999999999999</v>
      </c>
      <c r="P1131" s="4">
        <v>1</v>
      </c>
      <c r="Q1131" s="3" t="s">
        <v>26</v>
      </c>
      <c r="R1131" s="3">
        <v>0</v>
      </c>
      <c r="S1131" s="3" t="s">
        <v>328</v>
      </c>
      <c r="T1131" s="3" t="s">
        <v>546</v>
      </c>
      <c r="U1131" s="3">
        <v>0</v>
      </c>
      <c r="V1131" s="3">
        <v>33</v>
      </c>
      <c r="W1131" s="3">
        <v>87</v>
      </c>
    </row>
    <row r="1132" spans="1:23" ht="11.25" customHeight="1" x14ac:dyDescent="0.25">
      <c r="A1132" s="3" t="s">
        <v>21</v>
      </c>
      <c r="B1132" s="3" t="s">
        <v>46</v>
      </c>
      <c r="C1132" s="3" t="s">
        <v>23</v>
      </c>
      <c r="D1132" s="3" t="s">
        <v>47</v>
      </c>
      <c r="E1132" s="3" t="s">
        <v>48</v>
      </c>
      <c r="F1132" s="3" t="s">
        <v>25</v>
      </c>
      <c r="G1132" s="3" t="s">
        <v>25</v>
      </c>
      <c r="H1132" s="3" t="s">
        <v>25</v>
      </c>
      <c r="I1132" s="6">
        <v>44501</v>
      </c>
      <c r="J1132" s="4">
        <v>0</v>
      </c>
      <c r="K1132" s="4">
        <v>0</v>
      </c>
      <c r="L1132" s="4">
        <v>3233.0050000000001</v>
      </c>
      <c r="M1132" s="4">
        <v>3233.0050000000001</v>
      </c>
      <c r="N1132" s="4">
        <v>3233.0050000000001</v>
      </c>
      <c r="O1132" s="4">
        <v>3233.0050000000001</v>
      </c>
      <c r="P1132" s="4">
        <v>76</v>
      </c>
      <c r="Q1132" s="3" t="s">
        <v>26</v>
      </c>
      <c r="R1132" s="3">
        <v>0</v>
      </c>
      <c r="S1132" s="3" t="s">
        <v>329</v>
      </c>
      <c r="T1132" s="3" t="s">
        <v>547</v>
      </c>
      <c r="U1132" s="3">
        <v>0</v>
      </c>
      <c r="V1132" s="3">
        <v>58</v>
      </c>
      <c r="W1132" s="3">
        <v>86</v>
      </c>
    </row>
    <row r="1133" spans="1:23" ht="11.25" customHeight="1" x14ac:dyDescent="0.25">
      <c r="A1133" s="3" t="s">
        <v>28</v>
      </c>
      <c r="B1133" s="3" t="s">
        <v>46</v>
      </c>
      <c r="C1133" s="3" t="s">
        <v>23</v>
      </c>
      <c r="D1133" s="3" t="s">
        <v>47</v>
      </c>
      <c r="E1133" s="3" t="s">
        <v>48</v>
      </c>
      <c r="F1133" s="3" t="s">
        <v>25</v>
      </c>
      <c r="G1133" s="3" t="s">
        <v>25</v>
      </c>
      <c r="H1133" s="3" t="s">
        <v>25</v>
      </c>
      <c r="I1133" s="6">
        <v>44501</v>
      </c>
      <c r="J1133" s="4">
        <v>0</v>
      </c>
      <c r="K1133" s="4">
        <v>0</v>
      </c>
      <c r="L1133" s="4">
        <v>280.19799999999998</v>
      </c>
      <c r="M1133" s="4">
        <v>280.19799999999998</v>
      </c>
      <c r="N1133" s="4">
        <v>280.19799999999998</v>
      </c>
      <c r="O1133" s="4">
        <v>280.19799999999998</v>
      </c>
      <c r="P1133" s="4">
        <v>92</v>
      </c>
      <c r="Q1133" s="3" t="s">
        <v>26</v>
      </c>
      <c r="R1133" s="3">
        <v>0</v>
      </c>
      <c r="S1133" s="3" t="s">
        <v>329</v>
      </c>
      <c r="T1133" s="3" t="s">
        <v>547</v>
      </c>
      <c r="U1133" s="3">
        <v>0</v>
      </c>
      <c r="V1133" s="3">
        <v>58</v>
      </c>
      <c r="W1133" s="3">
        <v>86</v>
      </c>
    </row>
    <row r="1134" spans="1:23" ht="11.25" customHeight="1" x14ac:dyDescent="0.25">
      <c r="A1134" s="3" t="s">
        <v>21</v>
      </c>
      <c r="B1134" s="3" t="s">
        <v>46</v>
      </c>
      <c r="C1134" s="3" t="s">
        <v>23</v>
      </c>
      <c r="D1134" s="3" t="s">
        <v>47</v>
      </c>
      <c r="E1134" s="3" t="s">
        <v>48</v>
      </c>
      <c r="F1134" s="3" t="s">
        <v>25</v>
      </c>
      <c r="G1134" s="3" t="s">
        <v>25</v>
      </c>
      <c r="H1134" s="3" t="s">
        <v>25</v>
      </c>
      <c r="I1134" s="6">
        <v>44531</v>
      </c>
      <c r="J1134" s="4">
        <v>0</v>
      </c>
      <c r="K1134" s="4">
        <v>0</v>
      </c>
      <c r="L1134" s="4">
        <v>3371.1030000000001</v>
      </c>
      <c r="M1134" s="4">
        <v>3371.1030000000001</v>
      </c>
      <c r="N1134" s="4">
        <v>3371.1030000000001</v>
      </c>
      <c r="O1134" s="4">
        <v>3371.1030000000001</v>
      </c>
      <c r="P1134" s="4">
        <v>76</v>
      </c>
      <c r="Q1134" s="3" t="s">
        <v>26</v>
      </c>
      <c r="R1134" s="3">
        <v>0</v>
      </c>
      <c r="S1134" s="3" t="s">
        <v>330</v>
      </c>
      <c r="T1134" s="3" t="s">
        <v>548</v>
      </c>
      <c r="U1134" s="3">
        <v>0</v>
      </c>
      <c r="V1134" s="3">
        <v>58</v>
      </c>
      <c r="W1134" s="3">
        <v>86</v>
      </c>
    </row>
    <row r="1135" spans="1:23" ht="11.25" customHeight="1" x14ac:dyDescent="0.25">
      <c r="A1135" s="3" t="s">
        <v>28</v>
      </c>
      <c r="B1135" s="3" t="s">
        <v>46</v>
      </c>
      <c r="C1135" s="3" t="s">
        <v>23</v>
      </c>
      <c r="D1135" s="3" t="s">
        <v>47</v>
      </c>
      <c r="E1135" s="3" t="s">
        <v>48</v>
      </c>
      <c r="F1135" s="3" t="s">
        <v>25</v>
      </c>
      <c r="G1135" s="3" t="s">
        <v>25</v>
      </c>
      <c r="H1135" s="3" t="s">
        <v>25</v>
      </c>
      <c r="I1135" s="6">
        <v>44531</v>
      </c>
      <c r="J1135" s="4">
        <v>0</v>
      </c>
      <c r="K1135" s="4">
        <v>0</v>
      </c>
      <c r="L1135" s="4">
        <v>291.54000000000002</v>
      </c>
      <c r="M1135" s="4">
        <v>291.54000000000002</v>
      </c>
      <c r="N1135" s="4">
        <v>291.54000000000002</v>
      </c>
      <c r="O1135" s="4">
        <v>291.54000000000002</v>
      </c>
      <c r="P1135" s="4">
        <v>92</v>
      </c>
      <c r="Q1135" s="3" t="s">
        <v>26</v>
      </c>
      <c r="R1135" s="3">
        <v>0</v>
      </c>
      <c r="S1135" s="3" t="s">
        <v>330</v>
      </c>
      <c r="T1135" s="3" t="s">
        <v>548</v>
      </c>
      <c r="U1135" s="3">
        <v>0</v>
      </c>
      <c r="V1135" s="3">
        <v>58</v>
      </c>
      <c r="W1135" s="3">
        <v>86</v>
      </c>
    </row>
    <row r="1136" spans="1:23" ht="11.25" customHeight="1" x14ac:dyDescent="0.25">
      <c r="A1136" s="3" t="s">
        <v>21</v>
      </c>
      <c r="B1136" s="3" t="s">
        <v>46</v>
      </c>
      <c r="C1136" s="3" t="s">
        <v>23</v>
      </c>
      <c r="D1136" s="3" t="s">
        <v>47</v>
      </c>
      <c r="E1136" s="3" t="s">
        <v>48</v>
      </c>
      <c r="F1136" s="3" t="s">
        <v>25</v>
      </c>
      <c r="G1136" s="3" t="s">
        <v>25</v>
      </c>
      <c r="H1136" s="3" t="s">
        <v>25</v>
      </c>
      <c r="I1136" s="6">
        <v>44562</v>
      </c>
      <c r="J1136" s="4">
        <v>0</v>
      </c>
      <c r="K1136" s="4">
        <v>0</v>
      </c>
      <c r="L1136" s="4">
        <v>3335.0120000000002</v>
      </c>
      <c r="M1136" s="4">
        <v>3335.0120000000002</v>
      </c>
      <c r="N1136" s="4">
        <v>3335.0120000000002</v>
      </c>
      <c r="O1136" s="4">
        <v>3335.0120000000002</v>
      </c>
      <c r="P1136" s="4">
        <v>76</v>
      </c>
      <c r="Q1136" s="3" t="s">
        <v>26</v>
      </c>
      <c r="R1136" s="3">
        <v>0</v>
      </c>
      <c r="S1136" s="3" t="s">
        <v>331</v>
      </c>
      <c r="T1136" s="3" t="s">
        <v>549</v>
      </c>
      <c r="U1136" s="3">
        <v>0</v>
      </c>
      <c r="V1136" s="3">
        <v>58</v>
      </c>
      <c r="W1136" s="3">
        <v>86</v>
      </c>
    </row>
    <row r="1137" spans="1:23" ht="11.25" customHeight="1" x14ac:dyDescent="0.25">
      <c r="A1137" s="3" t="s">
        <v>28</v>
      </c>
      <c r="B1137" s="3" t="s">
        <v>46</v>
      </c>
      <c r="C1137" s="3" t="s">
        <v>23</v>
      </c>
      <c r="D1137" s="3" t="s">
        <v>47</v>
      </c>
      <c r="E1137" s="3" t="s">
        <v>48</v>
      </c>
      <c r="F1137" s="3" t="s">
        <v>25</v>
      </c>
      <c r="G1137" s="3" t="s">
        <v>25</v>
      </c>
      <c r="H1137" s="3" t="s">
        <v>25</v>
      </c>
      <c r="I1137" s="6">
        <v>44562</v>
      </c>
      <c r="J1137" s="4">
        <v>0</v>
      </c>
      <c r="K1137" s="4">
        <v>0</v>
      </c>
      <c r="L1137" s="4">
        <v>273.601</v>
      </c>
      <c r="M1137" s="4">
        <v>273.601</v>
      </c>
      <c r="N1137" s="4">
        <v>273.601</v>
      </c>
      <c r="O1137" s="4">
        <v>273.601</v>
      </c>
      <c r="P1137" s="4">
        <v>92</v>
      </c>
      <c r="Q1137" s="3" t="s">
        <v>26</v>
      </c>
      <c r="R1137" s="3">
        <v>0</v>
      </c>
      <c r="S1137" s="3" t="s">
        <v>331</v>
      </c>
      <c r="T1137" s="3" t="s">
        <v>549</v>
      </c>
      <c r="U1137" s="3">
        <v>0</v>
      </c>
      <c r="V1137" s="3">
        <v>58</v>
      </c>
      <c r="W1137" s="3">
        <v>86</v>
      </c>
    </row>
    <row r="1138" spans="1:23" ht="11.25" customHeight="1" x14ac:dyDescent="0.25">
      <c r="A1138" s="3" t="s">
        <v>21</v>
      </c>
      <c r="B1138" s="3" t="s">
        <v>46</v>
      </c>
      <c r="C1138" s="3" t="s">
        <v>23</v>
      </c>
      <c r="D1138" s="3" t="s">
        <v>47</v>
      </c>
      <c r="E1138" s="3" t="s">
        <v>48</v>
      </c>
      <c r="F1138" s="3" t="s">
        <v>25</v>
      </c>
      <c r="G1138" s="3" t="s">
        <v>25</v>
      </c>
      <c r="H1138" s="3" t="s">
        <v>25</v>
      </c>
      <c r="I1138" s="6">
        <v>44593</v>
      </c>
      <c r="J1138" s="4">
        <v>0</v>
      </c>
      <c r="K1138" s="4">
        <v>0</v>
      </c>
      <c r="L1138" s="4">
        <v>2936.7840000000001</v>
      </c>
      <c r="M1138" s="4">
        <v>2936.7840000000001</v>
      </c>
      <c r="N1138" s="4">
        <v>2936.7840000000001</v>
      </c>
      <c r="O1138" s="4">
        <v>2936.7840000000001</v>
      </c>
      <c r="P1138" s="4">
        <v>76</v>
      </c>
      <c r="Q1138" s="3" t="s">
        <v>26</v>
      </c>
      <c r="R1138" s="3">
        <v>0</v>
      </c>
      <c r="S1138" s="3" t="s">
        <v>332</v>
      </c>
      <c r="T1138" s="3" t="s">
        <v>550</v>
      </c>
      <c r="U1138" s="3">
        <v>0</v>
      </c>
      <c r="V1138" s="3">
        <v>58</v>
      </c>
      <c r="W1138" s="3">
        <v>86</v>
      </c>
    </row>
    <row r="1139" spans="1:23" ht="11.25" customHeight="1" x14ac:dyDescent="0.25">
      <c r="A1139" s="3" t="s">
        <v>28</v>
      </c>
      <c r="B1139" s="3" t="s">
        <v>46</v>
      </c>
      <c r="C1139" s="3" t="s">
        <v>23</v>
      </c>
      <c r="D1139" s="3" t="s">
        <v>47</v>
      </c>
      <c r="E1139" s="3" t="s">
        <v>48</v>
      </c>
      <c r="F1139" s="3" t="s">
        <v>25</v>
      </c>
      <c r="G1139" s="3" t="s">
        <v>25</v>
      </c>
      <c r="H1139" s="3" t="s">
        <v>25</v>
      </c>
      <c r="I1139" s="6">
        <v>44593</v>
      </c>
      <c r="J1139" s="4">
        <v>0</v>
      </c>
      <c r="K1139" s="4">
        <v>0</v>
      </c>
      <c r="L1139" s="4">
        <v>267.79599999999999</v>
      </c>
      <c r="M1139" s="4">
        <v>267.79599999999999</v>
      </c>
      <c r="N1139" s="4">
        <v>267.79599999999999</v>
      </c>
      <c r="O1139" s="4">
        <v>267.79599999999999</v>
      </c>
      <c r="P1139" s="4">
        <v>92</v>
      </c>
      <c r="Q1139" s="3" t="s">
        <v>26</v>
      </c>
      <c r="R1139" s="3">
        <v>0</v>
      </c>
      <c r="S1139" s="3" t="s">
        <v>332</v>
      </c>
      <c r="T1139" s="3" t="s">
        <v>550</v>
      </c>
      <c r="U1139" s="3">
        <v>0</v>
      </c>
      <c r="V1139" s="3">
        <v>58</v>
      </c>
      <c r="W1139" s="3">
        <v>86</v>
      </c>
    </row>
    <row r="1140" spans="1:23" ht="11.25" customHeight="1" x14ac:dyDescent="0.25">
      <c r="A1140" s="3" t="s">
        <v>21</v>
      </c>
      <c r="B1140" s="3" t="s">
        <v>46</v>
      </c>
      <c r="C1140" s="3" t="s">
        <v>23</v>
      </c>
      <c r="D1140" s="3" t="s">
        <v>47</v>
      </c>
      <c r="E1140" s="3" t="s">
        <v>48</v>
      </c>
      <c r="F1140" s="3" t="s">
        <v>25</v>
      </c>
      <c r="G1140" s="3" t="s">
        <v>25</v>
      </c>
      <c r="H1140" s="3" t="s">
        <v>25</v>
      </c>
      <c r="I1140" s="6">
        <v>44621</v>
      </c>
      <c r="J1140" s="4">
        <v>0</v>
      </c>
      <c r="K1140" s="4">
        <v>0</v>
      </c>
      <c r="L1140" s="4">
        <v>3251.8850000000002</v>
      </c>
      <c r="M1140" s="4">
        <v>3251.8850000000002</v>
      </c>
      <c r="N1140" s="4">
        <v>3251.8850000000002</v>
      </c>
      <c r="O1140" s="4">
        <v>3251.8850000000002</v>
      </c>
      <c r="P1140" s="4">
        <v>78</v>
      </c>
      <c r="Q1140" s="3" t="s">
        <v>26</v>
      </c>
      <c r="R1140" s="3">
        <v>0</v>
      </c>
      <c r="S1140" s="3" t="s">
        <v>333</v>
      </c>
      <c r="T1140" s="3" t="s">
        <v>551</v>
      </c>
      <c r="U1140" s="3">
        <v>0</v>
      </c>
      <c r="V1140" s="3">
        <v>58</v>
      </c>
      <c r="W1140" s="3">
        <v>86</v>
      </c>
    </row>
    <row r="1141" spans="1:23" ht="11.25" customHeight="1" x14ac:dyDescent="0.25">
      <c r="A1141" s="3" t="s">
        <v>28</v>
      </c>
      <c r="B1141" s="3" t="s">
        <v>46</v>
      </c>
      <c r="C1141" s="3" t="s">
        <v>23</v>
      </c>
      <c r="D1141" s="3" t="s">
        <v>47</v>
      </c>
      <c r="E1141" s="3" t="s">
        <v>48</v>
      </c>
      <c r="F1141" s="3" t="s">
        <v>25</v>
      </c>
      <c r="G1141" s="3" t="s">
        <v>25</v>
      </c>
      <c r="H1141" s="3" t="s">
        <v>25</v>
      </c>
      <c r="I1141" s="6">
        <v>44621</v>
      </c>
      <c r="J1141" s="4">
        <v>0</v>
      </c>
      <c r="K1141" s="4">
        <v>0</v>
      </c>
      <c r="L1141" s="4">
        <v>302.46800000000002</v>
      </c>
      <c r="M1141" s="4">
        <v>302.46800000000002</v>
      </c>
      <c r="N1141" s="4">
        <v>302.46800000000002</v>
      </c>
      <c r="O1141" s="4">
        <v>302.46800000000002</v>
      </c>
      <c r="P1141" s="4">
        <v>92</v>
      </c>
      <c r="Q1141" s="3" t="s">
        <v>26</v>
      </c>
      <c r="R1141" s="3">
        <v>0</v>
      </c>
      <c r="S1141" s="3" t="s">
        <v>333</v>
      </c>
      <c r="T1141" s="3" t="s">
        <v>551</v>
      </c>
      <c r="U1141" s="3">
        <v>0</v>
      </c>
      <c r="V1141" s="3">
        <v>58</v>
      </c>
      <c r="W1141" s="3">
        <v>86</v>
      </c>
    </row>
    <row r="1142" spans="1:23" ht="11.25" customHeight="1" x14ac:dyDescent="0.25">
      <c r="A1142" s="3" t="s">
        <v>21</v>
      </c>
      <c r="B1142" s="3" t="s">
        <v>46</v>
      </c>
      <c r="C1142" s="3" t="s">
        <v>23</v>
      </c>
      <c r="D1142" s="3" t="s">
        <v>47</v>
      </c>
      <c r="E1142" s="3" t="s">
        <v>48</v>
      </c>
      <c r="F1142" s="3" t="s">
        <v>25</v>
      </c>
      <c r="G1142" s="3" t="s">
        <v>25</v>
      </c>
      <c r="H1142" s="3" t="s">
        <v>25</v>
      </c>
      <c r="I1142" s="6">
        <v>44652</v>
      </c>
      <c r="J1142" s="4">
        <v>0</v>
      </c>
      <c r="K1142" s="4">
        <v>0</v>
      </c>
      <c r="L1142" s="4">
        <v>3251.8850000000002</v>
      </c>
      <c r="M1142" s="4">
        <v>3251.8850000000002</v>
      </c>
      <c r="N1142" s="4">
        <v>3251.8850000000002</v>
      </c>
      <c r="O1142" s="4">
        <v>3251.8850000000002</v>
      </c>
      <c r="P1142" s="4">
        <v>78</v>
      </c>
      <c r="Q1142" s="3" t="s">
        <v>26</v>
      </c>
      <c r="R1142" s="3">
        <v>0</v>
      </c>
      <c r="S1142" s="3" t="s">
        <v>334</v>
      </c>
      <c r="T1142" s="3" t="s">
        <v>552</v>
      </c>
      <c r="U1142" s="3">
        <v>0</v>
      </c>
      <c r="V1142" s="3">
        <v>58</v>
      </c>
      <c r="W1142" s="3">
        <v>86</v>
      </c>
    </row>
    <row r="1143" spans="1:23" ht="11.25" customHeight="1" x14ac:dyDescent="0.25">
      <c r="A1143" s="3" t="s">
        <v>28</v>
      </c>
      <c r="B1143" s="3" t="s">
        <v>46</v>
      </c>
      <c r="C1143" s="3" t="s">
        <v>23</v>
      </c>
      <c r="D1143" s="3" t="s">
        <v>47</v>
      </c>
      <c r="E1143" s="3" t="s">
        <v>48</v>
      </c>
      <c r="F1143" s="3" t="s">
        <v>25</v>
      </c>
      <c r="G1143" s="3" t="s">
        <v>25</v>
      </c>
      <c r="H1143" s="3" t="s">
        <v>25</v>
      </c>
      <c r="I1143" s="6">
        <v>44652</v>
      </c>
      <c r="J1143" s="4">
        <v>0</v>
      </c>
      <c r="K1143" s="4">
        <v>0</v>
      </c>
      <c r="L1143" s="4">
        <v>302.46800000000002</v>
      </c>
      <c r="M1143" s="4">
        <v>302.46800000000002</v>
      </c>
      <c r="N1143" s="4">
        <v>302.46800000000002</v>
      </c>
      <c r="O1143" s="4">
        <v>302.46800000000002</v>
      </c>
      <c r="P1143" s="4">
        <v>92</v>
      </c>
      <c r="Q1143" s="3" t="s">
        <v>26</v>
      </c>
      <c r="R1143" s="3">
        <v>0</v>
      </c>
      <c r="S1143" s="3" t="s">
        <v>334</v>
      </c>
      <c r="T1143" s="3" t="s">
        <v>552</v>
      </c>
      <c r="U1143" s="3">
        <v>0</v>
      </c>
      <c r="V1143" s="3">
        <v>58</v>
      </c>
      <c r="W1143" s="3">
        <v>86</v>
      </c>
    </row>
    <row r="1144" spans="1:23" ht="11.25" customHeight="1" x14ac:dyDescent="0.25">
      <c r="A1144" s="3" t="s">
        <v>21</v>
      </c>
      <c r="B1144" s="3" t="s">
        <v>46</v>
      </c>
      <c r="C1144" s="3" t="s">
        <v>23</v>
      </c>
      <c r="D1144" s="3" t="s">
        <v>47</v>
      </c>
      <c r="E1144" s="3" t="s">
        <v>48</v>
      </c>
      <c r="F1144" s="3" t="s">
        <v>25</v>
      </c>
      <c r="G1144" s="3" t="s">
        <v>25</v>
      </c>
      <c r="H1144" s="3" t="s">
        <v>25</v>
      </c>
      <c r="I1144" s="6">
        <v>44682</v>
      </c>
      <c r="J1144" s="4">
        <v>0</v>
      </c>
      <c r="K1144" s="4">
        <v>0</v>
      </c>
      <c r="L1144" s="4">
        <v>3242.1950000000002</v>
      </c>
      <c r="M1144" s="4">
        <v>3242.1950000000002</v>
      </c>
      <c r="N1144" s="4">
        <v>3242.1950000000002</v>
      </c>
      <c r="O1144" s="4">
        <v>3242.1950000000002</v>
      </c>
      <c r="P1144" s="4">
        <v>78</v>
      </c>
      <c r="Q1144" s="3" t="s">
        <v>26</v>
      </c>
      <c r="R1144" s="3">
        <v>0</v>
      </c>
      <c r="S1144" s="3" t="s">
        <v>335</v>
      </c>
      <c r="T1144" s="3" t="s">
        <v>553</v>
      </c>
      <c r="U1144" s="3">
        <v>0</v>
      </c>
      <c r="V1144" s="3">
        <v>58</v>
      </c>
      <c r="W1144" s="3">
        <v>86</v>
      </c>
    </row>
    <row r="1145" spans="1:23" ht="11.25" customHeight="1" x14ac:dyDescent="0.25">
      <c r="A1145" s="3" t="s">
        <v>28</v>
      </c>
      <c r="B1145" s="3" t="s">
        <v>46</v>
      </c>
      <c r="C1145" s="3" t="s">
        <v>23</v>
      </c>
      <c r="D1145" s="3" t="s">
        <v>47</v>
      </c>
      <c r="E1145" s="3" t="s">
        <v>48</v>
      </c>
      <c r="F1145" s="3" t="s">
        <v>25</v>
      </c>
      <c r="G1145" s="3" t="s">
        <v>25</v>
      </c>
      <c r="H1145" s="3" t="s">
        <v>25</v>
      </c>
      <c r="I1145" s="6">
        <v>44682</v>
      </c>
      <c r="J1145" s="4">
        <v>0</v>
      </c>
      <c r="K1145" s="4">
        <v>0</v>
      </c>
      <c r="L1145" s="4">
        <v>1157.3</v>
      </c>
      <c r="M1145" s="4">
        <v>1157.3</v>
      </c>
      <c r="N1145" s="4">
        <v>1157.3</v>
      </c>
      <c r="O1145" s="4">
        <v>1157.3</v>
      </c>
      <c r="P1145" s="4">
        <v>368</v>
      </c>
      <c r="Q1145" s="3" t="s">
        <v>26</v>
      </c>
      <c r="R1145" s="3">
        <v>0</v>
      </c>
      <c r="S1145" s="3" t="s">
        <v>335</v>
      </c>
      <c r="T1145" s="3" t="s">
        <v>553</v>
      </c>
      <c r="U1145" s="3">
        <v>0</v>
      </c>
      <c r="V1145" s="3">
        <v>58</v>
      </c>
      <c r="W1145" s="3">
        <v>86</v>
      </c>
    </row>
    <row r="1146" spans="1:23" ht="11.25" customHeight="1" x14ac:dyDescent="0.25">
      <c r="A1146" s="3" t="s">
        <v>21</v>
      </c>
      <c r="B1146" s="3" t="s">
        <v>46</v>
      </c>
      <c r="C1146" s="3" t="s">
        <v>23</v>
      </c>
      <c r="D1146" s="3" t="s">
        <v>47</v>
      </c>
      <c r="E1146" s="3" t="s">
        <v>48</v>
      </c>
      <c r="F1146" s="3" t="s">
        <v>25</v>
      </c>
      <c r="G1146" s="3" t="s">
        <v>25</v>
      </c>
      <c r="H1146" s="3" t="s">
        <v>25</v>
      </c>
      <c r="I1146" s="6">
        <v>44713</v>
      </c>
      <c r="J1146" s="4">
        <v>0</v>
      </c>
      <c r="K1146" s="4">
        <v>0</v>
      </c>
      <c r="L1146" s="4">
        <v>3145.337</v>
      </c>
      <c r="M1146" s="4">
        <v>3145.337</v>
      </c>
      <c r="N1146" s="4">
        <v>3145.337</v>
      </c>
      <c r="O1146" s="4">
        <v>3145.337</v>
      </c>
      <c r="P1146" s="4">
        <v>77</v>
      </c>
      <c r="Q1146" s="3" t="s">
        <v>26</v>
      </c>
      <c r="R1146" s="3">
        <v>0</v>
      </c>
      <c r="S1146" s="3" t="s">
        <v>336</v>
      </c>
      <c r="T1146" s="3" t="s">
        <v>554</v>
      </c>
      <c r="U1146" s="3">
        <v>0</v>
      </c>
      <c r="V1146" s="3">
        <v>58</v>
      </c>
      <c r="W1146" s="3">
        <v>86</v>
      </c>
    </row>
    <row r="1147" spans="1:23" ht="11.25" customHeight="1" x14ac:dyDescent="0.25">
      <c r="A1147" s="3" t="s">
        <v>27</v>
      </c>
      <c r="B1147" s="3" t="s">
        <v>46</v>
      </c>
      <c r="C1147" s="3" t="s">
        <v>23</v>
      </c>
      <c r="D1147" s="3" t="s">
        <v>47</v>
      </c>
      <c r="E1147" s="3" t="s">
        <v>48</v>
      </c>
      <c r="F1147" s="3" t="s">
        <v>25</v>
      </c>
      <c r="G1147" s="3" t="s">
        <v>25</v>
      </c>
      <c r="H1147" s="3" t="s">
        <v>25</v>
      </c>
      <c r="I1147" s="6">
        <v>44713</v>
      </c>
      <c r="J1147" s="4">
        <v>0</v>
      </c>
      <c r="K1147" s="4">
        <v>0</v>
      </c>
      <c r="L1147" s="4">
        <v>-411.89499999999998</v>
      </c>
      <c r="M1147" s="4">
        <v>-411.89499999999998</v>
      </c>
      <c r="N1147" s="4">
        <v>-411.89499999999998</v>
      </c>
      <c r="O1147" s="4">
        <v>-411.89499999999998</v>
      </c>
      <c r="P1147" s="4">
        <v>0</v>
      </c>
      <c r="Q1147" s="3" t="s">
        <v>26</v>
      </c>
      <c r="R1147" s="3">
        <v>0</v>
      </c>
      <c r="S1147" s="3" t="s">
        <v>336</v>
      </c>
      <c r="T1147" s="3" t="s">
        <v>554</v>
      </c>
      <c r="U1147" s="3">
        <v>0</v>
      </c>
      <c r="V1147" s="3">
        <v>58</v>
      </c>
      <c r="W1147" s="3">
        <v>86</v>
      </c>
    </row>
    <row r="1148" spans="1:23" ht="11.25" customHeight="1" x14ac:dyDescent="0.25">
      <c r="A1148" s="3" t="s">
        <v>28</v>
      </c>
      <c r="B1148" s="3" t="s">
        <v>46</v>
      </c>
      <c r="C1148" s="3" t="s">
        <v>23</v>
      </c>
      <c r="D1148" s="3" t="s">
        <v>47</v>
      </c>
      <c r="E1148" s="3" t="s">
        <v>48</v>
      </c>
      <c r="F1148" s="3" t="s">
        <v>25</v>
      </c>
      <c r="G1148" s="3" t="s">
        <v>25</v>
      </c>
      <c r="H1148" s="3" t="s">
        <v>25</v>
      </c>
      <c r="I1148" s="6">
        <v>44713</v>
      </c>
      <c r="J1148" s="4">
        <v>0</v>
      </c>
      <c r="K1148" s="4">
        <v>0</v>
      </c>
      <c r="L1148" s="4">
        <v>292.27800000000002</v>
      </c>
      <c r="M1148" s="4">
        <v>292.27800000000002</v>
      </c>
      <c r="N1148" s="4">
        <v>292.27800000000002</v>
      </c>
      <c r="O1148" s="4">
        <v>292.27800000000002</v>
      </c>
      <c r="P1148" s="4">
        <v>90</v>
      </c>
      <c r="Q1148" s="3" t="s">
        <v>26</v>
      </c>
      <c r="R1148" s="3">
        <v>0</v>
      </c>
      <c r="S1148" s="3" t="s">
        <v>336</v>
      </c>
      <c r="T1148" s="3" t="s">
        <v>554</v>
      </c>
      <c r="U1148" s="3">
        <v>0</v>
      </c>
      <c r="V1148" s="3">
        <v>58</v>
      </c>
      <c r="W1148" s="3">
        <v>86</v>
      </c>
    </row>
    <row r="1149" spans="1:23" ht="11.25" customHeight="1" x14ac:dyDescent="0.25">
      <c r="A1149" s="3" t="s">
        <v>21</v>
      </c>
      <c r="B1149" s="3" t="s">
        <v>46</v>
      </c>
      <c r="C1149" s="3" t="s">
        <v>23</v>
      </c>
      <c r="D1149" s="3" t="s">
        <v>47</v>
      </c>
      <c r="E1149" s="3" t="s">
        <v>48</v>
      </c>
      <c r="F1149" s="3" t="s">
        <v>25</v>
      </c>
      <c r="G1149" s="3" t="s">
        <v>25</v>
      </c>
      <c r="H1149" s="3" t="s">
        <v>25</v>
      </c>
      <c r="I1149" s="6">
        <v>44743</v>
      </c>
      <c r="J1149" s="4">
        <v>0</v>
      </c>
      <c r="K1149" s="4">
        <v>0</v>
      </c>
      <c r="L1149" s="4">
        <v>3269.2910000000002</v>
      </c>
      <c r="M1149" s="4">
        <v>3269.2910000000002</v>
      </c>
      <c r="N1149" s="4">
        <v>3269.2910000000002</v>
      </c>
      <c r="O1149" s="4">
        <v>3269.2910000000002</v>
      </c>
      <c r="P1149" s="4">
        <v>78</v>
      </c>
      <c r="Q1149" s="3" t="s">
        <v>26</v>
      </c>
      <c r="R1149" s="3">
        <v>0</v>
      </c>
      <c r="S1149" s="3" t="s">
        <v>337</v>
      </c>
      <c r="T1149" s="3" t="s">
        <v>555</v>
      </c>
      <c r="U1149" s="3">
        <v>0</v>
      </c>
      <c r="V1149" s="3">
        <v>58</v>
      </c>
      <c r="W1149" s="3">
        <v>86</v>
      </c>
    </row>
    <row r="1150" spans="1:23" ht="11.25" customHeight="1" x14ac:dyDescent="0.25">
      <c r="A1150" s="3" t="s">
        <v>28</v>
      </c>
      <c r="B1150" s="3" t="s">
        <v>46</v>
      </c>
      <c r="C1150" s="3" t="s">
        <v>23</v>
      </c>
      <c r="D1150" s="3" t="s">
        <v>47</v>
      </c>
      <c r="E1150" s="3" t="s">
        <v>48</v>
      </c>
      <c r="F1150" s="3" t="s">
        <v>25</v>
      </c>
      <c r="G1150" s="3" t="s">
        <v>25</v>
      </c>
      <c r="H1150" s="3" t="s">
        <v>25</v>
      </c>
      <c r="I1150" s="6">
        <v>44743</v>
      </c>
      <c r="J1150" s="4">
        <v>0</v>
      </c>
      <c r="K1150" s="4">
        <v>0</v>
      </c>
      <c r="L1150" s="4">
        <v>272.54899999999998</v>
      </c>
      <c r="M1150" s="4">
        <v>272.54899999999998</v>
      </c>
      <c r="N1150" s="4">
        <v>272.54899999999998</v>
      </c>
      <c r="O1150" s="4">
        <v>272.54899999999998</v>
      </c>
      <c r="P1150" s="4">
        <v>91</v>
      </c>
      <c r="Q1150" s="3" t="s">
        <v>26</v>
      </c>
      <c r="R1150" s="3">
        <v>0</v>
      </c>
      <c r="S1150" s="3" t="s">
        <v>337</v>
      </c>
      <c r="T1150" s="3" t="s">
        <v>555</v>
      </c>
      <c r="U1150" s="3">
        <v>0</v>
      </c>
      <c r="V1150" s="3">
        <v>58</v>
      </c>
      <c r="W1150" s="3">
        <v>86</v>
      </c>
    </row>
    <row r="1151" spans="1:23" ht="11.25" customHeight="1" x14ac:dyDescent="0.25">
      <c r="A1151" s="3" t="s">
        <v>21</v>
      </c>
      <c r="B1151" s="3" t="s">
        <v>46</v>
      </c>
      <c r="C1151" s="3" t="s">
        <v>23</v>
      </c>
      <c r="D1151" s="3" t="s">
        <v>47</v>
      </c>
      <c r="E1151" s="3" t="s">
        <v>48</v>
      </c>
      <c r="F1151" s="3" t="s">
        <v>25</v>
      </c>
      <c r="G1151" s="3" t="s">
        <v>25</v>
      </c>
      <c r="H1151" s="3" t="s">
        <v>25</v>
      </c>
      <c r="I1151" s="6">
        <v>44774</v>
      </c>
      <c r="J1151" s="4">
        <v>0</v>
      </c>
      <c r="K1151" s="4">
        <v>0</v>
      </c>
      <c r="L1151" s="4">
        <v>3249.4989999999998</v>
      </c>
      <c r="M1151" s="4">
        <v>3249.4989999999998</v>
      </c>
      <c r="N1151" s="4">
        <v>3249.4989999999998</v>
      </c>
      <c r="O1151" s="4">
        <v>3249.4989999999998</v>
      </c>
      <c r="P1151" s="4">
        <v>78</v>
      </c>
      <c r="Q1151" s="3" t="s">
        <v>26</v>
      </c>
      <c r="R1151" s="3">
        <v>0</v>
      </c>
      <c r="S1151" s="3" t="s">
        <v>338</v>
      </c>
      <c r="T1151" s="3" t="s">
        <v>556</v>
      </c>
      <c r="U1151" s="3">
        <v>0</v>
      </c>
      <c r="V1151" s="3">
        <v>58</v>
      </c>
      <c r="W1151" s="3">
        <v>86</v>
      </c>
    </row>
    <row r="1152" spans="1:23" ht="11.25" customHeight="1" x14ac:dyDescent="0.25">
      <c r="A1152" s="3" t="s">
        <v>28</v>
      </c>
      <c r="B1152" s="3" t="s">
        <v>46</v>
      </c>
      <c r="C1152" s="3" t="s">
        <v>23</v>
      </c>
      <c r="D1152" s="3" t="s">
        <v>47</v>
      </c>
      <c r="E1152" s="3" t="s">
        <v>48</v>
      </c>
      <c r="F1152" s="3" t="s">
        <v>25</v>
      </c>
      <c r="G1152" s="3" t="s">
        <v>25</v>
      </c>
      <c r="H1152" s="3" t="s">
        <v>25</v>
      </c>
      <c r="I1152" s="6">
        <v>44774</v>
      </c>
      <c r="J1152" s="4">
        <v>0</v>
      </c>
      <c r="K1152" s="4">
        <v>0</v>
      </c>
      <c r="L1152" s="4">
        <v>312.15699999999998</v>
      </c>
      <c r="M1152" s="4">
        <v>312.15699999999998</v>
      </c>
      <c r="N1152" s="4">
        <v>312.15699999999998</v>
      </c>
      <c r="O1152" s="4">
        <v>312.15699999999998</v>
      </c>
      <c r="P1152" s="4">
        <v>91</v>
      </c>
      <c r="Q1152" s="3" t="s">
        <v>26</v>
      </c>
      <c r="R1152" s="3">
        <v>0</v>
      </c>
      <c r="S1152" s="3" t="s">
        <v>338</v>
      </c>
      <c r="T1152" s="3" t="s">
        <v>556</v>
      </c>
      <c r="U1152" s="3">
        <v>0</v>
      </c>
      <c r="V1152" s="3">
        <v>58</v>
      </c>
      <c r="W1152" s="3">
        <v>86</v>
      </c>
    </row>
    <row r="1153" spans="1:23" ht="11.25" customHeight="1" x14ac:dyDescent="0.25">
      <c r="A1153" s="3" t="s">
        <v>21</v>
      </c>
      <c r="B1153" s="3" t="s">
        <v>46</v>
      </c>
      <c r="C1153" s="3" t="s">
        <v>23</v>
      </c>
      <c r="D1153" s="3" t="s">
        <v>47</v>
      </c>
      <c r="E1153" s="3" t="s">
        <v>48</v>
      </c>
      <c r="F1153" s="3" t="s">
        <v>25</v>
      </c>
      <c r="G1153" s="3" t="s">
        <v>25</v>
      </c>
      <c r="H1153" s="3" t="s">
        <v>25</v>
      </c>
      <c r="I1153" s="6">
        <v>44805</v>
      </c>
      <c r="J1153" s="4">
        <v>0</v>
      </c>
      <c r="K1153" s="4">
        <v>0</v>
      </c>
      <c r="L1153" s="4">
        <v>3150.6469999999999</v>
      </c>
      <c r="M1153" s="4">
        <v>3150.6469999999999</v>
      </c>
      <c r="N1153" s="4">
        <v>3150.6469999999999</v>
      </c>
      <c r="O1153" s="4">
        <v>3150.6469999999999</v>
      </c>
      <c r="P1153" s="4">
        <v>78</v>
      </c>
      <c r="Q1153" s="3" t="s">
        <v>26</v>
      </c>
      <c r="R1153" s="3">
        <v>0</v>
      </c>
      <c r="S1153" s="3" t="s">
        <v>339</v>
      </c>
      <c r="T1153" s="3" t="s">
        <v>557</v>
      </c>
      <c r="U1153" s="3">
        <v>0</v>
      </c>
      <c r="V1153" s="3">
        <v>58</v>
      </c>
      <c r="W1153" s="3">
        <v>86</v>
      </c>
    </row>
    <row r="1154" spans="1:23" ht="11.25" customHeight="1" x14ac:dyDescent="0.25">
      <c r="A1154" s="3" t="s">
        <v>28</v>
      </c>
      <c r="B1154" s="3" t="s">
        <v>46</v>
      </c>
      <c r="C1154" s="3" t="s">
        <v>23</v>
      </c>
      <c r="D1154" s="3" t="s">
        <v>47</v>
      </c>
      <c r="E1154" s="3" t="s">
        <v>48</v>
      </c>
      <c r="F1154" s="3" t="s">
        <v>25</v>
      </c>
      <c r="G1154" s="3" t="s">
        <v>25</v>
      </c>
      <c r="H1154" s="3" t="s">
        <v>25</v>
      </c>
      <c r="I1154" s="6">
        <v>44805</v>
      </c>
      <c r="J1154" s="4">
        <v>0</v>
      </c>
      <c r="K1154" s="4">
        <v>0</v>
      </c>
      <c r="L1154" s="4">
        <v>284.16000000000003</v>
      </c>
      <c r="M1154" s="4">
        <v>284.16000000000003</v>
      </c>
      <c r="N1154" s="4">
        <v>284.16000000000003</v>
      </c>
      <c r="O1154" s="4">
        <v>284.16000000000003</v>
      </c>
      <c r="P1154" s="4">
        <v>91</v>
      </c>
      <c r="Q1154" s="3" t="s">
        <v>26</v>
      </c>
      <c r="R1154" s="3">
        <v>0</v>
      </c>
      <c r="S1154" s="3" t="s">
        <v>339</v>
      </c>
      <c r="T1154" s="3" t="s">
        <v>557</v>
      </c>
      <c r="U1154" s="3">
        <v>0</v>
      </c>
      <c r="V1154" s="3">
        <v>58</v>
      </c>
      <c r="W1154" s="3">
        <v>86</v>
      </c>
    </row>
    <row r="1155" spans="1:23" ht="11.25" customHeight="1" x14ac:dyDescent="0.25">
      <c r="A1155" s="3" t="s">
        <v>55</v>
      </c>
      <c r="B1155" s="3" t="s">
        <v>46</v>
      </c>
      <c r="C1155" s="3" t="s">
        <v>23</v>
      </c>
      <c r="D1155" s="3" t="s">
        <v>47</v>
      </c>
      <c r="E1155" s="3" t="s">
        <v>48</v>
      </c>
      <c r="F1155" s="3" t="s">
        <v>25</v>
      </c>
      <c r="G1155" s="3" t="s">
        <v>25</v>
      </c>
      <c r="H1155" s="3" t="s">
        <v>25</v>
      </c>
      <c r="I1155" s="6">
        <v>44835</v>
      </c>
      <c r="J1155" s="4">
        <v>0</v>
      </c>
      <c r="K1155" s="4">
        <v>0</v>
      </c>
      <c r="L1155" s="4">
        <v>3150.6469999999999</v>
      </c>
      <c r="M1155" s="4">
        <v>3150.6469999999999</v>
      </c>
      <c r="N1155" s="4">
        <v>3150.6469999999999</v>
      </c>
      <c r="O1155" s="4">
        <v>3150.6469999999999</v>
      </c>
      <c r="P1155" s="4">
        <v>78</v>
      </c>
      <c r="Q1155" s="3" t="s">
        <v>26</v>
      </c>
      <c r="R1155" s="3">
        <v>0</v>
      </c>
      <c r="S1155" s="3" t="s">
        <v>340</v>
      </c>
      <c r="T1155" s="3" t="s">
        <v>558</v>
      </c>
      <c r="U1155" s="3">
        <v>0</v>
      </c>
      <c r="V1155" s="3">
        <v>58</v>
      </c>
      <c r="W1155" s="3">
        <v>86</v>
      </c>
    </row>
    <row r="1156" spans="1:23" ht="11.25" customHeight="1" x14ac:dyDescent="0.25">
      <c r="A1156" s="3" t="s">
        <v>55</v>
      </c>
      <c r="B1156" s="3" t="s">
        <v>46</v>
      </c>
      <c r="C1156" s="3" t="s">
        <v>23</v>
      </c>
      <c r="D1156" s="3" t="s">
        <v>47</v>
      </c>
      <c r="E1156" s="3" t="s">
        <v>48</v>
      </c>
      <c r="F1156" s="3" t="s">
        <v>25</v>
      </c>
      <c r="G1156" s="3" t="s">
        <v>25</v>
      </c>
      <c r="H1156" s="3" t="s">
        <v>25</v>
      </c>
      <c r="I1156" s="6">
        <v>44835</v>
      </c>
      <c r="J1156" s="4">
        <v>0</v>
      </c>
      <c r="K1156" s="4">
        <v>0</v>
      </c>
      <c r="L1156" s="4">
        <v>284.16000000000003</v>
      </c>
      <c r="M1156" s="4">
        <v>284.16000000000003</v>
      </c>
      <c r="N1156" s="4">
        <v>284.16000000000003</v>
      </c>
      <c r="O1156" s="4">
        <v>284.16000000000003</v>
      </c>
      <c r="P1156" s="4">
        <v>91</v>
      </c>
      <c r="Q1156" s="3" t="s">
        <v>26</v>
      </c>
      <c r="R1156" s="3">
        <v>0</v>
      </c>
      <c r="S1156" s="3" t="s">
        <v>340</v>
      </c>
      <c r="T1156" s="3" t="s">
        <v>558</v>
      </c>
      <c r="U1156" s="3">
        <v>0</v>
      </c>
      <c r="V1156" s="3">
        <v>58</v>
      </c>
      <c r="W1156" s="3">
        <v>86</v>
      </c>
    </row>
  </sheetData>
  <sortState xmlns:xlrd2="http://schemas.microsoft.com/office/spreadsheetml/2017/richdata2" ref="A2:W1156">
    <sortCondition ref="B2:B1156"/>
    <sortCondition ref="C2:C1156"/>
    <sortCondition ref="D2:D1156"/>
    <sortCondition ref="E2:E1156"/>
    <sortCondition ref="F2:F1156"/>
    <sortCondition ref="H2:H115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A23A-7D38-43A0-8309-C2A9835CE286}">
  <sheetPr codeName="Planilha2"/>
  <dimension ref="A1:H161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56</v>
      </c>
      <c r="B1" s="7" t="s">
        <v>57</v>
      </c>
      <c r="C1" s="7" t="s">
        <v>58</v>
      </c>
      <c r="D1" s="7" t="s">
        <v>59</v>
      </c>
      <c r="E1" s="7" t="s">
        <v>60</v>
      </c>
      <c r="G1" s="7" t="s">
        <v>61</v>
      </c>
      <c r="H1" s="7">
        <f>COUNTA(A:A)</f>
        <v>161</v>
      </c>
    </row>
    <row r="2" spans="1:8" ht="11.25" customHeight="1" x14ac:dyDescent="0.25">
      <c r="A2" s="8" t="s">
        <v>366</v>
      </c>
      <c r="B2" s="8" t="s">
        <v>367</v>
      </c>
      <c r="C2" s="8" t="s">
        <v>368</v>
      </c>
      <c r="D2" s="8">
        <v>209</v>
      </c>
      <c r="E2" s="8" t="s">
        <v>369</v>
      </c>
    </row>
    <row r="3" spans="1:8" ht="11.25" customHeight="1" x14ac:dyDescent="0.25">
      <c r="A3" s="8" t="s">
        <v>366</v>
      </c>
      <c r="B3" s="8" t="s">
        <v>367</v>
      </c>
      <c r="C3" s="8" t="s">
        <v>368</v>
      </c>
      <c r="D3" s="8">
        <v>210</v>
      </c>
      <c r="E3" s="8" t="s">
        <v>369</v>
      </c>
    </row>
    <row r="4" spans="1:8" ht="11.25" customHeight="1" x14ac:dyDescent="0.25">
      <c r="A4" s="8" t="s">
        <v>366</v>
      </c>
      <c r="B4" s="8" t="s">
        <v>367</v>
      </c>
      <c r="C4" s="8" t="s">
        <v>368</v>
      </c>
      <c r="D4" s="8">
        <v>211</v>
      </c>
      <c r="E4" s="8" t="s">
        <v>369</v>
      </c>
    </row>
    <row r="5" spans="1:8" ht="11.25" customHeight="1" x14ac:dyDescent="0.25">
      <c r="A5" s="8" t="s">
        <v>366</v>
      </c>
      <c r="B5" s="8" t="s">
        <v>367</v>
      </c>
      <c r="C5" s="8" t="s">
        <v>368</v>
      </c>
      <c r="D5" s="8">
        <v>212</v>
      </c>
      <c r="E5" s="8" t="s">
        <v>369</v>
      </c>
    </row>
    <row r="6" spans="1:8" ht="11.25" customHeight="1" x14ac:dyDescent="0.25">
      <c r="A6" s="8" t="s">
        <v>366</v>
      </c>
      <c r="B6" s="8" t="s">
        <v>367</v>
      </c>
      <c r="C6" s="8" t="s">
        <v>368</v>
      </c>
      <c r="D6" s="8">
        <v>213</v>
      </c>
      <c r="E6" s="8" t="s">
        <v>369</v>
      </c>
    </row>
    <row r="7" spans="1:8" ht="11.25" customHeight="1" x14ac:dyDescent="0.25">
      <c r="A7" s="8" t="s">
        <v>366</v>
      </c>
      <c r="B7" s="8" t="s">
        <v>367</v>
      </c>
      <c r="C7" s="8" t="s">
        <v>368</v>
      </c>
      <c r="D7" s="8">
        <v>214</v>
      </c>
      <c r="E7" s="8" t="s">
        <v>369</v>
      </c>
    </row>
    <row r="8" spans="1:8" ht="11.25" customHeight="1" x14ac:dyDescent="0.25">
      <c r="A8" s="8" t="s">
        <v>366</v>
      </c>
      <c r="B8" s="8" t="s">
        <v>367</v>
      </c>
      <c r="C8" s="8" t="s">
        <v>368</v>
      </c>
      <c r="D8" s="8">
        <v>215</v>
      </c>
      <c r="E8" s="8" t="s">
        <v>369</v>
      </c>
    </row>
    <row r="9" spans="1:8" ht="11.25" customHeight="1" x14ac:dyDescent="0.25">
      <c r="A9" s="8" t="s">
        <v>366</v>
      </c>
      <c r="B9" s="8" t="s">
        <v>367</v>
      </c>
      <c r="C9" s="8" t="s">
        <v>368</v>
      </c>
      <c r="D9" s="8">
        <v>216</v>
      </c>
      <c r="E9" s="8" t="s">
        <v>369</v>
      </c>
    </row>
    <row r="10" spans="1:8" ht="11.25" customHeight="1" x14ac:dyDescent="0.25">
      <c r="A10" s="8" t="s">
        <v>366</v>
      </c>
      <c r="B10" s="8" t="s">
        <v>367</v>
      </c>
      <c r="C10" s="8" t="s">
        <v>368</v>
      </c>
      <c r="D10" s="8">
        <v>217</v>
      </c>
      <c r="E10" s="8" t="s">
        <v>369</v>
      </c>
    </row>
    <row r="11" spans="1:8" ht="11.25" customHeight="1" x14ac:dyDescent="0.25">
      <c r="A11" s="8" t="s">
        <v>366</v>
      </c>
      <c r="B11" s="8" t="s">
        <v>367</v>
      </c>
      <c r="C11" s="8" t="s">
        <v>368</v>
      </c>
      <c r="D11" s="8">
        <v>218</v>
      </c>
      <c r="E11" s="8" t="s">
        <v>369</v>
      </c>
    </row>
    <row r="12" spans="1:8" ht="11.25" customHeight="1" x14ac:dyDescent="0.25">
      <c r="A12" s="8" t="s">
        <v>366</v>
      </c>
      <c r="B12" s="8" t="s">
        <v>367</v>
      </c>
      <c r="C12" s="8" t="s">
        <v>368</v>
      </c>
      <c r="D12" s="8">
        <v>219</v>
      </c>
      <c r="E12" s="8" t="s">
        <v>369</v>
      </c>
    </row>
    <row r="13" spans="1:8" ht="11.25" customHeight="1" x14ac:dyDescent="0.25">
      <c r="A13" s="8" t="s">
        <v>366</v>
      </c>
      <c r="B13" s="8" t="s">
        <v>367</v>
      </c>
      <c r="C13" s="8" t="s">
        <v>368</v>
      </c>
      <c r="D13" s="8">
        <v>220</v>
      </c>
      <c r="E13" s="8" t="s">
        <v>369</v>
      </c>
    </row>
    <row r="14" spans="1:8" ht="11.25" customHeight="1" x14ac:dyDescent="0.25">
      <c r="A14" s="8" t="s">
        <v>366</v>
      </c>
      <c r="B14" s="8" t="s">
        <v>367</v>
      </c>
      <c r="C14" s="8" t="s">
        <v>368</v>
      </c>
      <c r="D14" s="8">
        <v>221</v>
      </c>
      <c r="E14" s="8" t="s">
        <v>369</v>
      </c>
    </row>
    <row r="15" spans="1:8" ht="11.25" customHeight="1" x14ac:dyDescent="0.25">
      <c r="A15" s="8" t="s">
        <v>366</v>
      </c>
      <c r="B15" s="8" t="s">
        <v>367</v>
      </c>
      <c r="C15" s="8" t="s">
        <v>368</v>
      </c>
      <c r="D15" s="8">
        <v>222</v>
      </c>
      <c r="E15" s="8" t="s">
        <v>369</v>
      </c>
    </row>
    <row r="16" spans="1:8" ht="11.25" customHeight="1" x14ac:dyDescent="0.25">
      <c r="A16" s="8" t="s">
        <v>366</v>
      </c>
      <c r="B16" s="8" t="s">
        <v>367</v>
      </c>
      <c r="C16" s="8" t="s">
        <v>368</v>
      </c>
      <c r="D16" s="8">
        <v>223</v>
      </c>
      <c r="E16" s="8" t="s">
        <v>369</v>
      </c>
    </row>
    <row r="17" spans="1:5" ht="11.25" customHeight="1" x14ac:dyDescent="0.25">
      <c r="A17" s="8" t="s">
        <v>366</v>
      </c>
      <c r="B17" s="8" t="s">
        <v>367</v>
      </c>
      <c r="C17" s="8" t="s">
        <v>368</v>
      </c>
      <c r="D17" s="8">
        <v>224</v>
      </c>
      <c r="E17" s="8" t="s">
        <v>369</v>
      </c>
    </row>
    <row r="18" spans="1:5" ht="11.25" customHeight="1" x14ac:dyDescent="0.25">
      <c r="A18" s="8" t="s">
        <v>366</v>
      </c>
      <c r="B18" s="8" t="s">
        <v>367</v>
      </c>
      <c r="C18" s="8" t="s">
        <v>368</v>
      </c>
      <c r="D18" s="8">
        <v>225</v>
      </c>
      <c r="E18" s="8" t="s">
        <v>369</v>
      </c>
    </row>
    <row r="19" spans="1:5" ht="11.25" customHeight="1" x14ac:dyDescent="0.25">
      <c r="A19" s="8" t="s">
        <v>366</v>
      </c>
      <c r="B19" s="8" t="s">
        <v>367</v>
      </c>
      <c r="C19" s="8" t="s">
        <v>368</v>
      </c>
      <c r="D19" s="8">
        <v>226</v>
      </c>
      <c r="E19" s="8" t="s">
        <v>369</v>
      </c>
    </row>
    <row r="20" spans="1:5" ht="11.25" customHeight="1" x14ac:dyDescent="0.25">
      <c r="A20" s="8" t="s">
        <v>366</v>
      </c>
      <c r="B20" s="8" t="s">
        <v>367</v>
      </c>
      <c r="C20" s="8" t="s">
        <v>368</v>
      </c>
      <c r="D20" s="8">
        <v>227</v>
      </c>
      <c r="E20" s="8" t="s">
        <v>369</v>
      </c>
    </row>
    <row r="21" spans="1:5" ht="11.25" customHeight="1" x14ac:dyDescent="0.25">
      <c r="A21" s="8" t="s">
        <v>366</v>
      </c>
      <c r="B21" s="8" t="s">
        <v>367</v>
      </c>
      <c r="C21" s="8" t="s">
        <v>368</v>
      </c>
      <c r="D21" s="8">
        <v>228</v>
      </c>
      <c r="E21" s="8" t="s">
        <v>369</v>
      </c>
    </row>
    <row r="22" spans="1:5" ht="11.25" customHeight="1" x14ac:dyDescent="0.25">
      <c r="A22" s="8" t="s">
        <v>366</v>
      </c>
      <c r="B22" s="8" t="s">
        <v>367</v>
      </c>
      <c r="C22" s="8" t="s">
        <v>368</v>
      </c>
      <c r="D22" s="8">
        <v>229</v>
      </c>
      <c r="E22" s="8" t="s">
        <v>369</v>
      </c>
    </row>
    <row r="23" spans="1:5" ht="11.25" customHeight="1" x14ac:dyDescent="0.25">
      <c r="A23" s="8" t="s">
        <v>366</v>
      </c>
      <c r="B23" s="8" t="s">
        <v>367</v>
      </c>
      <c r="C23" s="8" t="s">
        <v>368</v>
      </c>
      <c r="D23" s="8">
        <v>230</v>
      </c>
      <c r="E23" s="8" t="s">
        <v>369</v>
      </c>
    </row>
    <row r="24" spans="1:5" ht="11.25" customHeight="1" x14ac:dyDescent="0.25">
      <c r="A24" s="8" t="s">
        <v>366</v>
      </c>
      <c r="B24" s="8" t="s">
        <v>367</v>
      </c>
      <c r="C24" s="8" t="s">
        <v>368</v>
      </c>
      <c r="D24" s="8">
        <v>231</v>
      </c>
      <c r="E24" s="8" t="s">
        <v>369</v>
      </c>
    </row>
    <row r="25" spans="1:5" ht="11.25" customHeight="1" x14ac:dyDescent="0.25">
      <c r="A25" s="8" t="s">
        <v>366</v>
      </c>
      <c r="B25" s="8" t="s">
        <v>367</v>
      </c>
      <c r="C25" s="8" t="s">
        <v>368</v>
      </c>
      <c r="D25" s="8">
        <v>232</v>
      </c>
      <c r="E25" s="8" t="s">
        <v>369</v>
      </c>
    </row>
    <row r="26" spans="1:5" ht="11.25" customHeight="1" x14ac:dyDescent="0.25">
      <c r="A26" s="8" t="s">
        <v>366</v>
      </c>
      <c r="B26" s="8" t="s">
        <v>367</v>
      </c>
      <c r="C26" s="8" t="s">
        <v>368</v>
      </c>
      <c r="D26" s="8">
        <v>233</v>
      </c>
      <c r="E26" s="8" t="s">
        <v>369</v>
      </c>
    </row>
    <row r="27" spans="1:5" ht="11.25" customHeight="1" x14ac:dyDescent="0.25">
      <c r="A27" s="8" t="s">
        <v>366</v>
      </c>
      <c r="B27" s="8" t="s">
        <v>367</v>
      </c>
      <c r="C27" s="8" t="s">
        <v>368</v>
      </c>
      <c r="D27" s="8">
        <v>234</v>
      </c>
      <c r="E27" s="8" t="s">
        <v>369</v>
      </c>
    </row>
    <row r="28" spans="1:5" ht="11.25" customHeight="1" x14ac:dyDescent="0.25">
      <c r="A28" s="8" t="s">
        <v>366</v>
      </c>
      <c r="B28" s="8" t="s">
        <v>367</v>
      </c>
      <c r="C28" s="8" t="s">
        <v>368</v>
      </c>
      <c r="D28" s="8">
        <v>235</v>
      </c>
      <c r="E28" s="8" t="s">
        <v>369</v>
      </c>
    </row>
    <row r="29" spans="1:5" ht="11.25" customHeight="1" x14ac:dyDescent="0.25">
      <c r="A29" s="8" t="s">
        <v>366</v>
      </c>
      <c r="B29" s="8" t="s">
        <v>367</v>
      </c>
      <c r="C29" s="8" t="s">
        <v>368</v>
      </c>
      <c r="D29" s="8">
        <v>236</v>
      </c>
      <c r="E29" s="8" t="s">
        <v>369</v>
      </c>
    </row>
    <row r="30" spans="1:5" ht="11.25" customHeight="1" x14ac:dyDescent="0.25">
      <c r="A30" s="8" t="s">
        <v>366</v>
      </c>
      <c r="B30" s="8" t="s">
        <v>367</v>
      </c>
      <c r="C30" s="8" t="s">
        <v>368</v>
      </c>
      <c r="D30" s="8">
        <v>237</v>
      </c>
      <c r="E30" s="8" t="s">
        <v>369</v>
      </c>
    </row>
    <row r="31" spans="1:5" ht="11.25" customHeight="1" x14ac:dyDescent="0.25">
      <c r="A31" s="8" t="s">
        <v>366</v>
      </c>
      <c r="B31" s="8" t="s">
        <v>367</v>
      </c>
      <c r="C31" s="8" t="s">
        <v>368</v>
      </c>
      <c r="D31" s="8">
        <v>238</v>
      </c>
      <c r="E31" s="8" t="s">
        <v>369</v>
      </c>
    </row>
    <row r="32" spans="1:5" ht="11.25" customHeight="1" x14ac:dyDescent="0.25">
      <c r="A32" s="8" t="s">
        <v>366</v>
      </c>
      <c r="B32" s="8" t="s">
        <v>367</v>
      </c>
      <c r="C32" s="8" t="s">
        <v>368</v>
      </c>
      <c r="D32" s="8">
        <v>239</v>
      </c>
      <c r="E32" s="8" t="s">
        <v>369</v>
      </c>
    </row>
    <row r="33" spans="1:5" ht="11.25" customHeight="1" x14ac:dyDescent="0.25">
      <c r="A33" s="8" t="s">
        <v>366</v>
      </c>
      <c r="B33" s="8" t="s">
        <v>367</v>
      </c>
      <c r="C33" s="8" t="s">
        <v>368</v>
      </c>
      <c r="D33" s="8">
        <v>240</v>
      </c>
      <c r="E33" s="8" t="s">
        <v>369</v>
      </c>
    </row>
    <row r="34" spans="1:5" ht="11.25" customHeight="1" x14ac:dyDescent="0.25">
      <c r="A34" s="8" t="s">
        <v>366</v>
      </c>
      <c r="B34" s="8" t="s">
        <v>367</v>
      </c>
      <c r="C34" s="8" t="s">
        <v>368</v>
      </c>
      <c r="D34" s="8">
        <v>241</v>
      </c>
      <c r="E34" s="8" t="s">
        <v>369</v>
      </c>
    </row>
    <row r="35" spans="1:5" ht="11.25" customHeight="1" x14ac:dyDescent="0.25">
      <c r="A35" s="8" t="s">
        <v>366</v>
      </c>
      <c r="B35" s="8" t="s">
        <v>367</v>
      </c>
      <c r="C35" s="8" t="s">
        <v>368</v>
      </c>
      <c r="D35" s="8">
        <v>242</v>
      </c>
      <c r="E35" s="8" t="s">
        <v>369</v>
      </c>
    </row>
    <row r="36" spans="1:5" ht="11.25" customHeight="1" x14ac:dyDescent="0.25">
      <c r="A36" s="8" t="s">
        <v>366</v>
      </c>
      <c r="B36" s="8" t="s">
        <v>367</v>
      </c>
      <c r="C36" s="8" t="s">
        <v>368</v>
      </c>
      <c r="D36" s="8">
        <v>243</v>
      </c>
      <c r="E36" s="8" t="s">
        <v>369</v>
      </c>
    </row>
    <row r="37" spans="1:5" ht="11.25" customHeight="1" x14ac:dyDescent="0.25">
      <c r="A37" s="8" t="s">
        <v>366</v>
      </c>
      <c r="B37" s="8" t="s">
        <v>367</v>
      </c>
      <c r="C37" s="8" t="s">
        <v>368</v>
      </c>
      <c r="D37" s="8">
        <v>244</v>
      </c>
      <c r="E37" s="8" t="s">
        <v>369</v>
      </c>
    </row>
    <row r="38" spans="1:5" ht="11.25" customHeight="1" x14ac:dyDescent="0.25">
      <c r="A38" s="8" t="s">
        <v>366</v>
      </c>
      <c r="B38" s="8" t="s">
        <v>367</v>
      </c>
      <c r="C38" s="8" t="s">
        <v>368</v>
      </c>
      <c r="D38" s="8">
        <v>290</v>
      </c>
      <c r="E38" s="8" t="s">
        <v>369</v>
      </c>
    </row>
    <row r="39" spans="1:5" ht="11.25" customHeight="1" x14ac:dyDescent="0.25">
      <c r="A39" s="8" t="s">
        <v>366</v>
      </c>
      <c r="B39" s="8" t="s">
        <v>367</v>
      </c>
      <c r="C39" s="8" t="s">
        <v>368</v>
      </c>
      <c r="D39" s="8">
        <v>291</v>
      </c>
      <c r="E39" s="8" t="s">
        <v>369</v>
      </c>
    </row>
    <row r="40" spans="1:5" ht="11.25" customHeight="1" x14ac:dyDescent="0.25">
      <c r="A40" s="8" t="s">
        <v>366</v>
      </c>
      <c r="B40" s="8" t="s">
        <v>367</v>
      </c>
      <c r="C40" s="8" t="s">
        <v>368</v>
      </c>
      <c r="D40" s="8">
        <v>292</v>
      </c>
      <c r="E40" s="8" t="s">
        <v>369</v>
      </c>
    </row>
    <row r="41" spans="1:5" ht="11.25" customHeight="1" x14ac:dyDescent="0.25">
      <c r="A41" s="8" t="s">
        <v>366</v>
      </c>
      <c r="B41" s="8" t="s">
        <v>367</v>
      </c>
      <c r="C41" s="8" t="s">
        <v>368</v>
      </c>
      <c r="D41" s="8">
        <v>293</v>
      </c>
      <c r="E41" s="8" t="s">
        <v>369</v>
      </c>
    </row>
    <row r="42" spans="1:5" ht="11.25" customHeight="1" x14ac:dyDescent="0.25">
      <c r="A42" s="8" t="s">
        <v>366</v>
      </c>
      <c r="B42" s="8" t="s">
        <v>367</v>
      </c>
      <c r="C42" s="8" t="s">
        <v>368</v>
      </c>
      <c r="D42" s="8">
        <v>294</v>
      </c>
      <c r="E42" s="8" t="s">
        <v>369</v>
      </c>
    </row>
    <row r="43" spans="1:5" ht="11.25" customHeight="1" x14ac:dyDescent="0.25">
      <c r="A43" s="8" t="s">
        <v>366</v>
      </c>
      <c r="B43" s="8" t="s">
        <v>367</v>
      </c>
      <c r="C43" s="8" t="s">
        <v>368</v>
      </c>
      <c r="D43" s="8">
        <v>295</v>
      </c>
      <c r="E43" s="8" t="s">
        <v>369</v>
      </c>
    </row>
    <row r="44" spans="1:5" ht="11.25" customHeight="1" x14ac:dyDescent="0.25">
      <c r="A44" s="8" t="s">
        <v>366</v>
      </c>
      <c r="B44" s="8" t="s">
        <v>367</v>
      </c>
      <c r="C44" s="8" t="s">
        <v>368</v>
      </c>
      <c r="D44" s="8">
        <v>296</v>
      </c>
      <c r="E44" s="8" t="s">
        <v>369</v>
      </c>
    </row>
    <row r="45" spans="1:5" ht="11.25" customHeight="1" x14ac:dyDescent="0.25">
      <c r="A45" s="8" t="s">
        <v>366</v>
      </c>
      <c r="B45" s="8" t="s">
        <v>367</v>
      </c>
      <c r="C45" s="8" t="s">
        <v>368</v>
      </c>
      <c r="D45" s="8">
        <v>297</v>
      </c>
      <c r="E45" s="8" t="s">
        <v>369</v>
      </c>
    </row>
    <row r="46" spans="1:5" ht="11.25" customHeight="1" x14ac:dyDescent="0.25">
      <c r="A46" s="8" t="s">
        <v>366</v>
      </c>
      <c r="B46" s="8" t="s">
        <v>367</v>
      </c>
      <c r="C46" s="8" t="s">
        <v>368</v>
      </c>
      <c r="D46" s="8">
        <v>298</v>
      </c>
      <c r="E46" s="8" t="s">
        <v>369</v>
      </c>
    </row>
    <row r="47" spans="1:5" ht="11.25" customHeight="1" x14ac:dyDescent="0.25">
      <c r="A47" s="8" t="s">
        <v>366</v>
      </c>
      <c r="B47" s="8" t="s">
        <v>367</v>
      </c>
      <c r="C47" s="8" t="s">
        <v>368</v>
      </c>
      <c r="D47" s="8">
        <v>299</v>
      </c>
      <c r="E47" s="8" t="s">
        <v>369</v>
      </c>
    </row>
    <row r="48" spans="1:5" ht="11.25" customHeight="1" x14ac:dyDescent="0.25">
      <c r="A48" s="8" t="s">
        <v>366</v>
      </c>
      <c r="B48" s="8" t="s">
        <v>367</v>
      </c>
      <c r="C48" s="8" t="s">
        <v>368</v>
      </c>
      <c r="D48" s="8">
        <v>300</v>
      </c>
      <c r="E48" s="8" t="s">
        <v>369</v>
      </c>
    </row>
    <row r="49" spans="1:5" ht="11.25" customHeight="1" x14ac:dyDescent="0.25">
      <c r="A49" s="8" t="s">
        <v>366</v>
      </c>
      <c r="B49" s="8" t="s">
        <v>367</v>
      </c>
      <c r="C49" s="8" t="s">
        <v>368</v>
      </c>
      <c r="D49" s="8">
        <v>301</v>
      </c>
      <c r="E49" s="8" t="s">
        <v>369</v>
      </c>
    </row>
    <row r="50" spans="1:5" ht="11.25" customHeight="1" x14ac:dyDescent="0.25">
      <c r="A50" s="8" t="s">
        <v>366</v>
      </c>
      <c r="B50" s="8" t="s">
        <v>367</v>
      </c>
      <c r="C50" s="8" t="s">
        <v>368</v>
      </c>
      <c r="D50" s="8">
        <v>339</v>
      </c>
      <c r="E50" s="8" t="s">
        <v>369</v>
      </c>
    </row>
    <row r="51" spans="1:5" ht="11.25" customHeight="1" x14ac:dyDescent="0.25">
      <c r="A51" s="8" t="s">
        <v>366</v>
      </c>
      <c r="B51" s="8" t="s">
        <v>367</v>
      </c>
      <c r="C51" s="8" t="s">
        <v>368</v>
      </c>
      <c r="D51" s="8">
        <v>340</v>
      </c>
      <c r="E51" s="8" t="s">
        <v>369</v>
      </c>
    </row>
    <row r="52" spans="1:5" ht="11.25" customHeight="1" x14ac:dyDescent="0.25">
      <c r="A52" s="8" t="s">
        <v>366</v>
      </c>
      <c r="B52" s="8" t="s">
        <v>367</v>
      </c>
      <c r="C52" s="8" t="s">
        <v>368</v>
      </c>
      <c r="D52" s="8">
        <v>341</v>
      </c>
      <c r="E52" s="8" t="s">
        <v>369</v>
      </c>
    </row>
    <row r="53" spans="1:5" ht="11.25" customHeight="1" x14ac:dyDescent="0.25">
      <c r="A53" s="8" t="s">
        <v>366</v>
      </c>
      <c r="B53" s="8" t="s">
        <v>367</v>
      </c>
      <c r="C53" s="8" t="s">
        <v>368</v>
      </c>
      <c r="D53" s="8">
        <v>342</v>
      </c>
      <c r="E53" s="8" t="s">
        <v>369</v>
      </c>
    </row>
    <row r="54" spans="1:5" ht="11.25" customHeight="1" x14ac:dyDescent="0.25">
      <c r="A54" s="8" t="s">
        <v>366</v>
      </c>
      <c r="B54" s="8" t="s">
        <v>367</v>
      </c>
      <c r="C54" s="8" t="s">
        <v>368</v>
      </c>
      <c r="D54" s="8">
        <v>343</v>
      </c>
      <c r="E54" s="8" t="s">
        <v>369</v>
      </c>
    </row>
    <row r="55" spans="1:5" ht="11.25" customHeight="1" x14ac:dyDescent="0.25">
      <c r="A55" s="8" t="s">
        <v>366</v>
      </c>
      <c r="B55" s="8" t="s">
        <v>367</v>
      </c>
      <c r="C55" s="8" t="s">
        <v>368</v>
      </c>
      <c r="D55" s="8">
        <v>344</v>
      </c>
      <c r="E55" s="8" t="s">
        <v>369</v>
      </c>
    </row>
    <row r="56" spans="1:5" ht="11.25" customHeight="1" x14ac:dyDescent="0.25">
      <c r="A56" s="8" t="s">
        <v>366</v>
      </c>
      <c r="B56" s="8" t="s">
        <v>367</v>
      </c>
      <c r="C56" s="8" t="s">
        <v>368</v>
      </c>
      <c r="D56" s="8">
        <v>345</v>
      </c>
      <c r="E56" s="8" t="s">
        <v>369</v>
      </c>
    </row>
    <row r="57" spans="1:5" ht="11.25" customHeight="1" x14ac:dyDescent="0.25">
      <c r="A57" s="8" t="s">
        <v>366</v>
      </c>
      <c r="B57" s="8" t="s">
        <v>367</v>
      </c>
      <c r="C57" s="8" t="s">
        <v>368</v>
      </c>
      <c r="D57" s="8">
        <v>346</v>
      </c>
      <c r="E57" s="8" t="s">
        <v>369</v>
      </c>
    </row>
    <row r="58" spans="1:5" ht="11.25" customHeight="1" x14ac:dyDescent="0.25">
      <c r="A58" s="8" t="s">
        <v>366</v>
      </c>
      <c r="B58" s="8" t="s">
        <v>367</v>
      </c>
      <c r="C58" s="8" t="s">
        <v>368</v>
      </c>
      <c r="D58" s="8">
        <v>347</v>
      </c>
      <c r="E58" s="8" t="s">
        <v>369</v>
      </c>
    </row>
    <row r="59" spans="1:5" ht="11.25" customHeight="1" x14ac:dyDescent="0.25">
      <c r="A59" s="8" t="s">
        <v>366</v>
      </c>
      <c r="B59" s="8" t="s">
        <v>367</v>
      </c>
      <c r="C59" s="8" t="s">
        <v>368</v>
      </c>
      <c r="D59" s="8">
        <v>348</v>
      </c>
      <c r="E59" s="8" t="s">
        <v>369</v>
      </c>
    </row>
    <row r="60" spans="1:5" ht="11.25" customHeight="1" x14ac:dyDescent="0.25">
      <c r="A60" s="8" t="s">
        <v>366</v>
      </c>
      <c r="B60" s="8" t="s">
        <v>367</v>
      </c>
      <c r="C60" s="8" t="s">
        <v>368</v>
      </c>
      <c r="D60" s="8">
        <v>349</v>
      </c>
      <c r="E60" s="8" t="s">
        <v>369</v>
      </c>
    </row>
    <row r="61" spans="1:5" ht="11.25" customHeight="1" x14ac:dyDescent="0.25">
      <c r="A61" s="8" t="s">
        <v>366</v>
      </c>
      <c r="B61" s="8" t="s">
        <v>367</v>
      </c>
      <c r="C61" s="8" t="s">
        <v>368</v>
      </c>
      <c r="D61" s="8">
        <v>350</v>
      </c>
      <c r="E61" s="8" t="s">
        <v>369</v>
      </c>
    </row>
    <row r="62" spans="1:5" ht="11.25" customHeight="1" x14ac:dyDescent="0.25">
      <c r="A62" s="8" t="s">
        <v>366</v>
      </c>
      <c r="B62" s="8" t="s">
        <v>367</v>
      </c>
      <c r="C62" s="8" t="s">
        <v>368</v>
      </c>
      <c r="D62" s="8">
        <v>351</v>
      </c>
      <c r="E62" s="8" t="s">
        <v>369</v>
      </c>
    </row>
    <row r="63" spans="1:5" ht="11.25" customHeight="1" x14ac:dyDescent="0.25">
      <c r="A63" s="8" t="s">
        <v>366</v>
      </c>
      <c r="B63" s="8" t="s">
        <v>367</v>
      </c>
      <c r="C63" s="8" t="s">
        <v>368</v>
      </c>
      <c r="D63" s="8">
        <v>352</v>
      </c>
      <c r="E63" s="8" t="s">
        <v>369</v>
      </c>
    </row>
    <row r="64" spans="1:5" ht="11.25" customHeight="1" x14ac:dyDescent="0.25">
      <c r="A64" s="8" t="s">
        <v>366</v>
      </c>
      <c r="B64" s="8" t="s">
        <v>367</v>
      </c>
      <c r="C64" s="8" t="s">
        <v>368</v>
      </c>
      <c r="D64" s="8">
        <v>353</v>
      </c>
      <c r="E64" s="8" t="s">
        <v>369</v>
      </c>
    </row>
    <row r="65" spans="1:5" ht="11.25" customHeight="1" x14ac:dyDescent="0.25">
      <c r="A65" s="8" t="s">
        <v>366</v>
      </c>
      <c r="B65" s="8" t="s">
        <v>367</v>
      </c>
      <c r="C65" s="8" t="s">
        <v>368</v>
      </c>
      <c r="D65" s="8">
        <v>354</v>
      </c>
      <c r="E65" s="8" t="s">
        <v>369</v>
      </c>
    </row>
    <row r="66" spans="1:5" ht="11.25" customHeight="1" x14ac:dyDescent="0.25">
      <c r="A66" s="8" t="s">
        <v>366</v>
      </c>
      <c r="B66" s="8" t="s">
        <v>367</v>
      </c>
      <c r="C66" s="8" t="s">
        <v>368</v>
      </c>
      <c r="D66" s="8">
        <v>355</v>
      </c>
      <c r="E66" s="8" t="s">
        <v>369</v>
      </c>
    </row>
    <row r="67" spans="1:5" ht="11.25" customHeight="1" x14ac:dyDescent="0.25">
      <c r="A67" s="8" t="s">
        <v>366</v>
      </c>
      <c r="B67" s="8" t="s">
        <v>367</v>
      </c>
      <c r="C67" s="8" t="s">
        <v>368</v>
      </c>
      <c r="D67" s="8">
        <v>356</v>
      </c>
      <c r="E67" s="8" t="s">
        <v>369</v>
      </c>
    </row>
    <row r="68" spans="1:5" ht="11.25" customHeight="1" x14ac:dyDescent="0.25">
      <c r="A68" s="8" t="s">
        <v>366</v>
      </c>
      <c r="B68" s="8" t="s">
        <v>367</v>
      </c>
      <c r="C68" s="8" t="s">
        <v>368</v>
      </c>
      <c r="D68" s="8">
        <v>357</v>
      </c>
      <c r="E68" s="8" t="s">
        <v>369</v>
      </c>
    </row>
    <row r="69" spans="1:5" ht="11.25" customHeight="1" x14ac:dyDescent="0.25">
      <c r="A69" s="8" t="s">
        <v>366</v>
      </c>
      <c r="B69" s="8" t="s">
        <v>367</v>
      </c>
      <c r="C69" s="8" t="s">
        <v>368</v>
      </c>
      <c r="D69" s="8">
        <v>358</v>
      </c>
      <c r="E69" s="8" t="s">
        <v>369</v>
      </c>
    </row>
    <row r="70" spans="1:5" ht="11.25" customHeight="1" x14ac:dyDescent="0.25">
      <c r="A70" s="8" t="s">
        <v>366</v>
      </c>
      <c r="B70" s="8" t="s">
        <v>367</v>
      </c>
      <c r="C70" s="8" t="s">
        <v>368</v>
      </c>
      <c r="D70" s="8">
        <v>359</v>
      </c>
      <c r="E70" s="8" t="s">
        <v>369</v>
      </c>
    </row>
    <row r="71" spans="1:5" ht="11.25" customHeight="1" x14ac:dyDescent="0.25">
      <c r="A71" s="8" t="s">
        <v>366</v>
      </c>
      <c r="B71" s="8" t="s">
        <v>367</v>
      </c>
      <c r="C71" s="8" t="s">
        <v>368</v>
      </c>
      <c r="D71" s="8">
        <v>360</v>
      </c>
      <c r="E71" s="8" t="s">
        <v>369</v>
      </c>
    </row>
    <row r="72" spans="1:5" ht="11.25" customHeight="1" x14ac:dyDescent="0.25">
      <c r="A72" s="8" t="s">
        <v>366</v>
      </c>
      <c r="B72" s="8" t="s">
        <v>367</v>
      </c>
      <c r="C72" s="8" t="s">
        <v>368</v>
      </c>
      <c r="D72" s="8">
        <v>361</v>
      </c>
      <c r="E72" s="8" t="s">
        <v>369</v>
      </c>
    </row>
    <row r="73" spans="1:5" ht="11.25" customHeight="1" x14ac:dyDescent="0.25">
      <c r="A73" s="8" t="s">
        <v>366</v>
      </c>
      <c r="B73" s="8" t="s">
        <v>367</v>
      </c>
      <c r="C73" s="8" t="s">
        <v>368</v>
      </c>
      <c r="D73" s="8">
        <v>362</v>
      </c>
      <c r="E73" s="8" t="s">
        <v>369</v>
      </c>
    </row>
    <row r="74" spans="1:5" ht="11.25" customHeight="1" x14ac:dyDescent="0.25">
      <c r="A74" s="8" t="s">
        <v>366</v>
      </c>
      <c r="B74" s="8" t="s">
        <v>367</v>
      </c>
      <c r="C74" s="8" t="s">
        <v>368</v>
      </c>
      <c r="D74" s="8">
        <v>363</v>
      </c>
      <c r="E74" s="8" t="s">
        <v>369</v>
      </c>
    </row>
    <row r="75" spans="1:5" ht="11.25" customHeight="1" x14ac:dyDescent="0.25">
      <c r="A75" s="8" t="s">
        <v>366</v>
      </c>
      <c r="B75" s="8" t="s">
        <v>367</v>
      </c>
      <c r="C75" s="8" t="s">
        <v>368</v>
      </c>
      <c r="D75" s="8">
        <v>364</v>
      </c>
      <c r="E75" s="8" t="s">
        <v>369</v>
      </c>
    </row>
    <row r="76" spans="1:5" ht="11.25" customHeight="1" x14ac:dyDescent="0.25">
      <c r="A76" s="8" t="s">
        <v>366</v>
      </c>
      <c r="B76" s="8" t="s">
        <v>367</v>
      </c>
      <c r="C76" s="8" t="s">
        <v>368</v>
      </c>
      <c r="D76" s="8">
        <v>365</v>
      </c>
      <c r="E76" s="8" t="s">
        <v>369</v>
      </c>
    </row>
    <row r="77" spans="1:5" ht="11.25" customHeight="1" x14ac:dyDescent="0.25">
      <c r="A77" s="8" t="s">
        <v>366</v>
      </c>
      <c r="B77" s="8" t="s">
        <v>367</v>
      </c>
      <c r="C77" s="8" t="s">
        <v>368</v>
      </c>
      <c r="D77" s="8">
        <v>366</v>
      </c>
      <c r="E77" s="8" t="s">
        <v>369</v>
      </c>
    </row>
    <row r="78" spans="1:5" ht="11.25" customHeight="1" x14ac:dyDescent="0.25">
      <c r="A78" s="8" t="s">
        <v>366</v>
      </c>
      <c r="B78" s="8" t="s">
        <v>367</v>
      </c>
      <c r="C78" s="8" t="s">
        <v>368</v>
      </c>
      <c r="D78" s="8">
        <v>423</v>
      </c>
      <c r="E78" s="8" t="s">
        <v>369</v>
      </c>
    </row>
    <row r="79" spans="1:5" ht="11.25" customHeight="1" x14ac:dyDescent="0.25">
      <c r="A79" s="8" t="s">
        <v>366</v>
      </c>
      <c r="B79" s="8" t="s">
        <v>367</v>
      </c>
      <c r="C79" s="8" t="s">
        <v>368</v>
      </c>
      <c r="D79" s="8">
        <v>424</v>
      </c>
      <c r="E79" s="8" t="s">
        <v>369</v>
      </c>
    </row>
    <row r="80" spans="1:5" ht="11.25" customHeight="1" x14ac:dyDescent="0.25">
      <c r="A80" s="8" t="s">
        <v>366</v>
      </c>
      <c r="B80" s="8" t="s">
        <v>367</v>
      </c>
      <c r="C80" s="8" t="s">
        <v>368</v>
      </c>
      <c r="D80" s="8">
        <v>425</v>
      </c>
      <c r="E80" s="8" t="s">
        <v>369</v>
      </c>
    </row>
    <row r="81" spans="1:5" ht="11.25" customHeight="1" x14ac:dyDescent="0.25">
      <c r="A81" s="8" t="s">
        <v>366</v>
      </c>
      <c r="B81" s="8" t="s">
        <v>367</v>
      </c>
      <c r="C81" s="8" t="s">
        <v>368</v>
      </c>
      <c r="D81" s="8">
        <v>426</v>
      </c>
      <c r="E81" s="8" t="s">
        <v>369</v>
      </c>
    </row>
    <row r="82" spans="1:5" ht="11.25" customHeight="1" x14ac:dyDescent="0.25">
      <c r="A82" s="8" t="s">
        <v>366</v>
      </c>
      <c r="B82" s="8" t="s">
        <v>367</v>
      </c>
      <c r="C82" s="8" t="s">
        <v>368</v>
      </c>
      <c r="D82" s="8">
        <v>427</v>
      </c>
      <c r="E82" s="8" t="s">
        <v>369</v>
      </c>
    </row>
    <row r="83" spans="1:5" ht="11.25" customHeight="1" x14ac:dyDescent="0.25">
      <c r="A83" s="8" t="s">
        <v>366</v>
      </c>
      <c r="B83" s="8" t="s">
        <v>367</v>
      </c>
      <c r="C83" s="8" t="s">
        <v>368</v>
      </c>
      <c r="D83" s="8">
        <v>428</v>
      </c>
      <c r="E83" s="8" t="s">
        <v>369</v>
      </c>
    </row>
    <row r="84" spans="1:5" ht="11.25" customHeight="1" x14ac:dyDescent="0.25">
      <c r="A84" s="8" t="s">
        <v>366</v>
      </c>
      <c r="B84" s="8" t="s">
        <v>367</v>
      </c>
      <c r="C84" s="8" t="s">
        <v>368</v>
      </c>
      <c r="D84" s="8">
        <v>429</v>
      </c>
      <c r="E84" s="8" t="s">
        <v>369</v>
      </c>
    </row>
    <row r="85" spans="1:5" ht="11.25" customHeight="1" x14ac:dyDescent="0.25">
      <c r="A85" s="8" t="s">
        <v>366</v>
      </c>
      <c r="B85" s="8" t="s">
        <v>367</v>
      </c>
      <c r="C85" s="8" t="s">
        <v>368</v>
      </c>
      <c r="D85" s="8">
        <v>430</v>
      </c>
      <c r="E85" s="8" t="s">
        <v>369</v>
      </c>
    </row>
    <row r="86" spans="1:5" ht="11.25" customHeight="1" x14ac:dyDescent="0.25">
      <c r="A86" s="8" t="s">
        <v>366</v>
      </c>
      <c r="B86" s="8" t="s">
        <v>367</v>
      </c>
      <c r="C86" s="8" t="s">
        <v>368</v>
      </c>
      <c r="D86" s="8">
        <v>431</v>
      </c>
      <c r="E86" s="8" t="s">
        <v>369</v>
      </c>
    </row>
    <row r="87" spans="1:5" ht="11.25" customHeight="1" x14ac:dyDescent="0.25">
      <c r="A87" s="8" t="s">
        <v>366</v>
      </c>
      <c r="B87" s="8" t="s">
        <v>367</v>
      </c>
      <c r="C87" s="8" t="s">
        <v>368</v>
      </c>
      <c r="D87" s="8">
        <v>432</v>
      </c>
      <c r="E87" s="8" t="s">
        <v>369</v>
      </c>
    </row>
    <row r="88" spans="1:5" ht="11.25" customHeight="1" x14ac:dyDescent="0.25">
      <c r="A88" s="8" t="s">
        <v>366</v>
      </c>
      <c r="B88" s="8" t="s">
        <v>367</v>
      </c>
      <c r="C88" s="8" t="s">
        <v>368</v>
      </c>
      <c r="D88" s="8">
        <v>433</v>
      </c>
      <c r="E88" s="8" t="s">
        <v>369</v>
      </c>
    </row>
    <row r="89" spans="1:5" ht="11.25" customHeight="1" x14ac:dyDescent="0.25">
      <c r="A89" s="8" t="s">
        <v>366</v>
      </c>
      <c r="B89" s="8" t="s">
        <v>367</v>
      </c>
      <c r="C89" s="8" t="s">
        <v>368</v>
      </c>
      <c r="D89" s="8">
        <v>434</v>
      </c>
      <c r="E89" s="8" t="s">
        <v>369</v>
      </c>
    </row>
    <row r="90" spans="1:5" ht="11.25" customHeight="1" x14ac:dyDescent="0.25">
      <c r="A90" s="8" t="s">
        <v>366</v>
      </c>
      <c r="B90" s="8" t="s">
        <v>367</v>
      </c>
      <c r="C90" s="8" t="s">
        <v>368</v>
      </c>
      <c r="D90" s="8">
        <v>435</v>
      </c>
      <c r="E90" s="8" t="s">
        <v>369</v>
      </c>
    </row>
    <row r="91" spans="1:5" ht="11.25" customHeight="1" x14ac:dyDescent="0.25">
      <c r="A91" s="8" t="s">
        <v>366</v>
      </c>
      <c r="B91" s="8" t="s">
        <v>367</v>
      </c>
      <c r="C91" s="8" t="s">
        <v>368</v>
      </c>
      <c r="D91" s="8">
        <v>436</v>
      </c>
      <c r="E91" s="8" t="s">
        <v>369</v>
      </c>
    </row>
    <row r="92" spans="1:5" ht="11.25" customHeight="1" x14ac:dyDescent="0.25">
      <c r="A92" s="8" t="s">
        <v>366</v>
      </c>
      <c r="B92" s="8" t="s">
        <v>367</v>
      </c>
      <c r="C92" s="8" t="s">
        <v>368</v>
      </c>
      <c r="D92" s="8">
        <v>437</v>
      </c>
      <c r="E92" s="8" t="s">
        <v>369</v>
      </c>
    </row>
    <row r="93" spans="1:5" ht="11.25" customHeight="1" x14ac:dyDescent="0.25">
      <c r="A93" s="8" t="s">
        <v>366</v>
      </c>
      <c r="B93" s="8" t="s">
        <v>367</v>
      </c>
      <c r="C93" s="8" t="s">
        <v>368</v>
      </c>
      <c r="D93" s="8">
        <v>438</v>
      </c>
      <c r="E93" s="8" t="s">
        <v>369</v>
      </c>
    </row>
    <row r="94" spans="1:5" ht="11.25" customHeight="1" x14ac:dyDescent="0.25">
      <c r="A94" s="8" t="s">
        <v>366</v>
      </c>
      <c r="B94" s="8" t="s">
        <v>367</v>
      </c>
      <c r="C94" s="8" t="s">
        <v>368</v>
      </c>
      <c r="D94" s="8">
        <v>439</v>
      </c>
      <c r="E94" s="8" t="s">
        <v>369</v>
      </c>
    </row>
    <row r="95" spans="1:5" ht="11.25" customHeight="1" x14ac:dyDescent="0.25">
      <c r="A95" s="8" t="s">
        <v>366</v>
      </c>
      <c r="B95" s="8" t="s">
        <v>367</v>
      </c>
      <c r="C95" s="8" t="s">
        <v>368</v>
      </c>
      <c r="D95" s="8">
        <v>440</v>
      </c>
      <c r="E95" s="8" t="s">
        <v>369</v>
      </c>
    </row>
    <row r="96" spans="1:5" ht="11.25" customHeight="1" x14ac:dyDescent="0.25">
      <c r="A96" s="8" t="s">
        <v>366</v>
      </c>
      <c r="B96" s="8" t="s">
        <v>367</v>
      </c>
      <c r="C96" s="8" t="s">
        <v>368</v>
      </c>
      <c r="D96" s="8">
        <v>441</v>
      </c>
      <c r="E96" s="8" t="s">
        <v>369</v>
      </c>
    </row>
    <row r="97" spans="1:5" ht="11.25" customHeight="1" x14ac:dyDescent="0.25">
      <c r="A97" s="8" t="s">
        <v>366</v>
      </c>
      <c r="B97" s="8" t="s">
        <v>367</v>
      </c>
      <c r="C97" s="8" t="s">
        <v>368</v>
      </c>
      <c r="D97" s="8">
        <v>442</v>
      </c>
      <c r="E97" s="8" t="s">
        <v>369</v>
      </c>
    </row>
    <row r="98" spans="1:5" ht="11.25" customHeight="1" x14ac:dyDescent="0.25">
      <c r="A98" s="8" t="s">
        <v>366</v>
      </c>
      <c r="B98" s="8" t="s">
        <v>367</v>
      </c>
      <c r="C98" s="8" t="s">
        <v>368</v>
      </c>
      <c r="D98" s="8">
        <v>443</v>
      </c>
      <c r="E98" s="8" t="s">
        <v>369</v>
      </c>
    </row>
    <row r="99" spans="1:5" ht="11.25" customHeight="1" x14ac:dyDescent="0.25">
      <c r="A99" s="8" t="s">
        <v>366</v>
      </c>
      <c r="B99" s="8" t="s">
        <v>367</v>
      </c>
      <c r="C99" s="8" t="s">
        <v>368</v>
      </c>
      <c r="D99" s="8">
        <v>444</v>
      </c>
      <c r="E99" s="8" t="s">
        <v>369</v>
      </c>
    </row>
    <row r="100" spans="1:5" ht="11.25" customHeight="1" x14ac:dyDescent="0.25">
      <c r="A100" s="8" t="s">
        <v>366</v>
      </c>
      <c r="B100" s="8" t="s">
        <v>367</v>
      </c>
      <c r="C100" s="8" t="s">
        <v>368</v>
      </c>
      <c r="D100" s="8">
        <v>445</v>
      </c>
      <c r="E100" s="8" t="s">
        <v>369</v>
      </c>
    </row>
    <row r="101" spans="1:5" ht="11.25" customHeight="1" x14ac:dyDescent="0.25">
      <c r="A101" s="8" t="s">
        <v>366</v>
      </c>
      <c r="B101" s="8" t="s">
        <v>367</v>
      </c>
      <c r="C101" s="8" t="s">
        <v>368</v>
      </c>
      <c r="D101" s="8">
        <v>446</v>
      </c>
      <c r="E101" s="8" t="s">
        <v>369</v>
      </c>
    </row>
    <row r="102" spans="1:5" ht="11.25" customHeight="1" x14ac:dyDescent="0.25">
      <c r="A102" s="8" t="s">
        <v>366</v>
      </c>
      <c r="B102" s="8" t="s">
        <v>367</v>
      </c>
      <c r="C102" s="8" t="s">
        <v>368</v>
      </c>
      <c r="D102" s="8">
        <v>447</v>
      </c>
      <c r="E102" s="8" t="s">
        <v>369</v>
      </c>
    </row>
    <row r="103" spans="1:5" ht="11.25" customHeight="1" x14ac:dyDescent="0.25">
      <c r="A103" s="8" t="s">
        <v>366</v>
      </c>
      <c r="B103" s="8" t="s">
        <v>367</v>
      </c>
      <c r="C103" s="8" t="s">
        <v>368</v>
      </c>
      <c r="D103" s="8">
        <v>448</v>
      </c>
      <c r="E103" s="8" t="s">
        <v>369</v>
      </c>
    </row>
    <row r="104" spans="1:5" ht="11.25" customHeight="1" x14ac:dyDescent="0.25">
      <c r="A104" s="8" t="s">
        <v>366</v>
      </c>
      <c r="B104" s="8" t="s">
        <v>367</v>
      </c>
      <c r="C104" s="8" t="s">
        <v>368</v>
      </c>
      <c r="D104" s="8">
        <v>449</v>
      </c>
      <c r="E104" s="8" t="s">
        <v>369</v>
      </c>
    </row>
    <row r="105" spans="1:5" ht="11.25" customHeight="1" x14ac:dyDescent="0.25">
      <c r="A105" s="8" t="s">
        <v>366</v>
      </c>
      <c r="B105" s="8" t="s">
        <v>367</v>
      </c>
      <c r="C105" s="8" t="s">
        <v>368</v>
      </c>
      <c r="D105" s="8">
        <v>450</v>
      </c>
      <c r="E105" s="8" t="s">
        <v>369</v>
      </c>
    </row>
    <row r="106" spans="1:5" ht="11.25" customHeight="1" x14ac:dyDescent="0.25">
      <c r="A106" s="8" t="s">
        <v>366</v>
      </c>
      <c r="B106" s="8" t="s">
        <v>367</v>
      </c>
      <c r="C106" s="8" t="s">
        <v>368</v>
      </c>
      <c r="D106" s="8">
        <v>451</v>
      </c>
      <c r="E106" s="8" t="s">
        <v>369</v>
      </c>
    </row>
    <row r="107" spans="1:5" ht="11.25" customHeight="1" x14ac:dyDescent="0.25">
      <c r="A107" s="8" t="s">
        <v>366</v>
      </c>
      <c r="B107" s="8" t="s">
        <v>367</v>
      </c>
      <c r="C107" s="8" t="s">
        <v>368</v>
      </c>
      <c r="D107" s="8">
        <v>452</v>
      </c>
      <c r="E107" s="8" t="s">
        <v>369</v>
      </c>
    </row>
    <row r="108" spans="1:5" ht="11.25" customHeight="1" x14ac:dyDescent="0.25">
      <c r="A108" s="8" t="s">
        <v>366</v>
      </c>
      <c r="B108" s="8" t="s">
        <v>367</v>
      </c>
      <c r="C108" s="8" t="s">
        <v>368</v>
      </c>
      <c r="D108" s="8">
        <v>453</v>
      </c>
      <c r="E108" s="8" t="s">
        <v>369</v>
      </c>
    </row>
    <row r="109" spans="1:5" ht="11.25" customHeight="1" x14ac:dyDescent="0.25">
      <c r="A109" s="8" t="s">
        <v>366</v>
      </c>
      <c r="B109" s="8" t="s">
        <v>367</v>
      </c>
      <c r="C109" s="8" t="s">
        <v>368</v>
      </c>
      <c r="D109" s="8">
        <v>454</v>
      </c>
      <c r="E109" s="8" t="s">
        <v>369</v>
      </c>
    </row>
    <row r="110" spans="1:5" ht="11.25" customHeight="1" x14ac:dyDescent="0.25">
      <c r="A110" s="8" t="s">
        <v>366</v>
      </c>
      <c r="B110" s="8" t="s">
        <v>367</v>
      </c>
      <c r="C110" s="8" t="s">
        <v>368</v>
      </c>
      <c r="D110" s="8">
        <v>455</v>
      </c>
      <c r="E110" s="8" t="s">
        <v>369</v>
      </c>
    </row>
    <row r="111" spans="1:5" ht="11.25" customHeight="1" x14ac:dyDescent="0.25">
      <c r="A111" s="8" t="s">
        <v>366</v>
      </c>
      <c r="B111" s="8" t="s">
        <v>367</v>
      </c>
      <c r="C111" s="8" t="s">
        <v>368</v>
      </c>
      <c r="D111" s="8">
        <v>456</v>
      </c>
      <c r="E111" s="8" t="s">
        <v>369</v>
      </c>
    </row>
    <row r="112" spans="1:5" ht="11.25" customHeight="1" x14ac:dyDescent="0.25">
      <c r="A112" s="8" t="s">
        <v>366</v>
      </c>
      <c r="B112" s="8" t="s">
        <v>367</v>
      </c>
      <c r="C112" s="8" t="s">
        <v>368</v>
      </c>
      <c r="D112" s="8">
        <v>457</v>
      </c>
      <c r="E112" s="8" t="s">
        <v>369</v>
      </c>
    </row>
    <row r="113" spans="1:5" ht="11.25" customHeight="1" x14ac:dyDescent="0.25">
      <c r="A113" s="8" t="s">
        <v>366</v>
      </c>
      <c r="B113" s="8" t="s">
        <v>367</v>
      </c>
      <c r="C113" s="8" t="s">
        <v>368</v>
      </c>
      <c r="D113" s="8">
        <v>519</v>
      </c>
      <c r="E113" s="8" t="s">
        <v>369</v>
      </c>
    </row>
    <row r="114" spans="1:5" ht="11.25" customHeight="1" x14ac:dyDescent="0.25">
      <c r="A114" s="8" t="s">
        <v>366</v>
      </c>
      <c r="B114" s="8" t="s">
        <v>367</v>
      </c>
      <c r="C114" s="8" t="s">
        <v>368</v>
      </c>
      <c r="D114" s="8">
        <v>520</v>
      </c>
      <c r="E114" s="8" t="s">
        <v>369</v>
      </c>
    </row>
    <row r="115" spans="1:5" ht="11.25" customHeight="1" x14ac:dyDescent="0.25">
      <c r="A115" s="8" t="s">
        <v>366</v>
      </c>
      <c r="B115" s="8" t="s">
        <v>367</v>
      </c>
      <c r="C115" s="8" t="s">
        <v>368</v>
      </c>
      <c r="D115" s="8">
        <v>521</v>
      </c>
      <c r="E115" s="8" t="s">
        <v>369</v>
      </c>
    </row>
    <row r="116" spans="1:5" ht="11.25" customHeight="1" x14ac:dyDescent="0.25">
      <c r="A116" s="8" t="s">
        <v>366</v>
      </c>
      <c r="B116" s="8" t="s">
        <v>367</v>
      </c>
      <c r="C116" s="8" t="s">
        <v>368</v>
      </c>
      <c r="D116" s="8">
        <v>522</v>
      </c>
      <c r="E116" s="8" t="s">
        <v>369</v>
      </c>
    </row>
    <row r="117" spans="1:5" ht="11.25" customHeight="1" x14ac:dyDescent="0.25">
      <c r="A117" s="8" t="s">
        <v>366</v>
      </c>
      <c r="B117" s="8" t="s">
        <v>367</v>
      </c>
      <c r="C117" s="8" t="s">
        <v>368</v>
      </c>
      <c r="D117" s="8">
        <v>523</v>
      </c>
      <c r="E117" s="8" t="s">
        <v>369</v>
      </c>
    </row>
    <row r="118" spans="1:5" ht="11.25" customHeight="1" x14ac:dyDescent="0.25">
      <c r="A118" s="8" t="s">
        <v>366</v>
      </c>
      <c r="B118" s="8" t="s">
        <v>367</v>
      </c>
      <c r="C118" s="8" t="s">
        <v>368</v>
      </c>
      <c r="D118" s="8">
        <v>524</v>
      </c>
      <c r="E118" s="8" t="s">
        <v>369</v>
      </c>
    </row>
    <row r="119" spans="1:5" ht="11.25" customHeight="1" x14ac:dyDescent="0.25">
      <c r="A119" s="8" t="s">
        <v>366</v>
      </c>
      <c r="B119" s="8" t="s">
        <v>367</v>
      </c>
      <c r="C119" s="8" t="s">
        <v>368</v>
      </c>
      <c r="D119" s="8">
        <v>525</v>
      </c>
      <c r="E119" s="8" t="s">
        <v>369</v>
      </c>
    </row>
    <row r="120" spans="1:5" ht="11.25" customHeight="1" x14ac:dyDescent="0.25">
      <c r="A120" s="8" t="s">
        <v>366</v>
      </c>
      <c r="B120" s="8" t="s">
        <v>367</v>
      </c>
      <c r="C120" s="8" t="s">
        <v>368</v>
      </c>
      <c r="D120" s="8">
        <v>526</v>
      </c>
      <c r="E120" s="8" t="s">
        <v>369</v>
      </c>
    </row>
    <row r="121" spans="1:5" ht="11.25" customHeight="1" x14ac:dyDescent="0.25">
      <c r="A121" s="8" t="s">
        <v>366</v>
      </c>
      <c r="B121" s="8" t="s">
        <v>367</v>
      </c>
      <c r="C121" s="8" t="s">
        <v>368</v>
      </c>
      <c r="D121" s="8">
        <v>527</v>
      </c>
      <c r="E121" s="8" t="s">
        <v>369</v>
      </c>
    </row>
    <row r="122" spans="1:5" ht="11.25" customHeight="1" x14ac:dyDescent="0.25">
      <c r="A122" s="8" t="s">
        <v>366</v>
      </c>
      <c r="B122" s="8" t="s">
        <v>367</v>
      </c>
      <c r="C122" s="8" t="s">
        <v>368</v>
      </c>
      <c r="D122" s="8">
        <v>528</v>
      </c>
      <c r="E122" s="8" t="s">
        <v>369</v>
      </c>
    </row>
    <row r="123" spans="1:5" ht="11.25" customHeight="1" x14ac:dyDescent="0.25">
      <c r="A123" s="8" t="s">
        <v>366</v>
      </c>
      <c r="B123" s="8" t="s">
        <v>367</v>
      </c>
      <c r="C123" s="8" t="s">
        <v>368</v>
      </c>
      <c r="D123" s="8">
        <v>529</v>
      </c>
      <c r="E123" s="8" t="s">
        <v>369</v>
      </c>
    </row>
    <row r="124" spans="1:5" ht="11.25" customHeight="1" x14ac:dyDescent="0.25">
      <c r="A124" s="8" t="s">
        <v>366</v>
      </c>
      <c r="B124" s="8" t="s">
        <v>367</v>
      </c>
      <c r="C124" s="8" t="s">
        <v>368</v>
      </c>
      <c r="D124" s="8">
        <v>530</v>
      </c>
      <c r="E124" s="8" t="s">
        <v>369</v>
      </c>
    </row>
    <row r="125" spans="1:5" ht="11.25" customHeight="1" x14ac:dyDescent="0.25">
      <c r="A125" s="8" t="s">
        <v>366</v>
      </c>
      <c r="B125" s="8" t="s">
        <v>367</v>
      </c>
      <c r="C125" s="8" t="s">
        <v>368</v>
      </c>
      <c r="D125" s="8">
        <v>531</v>
      </c>
      <c r="E125" s="8" t="s">
        <v>369</v>
      </c>
    </row>
    <row r="126" spans="1:5" ht="11.25" customHeight="1" x14ac:dyDescent="0.25">
      <c r="A126" s="8" t="s">
        <v>366</v>
      </c>
      <c r="B126" s="8" t="s">
        <v>367</v>
      </c>
      <c r="C126" s="8" t="s">
        <v>368</v>
      </c>
      <c r="D126" s="8">
        <v>532</v>
      </c>
      <c r="E126" s="8" t="s">
        <v>369</v>
      </c>
    </row>
    <row r="127" spans="1:5" ht="11.25" customHeight="1" x14ac:dyDescent="0.25">
      <c r="A127" s="8" t="s">
        <v>366</v>
      </c>
      <c r="B127" s="8" t="s">
        <v>367</v>
      </c>
      <c r="C127" s="8" t="s">
        <v>368</v>
      </c>
      <c r="D127" s="8">
        <v>533</v>
      </c>
      <c r="E127" s="8" t="s">
        <v>369</v>
      </c>
    </row>
    <row r="128" spans="1:5" ht="11.25" customHeight="1" x14ac:dyDescent="0.25">
      <c r="A128" s="8" t="s">
        <v>366</v>
      </c>
      <c r="B128" s="8" t="s">
        <v>367</v>
      </c>
      <c r="C128" s="8" t="s">
        <v>368</v>
      </c>
      <c r="D128" s="8">
        <v>568</v>
      </c>
      <c r="E128" s="8" t="s">
        <v>369</v>
      </c>
    </row>
    <row r="129" spans="1:5" ht="11.25" customHeight="1" x14ac:dyDescent="0.25">
      <c r="A129" s="8" t="s">
        <v>366</v>
      </c>
      <c r="B129" s="8" t="s">
        <v>367</v>
      </c>
      <c r="C129" s="8" t="s">
        <v>368</v>
      </c>
      <c r="D129" s="8">
        <v>569</v>
      </c>
      <c r="E129" s="8" t="s">
        <v>369</v>
      </c>
    </row>
    <row r="130" spans="1:5" ht="11.25" customHeight="1" x14ac:dyDescent="0.25">
      <c r="A130" s="8" t="s">
        <v>366</v>
      </c>
      <c r="B130" s="8" t="s">
        <v>367</v>
      </c>
      <c r="C130" s="8" t="s">
        <v>368</v>
      </c>
      <c r="D130" s="8">
        <v>570</v>
      </c>
      <c r="E130" s="8" t="s">
        <v>369</v>
      </c>
    </row>
    <row r="131" spans="1:5" ht="11.25" customHeight="1" x14ac:dyDescent="0.25">
      <c r="A131" s="8" t="s">
        <v>366</v>
      </c>
      <c r="B131" s="8" t="s">
        <v>367</v>
      </c>
      <c r="C131" s="8" t="s">
        <v>368</v>
      </c>
      <c r="D131" s="8">
        <v>571</v>
      </c>
      <c r="E131" s="8" t="s">
        <v>369</v>
      </c>
    </row>
    <row r="132" spans="1:5" ht="11.25" customHeight="1" x14ac:dyDescent="0.25">
      <c r="A132" s="8" t="s">
        <v>366</v>
      </c>
      <c r="B132" s="8" t="s">
        <v>367</v>
      </c>
      <c r="C132" s="8" t="s">
        <v>368</v>
      </c>
      <c r="D132" s="8">
        <v>572</v>
      </c>
      <c r="E132" s="8" t="s">
        <v>369</v>
      </c>
    </row>
    <row r="133" spans="1:5" ht="11.25" customHeight="1" x14ac:dyDescent="0.25">
      <c r="A133" s="8" t="s">
        <v>366</v>
      </c>
      <c r="B133" s="8" t="s">
        <v>367</v>
      </c>
      <c r="C133" s="8" t="s">
        <v>368</v>
      </c>
      <c r="D133" s="8">
        <v>573</v>
      </c>
      <c r="E133" s="8" t="s">
        <v>369</v>
      </c>
    </row>
    <row r="134" spans="1:5" ht="11.25" customHeight="1" x14ac:dyDescent="0.25">
      <c r="A134" s="8" t="s">
        <v>366</v>
      </c>
      <c r="B134" s="8" t="s">
        <v>367</v>
      </c>
      <c r="C134" s="8" t="s">
        <v>368</v>
      </c>
      <c r="D134" s="8">
        <v>574</v>
      </c>
      <c r="E134" s="8" t="s">
        <v>369</v>
      </c>
    </row>
    <row r="135" spans="1:5" ht="11.25" customHeight="1" x14ac:dyDescent="0.25">
      <c r="A135" s="8" t="s">
        <v>366</v>
      </c>
      <c r="B135" s="8" t="s">
        <v>367</v>
      </c>
      <c r="C135" s="8" t="s">
        <v>368</v>
      </c>
      <c r="D135" s="8">
        <v>575</v>
      </c>
      <c r="E135" s="8" t="s">
        <v>369</v>
      </c>
    </row>
    <row r="136" spans="1:5" ht="11.25" customHeight="1" x14ac:dyDescent="0.25">
      <c r="A136" s="8" t="s">
        <v>366</v>
      </c>
      <c r="B136" s="8" t="s">
        <v>367</v>
      </c>
      <c r="C136" s="8" t="s">
        <v>368</v>
      </c>
      <c r="D136" s="8">
        <v>576</v>
      </c>
      <c r="E136" s="8" t="s">
        <v>369</v>
      </c>
    </row>
    <row r="137" spans="1:5" ht="11.25" customHeight="1" x14ac:dyDescent="0.25">
      <c r="A137" s="8" t="s">
        <v>366</v>
      </c>
      <c r="B137" s="8" t="s">
        <v>367</v>
      </c>
      <c r="C137" s="8" t="s">
        <v>368</v>
      </c>
      <c r="D137" s="8">
        <v>577</v>
      </c>
      <c r="E137" s="8" t="s">
        <v>369</v>
      </c>
    </row>
    <row r="138" spans="1:5" ht="11.25" customHeight="1" x14ac:dyDescent="0.25">
      <c r="A138" s="8" t="s">
        <v>366</v>
      </c>
      <c r="B138" s="8" t="s">
        <v>367</v>
      </c>
      <c r="C138" s="8" t="s">
        <v>368</v>
      </c>
      <c r="D138" s="8">
        <v>578</v>
      </c>
      <c r="E138" s="8" t="s">
        <v>369</v>
      </c>
    </row>
    <row r="139" spans="1:5" ht="11.25" customHeight="1" x14ac:dyDescent="0.25">
      <c r="A139" s="8" t="s">
        <v>366</v>
      </c>
      <c r="B139" s="8" t="s">
        <v>367</v>
      </c>
      <c r="C139" s="8" t="s">
        <v>368</v>
      </c>
      <c r="D139" s="8">
        <v>579</v>
      </c>
      <c r="E139" s="8" t="s">
        <v>369</v>
      </c>
    </row>
    <row r="140" spans="1:5" ht="11.25" customHeight="1" x14ac:dyDescent="0.25">
      <c r="A140" s="8" t="s">
        <v>366</v>
      </c>
      <c r="B140" s="8" t="s">
        <v>367</v>
      </c>
      <c r="C140" s="8" t="s">
        <v>368</v>
      </c>
      <c r="D140" s="8">
        <v>580</v>
      </c>
      <c r="E140" s="8" t="s">
        <v>369</v>
      </c>
    </row>
    <row r="141" spans="1:5" ht="11.25" customHeight="1" x14ac:dyDescent="0.25">
      <c r="A141" s="8" t="s">
        <v>366</v>
      </c>
      <c r="B141" s="8" t="s">
        <v>367</v>
      </c>
      <c r="C141" s="8" t="s">
        <v>368</v>
      </c>
      <c r="D141" s="8">
        <v>581</v>
      </c>
      <c r="E141" s="8" t="s">
        <v>369</v>
      </c>
    </row>
    <row r="142" spans="1:5" ht="11.25" customHeight="1" x14ac:dyDescent="0.25">
      <c r="A142" s="8" t="s">
        <v>366</v>
      </c>
      <c r="B142" s="8" t="s">
        <v>367</v>
      </c>
      <c r="C142" s="8" t="s">
        <v>368</v>
      </c>
      <c r="D142" s="8">
        <v>582</v>
      </c>
      <c r="E142" s="8" t="s">
        <v>369</v>
      </c>
    </row>
    <row r="143" spans="1:5" ht="11.25" customHeight="1" x14ac:dyDescent="0.25">
      <c r="A143" s="8" t="s">
        <v>366</v>
      </c>
      <c r="B143" s="8" t="s">
        <v>367</v>
      </c>
      <c r="C143" s="8" t="s">
        <v>368</v>
      </c>
      <c r="D143" s="8">
        <v>583</v>
      </c>
      <c r="E143" s="8" t="s">
        <v>369</v>
      </c>
    </row>
    <row r="144" spans="1:5" ht="11.25" customHeight="1" x14ac:dyDescent="0.25">
      <c r="A144" s="8" t="s">
        <v>366</v>
      </c>
      <c r="B144" s="8" t="s">
        <v>367</v>
      </c>
      <c r="C144" s="8" t="s">
        <v>368</v>
      </c>
      <c r="D144" s="8">
        <v>584</v>
      </c>
      <c r="E144" s="8" t="s">
        <v>369</v>
      </c>
    </row>
    <row r="145" spans="1:5" ht="11.25" customHeight="1" x14ac:dyDescent="0.25">
      <c r="A145" s="8" t="s">
        <v>366</v>
      </c>
      <c r="B145" s="8" t="s">
        <v>367</v>
      </c>
      <c r="C145" s="8" t="s">
        <v>368</v>
      </c>
      <c r="D145" s="8">
        <v>585</v>
      </c>
      <c r="E145" s="8" t="s">
        <v>369</v>
      </c>
    </row>
    <row r="146" spans="1:5" ht="11.25" customHeight="1" x14ac:dyDescent="0.25">
      <c r="A146" s="8" t="s">
        <v>366</v>
      </c>
      <c r="B146" s="8" t="s">
        <v>367</v>
      </c>
      <c r="C146" s="8" t="s">
        <v>368</v>
      </c>
      <c r="D146" s="8">
        <v>616</v>
      </c>
      <c r="E146" s="8" t="s">
        <v>369</v>
      </c>
    </row>
    <row r="147" spans="1:5" ht="11.25" customHeight="1" x14ac:dyDescent="0.25">
      <c r="A147" s="8" t="s">
        <v>366</v>
      </c>
      <c r="B147" s="8" t="s">
        <v>367</v>
      </c>
      <c r="C147" s="8" t="s">
        <v>368</v>
      </c>
      <c r="D147" s="8">
        <v>617</v>
      </c>
      <c r="E147" s="8" t="s">
        <v>369</v>
      </c>
    </row>
    <row r="148" spans="1:5" ht="11.25" customHeight="1" x14ac:dyDescent="0.25">
      <c r="A148" s="8" t="s">
        <v>366</v>
      </c>
      <c r="B148" s="8" t="s">
        <v>367</v>
      </c>
      <c r="C148" s="8" t="s">
        <v>368</v>
      </c>
      <c r="D148" s="8">
        <v>618</v>
      </c>
      <c r="E148" s="8" t="s">
        <v>369</v>
      </c>
    </row>
    <row r="149" spans="1:5" ht="11.25" customHeight="1" x14ac:dyDescent="0.25">
      <c r="A149" s="8" t="s">
        <v>366</v>
      </c>
      <c r="B149" s="8" t="s">
        <v>367</v>
      </c>
      <c r="C149" s="8" t="s">
        <v>368</v>
      </c>
      <c r="D149" s="8">
        <v>619</v>
      </c>
      <c r="E149" s="8" t="s">
        <v>369</v>
      </c>
    </row>
    <row r="150" spans="1:5" ht="11.25" customHeight="1" x14ac:dyDescent="0.25">
      <c r="A150" s="8" t="s">
        <v>366</v>
      </c>
      <c r="B150" s="8" t="s">
        <v>367</v>
      </c>
      <c r="C150" s="8" t="s">
        <v>368</v>
      </c>
      <c r="D150" s="8">
        <v>620</v>
      </c>
      <c r="E150" s="8" t="s">
        <v>369</v>
      </c>
    </row>
    <row r="151" spans="1:5" ht="11.25" customHeight="1" x14ac:dyDescent="0.25">
      <c r="A151" s="8" t="s">
        <v>366</v>
      </c>
      <c r="B151" s="8" t="s">
        <v>367</v>
      </c>
      <c r="C151" s="8" t="s">
        <v>368</v>
      </c>
      <c r="D151" s="8">
        <v>621</v>
      </c>
      <c r="E151" s="8" t="s">
        <v>369</v>
      </c>
    </row>
    <row r="152" spans="1:5" ht="11.25" customHeight="1" x14ac:dyDescent="0.25">
      <c r="A152" s="8" t="s">
        <v>366</v>
      </c>
      <c r="B152" s="8" t="s">
        <v>367</v>
      </c>
      <c r="C152" s="8" t="s">
        <v>368</v>
      </c>
      <c r="D152" s="8">
        <v>622</v>
      </c>
      <c r="E152" s="8" t="s">
        <v>369</v>
      </c>
    </row>
    <row r="153" spans="1:5" ht="11.25" customHeight="1" x14ac:dyDescent="0.25">
      <c r="A153" s="8" t="s">
        <v>366</v>
      </c>
      <c r="B153" s="8" t="s">
        <v>367</v>
      </c>
      <c r="C153" s="8" t="s">
        <v>368</v>
      </c>
      <c r="D153" s="8">
        <v>623</v>
      </c>
      <c r="E153" s="8" t="s">
        <v>369</v>
      </c>
    </row>
    <row r="154" spans="1:5" ht="11.25" customHeight="1" x14ac:dyDescent="0.25">
      <c r="A154" s="8" t="s">
        <v>366</v>
      </c>
      <c r="B154" s="8" t="s">
        <v>367</v>
      </c>
      <c r="C154" s="8" t="s">
        <v>368</v>
      </c>
      <c r="D154" s="8">
        <v>624</v>
      </c>
      <c r="E154" s="8" t="s">
        <v>369</v>
      </c>
    </row>
    <row r="155" spans="1:5" ht="11.25" customHeight="1" x14ac:dyDescent="0.25">
      <c r="A155" s="8" t="s">
        <v>366</v>
      </c>
      <c r="B155" s="8" t="s">
        <v>367</v>
      </c>
      <c r="C155" s="8" t="s">
        <v>368</v>
      </c>
      <c r="D155" s="8">
        <v>625</v>
      </c>
      <c r="E155" s="8" t="s">
        <v>369</v>
      </c>
    </row>
    <row r="156" spans="1:5" ht="11.25" customHeight="1" x14ac:dyDescent="0.25">
      <c r="A156" s="8" t="s">
        <v>366</v>
      </c>
      <c r="B156" s="8" t="s">
        <v>367</v>
      </c>
      <c r="C156" s="8" t="s">
        <v>368</v>
      </c>
      <c r="D156" s="8">
        <v>626</v>
      </c>
      <c r="E156" s="8" t="s">
        <v>369</v>
      </c>
    </row>
    <row r="157" spans="1:5" ht="11.25" customHeight="1" x14ac:dyDescent="0.25">
      <c r="A157" s="8" t="s">
        <v>366</v>
      </c>
      <c r="B157" s="8" t="s">
        <v>367</v>
      </c>
      <c r="C157" s="8" t="s">
        <v>368</v>
      </c>
      <c r="D157" s="8">
        <v>627</v>
      </c>
      <c r="E157" s="8" t="s">
        <v>369</v>
      </c>
    </row>
    <row r="158" spans="1:5" ht="11.25" customHeight="1" x14ac:dyDescent="0.25">
      <c r="A158" s="8" t="s">
        <v>366</v>
      </c>
      <c r="B158" s="8" t="s">
        <v>367</v>
      </c>
      <c r="C158" s="8" t="s">
        <v>368</v>
      </c>
      <c r="D158" s="8">
        <v>628</v>
      </c>
      <c r="E158" s="8" t="s">
        <v>369</v>
      </c>
    </row>
    <row r="159" spans="1:5" ht="11.25" customHeight="1" x14ac:dyDescent="0.25">
      <c r="A159" s="8" t="s">
        <v>366</v>
      </c>
      <c r="C159" s="8" t="s">
        <v>648</v>
      </c>
      <c r="D159" s="8">
        <v>40</v>
      </c>
      <c r="E159" s="8" t="s">
        <v>9</v>
      </c>
    </row>
    <row r="160" spans="1:5" ht="11.25" customHeight="1" x14ac:dyDescent="0.25">
      <c r="A160" s="8" t="s">
        <v>366</v>
      </c>
      <c r="C160" s="8" t="s">
        <v>648</v>
      </c>
      <c r="D160" s="8">
        <v>40</v>
      </c>
      <c r="E160" s="8" t="s">
        <v>9</v>
      </c>
    </row>
    <row r="161" spans="1:5" ht="11.25" customHeight="1" x14ac:dyDescent="0.25">
      <c r="A161" s="8" t="s">
        <v>366</v>
      </c>
      <c r="C161" s="8" t="s">
        <v>648</v>
      </c>
      <c r="D161" s="8">
        <v>40</v>
      </c>
      <c r="E16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0B028-958D-4A10-89DA-80296F687129}">
  <dimension ref="A1:AX92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53" t="s">
        <v>702</v>
      </c>
      <c r="B1" s="53" t="s">
        <v>693</v>
      </c>
      <c r="C1" s="53" t="s">
        <v>1</v>
      </c>
      <c r="D1" s="53" t="s">
        <v>2</v>
      </c>
      <c r="E1" s="53" t="s">
        <v>3</v>
      </c>
      <c r="F1" s="53" t="s">
        <v>4</v>
      </c>
      <c r="G1" s="53" t="s">
        <v>5</v>
      </c>
      <c r="H1" s="53" t="s">
        <v>6</v>
      </c>
      <c r="I1" s="53" t="s">
        <v>7</v>
      </c>
      <c r="J1" s="53" t="s">
        <v>694</v>
      </c>
      <c r="K1" s="53" t="s">
        <v>695</v>
      </c>
      <c r="L1" s="53" t="s">
        <v>696</v>
      </c>
      <c r="M1" s="53" t="s">
        <v>697</v>
      </c>
      <c r="N1" s="53" t="s">
        <v>698</v>
      </c>
      <c r="O1" s="53" t="s">
        <v>580</v>
      </c>
      <c r="P1" s="53" t="s">
        <v>566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54">
        <v>1</v>
      </c>
      <c r="B2" s="54" t="s">
        <v>560</v>
      </c>
      <c r="C2" s="54" t="s">
        <v>688</v>
      </c>
      <c r="D2" s="54" t="s">
        <v>40</v>
      </c>
      <c r="E2" s="54" t="s">
        <v>25</v>
      </c>
      <c r="F2" s="54" t="s">
        <v>25</v>
      </c>
      <c r="G2" s="54" t="s">
        <v>25</v>
      </c>
      <c r="H2" s="54" t="s">
        <v>25</v>
      </c>
      <c r="I2" s="54" t="s">
        <v>34</v>
      </c>
      <c r="J2" s="54" t="s">
        <v>699</v>
      </c>
      <c r="K2" s="54" t="s">
        <v>700</v>
      </c>
      <c r="L2" s="54" t="s">
        <v>77</v>
      </c>
      <c r="M2" s="54">
        <v>2021</v>
      </c>
      <c r="N2" s="54">
        <v>0</v>
      </c>
      <c r="O2" s="54">
        <v>32.99</v>
      </c>
      <c r="P2" s="54">
        <v>0</v>
      </c>
    </row>
    <row r="3" spans="1:50" ht="11.25" customHeight="1" x14ac:dyDescent="0.25">
      <c r="A3" s="54">
        <v>2</v>
      </c>
      <c r="B3" s="54" t="s">
        <v>560</v>
      </c>
      <c r="C3" s="54" t="s">
        <v>688</v>
      </c>
      <c r="D3" s="54" t="s">
        <v>81</v>
      </c>
      <c r="E3" s="54" t="s">
        <v>25</v>
      </c>
      <c r="F3" s="54" t="s">
        <v>25</v>
      </c>
      <c r="G3" s="54" t="s">
        <v>25</v>
      </c>
      <c r="H3" s="54" t="s">
        <v>25</v>
      </c>
      <c r="I3" s="54" t="s">
        <v>25</v>
      </c>
      <c r="J3" s="54" t="s">
        <v>699</v>
      </c>
      <c r="K3" s="54" t="s">
        <v>700</v>
      </c>
      <c r="L3" s="54" t="s">
        <v>77</v>
      </c>
      <c r="M3" s="54">
        <v>2021</v>
      </c>
      <c r="N3" s="54">
        <v>0</v>
      </c>
      <c r="O3" s="54">
        <v>12.53</v>
      </c>
      <c r="P3" s="54">
        <v>0</v>
      </c>
    </row>
    <row r="4" spans="1:50" ht="11.25" customHeight="1" x14ac:dyDescent="0.25">
      <c r="A4" s="54">
        <v>3</v>
      </c>
      <c r="B4" s="54" t="s">
        <v>560</v>
      </c>
      <c r="C4" s="54" t="s">
        <v>688</v>
      </c>
      <c r="D4" s="54" t="s">
        <v>40</v>
      </c>
      <c r="E4" s="54" t="s">
        <v>25</v>
      </c>
      <c r="F4" s="54" t="s">
        <v>25</v>
      </c>
      <c r="G4" s="54" t="s">
        <v>25</v>
      </c>
      <c r="H4" s="54" t="s">
        <v>25</v>
      </c>
      <c r="I4" s="54" t="s">
        <v>35</v>
      </c>
      <c r="J4" s="54" t="s">
        <v>699</v>
      </c>
      <c r="K4" s="54" t="s">
        <v>700</v>
      </c>
      <c r="L4" s="54" t="s">
        <v>77</v>
      </c>
      <c r="M4" s="54">
        <v>2021</v>
      </c>
      <c r="N4" s="54">
        <v>0</v>
      </c>
      <c r="O4" s="54">
        <v>10.97</v>
      </c>
      <c r="P4" s="54">
        <v>0</v>
      </c>
    </row>
    <row r="5" spans="1:50" ht="11.25" customHeight="1" x14ac:dyDescent="0.25">
      <c r="A5" s="54">
        <v>4</v>
      </c>
      <c r="B5" s="54" t="s">
        <v>560</v>
      </c>
      <c r="C5" s="54" t="s">
        <v>688</v>
      </c>
      <c r="D5" s="54" t="s">
        <v>40</v>
      </c>
      <c r="E5" s="54" t="s">
        <v>25</v>
      </c>
      <c r="F5" s="54" t="s">
        <v>25</v>
      </c>
      <c r="G5" s="54" t="s">
        <v>25</v>
      </c>
      <c r="H5" s="54" t="s">
        <v>25</v>
      </c>
      <c r="I5" s="54" t="s">
        <v>25</v>
      </c>
      <c r="J5" s="54" t="s">
        <v>701</v>
      </c>
      <c r="K5" s="54" t="s">
        <v>700</v>
      </c>
      <c r="L5" s="54" t="s">
        <v>72</v>
      </c>
      <c r="M5" s="54">
        <v>2021</v>
      </c>
      <c r="N5" s="54">
        <v>0</v>
      </c>
      <c r="O5" s="54">
        <v>46.31</v>
      </c>
      <c r="P5" s="54">
        <v>12.033391738888399</v>
      </c>
    </row>
    <row r="6" spans="1:50" ht="11.25" customHeight="1" x14ac:dyDescent="0.25">
      <c r="A6" s="54">
        <v>5</v>
      </c>
      <c r="B6" s="54" t="s">
        <v>588</v>
      </c>
      <c r="C6" s="54" t="s">
        <v>688</v>
      </c>
      <c r="D6" s="54" t="s">
        <v>71</v>
      </c>
      <c r="E6" s="54" t="s">
        <v>25</v>
      </c>
      <c r="F6" s="54" t="s">
        <v>25</v>
      </c>
      <c r="G6" s="54" t="s">
        <v>25</v>
      </c>
      <c r="H6" s="54" t="s">
        <v>25</v>
      </c>
      <c r="I6" s="54" t="s">
        <v>34</v>
      </c>
      <c r="J6" s="54" t="s">
        <v>701</v>
      </c>
      <c r="K6" s="54" t="s">
        <v>700</v>
      </c>
      <c r="L6" s="54" t="s">
        <v>72</v>
      </c>
      <c r="M6" s="54">
        <v>2021</v>
      </c>
      <c r="N6" s="54">
        <v>0</v>
      </c>
      <c r="O6" s="54">
        <v>433.77</v>
      </c>
      <c r="P6" s="54">
        <v>0</v>
      </c>
    </row>
    <row r="7" spans="1:50" ht="11.25" customHeight="1" x14ac:dyDescent="0.25">
      <c r="A7" s="54">
        <v>6</v>
      </c>
      <c r="B7" s="54" t="s">
        <v>560</v>
      </c>
      <c r="C7" s="54" t="s">
        <v>82</v>
      </c>
      <c r="D7" s="54" t="s">
        <v>81</v>
      </c>
      <c r="E7" s="54" t="s">
        <v>25</v>
      </c>
      <c r="F7" s="54" t="s">
        <v>25</v>
      </c>
      <c r="G7" s="54" t="s">
        <v>84</v>
      </c>
      <c r="H7" s="54" t="s">
        <v>25</v>
      </c>
      <c r="I7" s="54" t="s">
        <v>25</v>
      </c>
      <c r="J7" s="54" t="s">
        <v>699</v>
      </c>
      <c r="K7" s="54" t="s">
        <v>700</v>
      </c>
      <c r="L7" s="54" t="s">
        <v>77</v>
      </c>
      <c r="M7" s="54">
        <v>2021</v>
      </c>
      <c r="N7" s="54">
        <v>0</v>
      </c>
      <c r="O7" s="54">
        <v>16.25</v>
      </c>
      <c r="P7" s="54">
        <v>0</v>
      </c>
    </row>
    <row r="8" spans="1:50" ht="11.25" customHeight="1" x14ac:dyDescent="0.25">
      <c r="A8" s="54">
        <v>7</v>
      </c>
      <c r="B8" s="54" t="s">
        <v>560</v>
      </c>
      <c r="C8" s="54" t="s">
        <v>82</v>
      </c>
      <c r="D8" s="54" t="s">
        <v>81</v>
      </c>
      <c r="E8" s="54" t="s">
        <v>25</v>
      </c>
      <c r="F8" s="54" t="s">
        <v>25</v>
      </c>
      <c r="G8" s="54" t="s">
        <v>83</v>
      </c>
      <c r="H8" s="54" t="s">
        <v>25</v>
      </c>
      <c r="I8" s="54" t="s">
        <v>25</v>
      </c>
      <c r="J8" s="54" t="s">
        <v>699</v>
      </c>
      <c r="K8" s="54" t="s">
        <v>700</v>
      </c>
      <c r="L8" s="54" t="s">
        <v>77</v>
      </c>
      <c r="M8" s="54">
        <v>2021</v>
      </c>
      <c r="N8" s="54">
        <v>0</v>
      </c>
      <c r="O8" s="54">
        <v>3.3</v>
      </c>
      <c r="P8" s="54">
        <v>0</v>
      </c>
    </row>
    <row r="9" spans="1:50" ht="11.25" customHeight="1" x14ac:dyDescent="0.25">
      <c r="A9" s="54">
        <v>8</v>
      </c>
      <c r="B9" s="54" t="s">
        <v>560</v>
      </c>
      <c r="C9" s="54" t="s">
        <v>688</v>
      </c>
      <c r="D9" s="54" t="s">
        <v>40</v>
      </c>
      <c r="E9" s="54" t="s">
        <v>25</v>
      </c>
      <c r="F9" s="54" t="s">
        <v>25</v>
      </c>
      <c r="G9" s="54" t="s">
        <v>80</v>
      </c>
      <c r="H9" s="54" t="s">
        <v>25</v>
      </c>
      <c r="I9" s="54" t="s">
        <v>25</v>
      </c>
      <c r="J9" s="54" t="s">
        <v>701</v>
      </c>
      <c r="K9" s="54" t="s">
        <v>700</v>
      </c>
      <c r="L9" s="54" t="s">
        <v>72</v>
      </c>
      <c r="M9" s="54">
        <v>2021</v>
      </c>
      <c r="N9" s="54">
        <v>0</v>
      </c>
      <c r="O9" s="54">
        <v>18.21</v>
      </c>
      <c r="P9" s="54">
        <v>0</v>
      </c>
    </row>
    <row r="10" spans="1:50" ht="11.25" customHeight="1" x14ac:dyDescent="0.25">
      <c r="A10" s="54">
        <v>9</v>
      </c>
      <c r="B10" s="54" t="s">
        <v>560</v>
      </c>
      <c r="C10" s="54" t="s">
        <v>39</v>
      </c>
      <c r="D10" s="54" t="s">
        <v>41</v>
      </c>
      <c r="E10" s="54" t="s">
        <v>25</v>
      </c>
      <c r="F10" s="54" t="s">
        <v>25</v>
      </c>
      <c r="G10" s="54" t="s">
        <v>80</v>
      </c>
      <c r="H10" s="54" t="s">
        <v>25</v>
      </c>
      <c r="I10" s="54" t="s">
        <v>35</v>
      </c>
      <c r="J10" s="54" t="s">
        <v>701</v>
      </c>
      <c r="K10" s="54" t="s">
        <v>700</v>
      </c>
      <c r="L10" s="54" t="s">
        <v>72</v>
      </c>
      <c r="M10" s="54">
        <v>2021</v>
      </c>
      <c r="N10" s="54">
        <v>0</v>
      </c>
      <c r="O10" s="54">
        <v>51.24</v>
      </c>
      <c r="P10" s="54">
        <v>0</v>
      </c>
    </row>
    <row r="11" spans="1:50" ht="11.25" customHeight="1" x14ac:dyDescent="0.25">
      <c r="A11" s="54">
        <v>10</v>
      </c>
      <c r="B11" s="54" t="s">
        <v>560</v>
      </c>
      <c r="C11" s="54" t="s">
        <v>22</v>
      </c>
      <c r="D11" s="54" t="s">
        <v>87</v>
      </c>
      <c r="E11" s="54" t="s">
        <v>24</v>
      </c>
      <c r="F11" s="54" t="s">
        <v>31</v>
      </c>
      <c r="G11" s="54" t="s">
        <v>25</v>
      </c>
      <c r="H11" s="54" t="s">
        <v>25</v>
      </c>
      <c r="I11" s="54" t="s">
        <v>25</v>
      </c>
      <c r="J11" s="54" t="s">
        <v>701</v>
      </c>
      <c r="K11" s="54" t="s">
        <v>700</v>
      </c>
      <c r="L11" s="54" t="s">
        <v>72</v>
      </c>
      <c r="M11" s="54">
        <v>2021</v>
      </c>
      <c r="N11" s="54">
        <v>0</v>
      </c>
      <c r="O11" s="54">
        <v>242.41</v>
      </c>
      <c r="P11" s="54">
        <v>0</v>
      </c>
    </row>
    <row r="12" spans="1:50" ht="11.25" customHeight="1" x14ac:dyDescent="0.25">
      <c r="A12" s="54">
        <v>11</v>
      </c>
      <c r="B12" s="54" t="s">
        <v>560</v>
      </c>
      <c r="C12" s="54" t="s">
        <v>39</v>
      </c>
      <c r="D12" s="54" t="s">
        <v>41</v>
      </c>
      <c r="E12" s="54" t="s">
        <v>25</v>
      </c>
      <c r="F12" s="54" t="s">
        <v>25</v>
      </c>
      <c r="G12" s="54" t="s">
        <v>25</v>
      </c>
      <c r="H12" s="54" t="s">
        <v>25</v>
      </c>
      <c r="I12" s="54" t="s">
        <v>34</v>
      </c>
      <c r="J12" s="54" t="s">
        <v>701</v>
      </c>
      <c r="K12" s="54" t="s">
        <v>700</v>
      </c>
      <c r="L12" s="54" t="s">
        <v>72</v>
      </c>
      <c r="M12" s="54">
        <v>2021</v>
      </c>
      <c r="N12" s="54">
        <v>0</v>
      </c>
      <c r="O12" s="54">
        <v>1155.51</v>
      </c>
      <c r="P12" s="54">
        <v>15.625448974377599</v>
      </c>
    </row>
    <row r="13" spans="1:50" ht="11.25" customHeight="1" x14ac:dyDescent="0.25">
      <c r="A13" s="54">
        <v>12</v>
      </c>
      <c r="B13" s="54" t="s">
        <v>560</v>
      </c>
      <c r="C13" s="54" t="s">
        <v>22</v>
      </c>
      <c r="D13" s="54" t="s">
        <v>23</v>
      </c>
      <c r="E13" s="54" t="s">
        <v>24</v>
      </c>
      <c r="F13" s="54" t="s">
        <v>32</v>
      </c>
      <c r="G13" s="54" t="s">
        <v>25</v>
      </c>
      <c r="H13" s="54" t="s">
        <v>25</v>
      </c>
      <c r="I13" s="54" t="s">
        <v>25</v>
      </c>
      <c r="J13" s="54" t="s">
        <v>701</v>
      </c>
      <c r="K13" s="54" t="s">
        <v>700</v>
      </c>
      <c r="L13" s="54" t="s">
        <v>72</v>
      </c>
      <c r="M13" s="54">
        <v>2021</v>
      </c>
      <c r="N13" s="54">
        <v>0</v>
      </c>
      <c r="O13" s="54">
        <v>269.33999999999997</v>
      </c>
      <c r="P13" s="54">
        <v>0</v>
      </c>
    </row>
    <row r="14" spans="1:50" ht="11.25" customHeight="1" x14ac:dyDescent="0.25">
      <c r="A14" s="54">
        <v>13</v>
      </c>
      <c r="B14" s="54" t="s">
        <v>560</v>
      </c>
      <c r="C14" s="54" t="s">
        <v>22</v>
      </c>
      <c r="D14" s="54" t="s">
        <v>33</v>
      </c>
      <c r="E14" s="54" t="s">
        <v>24</v>
      </c>
      <c r="F14" s="54" t="s">
        <v>24</v>
      </c>
      <c r="G14" s="54" t="s">
        <v>25</v>
      </c>
      <c r="H14" s="54" t="s">
        <v>25</v>
      </c>
      <c r="I14" s="54" t="s">
        <v>34</v>
      </c>
      <c r="J14" s="54" t="s">
        <v>701</v>
      </c>
      <c r="K14" s="54" t="s">
        <v>700</v>
      </c>
      <c r="L14" s="54" t="s">
        <v>72</v>
      </c>
      <c r="M14" s="54">
        <v>2021</v>
      </c>
      <c r="N14" s="54">
        <v>0</v>
      </c>
      <c r="O14" s="54">
        <v>709.98</v>
      </c>
      <c r="P14" s="54">
        <v>17.9602861774455</v>
      </c>
    </row>
    <row r="15" spans="1:50" ht="11.25" customHeight="1" x14ac:dyDescent="0.25">
      <c r="A15" s="54">
        <v>14</v>
      </c>
      <c r="B15" s="54" t="s">
        <v>560</v>
      </c>
      <c r="C15" s="54" t="s">
        <v>43</v>
      </c>
      <c r="D15" s="54" t="s">
        <v>33</v>
      </c>
      <c r="E15" s="54" t="s">
        <v>44</v>
      </c>
      <c r="F15" s="54" t="s">
        <v>25</v>
      </c>
      <c r="G15" s="54" t="s">
        <v>25</v>
      </c>
      <c r="H15" s="54" t="s">
        <v>25</v>
      </c>
      <c r="I15" s="54" t="s">
        <v>34</v>
      </c>
      <c r="J15" s="54" t="s">
        <v>701</v>
      </c>
      <c r="K15" s="54" t="s">
        <v>700</v>
      </c>
      <c r="L15" s="54" t="s">
        <v>72</v>
      </c>
      <c r="M15" s="54">
        <v>2021</v>
      </c>
      <c r="N15" s="54">
        <v>0</v>
      </c>
      <c r="O15" s="54">
        <v>650.42999999999995</v>
      </c>
      <c r="P15" s="54">
        <v>15.805051836152</v>
      </c>
    </row>
    <row r="16" spans="1:50" ht="11.25" customHeight="1" x14ac:dyDescent="0.25">
      <c r="A16" s="54">
        <v>15</v>
      </c>
      <c r="B16" s="54" t="s">
        <v>588</v>
      </c>
      <c r="C16" s="54" t="s">
        <v>688</v>
      </c>
      <c r="D16" s="54" t="s">
        <v>71</v>
      </c>
      <c r="E16" s="54" t="s">
        <v>25</v>
      </c>
      <c r="F16" s="54" t="s">
        <v>25</v>
      </c>
      <c r="G16" s="54" t="s">
        <v>25</v>
      </c>
      <c r="H16" s="54" t="s">
        <v>25</v>
      </c>
      <c r="I16" s="54" t="s">
        <v>35</v>
      </c>
      <c r="J16" s="54" t="s">
        <v>701</v>
      </c>
      <c r="K16" s="54" t="s">
        <v>700</v>
      </c>
      <c r="L16" s="54" t="s">
        <v>72</v>
      </c>
      <c r="M16" s="54">
        <v>2021</v>
      </c>
      <c r="N16" s="54">
        <v>0</v>
      </c>
      <c r="O16" s="54">
        <v>253.9</v>
      </c>
      <c r="P16" s="54">
        <v>0</v>
      </c>
    </row>
    <row r="17" spans="1:16" ht="11.25" customHeight="1" x14ac:dyDescent="0.25">
      <c r="A17" s="54">
        <v>16</v>
      </c>
      <c r="B17" s="54" t="s">
        <v>560</v>
      </c>
      <c r="C17" s="54" t="s">
        <v>39</v>
      </c>
      <c r="D17" s="54" t="s">
        <v>40</v>
      </c>
      <c r="E17" s="54" t="s">
        <v>25</v>
      </c>
      <c r="F17" s="54" t="s">
        <v>25</v>
      </c>
      <c r="G17" s="54" t="s">
        <v>80</v>
      </c>
      <c r="H17" s="54" t="s">
        <v>25</v>
      </c>
      <c r="I17" s="54" t="s">
        <v>25</v>
      </c>
      <c r="J17" s="54" t="s">
        <v>701</v>
      </c>
      <c r="K17" s="54" t="s">
        <v>700</v>
      </c>
      <c r="L17" s="54" t="s">
        <v>72</v>
      </c>
      <c r="M17" s="54">
        <v>2021</v>
      </c>
      <c r="N17" s="54">
        <v>0</v>
      </c>
      <c r="O17" s="54">
        <v>51.24</v>
      </c>
      <c r="P17" s="54">
        <v>0</v>
      </c>
    </row>
    <row r="18" spans="1:16" ht="11.25" customHeight="1" x14ac:dyDescent="0.25">
      <c r="A18" s="54">
        <v>17</v>
      </c>
      <c r="B18" s="54" t="s">
        <v>560</v>
      </c>
      <c r="C18" s="54" t="s">
        <v>22</v>
      </c>
      <c r="D18" s="54" t="s">
        <v>23</v>
      </c>
      <c r="E18" s="54" t="s">
        <v>24</v>
      </c>
      <c r="F18" s="54" t="s">
        <v>29</v>
      </c>
      <c r="G18" s="54" t="s">
        <v>25</v>
      </c>
      <c r="H18" s="54" t="s">
        <v>25</v>
      </c>
      <c r="I18" s="54" t="s">
        <v>25</v>
      </c>
      <c r="J18" s="54" t="s">
        <v>701</v>
      </c>
      <c r="K18" s="54" t="s">
        <v>700</v>
      </c>
      <c r="L18" s="54" t="s">
        <v>72</v>
      </c>
      <c r="M18" s="54">
        <v>2021</v>
      </c>
      <c r="N18" s="54">
        <v>0</v>
      </c>
      <c r="O18" s="54">
        <v>94.27</v>
      </c>
      <c r="P18" s="54">
        <v>0</v>
      </c>
    </row>
    <row r="19" spans="1:16" ht="11.25" customHeight="1" x14ac:dyDescent="0.25">
      <c r="A19" s="54">
        <v>18</v>
      </c>
      <c r="B19" s="54" t="s">
        <v>560</v>
      </c>
      <c r="C19" s="54" t="s">
        <v>39</v>
      </c>
      <c r="D19" s="54" t="s">
        <v>41</v>
      </c>
      <c r="E19" s="54" t="s">
        <v>25</v>
      </c>
      <c r="F19" s="54" t="s">
        <v>25</v>
      </c>
      <c r="G19" s="54" t="s">
        <v>25</v>
      </c>
      <c r="H19" s="54" t="s">
        <v>25</v>
      </c>
      <c r="I19" s="54" t="s">
        <v>25</v>
      </c>
      <c r="J19" s="54" t="s">
        <v>699</v>
      </c>
      <c r="K19" s="54" t="s">
        <v>700</v>
      </c>
      <c r="L19" s="54" t="s">
        <v>77</v>
      </c>
      <c r="M19" s="54">
        <v>2021</v>
      </c>
      <c r="N19" s="54">
        <v>0</v>
      </c>
      <c r="O19" s="54">
        <v>14.64</v>
      </c>
      <c r="P19" s="54">
        <v>0</v>
      </c>
    </row>
    <row r="20" spans="1:16" ht="11.25" customHeight="1" x14ac:dyDescent="0.25">
      <c r="A20" s="54">
        <v>19</v>
      </c>
      <c r="B20" s="54" t="s">
        <v>560</v>
      </c>
      <c r="C20" s="54" t="s">
        <v>22</v>
      </c>
      <c r="D20" s="54" t="s">
        <v>87</v>
      </c>
      <c r="E20" s="54" t="s">
        <v>24</v>
      </c>
      <c r="F20" s="54" t="s">
        <v>32</v>
      </c>
      <c r="G20" s="54" t="s">
        <v>25</v>
      </c>
      <c r="H20" s="54" t="s">
        <v>25</v>
      </c>
      <c r="I20" s="54" t="s">
        <v>25</v>
      </c>
      <c r="J20" s="54" t="s">
        <v>701</v>
      </c>
      <c r="K20" s="54" t="s">
        <v>700</v>
      </c>
      <c r="L20" s="54" t="s">
        <v>72</v>
      </c>
      <c r="M20" s="54">
        <v>2021</v>
      </c>
      <c r="N20" s="54">
        <v>0</v>
      </c>
      <c r="O20" s="54">
        <v>269.33999999999997</v>
      </c>
      <c r="P20" s="54">
        <v>0</v>
      </c>
    </row>
    <row r="21" spans="1:16" ht="11.25" customHeight="1" x14ac:dyDescent="0.25">
      <c r="A21" s="54">
        <v>20</v>
      </c>
      <c r="B21" s="54" t="s">
        <v>560</v>
      </c>
      <c r="C21" s="54" t="s">
        <v>43</v>
      </c>
      <c r="D21" s="54" t="s">
        <v>87</v>
      </c>
      <c r="E21" s="54" t="s">
        <v>44</v>
      </c>
      <c r="F21" s="54" t="s">
        <v>88</v>
      </c>
      <c r="G21" s="54" t="s">
        <v>25</v>
      </c>
      <c r="H21" s="54" t="s">
        <v>25</v>
      </c>
      <c r="I21" s="54" t="s">
        <v>25</v>
      </c>
      <c r="J21" s="54" t="s">
        <v>701</v>
      </c>
      <c r="K21" s="54" t="s">
        <v>700</v>
      </c>
      <c r="L21" s="54" t="s">
        <v>72</v>
      </c>
      <c r="M21" s="54">
        <v>2021</v>
      </c>
      <c r="N21" s="54">
        <v>0</v>
      </c>
      <c r="O21" s="54">
        <v>273.93</v>
      </c>
      <c r="P21" s="54">
        <v>15.805051836152</v>
      </c>
    </row>
    <row r="22" spans="1:16" ht="11.25" customHeight="1" x14ac:dyDescent="0.25">
      <c r="A22" s="54">
        <v>21</v>
      </c>
      <c r="B22" s="54" t="s">
        <v>560</v>
      </c>
      <c r="C22" s="54" t="s">
        <v>22</v>
      </c>
      <c r="D22" s="54" t="s">
        <v>87</v>
      </c>
      <c r="E22" s="54" t="s">
        <v>24</v>
      </c>
      <c r="F22" s="54" t="s">
        <v>30</v>
      </c>
      <c r="G22" s="54" t="s">
        <v>25</v>
      </c>
      <c r="H22" s="54" t="s">
        <v>25</v>
      </c>
      <c r="I22" s="54" t="s">
        <v>25</v>
      </c>
      <c r="J22" s="54" t="s">
        <v>701</v>
      </c>
      <c r="K22" s="54" t="s">
        <v>700</v>
      </c>
      <c r="L22" s="54" t="s">
        <v>72</v>
      </c>
      <c r="M22" s="54">
        <v>2021</v>
      </c>
      <c r="N22" s="54">
        <v>0</v>
      </c>
      <c r="O22" s="54">
        <v>161.61000000000001</v>
      </c>
      <c r="P22" s="54">
        <v>0</v>
      </c>
    </row>
    <row r="23" spans="1:16" ht="11.25" customHeight="1" x14ac:dyDescent="0.25">
      <c r="A23" s="54">
        <v>22</v>
      </c>
      <c r="B23" s="54" t="s">
        <v>560</v>
      </c>
      <c r="C23" s="54" t="s">
        <v>43</v>
      </c>
      <c r="D23" s="54" t="s">
        <v>33</v>
      </c>
      <c r="E23" s="54" t="s">
        <v>44</v>
      </c>
      <c r="F23" s="54" t="s">
        <v>25</v>
      </c>
      <c r="G23" s="54" t="s">
        <v>25</v>
      </c>
      <c r="H23" s="54" t="s">
        <v>25</v>
      </c>
      <c r="I23" s="54" t="s">
        <v>36</v>
      </c>
      <c r="J23" s="54" t="s">
        <v>701</v>
      </c>
      <c r="K23" s="54" t="s">
        <v>700</v>
      </c>
      <c r="L23" s="54" t="s">
        <v>72</v>
      </c>
      <c r="M23" s="54">
        <v>2021</v>
      </c>
      <c r="N23" s="54">
        <v>0</v>
      </c>
      <c r="O23" s="54">
        <v>431.37</v>
      </c>
      <c r="P23" s="54">
        <v>15.805051836152</v>
      </c>
    </row>
    <row r="24" spans="1:16" ht="11.25" customHeight="1" x14ac:dyDescent="0.25">
      <c r="A24" s="54">
        <v>23</v>
      </c>
      <c r="B24" s="54" t="s">
        <v>560</v>
      </c>
      <c r="C24" s="54" t="s">
        <v>39</v>
      </c>
      <c r="D24" s="54" t="s">
        <v>40</v>
      </c>
      <c r="E24" s="54" t="s">
        <v>25</v>
      </c>
      <c r="F24" s="54" t="s">
        <v>25</v>
      </c>
      <c r="G24" s="54" t="s">
        <v>25</v>
      </c>
      <c r="H24" s="54" t="s">
        <v>25</v>
      </c>
      <c r="I24" s="54" t="s">
        <v>25</v>
      </c>
      <c r="J24" s="54" t="s">
        <v>701</v>
      </c>
      <c r="K24" s="54" t="s">
        <v>700</v>
      </c>
      <c r="L24" s="54" t="s">
        <v>72</v>
      </c>
      <c r="M24" s="54">
        <v>2021</v>
      </c>
      <c r="N24" s="54">
        <v>0</v>
      </c>
      <c r="O24" s="54">
        <v>87.73</v>
      </c>
      <c r="P24" s="54">
        <v>15.625448974377401</v>
      </c>
    </row>
    <row r="25" spans="1:16" ht="11.25" customHeight="1" x14ac:dyDescent="0.25">
      <c r="A25" s="54">
        <v>24</v>
      </c>
      <c r="B25" s="54" t="s">
        <v>560</v>
      </c>
      <c r="C25" s="54" t="s">
        <v>22</v>
      </c>
      <c r="D25" s="54" t="s">
        <v>23</v>
      </c>
      <c r="E25" s="54" t="s">
        <v>24</v>
      </c>
      <c r="F25" s="54" t="s">
        <v>24</v>
      </c>
      <c r="G25" s="54" t="s">
        <v>25</v>
      </c>
      <c r="H25" s="54" t="s">
        <v>25</v>
      </c>
      <c r="I25" s="54" t="s">
        <v>25</v>
      </c>
      <c r="J25" s="54" t="s">
        <v>701</v>
      </c>
      <c r="K25" s="54" t="s">
        <v>700</v>
      </c>
      <c r="L25" s="54" t="s">
        <v>72</v>
      </c>
      <c r="M25" s="54">
        <v>2021</v>
      </c>
      <c r="N25" s="54">
        <v>0</v>
      </c>
      <c r="O25" s="54">
        <v>311.27999999999997</v>
      </c>
      <c r="P25" s="54">
        <v>17.9602861774455</v>
      </c>
    </row>
    <row r="26" spans="1:16" ht="11.25" customHeight="1" x14ac:dyDescent="0.25">
      <c r="A26" s="54">
        <v>25</v>
      </c>
      <c r="B26" s="54" t="s">
        <v>560</v>
      </c>
      <c r="C26" s="54" t="s">
        <v>43</v>
      </c>
      <c r="D26" s="54" t="s">
        <v>23</v>
      </c>
      <c r="E26" s="54" t="s">
        <v>44</v>
      </c>
      <c r="F26" s="54" t="s">
        <v>89</v>
      </c>
      <c r="G26" s="54" t="s">
        <v>25</v>
      </c>
      <c r="H26" s="54" t="s">
        <v>25</v>
      </c>
      <c r="I26" s="54" t="s">
        <v>25</v>
      </c>
      <c r="J26" s="54" t="s">
        <v>701</v>
      </c>
      <c r="K26" s="54" t="s">
        <v>700</v>
      </c>
      <c r="L26" s="54" t="s">
        <v>72</v>
      </c>
      <c r="M26" s="54">
        <v>2021</v>
      </c>
      <c r="N26" s="54">
        <v>0</v>
      </c>
      <c r="O26" s="54">
        <v>261.48</v>
      </c>
      <c r="P26" s="54">
        <v>15.0866403890542</v>
      </c>
    </row>
    <row r="27" spans="1:16" ht="11.25" customHeight="1" x14ac:dyDescent="0.25">
      <c r="A27" s="54">
        <v>26</v>
      </c>
      <c r="B27" s="54" t="s">
        <v>588</v>
      </c>
      <c r="C27" s="54" t="s">
        <v>22</v>
      </c>
      <c r="D27" s="54" t="s">
        <v>71</v>
      </c>
      <c r="E27" s="54" t="s">
        <v>24</v>
      </c>
      <c r="F27" s="54" t="s">
        <v>24</v>
      </c>
      <c r="G27" s="54" t="s">
        <v>25</v>
      </c>
      <c r="H27" s="54" t="s">
        <v>25</v>
      </c>
      <c r="I27" s="54" t="s">
        <v>34</v>
      </c>
      <c r="J27" s="54" t="s">
        <v>701</v>
      </c>
      <c r="K27" s="54" t="s">
        <v>700</v>
      </c>
      <c r="L27" s="54" t="s">
        <v>72</v>
      </c>
      <c r="M27" s="54">
        <v>2021</v>
      </c>
      <c r="N27" s="54">
        <v>0</v>
      </c>
      <c r="O27" s="54">
        <v>433.77</v>
      </c>
      <c r="P27" s="54"/>
    </row>
    <row r="28" spans="1:16" ht="11.25" customHeight="1" x14ac:dyDescent="0.25">
      <c r="A28" s="54">
        <v>27</v>
      </c>
      <c r="B28" s="54" t="s">
        <v>560</v>
      </c>
      <c r="C28" s="54" t="s">
        <v>39</v>
      </c>
      <c r="D28" s="54" t="s">
        <v>40</v>
      </c>
      <c r="E28" s="54" t="s">
        <v>25</v>
      </c>
      <c r="F28" s="54" t="s">
        <v>25</v>
      </c>
      <c r="G28" s="54" t="s">
        <v>25</v>
      </c>
      <c r="H28" s="54" t="s">
        <v>25</v>
      </c>
      <c r="I28" s="54" t="s">
        <v>35</v>
      </c>
      <c r="J28" s="54" t="s">
        <v>699</v>
      </c>
      <c r="K28" s="54" t="s">
        <v>700</v>
      </c>
      <c r="L28" s="54" t="s">
        <v>77</v>
      </c>
      <c r="M28" s="54">
        <v>2021</v>
      </c>
      <c r="N28" s="54">
        <v>0</v>
      </c>
      <c r="O28" s="54">
        <v>14.64</v>
      </c>
      <c r="P28" s="54">
        <v>0</v>
      </c>
    </row>
    <row r="29" spans="1:16" ht="11.25" customHeight="1" x14ac:dyDescent="0.25">
      <c r="A29" s="54">
        <v>28</v>
      </c>
      <c r="B29" s="54" t="s">
        <v>560</v>
      </c>
      <c r="C29" s="54" t="s">
        <v>22</v>
      </c>
      <c r="D29" s="54" t="s">
        <v>33</v>
      </c>
      <c r="E29" s="54" t="s">
        <v>24</v>
      </c>
      <c r="F29" s="54" t="s">
        <v>24</v>
      </c>
      <c r="G29" s="54" t="s">
        <v>25</v>
      </c>
      <c r="H29" s="54" t="s">
        <v>25</v>
      </c>
      <c r="I29" s="54" t="s">
        <v>36</v>
      </c>
      <c r="J29" s="54" t="s">
        <v>701</v>
      </c>
      <c r="K29" s="54" t="s">
        <v>700</v>
      </c>
      <c r="L29" s="54" t="s">
        <v>72</v>
      </c>
      <c r="M29" s="54">
        <v>2021</v>
      </c>
      <c r="N29" s="54">
        <v>0</v>
      </c>
      <c r="O29" s="54">
        <v>472.7</v>
      </c>
      <c r="P29" s="54">
        <v>17.9602861774455</v>
      </c>
    </row>
    <row r="30" spans="1:16" ht="11.25" customHeight="1" x14ac:dyDescent="0.25">
      <c r="A30" s="54">
        <v>29</v>
      </c>
      <c r="B30" s="54" t="s">
        <v>560</v>
      </c>
      <c r="C30" s="54" t="s">
        <v>43</v>
      </c>
      <c r="D30" s="54" t="s">
        <v>33</v>
      </c>
      <c r="E30" s="54" t="s">
        <v>44</v>
      </c>
      <c r="F30" s="54" t="s">
        <v>89</v>
      </c>
      <c r="G30" s="54" t="s">
        <v>25</v>
      </c>
      <c r="H30" s="54" t="s">
        <v>25</v>
      </c>
      <c r="I30" s="54" t="s">
        <v>34</v>
      </c>
      <c r="J30" s="54" t="s">
        <v>701</v>
      </c>
      <c r="K30" s="54" t="s">
        <v>700</v>
      </c>
      <c r="L30" s="54" t="s">
        <v>72</v>
      </c>
      <c r="M30" s="54">
        <v>2021</v>
      </c>
      <c r="N30" s="54">
        <v>0</v>
      </c>
      <c r="O30" s="54">
        <v>620.87</v>
      </c>
      <c r="P30" s="54">
        <v>15.0866403890542</v>
      </c>
    </row>
    <row r="31" spans="1:16" ht="11.25" customHeight="1" x14ac:dyDescent="0.25">
      <c r="A31" s="54">
        <v>30</v>
      </c>
      <c r="B31" s="54" t="s">
        <v>560</v>
      </c>
      <c r="C31" s="54" t="s">
        <v>46</v>
      </c>
      <c r="D31" s="54" t="s">
        <v>23</v>
      </c>
      <c r="E31" s="54" t="s">
        <v>47</v>
      </c>
      <c r="F31" s="54" t="s">
        <v>90</v>
      </c>
      <c r="G31" s="54" t="s">
        <v>25</v>
      </c>
      <c r="H31" s="54" t="s">
        <v>25</v>
      </c>
      <c r="I31" s="54" t="s">
        <v>25</v>
      </c>
      <c r="J31" s="54" t="s">
        <v>701</v>
      </c>
      <c r="K31" s="54" t="s">
        <v>700</v>
      </c>
      <c r="L31" s="54" t="s">
        <v>72</v>
      </c>
      <c r="M31" s="54">
        <v>2021</v>
      </c>
      <c r="N31" s="54">
        <v>0</v>
      </c>
      <c r="O31" s="54">
        <v>186.77</v>
      </c>
      <c r="P31" s="54">
        <v>10.7761717064673</v>
      </c>
    </row>
    <row r="32" spans="1:16" ht="11.25" customHeight="1" x14ac:dyDescent="0.25">
      <c r="A32" s="54">
        <v>31</v>
      </c>
      <c r="B32" s="54" t="s">
        <v>560</v>
      </c>
      <c r="C32" s="54" t="s">
        <v>39</v>
      </c>
      <c r="D32" s="54" t="s">
        <v>41</v>
      </c>
      <c r="E32" s="54" t="s">
        <v>25</v>
      </c>
      <c r="F32" s="54" t="s">
        <v>25</v>
      </c>
      <c r="G32" s="54" t="s">
        <v>25</v>
      </c>
      <c r="H32" s="54" t="s">
        <v>25</v>
      </c>
      <c r="I32" s="54" t="s">
        <v>35</v>
      </c>
      <c r="J32" s="54" t="s">
        <v>701</v>
      </c>
      <c r="K32" s="54" t="s">
        <v>700</v>
      </c>
      <c r="L32" s="54" t="s">
        <v>72</v>
      </c>
      <c r="M32" s="54">
        <v>2021</v>
      </c>
      <c r="N32" s="54">
        <v>0</v>
      </c>
      <c r="O32" s="54">
        <v>87.73</v>
      </c>
      <c r="P32" s="54">
        <v>15.625448974377599</v>
      </c>
    </row>
    <row r="33" spans="1:16" ht="11.25" customHeight="1" x14ac:dyDescent="0.25">
      <c r="A33" s="54">
        <v>32</v>
      </c>
      <c r="B33" s="54" t="s">
        <v>560</v>
      </c>
      <c r="C33" s="54" t="s">
        <v>43</v>
      </c>
      <c r="D33" s="54" t="s">
        <v>33</v>
      </c>
      <c r="E33" s="54" t="s">
        <v>44</v>
      </c>
      <c r="F33" s="54" t="s">
        <v>88</v>
      </c>
      <c r="G33" s="54" t="s">
        <v>25</v>
      </c>
      <c r="H33" s="54" t="s">
        <v>25</v>
      </c>
      <c r="I33" s="54" t="s">
        <v>34</v>
      </c>
      <c r="J33" s="54" t="s">
        <v>701</v>
      </c>
      <c r="K33" s="54" t="s">
        <v>700</v>
      </c>
      <c r="L33" s="54" t="s">
        <v>72</v>
      </c>
      <c r="M33" s="54">
        <v>2021</v>
      </c>
      <c r="N33" s="54">
        <v>0</v>
      </c>
      <c r="O33" s="54">
        <v>650.42999999999995</v>
      </c>
      <c r="P33" s="54">
        <v>15.805051836152</v>
      </c>
    </row>
    <row r="34" spans="1:16" ht="11.25" customHeight="1" x14ac:dyDescent="0.25">
      <c r="A34" s="54">
        <v>33</v>
      </c>
      <c r="B34" s="54" t="s">
        <v>560</v>
      </c>
      <c r="C34" s="54" t="s">
        <v>37</v>
      </c>
      <c r="D34" s="54" t="s">
        <v>23</v>
      </c>
      <c r="E34" s="54" t="s">
        <v>25</v>
      </c>
      <c r="F34" s="54" t="s">
        <v>25</v>
      </c>
      <c r="G34" s="54" t="s">
        <v>25</v>
      </c>
      <c r="H34" s="54" t="s">
        <v>25</v>
      </c>
      <c r="I34" s="54" t="s">
        <v>25</v>
      </c>
      <c r="J34" s="54" t="s">
        <v>701</v>
      </c>
      <c r="K34" s="54" t="s">
        <v>700</v>
      </c>
      <c r="L34" s="54" t="s">
        <v>72</v>
      </c>
      <c r="M34" s="54">
        <v>2021</v>
      </c>
      <c r="N34" s="54">
        <v>0</v>
      </c>
      <c r="O34" s="54">
        <v>311.27999999999997</v>
      </c>
      <c r="P34" s="54">
        <v>17.9602861774455</v>
      </c>
    </row>
    <row r="35" spans="1:16" ht="11.25" customHeight="1" x14ac:dyDescent="0.25">
      <c r="A35" s="54">
        <v>34</v>
      </c>
      <c r="B35" s="54" t="s">
        <v>560</v>
      </c>
      <c r="C35" s="54" t="s">
        <v>39</v>
      </c>
      <c r="D35" s="54" t="s">
        <v>40</v>
      </c>
      <c r="E35" s="54" t="s">
        <v>25</v>
      </c>
      <c r="F35" s="54" t="s">
        <v>25</v>
      </c>
      <c r="G35" s="54" t="s">
        <v>25</v>
      </c>
      <c r="H35" s="54" t="s">
        <v>25</v>
      </c>
      <c r="I35" s="54" t="s">
        <v>34</v>
      </c>
      <c r="J35" s="54" t="s">
        <v>699</v>
      </c>
      <c r="K35" s="54" t="s">
        <v>700</v>
      </c>
      <c r="L35" s="54" t="s">
        <v>77</v>
      </c>
      <c r="M35" s="54">
        <v>2021</v>
      </c>
      <c r="N35" s="54">
        <v>0</v>
      </c>
      <c r="O35" s="54">
        <v>44</v>
      </c>
      <c r="P35" s="54">
        <v>0</v>
      </c>
    </row>
    <row r="36" spans="1:16" ht="11.25" customHeight="1" x14ac:dyDescent="0.25">
      <c r="A36" s="54">
        <v>35</v>
      </c>
      <c r="B36" s="54" t="s">
        <v>560</v>
      </c>
      <c r="C36" s="54" t="s">
        <v>22</v>
      </c>
      <c r="D36" s="54" t="s">
        <v>33</v>
      </c>
      <c r="E36" s="54" t="s">
        <v>24</v>
      </c>
      <c r="F36" s="54" t="s">
        <v>24</v>
      </c>
      <c r="G36" s="54" t="s">
        <v>25</v>
      </c>
      <c r="H36" s="54" t="s">
        <v>25</v>
      </c>
      <c r="I36" s="54" t="s">
        <v>35</v>
      </c>
      <c r="J36" s="54" t="s">
        <v>701</v>
      </c>
      <c r="K36" s="54" t="s">
        <v>700</v>
      </c>
      <c r="L36" s="54" t="s">
        <v>72</v>
      </c>
      <c r="M36" s="54">
        <v>2021</v>
      </c>
      <c r="N36" s="54">
        <v>0</v>
      </c>
      <c r="O36" s="54">
        <v>235.45</v>
      </c>
      <c r="P36" s="54">
        <v>17.9602861774455</v>
      </c>
    </row>
    <row r="37" spans="1:16" ht="11.25" customHeight="1" x14ac:dyDescent="0.25">
      <c r="A37" s="54">
        <v>36</v>
      </c>
      <c r="B37" s="54" t="s">
        <v>588</v>
      </c>
      <c r="C37" s="54" t="s">
        <v>22</v>
      </c>
      <c r="D37" s="54" t="s">
        <v>71</v>
      </c>
      <c r="E37" s="54" t="s">
        <v>24</v>
      </c>
      <c r="F37" s="54" t="s">
        <v>24</v>
      </c>
      <c r="G37" s="54" t="s">
        <v>25</v>
      </c>
      <c r="H37" s="54" t="s">
        <v>25</v>
      </c>
      <c r="I37" s="54" t="s">
        <v>36</v>
      </c>
      <c r="J37" s="54" t="s">
        <v>701</v>
      </c>
      <c r="K37" s="54" t="s">
        <v>700</v>
      </c>
      <c r="L37" s="54" t="s">
        <v>72</v>
      </c>
      <c r="M37" s="54">
        <v>2021</v>
      </c>
      <c r="N37" s="54">
        <v>0</v>
      </c>
      <c r="O37" s="54">
        <v>253.9</v>
      </c>
      <c r="P37" s="54"/>
    </row>
    <row r="38" spans="1:16" ht="11.25" customHeight="1" x14ac:dyDescent="0.25">
      <c r="A38" s="54">
        <v>37</v>
      </c>
      <c r="B38" s="54" t="s">
        <v>560</v>
      </c>
      <c r="C38" s="54" t="s">
        <v>43</v>
      </c>
      <c r="D38" s="54" t="s">
        <v>23</v>
      </c>
      <c r="E38" s="54" t="s">
        <v>44</v>
      </c>
      <c r="F38" s="54" t="s">
        <v>88</v>
      </c>
      <c r="G38" s="54" t="s">
        <v>25</v>
      </c>
      <c r="H38" s="54" t="s">
        <v>25</v>
      </c>
      <c r="I38" s="54" t="s">
        <v>25</v>
      </c>
      <c r="J38" s="54" t="s">
        <v>701</v>
      </c>
      <c r="K38" s="54" t="s">
        <v>700</v>
      </c>
      <c r="L38" s="54" t="s">
        <v>72</v>
      </c>
      <c r="M38" s="54">
        <v>2021</v>
      </c>
      <c r="N38" s="54">
        <v>0</v>
      </c>
      <c r="O38" s="54">
        <v>273.93</v>
      </c>
      <c r="P38" s="54">
        <v>15.805051836152</v>
      </c>
    </row>
    <row r="39" spans="1:16" ht="11.25" customHeight="1" x14ac:dyDescent="0.25">
      <c r="A39" s="54">
        <v>38</v>
      </c>
      <c r="B39" s="54" t="s">
        <v>560</v>
      </c>
      <c r="C39" s="54" t="s">
        <v>39</v>
      </c>
      <c r="D39" s="54" t="s">
        <v>81</v>
      </c>
      <c r="E39" s="54" t="s">
        <v>25</v>
      </c>
      <c r="F39" s="54" t="s">
        <v>25</v>
      </c>
      <c r="G39" s="54" t="s">
        <v>25</v>
      </c>
      <c r="H39" s="54" t="s">
        <v>25</v>
      </c>
      <c r="I39" s="54" t="s">
        <v>25</v>
      </c>
      <c r="J39" s="54" t="s">
        <v>699</v>
      </c>
      <c r="K39" s="54" t="s">
        <v>700</v>
      </c>
      <c r="L39" s="54" t="s">
        <v>77</v>
      </c>
      <c r="M39" s="54">
        <v>2021</v>
      </c>
      <c r="N39" s="54">
        <v>0</v>
      </c>
      <c r="O39" s="54">
        <v>11.38</v>
      </c>
      <c r="P39" s="54">
        <v>0</v>
      </c>
    </row>
    <row r="40" spans="1:16" ht="11.25" customHeight="1" x14ac:dyDescent="0.25">
      <c r="A40" s="54">
        <v>39</v>
      </c>
      <c r="B40" s="54" t="s">
        <v>560</v>
      </c>
      <c r="C40" s="54" t="s">
        <v>22</v>
      </c>
      <c r="D40" s="54" t="s">
        <v>23</v>
      </c>
      <c r="E40" s="54" t="s">
        <v>24</v>
      </c>
      <c r="F40" s="54" t="s">
        <v>30</v>
      </c>
      <c r="G40" s="54" t="s">
        <v>25</v>
      </c>
      <c r="H40" s="54" t="s">
        <v>25</v>
      </c>
      <c r="I40" s="54" t="s">
        <v>25</v>
      </c>
      <c r="J40" s="54" t="s">
        <v>701</v>
      </c>
      <c r="K40" s="54" t="s">
        <v>700</v>
      </c>
      <c r="L40" s="54" t="s">
        <v>72</v>
      </c>
      <c r="M40" s="54">
        <v>2021</v>
      </c>
      <c r="N40" s="54">
        <v>0</v>
      </c>
      <c r="O40" s="54">
        <v>161.61000000000001</v>
      </c>
      <c r="P40" s="54">
        <v>0</v>
      </c>
    </row>
    <row r="41" spans="1:16" ht="11.25" customHeight="1" x14ac:dyDescent="0.25">
      <c r="A41" s="54">
        <v>40</v>
      </c>
      <c r="B41" s="54" t="s">
        <v>588</v>
      </c>
      <c r="C41" s="54" t="s">
        <v>22</v>
      </c>
      <c r="D41" s="54" t="s">
        <v>75</v>
      </c>
      <c r="E41" s="54" t="s">
        <v>24</v>
      </c>
      <c r="F41" s="54" t="s">
        <v>24</v>
      </c>
      <c r="G41" s="54" t="s">
        <v>25</v>
      </c>
      <c r="H41" s="54" t="s">
        <v>25</v>
      </c>
      <c r="I41" s="54" t="s">
        <v>25</v>
      </c>
      <c r="J41" s="54" t="s">
        <v>701</v>
      </c>
      <c r="K41" s="54" t="s">
        <v>700</v>
      </c>
      <c r="L41" s="54" t="s">
        <v>72</v>
      </c>
      <c r="M41" s="54">
        <v>2021</v>
      </c>
      <c r="N41" s="54">
        <v>0</v>
      </c>
      <c r="O41" s="54">
        <v>268.89</v>
      </c>
      <c r="P41" s="54"/>
    </row>
    <row r="42" spans="1:16" ht="11.25" customHeight="1" x14ac:dyDescent="0.25">
      <c r="A42" s="54">
        <v>41</v>
      </c>
      <c r="B42" s="54" t="s">
        <v>560</v>
      </c>
      <c r="C42" s="54" t="s">
        <v>43</v>
      </c>
      <c r="D42" s="54" t="s">
        <v>33</v>
      </c>
      <c r="E42" s="54" t="s">
        <v>44</v>
      </c>
      <c r="F42" s="54" t="s">
        <v>89</v>
      </c>
      <c r="G42" s="54" t="s">
        <v>25</v>
      </c>
      <c r="H42" s="54" t="s">
        <v>25</v>
      </c>
      <c r="I42" s="54" t="s">
        <v>35</v>
      </c>
      <c r="J42" s="54" t="s">
        <v>701</v>
      </c>
      <c r="K42" s="54" t="s">
        <v>700</v>
      </c>
      <c r="L42" s="54" t="s">
        <v>72</v>
      </c>
      <c r="M42" s="54">
        <v>2021</v>
      </c>
      <c r="N42" s="54">
        <v>0</v>
      </c>
      <c r="O42" s="54">
        <v>202.67</v>
      </c>
      <c r="P42" s="54">
        <v>15.0866403890542</v>
      </c>
    </row>
    <row r="43" spans="1:16" ht="11.25" customHeight="1" x14ac:dyDescent="0.25">
      <c r="A43" s="54">
        <v>42</v>
      </c>
      <c r="B43" s="54" t="s">
        <v>560</v>
      </c>
      <c r="C43" s="54" t="s">
        <v>39</v>
      </c>
      <c r="D43" s="54" t="s">
        <v>41</v>
      </c>
      <c r="E43" s="54" t="s">
        <v>25</v>
      </c>
      <c r="F43" s="54" t="s">
        <v>25</v>
      </c>
      <c r="G43" s="54" t="s">
        <v>80</v>
      </c>
      <c r="H43" s="54" t="s">
        <v>25</v>
      </c>
      <c r="I43" s="54" t="s">
        <v>34</v>
      </c>
      <c r="J43" s="54" t="s">
        <v>701</v>
      </c>
      <c r="K43" s="54" t="s">
        <v>700</v>
      </c>
      <c r="L43" s="54" t="s">
        <v>72</v>
      </c>
      <c r="M43" s="54">
        <v>2021</v>
      </c>
      <c r="N43" s="54">
        <v>0</v>
      </c>
      <c r="O43" s="54">
        <v>1119.02</v>
      </c>
      <c r="P43" s="54">
        <v>0</v>
      </c>
    </row>
    <row r="44" spans="1:16" ht="11.25" customHeight="1" x14ac:dyDescent="0.25">
      <c r="A44" s="54">
        <v>43</v>
      </c>
      <c r="B44" s="54" t="s">
        <v>588</v>
      </c>
      <c r="C44" s="54" t="s">
        <v>22</v>
      </c>
      <c r="D44" s="54" t="s">
        <v>71</v>
      </c>
      <c r="E44" s="54" t="s">
        <v>24</v>
      </c>
      <c r="F44" s="54" t="s">
        <v>24</v>
      </c>
      <c r="G44" s="54" t="s">
        <v>25</v>
      </c>
      <c r="H44" s="54" t="s">
        <v>25</v>
      </c>
      <c r="I44" s="54" t="s">
        <v>35</v>
      </c>
      <c r="J44" s="54" t="s">
        <v>701</v>
      </c>
      <c r="K44" s="54" t="s">
        <v>700</v>
      </c>
      <c r="L44" s="54" t="s">
        <v>72</v>
      </c>
      <c r="M44" s="54">
        <v>2021</v>
      </c>
      <c r="N44" s="54">
        <v>0</v>
      </c>
      <c r="O44" s="54">
        <v>253.9</v>
      </c>
      <c r="P44" s="54"/>
    </row>
    <row r="45" spans="1:16" ht="11.25" customHeight="1" x14ac:dyDescent="0.25">
      <c r="A45" s="54">
        <v>44</v>
      </c>
      <c r="B45" s="54" t="s">
        <v>560</v>
      </c>
      <c r="C45" s="54" t="s">
        <v>43</v>
      </c>
      <c r="D45" s="54" t="s">
        <v>87</v>
      </c>
      <c r="E45" s="54" t="s">
        <v>44</v>
      </c>
      <c r="F45" s="54" t="s">
        <v>25</v>
      </c>
      <c r="G45" s="54" t="s">
        <v>25</v>
      </c>
      <c r="H45" s="54" t="s">
        <v>25</v>
      </c>
      <c r="I45" s="54" t="s">
        <v>25</v>
      </c>
      <c r="J45" s="54" t="s">
        <v>701</v>
      </c>
      <c r="K45" s="54" t="s">
        <v>700</v>
      </c>
      <c r="L45" s="54" t="s">
        <v>72</v>
      </c>
      <c r="M45" s="54">
        <v>2021</v>
      </c>
      <c r="N45" s="54">
        <v>0</v>
      </c>
      <c r="O45" s="54">
        <v>273.93</v>
      </c>
      <c r="P45" s="54">
        <v>15.805051836152</v>
      </c>
    </row>
    <row r="46" spans="1:16" ht="11.25" customHeight="1" x14ac:dyDescent="0.25">
      <c r="A46" s="54">
        <v>45</v>
      </c>
      <c r="B46" s="54" t="s">
        <v>560</v>
      </c>
      <c r="C46" s="54" t="s">
        <v>43</v>
      </c>
      <c r="D46" s="54" t="s">
        <v>23</v>
      </c>
      <c r="E46" s="54" t="s">
        <v>44</v>
      </c>
      <c r="F46" s="54" t="s">
        <v>25</v>
      </c>
      <c r="G46" s="54" t="s">
        <v>25</v>
      </c>
      <c r="H46" s="54" t="s">
        <v>25</v>
      </c>
      <c r="I46" s="54" t="s">
        <v>25</v>
      </c>
      <c r="J46" s="54" t="s">
        <v>701</v>
      </c>
      <c r="K46" s="54" t="s">
        <v>700</v>
      </c>
      <c r="L46" s="54" t="s">
        <v>72</v>
      </c>
      <c r="M46" s="54">
        <v>2021</v>
      </c>
      <c r="N46" s="54">
        <v>0</v>
      </c>
      <c r="O46" s="54">
        <v>273.93</v>
      </c>
      <c r="P46" s="54">
        <v>15.805051836152</v>
      </c>
    </row>
    <row r="47" spans="1:16" ht="11.25" customHeight="1" x14ac:dyDescent="0.25">
      <c r="A47" s="54">
        <v>46</v>
      </c>
      <c r="B47" s="54" t="s">
        <v>560</v>
      </c>
      <c r="C47" s="54" t="s">
        <v>37</v>
      </c>
      <c r="D47" s="54" t="s">
        <v>33</v>
      </c>
      <c r="E47" s="54" t="s">
        <v>25</v>
      </c>
      <c r="F47" s="54" t="s">
        <v>25</v>
      </c>
      <c r="G47" s="54" t="s">
        <v>25</v>
      </c>
      <c r="H47" s="54" t="s">
        <v>25</v>
      </c>
      <c r="I47" s="54" t="s">
        <v>35</v>
      </c>
      <c r="J47" s="54" t="s">
        <v>701</v>
      </c>
      <c r="K47" s="54" t="s">
        <v>700</v>
      </c>
      <c r="L47" s="54" t="s">
        <v>72</v>
      </c>
      <c r="M47" s="54">
        <v>2021</v>
      </c>
      <c r="N47" s="54">
        <v>0</v>
      </c>
      <c r="O47" s="54">
        <v>262.64999999999998</v>
      </c>
      <c r="P47" s="54">
        <v>17.9602861774455</v>
      </c>
    </row>
    <row r="48" spans="1:16" ht="11.25" customHeight="1" x14ac:dyDescent="0.25">
      <c r="A48" s="54">
        <v>47</v>
      </c>
      <c r="B48" s="54" t="s">
        <v>588</v>
      </c>
      <c r="C48" s="54" t="s">
        <v>43</v>
      </c>
      <c r="D48" s="54" t="s">
        <v>71</v>
      </c>
      <c r="E48" s="54" t="s">
        <v>44</v>
      </c>
      <c r="F48" s="54" t="s">
        <v>25</v>
      </c>
      <c r="G48" s="54" t="s">
        <v>25</v>
      </c>
      <c r="H48" s="54" t="s">
        <v>25</v>
      </c>
      <c r="I48" s="54" t="s">
        <v>36</v>
      </c>
      <c r="J48" s="54" t="s">
        <v>701</v>
      </c>
      <c r="K48" s="54" t="s">
        <v>700</v>
      </c>
      <c r="L48" s="54" t="s">
        <v>72</v>
      </c>
      <c r="M48" s="54">
        <v>2021</v>
      </c>
      <c r="N48" s="54">
        <v>0</v>
      </c>
      <c r="O48" s="54">
        <v>223.44</v>
      </c>
      <c r="P48" s="54"/>
    </row>
    <row r="49" spans="1:16" ht="11.25" customHeight="1" x14ac:dyDescent="0.25">
      <c r="A49" s="54">
        <v>48</v>
      </c>
      <c r="B49" s="54" t="s">
        <v>588</v>
      </c>
      <c r="C49" s="54" t="s">
        <v>43</v>
      </c>
      <c r="D49" s="54" t="s">
        <v>86</v>
      </c>
      <c r="E49" s="54" t="s">
        <v>44</v>
      </c>
      <c r="F49" s="54" t="s">
        <v>89</v>
      </c>
      <c r="G49" s="54" t="s">
        <v>25</v>
      </c>
      <c r="H49" s="54" t="s">
        <v>25</v>
      </c>
      <c r="I49" s="54" t="s">
        <v>25</v>
      </c>
      <c r="J49" s="54" t="s">
        <v>701</v>
      </c>
      <c r="K49" s="54" t="s">
        <v>700</v>
      </c>
      <c r="L49" s="54" t="s">
        <v>72</v>
      </c>
      <c r="M49" s="54">
        <v>2021</v>
      </c>
      <c r="N49" s="54">
        <v>0</v>
      </c>
      <c r="O49" s="54">
        <v>225.87</v>
      </c>
      <c r="P49" s="54"/>
    </row>
    <row r="50" spans="1:16" ht="11.25" customHeight="1" x14ac:dyDescent="0.25">
      <c r="A50" s="54">
        <v>49</v>
      </c>
      <c r="B50" s="54" t="s">
        <v>560</v>
      </c>
      <c r="C50" s="54" t="s">
        <v>43</v>
      </c>
      <c r="D50" s="54" t="s">
        <v>87</v>
      </c>
      <c r="E50" s="54" t="s">
        <v>44</v>
      </c>
      <c r="F50" s="54" t="s">
        <v>89</v>
      </c>
      <c r="G50" s="54" t="s">
        <v>25</v>
      </c>
      <c r="H50" s="54" t="s">
        <v>25</v>
      </c>
      <c r="I50" s="54" t="s">
        <v>25</v>
      </c>
      <c r="J50" s="54" t="s">
        <v>701</v>
      </c>
      <c r="K50" s="54" t="s">
        <v>700</v>
      </c>
      <c r="L50" s="54" t="s">
        <v>72</v>
      </c>
      <c r="M50" s="54">
        <v>2021</v>
      </c>
      <c r="N50" s="54">
        <v>0</v>
      </c>
      <c r="O50" s="54">
        <v>261.48</v>
      </c>
      <c r="P50" s="54">
        <v>15.0866403890542</v>
      </c>
    </row>
    <row r="51" spans="1:16" ht="11.25" customHeight="1" x14ac:dyDescent="0.25">
      <c r="A51" s="54">
        <v>50</v>
      </c>
      <c r="B51" s="54" t="s">
        <v>588</v>
      </c>
      <c r="C51" s="54" t="s">
        <v>22</v>
      </c>
      <c r="D51" s="54" t="s">
        <v>86</v>
      </c>
      <c r="E51" s="54" t="s">
        <v>24</v>
      </c>
      <c r="F51" s="54" t="s">
        <v>30</v>
      </c>
      <c r="G51" s="54" t="s">
        <v>25</v>
      </c>
      <c r="H51" s="54" t="s">
        <v>25</v>
      </c>
      <c r="I51" s="54" t="s">
        <v>25</v>
      </c>
      <c r="J51" s="54" t="s">
        <v>701</v>
      </c>
      <c r="K51" s="54" t="s">
        <v>700</v>
      </c>
      <c r="L51" s="54" t="s">
        <v>72</v>
      </c>
      <c r="M51" s="54">
        <v>2021</v>
      </c>
      <c r="N51" s="54">
        <v>0</v>
      </c>
      <c r="O51" s="54">
        <v>161.34</v>
      </c>
      <c r="P51" s="54"/>
    </row>
    <row r="52" spans="1:16" ht="11.25" customHeight="1" x14ac:dyDescent="0.25">
      <c r="A52" s="54">
        <v>51</v>
      </c>
      <c r="B52" s="54" t="s">
        <v>588</v>
      </c>
      <c r="C52" s="54" t="s">
        <v>43</v>
      </c>
      <c r="D52" s="54" t="s">
        <v>75</v>
      </c>
      <c r="E52" s="54" t="s">
        <v>44</v>
      </c>
      <c r="F52" s="54" t="s">
        <v>89</v>
      </c>
      <c r="G52" s="54" t="s">
        <v>25</v>
      </c>
      <c r="H52" s="54" t="s">
        <v>25</v>
      </c>
      <c r="I52" s="54" t="s">
        <v>25</v>
      </c>
      <c r="J52" s="54" t="s">
        <v>701</v>
      </c>
      <c r="K52" s="54" t="s">
        <v>700</v>
      </c>
      <c r="L52" s="54" t="s">
        <v>72</v>
      </c>
      <c r="M52" s="54">
        <v>2021</v>
      </c>
      <c r="N52" s="54">
        <v>0</v>
      </c>
      <c r="O52" s="54">
        <v>225.87</v>
      </c>
      <c r="P52" s="54"/>
    </row>
    <row r="53" spans="1:16" ht="11.25" customHeight="1" x14ac:dyDescent="0.25">
      <c r="A53" s="54">
        <v>52</v>
      </c>
      <c r="B53" s="54" t="s">
        <v>588</v>
      </c>
      <c r="C53" s="54" t="s">
        <v>22</v>
      </c>
      <c r="D53" s="54" t="s">
        <v>75</v>
      </c>
      <c r="E53" s="54" t="s">
        <v>24</v>
      </c>
      <c r="F53" s="54" t="s">
        <v>32</v>
      </c>
      <c r="G53" s="54" t="s">
        <v>25</v>
      </c>
      <c r="H53" s="54" t="s">
        <v>25</v>
      </c>
      <c r="I53" s="54" t="s">
        <v>25</v>
      </c>
      <c r="J53" s="54" t="s">
        <v>701</v>
      </c>
      <c r="K53" s="54" t="s">
        <v>700</v>
      </c>
      <c r="L53" s="54" t="s">
        <v>72</v>
      </c>
      <c r="M53" s="54">
        <v>2021</v>
      </c>
      <c r="N53" s="54">
        <v>0</v>
      </c>
      <c r="O53" s="54">
        <v>268.89</v>
      </c>
      <c r="P53" s="54"/>
    </row>
    <row r="54" spans="1:16" ht="11.25" customHeight="1" x14ac:dyDescent="0.25">
      <c r="A54" s="54">
        <v>53</v>
      </c>
      <c r="B54" s="54" t="s">
        <v>588</v>
      </c>
      <c r="C54" s="54" t="s">
        <v>43</v>
      </c>
      <c r="D54" s="54" t="s">
        <v>75</v>
      </c>
      <c r="E54" s="54" t="s">
        <v>44</v>
      </c>
      <c r="F54" s="54" t="s">
        <v>88</v>
      </c>
      <c r="G54" s="54" t="s">
        <v>25</v>
      </c>
      <c r="H54" s="54" t="s">
        <v>25</v>
      </c>
      <c r="I54" s="54" t="s">
        <v>25</v>
      </c>
      <c r="J54" s="54" t="s">
        <v>701</v>
      </c>
      <c r="K54" s="54" t="s">
        <v>700</v>
      </c>
      <c r="L54" s="54" t="s">
        <v>72</v>
      </c>
      <c r="M54" s="54">
        <v>2021</v>
      </c>
      <c r="N54" s="54">
        <v>0</v>
      </c>
      <c r="O54" s="54">
        <v>236.63</v>
      </c>
      <c r="P54" s="54"/>
    </row>
    <row r="55" spans="1:16" ht="11.25" customHeight="1" x14ac:dyDescent="0.25">
      <c r="A55" s="54">
        <v>54</v>
      </c>
      <c r="B55" s="54" t="s">
        <v>560</v>
      </c>
      <c r="C55" s="54" t="s">
        <v>37</v>
      </c>
      <c r="D55" s="54" t="s">
        <v>33</v>
      </c>
      <c r="E55" s="54" t="s">
        <v>25</v>
      </c>
      <c r="F55" s="54" t="s">
        <v>25</v>
      </c>
      <c r="G55" s="54" t="s">
        <v>25</v>
      </c>
      <c r="H55" s="54" t="s">
        <v>25</v>
      </c>
      <c r="I55" s="54" t="s">
        <v>36</v>
      </c>
      <c r="J55" s="54" t="s">
        <v>701</v>
      </c>
      <c r="K55" s="54" t="s">
        <v>700</v>
      </c>
      <c r="L55" s="54" t="s">
        <v>72</v>
      </c>
      <c r="M55" s="54">
        <v>2021</v>
      </c>
      <c r="N55" s="54">
        <v>0</v>
      </c>
      <c r="O55" s="54">
        <v>554.39</v>
      </c>
      <c r="P55" s="54">
        <v>17.9602861774455</v>
      </c>
    </row>
    <row r="56" spans="1:16" ht="11.25" customHeight="1" x14ac:dyDescent="0.25">
      <c r="A56" s="54">
        <v>55</v>
      </c>
      <c r="B56" s="54" t="s">
        <v>560</v>
      </c>
      <c r="C56" s="54" t="s">
        <v>22</v>
      </c>
      <c r="D56" s="54" t="s">
        <v>87</v>
      </c>
      <c r="E56" s="54" t="s">
        <v>24</v>
      </c>
      <c r="F56" s="54" t="s">
        <v>24</v>
      </c>
      <c r="G56" s="54" t="s">
        <v>25</v>
      </c>
      <c r="H56" s="54" t="s">
        <v>25</v>
      </c>
      <c r="I56" s="54" t="s">
        <v>25</v>
      </c>
      <c r="J56" s="54" t="s">
        <v>701</v>
      </c>
      <c r="K56" s="54" t="s">
        <v>700</v>
      </c>
      <c r="L56" s="54" t="s">
        <v>72</v>
      </c>
      <c r="M56" s="54">
        <v>2021</v>
      </c>
      <c r="N56" s="54">
        <v>0</v>
      </c>
      <c r="O56" s="54">
        <v>311.27999999999997</v>
      </c>
      <c r="P56" s="54">
        <v>17.9602861774455</v>
      </c>
    </row>
    <row r="57" spans="1:16" ht="11.25" customHeight="1" x14ac:dyDescent="0.25">
      <c r="A57" s="54">
        <v>56</v>
      </c>
      <c r="B57" s="54" t="s">
        <v>560</v>
      </c>
      <c r="C57" s="54" t="s">
        <v>22</v>
      </c>
      <c r="D57" s="54" t="s">
        <v>87</v>
      </c>
      <c r="E57" s="54" t="s">
        <v>24</v>
      </c>
      <c r="F57" s="54" t="s">
        <v>29</v>
      </c>
      <c r="G57" s="54" t="s">
        <v>25</v>
      </c>
      <c r="H57" s="54" t="s">
        <v>25</v>
      </c>
      <c r="I57" s="54" t="s">
        <v>25</v>
      </c>
      <c r="J57" s="54" t="s">
        <v>701</v>
      </c>
      <c r="K57" s="54" t="s">
        <v>700</v>
      </c>
      <c r="L57" s="54" t="s">
        <v>72</v>
      </c>
      <c r="M57" s="54">
        <v>2021</v>
      </c>
      <c r="N57" s="54">
        <v>0</v>
      </c>
      <c r="O57" s="54">
        <v>94.27</v>
      </c>
      <c r="P57" s="54">
        <v>0</v>
      </c>
    </row>
    <row r="58" spans="1:16" ht="11.25" customHeight="1" x14ac:dyDescent="0.25">
      <c r="A58" s="54">
        <v>57</v>
      </c>
      <c r="B58" s="54" t="s">
        <v>560</v>
      </c>
      <c r="C58" s="54" t="s">
        <v>43</v>
      </c>
      <c r="D58" s="54" t="s">
        <v>33</v>
      </c>
      <c r="E58" s="54" t="s">
        <v>44</v>
      </c>
      <c r="F58" s="54" t="s">
        <v>89</v>
      </c>
      <c r="G58" s="54" t="s">
        <v>25</v>
      </c>
      <c r="H58" s="54" t="s">
        <v>25</v>
      </c>
      <c r="I58" s="54" t="s">
        <v>36</v>
      </c>
      <c r="J58" s="54" t="s">
        <v>701</v>
      </c>
      <c r="K58" s="54" t="s">
        <v>700</v>
      </c>
      <c r="L58" s="54" t="s">
        <v>72</v>
      </c>
      <c r="M58" s="54">
        <v>2021</v>
      </c>
      <c r="N58" s="54">
        <v>0</v>
      </c>
      <c r="O58" s="54">
        <v>411.77</v>
      </c>
      <c r="P58" s="54">
        <v>15.0866403890542</v>
      </c>
    </row>
    <row r="59" spans="1:16" ht="11.25" customHeight="1" x14ac:dyDescent="0.25">
      <c r="A59" s="54">
        <v>58</v>
      </c>
      <c r="B59" s="54" t="s">
        <v>560</v>
      </c>
      <c r="C59" s="54" t="s">
        <v>46</v>
      </c>
      <c r="D59" s="54" t="s">
        <v>23</v>
      </c>
      <c r="E59" s="54" t="s">
        <v>47</v>
      </c>
      <c r="F59" s="54" t="s">
        <v>48</v>
      </c>
      <c r="G59" s="54" t="s">
        <v>25</v>
      </c>
      <c r="H59" s="54" t="s">
        <v>25</v>
      </c>
      <c r="I59" s="54" t="s">
        <v>25</v>
      </c>
      <c r="J59" s="54" t="s">
        <v>701</v>
      </c>
      <c r="K59" s="54" t="s">
        <v>700</v>
      </c>
      <c r="L59" s="54" t="s">
        <v>72</v>
      </c>
      <c r="M59" s="54">
        <v>2021</v>
      </c>
      <c r="N59" s="54">
        <v>0</v>
      </c>
      <c r="O59" s="54">
        <v>171.21</v>
      </c>
      <c r="P59" s="54">
        <v>9.8781573975950092</v>
      </c>
    </row>
    <row r="60" spans="1:16" ht="11.25" customHeight="1" x14ac:dyDescent="0.25">
      <c r="A60" s="54">
        <v>59</v>
      </c>
      <c r="B60" s="54" t="s">
        <v>588</v>
      </c>
      <c r="C60" s="54" t="s">
        <v>39</v>
      </c>
      <c r="D60" s="54" t="s">
        <v>71</v>
      </c>
      <c r="E60" s="54" t="s">
        <v>25</v>
      </c>
      <c r="F60" s="54" t="s">
        <v>25</v>
      </c>
      <c r="G60" s="54" t="s">
        <v>25</v>
      </c>
      <c r="H60" s="54" t="s">
        <v>25</v>
      </c>
      <c r="I60" s="54" t="s">
        <v>35</v>
      </c>
      <c r="J60" s="54" t="s">
        <v>701</v>
      </c>
      <c r="K60" s="54" t="s">
        <v>700</v>
      </c>
      <c r="L60" s="54" t="s">
        <v>72</v>
      </c>
      <c r="M60" s="54">
        <v>2021</v>
      </c>
      <c r="N60" s="54">
        <v>0</v>
      </c>
      <c r="O60" s="54">
        <v>253.9</v>
      </c>
      <c r="P60" s="54"/>
    </row>
    <row r="61" spans="1:16" ht="11.25" customHeight="1" x14ac:dyDescent="0.25">
      <c r="A61" s="54">
        <v>60</v>
      </c>
      <c r="B61" s="54" t="s">
        <v>588</v>
      </c>
      <c r="C61" s="54" t="s">
        <v>22</v>
      </c>
      <c r="D61" s="54" t="s">
        <v>75</v>
      </c>
      <c r="E61" s="54" t="s">
        <v>24</v>
      </c>
      <c r="F61" s="54" t="s">
        <v>29</v>
      </c>
      <c r="G61" s="54" t="s">
        <v>25</v>
      </c>
      <c r="H61" s="54" t="s">
        <v>25</v>
      </c>
      <c r="I61" s="54" t="s">
        <v>25</v>
      </c>
      <c r="J61" s="54" t="s">
        <v>701</v>
      </c>
      <c r="K61" s="54" t="s">
        <v>700</v>
      </c>
      <c r="L61" s="54" t="s">
        <v>72</v>
      </c>
      <c r="M61" s="54">
        <v>2021</v>
      </c>
      <c r="N61" s="54">
        <v>0</v>
      </c>
      <c r="O61" s="54">
        <v>94.11</v>
      </c>
      <c r="P61" s="54"/>
    </row>
    <row r="62" spans="1:16" ht="11.25" customHeight="1" x14ac:dyDescent="0.25">
      <c r="A62" s="54">
        <v>61</v>
      </c>
      <c r="B62" s="54" t="s">
        <v>560</v>
      </c>
      <c r="C62" s="54" t="s">
        <v>22</v>
      </c>
      <c r="D62" s="54" t="s">
        <v>23</v>
      </c>
      <c r="E62" s="54" t="s">
        <v>24</v>
      </c>
      <c r="F62" s="54" t="s">
        <v>31</v>
      </c>
      <c r="G62" s="54" t="s">
        <v>25</v>
      </c>
      <c r="H62" s="54" t="s">
        <v>25</v>
      </c>
      <c r="I62" s="54" t="s">
        <v>25</v>
      </c>
      <c r="J62" s="54" t="s">
        <v>701</v>
      </c>
      <c r="K62" s="54" t="s">
        <v>700</v>
      </c>
      <c r="L62" s="54" t="s">
        <v>72</v>
      </c>
      <c r="M62" s="54">
        <v>2021</v>
      </c>
      <c r="N62" s="54">
        <v>0</v>
      </c>
      <c r="O62" s="54">
        <v>242.41</v>
      </c>
      <c r="P62" s="54">
        <v>0</v>
      </c>
    </row>
    <row r="63" spans="1:16" ht="11.25" customHeight="1" x14ac:dyDescent="0.25">
      <c r="A63" s="54">
        <v>62</v>
      </c>
      <c r="B63" s="54" t="s">
        <v>588</v>
      </c>
      <c r="C63" s="54" t="s">
        <v>43</v>
      </c>
      <c r="D63" s="54" t="s">
        <v>71</v>
      </c>
      <c r="E63" s="54" t="s">
        <v>44</v>
      </c>
      <c r="F63" s="54" t="s">
        <v>25</v>
      </c>
      <c r="G63" s="54" t="s">
        <v>25</v>
      </c>
      <c r="H63" s="54" t="s">
        <v>25</v>
      </c>
      <c r="I63" s="54" t="s">
        <v>34</v>
      </c>
      <c r="J63" s="54" t="s">
        <v>701</v>
      </c>
      <c r="K63" s="54" t="s">
        <v>700</v>
      </c>
      <c r="L63" s="54" t="s">
        <v>72</v>
      </c>
      <c r="M63" s="54">
        <v>2021</v>
      </c>
      <c r="N63" s="54">
        <v>0</v>
      </c>
      <c r="O63" s="54">
        <v>381.72</v>
      </c>
      <c r="P63" s="54"/>
    </row>
    <row r="64" spans="1:16" ht="11.25" customHeight="1" x14ac:dyDescent="0.25">
      <c r="A64" s="54">
        <v>63</v>
      </c>
      <c r="B64" s="54" t="s">
        <v>588</v>
      </c>
      <c r="C64" s="54" t="s">
        <v>43</v>
      </c>
      <c r="D64" s="54" t="s">
        <v>71</v>
      </c>
      <c r="E64" s="54" t="s">
        <v>44</v>
      </c>
      <c r="F64" s="54" t="s">
        <v>89</v>
      </c>
      <c r="G64" s="54" t="s">
        <v>25</v>
      </c>
      <c r="H64" s="54" t="s">
        <v>25</v>
      </c>
      <c r="I64" s="54" t="s">
        <v>35</v>
      </c>
      <c r="J64" s="54" t="s">
        <v>701</v>
      </c>
      <c r="K64" s="54" t="s">
        <v>700</v>
      </c>
      <c r="L64" s="54" t="s">
        <v>72</v>
      </c>
      <c r="M64" s="54">
        <v>2021</v>
      </c>
      <c r="N64" s="54">
        <v>0</v>
      </c>
      <c r="O64" s="54">
        <v>213.28</v>
      </c>
      <c r="P64" s="54"/>
    </row>
    <row r="65" spans="1:16" ht="11.25" customHeight="1" x14ac:dyDescent="0.25">
      <c r="A65" s="54">
        <v>64</v>
      </c>
      <c r="B65" s="54" t="s">
        <v>560</v>
      </c>
      <c r="C65" s="54" t="s">
        <v>37</v>
      </c>
      <c r="D65" s="54" t="s">
        <v>33</v>
      </c>
      <c r="E65" s="54" t="s">
        <v>25</v>
      </c>
      <c r="F65" s="54" t="s">
        <v>25</v>
      </c>
      <c r="G65" s="54" t="s">
        <v>25</v>
      </c>
      <c r="H65" s="54" t="s">
        <v>25</v>
      </c>
      <c r="I65" s="54" t="s">
        <v>34</v>
      </c>
      <c r="J65" s="54" t="s">
        <v>701</v>
      </c>
      <c r="K65" s="54" t="s">
        <v>700</v>
      </c>
      <c r="L65" s="54" t="s">
        <v>72</v>
      </c>
      <c r="M65" s="54">
        <v>2021</v>
      </c>
      <c r="N65" s="54">
        <v>0</v>
      </c>
      <c r="O65" s="54">
        <v>846.09</v>
      </c>
      <c r="P65" s="54">
        <v>17.9602861774455</v>
      </c>
    </row>
    <row r="66" spans="1:16" ht="11.25" customHeight="1" x14ac:dyDescent="0.25">
      <c r="A66" s="54">
        <v>65</v>
      </c>
      <c r="B66" s="54" t="s">
        <v>588</v>
      </c>
      <c r="C66" s="54" t="s">
        <v>22</v>
      </c>
      <c r="D66" s="54" t="s">
        <v>75</v>
      </c>
      <c r="E66" s="54" t="s">
        <v>24</v>
      </c>
      <c r="F66" s="54" t="s">
        <v>31</v>
      </c>
      <c r="G66" s="54" t="s">
        <v>25</v>
      </c>
      <c r="H66" s="54" t="s">
        <v>25</v>
      </c>
      <c r="I66" s="54" t="s">
        <v>25</v>
      </c>
      <c r="J66" s="54" t="s">
        <v>701</v>
      </c>
      <c r="K66" s="54" t="s">
        <v>700</v>
      </c>
      <c r="L66" s="54" t="s">
        <v>72</v>
      </c>
      <c r="M66" s="54">
        <v>2021</v>
      </c>
      <c r="N66" s="54">
        <v>0</v>
      </c>
      <c r="O66" s="54">
        <v>242</v>
      </c>
      <c r="P66" s="54"/>
    </row>
    <row r="67" spans="1:16" ht="11.25" customHeight="1" x14ac:dyDescent="0.25">
      <c r="A67" s="54">
        <v>66</v>
      </c>
      <c r="B67" s="54" t="s">
        <v>588</v>
      </c>
      <c r="C67" s="54" t="s">
        <v>43</v>
      </c>
      <c r="D67" s="54" t="s">
        <v>71</v>
      </c>
      <c r="E67" s="54" t="s">
        <v>44</v>
      </c>
      <c r="F67" s="54" t="s">
        <v>88</v>
      </c>
      <c r="G67" s="54" t="s">
        <v>25</v>
      </c>
      <c r="H67" s="54" t="s">
        <v>25</v>
      </c>
      <c r="I67" s="54" t="s">
        <v>35</v>
      </c>
      <c r="J67" s="54" t="s">
        <v>701</v>
      </c>
      <c r="K67" s="54" t="s">
        <v>700</v>
      </c>
      <c r="L67" s="54" t="s">
        <v>72</v>
      </c>
      <c r="M67" s="54">
        <v>2021</v>
      </c>
      <c r="N67" s="54">
        <v>0</v>
      </c>
      <c r="O67" s="54">
        <v>223.44</v>
      </c>
      <c r="P67" s="54"/>
    </row>
    <row r="68" spans="1:16" ht="11.25" customHeight="1" x14ac:dyDescent="0.25">
      <c r="A68" s="54">
        <v>67</v>
      </c>
      <c r="B68" s="54" t="s">
        <v>560</v>
      </c>
      <c r="C68" s="54" t="s">
        <v>43</v>
      </c>
      <c r="D68" s="54" t="s">
        <v>33</v>
      </c>
      <c r="E68" s="54" t="s">
        <v>44</v>
      </c>
      <c r="F68" s="54" t="s">
        <v>88</v>
      </c>
      <c r="G68" s="54" t="s">
        <v>25</v>
      </c>
      <c r="H68" s="54" t="s">
        <v>25</v>
      </c>
      <c r="I68" s="54" t="s">
        <v>35</v>
      </c>
      <c r="J68" s="54" t="s">
        <v>701</v>
      </c>
      <c r="K68" s="54" t="s">
        <v>700</v>
      </c>
      <c r="L68" s="54" t="s">
        <v>72</v>
      </c>
      <c r="M68" s="54">
        <v>2021</v>
      </c>
      <c r="N68" s="54">
        <v>0</v>
      </c>
      <c r="O68" s="54">
        <v>212.32</v>
      </c>
      <c r="P68" s="54">
        <v>15.805051836152</v>
      </c>
    </row>
    <row r="69" spans="1:16" ht="11.25" customHeight="1" x14ac:dyDescent="0.25">
      <c r="A69" s="54">
        <v>68</v>
      </c>
      <c r="B69" s="54" t="s">
        <v>560</v>
      </c>
      <c r="C69" s="54" t="s">
        <v>37</v>
      </c>
      <c r="D69" s="54" t="s">
        <v>87</v>
      </c>
      <c r="E69" s="54" t="s">
        <v>25</v>
      </c>
      <c r="F69" s="54" t="s">
        <v>25</v>
      </c>
      <c r="G69" s="54" t="s">
        <v>25</v>
      </c>
      <c r="H69" s="54" t="s">
        <v>25</v>
      </c>
      <c r="I69" s="54" t="s">
        <v>25</v>
      </c>
      <c r="J69" s="54" t="s">
        <v>701</v>
      </c>
      <c r="K69" s="54" t="s">
        <v>700</v>
      </c>
      <c r="L69" s="54" t="s">
        <v>72</v>
      </c>
      <c r="M69" s="54">
        <v>2021</v>
      </c>
      <c r="N69" s="54">
        <v>0</v>
      </c>
      <c r="O69" s="54">
        <v>311.27999999999997</v>
      </c>
      <c r="P69" s="54">
        <v>17.9602861774455</v>
      </c>
    </row>
    <row r="70" spans="1:16" ht="11.25" customHeight="1" x14ac:dyDescent="0.25">
      <c r="A70" s="54">
        <v>69</v>
      </c>
      <c r="B70" s="54" t="s">
        <v>588</v>
      </c>
      <c r="C70" s="54" t="s">
        <v>43</v>
      </c>
      <c r="D70" s="54" t="s">
        <v>71</v>
      </c>
      <c r="E70" s="54" t="s">
        <v>44</v>
      </c>
      <c r="F70" s="54" t="s">
        <v>25</v>
      </c>
      <c r="G70" s="54" t="s">
        <v>25</v>
      </c>
      <c r="H70" s="54" t="s">
        <v>25</v>
      </c>
      <c r="I70" s="54" t="s">
        <v>35</v>
      </c>
      <c r="J70" s="54" t="s">
        <v>701</v>
      </c>
      <c r="K70" s="54" t="s">
        <v>700</v>
      </c>
      <c r="L70" s="54" t="s">
        <v>72</v>
      </c>
      <c r="M70" s="54">
        <v>2021</v>
      </c>
      <c r="N70" s="54">
        <v>0</v>
      </c>
      <c r="O70" s="54">
        <v>223.44</v>
      </c>
      <c r="P70" s="54"/>
    </row>
    <row r="71" spans="1:16" ht="11.25" customHeight="1" x14ac:dyDescent="0.25">
      <c r="A71" s="54">
        <v>70</v>
      </c>
      <c r="B71" s="54" t="s">
        <v>560</v>
      </c>
      <c r="C71" s="54" t="s">
        <v>43</v>
      </c>
      <c r="D71" s="54" t="s">
        <v>33</v>
      </c>
      <c r="E71" s="54" t="s">
        <v>44</v>
      </c>
      <c r="F71" s="54" t="s">
        <v>25</v>
      </c>
      <c r="G71" s="54" t="s">
        <v>25</v>
      </c>
      <c r="H71" s="54" t="s">
        <v>25</v>
      </c>
      <c r="I71" s="54" t="s">
        <v>35</v>
      </c>
      <c r="J71" s="54" t="s">
        <v>701</v>
      </c>
      <c r="K71" s="54" t="s">
        <v>700</v>
      </c>
      <c r="L71" s="54" t="s">
        <v>72</v>
      </c>
      <c r="M71" s="54">
        <v>2021</v>
      </c>
      <c r="N71" s="54">
        <v>0</v>
      </c>
      <c r="O71" s="54">
        <v>212.32</v>
      </c>
      <c r="P71" s="54">
        <v>15.805051836152</v>
      </c>
    </row>
    <row r="72" spans="1:16" ht="11.25" customHeight="1" x14ac:dyDescent="0.25">
      <c r="A72" s="54">
        <v>71</v>
      </c>
      <c r="B72" s="54" t="s">
        <v>588</v>
      </c>
      <c r="C72" s="54" t="s">
        <v>39</v>
      </c>
      <c r="D72" s="54" t="s">
        <v>71</v>
      </c>
      <c r="E72" s="54" t="s">
        <v>25</v>
      </c>
      <c r="F72" s="54" t="s">
        <v>25</v>
      </c>
      <c r="G72" s="54" t="s">
        <v>25</v>
      </c>
      <c r="H72" s="54" t="s">
        <v>25</v>
      </c>
      <c r="I72" s="54" t="s">
        <v>34</v>
      </c>
      <c r="J72" s="54" t="s">
        <v>701</v>
      </c>
      <c r="K72" s="54" t="s">
        <v>700</v>
      </c>
      <c r="L72" s="54" t="s">
        <v>72</v>
      </c>
      <c r="M72" s="54">
        <v>2021</v>
      </c>
      <c r="N72" s="54">
        <v>0</v>
      </c>
      <c r="O72" s="54">
        <v>433.77</v>
      </c>
      <c r="P72" s="54"/>
    </row>
    <row r="73" spans="1:16" ht="11.25" customHeight="1" x14ac:dyDescent="0.25">
      <c r="A73" s="54">
        <v>72</v>
      </c>
      <c r="B73" s="54" t="s">
        <v>588</v>
      </c>
      <c r="C73" s="54" t="s">
        <v>22</v>
      </c>
      <c r="D73" s="54" t="s">
        <v>86</v>
      </c>
      <c r="E73" s="54" t="s">
        <v>24</v>
      </c>
      <c r="F73" s="54" t="s">
        <v>31</v>
      </c>
      <c r="G73" s="54" t="s">
        <v>25</v>
      </c>
      <c r="H73" s="54" t="s">
        <v>25</v>
      </c>
      <c r="I73" s="54" t="s">
        <v>25</v>
      </c>
      <c r="J73" s="54" t="s">
        <v>701</v>
      </c>
      <c r="K73" s="54" t="s">
        <v>700</v>
      </c>
      <c r="L73" s="54" t="s">
        <v>72</v>
      </c>
      <c r="M73" s="54">
        <v>2021</v>
      </c>
      <c r="N73" s="54">
        <v>0</v>
      </c>
      <c r="O73" s="54">
        <v>242</v>
      </c>
      <c r="P73" s="54"/>
    </row>
    <row r="74" spans="1:16" ht="11.25" customHeight="1" x14ac:dyDescent="0.25">
      <c r="A74" s="54">
        <v>73</v>
      </c>
      <c r="B74" s="54" t="s">
        <v>588</v>
      </c>
      <c r="C74" s="54" t="s">
        <v>43</v>
      </c>
      <c r="D74" s="54" t="s">
        <v>71</v>
      </c>
      <c r="E74" s="54" t="s">
        <v>44</v>
      </c>
      <c r="F74" s="54" t="s">
        <v>88</v>
      </c>
      <c r="G74" s="54" t="s">
        <v>25</v>
      </c>
      <c r="H74" s="54" t="s">
        <v>25</v>
      </c>
      <c r="I74" s="54" t="s">
        <v>34</v>
      </c>
      <c r="J74" s="54" t="s">
        <v>701</v>
      </c>
      <c r="K74" s="54" t="s">
        <v>700</v>
      </c>
      <c r="L74" s="54" t="s">
        <v>72</v>
      </c>
      <c r="M74" s="54">
        <v>2021</v>
      </c>
      <c r="N74" s="54">
        <v>0</v>
      </c>
      <c r="O74" s="54">
        <v>381.72</v>
      </c>
      <c r="P74" s="54"/>
    </row>
    <row r="75" spans="1:16" ht="11.25" customHeight="1" x14ac:dyDescent="0.25">
      <c r="A75" s="54">
        <v>74</v>
      </c>
      <c r="B75" s="54" t="s">
        <v>588</v>
      </c>
      <c r="C75" s="54" t="s">
        <v>37</v>
      </c>
      <c r="D75" s="54" t="s">
        <v>71</v>
      </c>
      <c r="E75" s="54" t="s">
        <v>25</v>
      </c>
      <c r="F75" s="54" t="s">
        <v>25</v>
      </c>
      <c r="G75" s="54" t="s">
        <v>25</v>
      </c>
      <c r="H75" s="54" t="s">
        <v>25</v>
      </c>
      <c r="I75" s="54" t="s">
        <v>35</v>
      </c>
      <c r="J75" s="54" t="s">
        <v>701</v>
      </c>
      <c r="K75" s="54" t="s">
        <v>700</v>
      </c>
      <c r="L75" s="54" t="s">
        <v>72</v>
      </c>
      <c r="M75" s="54">
        <v>2021</v>
      </c>
      <c r="N75" s="54">
        <v>0</v>
      </c>
      <c r="O75" s="54">
        <v>253.9</v>
      </c>
      <c r="P75" s="54"/>
    </row>
    <row r="76" spans="1:16" ht="11.25" customHeight="1" x14ac:dyDescent="0.25">
      <c r="A76" s="54">
        <v>75</v>
      </c>
      <c r="B76" s="54" t="s">
        <v>560</v>
      </c>
      <c r="C76" s="54" t="s">
        <v>43</v>
      </c>
      <c r="D76" s="54" t="s">
        <v>33</v>
      </c>
      <c r="E76" s="54" t="s">
        <v>44</v>
      </c>
      <c r="F76" s="54" t="s">
        <v>88</v>
      </c>
      <c r="G76" s="54" t="s">
        <v>25</v>
      </c>
      <c r="H76" s="54" t="s">
        <v>25</v>
      </c>
      <c r="I76" s="54" t="s">
        <v>36</v>
      </c>
      <c r="J76" s="54" t="s">
        <v>701</v>
      </c>
      <c r="K76" s="54" t="s">
        <v>700</v>
      </c>
      <c r="L76" s="54" t="s">
        <v>72</v>
      </c>
      <c r="M76" s="54">
        <v>2021</v>
      </c>
      <c r="N76" s="54">
        <v>0</v>
      </c>
      <c r="O76" s="54">
        <v>431.37</v>
      </c>
      <c r="P76" s="54">
        <v>15.805051836152</v>
      </c>
    </row>
    <row r="77" spans="1:16" ht="11.25" customHeight="1" x14ac:dyDescent="0.25">
      <c r="A77" s="54">
        <v>76</v>
      </c>
      <c r="B77" s="54" t="s">
        <v>588</v>
      </c>
      <c r="C77" s="54" t="s">
        <v>43</v>
      </c>
      <c r="D77" s="54" t="s">
        <v>86</v>
      </c>
      <c r="E77" s="54" t="s">
        <v>44</v>
      </c>
      <c r="F77" s="54" t="s">
        <v>88</v>
      </c>
      <c r="G77" s="54" t="s">
        <v>25</v>
      </c>
      <c r="H77" s="54" t="s">
        <v>25</v>
      </c>
      <c r="I77" s="54" t="s">
        <v>25</v>
      </c>
      <c r="J77" s="54" t="s">
        <v>701</v>
      </c>
      <c r="K77" s="54" t="s">
        <v>700</v>
      </c>
      <c r="L77" s="54" t="s">
        <v>72</v>
      </c>
      <c r="M77" s="54">
        <v>2021</v>
      </c>
      <c r="N77" s="54">
        <v>0</v>
      </c>
      <c r="O77" s="54">
        <v>236.63</v>
      </c>
      <c r="P77" s="54"/>
    </row>
    <row r="78" spans="1:16" ht="11.25" customHeight="1" x14ac:dyDescent="0.25">
      <c r="A78" s="54">
        <v>77</v>
      </c>
      <c r="B78" s="54" t="s">
        <v>588</v>
      </c>
      <c r="C78" s="54" t="s">
        <v>43</v>
      </c>
      <c r="D78" s="54" t="s">
        <v>75</v>
      </c>
      <c r="E78" s="54" t="s">
        <v>44</v>
      </c>
      <c r="F78" s="54" t="s">
        <v>25</v>
      </c>
      <c r="G78" s="54" t="s">
        <v>25</v>
      </c>
      <c r="H78" s="54" t="s">
        <v>25</v>
      </c>
      <c r="I78" s="54" t="s">
        <v>25</v>
      </c>
      <c r="J78" s="54" t="s">
        <v>701</v>
      </c>
      <c r="K78" s="54" t="s">
        <v>700</v>
      </c>
      <c r="L78" s="54" t="s">
        <v>72</v>
      </c>
      <c r="M78" s="54">
        <v>2021</v>
      </c>
      <c r="N78" s="54">
        <v>0</v>
      </c>
      <c r="O78" s="54">
        <v>236.63</v>
      </c>
      <c r="P78" s="54"/>
    </row>
    <row r="79" spans="1:16" ht="11.25" customHeight="1" x14ac:dyDescent="0.25">
      <c r="A79" s="54">
        <v>78</v>
      </c>
      <c r="B79" s="54" t="s">
        <v>588</v>
      </c>
      <c r="C79" s="54" t="s">
        <v>22</v>
      </c>
      <c r="D79" s="54" t="s">
        <v>86</v>
      </c>
      <c r="E79" s="54" t="s">
        <v>24</v>
      </c>
      <c r="F79" s="54" t="s">
        <v>24</v>
      </c>
      <c r="G79" s="54" t="s">
        <v>25</v>
      </c>
      <c r="H79" s="54" t="s">
        <v>25</v>
      </c>
      <c r="I79" s="54" t="s">
        <v>25</v>
      </c>
      <c r="J79" s="54" t="s">
        <v>701</v>
      </c>
      <c r="K79" s="54" t="s">
        <v>700</v>
      </c>
      <c r="L79" s="54" t="s">
        <v>72</v>
      </c>
      <c r="M79" s="54">
        <v>2021</v>
      </c>
      <c r="N79" s="54">
        <v>0</v>
      </c>
      <c r="O79" s="54">
        <v>268.89</v>
      </c>
      <c r="P79" s="54"/>
    </row>
    <row r="80" spans="1:16" ht="11.25" customHeight="1" x14ac:dyDescent="0.25">
      <c r="A80" s="54">
        <v>79</v>
      </c>
      <c r="B80" s="54" t="s">
        <v>588</v>
      </c>
      <c r="C80" s="54" t="s">
        <v>43</v>
      </c>
      <c r="D80" s="54" t="s">
        <v>71</v>
      </c>
      <c r="E80" s="54" t="s">
        <v>44</v>
      </c>
      <c r="F80" s="54" t="s">
        <v>89</v>
      </c>
      <c r="G80" s="54" t="s">
        <v>25</v>
      </c>
      <c r="H80" s="54" t="s">
        <v>25</v>
      </c>
      <c r="I80" s="54" t="s">
        <v>36</v>
      </c>
      <c r="J80" s="54" t="s">
        <v>701</v>
      </c>
      <c r="K80" s="54" t="s">
        <v>700</v>
      </c>
      <c r="L80" s="54" t="s">
        <v>72</v>
      </c>
      <c r="M80" s="54">
        <v>2021</v>
      </c>
      <c r="N80" s="54">
        <v>0</v>
      </c>
      <c r="O80" s="54">
        <v>213.28</v>
      </c>
      <c r="P80" s="54"/>
    </row>
    <row r="81" spans="1:16" ht="11.25" customHeight="1" x14ac:dyDescent="0.25">
      <c r="A81" s="54">
        <v>80</v>
      </c>
      <c r="B81" s="54" t="s">
        <v>588</v>
      </c>
      <c r="C81" s="54" t="s">
        <v>22</v>
      </c>
      <c r="D81" s="54" t="s">
        <v>75</v>
      </c>
      <c r="E81" s="54" t="s">
        <v>24</v>
      </c>
      <c r="F81" s="54" t="s">
        <v>30</v>
      </c>
      <c r="G81" s="54" t="s">
        <v>25</v>
      </c>
      <c r="H81" s="54" t="s">
        <v>25</v>
      </c>
      <c r="I81" s="54" t="s">
        <v>25</v>
      </c>
      <c r="J81" s="54" t="s">
        <v>701</v>
      </c>
      <c r="K81" s="54" t="s">
        <v>700</v>
      </c>
      <c r="L81" s="54" t="s">
        <v>72</v>
      </c>
      <c r="M81" s="54">
        <v>2021</v>
      </c>
      <c r="N81" s="54">
        <v>0</v>
      </c>
      <c r="O81" s="54">
        <v>161.34</v>
      </c>
      <c r="P81" s="54"/>
    </row>
    <row r="82" spans="1:16" ht="11.25" customHeight="1" x14ac:dyDescent="0.25">
      <c r="A82" s="54">
        <v>81</v>
      </c>
      <c r="B82" s="54" t="s">
        <v>588</v>
      </c>
      <c r="C82" s="54" t="s">
        <v>43</v>
      </c>
      <c r="D82" s="54" t="s">
        <v>71</v>
      </c>
      <c r="E82" s="54" t="s">
        <v>44</v>
      </c>
      <c r="F82" s="54" t="s">
        <v>88</v>
      </c>
      <c r="G82" s="54" t="s">
        <v>25</v>
      </c>
      <c r="H82" s="54" t="s">
        <v>25</v>
      </c>
      <c r="I82" s="54" t="s">
        <v>36</v>
      </c>
      <c r="J82" s="54" t="s">
        <v>701</v>
      </c>
      <c r="K82" s="54" t="s">
        <v>700</v>
      </c>
      <c r="L82" s="54" t="s">
        <v>72</v>
      </c>
      <c r="M82" s="54">
        <v>2021</v>
      </c>
      <c r="N82" s="54">
        <v>0</v>
      </c>
      <c r="O82" s="54">
        <v>223.44</v>
      </c>
      <c r="P82" s="54"/>
    </row>
    <row r="83" spans="1:16" ht="11.25" customHeight="1" x14ac:dyDescent="0.25">
      <c r="A83" s="54">
        <v>82</v>
      </c>
      <c r="B83" s="54" t="s">
        <v>588</v>
      </c>
      <c r="C83" s="54" t="s">
        <v>37</v>
      </c>
      <c r="D83" s="54" t="s">
        <v>71</v>
      </c>
      <c r="E83" s="54" t="s">
        <v>25</v>
      </c>
      <c r="F83" s="54" t="s">
        <v>25</v>
      </c>
      <c r="G83" s="54" t="s">
        <v>25</v>
      </c>
      <c r="H83" s="54" t="s">
        <v>25</v>
      </c>
      <c r="I83" s="54" t="s">
        <v>36</v>
      </c>
      <c r="J83" s="54" t="s">
        <v>701</v>
      </c>
      <c r="K83" s="54" t="s">
        <v>700</v>
      </c>
      <c r="L83" s="54" t="s">
        <v>72</v>
      </c>
      <c r="M83" s="54">
        <v>2021</v>
      </c>
      <c r="N83" s="54">
        <v>0</v>
      </c>
      <c r="O83" s="54">
        <v>253.9</v>
      </c>
      <c r="P83" s="54"/>
    </row>
    <row r="84" spans="1:16" ht="11.25" customHeight="1" x14ac:dyDescent="0.25">
      <c r="A84" s="54">
        <v>83</v>
      </c>
      <c r="B84" s="54" t="s">
        <v>588</v>
      </c>
      <c r="C84" s="54" t="s">
        <v>22</v>
      </c>
      <c r="D84" s="54" t="s">
        <v>86</v>
      </c>
      <c r="E84" s="54" t="s">
        <v>24</v>
      </c>
      <c r="F84" s="54" t="s">
        <v>32</v>
      </c>
      <c r="G84" s="54" t="s">
        <v>25</v>
      </c>
      <c r="H84" s="54" t="s">
        <v>25</v>
      </c>
      <c r="I84" s="54" t="s">
        <v>25</v>
      </c>
      <c r="J84" s="54" t="s">
        <v>701</v>
      </c>
      <c r="K84" s="54" t="s">
        <v>700</v>
      </c>
      <c r="L84" s="54" t="s">
        <v>72</v>
      </c>
      <c r="M84" s="54">
        <v>2021</v>
      </c>
      <c r="N84" s="54">
        <v>0</v>
      </c>
      <c r="O84" s="54">
        <v>268.89</v>
      </c>
      <c r="P84" s="54"/>
    </row>
    <row r="85" spans="1:16" ht="11.25" customHeight="1" x14ac:dyDescent="0.25">
      <c r="A85" s="54">
        <v>84</v>
      </c>
      <c r="B85" s="54" t="s">
        <v>588</v>
      </c>
      <c r="C85" s="54" t="s">
        <v>43</v>
      </c>
      <c r="D85" s="54" t="s">
        <v>86</v>
      </c>
      <c r="E85" s="54" t="s">
        <v>44</v>
      </c>
      <c r="F85" s="54" t="s">
        <v>25</v>
      </c>
      <c r="G85" s="54" t="s">
        <v>25</v>
      </c>
      <c r="H85" s="54" t="s">
        <v>25</v>
      </c>
      <c r="I85" s="54" t="s">
        <v>25</v>
      </c>
      <c r="J85" s="54" t="s">
        <v>701</v>
      </c>
      <c r="K85" s="54" t="s">
        <v>700</v>
      </c>
      <c r="L85" s="54" t="s">
        <v>72</v>
      </c>
      <c r="M85" s="54">
        <v>2021</v>
      </c>
      <c r="N85" s="54">
        <v>0</v>
      </c>
      <c r="O85" s="54">
        <v>236.63</v>
      </c>
      <c r="P85" s="54"/>
    </row>
    <row r="86" spans="1:16" ht="11.25" customHeight="1" x14ac:dyDescent="0.25">
      <c r="A86" s="54">
        <v>85</v>
      </c>
      <c r="B86" s="54" t="s">
        <v>588</v>
      </c>
      <c r="C86" s="54" t="s">
        <v>37</v>
      </c>
      <c r="D86" s="54" t="s">
        <v>71</v>
      </c>
      <c r="E86" s="54" t="s">
        <v>25</v>
      </c>
      <c r="F86" s="54" t="s">
        <v>25</v>
      </c>
      <c r="G86" s="54" t="s">
        <v>25</v>
      </c>
      <c r="H86" s="54" t="s">
        <v>25</v>
      </c>
      <c r="I86" s="54" t="s">
        <v>34</v>
      </c>
      <c r="J86" s="54" t="s">
        <v>701</v>
      </c>
      <c r="K86" s="54" t="s">
        <v>700</v>
      </c>
      <c r="L86" s="54" t="s">
        <v>72</v>
      </c>
      <c r="M86" s="54">
        <v>2021</v>
      </c>
      <c r="N86" s="54">
        <v>0</v>
      </c>
      <c r="O86" s="54">
        <v>433.77</v>
      </c>
      <c r="P86" s="54"/>
    </row>
    <row r="87" spans="1:16" ht="11.25" customHeight="1" x14ac:dyDescent="0.25">
      <c r="A87" s="54">
        <v>86</v>
      </c>
      <c r="B87" s="54" t="s">
        <v>588</v>
      </c>
      <c r="C87" s="54" t="s">
        <v>46</v>
      </c>
      <c r="D87" s="54" t="s">
        <v>75</v>
      </c>
      <c r="E87" s="54" t="s">
        <v>47</v>
      </c>
      <c r="F87" s="54" t="s">
        <v>48</v>
      </c>
      <c r="G87" s="54" t="s">
        <v>25</v>
      </c>
      <c r="H87" s="54" t="s">
        <v>25</v>
      </c>
      <c r="I87" s="54" t="s">
        <v>25</v>
      </c>
      <c r="J87" s="54" t="s">
        <v>701</v>
      </c>
      <c r="K87" s="54" t="s">
        <v>700</v>
      </c>
      <c r="L87" s="54" t="s">
        <v>72</v>
      </c>
      <c r="M87" s="54">
        <v>2021</v>
      </c>
      <c r="N87" s="54">
        <v>0</v>
      </c>
      <c r="O87" s="54">
        <v>147.88999999999999</v>
      </c>
      <c r="P87" s="54"/>
    </row>
    <row r="88" spans="1:16" ht="11.25" customHeight="1" x14ac:dyDescent="0.25">
      <c r="A88" s="54">
        <v>87</v>
      </c>
      <c r="B88" s="54" t="s">
        <v>588</v>
      </c>
      <c r="C88" s="54" t="s">
        <v>37</v>
      </c>
      <c r="D88" s="54" t="s">
        <v>75</v>
      </c>
      <c r="E88" s="54" t="s">
        <v>25</v>
      </c>
      <c r="F88" s="54" t="s">
        <v>25</v>
      </c>
      <c r="G88" s="54" t="s">
        <v>25</v>
      </c>
      <c r="H88" s="54" t="s">
        <v>25</v>
      </c>
      <c r="I88" s="54" t="s">
        <v>25</v>
      </c>
      <c r="J88" s="54" t="s">
        <v>701</v>
      </c>
      <c r="K88" s="54" t="s">
        <v>700</v>
      </c>
      <c r="L88" s="54" t="s">
        <v>72</v>
      </c>
      <c r="M88" s="54">
        <v>2021</v>
      </c>
      <c r="N88" s="54">
        <v>0</v>
      </c>
      <c r="O88" s="54">
        <v>268.89</v>
      </c>
      <c r="P88" s="54"/>
    </row>
    <row r="89" spans="1:16" ht="11.25" customHeight="1" x14ac:dyDescent="0.25">
      <c r="A89" s="54">
        <v>88</v>
      </c>
      <c r="B89" s="54" t="s">
        <v>588</v>
      </c>
      <c r="C89" s="54" t="s">
        <v>46</v>
      </c>
      <c r="D89" s="54" t="s">
        <v>75</v>
      </c>
      <c r="E89" s="54" t="s">
        <v>47</v>
      </c>
      <c r="F89" s="54" t="s">
        <v>90</v>
      </c>
      <c r="G89" s="54" t="s">
        <v>25</v>
      </c>
      <c r="H89" s="54" t="s">
        <v>25</v>
      </c>
      <c r="I89" s="54" t="s">
        <v>25</v>
      </c>
      <c r="J89" s="54" t="s">
        <v>701</v>
      </c>
      <c r="K89" s="54" t="s">
        <v>700</v>
      </c>
      <c r="L89" s="54" t="s">
        <v>72</v>
      </c>
      <c r="M89" s="54">
        <v>2021</v>
      </c>
      <c r="N89" s="54">
        <v>0</v>
      </c>
      <c r="O89" s="54">
        <v>161.34</v>
      </c>
      <c r="P89" s="54"/>
    </row>
    <row r="90" spans="1:16" ht="11.25" customHeight="1" x14ac:dyDescent="0.25">
      <c r="A90" s="54">
        <v>89</v>
      </c>
      <c r="B90" s="54" t="s">
        <v>588</v>
      </c>
      <c r="C90" s="54" t="s">
        <v>22</v>
      </c>
      <c r="D90" s="54" t="s">
        <v>86</v>
      </c>
      <c r="E90" s="54" t="s">
        <v>24</v>
      </c>
      <c r="F90" s="54" t="s">
        <v>29</v>
      </c>
      <c r="G90" s="54" t="s">
        <v>25</v>
      </c>
      <c r="H90" s="54" t="s">
        <v>25</v>
      </c>
      <c r="I90" s="54" t="s">
        <v>25</v>
      </c>
      <c r="J90" s="54" t="s">
        <v>701</v>
      </c>
      <c r="K90" s="54" t="s">
        <v>700</v>
      </c>
      <c r="L90" s="54" t="s">
        <v>72</v>
      </c>
      <c r="M90" s="54">
        <v>2021</v>
      </c>
      <c r="N90" s="54">
        <v>0</v>
      </c>
      <c r="O90" s="54">
        <v>94.11</v>
      </c>
      <c r="P90" s="54"/>
    </row>
    <row r="91" spans="1:16" ht="11.25" customHeight="1" x14ac:dyDescent="0.25">
      <c r="A91" s="54">
        <v>90</v>
      </c>
      <c r="B91" s="54" t="s">
        <v>588</v>
      </c>
      <c r="C91" s="54" t="s">
        <v>43</v>
      </c>
      <c r="D91" s="54" t="s">
        <v>71</v>
      </c>
      <c r="E91" s="54" t="s">
        <v>44</v>
      </c>
      <c r="F91" s="54" t="s">
        <v>89</v>
      </c>
      <c r="G91" s="54" t="s">
        <v>25</v>
      </c>
      <c r="H91" s="54" t="s">
        <v>25</v>
      </c>
      <c r="I91" s="54" t="s">
        <v>34</v>
      </c>
      <c r="J91" s="54" t="s">
        <v>701</v>
      </c>
      <c r="K91" s="54" t="s">
        <v>700</v>
      </c>
      <c r="L91" s="54" t="s">
        <v>72</v>
      </c>
      <c r="M91" s="54">
        <v>2021</v>
      </c>
      <c r="N91" s="54">
        <v>0</v>
      </c>
      <c r="O91" s="54">
        <v>364.37</v>
      </c>
      <c r="P91" s="54"/>
    </row>
    <row r="92" spans="1:16" ht="11.25" customHeight="1" x14ac:dyDescent="0.25">
      <c r="A92" s="54">
        <v>91</v>
      </c>
      <c r="B92" s="54" t="s">
        <v>588</v>
      </c>
      <c r="C92" s="54" t="s">
        <v>37</v>
      </c>
      <c r="D92" s="54" t="s">
        <v>86</v>
      </c>
      <c r="E92" s="54" t="s">
        <v>25</v>
      </c>
      <c r="F92" s="54" t="s">
        <v>25</v>
      </c>
      <c r="G92" s="54" t="s">
        <v>25</v>
      </c>
      <c r="H92" s="54" t="s">
        <v>25</v>
      </c>
      <c r="I92" s="54" t="s">
        <v>25</v>
      </c>
      <c r="J92" s="54" t="s">
        <v>701</v>
      </c>
      <c r="K92" s="54" t="s">
        <v>700</v>
      </c>
      <c r="L92" s="54" t="s">
        <v>72</v>
      </c>
      <c r="M92" s="54">
        <v>2021</v>
      </c>
      <c r="N92" s="54">
        <v>0</v>
      </c>
      <c r="O92" s="54">
        <v>268.89</v>
      </c>
      <c r="P92" s="54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6135-7702-47F3-96CC-F3E679CD6B1B}">
  <sheetPr codeName="Planilha4"/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14" width="7.85546875" style="9" bestFit="1" customWidth="1"/>
    <col min="15" max="15" width="8.7109375" style="9" bestFit="1" customWidth="1"/>
    <col min="16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62</v>
      </c>
      <c r="B1" s="10" t="s">
        <v>63</v>
      </c>
      <c r="C1" s="10" t="s">
        <v>64</v>
      </c>
      <c r="D1" s="10" t="s">
        <v>65</v>
      </c>
      <c r="E1" s="10" t="s">
        <v>66</v>
      </c>
      <c r="F1" s="10" t="s">
        <v>67</v>
      </c>
      <c r="G1" s="10" t="s">
        <v>68</v>
      </c>
      <c r="H1" s="10" t="s">
        <v>69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2" t="s">
        <v>39</v>
      </c>
      <c r="B2" s="92" t="s">
        <v>40</v>
      </c>
      <c r="C2" s="92" t="s">
        <v>25</v>
      </c>
      <c r="D2" s="92" t="s">
        <v>25</v>
      </c>
      <c r="E2" s="92" t="s">
        <v>25</v>
      </c>
      <c r="F2" s="92" t="s">
        <v>25</v>
      </c>
      <c r="G2" s="13" t="s">
        <v>78</v>
      </c>
      <c r="H2" s="13" t="s">
        <v>77</v>
      </c>
      <c r="I2" s="13">
        <f>SUMIF(Mercado_Receita!$S$2:$S$1156,"44501A4AzulNão se aplicaNão se aplicaNão se aplicaNão se aplicaPonta",Mercado_Receita!$J$2:$J$1156)+SUMIF(Mercado_Receita!$S$2:$S$1156,"44501A4AzulNão se aplicaNão se aplicaAPENão se aplicaPonta",Mercado_Receita!$J$2:$J$1156)</f>
        <v>9953</v>
      </c>
      <c r="J2" s="13">
        <f>SUMIF(Mercado_Receita!$S$2:$S$1156,"44531A4AzulNão se aplicaNão se aplicaNão se aplicaNão se aplicaPonta",Mercado_Receita!$J$2:$J$1156)+SUMIF(Mercado_Receita!$S$2:$S$1156,"44531A4AzulNão se aplicaNão se aplicaAPENão se aplicaPonta",Mercado_Receita!$J$2:$J$1156)</f>
        <v>10126</v>
      </c>
      <c r="K2" s="13">
        <f>SUMIF(Mercado_Receita!$S$2:$S$1156,"44562A4AzulNão se aplicaNão se aplicaNão se aplicaNão se aplicaPonta",Mercado_Receita!$J$2:$J$1156)+SUMIF(Mercado_Receita!$S$2:$S$1156,"44562A4AzulNão se aplicaNão se aplicaAPENão se aplicaPonta",Mercado_Receita!$J$2:$J$1156)</f>
        <v>11398</v>
      </c>
      <c r="L2" s="13">
        <f>SUMIF(Mercado_Receita!$S$2:$S$1156,"44593A4AzulNão se aplicaNão se aplicaNão se aplicaNão se aplicaPonta",Mercado_Receita!$J$2:$J$1156)+SUMIF(Mercado_Receita!$S$2:$S$1156,"44593A4AzulNão se aplicaNão se aplicaAPENão se aplicaPonta",Mercado_Receita!$J$2:$J$1156)</f>
        <v>11551</v>
      </c>
      <c r="M2" s="13">
        <f>SUMIF(Mercado_Receita!$S$2:$S$1156,"44621A4AzulNão se aplicaNão se aplicaNão se aplicaNão se aplicaPonta",Mercado_Receita!$J$2:$J$1156)+SUMIF(Mercado_Receita!$S$2:$S$1156,"44621A4AzulNão se aplicaNão se aplicaAPENão se aplicaPonta",Mercado_Receita!$J$2:$J$1156)</f>
        <v>11601</v>
      </c>
      <c r="N2" s="13">
        <f>SUMIF(Mercado_Receita!$S$2:$S$1156,"44652A4AzulNão se aplicaNão se aplicaNão se aplicaNão se aplicaPonta",Mercado_Receita!$J$2:$J$1156)+SUMIF(Mercado_Receita!$S$2:$S$1156,"44652A4AzulNão se aplicaNão se aplicaAPENão se aplicaPonta",Mercado_Receita!$J$2:$J$1156)</f>
        <v>11601</v>
      </c>
      <c r="O2" s="13">
        <f>SUMIF(Mercado_Receita!$S$2:$S$1156,"44682A4AzulNão se aplicaNão se aplicaNão se aplicaNão se aplicaPonta",Mercado_Receita!$J$2:$J$1156)+SUMIF(Mercado_Receita!$S$2:$S$1156,"44682A4AzulNão se aplicaNão se aplicaAPENão se aplicaPonta",Mercado_Receita!$J$2:$J$1156)</f>
        <v>12366</v>
      </c>
      <c r="P2" s="13">
        <f>SUMIF(Mercado_Receita!$S$2:$S$1156,"44713A4AzulNão se aplicaNão se aplicaNão se aplicaNão se aplicaPonta",Mercado_Receita!$J$2:$J$1156)+SUMIF(Mercado_Receita!$S$2:$S$1156,"44713A4AzulNão se aplicaNão se aplicaAPENão se aplicaPonta",Mercado_Receita!$J$2:$J$1156)</f>
        <v>11126</v>
      </c>
      <c r="Q2" s="13">
        <f>SUMIF(Mercado_Receita!$S$2:$S$1156,"44743A4AzulNão se aplicaNão se aplicaNão se aplicaNão se aplicaPonta",Mercado_Receita!$J$2:$J$1156)+SUMIF(Mercado_Receita!$S$2:$S$1156,"44743A4AzulNão se aplicaNão se aplicaAPENão se aplicaPonta",Mercado_Receita!$J$2:$J$1156)</f>
        <v>11120</v>
      </c>
      <c r="R2" s="13">
        <f>SUMIF(Mercado_Receita!$S$2:$S$1156,"44774A4AzulNão se aplicaNão se aplicaNão se aplicaNão se aplicaPonta",Mercado_Receita!$J$2:$J$1156)+SUMIF(Mercado_Receita!$S$2:$S$1156,"44774A4AzulNão se aplicaNão se aplicaAPENão se aplicaPonta",Mercado_Receita!$J$2:$J$1156)</f>
        <v>11343</v>
      </c>
      <c r="S2" s="13">
        <f>SUMIF(Mercado_Receita!$S$2:$S$1156,"44805A4AzulNão se aplicaNão se aplicaNão se aplicaNão se aplicaPonta",Mercado_Receita!$J$2:$J$1156)+SUMIF(Mercado_Receita!$S$2:$S$1156,"44805A4AzulNão se aplicaNão se aplicaAPENão se aplicaPonta",Mercado_Receita!$J$2:$J$1156)</f>
        <v>11315</v>
      </c>
      <c r="T2" s="13">
        <f>SUMIF(Mercado_Receita!$S$2:$S$1156,"44835A4AzulNão se aplicaNão se aplicaNão se aplicaNão se aplicaPonta",Mercado_Receita!$J$2:$J$1156)+SUMIF(Mercado_Receita!$S$2:$S$1156,"44835A4AzulNão se aplicaNão se aplicaAPENão se aplicaPonta",Mercado_Receita!$J$2:$J$1156)</f>
        <v>11315</v>
      </c>
      <c r="U2" s="13">
        <f t="shared" ref="U2:U48" si="0">SUM(I2:T2)</f>
        <v>134815</v>
      </c>
      <c r="V2" s="13"/>
      <c r="W2" s="13"/>
    </row>
    <row r="3" spans="1:30" ht="11.25" customHeight="1" x14ac:dyDescent="0.25">
      <c r="A3" s="93"/>
      <c r="B3" s="93"/>
      <c r="C3" s="93"/>
      <c r="D3" s="93"/>
      <c r="E3" s="93"/>
      <c r="F3" s="93"/>
      <c r="G3" s="13" t="s">
        <v>79</v>
      </c>
      <c r="H3" s="13" t="s">
        <v>77</v>
      </c>
      <c r="I3" s="13">
        <f>SUMIF(Mercado_Receita!$S$2:$S$1156,"44501A4AzulNão se aplicaNão se aplicaNão se aplicaNão se aplicaFora ponta",Mercado_Receita!$J$2:$J$1156)+SUMIF(Mercado_Receita!$S$2:$S$1156,"44501A4AzulNão se aplicaNão se aplicaAPENão se aplicaFora ponta",Mercado_Receita!$J$2:$J$1156)</f>
        <v>13189</v>
      </c>
      <c r="J3" s="13">
        <f>SUMIF(Mercado_Receita!$S$2:$S$1156,"44531A4AzulNão se aplicaNão se aplicaNão se aplicaNão se aplicaFora ponta",Mercado_Receita!$J$2:$J$1156)+SUMIF(Mercado_Receita!$S$2:$S$1156,"44531A4AzulNão se aplicaNão se aplicaAPENão se aplicaFora ponta",Mercado_Receita!$J$2:$J$1156)</f>
        <v>13608</v>
      </c>
      <c r="K3" s="13">
        <f>SUMIF(Mercado_Receita!$S$2:$S$1156,"44562A4AzulNão se aplicaNão se aplicaNão se aplicaNão se aplicaFora ponta",Mercado_Receita!$J$2:$J$1156)+SUMIF(Mercado_Receita!$S$2:$S$1156,"44562A4AzulNão se aplicaNão se aplicaAPENão se aplicaFora ponta",Mercado_Receita!$J$2:$J$1156)</f>
        <v>14501</v>
      </c>
      <c r="L3" s="13">
        <f>SUMIF(Mercado_Receita!$S$2:$S$1156,"44593A4AzulNão se aplicaNão se aplicaNão se aplicaNão se aplicaFora ponta",Mercado_Receita!$J$2:$J$1156)+SUMIF(Mercado_Receita!$S$2:$S$1156,"44593A4AzulNão se aplicaNão se aplicaAPENão se aplicaFora ponta",Mercado_Receita!$J$2:$J$1156)</f>
        <v>14685</v>
      </c>
      <c r="M3" s="13">
        <f>SUMIF(Mercado_Receita!$S$2:$S$1156,"44621A4AzulNão se aplicaNão se aplicaNão se aplicaNão se aplicaFora ponta",Mercado_Receita!$J$2:$J$1156)+SUMIF(Mercado_Receita!$S$2:$S$1156,"44621A4AzulNão se aplicaNão se aplicaAPENão se aplicaFora ponta",Mercado_Receita!$J$2:$J$1156)</f>
        <v>14549</v>
      </c>
      <c r="N3" s="13">
        <f>SUMIF(Mercado_Receita!$S$2:$S$1156,"44652A4AzulNão se aplicaNão se aplicaNão se aplicaNão se aplicaFora ponta",Mercado_Receita!$J$2:$J$1156)+SUMIF(Mercado_Receita!$S$2:$S$1156,"44652A4AzulNão se aplicaNão se aplicaAPENão se aplicaFora ponta",Mercado_Receita!$J$2:$J$1156)</f>
        <v>14549</v>
      </c>
      <c r="O3" s="13">
        <f>SUMIF(Mercado_Receita!$S$2:$S$1156,"44682A4AzulNão se aplicaNão se aplicaNão se aplicaNão se aplicaFora ponta",Mercado_Receita!$J$2:$J$1156)+SUMIF(Mercado_Receita!$S$2:$S$1156,"44682A4AzulNão se aplicaNão se aplicaAPENão se aplicaFora ponta",Mercado_Receita!$J$2:$J$1156)</f>
        <v>16037</v>
      </c>
      <c r="P3" s="13">
        <f>SUMIF(Mercado_Receita!$S$2:$S$1156,"44713A4AzulNão se aplicaNão se aplicaNão se aplicaNão se aplicaFora ponta",Mercado_Receita!$J$2:$J$1156)+SUMIF(Mercado_Receita!$S$2:$S$1156,"44713A4AzulNão se aplicaNão se aplicaAPENão se aplicaFora ponta",Mercado_Receita!$J$2:$J$1156)</f>
        <v>13877</v>
      </c>
      <c r="Q3" s="13">
        <f>SUMIF(Mercado_Receita!$S$2:$S$1156,"44743A4AzulNão se aplicaNão se aplicaNão se aplicaNão se aplicaFora ponta",Mercado_Receita!$J$2:$J$1156)+SUMIF(Mercado_Receita!$S$2:$S$1156,"44743A4AzulNão se aplicaNão se aplicaAPENão se aplicaFora ponta",Mercado_Receita!$J$2:$J$1156)</f>
        <v>13983</v>
      </c>
      <c r="R3" s="13">
        <f>SUMIF(Mercado_Receita!$S$2:$S$1156,"44774A4AzulNão se aplicaNão se aplicaNão se aplicaNão se aplicaFora ponta",Mercado_Receita!$J$2:$J$1156)+SUMIF(Mercado_Receita!$S$2:$S$1156,"44774A4AzulNão se aplicaNão se aplicaAPENão se aplicaFora ponta",Mercado_Receita!$J$2:$J$1156)</f>
        <v>14251</v>
      </c>
      <c r="S3" s="13">
        <f>SUMIF(Mercado_Receita!$S$2:$S$1156,"44805A4AzulNão se aplicaNão se aplicaNão se aplicaNão se aplicaFora ponta",Mercado_Receita!$J$2:$J$1156)+SUMIF(Mercado_Receita!$S$2:$S$1156,"44805A4AzulNão se aplicaNão se aplicaAPENão se aplicaFora ponta",Mercado_Receita!$J$2:$J$1156)</f>
        <v>14155</v>
      </c>
      <c r="T3" s="13">
        <f>SUMIF(Mercado_Receita!$S$2:$S$1156,"44835A4AzulNão se aplicaNão se aplicaNão se aplicaNão se aplicaFora ponta",Mercado_Receita!$J$2:$J$1156)+SUMIF(Mercado_Receita!$S$2:$S$1156,"44835A4AzulNão se aplicaNão se aplicaAPENão se aplicaFora ponta",Mercado_Receita!$J$2:$J$1156)</f>
        <v>14155</v>
      </c>
      <c r="U3" s="13">
        <f t="shared" si="0"/>
        <v>171539</v>
      </c>
      <c r="V3" s="13"/>
      <c r="W3" s="13"/>
    </row>
    <row r="4" spans="1:30" ht="11.25" customHeight="1" x14ac:dyDescent="0.25">
      <c r="A4" s="93"/>
      <c r="B4" s="93"/>
      <c r="C4" s="93"/>
      <c r="D4" s="93"/>
      <c r="E4" s="93"/>
      <c r="F4" s="93"/>
      <c r="G4" s="13" t="s">
        <v>76</v>
      </c>
      <c r="H4" s="13" t="s">
        <v>72</v>
      </c>
      <c r="I4" s="13">
        <f>SUMIF(Mercado_Receita!$S$2:$S$1156,"44501A4AzulNão se aplicaNão se aplicaNão se aplicaNão se aplicaPonta",Mercado_Receita!$L$2:$L$1156)+SUMIF(Mercado_Receita!$S$2:$S$1156,"44501A4AzulNão se aplicaNão se aplicaNão se aplicaNão se aplicaFora ponta",Mercado_Receita!$L$2:$L$1156)+SUMIF(Mercado_Receita!$S$2:$S$1156,"44501A4AzulNão se aplicaNão se aplicaNão se aplicaNão se aplicaIntermediário",Mercado_Receita!$L$2:$L$1156)+SUMIF(Mercado_Receita!$S$2:$S$1156,"44501A4AzulNão se aplicaNão se aplicaNão se aplicaNão se aplicaNão se aplica",Mercado_Receita!$L$2:$L$1156)</f>
        <v>4871.8379999999997</v>
      </c>
      <c r="J4" s="13">
        <f>SUMIF(Mercado_Receita!$S$2:$S$1156,"44531A4AzulNão se aplicaNão se aplicaNão se aplicaNão se aplicaPonta",Mercado_Receita!$L$2:$L$1156)+SUMIF(Mercado_Receita!$S$2:$S$1156,"44531A4AzulNão se aplicaNão se aplicaNão se aplicaNão se aplicaFora ponta",Mercado_Receita!$L$2:$L$1156)+SUMIF(Mercado_Receita!$S$2:$S$1156,"44531A4AzulNão se aplicaNão se aplicaNão se aplicaNão se aplicaIntermediário",Mercado_Receita!$L$2:$L$1156)+SUMIF(Mercado_Receita!$S$2:$S$1156,"44531A4AzulNão se aplicaNão se aplicaNão se aplicaNão se aplicaNão se aplica",Mercado_Receita!$L$2:$L$1156)</f>
        <v>4880.3330000000005</v>
      </c>
      <c r="K4" s="13">
        <f>SUMIF(Mercado_Receita!$S$2:$S$1156,"44562A4AzulNão se aplicaNão se aplicaNão se aplicaNão se aplicaPonta",Mercado_Receita!$L$2:$L$1156)+SUMIF(Mercado_Receita!$S$2:$S$1156,"44562A4AzulNão se aplicaNão se aplicaNão se aplicaNão se aplicaFora ponta",Mercado_Receita!$L$2:$L$1156)+SUMIF(Mercado_Receita!$S$2:$S$1156,"44562A4AzulNão se aplicaNão se aplicaNão se aplicaNão se aplicaIntermediário",Mercado_Receita!$L$2:$L$1156)+SUMIF(Mercado_Receita!$S$2:$S$1156,"44562A4AzulNão se aplicaNão se aplicaNão se aplicaNão se aplicaNão se aplica",Mercado_Receita!$L$2:$L$1156)</f>
        <v>4812.1559999999999</v>
      </c>
      <c r="L4" s="13">
        <f>SUMIF(Mercado_Receita!$S$2:$S$1156,"44593A4AzulNão se aplicaNão se aplicaNão se aplicaNão se aplicaPonta",Mercado_Receita!$L$2:$L$1156)+SUMIF(Mercado_Receita!$S$2:$S$1156,"44593A4AzulNão se aplicaNão se aplicaNão se aplicaNão se aplicaFora ponta",Mercado_Receita!$L$2:$L$1156)+SUMIF(Mercado_Receita!$S$2:$S$1156,"44593A4AzulNão se aplicaNão se aplicaNão se aplicaNão se aplicaIntermediário",Mercado_Receita!$L$2:$L$1156)+SUMIF(Mercado_Receita!$S$2:$S$1156,"44593A4AzulNão se aplicaNão se aplicaNão se aplicaNão se aplicaNão se aplica",Mercado_Receita!$L$2:$L$1156)</f>
        <v>4582.2389999999996</v>
      </c>
      <c r="M4" s="13">
        <f>SUMIF(Mercado_Receita!$S$2:$S$1156,"44621A4AzulNão se aplicaNão se aplicaNão se aplicaNão se aplicaPonta",Mercado_Receita!$L$2:$L$1156)+SUMIF(Mercado_Receita!$S$2:$S$1156,"44621A4AzulNão se aplicaNão se aplicaNão se aplicaNão se aplicaFora ponta",Mercado_Receita!$L$2:$L$1156)+SUMIF(Mercado_Receita!$S$2:$S$1156,"44621A4AzulNão se aplicaNão se aplicaNão se aplicaNão se aplicaIntermediário",Mercado_Receita!$L$2:$L$1156)+SUMIF(Mercado_Receita!$S$2:$S$1156,"44621A4AzulNão se aplicaNão se aplicaNão se aplicaNão se aplicaNão se aplica",Mercado_Receita!$L$2:$L$1156)</f>
        <v>4946.97</v>
      </c>
      <c r="N4" s="13">
        <f>SUMIF(Mercado_Receita!$S$2:$S$1156,"44652A4AzulNão se aplicaNão se aplicaNão se aplicaNão se aplicaPonta",Mercado_Receita!$L$2:$L$1156)+SUMIF(Mercado_Receita!$S$2:$S$1156,"44652A4AzulNão se aplicaNão se aplicaNão se aplicaNão se aplicaFora ponta",Mercado_Receita!$L$2:$L$1156)+SUMIF(Mercado_Receita!$S$2:$S$1156,"44652A4AzulNão se aplicaNão se aplicaNão se aplicaNão se aplicaIntermediário",Mercado_Receita!$L$2:$L$1156)+SUMIF(Mercado_Receita!$S$2:$S$1156,"44652A4AzulNão se aplicaNão se aplicaNão se aplicaNão se aplicaNão se aplica",Mercado_Receita!$L$2:$L$1156)</f>
        <v>4946.97</v>
      </c>
      <c r="O4" s="13">
        <f>SUMIF(Mercado_Receita!$S$2:$S$1156,"44682A4AzulNão se aplicaNão se aplicaNão se aplicaNão se aplicaPonta",Mercado_Receita!$L$2:$L$1156)+SUMIF(Mercado_Receita!$S$2:$S$1156,"44682A4AzulNão se aplicaNão se aplicaNão se aplicaNão se aplicaFora ponta",Mercado_Receita!$L$2:$L$1156)+SUMIF(Mercado_Receita!$S$2:$S$1156,"44682A4AzulNão se aplicaNão se aplicaNão se aplicaNão se aplicaIntermediário",Mercado_Receita!$L$2:$L$1156)+SUMIF(Mercado_Receita!$S$2:$S$1156,"44682A4AzulNão se aplicaNão se aplicaNão se aplicaNão se aplicaNão se aplica",Mercado_Receita!$L$2:$L$1156)</f>
        <v>5110.509</v>
      </c>
      <c r="P4" s="13">
        <f>SUMIF(Mercado_Receita!$S$2:$S$1156,"44713A4AzulNão se aplicaNão se aplicaNão se aplicaNão se aplicaPonta",Mercado_Receita!$L$2:$L$1156)+SUMIF(Mercado_Receita!$S$2:$S$1156,"44713A4AzulNão se aplicaNão se aplicaNão se aplicaNão se aplicaFora ponta",Mercado_Receita!$L$2:$L$1156)+SUMIF(Mercado_Receita!$S$2:$S$1156,"44713A4AzulNão se aplicaNão se aplicaNão se aplicaNão se aplicaIntermediário",Mercado_Receita!$L$2:$L$1156)+SUMIF(Mercado_Receita!$S$2:$S$1156,"44713A4AzulNão se aplicaNão se aplicaNão se aplicaNão se aplicaNão se aplica",Mercado_Receita!$L$2:$L$1156)</f>
        <v>4301.1260000000002</v>
      </c>
      <c r="Q4" s="13">
        <f>SUMIF(Mercado_Receita!$S$2:$S$1156,"44743A4AzulNão se aplicaNão se aplicaNão se aplicaNão se aplicaPonta",Mercado_Receita!$L$2:$L$1156)+SUMIF(Mercado_Receita!$S$2:$S$1156,"44743A4AzulNão se aplicaNão se aplicaNão se aplicaNão se aplicaFora ponta",Mercado_Receita!$L$2:$L$1156)+SUMIF(Mercado_Receita!$S$2:$S$1156,"44743A4AzulNão se aplicaNão se aplicaNão se aplicaNão se aplicaIntermediário",Mercado_Receita!$L$2:$L$1156)+SUMIF(Mercado_Receita!$S$2:$S$1156,"44743A4AzulNão se aplicaNão se aplicaNão se aplicaNão se aplicaNão se aplica",Mercado_Receita!$L$2:$L$1156)</f>
        <v>4496.9620000000004</v>
      </c>
      <c r="R4" s="13">
        <f>SUMIF(Mercado_Receita!$S$2:$S$1156,"44774A4AzulNão se aplicaNão se aplicaNão se aplicaNão se aplicaPonta",Mercado_Receita!$L$2:$L$1156)+SUMIF(Mercado_Receita!$S$2:$S$1156,"44774A4AzulNão se aplicaNão se aplicaNão se aplicaNão se aplicaFora ponta",Mercado_Receita!$L$2:$L$1156)+SUMIF(Mercado_Receita!$S$2:$S$1156,"44774A4AzulNão se aplicaNão se aplicaNão se aplicaNão se aplicaIntermediário",Mercado_Receita!$L$2:$L$1156)+SUMIF(Mercado_Receita!$S$2:$S$1156,"44774A4AzulNão se aplicaNão se aplicaNão se aplicaNão se aplicaNão se aplica",Mercado_Receita!$L$2:$L$1156)</f>
        <v>4783.2880000000005</v>
      </c>
      <c r="S4" s="13">
        <f>SUMIF(Mercado_Receita!$S$2:$S$1156,"44805A4AzulNão se aplicaNão se aplicaNão se aplicaNão se aplicaPonta",Mercado_Receita!$L$2:$L$1156)+SUMIF(Mercado_Receita!$S$2:$S$1156,"44805A4AzulNão se aplicaNão se aplicaNão se aplicaNão se aplicaFora ponta",Mercado_Receita!$L$2:$L$1156)+SUMIF(Mercado_Receita!$S$2:$S$1156,"44805A4AzulNão se aplicaNão se aplicaNão se aplicaNão se aplicaIntermediário",Mercado_Receita!$L$2:$L$1156)+SUMIF(Mercado_Receita!$S$2:$S$1156,"44805A4AzulNão se aplicaNão se aplicaNão se aplicaNão se aplicaNão se aplica",Mercado_Receita!$L$2:$L$1156)</f>
        <v>4829.8639999999996</v>
      </c>
      <c r="T4" s="13">
        <f>SUMIF(Mercado_Receita!$S$2:$S$1156,"44835A4AzulNão se aplicaNão se aplicaNão se aplicaNão se aplicaPonta",Mercado_Receita!$L$2:$L$1156)+SUMIF(Mercado_Receita!$S$2:$S$1156,"44835A4AzulNão se aplicaNão se aplicaNão se aplicaNão se aplicaFora ponta",Mercado_Receita!$L$2:$L$1156)+SUMIF(Mercado_Receita!$S$2:$S$1156,"44835A4AzulNão se aplicaNão se aplicaNão se aplicaNão se aplicaIntermediário",Mercado_Receita!$L$2:$L$1156)+SUMIF(Mercado_Receita!$S$2:$S$1156,"44835A4AzulNão se aplicaNão se aplicaNão se aplicaNão se aplicaNão se aplica",Mercado_Receita!$L$2:$L$1156)</f>
        <v>4829.8639999999996</v>
      </c>
      <c r="U4" s="13">
        <f t="shared" si="0"/>
        <v>57392.119000000006</v>
      </c>
      <c r="V4" s="13"/>
      <c r="W4" s="13"/>
    </row>
    <row r="5" spans="1:30" ht="11.25" customHeight="1" x14ac:dyDescent="0.25">
      <c r="A5" s="93"/>
      <c r="B5" s="93"/>
      <c r="C5" s="93"/>
      <c r="D5" s="93"/>
      <c r="E5" s="12" t="s">
        <v>80</v>
      </c>
      <c r="F5" s="12" t="s">
        <v>25</v>
      </c>
      <c r="G5" s="13" t="s">
        <v>76</v>
      </c>
      <c r="H5" s="13" t="s">
        <v>72</v>
      </c>
      <c r="I5" s="13">
        <f>SUMIF(Mercado_Receita!$S$2:$S$1156,"44501A4AzulNão se aplicaNão se aplicaAPENão se aplicaPonta",Mercado_Receita!$L$2:$L$1156)+SUMIF(Mercado_Receita!$S$2:$S$1156,"44501A4AzulNão se aplicaNão se aplicaAPENão se aplicaFora ponta",Mercado_Receita!$L$2:$L$1156)+SUMIF(Mercado_Receita!$S$2:$S$1156,"44501A4AzulNão se aplicaNão se aplicaAPENão se aplicaIntermediário",Mercado_Receita!$L$2:$L$1156)+SUMIF(Mercado_Receita!$S$2:$S$1156,"44501A4AzulNão se aplicaNão se aplicaAPENão se aplicaNão se aplica",Mercado_Receita!$L$2:$L$1156)</f>
        <v>0</v>
      </c>
      <c r="J5" s="13">
        <f>SUMIF(Mercado_Receita!$S$2:$S$1156,"44531A4AzulNão se aplicaNão se aplicaAPENão se aplicaPonta",Mercado_Receita!$L$2:$L$1156)+SUMIF(Mercado_Receita!$S$2:$S$1156,"44531A4AzulNão se aplicaNão se aplicaAPENão se aplicaFora ponta",Mercado_Receita!$L$2:$L$1156)+SUMIF(Mercado_Receita!$S$2:$S$1156,"44531A4AzulNão se aplicaNão se aplicaAPENão se aplicaIntermediário",Mercado_Receita!$L$2:$L$1156)+SUMIF(Mercado_Receita!$S$2:$S$1156,"44531A4AzulNão se aplicaNão se aplicaAPENão se aplicaNão se aplica",Mercado_Receita!$L$2:$L$1156)</f>
        <v>0</v>
      </c>
      <c r="K5" s="13">
        <f>SUMIF(Mercado_Receita!$S$2:$S$1156,"44562A4AzulNão se aplicaNão se aplicaAPENão se aplicaPonta",Mercado_Receita!$L$2:$L$1156)+SUMIF(Mercado_Receita!$S$2:$S$1156,"44562A4AzulNão se aplicaNão se aplicaAPENão se aplicaFora ponta",Mercado_Receita!$L$2:$L$1156)+SUMIF(Mercado_Receita!$S$2:$S$1156,"44562A4AzulNão se aplicaNão se aplicaAPENão se aplicaIntermediário",Mercado_Receita!$L$2:$L$1156)+SUMIF(Mercado_Receita!$S$2:$S$1156,"44562A4AzulNão se aplicaNão se aplicaAPENão se aplicaNão se aplica",Mercado_Receita!$L$2:$L$1156)</f>
        <v>0</v>
      </c>
      <c r="L5" s="13">
        <f>SUMIF(Mercado_Receita!$S$2:$S$1156,"44593A4AzulNão se aplicaNão se aplicaAPENão se aplicaPonta",Mercado_Receita!$L$2:$L$1156)+SUMIF(Mercado_Receita!$S$2:$S$1156,"44593A4AzulNão se aplicaNão se aplicaAPENão se aplicaFora ponta",Mercado_Receita!$L$2:$L$1156)+SUMIF(Mercado_Receita!$S$2:$S$1156,"44593A4AzulNão se aplicaNão se aplicaAPENão se aplicaIntermediário",Mercado_Receita!$L$2:$L$1156)+SUMIF(Mercado_Receita!$S$2:$S$1156,"44593A4AzulNão se aplicaNão se aplicaAPENão se aplicaNão se aplica",Mercado_Receita!$L$2:$L$1156)</f>
        <v>0</v>
      </c>
      <c r="M5" s="13">
        <f>SUMIF(Mercado_Receita!$S$2:$S$1156,"44621A4AzulNão se aplicaNão se aplicaAPENão se aplicaPonta",Mercado_Receita!$L$2:$L$1156)+SUMIF(Mercado_Receita!$S$2:$S$1156,"44621A4AzulNão se aplicaNão se aplicaAPENão se aplicaFora ponta",Mercado_Receita!$L$2:$L$1156)+SUMIF(Mercado_Receita!$S$2:$S$1156,"44621A4AzulNão se aplicaNão se aplicaAPENão se aplicaIntermediário",Mercado_Receita!$L$2:$L$1156)+SUMIF(Mercado_Receita!$S$2:$S$1156,"44621A4AzulNão se aplicaNão se aplicaAPENão se aplicaNão se aplica",Mercado_Receita!$L$2:$L$1156)</f>
        <v>0</v>
      </c>
      <c r="N5" s="13">
        <f>SUMIF(Mercado_Receita!$S$2:$S$1156,"44652A4AzulNão se aplicaNão se aplicaAPENão se aplicaPonta",Mercado_Receita!$L$2:$L$1156)+SUMIF(Mercado_Receita!$S$2:$S$1156,"44652A4AzulNão se aplicaNão se aplicaAPENão se aplicaFora ponta",Mercado_Receita!$L$2:$L$1156)+SUMIF(Mercado_Receita!$S$2:$S$1156,"44652A4AzulNão se aplicaNão se aplicaAPENão se aplicaIntermediário",Mercado_Receita!$L$2:$L$1156)+SUMIF(Mercado_Receita!$S$2:$S$1156,"44652A4AzulNão se aplicaNão se aplicaAPENão se aplicaNão se aplica",Mercado_Receita!$L$2:$L$1156)</f>
        <v>0</v>
      </c>
      <c r="O5" s="13">
        <f>SUMIF(Mercado_Receita!$S$2:$S$1156,"44682A4AzulNão se aplicaNão se aplicaAPENão se aplicaPonta",Mercado_Receita!$L$2:$L$1156)+SUMIF(Mercado_Receita!$S$2:$S$1156,"44682A4AzulNão se aplicaNão se aplicaAPENão se aplicaFora ponta",Mercado_Receita!$L$2:$L$1156)+SUMIF(Mercado_Receita!$S$2:$S$1156,"44682A4AzulNão se aplicaNão se aplicaAPENão se aplicaIntermediário",Mercado_Receita!$L$2:$L$1156)+SUMIF(Mercado_Receita!$S$2:$S$1156,"44682A4AzulNão se aplicaNão se aplicaAPENão se aplicaNão se aplica",Mercado_Receita!$L$2:$L$1156)</f>
        <v>0</v>
      </c>
      <c r="P5" s="13">
        <f>SUMIF(Mercado_Receita!$S$2:$S$1156,"44713A4AzulNão se aplicaNão se aplicaAPENão se aplicaPonta",Mercado_Receita!$L$2:$L$1156)+SUMIF(Mercado_Receita!$S$2:$S$1156,"44713A4AzulNão se aplicaNão se aplicaAPENão se aplicaFora ponta",Mercado_Receita!$L$2:$L$1156)+SUMIF(Mercado_Receita!$S$2:$S$1156,"44713A4AzulNão se aplicaNão se aplicaAPENão se aplicaIntermediário",Mercado_Receita!$L$2:$L$1156)+SUMIF(Mercado_Receita!$S$2:$S$1156,"44713A4AzulNão se aplicaNão se aplicaAPENão se aplicaNão se aplica",Mercado_Receita!$L$2:$L$1156)</f>
        <v>0</v>
      </c>
      <c r="Q5" s="13">
        <f>SUMIF(Mercado_Receita!$S$2:$S$1156,"44743A4AzulNão se aplicaNão se aplicaAPENão se aplicaPonta",Mercado_Receita!$L$2:$L$1156)+SUMIF(Mercado_Receita!$S$2:$S$1156,"44743A4AzulNão se aplicaNão se aplicaAPENão se aplicaFora ponta",Mercado_Receita!$L$2:$L$1156)+SUMIF(Mercado_Receita!$S$2:$S$1156,"44743A4AzulNão se aplicaNão se aplicaAPENão se aplicaIntermediário",Mercado_Receita!$L$2:$L$1156)+SUMIF(Mercado_Receita!$S$2:$S$1156,"44743A4AzulNão se aplicaNão se aplicaAPENão se aplicaNão se aplica",Mercado_Receita!$L$2:$L$1156)</f>
        <v>0</v>
      </c>
      <c r="R5" s="13">
        <f>SUMIF(Mercado_Receita!$S$2:$S$1156,"44774A4AzulNão se aplicaNão se aplicaAPENão se aplicaPonta",Mercado_Receita!$L$2:$L$1156)+SUMIF(Mercado_Receita!$S$2:$S$1156,"44774A4AzulNão se aplicaNão se aplicaAPENão se aplicaFora ponta",Mercado_Receita!$L$2:$L$1156)+SUMIF(Mercado_Receita!$S$2:$S$1156,"44774A4AzulNão se aplicaNão se aplicaAPENão se aplicaIntermediário",Mercado_Receita!$L$2:$L$1156)+SUMIF(Mercado_Receita!$S$2:$S$1156,"44774A4AzulNão se aplicaNão se aplicaAPENão se aplicaNão se aplica",Mercado_Receita!$L$2:$L$1156)</f>
        <v>0</v>
      </c>
      <c r="S5" s="13">
        <f>SUMIF(Mercado_Receita!$S$2:$S$1156,"44805A4AzulNão se aplicaNão se aplicaAPENão se aplicaPonta",Mercado_Receita!$L$2:$L$1156)+SUMIF(Mercado_Receita!$S$2:$S$1156,"44805A4AzulNão se aplicaNão se aplicaAPENão se aplicaFora ponta",Mercado_Receita!$L$2:$L$1156)+SUMIF(Mercado_Receita!$S$2:$S$1156,"44805A4AzulNão se aplicaNão se aplicaAPENão se aplicaIntermediário",Mercado_Receita!$L$2:$L$1156)+SUMIF(Mercado_Receita!$S$2:$S$1156,"44805A4AzulNão se aplicaNão se aplicaAPENão se aplicaNão se aplica",Mercado_Receita!$L$2:$L$1156)</f>
        <v>0</v>
      </c>
      <c r="T5" s="13">
        <f>SUMIF(Mercado_Receita!$S$2:$S$1156,"44835A4AzulNão se aplicaNão se aplicaAPENão se aplicaPonta",Mercado_Receita!$L$2:$L$1156)+SUMIF(Mercado_Receita!$S$2:$S$1156,"44835A4AzulNão se aplicaNão se aplicaAPENão se aplicaFora ponta",Mercado_Receita!$L$2:$L$1156)+SUMIF(Mercado_Receita!$S$2:$S$1156,"44835A4AzulNão se aplicaNão se aplicaAPENão se aplicaIntermediário",Mercado_Receita!$L$2:$L$1156)+SUMIF(Mercado_Receita!$S$2:$S$1156,"44835A4AzulNão se aplicaNão se aplicaAPENão se aplicaNão se aplica",Mercado_Receita!$L$2:$L$1156)</f>
        <v>0</v>
      </c>
      <c r="U5" s="13">
        <f t="shared" si="0"/>
        <v>0</v>
      </c>
      <c r="V5" s="13"/>
      <c r="W5" s="13"/>
    </row>
    <row r="6" spans="1:30" ht="11.25" customHeight="1" x14ac:dyDescent="0.25">
      <c r="A6" s="93"/>
      <c r="B6" s="12" t="s">
        <v>81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77</v>
      </c>
      <c r="I6" s="13">
        <f>SUMIF(Mercado_Receita!$S$2:$S$1156,"44501A4GeraçãoNão se aplicaNão se aplicaNão se aplicaNão se aplicaNão se aplica",Mercado_Receita!$J$2:$J$1156)+SUMIF(Mercado_Receita!$S$2:$S$1156,"44501A4GeraçãoNão se aplicaNão se aplicaAPENão se aplicaNão se aplica",Mercado_Receita!$J$2:$J$1156)</f>
        <v>0</v>
      </c>
      <c r="J6" s="13">
        <f>SUMIF(Mercado_Receita!$S$2:$S$1156,"44531A4GeraçãoNão se aplicaNão se aplicaNão se aplicaNão se aplicaNão se aplica",Mercado_Receita!$J$2:$J$1156)+SUMIF(Mercado_Receita!$S$2:$S$1156,"44531A4GeraçãoNão se aplicaNão se aplicaAPENão se aplicaNão se aplica",Mercado_Receita!$J$2:$J$1156)</f>
        <v>0</v>
      </c>
      <c r="K6" s="13">
        <f>SUMIF(Mercado_Receita!$S$2:$S$1156,"44562A4GeraçãoNão se aplicaNão se aplicaNão se aplicaNão se aplicaNão se aplica",Mercado_Receita!$J$2:$J$1156)+SUMIF(Mercado_Receita!$S$2:$S$1156,"44562A4GeraçãoNão se aplicaNão se aplicaAPENão se aplicaNão se aplica",Mercado_Receita!$J$2:$J$1156)</f>
        <v>0</v>
      </c>
      <c r="L6" s="13">
        <f>SUMIF(Mercado_Receita!$S$2:$S$1156,"44593A4GeraçãoNão se aplicaNão se aplicaNão se aplicaNão se aplicaNão se aplica",Mercado_Receita!$J$2:$J$1156)+SUMIF(Mercado_Receita!$S$2:$S$1156,"44593A4GeraçãoNão se aplicaNão se aplicaAPENão se aplicaNão se aplica",Mercado_Receita!$J$2:$J$1156)</f>
        <v>0</v>
      </c>
      <c r="M6" s="13">
        <f>SUMIF(Mercado_Receita!$S$2:$S$1156,"44621A4GeraçãoNão se aplicaNão se aplicaNão se aplicaNão se aplicaNão se aplica",Mercado_Receita!$J$2:$J$1156)+SUMIF(Mercado_Receita!$S$2:$S$1156,"44621A4GeraçãoNão se aplicaNão se aplicaAPENão se aplicaNão se aplica",Mercado_Receita!$J$2:$J$1156)</f>
        <v>0</v>
      </c>
      <c r="N6" s="13">
        <f>SUMIF(Mercado_Receita!$S$2:$S$1156,"44652A4GeraçãoNão se aplicaNão se aplicaNão se aplicaNão se aplicaNão se aplica",Mercado_Receita!$J$2:$J$1156)+SUMIF(Mercado_Receita!$S$2:$S$1156,"44652A4GeraçãoNão se aplicaNão se aplicaAPENão se aplicaNão se aplica",Mercado_Receita!$J$2:$J$1156)</f>
        <v>0</v>
      </c>
      <c r="O6" s="13">
        <f>SUMIF(Mercado_Receita!$S$2:$S$1156,"44682A4GeraçãoNão se aplicaNão se aplicaNão se aplicaNão se aplicaNão se aplica",Mercado_Receita!$J$2:$J$1156)+SUMIF(Mercado_Receita!$S$2:$S$1156,"44682A4GeraçãoNão se aplicaNão se aplicaAPENão se aplicaNão se aplica",Mercado_Receita!$J$2:$J$1156)</f>
        <v>0</v>
      </c>
      <c r="P6" s="13">
        <f>SUMIF(Mercado_Receita!$S$2:$S$1156,"44713A4GeraçãoNão se aplicaNão se aplicaNão se aplicaNão se aplicaNão se aplica",Mercado_Receita!$J$2:$J$1156)+SUMIF(Mercado_Receita!$S$2:$S$1156,"44713A4GeraçãoNão se aplicaNão se aplicaAPENão se aplicaNão se aplica",Mercado_Receita!$J$2:$J$1156)</f>
        <v>0</v>
      </c>
      <c r="Q6" s="13">
        <f>SUMIF(Mercado_Receita!$S$2:$S$1156,"44743A4GeraçãoNão se aplicaNão se aplicaNão se aplicaNão se aplicaNão se aplica",Mercado_Receita!$J$2:$J$1156)+SUMIF(Mercado_Receita!$S$2:$S$1156,"44743A4GeraçãoNão se aplicaNão se aplicaAPENão se aplicaNão se aplica",Mercado_Receita!$J$2:$J$1156)</f>
        <v>0</v>
      </c>
      <c r="R6" s="13">
        <f>SUMIF(Mercado_Receita!$S$2:$S$1156,"44774A4GeraçãoNão se aplicaNão se aplicaNão se aplicaNão se aplicaNão se aplica",Mercado_Receita!$J$2:$J$1156)+SUMIF(Mercado_Receita!$S$2:$S$1156,"44774A4GeraçãoNão se aplicaNão se aplicaAPENão se aplicaNão se aplica",Mercado_Receita!$J$2:$J$1156)</f>
        <v>0</v>
      </c>
      <c r="S6" s="13">
        <f>SUMIF(Mercado_Receita!$S$2:$S$1156,"44805A4GeraçãoNão se aplicaNão se aplicaNão se aplicaNão se aplicaNão se aplica",Mercado_Receita!$J$2:$J$1156)+SUMIF(Mercado_Receita!$S$2:$S$1156,"44805A4GeraçãoNão se aplicaNão se aplicaAPENão se aplicaNão se aplica",Mercado_Receita!$J$2:$J$1156)</f>
        <v>0</v>
      </c>
      <c r="T6" s="13">
        <f>SUMIF(Mercado_Receita!$S$2:$S$1156,"44835A4GeraçãoNão se aplicaNão se aplicaNão se aplicaNão se aplicaNão se aplica",Mercado_Receita!$J$2:$J$1156)+SUMIF(Mercado_Receita!$S$2:$S$1156,"44835A4GeraçãoNão se aplicaNão se aplicaAPENão se aplicaNão se aplica",Mercado_Receita!$J$2:$J$1156)</f>
        <v>0</v>
      </c>
      <c r="U6" s="13">
        <f t="shared" si="0"/>
        <v>0</v>
      </c>
      <c r="V6" s="13"/>
      <c r="W6" s="13"/>
    </row>
    <row r="7" spans="1:30" ht="11.25" customHeight="1" x14ac:dyDescent="0.25">
      <c r="A7" s="93"/>
      <c r="B7" s="92" t="s">
        <v>41</v>
      </c>
      <c r="C7" s="92" t="s">
        <v>25</v>
      </c>
      <c r="D7" s="92" t="s">
        <v>25</v>
      </c>
      <c r="E7" s="92" t="s">
        <v>25</v>
      </c>
      <c r="F7" s="92" t="s">
        <v>25</v>
      </c>
      <c r="G7" s="13" t="s">
        <v>9</v>
      </c>
      <c r="H7" s="13" t="s">
        <v>77</v>
      </c>
      <c r="I7" s="13">
        <f>SUMIF(Mercado_Receita!$S$2:$S$1156,"44501A4VerdeNão se aplicaNão se aplicaNão se aplicaNão se aplicaNão se aplica",Mercado_Receita!$J$2:$J$1156)+SUMIF(Mercado_Receita!$S$2:$S$1156,"44501A4VerdeNão se aplicaNão se aplicaAPENão se aplicaNão se aplica",Mercado_Receita!$J$2:$J$1156)</f>
        <v>90935</v>
      </c>
      <c r="J7" s="13">
        <f>SUMIF(Mercado_Receita!$S$2:$S$1156,"44531A4VerdeNão se aplicaNão se aplicaNão se aplicaNão se aplicaNão se aplica",Mercado_Receita!$J$2:$J$1156)+SUMIF(Mercado_Receita!$S$2:$S$1156,"44531A4VerdeNão se aplicaNão se aplicaAPENão se aplicaNão se aplica",Mercado_Receita!$J$2:$J$1156)</f>
        <v>92789</v>
      </c>
      <c r="K7" s="13">
        <f>SUMIF(Mercado_Receita!$S$2:$S$1156,"44562A4VerdeNão se aplicaNão se aplicaNão se aplicaNão se aplicaNão se aplica",Mercado_Receita!$J$2:$J$1156)+SUMIF(Mercado_Receita!$S$2:$S$1156,"44562A4VerdeNão se aplicaNão se aplicaAPENão se aplicaNão se aplica",Mercado_Receita!$J$2:$J$1156)</f>
        <v>95546</v>
      </c>
      <c r="L7" s="13">
        <f>SUMIF(Mercado_Receita!$S$2:$S$1156,"44593A4VerdeNão se aplicaNão se aplicaNão se aplicaNão se aplicaNão se aplica",Mercado_Receita!$J$2:$J$1156)+SUMIF(Mercado_Receita!$S$2:$S$1156,"44593A4VerdeNão se aplicaNão se aplicaAPENão se aplicaNão se aplica",Mercado_Receita!$J$2:$J$1156)</f>
        <v>96241</v>
      </c>
      <c r="M7" s="13">
        <f>SUMIF(Mercado_Receita!$S$2:$S$1156,"44621A4VerdeNão se aplicaNão se aplicaNão se aplicaNão se aplicaNão se aplica",Mercado_Receita!$J$2:$J$1156)+SUMIF(Mercado_Receita!$S$2:$S$1156,"44621A4VerdeNão se aplicaNão se aplicaAPENão se aplicaNão se aplica",Mercado_Receita!$J$2:$J$1156)</f>
        <v>98564</v>
      </c>
      <c r="N7" s="13">
        <f>SUMIF(Mercado_Receita!$S$2:$S$1156,"44652A4VerdeNão se aplicaNão se aplicaNão se aplicaNão se aplicaNão se aplica",Mercado_Receita!$J$2:$J$1156)+SUMIF(Mercado_Receita!$S$2:$S$1156,"44652A4VerdeNão se aplicaNão se aplicaAPENão se aplicaNão se aplica",Mercado_Receita!$J$2:$J$1156)</f>
        <v>98564</v>
      </c>
      <c r="O7" s="13">
        <f>SUMIF(Mercado_Receita!$S$2:$S$1156,"44682A4VerdeNão se aplicaNão se aplicaNão se aplicaNão se aplicaNão se aplica",Mercado_Receita!$J$2:$J$1156)+SUMIF(Mercado_Receita!$S$2:$S$1156,"44682A4VerdeNão se aplicaNão se aplicaAPENão se aplicaNão se aplica",Mercado_Receita!$J$2:$J$1156)</f>
        <v>143847</v>
      </c>
      <c r="P7" s="13">
        <f>SUMIF(Mercado_Receita!$S$2:$S$1156,"44713A4VerdeNão se aplicaNão se aplicaNão se aplicaNão se aplicaNão se aplica",Mercado_Receita!$J$2:$J$1156)+SUMIF(Mercado_Receita!$S$2:$S$1156,"44713A4VerdeNão se aplicaNão se aplicaAPENão se aplicaNão se aplica",Mercado_Receita!$J$2:$J$1156)</f>
        <v>98072</v>
      </c>
      <c r="Q7" s="13">
        <f>SUMIF(Mercado_Receita!$S$2:$S$1156,"44743A4VerdeNão se aplicaNão se aplicaNão se aplicaNão se aplicaNão se aplica",Mercado_Receita!$J$2:$J$1156)+SUMIF(Mercado_Receita!$S$2:$S$1156,"44743A4VerdeNão se aplicaNão se aplicaAPENão se aplicaNão se aplica",Mercado_Receita!$J$2:$J$1156)</f>
        <v>93498</v>
      </c>
      <c r="R7" s="13">
        <f>SUMIF(Mercado_Receita!$S$2:$S$1156,"44774A4VerdeNão se aplicaNão se aplicaNão se aplicaNão se aplicaNão se aplica",Mercado_Receita!$J$2:$J$1156)+SUMIF(Mercado_Receita!$S$2:$S$1156,"44774A4VerdeNão se aplicaNão se aplicaAPENão se aplicaNão se aplica",Mercado_Receita!$J$2:$J$1156)</f>
        <v>97770</v>
      </c>
      <c r="S7" s="13">
        <f>SUMIF(Mercado_Receita!$S$2:$S$1156,"44805A4VerdeNão se aplicaNão se aplicaNão se aplicaNão se aplicaNão se aplica",Mercado_Receita!$J$2:$J$1156)+SUMIF(Mercado_Receita!$S$2:$S$1156,"44805A4VerdeNão se aplicaNão se aplicaAPENão se aplicaNão se aplica",Mercado_Receita!$J$2:$J$1156)</f>
        <v>98714</v>
      </c>
      <c r="T7" s="13">
        <f>SUMIF(Mercado_Receita!$S$2:$S$1156,"44835A4VerdeNão se aplicaNão se aplicaNão se aplicaNão se aplicaNão se aplica",Mercado_Receita!$J$2:$J$1156)+SUMIF(Mercado_Receita!$S$2:$S$1156,"44835A4VerdeNão se aplicaNão se aplicaAPENão se aplicaNão se aplica",Mercado_Receita!$J$2:$J$1156)</f>
        <v>98714</v>
      </c>
      <c r="U7" s="13">
        <f t="shared" si="0"/>
        <v>1203254</v>
      </c>
      <c r="V7" s="13"/>
      <c r="W7" s="13"/>
    </row>
    <row r="8" spans="1:30" ht="11.25" customHeight="1" x14ac:dyDescent="0.25">
      <c r="A8" s="93"/>
      <c r="B8" s="93"/>
      <c r="C8" s="93"/>
      <c r="D8" s="93"/>
      <c r="E8" s="93"/>
      <c r="F8" s="93"/>
      <c r="G8" s="13" t="s">
        <v>73</v>
      </c>
      <c r="H8" s="13" t="s">
        <v>72</v>
      </c>
      <c r="I8" s="13">
        <f>SUMIF(Mercado_Receita!$S$2:$S$1156,"44501A4VerdeNão se aplicaNão se aplicaNão se aplicaNão se aplicaPonta",Mercado_Receita!$L$2:$L$1156)</f>
        <v>900.07900000000006</v>
      </c>
      <c r="J8" s="13">
        <f>SUMIF(Mercado_Receita!$S$2:$S$1156,"44531A4VerdeNão se aplicaNão se aplicaNão se aplicaNão se aplicaPonta",Mercado_Receita!$L$2:$L$1156)</f>
        <v>987.36599999999987</v>
      </c>
      <c r="K8" s="13">
        <f>SUMIF(Mercado_Receita!$S$2:$S$1156,"44562A4VerdeNão se aplicaNão se aplicaNão se aplicaNão se aplicaPonta",Mercado_Receita!$L$2:$L$1156)</f>
        <v>913.05</v>
      </c>
      <c r="L8" s="13">
        <f>SUMIF(Mercado_Receita!$S$2:$S$1156,"44593A4VerdeNão se aplicaNão se aplicaNão se aplicaNão se aplicaPonta",Mercado_Receita!$L$2:$L$1156)</f>
        <v>915.85500000000013</v>
      </c>
      <c r="M8" s="13">
        <f>SUMIF(Mercado_Receita!$S$2:$S$1156,"44621A4VerdeNão se aplicaNão se aplicaNão se aplicaNão se aplicaPonta",Mercado_Receita!$L$2:$L$1156)</f>
        <v>998.40100000000007</v>
      </c>
      <c r="N8" s="13">
        <f>SUMIF(Mercado_Receita!$S$2:$S$1156,"44652A4VerdeNão se aplicaNão se aplicaNão se aplicaNão se aplicaPonta",Mercado_Receita!$L$2:$L$1156)</f>
        <v>998.40100000000007</v>
      </c>
      <c r="O8" s="13">
        <f>SUMIF(Mercado_Receita!$S$2:$S$1156,"44682A4VerdeNão se aplicaNão se aplicaNão se aplicaNão se aplicaPonta",Mercado_Receita!$L$2:$L$1156)</f>
        <v>1270.8440000000001</v>
      </c>
      <c r="P8" s="13">
        <f>SUMIF(Mercado_Receita!$S$2:$S$1156,"44713A4VerdeNão se aplicaNão se aplicaNão se aplicaNão se aplicaPonta",Mercado_Receita!$L$2:$L$1156)</f>
        <v>907.09199999999987</v>
      </c>
      <c r="Q8" s="13">
        <f>SUMIF(Mercado_Receita!$S$2:$S$1156,"44743A4VerdeNão se aplicaNão se aplicaNão se aplicaNão se aplicaPonta",Mercado_Receita!$L$2:$L$1156)</f>
        <v>915.60299999999995</v>
      </c>
      <c r="R8" s="13">
        <f>SUMIF(Mercado_Receita!$S$2:$S$1156,"44774A4VerdeNão se aplicaNão se aplicaNão se aplicaNão se aplicaPonta",Mercado_Receita!$L$2:$L$1156)</f>
        <v>1079.5740000000003</v>
      </c>
      <c r="S8" s="13">
        <f>SUMIF(Mercado_Receita!$S$2:$S$1156,"44805A4VerdeNão se aplicaNão se aplicaNão se aplicaNão se aplicaPonta",Mercado_Receita!$L$2:$L$1156)</f>
        <v>1076.8130000000001</v>
      </c>
      <c r="T8" s="13">
        <f>SUMIF(Mercado_Receita!$S$2:$S$1156,"44835A4VerdeNão se aplicaNão se aplicaNão se aplicaNão se aplicaPonta",Mercado_Receita!$L$2:$L$1156)</f>
        <v>1076.8130000000001</v>
      </c>
      <c r="U8" s="13">
        <f t="shared" si="0"/>
        <v>12039.891</v>
      </c>
      <c r="V8" s="13"/>
      <c r="W8" s="13"/>
    </row>
    <row r="9" spans="1:30" ht="11.25" customHeight="1" x14ac:dyDescent="0.25">
      <c r="A9" s="93"/>
      <c r="B9" s="93"/>
      <c r="C9" s="93"/>
      <c r="D9" s="93"/>
      <c r="E9" s="93"/>
      <c r="F9" s="93"/>
      <c r="G9" s="13" t="s">
        <v>74</v>
      </c>
      <c r="H9" s="13" t="s">
        <v>72</v>
      </c>
      <c r="I9" s="13">
        <f>SUMIF(Mercado_Receita!$S$2:$S$1156,"44501A4VerdeNão se aplicaNão se aplicaNão se aplicaNão se aplicaFora ponta",Mercado_Receita!$L$2:$L$1156)</f>
        <v>14907.762000000002</v>
      </c>
      <c r="J9" s="13">
        <f>SUMIF(Mercado_Receita!$S$2:$S$1156,"44531A4VerdeNão se aplicaNão se aplicaNão se aplicaNão se aplicaFora ponta",Mercado_Receita!$L$2:$L$1156)</f>
        <v>14270.172999999999</v>
      </c>
      <c r="K9" s="13">
        <f>SUMIF(Mercado_Receita!$S$2:$S$1156,"44562A4VerdeNão se aplicaNão se aplicaNão se aplicaNão se aplicaFora ponta",Mercado_Receita!$L$2:$L$1156)</f>
        <v>13958.501999999999</v>
      </c>
      <c r="L9" s="13">
        <f>SUMIF(Mercado_Receita!$S$2:$S$1156,"44593A4VerdeNão se aplicaNão se aplicaNão se aplicaNão se aplicaFora ponta",Mercado_Receita!$L$2:$L$1156)</f>
        <v>14081.968999999999</v>
      </c>
      <c r="M9" s="13">
        <f>SUMIF(Mercado_Receita!$S$2:$S$1156,"44621A4VerdeNão se aplicaNão se aplicaNão se aplicaNão se aplicaFora ponta",Mercado_Receita!$L$2:$L$1156)</f>
        <v>14407.899000000003</v>
      </c>
      <c r="N9" s="13">
        <f>SUMIF(Mercado_Receita!$S$2:$S$1156,"44652A4VerdeNão se aplicaNão se aplicaNão se aplicaNão se aplicaFora ponta",Mercado_Receita!$L$2:$L$1156)</f>
        <v>14407.899000000003</v>
      </c>
      <c r="O9" s="13">
        <f>SUMIF(Mercado_Receita!$S$2:$S$1156,"44682A4VerdeNão se aplicaNão se aplicaNão se aplicaNão se aplicaFora ponta",Mercado_Receita!$L$2:$L$1156)</f>
        <v>18089.159</v>
      </c>
      <c r="P9" s="13">
        <f>SUMIF(Mercado_Receita!$S$2:$S$1156,"44713A4VerdeNão se aplicaNão se aplicaNão se aplicaNão se aplicaFora ponta",Mercado_Receita!$L$2:$L$1156)</f>
        <v>12855.315000000002</v>
      </c>
      <c r="Q9" s="13">
        <f>SUMIF(Mercado_Receita!$S$2:$S$1156,"44743A4VerdeNão se aplicaNão se aplicaNão se aplicaNão se aplicaFora ponta",Mercado_Receita!$L$2:$L$1156)</f>
        <v>13138.24</v>
      </c>
      <c r="R9" s="13">
        <f>SUMIF(Mercado_Receita!$S$2:$S$1156,"44774A4VerdeNão se aplicaNão se aplicaNão se aplicaNão se aplicaFora ponta",Mercado_Receita!$L$2:$L$1156)</f>
        <v>15226.735999999997</v>
      </c>
      <c r="S9" s="13">
        <f>SUMIF(Mercado_Receita!$S$2:$S$1156,"44805A4VerdeNão se aplicaNão se aplicaNão se aplicaNão se aplicaFora ponta",Mercado_Receita!$L$2:$L$1156)</f>
        <v>15858.182000000001</v>
      </c>
      <c r="T9" s="13">
        <f>SUMIF(Mercado_Receita!$S$2:$S$1156,"44835A4VerdeNão se aplicaNão se aplicaNão se aplicaNão se aplicaFora ponta",Mercado_Receita!$L$2:$L$1156)</f>
        <v>15858.182000000001</v>
      </c>
      <c r="U9" s="13">
        <f t="shared" si="0"/>
        <v>177060.01800000001</v>
      </c>
      <c r="V9" s="13"/>
      <c r="W9" s="13"/>
    </row>
    <row r="10" spans="1:30" ht="11.25" customHeight="1" x14ac:dyDescent="0.25">
      <c r="A10" s="93"/>
      <c r="B10" s="93"/>
      <c r="C10" s="93"/>
      <c r="D10" s="93"/>
      <c r="E10" s="92" t="s">
        <v>80</v>
      </c>
      <c r="F10" s="92" t="s">
        <v>25</v>
      </c>
      <c r="G10" s="13" t="s">
        <v>73</v>
      </c>
      <c r="H10" s="13" t="s">
        <v>72</v>
      </c>
      <c r="I10" s="13">
        <f>SUMIF(Mercado_Receita!$S$2:$S$1156,"44501A4VerdeNão se aplicaNão se aplicaAPENão se aplicaPonta",Mercado_Receita!$L$2:$L$1156)</f>
        <v>0</v>
      </c>
      <c r="J10" s="13">
        <f>SUMIF(Mercado_Receita!$S$2:$S$1156,"44531A4VerdeNão se aplicaNão se aplicaAPENão se aplicaPonta",Mercado_Receita!$L$2:$L$1156)</f>
        <v>0</v>
      </c>
      <c r="K10" s="13">
        <f>SUMIF(Mercado_Receita!$S$2:$S$1156,"44562A4VerdeNão se aplicaNão se aplicaAPENão se aplicaPonta",Mercado_Receita!$L$2:$L$1156)</f>
        <v>0</v>
      </c>
      <c r="L10" s="13">
        <f>SUMIF(Mercado_Receita!$S$2:$S$1156,"44593A4VerdeNão se aplicaNão se aplicaAPENão se aplicaPonta",Mercado_Receita!$L$2:$L$1156)</f>
        <v>0</v>
      </c>
      <c r="M10" s="13">
        <f>SUMIF(Mercado_Receita!$S$2:$S$1156,"44621A4VerdeNão se aplicaNão se aplicaAPENão se aplicaPonta",Mercado_Receita!$L$2:$L$1156)</f>
        <v>0</v>
      </c>
      <c r="N10" s="13">
        <f>SUMIF(Mercado_Receita!$S$2:$S$1156,"44652A4VerdeNão se aplicaNão se aplicaAPENão se aplicaPonta",Mercado_Receita!$L$2:$L$1156)</f>
        <v>0</v>
      </c>
      <c r="O10" s="13">
        <f>SUMIF(Mercado_Receita!$S$2:$S$1156,"44682A4VerdeNão se aplicaNão se aplicaAPENão se aplicaPonta",Mercado_Receita!$L$2:$L$1156)</f>
        <v>0</v>
      </c>
      <c r="P10" s="13">
        <f>SUMIF(Mercado_Receita!$S$2:$S$1156,"44713A4VerdeNão se aplicaNão se aplicaAPENão se aplicaPonta",Mercado_Receita!$L$2:$L$1156)</f>
        <v>0</v>
      </c>
      <c r="Q10" s="13">
        <f>SUMIF(Mercado_Receita!$S$2:$S$1156,"44743A4VerdeNão se aplicaNão se aplicaAPENão se aplicaPonta",Mercado_Receita!$L$2:$L$1156)</f>
        <v>0</v>
      </c>
      <c r="R10" s="13">
        <f>SUMIF(Mercado_Receita!$S$2:$S$1156,"44774A4VerdeNão se aplicaNão se aplicaAPENão se aplicaPonta",Mercado_Receita!$L$2:$L$1156)</f>
        <v>0</v>
      </c>
      <c r="S10" s="13">
        <f>SUMIF(Mercado_Receita!$S$2:$S$1156,"44805A4VerdeNão se aplicaNão se aplicaAPENão se aplicaPonta",Mercado_Receita!$L$2:$L$1156)</f>
        <v>0</v>
      </c>
      <c r="T10" s="13">
        <f>SUMIF(Mercado_Receita!$S$2:$S$1156,"44835A4VerdeNão se aplicaNão se aplicaAPENão se aplicaPonta",Mercado_Receita!$L$2:$L$1156)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93"/>
      <c r="B11" s="93"/>
      <c r="C11" s="93"/>
      <c r="D11" s="93"/>
      <c r="E11" s="93"/>
      <c r="F11" s="93"/>
      <c r="G11" s="13" t="s">
        <v>74</v>
      </c>
      <c r="H11" s="13" t="s">
        <v>72</v>
      </c>
      <c r="I11" s="13">
        <f>SUMIF(Mercado_Receita!$S$2:$S$1156,"44501A4VerdeNão se aplicaNão se aplicaAPENão se aplicaFora ponta",Mercado_Receita!$L$2:$L$1156)</f>
        <v>0</v>
      </c>
      <c r="J11" s="13">
        <f>SUMIF(Mercado_Receita!$S$2:$S$1156,"44531A4VerdeNão se aplicaNão se aplicaAPENão se aplicaFora ponta",Mercado_Receita!$L$2:$L$1156)</f>
        <v>0</v>
      </c>
      <c r="K11" s="13">
        <f>SUMIF(Mercado_Receita!$S$2:$S$1156,"44562A4VerdeNão se aplicaNão se aplicaAPENão se aplicaFora ponta",Mercado_Receita!$L$2:$L$1156)</f>
        <v>0</v>
      </c>
      <c r="L11" s="13">
        <f>SUMIF(Mercado_Receita!$S$2:$S$1156,"44593A4VerdeNão se aplicaNão se aplicaAPENão se aplicaFora ponta",Mercado_Receita!$L$2:$L$1156)</f>
        <v>0</v>
      </c>
      <c r="M11" s="13">
        <f>SUMIF(Mercado_Receita!$S$2:$S$1156,"44621A4VerdeNão se aplicaNão se aplicaAPENão se aplicaFora ponta",Mercado_Receita!$L$2:$L$1156)</f>
        <v>0</v>
      </c>
      <c r="N11" s="13">
        <f>SUMIF(Mercado_Receita!$S$2:$S$1156,"44652A4VerdeNão se aplicaNão se aplicaAPENão se aplicaFora ponta",Mercado_Receita!$L$2:$L$1156)</f>
        <v>0</v>
      </c>
      <c r="O11" s="13">
        <f>SUMIF(Mercado_Receita!$S$2:$S$1156,"44682A4VerdeNão se aplicaNão se aplicaAPENão se aplicaFora ponta",Mercado_Receita!$L$2:$L$1156)</f>
        <v>0</v>
      </c>
      <c r="P11" s="13">
        <f>SUMIF(Mercado_Receita!$S$2:$S$1156,"44713A4VerdeNão se aplicaNão se aplicaAPENão se aplicaFora ponta",Mercado_Receita!$L$2:$L$1156)</f>
        <v>0</v>
      </c>
      <c r="Q11" s="13">
        <f>SUMIF(Mercado_Receita!$S$2:$S$1156,"44743A4VerdeNão se aplicaNão se aplicaAPENão se aplicaFora ponta",Mercado_Receita!$L$2:$L$1156)</f>
        <v>0</v>
      </c>
      <c r="R11" s="13">
        <f>SUMIF(Mercado_Receita!$S$2:$S$1156,"44774A4VerdeNão se aplicaNão se aplicaAPENão se aplicaFora ponta",Mercado_Receita!$L$2:$L$1156)</f>
        <v>0</v>
      </c>
      <c r="S11" s="13">
        <f>SUMIF(Mercado_Receita!$S$2:$S$1156,"44805A4VerdeNão se aplicaNão se aplicaAPENão se aplicaFora ponta",Mercado_Receita!$L$2:$L$1156)</f>
        <v>0</v>
      </c>
      <c r="T11" s="13">
        <f>SUMIF(Mercado_Receita!$S$2:$S$1156,"44835A4VerdeNão se aplicaNão se aplicaAPENão se aplicaFora ponta",Mercado_Receita!$L$2:$L$1156)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92" t="s">
        <v>82</v>
      </c>
      <c r="B12" s="92" t="s">
        <v>81</v>
      </c>
      <c r="C12" s="92" t="s">
        <v>25</v>
      </c>
      <c r="D12" s="92" t="s">
        <v>25</v>
      </c>
      <c r="E12" s="12" t="s">
        <v>83</v>
      </c>
      <c r="F12" s="12" t="s">
        <v>25</v>
      </c>
      <c r="G12" s="13" t="s">
        <v>9</v>
      </c>
      <c r="H12" s="13" t="s">
        <v>77</v>
      </c>
      <c r="I12" s="13">
        <f>SUMIF(Mercado_Receita!$S$2:$S$1156,"44501BGeraçãoNão se aplicaNão se aplicaTIPO 01Não se aplicaNão se aplica",Mercado_Receita!$J$2:$J$1156)+SUMIF(Mercado_Receita!$S$2:$S$1156,"44501BGeraçãoNão se aplicaNão se aplicaAPENão se aplicaNão se aplica",Mercado_Receita!$J$2:$J$1156)</f>
        <v>0</v>
      </c>
      <c r="J12" s="13">
        <f>SUMIF(Mercado_Receita!$S$2:$S$1156,"44531BGeraçãoNão se aplicaNão se aplicaTIPO 01Não se aplicaNão se aplica",Mercado_Receita!$J$2:$J$1156)+SUMIF(Mercado_Receita!$S$2:$S$1156,"44531BGeraçãoNão se aplicaNão se aplicaAPENão se aplicaNão se aplica",Mercado_Receita!$J$2:$J$1156)</f>
        <v>0</v>
      </c>
      <c r="K12" s="13">
        <f>SUMIF(Mercado_Receita!$S$2:$S$1156,"44562BGeraçãoNão se aplicaNão se aplicaTIPO 01Não se aplicaNão se aplica",Mercado_Receita!$J$2:$J$1156)+SUMIF(Mercado_Receita!$S$2:$S$1156,"44562BGeraçãoNão se aplicaNão se aplicaAPENão se aplicaNão se aplica",Mercado_Receita!$J$2:$J$1156)</f>
        <v>0</v>
      </c>
      <c r="L12" s="13">
        <f>SUMIF(Mercado_Receita!$S$2:$S$1156,"44593BGeraçãoNão se aplicaNão se aplicaTIPO 01Não se aplicaNão se aplica",Mercado_Receita!$J$2:$J$1156)+SUMIF(Mercado_Receita!$S$2:$S$1156,"44593BGeraçãoNão se aplicaNão se aplicaAPENão se aplicaNão se aplica",Mercado_Receita!$J$2:$J$1156)</f>
        <v>0</v>
      </c>
      <c r="M12" s="13">
        <f>SUMIF(Mercado_Receita!$S$2:$S$1156,"44621BGeraçãoNão se aplicaNão se aplicaTIPO 01Não se aplicaNão se aplica",Mercado_Receita!$J$2:$J$1156)+SUMIF(Mercado_Receita!$S$2:$S$1156,"44621BGeraçãoNão se aplicaNão se aplicaAPENão se aplicaNão se aplica",Mercado_Receita!$J$2:$J$1156)</f>
        <v>0</v>
      </c>
      <c r="N12" s="13">
        <f>SUMIF(Mercado_Receita!$S$2:$S$1156,"44652BGeraçãoNão se aplicaNão se aplicaTIPO 01Não se aplicaNão se aplica",Mercado_Receita!$J$2:$J$1156)+SUMIF(Mercado_Receita!$S$2:$S$1156,"44652BGeraçãoNão se aplicaNão se aplicaAPENão se aplicaNão se aplica",Mercado_Receita!$J$2:$J$1156)</f>
        <v>0</v>
      </c>
      <c r="O12" s="13">
        <f>SUMIF(Mercado_Receita!$S$2:$S$1156,"44682BGeraçãoNão se aplicaNão se aplicaTIPO 01Não se aplicaNão se aplica",Mercado_Receita!$J$2:$J$1156)+SUMIF(Mercado_Receita!$S$2:$S$1156,"44682BGeraçãoNão se aplicaNão se aplicaAPENão se aplicaNão se aplica",Mercado_Receita!$J$2:$J$1156)</f>
        <v>0</v>
      </c>
      <c r="P12" s="13">
        <f>SUMIF(Mercado_Receita!$S$2:$S$1156,"44713BGeraçãoNão se aplicaNão se aplicaTIPO 01Não se aplicaNão se aplica",Mercado_Receita!$J$2:$J$1156)+SUMIF(Mercado_Receita!$S$2:$S$1156,"44713BGeraçãoNão se aplicaNão se aplicaAPENão se aplicaNão se aplica",Mercado_Receita!$J$2:$J$1156)</f>
        <v>0</v>
      </c>
      <c r="Q12" s="13">
        <f>SUMIF(Mercado_Receita!$S$2:$S$1156,"44743BGeraçãoNão se aplicaNão se aplicaTIPO 01Não se aplicaNão se aplica",Mercado_Receita!$J$2:$J$1156)+SUMIF(Mercado_Receita!$S$2:$S$1156,"44743BGeraçãoNão se aplicaNão se aplicaAPENão se aplicaNão se aplica",Mercado_Receita!$J$2:$J$1156)</f>
        <v>0</v>
      </c>
      <c r="R12" s="13">
        <f>SUMIF(Mercado_Receita!$S$2:$S$1156,"44774BGeraçãoNão se aplicaNão se aplicaTIPO 01Não se aplicaNão se aplica",Mercado_Receita!$J$2:$J$1156)+SUMIF(Mercado_Receita!$S$2:$S$1156,"44774BGeraçãoNão se aplicaNão se aplicaAPENão se aplicaNão se aplica",Mercado_Receita!$J$2:$J$1156)</f>
        <v>0</v>
      </c>
      <c r="S12" s="13">
        <f>SUMIF(Mercado_Receita!$S$2:$S$1156,"44805BGeraçãoNão se aplicaNão se aplicaTIPO 01Não se aplicaNão se aplica",Mercado_Receita!$J$2:$J$1156)+SUMIF(Mercado_Receita!$S$2:$S$1156,"44805BGeraçãoNão se aplicaNão se aplicaAPENão se aplicaNão se aplica",Mercado_Receita!$J$2:$J$1156)</f>
        <v>0</v>
      </c>
      <c r="T12" s="13">
        <f>SUMIF(Mercado_Receita!$S$2:$S$1156,"44835BGeraçãoNão se aplicaNão se aplicaTIPO 01Não se aplicaNão se aplica",Mercado_Receita!$J$2:$J$1156)+SUMIF(Mercado_Receita!$S$2:$S$1156,"44835BGeraçãoNão se aplicaNão se aplicaAPENão se aplicaNão se aplica",Mercado_Receita!$J$2:$J$1156)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93"/>
      <c r="B13" s="93"/>
      <c r="C13" s="93"/>
      <c r="D13" s="93"/>
      <c r="E13" s="12" t="s">
        <v>84</v>
      </c>
      <c r="F13" s="12" t="s">
        <v>25</v>
      </c>
      <c r="G13" s="13" t="s">
        <v>9</v>
      </c>
      <c r="H13" s="13" t="s">
        <v>77</v>
      </c>
      <c r="I13" s="13">
        <f>SUMIF(Mercado_Receita!$S$2:$S$1156,"44501BGeraçãoNão se aplicaNão se aplicaTIPO 02Não se aplicaNão se aplica",Mercado_Receita!$J$2:$J$1156)+SUMIF(Mercado_Receita!$S$2:$S$1156,"44501BGeraçãoNão se aplicaNão se aplicaAPENão se aplicaNão se aplica",Mercado_Receita!$J$2:$J$1156)</f>
        <v>0</v>
      </c>
      <c r="J13" s="13">
        <f>SUMIF(Mercado_Receita!$S$2:$S$1156,"44531BGeraçãoNão se aplicaNão se aplicaTIPO 02Não se aplicaNão se aplica",Mercado_Receita!$J$2:$J$1156)+SUMIF(Mercado_Receita!$S$2:$S$1156,"44531BGeraçãoNão se aplicaNão se aplicaAPENão se aplicaNão se aplica",Mercado_Receita!$J$2:$J$1156)</f>
        <v>0</v>
      </c>
      <c r="K13" s="13">
        <f>SUMIF(Mercado_Receita!$S$2:$S$1156,"44562BGeraçãoNão se aplicaNão se aplicaTIPO 02Não se aplicaNão se aplica",Mercado_Receita!$J$2:$J$1156)+SUMIF(Mercado_Receita!$S$2:$S$1156,"44562BGeraçãoNão se aplicaNão se aplicaAPENão se aplicaNão se aplica",Mercado_Receita!$J$2:$J$1156)</f>
        <v>0</v>
      </c>
      <c r="L13" s="13">
        <f>SUMIF(Mercado_Receita!$S$2:$S$1156,"44593BGeraçãoNão se aplicaNão se aplicaTIPO 02Não se aplicaNão se aplica",Mercado_Receita!$J$2:$J$1156)+SUMIF(Mercado_Receita!$S$2:$S$1156,"44593BGeraçãoNão se aplicaNão se aplicaAPENão se aplicaNão se aplica",Mercado_Receita!$J$2:$J$1156)</f>
        <v>0</v>
      </c>
      <c r="M13" s="13">
        <f>SUMIF(Mercado_Receita!$S$2:$S$1156,"44621BGeraçãoNão se aplicaNão se aplicaTIPO 02Não se aplicaNão se aplica",Mercado_Receita!$J$2:$J$1156)+SUMIF(Mercado_Receita!$S$2:$S$1156,"44621BGeraçãoNão se aplicaNão se aplicaAPENão se aplicaNão se aplica",Mercado_Receita!$J$2:$J$1156)</f>
        <v>0</v>
      </c>
      <c r="N13" s="13">
        <f>SUMIF(Mercado_Receita!$S$2:$S$1156,"44652BGeraçãoNão se aplicaNão se aplicaTIPO 02Não se aplicaNão se aplica",Mercado_Receita!$J$2:$J$1156)+SUMIF(Mercado_Receita!$S$2:$S$1156,"44652BGeraçãoNão se aplicaNão se aplicaAPENão se aplicaNão se aplica",Mercado_Receita!$J$2:$J$1156)</f>
        <v>0</v>
      </c>
      <c r="O13" s="13">
        <f>SUMIF(Mercado_Receita!$S$2:$S$1156,"44682BGeraçãoNão se aplicaNão se aplicaTIPO 02Não se aplicaNão se aplica",Mercado_Receita!$J$2:$J$1156)+SUMIF(Mercado_Receita!$S$2:$S$1156,"44682BGeraçãoNão se aplicaNão se aplicaAPENão se aplicaNão se aplica",Mercado_Receita!$J$2:$J$1156)</f>
        <v>0</v>
      </c>
      <c r="P13" s="13">
        <f>SUMIF(Mercado_Receita!$S$2:$S$1156,"44713BGeraçãoNão se aplicaNão se aplicaTIPO 02Não se aplicaNão se aplica",Mercado_Receita!$J$2:$J$1156)+SUMIF(Mercado_Receita!$S$2:$S$1156,"44713BGeraçãoNão se aplicaNão se aplicaAPENão se aplicaNão se aplica",Mercado_Receita!$J$2:$J$1156)</f>
        <v>0</v>
      </c>
      <c r="Q13" s="13">
        <f>SUMIF(Mercado_Receita!$S$2:$S$1156,"44743BGeraçãoNão se aplicaNão se aplicaTIPO 02Não se aplicaNão se aplica",Mercado_Receita!$J$2:$J$1156)+SUMIF(Mercado_Receita!$S$2:$S$1156,"44743BGeraçãoNão se aplicaNão se aplicaAPENão se aplicaNão se aplica",Mercado_Receita!$J$2:$J$1156)</f>
        <v>0</v>
      </c>
      <c r="R13" s="13">
        <f>SUMIF(Mercado_Receita!$S$2:$S$1156,"44774BGeraçãoNão se aplicaNão se aplicaTIPO 02Não se aplicaNão se aplica",Mercado_Receita!$J$2:$J$1156)+SUMIF(Mercado_Receita!$S$2:$S$1156,"44774BGeraçãoNão se aplicaNão se aplicaAPENão se aplicaNão se aplica",Mercado_Receita!$J$2:$J$1156)</f>
        <v>0</v>
      </c>
      <c r="S13" s="13">
        <f>SUMIF(Mercado_Receita!$S$2:$S$1156,"44805BGeraçãoNão se aplicaNão se aplicaTIPO 02Não se aplicaNão se aplica",Mercado_Receita!$J$2:$J$1156)+SUMIF(Mercado_Receita!$S$2:$S$1156,"44805BGeraçãoNão se aplicaNão se aplicaAPENão se aplicaNão se aplica",Mercado_Receita!$J$2:$J$1156)</f>
        <v>0</v>
      </c>
      <c r="T13" s="13">
        <f>SUMIF(Mercado_Receita!$S$2:$S$1156,"44835BGeraçãoNão se aplicaNão se aplicaTIPO 02Não se aplicaNão se aplica",Mercado_Receita!$J$2:$J$1156)+SUMIF(Mercado_Receita!$S$2:$S$1156,"44835BGeraçãoNão se aplicaNão se aplicaAPENão se aplicaNão se aplica",Mercado_Receita!$J$2:$J$1156)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92" t="s">
        <v>22</v>
      </c>
      <c r="B14" s="92" t="s">
        <v>33</v>
      </c>
      <c r="C14" s="92" t="s">
        <v>24</v>
      </c>
      <c r="D14" s="92" t="s">
        <v>24</v>
      </c>
      <c r="E14" s="92" t="s">
        <v>25</v>
      </c>
      <c r="F14" s="92" t="s">
        <v>25</v>
      </c>
      <c r="G14" s="13" t="s">
        <v>73</v>
      </c>
      <c r="H14" s="13" t="s">
        <v>72</v>
      </c>
      <c r="I14" s="13">
        <f>SUMIF(Mercado_Receita!$S$2:$S$1156,"44501B1BrancaResidencialResidencialNão se aplicaNão se aplicaPonta",Mercado_Receita!$L$2:$L$1156)</f>
        <v>6.0520000000000005</v>
      </c>
      <c r="J14" s="13">
        <f>SUMIF(Mercado_Receita!$S$2:$S$1156,"44531B1BrancaResidencialResidencialNão se aplicaNão se aplicaPonta",Mercado_Receita!$L$2:$L$1156)</f>
        <v>5.9130000000000003</v>
      </c>
      <c r="K14" s="13">
        <f>SUMIF(Mercado_Receita!$S$2:$S$1156,"44562B1BrancaResidencialResidencialNão se aplicaNão se aplicaPonta",Mercado_Receita!$L$2:$L$1156)</f>
        <v>5.2510000000000003</v>
      </c>
      <c r="L14" s="13">
        <f>SUMIF(Mercado_Receita!$S$2:$S$1156,"44593B1BrancaResidencialResidencialNão se aplicaNão se aplicaPonta",Mercado_Receita!$L$2:$L$1156)</f>
        <v>5.8220000000000001</v>
      </c>
      <c r="M14" s="13">
        <f>SUMIF(Mercado_Receita!$S$2:$S$1156,"44621B1BrancaResidencialResidencialNão se aplicaNão se aplicaPonta",Mercado_Receita!$L$2:$L$1156)</f>
        <v>5.1559999999999997</v>
      </c>
      <c r="N14" s="13">
        <f>SUMIF(Mercado_Receita!$S$2:$S$1156,"44652B1BrancaResidencialResidencialNão se aplicaNão se aplicaPonta",Mercado_Receita!$L$2:$L$1156)</f>
        <v>5.1559999999999997</v>
      </c>
      <c r="O14" s="13">
        <f>SUMIF(Mercado_Receita!$S$2:$S$1156,"44682B1BrancaResidencialResidencialNão se aplicaNão se aplicaPonta",Mercado_Receita!$L$2:$L$1156)</f>
        <v>4.6520000000000001</v>
      </c>
      <c r="P14" s="13">
        <f>SUMIF(Mercado_Receita!$S$2:$S$1156,"44713B1BrancaResidencialResidencialNão se aplicaNão se aplicaPonta",Mercado_Receita!$L$2:$L$1156)</f>
        <v>4.1840000000000002</v>
      </c>
      <c r="Q14" s="13">
        <f>SUMIF(Mercado_Receita!$S$2:$S$1156,"44743B1BrancaResidencialResidencialNão se aplicaNão se aplicaPonta",Mercado_Receita!$L$2:$L$1156)</f>
        <v>9.4489999999999998</v>
      </c>
      <c r="R14" s="13">
        <f>SUMIF(Mercado_Receita!$S$2:$S$1156,"44774B1BrancaResidencialResidencialNão se aplicaNão se aplicaPonta",Mercado_Receita!$L$2:$L$1156)</f>
        <v>5.4480000000000004</v>
      </c>
      <c r="S14" s="13">
        <f>SUMIF(Mercado_Receita!$S$2:$S$1156,"44805B1BrancaResidencialResidencialNão se aplicaNão se aplicaPonta",Mercado_Receita!$L$2:$L$1156)</f>
        <v>5.0720000000000001</v>
      </c>
      <c r="T14" s="13">
        <f>SUMIF(Mercado_Receita!$S$2:$S$1156,"44835B1BrancaResidencialResidencialNão se aplicaNão se aplicaPonta",Mercado_Receita!$L$2:$L$1156)</f>
        <v>5.0720000000000001</v>
      </c>
      <c r="U14" s="13">
        <f t="shared" si="0"/>
        <v>67.227000000000004</v>
      </c>
      <c r="V14" s="13"/>
      <c r="W14" s="13"/>
    </row>
    <row r="15" spans="1:30" ht="11.25" customHeight="1" x14ac:dyDescent="0.25">
      <c r="A15" s="93"/>
      <c r="B15" s="93"/>
      <c r="C15" s="93"/>
      <c r="D15" s="93"/>
      <c r="E15" s="93"/>
      <c r="F15" s="93"/>
      <c r="G15" s="13" t="s">
        <v>85</v>
      </c>
      <c r="H15" s="13" t="s">
        <v>72</v>
      </c>
      <c r="I15" s="13">
        <f>SUMIF(Mercado_Receita!$S$2:$S$1156,"44501B1BrancaResidencialResidencialNão se aplicaNão se aplicaIntermediário",Mercado_Receita!$L$2:$L$1156)</f>
        <v>4.1340000000000003</v>
      </c>
      <c r="J15" s="13">
        <f>SUMIF(Mercado_Receita!$S$2:$S$1156,"44531B1BrancaResidencialResidencialNão se aplicaNão se aplicaIntermediário",Mercado_Receita!$L$2:$L$1156)</f>
        <v>4.0659999999999998</v>
      </c>
      <c r="K15" s="13">
        <f>SUMIF(Mercado_Receita!$S$2:$S$1156,"44562B1BrancaResidencialResidencialNão se aplicaNão se aplicaIntermediário",Mercado_Receita!$L$2:$L$1156)</f>
        <v>3.4689999999999999</v>
      </c>
      <c r="L15" s="13">
        <f>SUMIF(Mercado_Receita!$S$2:$S$1156,"44593B1BrancaResidencialResidencialNão se aplicaNão se aplicaIntermediário",Mercado_Receita!$L$2:$L$1156)</f>
        <v>3.867</v>
      </c>
      <c r="M15" s="13">
        <f>SUMIF(Mercado_Receita!$S$2:$S$1156,"44621B1BrancaResidencialResidencialNão se aplicaNão se aplicaIntermediário",Mercado_Receita!$L$2:$L$1156)</f>
        <v>3.5209999999999999</v>
      </c>
      <c r="N15" s="13">
        <f>SUMIF(Mercado_Receita!$S$2:$S$1156,"44652B1BrancaResidencialResidencialNão se aplicaNão se aplicaIntermediário",Mercado_Receita!$L$2:$L$1156)</f>
        <v>3.5209999999999999</v>
      </c>
      <c r="O15" s="13">
        <f>SUMIF(Mercado_Receita!$S$2:$S$1156,"44682B1BrancaResidencialResidencialNão se aplicaNão se aplicaIntermediário",Mercado_Receita!$L$2:$L$1156)</f>
        <v>3.0379999999999998</v>
      </c>
      <c r="P15" s="13">
        <f>SUMIF(Mercado_Receita!$S$2:$S$1156,"44713B1BrancaResidencialResidencialNão se aplicaNão se aplicaIntermediário",Mercado_Receita!$L$2:$L$1156)</f>
        <v>2.9569999999999999</v>
      </c>
      <c r="Q15" s="13">
        <f>SUMIF(Mercado_Receita!$S$2:$S$1156,"44743B1BrancaResidencialResidencialNão se aplicaNão se aplicaIntermediário",Mercado_Receita!$L$2:$L$1156)</f>
        <v>3.0139999999999998</v>
      </c>
      <c r="R15" s="13">
        <f>SUMIF(Mercado_Receita!$S$2:$S$1156,"44774B1BrancaResidencialResidencialNão se aplicaNão se aplicaIntermediário",Mercado_Receita!$L$2:$L$1156)</f>
        <v>3.6819999999999999</v>
      </c>
      <c r="S15" s="13">
        <f>SUMIF(Mercado_Receita!$S$2:$S$1156,"44805B1BrancaResidencialResidencialNão se aplicaNão se aplicaIntermediário",Mercado_Receita!$L$2:$L$1156)</f>
        <v>3.3959999999999999</v>
      </c>
      <c r="T15" s="13">
        <f>SUMIF(Mercado_Receita!$S$2:$S$1156,"44835B1BrancaResidencialResidencialNão se aplicaNão se aplicaIntermediário",Mercado_Receita!$L$2:$L$1156)</f>
        <v>3.3959999999999999</v>
      </c>
      <c r="U15" s="13">
        <f t="shared" si="0"/>
        <v>42.061</v>
      </c>
      <c r="V15" s="13"/>
      <c r="W15" s="13"/>
    </row>
    <row r="16" spans="1:30" ht="11.25" customHeight="1" x14ac:dyDescent="0.25">
      <c r="A16" s="93"/>
      <c r="B16" s="93"/>
      <c r="C16" s="93"/>
      <c r="D16" s="93"/>
      <c r="E16" s="93"/>
      <c r="F16" s="93"/>
      <c r="G16" s="13" t="s">
        <v>74</v>
      </c>
      <c r="H16" s="13" t="s">
        <v>72</v>
      </c>
      <c r="I16" s="13">
        <f>SUMIF(Mercado_Receita!$S$2:$S$1156,"44501B1BrancaResidencialResidencialNão se aplicaNão se aplicaFora ponta",Mercado_Receita!$L$2:$L$1156)</f>
        <v>66.284000000000006</v>
      </c>
      <c r="J16" s="13">
        <f>SUMIF(Mercado_Receita!$S$2:$S$1156,"44531B1BrancaResidencialResidencialNão se aplicaNão se aplicaFora ponta",Mercado_Receita!$L$2:$L$1156)</f>
        <v>58.777000000000001</v>
      </c>
      <c r="K16" s="13">
        <f>SUMIF(Mercado_Receita!$S$2:$S$1156,"44562B1BrancaResidencialResidencialNão se aplicaNão se aplicaFora ponta",Mercado_Receita!$L$2:$L$1156)</f>
        <v>51.311999999999998</v>
      </c>
      <c r="L16" s="13">
        <f>SUMIF(Mercado_Receita!$S$2:$S$1156,"44593B1BrancaResidencialResidencialNão se aplicaNão se aplicaFora ponta",Mercado_Receita!$L$2:$L$1156)</f>
        <v>55.481999999999999</v>
      </c>
      <c r="M16" s="13">
        <f>SUMIF(Mercado_Receita!$S$2:$S$1156,"44621B1BrancaResidencialResidencialNão se aplicaNão se aplicaFora ponta",Mercado_Receita!$L$2:$L$1156)</f>
        <v>45.707000000000001</v>
      </c>
      <c r="N16" s="13">
        <f>SUMIF(Mercado_Receita!$S$2:$S$1156,"44652B1BrancaResidencialResidencialNão se aplicaNão se aplicaFora ponta",Mercado_Receita!$L$2:$L$1156)</f>
        <v>45.707000000000001</v>
      </c>
      <c r="O16" s="13">
        <f>SUMIF(Mercado_Receita!$S$2:$S$1156,"44682B1BrancaResidencialResidencialNão se aplicaNão se aplicaFora ponta",Mercado_Receita!$L$2:$L$1156)</f>
        <v>42.606999999999999</v>
      </c>
      <c r="P16" s="13">
        <f>SUMIF(Mercado_Receita!$S$2:$S$1156,"44713B1BrancaResidencialResidencialNão se aplicaNão se aplicaFora ponta",Mercado_Receita!$L$2:$L$1156)</f>
        <v>38.471000000000004</v>
      </c>
      <c r="Q16" s="13">
        <f>SUMIF(Mercado_Receita!$S$2:$S$1156,"44743B1BrancaResidencialResidencialNão se aplicaNão se aplicaFora ponta",Mercado_Receita!$L$2:$L$1156)</f>
        <v>39.063000000000002</v>
      </c>
      <c r="R16" s="13">
        <f>SUMIF(Mercado_Receita!$S$2:$S$1156,"44774B1BrancaResidencialResidencialNão se aplicaNão se aplicaFora ponta",Mercado_Receita!$L$2:$L$1156)</f>
        <v>47.590999999999994</v>
      </c>
      <c r="S16" s="13">
        <f>SUMIF(Mercado_Receita!$S$2:$S$1156,"44805B1BrancaResidencialResidencialNão se aplicaNão se aplicaFora ponta",Mercado_Receita!$L$2:$L$1156)</f>
        <v>46.279000000000003</v>
      </c>
      <c r="T16" s="13">
        <f>SUMIF(Mercado_Receita!$S$2:$S$1156,"44835B1BrancaResidencialResidencialNão se aplicaNão se aplicaFora ponta",Mercado_Receita!$L$2:$L$1156)</f>
        <v>46.279000000000003</v>
      </c>
      <c r="U16" s="13">
        <f t="shared" si="0"/>
        <v>583.55899999999997</v>
      </c>
      <c r="V16" s="13"/>
      <c r="W16" s="13"/>
    </row>
    <row r="17" spans="1:23" ht="11.25" customHeight="1" x14ac:dyDescent="0.25">
      <c r="A17" s="93"/>
      <c r="B17" s="92" t="s">
        <v>23</v>
      </c>
      <c r="C17" s="92" t="s">
        <v>24</v>
      </c>
      <c r="D17" s="12" t="s">
        <v>24</v>
      </c>
      <c r="E17" s="12" t="s">
        <v>25</v>
      </c>
      <c r="F17" s="12" t="s">
        <v>25</v>
      </c>
      <c r="G17" s="13" t="s">
        <v>76</v>
      </c>
      <c r="H17" s="13" t="s">
        <v>72</v>
      </c>
      <c r="I17" s="13">
        <f>SUMIF(Mercado_Receita!$S$2:$S$1156,"44501B1ConvencionalResidencialResidencialNão se aplicaNão se aplicaPonta",Mercado_Receita!$L$2:$L$1156)+SUMIF(Mercado_Receita!$S$2:$S$1156,"44501B1ConvencionalResidencialResidencialNão se aplicaNão se aplicaFora ponta",Mercado_Receita!$L$2:$L$1156)+SUMIF(Mercado_Receita!$S$2:$S$1156,"44501B1ConvencionalResidencialResidencialNão se aplicaNão se aplicaIntermediário",Mercado_Receita!$L$2:$L$1156)+SUMIF(Mercado_Receita!$S$2:$S$1156,"44501B1ConvencionalResidencialResidencialNão se aplicaNão se aplicaNão se aplica",Mercado_Receita!$L$2:$L$1156)</f>
        <v>49404.879000000001</v>
      </c>
      <c r="J17" s="13">
        <f>SUMIF(Mercado_Receita!$S$2:$S$1156,"44531B1ConvencionalResidencialResidencialNão se aplicaNão se aplicaPonta",Mercado_Receita!$L$2:$L$1156)+SUMIF(Mercado_Receita!$S$2:$S$1156,"44531B1ConvencionalResidencialResidencialNão se aplicaNão se aplicaFora ponta",Mercado_Receita!$L$2:$L$1156)+SUMIF(Mercado_Receita!$S$2:$S$1156,"44531B1ConvencionalResidencialResidencialNão se aplicaNão se aplicaIntermediário",Mercado_Receita!$L$2:$L$1156)+SUMIF(Mercado_Receita!$S$2:$S$1156,"44531B1ConvencionalResidencialResidencialNão se aplicaNão se aplicaNão se aplica",Mercado_Receita!$L$2:$L$1156)</f>
        <v>46105.849000000002</v>
      </c>
      <c r="K17" s="13">
        <f>SUMIF(Mercado_Receita!$S$2:$S$1156,"44562B1ConvencionalResidencialResidencialNão se aplicaNão se aplicaPonta",Mercado_Receita!$L$2:$L$1156)+SUMIF(Mercado_Receita!$S$2:$S$1156,"44562B1ConvencionalResidencialResidencialNão se aplicaNão se aplicaFora ponta",Mercado_Receita!$L$2:$L$1156)+SUMIF(Mercado_Receita!$S$2:$S$1156,"44562B1ConvencionalResidencialResidencialNão se aplicaNão se aplicaIntermediário",Mercado_Receita!$L$2:$L$1156)+SUMIF(Mercado_Receita!$S$2:$S$1156,"44562B1ConvencionalResidencialResidencialNão se aplicaNão se aplicaNão se aplica",Mercado_Receita!$L$2:$L$1156)</f>
        <v>42632.803</v>
      </c>
      <c r="L17" s="13">
        <f>SUMIF(Mercado_Receita!$S$2:$S$1156,"44593B1ConvencionalResidencialResidencialNão se aplicaNão se aplicaPonta",Mercado_Receita!$L$2:$L$1156)+SUMIF(Mercado_Receita!$S$2:$S$1156,"44593B1ConvencionalResidencialResidencialNão se aplicaNão se aplicaFora ponta",Mercado_Receita!$L$2:$L$1156)+SUMIF(Mercado_Receita!$S$2:$S$1156,"44593B1ConvencionalResidencialResidencialNão se aplicaNão se aplicaIntermediário",Mercado_Receita!$L$2:$L$1156)+SUMIF(Mercado_Receita!$S$2:$S$1156,"44593B1ConvencionalResidencialResidencialNão se aplicaNão se aplicaNão se aplica",Mercado_Receita!$L$2:$L$1156)</f>
        <v>44464.398000000001</v>
      </c>
      <c r="M17" s="13">
        <f>SUMIF(Mercado_Receita!$S$2:$S$1156,"44621B1ConvencionalResidencialResidencialNão se aplicaNão se aplicaPonta",Mercado_Receita!$L$2:$L$1156)+SUMIF(Mercado_Receita!$S$2:$S$1156,"44621B1ConvencionalResidencialResidencialNão se aplicaNão se aplicaFora ponta",Mercado_Receita!$L$2:$L$1156)+SUMIF(Mercado_Receita!$S$2:$S$1156,"44621B1ConvencionalResidencialResidencialNão se aplicaNão se aplicaIntermediário",Mercado_Receita!$L$2:$L$1156)+SUMIF(Mercado_Receita!$S$2:$S$1156,"44621B1ConvencionalResidencialResidencialNão se aplicaNão se aplicaNão se aplica",Mercado_Receita!$L$2:$L$1156)</f>
        <v>44524.876000000004</v>
      </c>
      <c r="N17" s="13">
        <f>SUMIF(Mercado_Receita!$S$2:$S$1156,"44652B1ConvencionalResidencialResidencialNão se aplicaNão se aplicaPonta",Mercado_Receita!$L$2:$L$1156)+SUMIF(Mercado_Receita!$S$2:$S$1156,"44652B1ConvencionalResidencialResidencialNão se aplicaNão se aplicaFora ponta",Mercado_Receita!$L$2:$L$1156)+SUMIF(Mercado_Receita!$S$2:$S$1156,"44652B1ConvencionalResidencialResidencialNão se aplicaNão se aplicaIntermediário",Mercado_Receita!$L$2:$L$1156)+SUMIF(Mercado_Receita!$S$2:$S$1156,"44652B1ConvencionalResidencialResidencialNão se aplicaNão se aplicaNão se aplica",Mercado_Receita!$L$2:$L$1156)</f>
        <v>44524.876000000004</v>
      </c>
      <c r="O17" s="13">
        <f>SUMIF(Mercado_Receita!$S$2:$S$1156,"44682B1ConvencionalResidencialResidencialNão se aplicaNão se aplicaPonta",Mercado_Receita!$L$2:$L$1156)+SUMIF(Mercado_Receita!$S$2:$S$1156,"44682B1ConvencionalResidencialResidencialNão se aplicaNão se aplicaFora ponta",Mercado_Receita!$L$2:$L$1156)+SUMIF(Mercado_Receita!$S$2:$S$1156,"44682B1ConvencionalResidencialResidencialNão se aplicaNão se aplicaIntermediário",Mercado_Receita!$L$2:$L$1156)+SUMIF(Mercado_Receita!$S$2:$S$1156,"44682B1ConvencionalResidencialResidencialNão se aplicaNão se aplicaNão se aplica",Mercado_Receita!$L$2:$L$1156)</f>
        <v>41031.549999999996</v>
      </c>
      <c r="P17" s="13">
        <f>SUMIF(Mercado_Receita!$S$2:$S$1156,"44713B1ConvencionalResidencialResidencialNão se aplicaNão se aplicaPonta",Mercado_Receita!$L$2:$L$1156)+SUMIF(Mercado_Receita!$S$2:$S$1156,"44713B1ConvencionalResidencialResidencialNão se aplicaNão se aplicaFora ponta",Mercado_Receita!$L$2:$L$1156)+SUMIF(Mercado_Receita!$S$2:$S$1156,"44713B1ConvencionalResidencialResidencialNão se aplicaNão se aplicaIntermediário",Mercado_Receita!$L$2:$L$1156)+SUMIF(Mercado_Receita!$S$2:$S$1156,"44713B1ConvencionalResidencialResidencialNão se aplicaNão se aplicaNão se aplica",Mercado_Receita!$L$2:$L$1156)</f>
        <v>38138.46</v>
      </c>
      <c r="Q17" s="13">
        <f>SUMIF(Mercado_Receita!$S$2:$S$1156,"44743B1ConvencionalResidencialResidencialNão se aplicaNão se aplicaPonta",Mercado_Receita!$L$2:$L$1156)+SUMIF(Mercado_Receita!$S$2:$S$1156,"44743B1ConvencionalResidencialResidencialNão se aplicaNão se aplicaFora ponta",Mercado_Receita!$L$2:$L$1156)+SUMIF(Mercado_Receita!$S$2:$S$1156,"44743B1ConvencionalResidencialResidencialNão se aplicaNão se aplicaIntermediário",Mercado_Receita!$L$2:$L$1156)+SUMIF(Mercado_Receita!$S$2:$S$1156,"44743B1ConvencionalResidencialResidencialNão se aplicaNão se aplicaNão se aplica",Mercado_Receita!$L$2:$L$1156)</f>
        <v>38127.534999999996</v>
      </c>
      <c r="R17" s="13">
        <f>SUMIF(Mercado_Receita!$S$2:$S$1156,"44774B1ConvencionalResidencialResidencialNão se aplicaNão se aplicaPonta",Mercado_Receita!$L$2:$L$1156)+SUMIF(Mercado_Receita!$S$2:$S$1156,"44774B1ConvencionalResidencialResidencialNão se aplicaNão se aplicaFora ponta",Mercado_Receita!$L$2:$L$1156)+SUMIF(Mercado_Receita!$S$2:$S$1156,"44774B1ConvencionalResidencialResidencialNão se aplicaNão se aplicaIntermediário",Mercado_Receita!$L$2:$L$1156)+SUMIF(Mercado_Receita!$S$2:$S$1156,"44774B1ConvencionalResidencialResidencialNão se aplicaNão se aplicaNão se aplica",Mercado_Receita!$L$2:$L$1156)</f>
        <v>45071.158999999992</v>
      </c>
      <c r="S17" s="13">
        <f>SUMIF(Mercado_Receita!$S$2:$S$1156,"44805B1ConvencionalResidencialResidencialNão se aplicaNão se aplicaPonta",Mercado_Receita!$L$2:$L$1156)+SUMIF(Mercado_Receita!$S$2:$S$1156,"44805B1ConvencionalResidencialResidencialNão se aplicaNão se aplicaFora ponta",Mercado_Receita!$L$2:$L$1156)+SUMIF(Mercado_Receita!$S$2:$S$1156,"44805B1ConvencionalResidencialResidencialNão se aplicaNão se aplicaIntermediário",Mercado_Receita!$L$2:$L$1156)+SUMIF(Mercado_Receita!$S$2:$S$1156,"44805B1ConvencionalResidencialResidencialNão se aplicaNão se aplicaNão se aplica",Mercado_Receita!$L$2:$L$1156)</f>
        <v>46398.029000000002</v>
      </c>
      <c r="T17" s="13">
        <f>SUMIF(Mercado_Receita!$S$2:$S$1156,"44835B1ConvencionalResidencialResidencialNão se aplicaNão se aplicaPonta",Mercado_Receita!$L$2:$L$1156)+SUMIF(Mercado_Receita!$S$2:$S$1156,"44835B1ConvencionalResidencialResidencialNão se aplicaNão se aplicaFora ponta",Mercado_Receita!$L$2:$L$1156)+SUMIF(Mercado_Receita!$S$2:$S$1156,"44835B1ConvencionalResidencialResidencialNão se aplicaNão se aplicaIntermediário",Mercado_Receita!$L$2:$L$1156)+SUMIF(Mercado_Receita!$S$2:$S$1156,"44835B1ConvencionalResidencialResidencialNão se aplicaNão se aplicaNão se aplica",Mercado_Receita!$L$2:$L$1156)</f>
        <v>46398.029000000002</v>
      </c>
      <c r="U17" s="13">
        <f t="shared" si="0"/>
        <v>526822.44299999997</v>
      </c>
      <c r="V17" s="13"/>
      <c r="W17" s="13"/>
    </row>
    <row r="18" spans="1:23" ht="11.25" customHeight="1" x14ac:dyDescent="0.25">
      <c r="A18" s="93"/>
      <c r="B18" s="93"/>
      <c r="C18" s="93"/>
      <c r="D18" s="12" t="s">
        <v>29</v>
      </c>
      <c r="E18" s="12" t="s">
        <v>25</v>
      </c>
      <c r="F18" s="12" t="s">
        <v>25</v>
      </c>
      <c r="G18" s="13" t="s">
        <v>76</v>
      </c>
      <c r="H18" s="13" t="s">
        <v>72</v>
      </c>
      <c r="I18" s="13">
        <f>SUMIF(Mercado_Receita!$S$2:$S$1156,"44501B1ConvencionalResidencialResidencial baixa renda – faixa 01Não se aplicaNão se aplicaPonta",Mercado_Receita!$L$2:$L$1156)+SUMIF(Mercado_Receita!$S$2:$S$1156,"44501B1ConvencionalResidencialResidencial baixa renda – faixa 01Não se aplicaNão se aplicaFora ponta",Mercado_Receita!$L$2:$L$1156)+SUMIF(Mercado_Receita!$S$2:$S$1156,"44501B1ConvencionalResidencialResidencial baixa renda – faixa 01Não se aplicaNão se aplicaIntermediário",Mercado_Receita!$L$2:$L$1156)+SUMIF(Mercado_Receita!$S$2:$S$1156,"44501B1ConvencionalResidencialResidencial baixa renda – faixa 01Não se aplicaNão se aplicaNão se aplica",Mercado_Receita!$L$2:$L$1156)</f>
        <v>823.23400000000004</v>
      </c>
      <c r="J18" s="13">
        <f>SUMIF(Mercado_Receita!$S$2:$S$1156,"44531B1ConvencionalResidencialResidencial baixa renda – faixa 01Não se aplicaNão se aplicaPonta",Mercado_Receita!$L$2:$L$1156)+SUMIF(Mercado_Receita!$S$2:$S$1156,"44531B1ConvencionalResidencialResidencial baixa renda – faixa 01Não se aplicaNão se aplicaFora ponta",Mercado_Receita!$L$2:$L$1156)+SUMIF(Mercado_Receita!$S$2:$S$1156,"44531B1ConvencionalResidencialResidencial baixa renda – faixa 01Não se aplicaNão se aplicaIntermediário",Mercado_Receita!$L$2:$L$1156)+SUMIF(Mercado_Receita!$S$2:$S$1156,"44531B1ConvencionalResidencialResidencial baixa renda – faixa 01Não se aplicaNão se aplicaNão se aplica",Mercado_Receita!$L$2:$L$1156)</f>
        <v>827.75900000000001</v>
      </c>
      <c r="K18" s="13">
        <f>SUMIF(Mercado_Receita!$S$2:$S$1156,"44562B1ConvencionalResidencialResidencial baixa renda – faixa 01Não se aplicaNão se aplicaPonta",Mercado_Receita!$L$2:$L$1156)+SUMIF(Mercado_Receita!$S$2:$S$1156,"44562B1ConvencionalResidencialResidencial baixa renda – faixa 01Não se aplicaNão se aplicaFora ponta",Mercado_Receita!$L$2:$L$1156)+SUMIF(Mercado_Receita!$S$2:$S$1156,"44562B1ConvencionalResidencialResidencial baixa renda – faixa 01Não se aplicaNão se aplicaIntermediário",Mercado_Receita!$L$2:$L$1156)+SUMIF(Mercado_Receita!$S$2:$S$1156,"44562B1ConvencionalResidencialResidencial baixa renda – faixa 01Não se aplicaNão se aplicaNão se aplica",Mercado_Receita!$L$2:$L$1156)</f>
        <v>837.77499999999998</v>
      </c>
      <c r="L18" s="13">
        <f>SUMIF(Mercado_Receita!$S$2:$S$1156,"44593B1ConvencionalResidencialResidencial baixa renda – faixa 01Não se aplicaNão se aplicaPonta",Mercado_Receita!$L$2:$L$1156)+SUMIF(Mercado_Receita!$S$2:$S$1156,"44593B1ConvencionalResidencialResidencial baixa renda – faixa 01Não se aplicaNão se aplicaFora ponta",Mercado_Receita!$L$2:$L$1156)+SUMIF(Mercado_Receita!$S$2:$S$1156,"44593B1ConvencionalResidencialResidencial baixa renda – faixa 01Não se aplicaNão se aplicaIntermediário",Mercado_Receita!$L$2:$L$1156)+SUMIF(Mercado_Receita!$S$2:$S$1156,"44593B1ConvencionalResidencialResidencial baixa renda – faixa 01Não se aplicaNão se aplicaNão se aplica",Mercado_Receita!$L$2:$L$1156)</f>
        <v>848.30499999999995</v>
      </c>
      <c r="M18" s="13">
        <f>SUMIF(Mercado_Receita!$S$2:$S$1156,"44621B1ConvencionalResidencialResidencial baixa renda – faixa 01Não se aplicaNão se aplicaPonta",Mercado_Receita!$L$2:$L$1156)+SUMIF(Mercado_Receita!$S$2:$S$1156,"44621B1ConvencionalResidencialResidencial baixa renda – faixa 01Não se aplicaNão se aplicaFora ponta",Mercado_Receita!$L$2:$L$1156)+SUMIF(Mercado_Receita!$S$2:$S$1156,"44621B1ConvencionalResidencialResidencial baixa renda – faixa 01Não se aplicaNão se aplicaIntermediário",Mercado_Receita!$L$2:$L$1156)+SUMIF(Mercado_Receita!$S$2:$S$1156,"44621B1ConvencionalResidencialResidencial baixa renda – faixa 01Não se aplicaNão se aplicaNão se aplica",Mercado_Receita!$L$2:$L$1156)</f>
        <v>866.26</v>
      </c>
      <c r="N18" s="13">
        <f>SUMIF(Mercado_Receita!$S$2:$S$1156,"44652B1ConvencionalResidencialResidencial baixa renda – faixa 01Não se aplicaNão se aplicaPonta",Mercado_Receita!$L$2:$L$1156)+SUMIF(Mercado_Receita!$S$2:$S$1156,"44652B1ConvencionalResidencialResidencial baixa renda – faixa 01Não se aplicaNão se aplicaFora ponta",Mercado_Receita!$L$2:$L$1156)+SUMIF(Mercado_Receita!$S$2:$S$1156,"44652B1ConvencionalResidencialResidencial baixa renda – faixa 01Não se aplicaNão se aplicaIntermediário",Mercado_Receita!$L$2:$L$1156)+SUMIF(Mercado_Receita!$S$2:$S$1156,"44652B1ConvencionalResidencialResidencial baixa renda – faixa 01Não se aplicaNão se aplicaNão se aplica",Mercado_Receita!$L$2:$L$1156)</f>
        <v>866.26</v>
      </c>
      <c r="O18" s="13">
        <f>SUMIF(Mercado_Receita!$S$2:$S$1156,"44682B1ConvencionalResidencialResidencial baixa renda – faixa 01Não se aplicaNão se aplicaPonta",Mercado_Receita!$L$2:$L$1156)+SUMIF(Mercado_Receita!$S$2:$S$1156,"44682B1ConvencionalResidencialResidencial baixa renda – faixa 01Não se aplicaNão se aplicaFora ponta",Mercado_Receita!$L$2:$L$1156)+SUMIF(Mercado_Receita!$S$2:$S$1156,"44682B1ConvencionalResidencialResidencial baixa renda – faixa 01Não se aplicaNão se aplicaIntermediário",Mercado_Receita!$L$2:$L$1156)+SUMIF(Mercado_Receita!$S$2:$S$1156,"44682B1ConvencionalResidencialResidencial baixa renda – faixa 01Não se aplicaNão se aplicaNão se aplica",Mercado_Receita!$L$2:$L$1156)</f>
        <v>872.05600000000004</v>
      </c>
      <c r="P18" s="13">
        <f>SUMIF(Mercado_Receita!$S$2:$S$1156,"44713B1ConvencionalResidencialResidencial baixa renda – faixa 01Não se aplicaNão se aplicaPonta",Mercado_Receita!$L$2:$L$1156)+SUMIF(Mercado_Receita!$S$2:$S$1156,"44713B1ConvencionalResidencialResidencial baixa renda – faixa 01Não se aplicaNão se aplicaFora ponta",Mercado_Receita!$L$2:$L$1156)+SUMIF(Mercado_Receita!$S$2:$S$1156,"44713B1ConvencionalResidencialResidencial baixa renda – faixa 01Não se aplicaNão se aplicaIntermediário",Mercado_Receita!$L$2:$L$1156)+SUMIF(Mercado_Receita!$S$2:$S$1156,"44713B1ConvencionalResidencialResidencial baixa renda – faixa 01Não se aplicaNão se aplicaNão se aplica",Mercado_Receita!$L$2:$L$1156)</f>
        <v>882.09500000000003</v>
      </c>
      <c r="Q18" s="13">
        <f>SUMIF(Mercado_Receita!$S$2:$S$1156,"44743B1ConvencionalResidencialResidencial baixa renda – faixa 01Não se aplicaNão se aplicaPonta",Mercado_Receita!$L$2:$L$1156)+SUMIF(Mercado_Receita!$S$2:$S$1156,"44743B1ConvencionalResidencialResidencial baixa renda – faixa 01Não se aplicaNão se aplicaFora ponta",Mercado_Receita!$L$2:$L$1156)+SUMIF(Mercado_Receita!$S$2:$S$1156,"44743B1ConvencionalResidencialResidencial baixa renda – faixa 01Não se aplicaNão se aplicaIntermediário",Mercado_Receita!$L$2:$L$1156)+SUMIF(Mercado_Receita!$S$2:$S$1156,"44743B1ConvencionalResidencialResidencial baixa renda – faixa 01Não se aplicaNão se aplicaNão se aplica",Mercado_Receita!$L$2:$L$1156)</f>
        <v>883.94099999999992</v>
      </c>
      <c r="R18" s="13">
        <f>SUMIF(Mercado_Receita!$S$2:$S$1156,"44774B1ConvencionalResidencialResidencial baixa renda – faixa 01Não se aplicaNão se aplicaPonta",Mercado_Receita!$L$2:$L$1156)+SUMIF(Mercado_Receita!$S$2:$S$1156,"44774B1ConvencionalResidencialResidencial baixa renda – faixa 01Não se aplicaNão se aplicaFora ponta",Mercado_Receita!$L$2:$L$1156)+SUMIF(Mercado_Receita!$S$2:$S$1156,"44774B1ConvencionalResidencialResidencial baixa renda – faixa 01Não se aplicaNão se aplicaIntermediário",Mercado_Receita!$L$2:$L$1156)+SUMIF(Mercado_Receita!$S$2:$S$1156,"44774B1ConvencionalResidencialResidencial baixa renda – faixa 01Não se aplicaNão se aplicaNão se aplica",Mercado_Receita!$L$2:$L$1156)</f>
        <v>893.77</v>
      </c>
      <c r="S18" s="13">
        <f>SUMIF(Mercado_Receita!$S$2:$S$1156,"44805B1ConvencionalResidencialResidencial baixa renda – faixa 01Não se aplicaNão se aplicaPonta",Mercado_Receita!$L$2:$L$1156)+SUMIF(Mercado_Receita!$S$2:$S$1156,"44805B1ConvencionalResidencialResidencial baixa renda – faixa 01Não se aplicaNão se aplicaFora ponta",Mercado_Receita!$L$2:$L$1156)+SUMIF(Mercado_Receita!$S$2:$S$1156,"44805B1ConvencionalResidencialResidencial baixa renda – faixa 01Não se aplicaNão se aplicaIntermediário",Mercado_Receita!$L$2:$L$1156)+SUMIF(Mercado_Receita!$S$2:$S$1156,"44805B1ConvencionalResidencialResidencial baixa renda – faixa 01Não se aplicaNão se aplicaNão se aplica",Mercado_Receita!$L$2:$L$1156)</f>
        <v>899.80600000000004</v>
      </c>
      <c r="T18" s="13">
        <f>SUMIF(Mercado_Receita!$S$2:$S$1156,"44835B1ConvencionalResidencialResidencial baixa renda – faixa 01Não se aplicaNão se aplicaPonta",Mercado_Receita!$L$2:$L$1156)+SUMIF(Mercado_Receita!$S$2:$S$1156,"44835B1ConvencionalResidencialResidencial baixa renda – faixa 01Não se aplicaNão se aplicaFora ponta",Mercado_Receita!$L$2:$L$1156)+SUMIF(Mercado_Receita!$S$2:$S$1156,"44835B1ConvencionalResidencialResidencial baixa renda – faixa 01Não se aplicaNão se aplicaIntermediário",Mercado_Receita!$L$2:$L$1156)+SUMIF(Mercado_Receita!$S$2:$S$1156,"44835B1ConvencionalResidencialResidencial baixa renda – faixa 01Não se aplicaNão se aplicaNão se aplica",Mercado_Receita!$L$2:$L$1156)</f>
        <v>899.80600000000004</v>
      </c>
      <c r="U18" s="13">
        <f t="shared" si="0"/>
        <v>10401.067000000001</v>
      </c>
      <c r="V18" s="13"/>
      <c r="W18" s="13"/>
    </row>
    <row r="19" spans="1:23" ht="11.25" customHeight="1" x14ac:dyDescent="0.25">
      <c r="A19" s="93"/>
      <c r="B19" s="93"/>
      <c r="C19" s="93"/>
      <c r="D19" s="12" t="s">
        <v>30</v>
      </c>
      <c r="E19" s="12" t="s">
        <v>25</v>
      </c>
      <c r="F19" s="12" t="s">
        <v>25</v>
      </c>
      <c r="G19" s="13" t="s">
        <v>76</v>
      </c>
      <c r="H19" s="13" t="s">
        <v>72</v>
      </c>
      <c r="I19" s="13">
        <f>SUMIF(Mercado_Receita!$S$2:$S$1156,"44501B1ConvencionalResidencialResidencial baixa renda – faixa 02Não se aplicaNão se aplicaPonta",Mercado_Receita!$L$2:$L$1156)+SUMIF(Mercado_Receita!$S$2:$S$1156,"44501B1ConvencionalResidencialResidencial baixa renda – faixa 02Não se aplicaNão se aplicaFora ponta",Mercado_Receita!$L$2:$L$1156)+SUMIF(Mercado_Receita!$S$2:$S$1156,"44501B1ConvencionalResidencialResidencial baixa renda – faixa 02Não se aplicaNão se aplicaIntermediário",Mercado_Receita!$L$2:$L$1156)+SUMIF(Mercado_Receita!$S$2:$S$1156,"44501B1ConvencionalResidencialResidencial baixa renda – faixa 02Não se aplicaNão se aplicaNão se aplica",Mercado_Receita!$L$2:$L$1156)</f>
        <v>1729.473</v>
      </c>
      <c r="J19" s="13">
        <f>SUMIF(Mercado_Receita!$S$2:$S$1156,"44531B1ConvencionalResidencialResidencial baixa renda – faixa 02Não se aplicaNão se aplicaPonta",Mercado_Receita!$L$2:$L$1156)+SUMIF(Mercado_Receita!$S$2:$S$1156,"44531B1ConvencionalResidencialResidencial baixa renda – faixa 02Não se aplicaNão se aplicaFora ponta",Mercado_Receita!$L$2:$L$1156)+SUMIF(Mercado_Receita!$S$2:$S$1156,"44531B1ConvencionalResidencialResidencial baixa renda – faixa 02Não se aplicaNão se aplicaIntermediário",Mercado_Receita!$L$2:$L$1156)+SUMIF(Mercado_Receita!$S$2:$S$1156,"44531B1ConvencionalResidencialResidencial baixa renda – faixa 02Não se aplicaNão se aplicaNão se aplica",Mercado_Receita!$L$2:$L$1156)</f>
        <v>1730.4079999999999</v>
      </c>
      <c r="K19" s="13">
        <f>SUMIF(Mercado_Receita!$S$2:$S$1156,"44562B1ConvencionalResidencialResidencial baixa renda – faixa 02Não se aplicaNão se aplicaPonta",Mercado_Receita!$L$2:$L$1156)+SUMIF(Mercado_Receita!$S$2:$S$1156,"44562B1ConvencionalResidencialResidencial baixa renda – faixa 02Não se aplicaNão se aplicaFora ponta",Mercado_Receita!$L$2:$L$1156)+SUMIF(Mercado_Receita!$S$2:$S$1156,"44562B1ConvencionalResidencialResidencial baixa renda – faixa 02Não se aplicaNão se aplicaIntermediário",Mercado_Receita!$L$2:$L$1156)+SUMIF(Mercado_Receita!$S$2:$S$1156,"44562B1ConvencionalResidencialResidencial baixa renda – faixa 02Não se aplicaNão se aplicaNão se aplica",Mercado_Receita!$L$2:$L$1156)</f>
        <v>1734.9560000000001</v>
      </c>
      <c r="L19" s="13">
        <f>SUMIF(Mercado_Receita!$S$2:$S$1156,"44593B1ConvencionalResidencialResidencial baixa renda – faixa 02Não se aplicaNão se aplicaPonta",Mercado_Receita!$L$2:$L$1156)+SUMIF(Mercado_Receita!$S$2:$S$1156,"44593B1ConvencionalResidencialResidencial baixa renda – faixa 02Não se aplicaNão se aplicaFora ponta",Mercado_Receita!$L$2:$L$1156)+SUMIF(Mercado_Receita!$S$2:$S$1156,"44593B1ConvencionalResidencialResidencial baixa renda – faixa 02Não se aplicaNão se aplicaIntermediário",Mercado_Receita!$L$2:$L$1156)+SUMIF(Mercado_Receita!$S$2:$S$1156,"44593B1ConvencionalResidencialResidencial baixa renda – faixa 02Não se aplicaNão se aplicaNão se aplica",Mercado_Receita!$L$2:$L$1156)</f>
        <v>1760.6129999999998</v>
      </c>
      <c r="M19" s="13">
        <f>SUMIF(Mercado_Receita!$S$2:$S$1156,"44621B1ConvencionalResidencialResidencial baixa renda – faixa 02Não se aplicaNão se aplicaPonta",Mercado_Receita!$L$2:$L$1156)+SUMIF(Mercado_Receita!$S$2:$S$1156,"44621B1ConvencionalResidencialResidencial baixa renda – faixa 02Não se aplicaNão se aplicaFora ponta",Mercado_Receita!$L$2:$L$1156)+SUMIF(Mercado_Receita!$S$2:$S$1156,"44621B1ConvencionalResidencialResidencial baixa renda – faixa 02Não se aplicaNão se aplicaIntermediário",Mercado_Receita!$L$2:$L$1156)+SUMIF(Mercado_Receita!$S$2:$S$1156,"44621B1ConvencionalResidencialResidencial baixa renda – faixa 02Não se aplicaNão se aplicaNão se aplica",Mercado_Receita!$L$2:$L$1156)</f>
        <v>1807.587</v>
      </c>
      <c r="N19" s="13">
        <f>SUMIF(Mercado_Receita!$S$2:$S$1156,"44652B1ConvencionalResidencialResidencial baixa renda – faixa 02Não se aplicaNão se aplicaPonta",Mercado_Receita!$L$2:$L$1156)+SUMIF(Mercado_Receita!$S$2:$S$1156,"44652B1ConvencionalResidencialResidencial baixa renda – faixa 02Não se aplicaNão se aplicaFora ponta",Mercado_Receita!$L$2:$L$1156)+SUMIF(Mercado_Receita!$S$2:$S$1156,"44652B1ConvencionalResidencialResidencial baixa renda – faixa 02Não se aplicaNão se aplicaIntermediário",Mercado_Receita!$L$2:$L$1156)+SUMIF(Mercado_Receita!$S$2:$S$1156,"44652B1ConvencionalResidencialResidencial baixa renda – faixa 02Não se aplicaNão se aplicaNão se aplica",Mercado_Receita!$L$2:$L$1156)</f>
        <v>1807.587</v>
      </c>
      <c r="O19" s="13">
        <f>SUMIF(Mercado_Receita!$S$2:$S$1156,"44682B1ConvencionalResidencialResidencial baixa renda – faixa 02Não se aplicaNão se aplicaPonta",Mercado_Receita!$L$2:$L$1156)+SUMIF(Mercado_Receita!$S$2:$S$1156,"44682B1ConvencionalResidencialResidencial baixa renda – faixa 02Não se aplicaNão se aplicaFora ponta",Mercado_Receita!$L$2:$L$1156)+SUMIF(Mercado_Receita!$S$2:$S$1156,"44682B1ConvencionalResidencialResidencial baixa renda – faixa 02Não se aplicaNão se aplicaIntermediário",Mercado_Receita!$L$2:$L$1156)+SUMIF(Mercado_Receita!$S$2:$S$1156,"44682B1ConvencionalResidencialResidencial baixa renda – faixa 02Não se aplicaNão se aplicaNão se aplica",Mercado_Receita!$L$2:$L$1156)</f>
        <v>1802.145</v>
      </c>
      <c r="P19" s="13">
        <f>SUMIF(Mercado_Receita!$S$2:$S$1156,"44713B1ConvencionalResidencialResidencial baixa renda – faixa 02Não se aplicaNão se aplicaPonta",Mercado_Receita!$L$2:$L$1156)+SUMIF(Mercado_Receita!$S$2:$S$1156,"44713B1ConvencionalResidencialResidencial baixa renda – faixa 02Não se aplicaNão se aplicaFora ponta",Mercado_Receita!$L$2:$L$1156)+SUMIF(Mercado_Receita!$S$2:$S$1156,"44713B1ConvencionalResidencialResidencial baixa renda – faixa 02Não se aplicaNão se aplicaIntermediário",Mercado_Receita!$L$2:$L$1156)+SUMIF(Mercado_Receita!$S$2:$S$1156,"44713B1ConvencionalResidencialResidencial baixa renda – faixa 02Não se aplicaNão se aplicaNão se aplica",Mercado_Receita!$L$2:$L$1156)</f>
        <v>1820.5260000000001</v>
      </c>
      <c r="Q19" s="13">
        <f>SUMIF(Mercado_Receita!$S$2:$S$1156,"44743B1ConvencionalResidencialResidencial baixa renda – faixa 02Não se aplicaNão se aplicaPonta",Mercado_Receita!$L$2:$L$1156)+SUMIF(Mercado_Receita!$S$2:$S$1156,"44743B1ConvencionalResidencialResidencial baixa renda – faixa 02Não se aplicaNão se aplicaFora ponta",Mercado_Receita!$L$2:$L$1156)+SUMIF(Mercado_Receita!$S$2:$S$1156,"44743B1ConvencionalResidencialResidencial baixa renda – faixa 02Não se aplicaNão se aplicaIntermediário",Mercado_Receita!$L$2:$L$1156)+SUMIF(Mercado_Receita!$S$2:$S$1156,"44743B1ConvencionalResidencialResidencial baixa renda – faixa 02Não se aplicaNão se aplicaNão se aplica",Mercado_Receita!$L$2:$L$1156)</f>
        <v>1813.7339999999999</v>
      </c>
      <c r="R19" s="13">
        <f>SUMIF(Mercado_Receita!$S$2:$S$1156,"44774B1ConvencionalResidencialResidencial baixa renda – faixa 02Não se aplicaNão se aplicaPonta",Mercado_Receita!$L$2:$L$1156)+SUMIF(Mercado_Receita!$S$2:$S$1156,"44774B1ConvencionalResidencialResidencial baixa renda – faixa 02Não se aplicaNão se aplicaFora ponta",Mercado_Receita!$L$2:$L$1156)+SUMIF(Mercado_Receita!$S$2:$S$1156,"44774B1ConvencionalResidencialResidencial baixa renda – faixa 02Não se aplicaNão se aplicaIntermediário",Mercado_Receita!$L$2:$L$1156)+SUMIF(Mercado_Receita!$S$2:$S$1156,"44774B1ConvencionalResidencialResidencial baixa renda – faixa 02Não se aplicaNão se aplicaNão se aplica",Mercado_Receita!$L$2:$L$1156)</f>
        <v>1855.2800000000002</v>
      </c>
      <c r="S19" s="13">
        <f>SUMIF(Mercado_Receita!$S$2:$S$1156,"44805B1ConvencionalResidencialResidencial baixa renda – faixa 02Não se aplicaNão se aplicaPonta",Mercado_Receita!$L$2:$L$1156)+SUMIF(Mercado_Receita!$S$2:$S$1156,"44805B1ConvencionalResidencialResidencial baixa renda – faixa 02Não se aplicaNão se aplicaFora ponta",Mercado_Receita!$L$2:$L$1156)+SUMIF(Mercado_Receita!$S$2:$S$1156,"44805B1ConvencionalResidencialResidencial baixa renda – faixa 02Não se aplicaNão se aplicaIntermediário",Mercado_Receita!$L$2:$L$1156)+SUMIF(Mercado_Receita!$S$2:$S$1156,"44805B1ConvencionalResidencialResidencial baixa renda – faixa 02Não se aplicaNão se aplicaNão se aplica",Mercado_Receita!$L$2:$L$1156)</f>
        <v>1857.4969999999998</v>
      </c>
      <c r="T19" s="13">
        <f>SUMIF(Mercado_Receita!$S$2:$S$1156,"44835B1ConvencionalResidencialResidencial baixa renda – faixa 02Não se aplicaNão se aplicaPonta",Mercado_Receita!$L$2:$L$1156)+SUMIF(Mercado_Receita!$S$2:$S$1156,"44835B1ConvencionalResidencialResidencial baixa renda – faixa 02Não se aplicaNão se aplicaFora ponta",Mercado_Receita!$L$2:$L$1156)+SUMIF(Mercado_Receita!$S$2:$S$1156,"44835B1ConvencionalResidencialResidencial baixa renda – faixa 02Não se aplicaNão se aplicaIntermediário",Mercado_Receita!$L$2:$L$1156)+SUMIF(Mercado_Receita!$S$2:$S$1156,"44835B1ConvencionalResidencialResidencial baixa renda – faixa 02Não se aplicaNão se aplicaNão se aplica",Mercado_Receita!$L$2:$L$1156)</f>
        <v>1857.4969999999998</v>
      </c>
      <c r="U19" s="13">
        <f t="shared" si="0"/>
        <v>21577.302999999996</v>
      </c>
      <c r="V19" s="13"/>
      <c r="W19" s="13"/>
    </row>
    <row r="20" spans="1:23" ht="11.25" customHeight="1" x14ac:dyDescent="0.25">
      <c r="A20" s="93"/>
      <c r="B20" s="93"/>
      <c r="C20" s="93"/>
      <c r="D20" s="12" t="s">
        <v>31</v>
      </c>
      <c r="E20" s="12" t="s">
        <v>25</v>
      </c>
      <c r="F20" s="12" t="s">
        <v>25</v>
      </c>
      <c r="G20" s="13" t="s">
        <v>76</v>
      </c>
      <c r="H20" s="13" t="s">
        <v>72</v>
      </c>
      <c r="I20" s="13">
        <f>SUMIF(Mercado_Receita!$S$2:$S$1156,"44501B1ConvencionalResidencialResidencial baixa renda – faixa 03Não se aplicaNão se aplicaPonta",Mercado_Receita!$L$2:$L$1156)+SUMIF(Mercado_Receita!$S$2:$S$1156,"44501B1ConvencionalResidencialResidencial baixa renda – faixa 03Não se aplicaNão se aplicaFora ponta",Mercado_Receita!$L$2:$L$1156)+SUMIF(Mercado_Receita!$S$2:$S$1156,"44501B1ConvencionalResidencialResidencial baixa renda – faixa 03Não se aplicaNão se aplicaIntermediário",Mercado_Receita!$L$2:$L$1156)+SUMIF(Mercado_Receita!$S$2:$S$1156,"44501B1ConvencionalResidencialResidencial baixa renda – faixa 03Não se aplicaNão se aplicaNão se aplica",Mercado_Receita!$L$2:$L$1156)</f>
        <v>2143.576</v>
      </c>
      <c r="J20" s="13">
        <f>SUMIF(Mercado_Receita!$S$2:$S$1156,"44531B1ConvencionalResidencialResidencial baixa renda – faixa 03Não se aplicaNão se aplicaPonta",Mercado_Receita!$L$2:$L$1156)+SUMIF(Mercado_Receita!$S$2:$S$1156,"44531B1ConvencionalResidencialResidencial baixa renda – faixa 03Não se aplicaNão se aplicaFora ponta",Mercado_Receita!$L$2:$L$1156)+SUMIF(Mercado_Receita!$S$2:$S$1156,"44531B1ConvencionalResidencialResidencial baixa renda – faixa 03Não se aplicaNão se aplicaIntermediário",Mercado_Receita!$L$2:$L$1156)+SUMIF(Mercado_Receita!$S$2:$S$1156,"44531B1ConvencionalResidencialResidencial baixa renda – faixa 03Não se aplicaNão se aplicaNão se aplica",Mercado_Receita!$L$2:$L$1156)</f>
        <v>2094.9490000000001</v>
      </c>
      <c r="K20" s="13">
        <f>SUMIF(Mercado_Receita!$S$2:$S$1156,"44562B1ConvencionalResidencialResidencial baixa renda – faixa 03Não se aplicaNão se aplicaPonta",Mercado_Receita!$L$2:$L$1156)+SUMIF(Mercado_Receita!$S$2:$S$1156,"44562B1ConvencionalResidencialResidencial baixa renda – faixa 03Não se aplicaNão se aplicaFora ponta",Mercado_Receita!$L$2:$L$1156)+SUMIF(Mercado_Receita!$S$2:$S$1156,"44562B1ConvencionalResidencialResidencial baixa renda – faixa 03Não se aplicaNão se aplicaIntermediário",Mercado_Receita!$L$2:$L$1156)+SUMIF(Mercado_Receita!$S$2:$S$1156,"44562B1ConvencionalResidencialResidencial baixa renda – faixa 03Não se aplicaNão se aplicaNão se aplica",Mercado_Receita!$L$2:$L$1156)</f>
        <v>2007.07</v>
      </c>
      <c r="L20" s="13">
        <f>SUMIF(Mercado_Receita!$S$2:$S$1156,"44593B1ConvencionalResidencialResidencial baixa renda – faixa 03Não se aplicaNão se aplicaPonta",Mercado_Receita!$L$2:$L$1156)+SUMIF(Mercado_Receita!$S$2:$S$1156,"44593B1ConvencionalResidencialResidencial baixa renda – faixa 03Não se aplicaNão se aplicaFora ponta",Mercado_Receita!$L$2:$L$1156)+SUMIF(Mercado_Receita!$S$2:$S$1156,"44593B1ConvencionalResidencialResidencial baixa renda – faixa 03Não se aplicaNão se aplicaIntermediário",Mercado_Receita!$L$2:$L$1156)+SUMIF(Mercado_Receita!$S$2:$S$1156,"44593B1ConvencionalResidencialResidencial baixa renda – faixa 03Não se aplicaNão se aplicaNão se aplica",Mercado_Receita!$L$2:$L$1156)</f>
        <v>2076.5789999999997</v>
      </c>
      <c r="M20" s="13">
        <f>SUMIF(Mercado_Receita!$S$2:$S$1156,"44621B1ConvencionalResidencialResidencial baixa renda – faixa 03Não se aplicaNão se aplicaPonta",Mercado_Receita!$L$2:$L$1156)+SUMIF(Mercado_Receita!$S$2:$S$1156,"44621B1ConvencionalResidencialResidencial baixa renda – faixa 03Não se aplicaNão se aplicaFora ponta",Mercado_Receita!$L$2:$L$1156)+SUMIF(Mercado_Receita!$S$2:$S$1156,"44621B1ConvencionalResidencialResidencial baixa renda – faixa 03Não se aplicaNão se aplicaIntermediário",Mercado_Receita!$L$2:$L$1156)+SUMIF(Mercado_Receita!$S$2:$S$1156,"44621B1ConvencionalResidencialResidencial baixa renda – faixa 03Não se aplicaNão se aplicaNão se aplica",Mercado_Receita!$L$2:$L$1156)</f>
        <v>2154.9459999999999</v>
      </c>
      <c r="N20" s="13">
        <f>SUMIF(Mercado_Receita!$S$2:$S$1156,"44652B1ConvencionalResidencialResidencial baixa renda – faixa 03Não se aplicaNão se aplicaPonta",Mercado_Receita!$L$2:$L$1156)+SUMIF(Mercado_Receita!$S$2:$S$1156,"44652B1ConvencionalResidencialResidencial baixa renda – faixa 03Não se aplicaNão se aplicaFora ponta",Mercado_Receita!$L$2:$L$1156)+SUMIF(Mercado_Receita!$S$2:$S$1156,"44652B1ConvencionalResidencialResidencial baixa renda – faixa 03Não se aplicaNão se aplicaIntermediário",Mercado_Receita!$L$2:$L$1156)+SUMIF(Mercado_Receita!$S$2:$S$1156,"44652B1ConvencionalResidencialResidencial baixa renda – faixa 03Não se aplicaNão se aplicaNão se aplica",Mercado_Receita!$L$2:$L$1156)</f>
        <v>2154.9459999999999</v>
      </c>
      <c r="O20" s="13">
        <f>SUMIF(Mercado_Receita!$S$2:$S$1156,"44682B1ConvencionalResidencialResidencial baixa renda – faixa 03Não se aplicaNão se aplicaPonta",Mercado_Receita!$L$2:$L$1156)+SUMIF(Mercado_Receita!$S$2:$S$1156,"44682B1ConvencionalResidencialResidencial baixa renda – faixa 03Não se aplicaNão se aplicaFora ponta",Mercado_Receita!$L$2:$L$1156)+SUMIF(Mercado_Receita!$S$2:$S$1156,"44682B1ConvencionalResidencialResidencial baixa renda – faixa 03Não se aplicaNão se aplicaIntermediário",Mercado_Receita!$L$2:$L$1156)+SUMIF(Mercado_Receita!$S$2:$S$1156,"44682B1ConvencionalResidencialResidencial baixa renda – faixa 03Não se aplicaNão se aplicaNão se aplica",Mercado_Receita!$L$2:$L$1156)</f>
        <v>2074.1639999999998</v>
      </c>
      <c r="P20" s="13">
        <f>SUMIF(Mercado_Receita!$S$2:$S$1156,"44713B1ConvencionalResidencialResidencial baixa renda – faixa 03Não se aplicaNão se aplicaPonta",Mercado_Receita!$L$2:$L$1156)+SUMIF(Mercado_Receita!$S$2:$S$1156,"44713B1ConvencionalResidencialResidencial baixa renda – faixa 03Não se aplicaNão se aplicaFora ponta",Mercado_Receita!$L$2:$L$1156)+SUMIF(Mercado_Receita!$S$2:$S$1156,"44713B1ConvencionalResidencialResidencial baixa renda – faixa 03Não se aplicaNão se aplicaIntermediário",Mercado_Receita!$L$2:$L$1156)+SUMIF(Mercado_Receita!$S$2:$S$1156,"44713B1ConvencionalResidencialResidencial baixa renda – faixa 03Não se aplicaNão se aplicaNão se aplica",Mercado_Receita!$L$2:$L$1156)</f>
        <v>2073.7080000000001</v>
      </c>
      <c r="Q20" s="13">
        <f>SUMIF(Mercado_Receita!$S$2:$S$1156,"44743B1ConvencionalResidencialResidencial baixa renda – faixa 03Não se aplicaNão se aplicaPonta",Mercado_Receita!$L$2:$L$1156)+SUMIF(Mercado_Receita!$S$2:$S$1156,"44743B1ConvencionalResidencialResidencial baixa renda – faixa 03Não se aplicaNão se aplicaFora ponta",Mercado_Receita!$L$2:$L$1156)+SUMIF(Mercado_Receita!$S$2:$S$1156,"44743B1ConvencionalResidencialResidencial baixa renda – faixa 03Não se aplicaNão se aplicaIntermediário",Mercado_Receita!$L$2:$L$1156)+SUMIF(Mercado_Receita!$S$2:$S$1156,"44743B1ConvencionalResidencialResidencial baixa renda – faixa 03Não se aplicaNão se aplicaNão se aplica",Mercado_Receita!$L$2:$L$1156)</f>
        <v>2027.1389999999999</v>
      </c>
      <c r="R20" s="13">
        <f>SUMIF(Mercado_Receita!$S$2:$S$1156,"44774B1ConvencionalResidencialResidencial baixa renda – faixa 03Não se aplicaNão se aplicaPonta",Mercado_Receita!$L$2:$L$1156)+SUMIF(Mercado_Receita!$S$2:$S$1156,"44774B1ConvencionalResidencialResidencial baixa renda – faixa 03Não se aplicaNão se aplicaFora ponta",Mercado_Receita!$L$2:$L$1156)+SUMIF(Mercado_Receita!$S$2:$S$1156,"44774B1ConvencionalResidencialResidencial baixa renda – faixa 03Não se aplicaNão se aplicaIntermediário",Mercado_Receita!$L$2:$L$1156)+SUMIF(Mercado_Receita!$S$2:$S$1156,"44774B1ConvencionalResidencialResidencial baixa renda – faixa 03Não se aplicaNão se aplicaNão se aplica",Mercado_Receita!$L$2:$L$1156)</f>
        <v>2259.1120000000001</v>
      </c>
      <c r="S20" s="13">
        <f>SUMIF(Mercado_Receita!$S$2:$S$1156,"44805B1ConvencionalResidencialResidencial baixa renda – faixa 03Não se aplicaNão se aplicaPonta",Mercado_Receita!$L$2:$L$1156)+SUMIF(Mercado_Receita!$S$2:$S$1156,"44805B1ConvencionalResidencialResidencial baixa renda – faixa 03Não se aplicaNão se aplicaFora ponta",Mercado_Receita!$L$2:$L$1156)+SUMIF(Mercado_Receita!$S$2:$S$1156,"44805B1ConvencionalResidencialResidencial baixa renda – faixa 03Não se aplicaNão se aplicaIntermediário",Mercado_Receita!$L$2:$L$1156)+SUMIF(Mercado_Receita!$S$2:$S$1156,"44805B1ConvencionalResidencialResidencial baixa renda – faixa 03Não se aplicaNão se aplicaNão se aplica",Mercado_Receita!$L$2:$L$1156)</f>
        <v>2239.6119999999996</v>
      </c>
      <c r="T20" s="13">
        <f>SUMIF(Mercado_Receita!$S$2:$S$1156,"44835B1ConvencionalResidencialResidencial baixa renda – faixa 03Não se aplicaNão se aplicaPonta",Mercado_Receita!$L$2:$L$1156)+SUMIF(Mercado_Receita!$S$2:$S$1156,"44835B1ConvencionalResidencialResidencial baixa renda – faixa 03Não se aplicaNão se aplicaFora ponta",Mercado_Receita!$L$2:$L$1156)+SUMIF(Mercado_Receita!$S$2:$S$1156,"44835B1ConvencionalResidencialResidencial baixa renda – faixa 03Não se aplicaNão se aplicaIntermediário",Mercado_Receita!$L$2:$L$1156)+SUMIF(Mercado_Receita!$S$2:$S$1156,"44835B1ConvencionalResidencialResidencial baixa renda – faixa 03Não se aplicaNão se aplicaNão se aplica",Mercado_Receita!$L$2:$L$1156)</f>
        <v>2239.6119999999996</v>
      </c>
      <c r="U20" s="13">
        <f t="shared" si="0"/>
        <v>25545.413</v>
      </c>
      <c r="V20" s="13"/>
      <c r="W20" s="13"/>
    </row>
    <row r="21" spans="1:23" ht="11.25" customHeight="1" x14ac:dyDescent="0.25">
      <c r="A21" s="93"/>
      <c r="B21" s="93"/>
      <c r="C21" s="93"/>
      <c r="D21" s="12" t="s">
        <v>32</v>
      </c>
      <c r="E21" s="12" t="s">
        <v>25</v>
      </c>
      <c r="F21" s="12" t="s">
        <v>25</v>
      </c>
      <c r="G21" s="13" t="s">
        <v>76</v>
      </c>
      <c r="H21" s="13" t="s">
        <v>72</v>
      </c>
      <c r="I21" s="13">
        <f>SUMIF(Mercado_Receita!$S$2:$S$1156,"44501B1ConvencionalResidencialResidencial baixa renda – faixa 04Não se aplicaNão se aplicaPonta",Mercado_Receita!$L$2:$L$1156)+SUMIF(Mercado_Receita!$S$2:$S$1156,"44501B1ConvencionalResidencialResidencial baixa renda – faixa 04Não se aplicaNão se aplicaFora ponta",Mercado_Receita!$L$2:$L$1156)+SUMIF(Mercado_Receita!$S$2:$S$1156,"44501B1ConvencionalResidencialResidencial baixa renda – faixa 04Não se aplicaNão se aplicaIntermediário",Mercado_Receita!$L$2:$L$1156)+SUMIF(Mercado_Receita!$S$2:$S$1156,"44501B1ConvencionalResidencialResidencial baixa renda – faixa 04Não se aplicaNão se aplicaNão se aplica",Mercado_Receita!$L$2:$L$1156)</f>
        <v>2712.5419999999999</v>
      </c>
      <c r="J21" s="13">
        <f>SUMIF(Mercado_Receita!$S$2:$S$1156,"44531B1ConvencionalResidencialResidencial baixa renda – faixa 04Não se aplicaNão se aplicaPonta",Mercado_Receita!$L$2:$L$1156)+SUMIF(Mercado_Receita!$S$2:$S$1156,"44531B1ConvencionalResidencialResidencial baixa renda – faixa 04Não se aplicaNão se aplicaFora ponta",Mercado_Receita!$L$2:$L$1156)+SUMIF(Mercado_Receita!$S$2:$S$1156,"44531B1ConvencionalResidencialResidencial baixa renda – faixa 04Não se aplicaNão se aplicaIntermediário",Mercado_Receita!$L$2:$L$1156)+SUMIF(Mercado_Receita!$S$2:$S$1156,"44531B1ConvencionalResidencialResidencial baixa renda – faixa 04Não se aplicaNão se aplicaNão se aplica",Mercado_Receita!$L$2:$L$1156)</f>
        <v>2465.9520000000002</v>
      </c>
      <c r="K21" s="13">
        <f>SUMIF(Mercado_Receita!$S$2:$S$1156,"44562B1ConvencionalResidencialResidencial baixa renda – faixa 04Não se aplicaNão se aplicaPonta",Mercado_Receita!$L$2:$L$1156)+SUMIF(Mercado_Receita!$S$2:$S$1156,"44562B1ConvencionalResidencialResidencial baixa renda – faixa 04Não se aplicaNão se aplicaFora ponta",Mercado_Receita!$L$2:$L$1156)+SUMIF(Mercado_Receita!$S$2:$S$1156,"44562B1ConvencionalResidencialResidencial baixa renda – faixa 04Não se aplicaNão se aplicaIntermediário",Mercado_Receita!$L$2:$L$1156)+SUMIF(Mercado_Receita!$S$2:$S$1156,"44562B1ConvencionalResidencialResidencial baixa renda – faixa 04Não se aplicaNão se aplicaNão se aplica",Mercado_Receita!$L$2:$L$1156)</f>
        <v>2105.9519999999998</v>
      </c>
      <c r="L21" s="13">
        <f>SUMIF(Mercado_Receita!$S$2:$S$1156,"44593B1ConvencionalResidencialResidencial baixa renda – faixa 04Não se aplicaNão se aplicaPonta",Mercado_Receita!$L$2:$L$1156)+SUMIF(Mercado_Receita!$S$2:$S$1156,"44593B1ConvencionalResidencialResidencial baixa renda – faixa 04Não se aplicaNão se aplicaFora ponta",Mercado_Receita!$L$2:$L$1156)+SUMIF(Mercado_Receita!$S$2:$S$1156,"44593B1ConvencionalResidencialResidencial baixa renda – faixa 04Não se aplicaNão se aplicaIntermediário",Mercado_Receita!$L$2:$L$1156)+SUMIF(Mercado_Receita!$S$2:$S$1156,"44593B1ConvencionalResidencialResidencial baixa renda – faixa 04Não se aplicaNão se aplicaNão se aplica",Mercado_Receita!$L$2:$L$1156)</f>
        <v>2430.2750000000001</v>
      </c>
      <c r="M21" s="13">
        <f>SUMIF(Mercado_Receita!$S$2:$S$1156,"44621B1ConvencionalResidencialResidencial baixa renda – faixa 04Não se aplicaNão se aplicaPonta",Mercado_Receita!$L$2:$L$1156)+SUMIF(Mercado_Receita!$S$2:$S$1156,"44621B1ConvencionalResidencialResidencial baixa renda – faixa 04Não se aplicaNão se aplicaFora ponta",Mercado_Receita!$L$2:$L$1156)+SUMIF(Mercado_Receita!$S$2:$S$1156,"44621B1ConvencionalResidencialResidencial baixa renda – faixa 04Não se aplicaNão se aplicaIntermediário",Mercado_Receita!$L$2:$L$1156)+SUMIF(Mercado_Receita!$S$2:$S$1156,"44621B1ConvencionalResidencialResidencial baixa renda – faixa 04Não se aplicaNão se aplicaNão se aplica",Mercado_Receita!$L$2:$L$1156)</f>
        <v>2400.2710000000002</v>
      </c>
      <c r="N21" s="13">
        <f>SUMIF(Mercado_Receita!$S$2:$S$1156,"44652B1ConvencionalResidencialResidencial baixa renda – faixa 04Não se aplicaNão se aplicaPonta",Mercado_Receita!$L$2:$L$1156)+SUMIF(Mercado_Receita!$S$2:$S$1156,"44652B1ConvencionalResidencialResidencial baixa renda – faixa 04Não se aplicaNão se aplicaFora ponta",Mercado_Receita!$L$2:$L$1156)+SUMIF(Mercado_Receita!$S$2:$S$1156,"44652B1ConvencionalResidencialResidencial baixa renda – faixa 04Não se aplicaNão se aplicaIntermediário",Mercado_Receita!$L$2:$L$1156)+SUMIF(Mercado_Receita!$S$2:$S$1156,"44652B1ConvencionalResidencialResidencial baixa renda – faixa 04Não se aplicaNão se aplicaNão se aplica",Mercado_Receita!$L$2:$L$1156)</f>
        <v>2400.2710000000002</v>
      </c>
      <c r="O21" s="13">
        <f>SUMIF(Mercado_Receita!$S$2:$S$1156,"44682B1ConvencionalResidencialResidencial baixa renda – faixa 04Não se aplicaNão se aplicaPonta",Mercado_Receita!$L$2:$L$1156)+SUMIF(Mercado_Receita!$S$2:$S$1156,"44682B1ConvencionalResidencialResidencial baixa renda – faixa 04Não se aplicaNão se aplicaFora ponta",Mercado_Receita!$L$2:$L$1156)+SUMIF(Mercado_Receita!$S$2:$S$1156,"44682B1ConvencionalResidencialResidencial baixa renda – faixa 04Não se aplicaNão se aplicaIntermediário",Mercado_Receita!$L$2:$L$1156)+SUMIF(Mercado_Receita!$S$2:$S$1156,"44682B1ConvencionalResidencialResidencial baixa renda – faixa 04Não se aplicaNão se aplicaNão se aplica",Mercado_Receita!$L$2:$L$1156)</f>
        <v>2013.6189999999999</v>
      </c>
      <c r="P21" s="13">
        <f>SUMIF(Mercado_Receita!$S$2:$S$1156,"44713B1ConvencionalResidencialResidencial baixa renda – faixa 04Não se aplicaNão se aplicaPonta",Mercado_Receita!$L$2:$L$1156)+SUMIF(Mercado_Receita!$S$2:$S$1156,"44713B1ConvencionalResidencialResidencial baixa renda – faixa 04Não se aplicaNão se aplicaFora ponta",Mercado_Receita!$L$2:$L$1156)+SUMIF(Mercado_Receita!$S$2:$S$1156,"44713B1ConvencionalResidencialResidencial baixa renda – faixa 04Não se aplicaNão se aplicaIntermediário",Mercado_Receita!$L$2:$L$1156)+SUMIF(Mercado_Receita!$S$2:$S$1156,"44713B1ConvencionalResidencialResidencial baixa renda – faixa 04Não se aplicaNão se aplicaNão se aplica",Mercado_Receita!$L$2:$L$1156)</f>
        <v>1879.8109999999999</v>
      </c>
      <c r="Q21" s="13">
        <f>SUMIF(Mercado_Receita!$S$2:$S$1156,"44743B1ConvencionalResidencialResidencial baixa renda – faixa 04Não se aplicaNão se aplicaPonta",Mercado_Receita!$L$2:$L$1156)+SUMIF(Mercado_Receita!$S$2:$S$1156,"44743B1ConvencionalResidencialResidencial baixa renda – faixa 04Não se aplicaNão se aplicaFora ponta",Mercado_Receita!$L$2:$L$1156)+SUMIF(Mercado_Receita!$S$2:$S$1156,"44743B1ConvencionalResidencialResidencial baixa renda – faixa 04Não se aplicaNão se aplicaIntermediário",Mercado_Receita!$L$2:$L$1156)+SUMIF(Mercado_Receita!$S$2:$S$1156,"44743B1ConvencionalResidencialResidencial baixa renda – faixa 04Não se aplicaNão se aplicaNão se aplica",Mercado_Receita!$L$2:$L$1156)</f>
        <v>2820.7160000000003</v>
      </c>
      <c r="R21" s="13">
        <f>SUMIF(Mercado_Receita!$S$2:$S$1156,"44774B1ConvencionalResidencialResidencial baixa renda – faixa 04Não se aplicaNão se aplicaPonta",Mercado_Receita!$L$2:$L$1156)+SUMIF(Mercado_Receita!$S$2:$S$1156,"44774B1ConvencionalResidencialResidencial baixa renda – faixa 04Não se aplicaNão se aplicaFora ponta",Mercado_Receita!$L$2:$L$1156)+SUMIF(Mercado_Receita!$S$2:$S$1156,"44774B1ConvencionalResidencialResidencial baixa renda – faixa 04Não se aplicaNão se aplicaIntermediário",Mercado_Receita!$L$2:$L$1156)+SUMIF(Mercado_Receita!$S$2:$S$1156,"44774B1ConvencionalResidencialResidencial baixa renda – faixa 04Não se aplicaNão se aplicaNão se aplica",Mercado_Receita!$L$2:$L$1156)</f>
        <v>1602.5209999999997</v>
      </c>
      <c r="S21" s="13">
        <f>SUMIF(Mercado_Receita!$S$2:$S$1156,"44805B1ConvencionalResidencialResidencial baixa renda – faixa 04Não se aplicaNão se aplicaPonta",Mercado_Receita!$L$2:$L$1156)+SUMIF(Mercado_Receita!$S$2:$S$1156,"44805B1ConvencionalResidencialResidencial baixa renda – faixa 04Não se aplicaNão se aplicaFora ponta",Mercado_Receita!$L$2:$L$1156)+SUMIF(Mercado_Receita!$S$2:$S$1156,"44805B1ConvencionalResidencialResidencial baixa renda – faixa 04Não se aplicaNão se aplicaIntermediário",Mercado_Receita!$L$2:$L$1156)+SUMIF(Mercado_Receita!$S$2:$S$1156,"44805B1ConvencionalResidencialResidencial baixa renda – faixa 04Não se aplicaNão se aplicaNão se aplica",Mercado_Receita!$L$2:$L$1156)</f>
        <v>2631.6669999999999</v>
      </c>
      <c r="T21" s="13">
        <f>SUMIF(Mercado_Receita!$S$2:$S$1156,"44835B1ConvencionalResidencialResidencial baixa renda – faixa 04Não se aplicaNão se aplicaPonta",Mercado_Receita!$L$2:$L$1156)+SUMIF(Mercado_Receita!$S$2:$S$1156,"44835B1ConvencionalResidencialResidencial baixa renda – faixa 04Não se aplicaNão se aplicaFora ponta",Mercado_Receita!$L$2:$L$1156)+SUMIF(Mercado_Receita!$S$2:$S$1156,"44835B1ConvencionalResidencialResidencial baixa renda – faixa 04Não se aplicaNão se aplicaIntermediário",Mercado_Receita!$L$2:$L$1156)+SUMIF(Mercado_Receita!$S$2:$S$1156,"44835B1ConvencionalResidencialResidencial baixa renda – faixa 04Não se aplicaNão se aplicaNão se aplica",Mercado_Receita!$L$2:$L$1156)</f>
        <v>2631.6669999999999</v>
      </c>
      <c r="U21" s="13">
        <f t="shared" si="0"/>
        <v>28095.264000000006</v>
      </c>
      <c r="V21" s="13"/>
      <c r="W21" s="13"/>
    </row>
    <row r="22" spans="1:23" ht="11.25" customHeight="1" x14ac:dyDescent="0.25">
      <c r="A22" s="93"/>
      <c r="B22" s="92" t="s">
        <v>87</v>
      </c>
      <c r="C22" s="92" t="s">
        <v>24</v>
      </c>
      <c r="D22" s="12" t="s">
        <v>24</v>
      </c>
      <c r="E22" s="12" t="s">
        <v>25</v>
      </c>
      <c r="F22" s="12" t="s">
        <v>25</v>
      </c>
      <c r="G22" s="13" t="s">
        <v>76</v>
      </c>
      <c r="H22" s="13" t="s">
        <v>72</v>
      </c>
      <c r="I22" s="13">
        <f>SUMIF(Mercado_Receita!$S$2:$S$1156,"44501B1Convencional pré-pagamentoResidencialResidencialNão se aplicaNão se aplicaPonta",Mercado_Receita!$L$2:$L$1156)+SUMIF(Mercado_Receita!$S$2:$S$1156,"44501B1Convencional pré-pagamentoResidencialResidencialNão se aplicaNão se aplicaFora ponta",Mercado_Receita!$L$2:$L$1156)+SUMIF(Mercado_Receita!$S$2:$S$1156,"44501B1Convencional pré-pagamentoResidencialResidencialNão se aplicaNão se aplicaIntermediário",Mercado_Receita!$L$2:$L$1156)+SUMIF(Mercado_Receita!$S$2:$S$1156,"44501B1Convencional pré-pagamentoResidencialResidencialNão se aplicaNão se aplicaNão se aplica",Mercado_Receita!$L$2:$L$1156)</f>
        <v>0</v>
      </c>
      <c r="J22" s="13">
        <f>SUMIF(Mercado_Receita!$S$2:$S$1156,"44531B1Convencional pré-pagamentoResidencialResidencialNão se aplicaNão se aplicaPonta",Mercado_Receita!$L$2:$L$1156)+SUMIF(Mercado_Receita!$S$2:$S$1156,"44531B1Convencional pré-pagamentoResidencialResidencialNão se aplicaNão se aplicaFora ponta",Mercado_Receita!$L$2:$L$1156)+SUMIF(Mercado_Receita!$S$2:$S$1156,"44531B1Convencional pré-pagamentoResidencialResidencialNão se aplicaNão se aplicaIntermediário",Mercado_Receita!$L$2:$L$1156)+SUMIF(Mercado_Receita!$S$2:$S$1156,"44531B1Convencional pré-pagamentoResidencialResidencialNão se aplicaNão se aplicaNão se aplica",Mercado_Receita!$L$2:$L$1156)</f>
        <v>0</v>
      </c>
      <c r="K22" s="13">
        <f>SUMIF(Mercado_Receita!$S$2:$S$1156,"44562B1Convencional pré-pagamentoResidencialResidencialNão se aplicaNão se aplicaPonta",Mercado_Receita!$L$2:$L$1156)+SUMIF(Mercado_Receita!$S$2:$S$1156,"44562B1Convencional pré-pagamentoResidencialResidencialNão se aplicaNão se aplicaFora ponta",Mercado_Receita!$L$2:$L$1156)+SUMIF(Mercado_Receita!$S$2:$S$1156,"44562B1Convencional pré-pagamentoResidencialResidencialNão se aplicaNão se aplicaIntermediário",Mercado_Receita!$L$2:$L$1156)+SUMIF(Mercado_Receita!$S$2:$S$1156,"44562B1Convencional pré-pagamentoResidencialResidencialNão se aplicaNão se aplicaNão se aplica",Mercado_Receita!$L$2:$L$1156)</f>
        <v>0</v>
      </c>
      <c r="L22" s="13">
        <f>SUMIF(Mercado_Receita!$S$2:$S$1156,"44593B1Convencional pré-pagamentoResidencialResidencialNão se aplicaNão se aplicaPonta",Mercado_Receita!$L$2:$L$1156)+SUMIF(Mercado_Receita!$S$2:$S$1156,"44593B1Convencional pré-pagamentoResidencialResidencialNão se aplicaNão se aplicaFora ponta",Mercado_Receita!$L$2:$L$1156)+SUMIF(Mercado_Receita!$S$2:$S$1156,"44593B1Convencional pré-pagamentoResidencialResidencialNão se aplicaNão se aplicaIntermediário",Mercado_Receita!$L$2:$L$1156)+SUMIF(Mercado_Receita!$S$2:$S$1156,"44593B1Convencional pré-pagamentoResidencialResidencialNão se aplicaNão se aplicaNão se aplica",Mercado_Receita!$L$2:$L$1156)</f>
        <v>0</v>
      </c>
      <c r="M22" s="13">
        <f>SUMIF(Mercado_Receita!$S$2:$S$1156,"44621B1Convencional pré-pagamentoResidencialResidencialNão se aplicaNão se aplicaPonta",Mercado_Receita!$L$2:$L$1156)+SUMIF(Mercado_Receita!$S$2:$S$1156,"44621B1Convencional pré-pagamentoResidencialResidencialNão se aplicaNão se aplicaFora ponta",Mercado_Receita!$L$2:$L$1156)+SUMIF(Mercado_Receita!$S$2:$S$1156,"44621B1Convencional pré-pagamentoResidencialResidencialNão se aplicaNão se aplicaIntermediário",Mercado_Receita!$L$2:$L$1156)+SUMIF(Mercado_Receita!$S$2:$S$1156,"44621B1Convencional pré-pagamentoResidencialResidencialNão se aplicaNão se aplicaNão se aplica",Mercado_Receita!$L$2:$L$1156)</f>
        <v>0</v>
      </c>
      <c r="N22" s="13">
        <f>SUMIF(Mercado_Receita!$S$2:$S$1156,"44652B1Convencional pré-pagamentoResidencialResidencialNão se aplicaNão se aplicaPonta",Mercado_Receita!$L$2:$L$1156)+SUMIF(Mercado_Receita!$S$2:$S$1156,"44652B1Convencional pré-pagamentoResidencialResidencialNão se aplicaNão se aplicaFora ponta",Mercado_Receita!$L$2:$L$1156)+SUMIF(Mercado_Receita!$S$2:$S$1156,"44652B1Convencional pré-pagamentoResidencialResidencialNão se aplicaNão se aplicaIntermediário",Mercado_Receita!$L$2:$L$1156)+SUMIF(Mercado_Receita!$S$2:$S$1156,"44652B1Convencional pré-pagamentoResidencialResidencialNão se aplicaNão se aplicaNão se aplica",Mercado_Receita!$L$2:$L$1156)</f>
        <v>0</v>
      </c>
      <c r="O22" s="13">
        <f>SUMIF(Mercado_Receita!$S$2:$S$1156,"44682B1Convencional pré-pagamentoResidencialResidencialNão se aplicaNão se aplicaPonta",Mercado_Receita!$L$2:$L$1156)+SUMIF(Mercado_Receita!$S$2:$S$1156,"44682B1Convencional pré-pagamentoResidencialResidencialNão se aplicaNão se aplicaFora ponta",Mercado_Receita!$L$2:$L$1156)+SUMIF(Mercado_Receita!$S$2:$S$1156,"44682B1Convencional pré-pagamentoResidencialResidencialNão se aplicaNão se aplicaIntermediário",Mercado_Receita!$L$2:$L$1156)+SUMIF(Mercado_Receita!$S$2:$S$1156,"44682B1Convencional pré-pagamentoResidencialResidencialNão se aplicaNão se aplicaNão se aplica",Mercado_Receita!$L$2:$L$1156)</f>
        <v>0</v>
      </c>
      <c r="P22" s="13">
        <f>SUMIF(Mercado_Receita!$S$2:$S$1156,"44713B1Convencional pré-pagamentoResidencialResidencialNão se aplicaNão se aplicaPonta",Mercado_Receita!$L$2:$L$1156)+SUMIF(Mercado_Receita!$S$2:$S$1156,"44713B1Convencional pré-pagamentoResidencialResidencialNão se aplicaNão se aplicaFora ponta",Mercado_Receita!$L$2:$L$1156)+SUMIF(Mercado_Receita!$S$2:$S$1156,"44713B1Convencional pré-pagamentoResidencialResidencialNão se aplicaNão se aplicaIntermediário",Mercado_Receita!$L$2:$L$1156)+SUMIF(Mercado_Receita!$S$2:$S$1156,"44713B1Convencional pré-pagamentoResidencialResidencialNão se aplicaNão se aplicaNão se aplica",Mercado_Receita!$L$2:$L$1156)</f>
        <v>0</v>
      </c>
      <c r="Q22" s="13">
        <f>SUMIF(Mercado_Receita!$S$2:$S$1156,"44743B1Convencional pré-pagamentoResidencialResidencialNão se aplicaNão se aplicaPonta",Mercado_Receita!$L$2:$L$1156)+SUMIF(Mercado_Receita!$S$2:$S$1156,"44743B1Convencional pré-pagamentoResidencialResidencialNão se aplicaNão se aplicaFora ponta",Mercado_Receita!$L$2:$L$1156)+SUMIF(Mercado_Receita!$S$2:$S$1156,"44743B1Convencional pré-pagamentoResidencialResidencialNão se aplicaNão se aplicaIntermediário",Mercado_Receita!$L$2:$L$1156)+SUMIF(Mercado_Receita!$S$2:$S$1156,"44743B1Convencional pré-pagamentoResidencialResidencialNão se aplicaNão se aplicaNão se aplica",Mercado_Receita!$L$2:$L$1156)</f>
        <v>0</v>
      </c>
      <c r="R22" s="13">
        <f>SUMIF(Mercado_Receita!$S$2:$S$1156,"44774B1Convencional pré-pagamentoResidencialResidencialNão se aplicaNão se aplicaPonta",Mercado_Receita!$L$2:$L$1156)+SUMIF(Mercado_Receita!$S$2:$S$1156,"44774B1Convencional pré-pagamentoResidencialResidencialNão se aplicaNão se aplicaFora ponta",Mercado_Receita!$L$2:$L$1156)+SUMIF(Mercado_Receita!$S$2:$S$1156,"44774B1Convencional pré-pagamentoResidencialResidencialNão se aplicaNão se aplicaIntermediário",Mercado_Receita!$L$2:$L$1156)+SUMIF(Mercado_Receita!$S$2:$S$1156,"44774B1Convencional pré-pagamentoResidencialResidencialNão se aplicaNão se aplicaNão se aplica",Mercado_Receita!$L$2:$L$1156)</f>
        <v>0</v>
      </c>
      <c r="S22" s="13">
        <f>SUMIF(Mercado_Receita!$S$2:$S$1156,"44805B1Convencional pré-pagamentoResidencialResidencialNão se aplicaNão se aplicaPonta",Mercado_Receita!$L$2:$L$1156)+SUMIF(Mercado_Receita!$S$2:$S$1156,"44805B1Convencional pré-pagamentoResidencialResidencialNão se aplicaNão se aplicaFora ponta",Mercado_Receita!$L$2:$L$1156)+SUMIF(Mercado_Receita!$S$2:$S$1156,"44805B1Convencional pré-pagamentoResidencialResidencialNão se aplicaNão se aplicaIntermediário",Mercado_Receita!$L$2:$L$1156)+SUMIF(Mercado_Receita!$S$2:$S$1156,"44805B1Convencional pré-pagamentoResidencialResidencialNão se aplicaNão se aplicaNão se aplica",Mercado_Receita!$L$2:$L$1156)</f>
        <v>0</v>
      </c>
      <c r="T22" s="13">
        <f>SUMIF(Mercado_Receita!$S$2:$S$1156,"44835B1Convencional pré-pagamentoResidencialResidencialNão se aplicaNão se aplicaPonta",Mercado_Receita!$L$2:$L$1156)+SUMIF(Mercado_Receita!$S$2:$S$1156,"44835B1Convencional pré-pagamentoResidencialResidencialNão se aplicaNão se aplicaFora ponta",Mercado_Receita!$L$2:$L$1156)+SUMIF(Mercado_Receita!$S$2:$S$1156,"44835B1Convencional pré-pagamentoResidencialResidencialNão se aplicaNão se aplicaIntermediário",Mercado_Receita!$L$2:$L$1156)+SUMIF(Mercado_Receita!$S$2:$S$1156,"44835B1Convencional pré-pagamentoResidencialResidencialNão se aplicaNão se aplicaNão se aplica",Mercado_Receita!$L$2:$L$1156)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3"/>
      <c r="B23" s="93"/>
      <c r="C23" s="93"/>
      <c r="D23" s="12" t="s">
        <v>29</v>
      </c>
      <c r="E23" s="12" t="s">
        <v>25</v>
      </c>
      <c r="F23" s="12" t="s">
        <v>25</v>
      </c>
      <c r="G23" s="13" t="s">
        <v>76</v>
      </c>
      <c r="H23" s="13" t="s">
        <v>72</v>
      </c>
      <c r="I23" s="13">
        <f>SUMIF(Mercado_Receita!$S$2:$S$1156,"44501B1Convencional pré-pagamentoResidencialResidencial baixa renda – faixa 01Não se aplicaNão se aplicaPonta",Mercado_Receita!$L$2:$L$1156)+SUMIF(Mercado_Receita!$S$2:$S$1156,"44501B1Convencional pré-pagamentoResidencialResidencial baixa renda – faixa 01Não se aplicaNão se aplicaFora ponta",Mercado_Receita!$L$2:$L$1156)+SUMIF(Mercado_Receita!$S$2:$S$1156,"44501B1Convencional pré-pagamentoResidencialResidencial baixa renda – faixa 01Não se aplicaNão se aplicaIntermediário",Mercado_Receita!$L$2:$L$1156)+SUMIF(Mercado_Receita!$S$2:$S$1156,"44501B1Convencional pré-pagamentoResidencialResidencial baixa renda – faixa 01Não se aplicaNão se aplicaNão se aplica",Mercado_Receita!$L$2:$L$1156)</f>
        <v>0</v>
      </c>
      <c r="J23" s="13">
        <f>SUMIF(Mercado_Receita!$S$2:$S$1156,"44531B1Convencional pré-pagamentoResidencialResidencial baixa renda – faixa 01Não se aplicaNão se aplicaPonta",Mercado_Receita!$L$2:$L$1156)+SUMIF(Mercado_Receita!$S$2:$S$1156,"44531B1Convencional pré-pagamentoResidencialResidencial baixa renda – faixa 01Não se aplicaNão se aplicaFora ponta",Mercado_Receita!$L$2:$L$1156)+SUMIF(Mercado_Receita!$S$2:$S$1156,"44531B1Convencional pré-pagamentoResidencialResidencial baixa renda – faixa 01Não se aplicaNão se aplicaIntermediário",Mercado_Receita!$L$2:$L$1156)+SUMIF(Mercado_Receita!$S$2:$S$1156,"44531B1Convencional pré-pagamentoResidencialResidencial baixa renda – faixa 01Não se aplicaNão se aplicaNão se aplica",Mercado_Receita!$L$2:$L$1156)</f>
        <v>0</v>
      </c>
      <c r="K23" s="13">
        <f>SUMIF(Mercado_Receita!$S$2:$S$1156,"44562B1Convencional pré-pagamentoResidencialResidencial baixa renda – faixa 01Não se aplicaNão se aplicaPonta",Mercado_Receita!$L$2:$L$1156)+SUMIF(Mercado_Receita!$S$2:$S$1156,"44562B1Convencional pré-pagamentoResidencialResidencial baixa renda – faixa 01Não se aplicaNão se aplicaFora ponta",Mercado_Receita!$L$2:$L$1156)+SUMIF(Mercado_Receita!$S$2:$S$1156,"44562B1Convencional pré-pagamentoResidencialResidencial baixa renda – faixa 01Não se aplicaNão se aplicaIntermediário",Mercado_Receita!$L$2:$L$1156)+SUMIF(Mercado_Receita!$S$2:$S$1156,"44562B1Convencional pré-pagamentoResidencialResidencial baixa renda – faixa 01Não se aplicaNão se aplicaNão se aplica",Mercado_Receita!$L$2:$L$1156)</f>
        <v>0</v>
      </c>
      <c r="L23" s="13">
        <f>SUMIF(Mercado_Receita!$S$2:$S$1156,"44593B1Convencional pré-pagamentoResidencialResidencial baixa renda – faixa 01Não se aplicaNão se aplicaPonta",Mercado_Receita!$L$2:$L$1156)+SUMIF(Mercado_Receita!$S$2:$S$1156,"44593B1Convencional pré-pagamentoResidencialResidencial baixa renda – faixa 01Não se aplicaNão se aplicaFora ponta",Mercado_Receita!$L$2:$L$1156)+SUMIF(Mercado_Receita!$S$2:$S$1156,"44593B1Convencional pré-pagamentoResidencialResidencial baixa renda – faixa 01Não se aplicaNão se aplicaIntermediário",Mercado_Receita!$L$2:$L$1156)+SUMIF(Mercado_Receita!$S$2:$S$1156,"44593B1Convencional pré-pagamentoResidencialResidencial baixa renda – faixa 01Não se aplicaNão se aplicaNão se aplica",Mercado_Receita!$L$2:$L$1156)</f>
        <v>0</v>
      </c>
      <c r="M23" s="13">
        <f>SUMIF(Mercado_Receita!$S$2:$S$1156,"44621B1Convencional pré-pagamentoResidencialResidencial baixa renda – faixa 01Não se aplicaNão se aplicaPonta",Mercado_Receita!$L$2:$L$1156)+SUMIF(Mercado_Receita!$S$2:$S$1156,"44621B1Convencional pré-pagamentoResidencialResidencial baixa renda – faixa 01Não se aplicaNão se aplicaFora ponta",Mercado_Receita!$L$2:$L$1156)+SUMIF(Mercado_Receita!$S$2:$S$1156,"44621B1Convencional pré-pagamentoResidencialResidencial baixa renda – faixa 01Não se aplicaNão se aplicaIntermediário",Mercado_Receita!$L$2:$L$1156)+SUMIF(Mercado_Receita!$S$2:$S$1156,"44621B1Convencional pré-pagamentoResidencialResidencial baixa renda – faixa 01Não se aplicaNão se aplicaNão se aplica",Mercado_Receita!$L$2:$L$1156)</f>
        <v>0</v>
      </c>
      <c r="N23" s="13">
        <f>SUMIF(Mercado_Receita!$S$2:$S$1156,"44652B1Convencional pré-pagamentoResidencialResidencial baixa renda – faixa 01Não se aplicaNão se aplicaPonta",Mercado_Receita!$L$2:$L$1156)+SUMIF(Mercado_Receita!$S$2:$S$1156,"44652B1Convencional pré-pagamentoResidencialResidencial baixa renda – faixa 01Não se aplicaNão se aplicaFora ponta",Mercado_Receita!$L$2:$L$1156)+SUMIF(Mercado_Receita!$S$2:$S$1156,"44652B1Convencional pré-pagamentoResidencialResidencial baixa renda – faixa 01Não se aplicaNão se aplicaIntermediário",Mercado_Receita!$L$2:$L$1156)+SUMIF(Mercado_Receita!$S$2:$S$1156,"44652B1Convencional pré-pagamentoResidencialResidencial baixa renda – faixa 01Não se aplicaNão se aplicaNão se aplica",Mercado_Receita!$L$2:$L$1156)</f>
        <v>0</v>
      </c>
      <c r="O23" s="13">
        <f>SUMIF(Mercado_Receita!$S$2:$S$1156,"44682B1Convencional pré-pagamentoResidencialResidencial baixa renda – faixa 01Não se aplicaNão se aplicaPonta",Mercado_Receita!$L$2:$L$1156)+SUMIF(Mercado_Receita!$S$2:$S$1156,"44682B1Convencional pré-pagamentoResidencialResidencial baixa renda – faixa 01Não se aplicaNão se aplicaFora ponta",Mercado_Receita!$L$2:$L$1156)+SUMIF(Mercado_Receita!$S$2:$S$1156,"44682B1Convencional pré-pagamentoResidencialResidencial baixa renda – faixa 01Não se aplicaNão se aplicaIntermediário",Mercado_Receita!$L$2:$L$1156)+SUMIF(Mercado_Receita!$S$2:$S$1156,"44682B1Convencional pré-pagamentoResidencialResidencial baixa renda – faixa 01Não se aplicaNão se aplicaNão se aplica",Mercado_Receita!$L$2:$L$1156)</f>
        <v>0</v>
      </c>
      <c r="P23" s="13">
        <f>SUMIF(Mercado_Receita!$S$2:$S$1156,"44713B1Convencional pré-pagamentoResidencialResidencial baixa renda – faixa 01Não se aplicaNão se aplicaPonta",Mercado_Receita!$L$2:$L$1156)+SUMIF(Mercado_Receita!$S$2:$S$1156,"44713B1Convencional pré-pagamentoResidencialResidencial baixa renda – faixa 01Não se aplicaNão se aplicaFora ponta",Mercado_Receita!$L$2:$L$1156)+SUMIF(Mercado_Receita!$S$2:$S$1156,"44713B1Convencional pré-pagamentoResidencialResidencial baixa renda – faixa 01Não se aplicaNão se aplicaIntermediário",Mercado_Receita!$L$2:$L$1156)+SUMIF(Mercado_Receita!$S$2:$S$1156,"44713B1Convencional pré-pagamentoResidencialResidencial baixa renda – faixa 01Não se aplicaNão se aplicaNão se aplica",Mercado_Receita!$L$2:$L$1156)</f>
        <v>0</v>
      </c>
      <c r="Q23" s="13">
        <f>SUMIF(Mercado_Receita!$S$2:$S$1156,"44743B1Convencional pré-pagamentoResidencialResidencial baixa renda – faixa 01Não se aplicaNão se aplicaPonta",Mercado_Receita!$L$2:$L$1156)+SUMIF(Mercado_Receita!$S$2:$S$1156,"44743B1Convencional pré-pagamentoResidencialResidencial baixa renda – faixa 01Não se aplicaNão se aplicaFora ponta",Mercado_Receita!$L$2:$L$1156)+SUMIF(Mercado_Receita!$S$2:$S$1156,"44743B1Convencional pré-pagamentoResidencialResidencial baixa renda – faixa 01Não se aplicaNão se aplicaIntermediário",Mercado_Receita!$L$2:$L$1156)+SUMIF(Mercado_Receita!$S$2:$S$1156,"44743B1Convencional pré-pagamentoResidencialResidencial baixa renda – faixa 01Não se aplicaNão se aplicaNão se aplica",Mercado_Receita!$L$2:$L$1156)</f>
        <v>0</v>
      </c>
      <c r="R23" s="13">
        <f>SUMIF(Mercado_Receita!$S$2:$S$1156,"44774B1Convencional pré-pagamentoResidencialResidencial baixa renda – faixa 01Não se aplicaNão se aplicaPonta",Mercado_Receita!$L$2:$L$1156)+SUMIF(Mercado_Receita!$S$2:$S$1156,"44774B1Convencional pré-pagamentoResidencialResidencial baixa renda – faixa 01Não se aplicaNão se aplicaFora ponta",Mercado_Receita!$L$2:$L$1156)+SUMIF(Mercado_Receita!$S$2:$S$1156,"44774B1Convencional pré-pagamentoResidencialResidencial baixa renda – faixa 01Não se aplicaNão se aplicaIntermediário",Mercado_Receita!$L$2:$L$1156)+SUMIF(Mercado_Receita!$S$2:$S$1156,"44774B1Convencional pré-pagamentoResidencialResidencial baixa renda – faixa 01Não se aplicaNão se aplicaNão se aplica",Mercado_Receita!$L$2:$L$1156)</f>
        <v>0</v>
      </c>
      <c r="S23" s="13">
        <f>SUMIF(Mercado_Receita!$S$2:$S$1156,"44805B1Convencional pré-pagamentoResidencialResidencial baixa renda – faixa 01Não se aplicaNão se aplicaPonta",Mercado_Receita!$L$2:$L$1156)+SUMIF(Mercado_Receita!$S$2:$S$1156,"44805B1Convencional pré-pagamentoResidencialResidencial baixa renda – faixa 01Não se aplicaNão se aplicaFora ponta",Mercado_Receita!$L$2:$L$1156)+SUMIF(Mercado_Receita!$S$2:$S$1156,"44805B1Convencional pré-pagamentoResidencialResidencial baixa renda – faixa 01Não se aplicaNão se aplicaIntermediário",Mercado_Receita!$L$2:$L$1156)+SUMIF(Mercado_Receita!$S$2:$S$1156,"44805B1Convencional pré-pagamentoResidencialResidencial baixa renda – faixa 01Não se aplicaNão se aplicaNão se aplica",Mercado_Receita!$L$2:$L$1156)</f>
        <v>0</v>
      </c>
      <c r="T23" s="13">
        <f>SUMIF(Mercado_Receita!$S$2:$S$1156,"44835B1Convencional pré-pagamentoResidencialResidencial baixa renda – faixa 01Não se aplicaNão se aplicaPonta",Mercado_Receita!$L$2:$L$1156)+SUMIF(Mercado_Receita!$S$2:$S$1156,"44835B1Convencional pré-pagamentoResidencialResidencial baixa renda – faixa 01Não se aplicaNão se aplicaFora ponta",Mercado_Receita!$L$2:$L$1156)+SUMIF(Mercado_Receita!$S$2:$S$1156,"44835B1Convencional pré-pagamentoResidencialResidencial baixa renda – faixa 01Não se aplicaNão se aplicaIntermediário",Mercado_Receita!$L$2:$L$1156)+SUMIF(Mercado_Receita!$S$2:$S$1156,"44835B1Convencional pré-pagamentoResidencialResidencial baixa renda – faixa 01Não se aplicaNão se aplicaNão se aplica",Mercado_Receita!$L$2:$L$1156)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3"/>
      <c r="B24" s="93"/>
      <c r="C24" s="93"/>
      <c r="D24" s="12" t="s">
        <v>30</v>
      </c>
      <c r="E24" s="12" t="s">
        <v>25</v>
      </c>
      <c r="F24" s="12" t="s">
        <v>25</v>
      </c>
      <c r="G24" s="13" t="s">
        <v>76</v>
      </c>
      <c r="H24" s="13" t="s">
        <v>72</v>
      </c>
      <c r="I24" s="13">
        <f>SUMIF(Mercado_Receita!$S$2:$S$1156,"44501B1Convencional pré-pagamentoResidencialResidencial baixa renda – faixa 02Não se aplicaNão se aplicaPonta",Mercado_Receita!$L$2:$L$1156)+SUMIF(Mercado_Receita!$S$2:$S$1156,"44501B1Convencional pré-pagamentoResidencialResidencial baixa renda – faixa 02Não se aplicaNão se aplicaFora ponta",Mercado_Receita!$L$2:$L$1156)+SUMIF(Mercado_Receita!$S$2:$S$1156,"44501B1Convencional pré-pagamentoResidencialResidencial baixa renda – faixa 02Não se aplicaNão se aplicaIntermediário",Mercado_Receita!$L$2:$L$1156)+SUMIF(Mercado_Receita!$S$2:$S$1156,"44501B1Convencional pré-pagamentoResidencialResidencial baixa renda – faixa 02Não se aplicaNão se aplicaNão se aplica",Mercado_Receita!$L$2:$L$1156)</f>
        <v>0</v>
      </c>
      <c r="J24" s="13">
        <f>SUMIF(Mercado_Receita!$S$2:$S$1156,"44531B1Convencional pré-pagamentoResidencialResidencial baixa renda – faixa 02Não se aplicaNão se aplicaPonta",Mercado_Receita!$L$2:$L$1156)+SUMIF(Mercado_Receita!$S$2:$S$1156,"44531B1Convencional pré-pagamentoResidencialResidencial baixa renda – faixa 02Não se aplicaNão se aplicaFora ponta",Mercado_Receita!$L$2:$L$1156)+SUMIF(Mercado_Receita!$S$2:$S$1156,"44531B1Convencional pré-pagamentoResidencialResidencial baixa renda – faixa 02Não se aplicaNão se aplicaIntermediário",Mercado_Receita!$L$2:$L$1156)+SUMIF(Mercado_Receita!$S$2:$S$1156,"44531B1Convencional pré-pagamentoResidencialResidencial baixa renda – faixa 02Não se aplicaNão se aplicaNão se aplica",Mercado_Receita!$L$2:$L$1156)</f>
        <v>0</v>
      </c>
      <c r="K24" s="13">
        <f>SUMIF(Mercado_Receita!$S$2:$S$1156,"44562B1Convencional pré-pagamentoResidencialResidencial baixa renda – faixa 02Não se aplicaNão se aplicaPonta",Mercado_Receita!$L$2:$L$1156)+SUMIF(Mercado_Receita!$S$2:$S$1156,"44562B1Convencional pré-pagamentoResidencialResidencial baixa renda – faixa 02Não se aplicaNão se aplicaFora ponta",Mercado_Receita!$L$2:$L$1156)+SUMIF(Mercado_Receita!$S$2:$S$1156,"44562B1Convencional pré-pagamentoResidencialResidencial baixa renda – faixa 02Não se aplicaNão se aplicaIntermediário",Mercado_Receita!$L$2:$L$1156)+SUMIF(Mercado_Receita!$S$2:$S$1156,"44562B1Convencional pré-pagamentoResidencialResidencial baixa renda – faixa 02Não se aplicaNão se aplicaNão se aplica",Mercado_Receita!$L$2:$L$1156)</f>
        <v>0</v>
      </c>
      <c r="L24" s="13">
        <f>SUMIF(Mercado_Receita!$S$2:$S$1156,"44593B1Convencional pré-pagamentoResidencialResidencial baixa renda – faixa 02Não se aplicaNão se aplicaPonta",Mercado_Receita!$L$2:$L$1156)+SUMIF(Mercado_Receita!$S$2:$S$1156,"44593B1Convencional pré-pagamentoResidencialResidencial baixa renda – faixa 02Não se aplicaNão se aplicaFora ponta",Mercado_Receita!$L$2:$L$1156)+SUMIF(Mercado_Receita!$S$2:$S$1156,"44593B1Convencional pré-pagamentoResidencialResidencial baixa renda – faixa 02Não se aplicaNão se aplicaIntermediário",Mercado_Receita!$L$2:$L$1156)+SUMIF(Mercado_Receita!$S$2:$S$1156,"44593B1Convencional pré-pagamentoResidencialResidencial baixa renda – faixa 02Não se aplicaNão se aplicaNão se aplica",Mercado_Receita!$L$2:$L$1156)</f>
        <v>0</v>
      </c>
      <c r="M24" s="13">
        <f>SUMIF(Mercado_Receita!$S$2:$S$1156,"44621B1Convencional pré-pagamentoResidencialResidencial baixa renda – faixa 02Não se aplicaNão se aplicaPonta",Mercado_Receita!$L$2:$L$1156)+SUMIF(Mercado_Receita!$S$2:$S$1156,"44621B1Convencional pré-pagamentoResidencialResidencial baixa renda – faixa 02Não se aplicaNão se aplicaFora ponta",Mercado_Receita!$L$2:$L$1156)+SUMIF(Mercado_Receita!$S$2:$S$1156,"44621B1Convencional pré-pagamentoResidencialResidencial baixa renda – faixa 02Não se aplicaNão se aplicaIntermediário",Mercado_Receita!$L$2:$L$1156)+SUMIF(Mercado_Receita!$S$2:$S$1156,"44621B1Convencional pré-pagamentoResidencialResidencial baixa renda – faixa 02Não se aplicaNão se aplicaNão se aplica",Mercado_Receita!$L$2:$L$1156)</f>
        <v>0</v>
      </c>
      <c r="N24" s="13">
        <f>SUMIF(Mercado_Receita!$S$2:$S$1156,"44652B1Convencional pré-pagamentoResidencialResidencial baixa renda – faixa 02Não se aplicaNão se aplicaPonta",Mercado_Receita!$L$2:$L$1156)+SUMIF(Mercado_Receita!$S$2:$S$1156,"44652B1Convencional pré-pagamentoResidencialResidencial baixa renda – faixa 02Não se aplicaNão se aplicaFora ponta",Mercado_Receita!$L$2:$L$1156)+SUMIF(Mercado_Receita!$S$2:$S$1156,"44652B1Convencional pré-pagamentoResidencialResidencial baixa renda – faixa 02Não se aplicaNão se aplicaIntermediário",Mercado_Receita!$L$2:$L$1156)+SUMIF(Mercado_Receita!$S$2:$S$1156,"44652B1Convencional pré-pagamentoResidencialResidencial baixa renda – faixa 02Não se aplicaNão se aplicaNão se aplica",Mercado_Receita!$L$2:$L$1156)</f>
        <v>0</v>
      </c>
      <c r="O24" s="13">
        <f>SUMIF(Mercado_Receita!$S$2:$S$1156,"44682B1Convencional pré-pagamentoResidencialResidencial baixa renda – faixa 02Não se aplicaNão se aplicaPonta",Mercado_Receita!$L$2:$L$1156)+SUMIF(Mercado_Receita!$S$2:$S$1156,"44682B1Convencional pré-pagamentoResidencialResidencial baixa renda – faixa 02Não se aplicaNão se aplicaFora ponta",Mercado_Receita!$L$2:$L$1156)+SUMIF(Mercado_Receita!$S$2:$S$1156,"44682B1Convencional pré-pagamentoResidencialResidencial baixa renda – faixa 02Não se aplicaNão se aplicaIntermediário",Mercado_Receita!$L$2:$L$1156)+SUMIF(Mercado_Receita!$S$2:$S$1156,"44682B1Convencional pré-pagamentoResidencialResidencial baixa renda – faixa 02Não se aplicaNão se aplicaNão se aplica",Mercado_Receita!$L$2:$L$1156)</f>
        <v>0</v>
      </c>
      <c r="P24" s="13">
        <f>SUMIF(Mercado_Receita!$S$2:$S$1156,"44713B1Convencional pré-pagamentoResidencialResidencial baixa renda – faixa 02Não se aplicaNão se aplicaPonta",Mercado_Receita!$L$2:$L$1156)+SUMIF(Mercado_Receita!$S$2:$S$1156,"44713B1Convencional pré-pagamentoResidencialResidencial baixa renda – faixa 02Não se aplicaNão se aplicaFora ponta",Mercado_Receita!$L$2:$L$1156)+SUMIF(Mercado_Receita!$S$2:$S$1156,"44713B1Convencional pré-pagamentoResidencialResidencial baixa renda – faixa 02Não se aplicaNão se aplicaIntermediário",Mercado_Receita!$L$2:$L$1156)+SUMIF(Mercado_Receita!$S$2:$S$1156,"44713B1Convencional pré-pagamentoResidencialResidencial baixa renda – faixa 02Não se aplicaNão se aplicaNão se aplica",Mercado_Receita!$L$2:$L$1156)</f>
        <v>0</v>
      </c>
      <c r="Q24" s="13">
        <f>SUMIF(Mercado_Receita!$S$2:$S$1156,"44743B1Convencional pré-pagamentoResidencialResidencial baixa renda – faixa 02Não se aplicaNão se aplicaPonta",Mercado_Receita!$L$2:$L$1156)+SUMIF(Mercado_Receita!$S$2:$S$1156,"44743B1Convencional pré-pagamentoResidencialResidencial baixa renda – faixa 02Não se aplicaNão se aplicaFora ponta",Mercado_Receita!$L$2:$L$1156)+SUMIF(Mercado_Receita!$S$2:$S$1156,"44743B1Convencional pré-pagamentoResidencialResidencial baixa renda – faixa 02Não se aplicaNão se aplicaIntermediário",Mercado_Receita!$L$2:$L$1156)+SUMIF(Mercado_Receita!$S$2:$S$1156,"44743B1Convencional pré-pagamentoResidencialResidencial baixa renda – faixa 02Não se aplicaNão se aplicaNão se aplica",Mercado_Receita!$L$2:$L$1156)</f>
        <v>0</v>
      </c>
      <c r="R24" s="13">
        <f>SUMIF(Mercado_Receita!$S$2:$S$1156,"44774B1Convencional pré-pagamentoResidencialResidencial baixa renda – faixa 02Não se aplicaNão se aplicaPonta",Mercado_Receita!$L$2:$L$1156)+SUMIF(Mercado_Receita!$S$2:$S$1156,"44774B1Convencional pré-pagamentoResidencialResidencial baixa renda – faixa 02Não se aplicaNão se aplicaFora ponta",Mercado_Receita!$L$2:$L$1156)+SUMIF(Mercado_Receita!$S$2:$S$1156,"44774B1Convencional pré-pagamentoResidencialResidencial baixa renda – faixa 02Não se aplicaNão se aplicaIntermediário",Mercado_Receita!$L$2:$L$1156)+SUMIF(Mercado_Receita!$S$2:$S$1156,"44774B1Convencional pré-pagamentoResidencialResidencial baixa renda – faixa 02Não se aplicaNão se aplicaNão se aplica",Mercado_Receita!$L$2:$L$1156)</f>
        <v>0</v>
      </c>
      <c r="S24" s="13">
        <f>SUMIF(Mercado_Receita!$S$2:$S$1156,"44805B1Convencional pré-pagamentoResidencialResidencial baixa renda – faixa 02Não se aplicaNão se aplicaPonta",Mercado_Receita!$L$2:$L$1156)+SUMIF(Mercado_Receita!$S$2:$S$1156,"44805B1Convencional pré-pagamentoResidencialResidencial baixa renda – faixa 02Não se aplicaNão se aplicaFora ponta",Mercado_Receita!$L$2:$L$1156)+SUMIF(Mercado_Receita!$S$2:$S$1156,"44805B1Convencional pré-pagamentoResidencialResidencial baixa renda – faixa 02Não se aplicaNão se aplicaIntermediário",Mercado_Receita!$L$2:$L$1156)+SUMIF(Mercado_Receita!$S$2:$S$1156,"44805B1Convencional pré-pagamentoResidencialResidencial baixa renda – faixa 02Não se aplicaNão se aplicaNão se aplica",Mercado_Receita!$L$2:$L$1156)</f>
        <v>0</v>
      </c>
      <c r="T24" s="13">
        <f>SUMIF(Mercado_Receita!$S$2:$S$1156,"44835B1Convencional pré-pagamentoResidencialResidencial baixa renda – faixa 02Não se aplicaNão se aplicaPonta",Mercado_Receita!$L$2:$L$1156)+SUMIF(Mercado_Receita!$S$2:$S$1156,"44835B1Convencional pré-pagamentoResidencialResidencial baixa renda – faixa 02Não se aplicaNão se aplicaFora ponta",Mercado_Receita!$L$2:$L$1156)+SUMIF(Mercado_Receita!$S$2:$S$1156,"44835B1Convencional pré-pagamentoResidencialResidencial baixa renda – faixa 02Não se aplicaNão se aplicaIntermediário",Mercado_Receita!$L$2:$L$1156)+SUMIF(Mercado_Receita!$S$2:$S$1156,"44835B1Convencional pré-pagamentoResidencialResidencial baixa renda – faixa 02Não se aplicaNão se aplicaNão se aplica",Mercado_Receita!$L$2:$L$1156)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3"/>
      <c r="B25" s="93"/>
      <c r="C25" s="93"/>
      <c r="D25" s="12" t="s">
        <v>31</v>
      </c>
      <c r="E25" s="12" t="s">
        <v>25</v>
      </c>
      <c r="F25" s="12" t="s">
        <v>25</v>
      </c>
      <c r="G25" s="13" t="s">
        <v>76</v>
      </c>
      <c r="H25" s="13" t="s">
        <v>72</v>
      </c>
      <c r="I25" s="13">
        <f>SUMIF(Mercado_Receita!$S$2:$S$1156,"44501B1Convencional pré-pagamentoResidencialResidencial baixa renda – faixa 03Não se aplicaNão se aplicaPonta",Mercado_Receita!$L$2:$L$1156)+SUMIF(Mercado_Receita!$S$2:$S$1156,"44501B1Convencional pré-pagamentoResidencialResidencial baixa renda – faixa 03Não se aplicaNão se aplicaFora ponta",Mercado_Receita!$L$2:$L$1156)+SUMIF(Mercado_Receita!$S$2:$S$1156,"44501B1Convencional pré-pagamentoResidencialResidencial baixa renda – faixa 03Não se aplicaNão se aplicaIntermediário",Mercado_Receita!$L$2:$L$1156)+SUMIF(Mercado_Receita!$S$2:$S$1156,"44501B1Convencional pré-pagamentoResidencialResidencial baixa renda – faixa 03Não se aplicaNão se aplicaNão se aplica",Mercado_Receita!$L$2:$L$1156)</f>
        <v>0</v>
      </c>
      <c r="J25" s="13">
        <f>SUMIF(Mercado_Receita!$S$2:$S$1156,"44531B1Convencional pré-pagamentoResidencialResidencial baixa renda – faixa 03Não se aplicaNão se aplicaPonta",Mercado_Receita!$L$2:$L$1156)+SUMIF(Mercado_Receita!$S$2:$S$1156,"44531B1Convencional pré-pagamentoResidencialResidencial baixa renda – faixa 03Não se aplicaNão se aplicaFora ponta",Mercado_Receita!$L$2:$L$1156)+SUMIF(Mercado_Receita!$S$2:$S$1156,"44531B1Convencional pré-pagamentoResidencialResidencial baixa renda – faixa 03Não se aplicaNão se aplicaIntermediário",Mercado_Receita!$L$2:$L$1156)+SUMIF(Mercado_Receita!$S$2:$S$1156,"44531B1Convencional pré-pagamentoResidencialResidencial baixa renda – faixa 03Não se aplicaNão se aplicaNão se aplica",Mercado_Receita!$L$2:$L$1156)</f>
        <v>0</v>
      </c>
      <c r="K25" s="13">
        <f>SUMIF(Mercado_Receita!$S$2:$S$1156,"44562B1Convencional pré-pagamentoResidencialResidencial baixa renda – faixa 03Não se aplicaNão se aplicaPonta",Mercado_Receita!$L$2:$L$1156)+SUMIF(Mercado_Receita!$S$2:$S$1156,"44562B1Convencional pré-pagamentoResidencialResidencial baixa renda – faixa 03Não se aplicaNão se aplicaFora ponta",Mercado_Receita!$L$2:$L$1156)+SUMIF(Mercado_Receita!$S$2:$S$1156,"44562B1Convencional pré-pagamentoResidencialResidencial baixa renda – faixa 03Não se aplicaNão se aplicaIntermediário",Mercado_Receita!$L$2:$L$1156)+SUMIF(Mercado_Receita!$S$2:$S$1156,"44562B1Convencional pré-pagamentoResidencialResidencial baixa renda – faixa 03Não se aplicaNão se aplicaNão se aplica",Mercado_Receita!$L$2:$L$1156)</f>
        <v>0</v>
      </c>
      <c r="L25" s="13">
        <f>SUMIF(Mercado_Receita!$S$2:$S$1156,"44593B1Convencional pré-pagamentoResidencialResidencial baixa renda – faixa 03Não se aplicaNão se aplicaPonta",Mercado_Receita!$L$2:$L$1156)+SUMIF(Mercado_Receita!$S$2:$S$1156,"44593B1Convencional pré-pagamentoResidencialResidencial baixa renda – faixa 03Não se aplicaNão se aplicaFora ponta",Mercado_Receita!$L$2:$L$1156)+SUMIF(Mercado_Receita!$S$2:$S$1156,"44593B1Convencional pré-pagamentoResidencialResidencial baixa renda – faixa 03Não se aplicaNão se aplicaIntermediário",Mercado_Receita!$L$2:$L$1156)+SUMIF(Mercado_Receita!$S$2:$S$1156,"44593B1Convencional pré-pagamentoResidencialResidencial baixa renda – faixa 03Não se aplicaNão se aplicaNão se aplica",Mercado_Receita!$L$2:$L$1156)</f>
        <v>0</v>
      </c>
      <c r="M25" s="13">
        <f>SUMIF(Mercado_Receita!$S$2:$S$1156,"44621B1Convencional pré-pagamentoResidencialResidencial baixa renda – faixa 03Não se aplicaNão se aplicaPonta",Mercado_Receita!$L$2:$L$1156)+SUMIF(Mercado_Receita!$S$2:$S$1156,"44621B1Convencional pré-pagamentoResidencialResidencial baixa renda – faixa 03Não se aplicaNão se aplicaFora ponta",Mercado_Receita!$L$2:$L$1156)+SUMIF(Mercado_Receita!$S$2:$S$1156,"44621B1Convencional pré-pagamentoResidencialResidencial baixa renda – faixa 03Não se aplicaNão se aplicaIntermediário",Mercado_Receita!$L$2:$L$1156)+SUMIF(Mercado_Receita!$S$2:$S$1156,"44621B1Convencional pré-pagamentoResidencialResidencial baixa renda – faixa 03Não se aplicaNão se aplicaNão se aplica",Mercado_Receita!$L$2:$L$1156)</f>
        <v>0</v>
      </c>
      <c r="N25" s="13">
        <f>SUMIF(Mercado_Receita!$S$2:$S$1156,"44652B1Convencional pré-pagamentoResidencialResidencial baixa renda – faixa 03Não se aplicaNão se aplicaPonta",Mercado_Receita!$L$2:$L$1156)+SUMIF(Mercado_Receita!$S$2:$S$1156,"44652B1Convencional pré-pagamentoResidencialResidencial baixa renda – faixa 03Não se aplicaNão se aplicaFora ponta",Mercado_Receita!$L$2:$L$1156)+SUMIF(Mercado_Receita!$S$2:$S$1156,"44652B1Convencional pré-pagamentoResidencialResidencial baixa renda – faixa 03Não se aplicaNão se aplicaIntermediário",Mercado_Receita!$L$2:$L$1156)+SUMIF(Mercado_Receita!$S$2:$S$1156,"44652B1Convencional pré-pagamentoResidencialResidencial baixa renda – faixa 03Não se aplicaNão se aplicaNão se aplica",Mercado_Receita!$L$2:$L$1156)</f>
        <v>0</v>
      </c>
      <c r="O25" s="13">
        <f>SUMIF(Mercado_Receita!$S$2:$S$1156,"44682B1Convencional pré-pagamentoResidencialResidencial baixa renda – faixa 03Não se aplicaNão se aplicaPonta",Mercado_Receita!$L$2:$L$1156)+SUMIF(Mercado_Receita!$S$2:$S$1156,"44682B1Convencional pré-pagamentoResidencialResidencial baixa renda – faixa 03Não se aplicaNão se aplicaFora ponta",Mercado_Receita!$L$2:$L$1156)+SUMIF(Mercado_Receita!$S$2:$S$1156,"44682B1Convencional pré-pagamentoResidencialResidencial baixa renda – faixa 03Não se aplicaNão se aplicaIntermediário",Mercado_Receita!$L$2:$L$1156)+SUMIF(Mercado_Receita!$S$2:$S$1156,"44682B1Convencional pré-pagamentoResidencialResidencial baixa renda – faixa 03Não se aplicaNão se aplicaNão se aplica",Mercado_Receita!$L$2:$L$1156)</f>
        <v>0</v>
      </c>
      <c r="P25" s="13">
        <f>SUMIF(Mercado_Receita!$S$2:$S$1156,"44713B1Convencional pré-pagamentoResidencialResidencial baixa renda – faixa 03Não se aplicaNão se aplicaPonta",Mercado_Receita!$L$2:$L$1156)+SUMIF(Mercado_Receita!$S$2:$S$1156,"44713B1Convencional pré-pagamentoResidencialResidencial baixa renda – faixa 03Não se aplicaNão se aplicaFora ponta",Mercado_Receita!$L$2:$L$1156)+SUMIF(Mercado_Receita!$S$2:$S$1156,"44713B1Convencional pré-pagamentoResidencialResidencial baixa renda – faixa 03Não se aplicaNão se aplicaIntermediário",Mercado_Receita!$L$2:$L$1156)+SUMIF(Mercado_Receita!$S$2:$S$1156,"44713B1Convencional pré-pagamentoResidencialResidencial baixa renda – faixa 03Não se aplicaNão se aplicaNão se aplica",Mercado_Receita!$L$2:$L$1156)</f>
        <v>0</v>
      </c>
      <c r="Q25" s="13">
        <f>SUMIF(Mercado_Receita!$S$2:$S$1156,"44743B1Convencional pré-pagamentoResidencialResidencial baixa renda – faixa 03Não se aplicaNão se aplicaPonta",Mercado_Receita!$L$2:$L$1156)+SUMIF(Mercado_Receita!$S$2:$S$1156,"44743B1Convencional pré-pagamentoResidencialResidencial baixa renda – faixa 03Não se aplicaNão se aplicaFora ponta",Mercado_Receita!$L$2:$L$1156)+SUMIF(Mercado_Receita!$S$2:$S$1156,"44743B1Convencional pré-pagamentoResidencialResidencial baixa renda – faixa 03Não se aplicaNão se aplicaIntermediário",Mercado_Receita!$L$2:$L$1156)+SUMIF(Mercado_Receita!$S$2:$S$1156,"44743B1Convencional pré-pagamentoResidencialResidencial baixa renda – faixa 03Não se aplicaNão se aplicaNão se aplica",Mercado_Receita!$L$2:$L$1156)</f>
        <v>0</v>
      </c>
      <c r="R25" s="13">
        <f>SUMIF(Mercado_Receita!$S$2:$S$1156,"44774B1Convencional pré-pagamentoResidencialResidencial baixa renda – faixa 03Não se aplicaNão se aplicaPonta",Mercado_Receita!$L$2:$L$1156)+SUMIF(Mercado_Receita!$S$2:$S$1156,"44774B1Convencional pré-pagamentoResidencialResidencial baixa renda – faixa 03Não se aplicaNão se aplicaFora ponta",Mercado_Receita!$L$2:$L$1156)+SUMIF(Mercado_Receita!$S$2:$S$1156,"44774B1Convencional pré-pagamentoResidencialResidencial baixa renda – faixa 03Não se aplicaNão se aplicaIntermediário",Mercado_Receita!$L$2:$L$1156)+SUMIF(Mercado_Receita!$S$2:$S$1156,"44774B1Convencional pré-pagamentoResidencialResidencial baixa renda – faixa 03Não se aplicaNão se aplicaNão se aplica",Mercado_Receita!$L$2:$L$1156)</f>
        <v>0</v>
      </c>
      <c r="S25" s="13">
        <f>SUMIF(Mercado_Receita!$S$2:$S$1156,"44805B1Convencional pré-pagamentoResidencialResidencial baixa renda – faixa 03Não se aplicaNão se aplicaPonta",Mercado_Receita!$L$2:$L$1156)+SUMIF(Mercado_Receita!$S$2:$S$1156,"44805B1Convencional pré-pagamentoResidencialResidencial baixa renda – faixa 03Não se aplicaNão se aplicaFora ponta",Mercado_Receita!$L$2:$L$1156)+SUMIF(Mercado_Receita!$S$2:$S$1156,"44805B1Convencional pré-pagamentoResidencialResidencial baixa renda – faixa 03Não se aplicaNão se aplicaIntermediário",Mercado_Receita!$L$2:$L$1156)+SUMIF(Mercado_Receita!$S$2:$S$1156,"44805B1Convencional pré-pagamentoResidencialResidencial baixa renda – faixa 03Não se aplicaNão se aplicaNão se aplica",Mercado_Receita!$L$2:$L$1156)</f>
        <v>0</v>
      </c>
      <c r="T25" s="13">
        <f>SUMIF(Mercado_Receita!$S$2:$S$1156,"44835B1Convencional pré-pagamentoResidencialResidencial baixa renda – faixa 03Não se aplicaNão se aplicaPonta",Mercado_Receita!$L$2:$L$1156)+SUMIF(Mercado_Receita!$S$2:$S$1156,"44835B1Convencional pré-pagamentoResidencialResidencial baixa renda – faixa 03Não se aplicaNão se aplicaFora ponta",Mercado_Receita!$L$2:$L$1156)+SUMIF(Mercado_Receita!$S$2:$S$1156,"44835B1Convencional pré-pagamentoResidencialResidencial baixa renda – faixa 03Não se aplicaNão se aplicaIntermediário",Mercado_Receita!$L$2:$L$1156)+SUMIF(Mercado_Receita!$S$2:$S$1156,"44835B1Convencional pré-pagamentoResidencialResidencial baixa renda – faixa 03Não se aplicaNão se aplicaNão se aplica",Mercado_Receita!$L$2:$L$1156)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3"/>
      <c r="B26" s="93"/>
      <c r="C26" s="93"/>
      <c r="D26" s="12" t="s">
        <v>32</v>
      </c>
      <c r="E26" s="12" t="s">
        <v>25</v>
      </c>
      <c r="F26" s="12" t="s">
        <v>25</v>
      </c>
      <c r="G26" s="13" t="s">
        <v>76</v>
      </c>
      <c r="H26" s="13" t="s">
        <v>72</v>
      </c>
      <c r="I26" s="13">
        <f>SUMIF(Mercado_Receita!$S$2:$S$1156,"44501B1Convencional pré-pagamentoResidencialResidencial baixa renda – faixa 04Não se aplicaNão se aplicaPonta",Mercado_Receita!$L$2:$L$1156)+SUMIF(Mercado_Receita!$S$2:$S$1156,"44501B1Convencional pré-pagamentoResidencialResidencial baixa renda – faixa 04Não se aplicaNão se aplicaFora ponta",Mercado_Receita!$L$2:$L$1156)+SUMIF(Mercado_Receita!$S$2:$S$1156,"44501B1Convencional pré-pagamentoResidencialResidencial baixa renda – faixa 04Não se aplicaNão se aplicaIntermediário",Mercado_Receita!$L$2:$L$1156)+SUMIF(Mercado_Receita!$S$2:$S$1156,"44501B1Convencional pré-pagamentoResidencialResidencial baixa renda – faixa 04Não se aplicaNão se aplicaNão se aplica",Mercado_Receita!$L$2:$L$1156)</f>
        <v>0</v>
      </c>
      <c r="J26" s="13">
        <f>SUMIF(Mercado_Receita!$S$2:$S$1156,"44531B1Convencional pré-pagamentoResidencialResidencial baixa renda – faixa 04Não se aplicaNão se aplicaPonta",Mercado_Receita!$L$2:$L$1156)+SUMIF(Mercado_Receita!$S$2:$S$1156,"44531B1Convencional pré-pagamentoResidencialResidencial baixa renda – faixa 04Não se aplicaNão se aplicaFora ponta",Mercado_Receita!$L$2:$L$1156)+SUMIF(Mercado_Receita!$S$2:$S$1156,"44531B1Convencional pré-pagamentoResidencialResidencial baixa renda – faixa 04Não se aplicaNão se aplicaIntermediário",Mercado_Receita!$L$2:$L$1156)+SUMIF(Mercado_Receita!$S$2:$S$1156,"44531B1Convencional pré-pagamentoResidencialResidencial baixa renda – faixa 04Não se aplicaNão se aplicaNão se aplica",Mercado_Receita!$L$2:$L$1156)</f>
        <v>0</v>
      </c>
      <c r="K26" s="13">
        <f>SUMIF(Mercado_Receita!$S$2:$S$1156,"44562B1Convencional pré-pagamentoResidencialResidencial baixa renda – faixa 04Não se aplicaNão se aplicaPonta",Mercado_Receita!$L$2:$L$1156)+SUMIF(Mercado_Receita!$S$2:$S$1156,"44562B1Convencional pré-pagamentoResidencialResidencial baixa renda – faixa 04Não se aplicaNão se aplicaFora ponta",Mercado_Receita!$L$2:$L$1156)+SUMIF(Mercado_Receita!$S$2:$S$1156,"44562B1Convencional pré-pagamentoResidencialResidencial baixa renda – faixa 04Não se aplicaNão se aplicaIntermediário",Mercado_Receita!$L$2:$L$1156)+SUMIF(Mercado_Receita!$S$2:$S$1156,"44562B1Convencional pré-pagamentoResidencialResidencial baixa renda – faixa 04Não se aplicaNão se aplicaNão se aplica",Mercado_Receita!$L$2:$L$1156)</f>
        <v>0</v>
      </c>
      <c r="L26" s="13">
        <f>SUMIF(Mercado_Receita!$S$2:$S$1156,"44593B1Convencional pré-pagamentoResidencialResidencial baixa renda – faixa 04Não se aplicaNão se aplicaPonta",Mercado_Receita!$L$2:$L$1156)+SUMIF(Mercado_Receita!$S$2:$S$1156,"44593B1Convencional pré-pagamentoResidencialResidencial baixa renda – faixa 04Não se aplicaNão se aplicaFora ponta",Mercado_Receita!$L$2:$L$1156)+SUMIF(Mercado_Receita!$S$2:$S$1156,"44593B1Convencional pré-pagamentoResidencialResidencial baixa renda – faixa 04Não se aplicaNão se aplicaIntermediário",Mercado_Receita!$L$2:$L$1156)+SUMIF(Mercado_Receita!$S$2:$S$1156,"44593B1Convencional pré-pagamentoResidencialResidencial baixa renda – faixa 04Não se aplicaNão se aplicaNão se aplica",Mercado_Receita!$L$2:$L$1156)</f>
        <v>0</v>
      </c>
      <c r="M26" s="13">
        <f>SUMIF(Mercado_Receita!$S$2:$S$1156,"44621B1Convencional pré-pagamentoResidencialResidencial baixa renda – faixa 04Não se aplicaNão se aplicaPonta",Mercado_Receita!$L$2:$L$1156)+SUMIF(Mercado_Receita!$S$2:$S$1156,"44621B1Convencional pré-pagamentoResidencialResidencial baixa renda – faixa 04Não se aplicaNão se aplicaFora ponta",Mercado_Receita!$L$2:$L$1156)+SUMIF(Mercado_Receita!$S$2:$S$1156,"44621B1Convencional pré-pagamentoResidencialResidencial baixa renda – faixa 04Não se aplicaNão se aplicaIntermediário",Mercado_Receita!$L$2:$L$1156)+SUMIF(Mercado_Receita!$S$2:$S$1156,"44621B1Convencional pré-pagamentoResidencialResidencial baixa renda – faixa 04Não se aplicaNão se aplicaNão se aplica",Mercado_Receita!$L$2:$L$1156)</f>
        <v>0</v>
      </c>
      <c r="N26" s="13">
        <f>SUMIF(Mercado_Receita!$S$2:$S$1156,"44652B1Convencional pré-pagamentoResidencialResidencial baixa renda – faixa 04Não se aplicaNão se aplicaPonta",Mercado_Receita!$L$2:$L$1156)+SUMIF(Mercado_Receita!$S$2:$S$1156,"44652B1Convencional pré-pagamentoResidencialResidencial baixa renda – faixa 04Não se aplicaNão se aplicaFora ponta",Mercado_Receita!$L$2:$L$1156)+SUMIF(Mercado_Receita!$S$2:$S$1156,"44652B1Convencional pré-pagamentoResidencialResidencial baixa renda – faixa 04Não se aplicaNão se aplicaIntermediário",Mercado_Receita!$L$2:$L$1156)+SUMIF(Mercado_Receita!$S$2:$S$1156,"44652B1Convencional pré-pagamentoResidencialResidencial baixa renda – faixa 04Não se aplicaNão se aplicaNão se aplica",Mercado_Receita!$L$2:$L$1156)</f>
        <v>0</v>
      </c>
      <c r="O26" s="13">
        <f>SUMIF(Mercado_Receita!$S$2:$S$1156,"44682B1Convencional pré-pagamentoResidencialResidencial baixa renda – faixa 04Não se aplicaNão se aplicaPonta",Mercado_Receita!$L$2:$L$1156)+SUMIF(Mercado_Receita!$S$2:$S$1156,"44682B1Convencional pré-pagamentoResidencialResidencial baixa renda – faixa 04Não se aplicaNão se aplicaFora ponta",Mercado_Receita!$L$2:$L$1156)+SUMIF(Mercado_Receita!$S$2:$S$1156,"44682B1Convencional pré-pagamentoResidencialResidencial baixa renda – faixa 04Não se aplicaNão se aplicaIntermediário",Mercado_Receita!$L$2:$L$1156)+SUMIF(Mercado_Receita!$S$2:$S$1156,"44682B1Convencional pré-pagamentoResidencialResidencial baixa renda – faixa 04Não se aplicaNão se aplicaNão se aplica",Mercado_Receita!$L$2:$L$1156)</f>
        <v>0</v>
      </c>
      <c r="P26" s="13">
        <f>SUMIF(Mercado_Receita!$S$2:$S$1156,"44713B1Convencional pré-pagamentoResidencialResidencial baixa renda – faixa 04Não se aplicaNão se aplicaPonta",Mercado_Receita!$L$2:$L$1156)+SUMIF(Mercado_Receita!$S$2:$S$1156,"44713B1Convencional pré-pagamentoResidencialResidencial baixa renda – faixa 04Não se aplicaNão se aplicaFora ponta",Mercado_Receita!$L$2:$L$1156)+SUMIF(Mercado_Receita!$S$2:$S$1156,"44713B1Convencional pré-pagamentoResidencialResidencial baixa renda – faixa 04Não se aplicaNão se aplicaIntermediário",Mercado_Receita!$L$2:$L$1156)+SUMIF(Mercado_Receita!$S$2:$S$1156,"44713B1Convencional pré-pagamentoResidencialResidencial baixa renda – faixa 04Não se aplicaNão se aplicaNão se aplica",Mercado_Receita!$L$2:$L$1156)</f>
        <v>0</v>
      </c>
      <c r="Q26" s="13">
        <f>SUMIF(Mercado_Receita!$S$2:$S$1156,"44743B1Convencional pré-pagamentoResidencialResidencial baixa renda – faixa 04Não se aplicaNão se aplicaPonta",Mercado_Receita!$L$2:$L$1156)+SUMIF(Mercado_Receita!$S$2:$S$1156,"44743B1Convencional pré-pagamentoResidencialResidencial baixa renda – faixa 04Não se aplicaNão se aplicaFora ponta",Mercado_Receita!$L$2:$L$1156)+SUMIF(Mercado_Receita!$S$2:$S$1156,"44743B1Convencional pré-pagamentoResidencialResidencial baixa renda – faixa 04Não se aplicaNão se aplicaIntermediário",Mercado_Receita!$L$2:$L$1156)+SUMIF(Mercado_Receita!$S$2:$S$1156,"44743B1Convencional pré-pagamentoResidencialResidencial baixa renda – faixa 04Não se aplicaNão se aplicaNão se aplica",Mercado_Receita!$L$2:$L$1156)</f>
        <v>0</v>
      </c>
      <c r="R26" s="13">
        <f>SUMIF(Mercado_Receita!$S$2:$S$1156,"44774B1Convencional pré-pagamentoResidencialResidencial baixa renda – faixa 04Não se aplicaNão se aplicaPonta",Mercado_Receita!$L$2:$L$1156)+SUMIF(Mercado_Receita!$S$2:$S$1156,"44774B1Convencional pré-pagamentoResidencialResidencial baixa renda – faixa 04Não se aplicaNão se aplicaFora ponta",Mercado_Receita!$L$2:$L$1156)+SUMIF(Mercado_Receita!$S$2:$S$1156,"44774B1Convencional pré-pagamentoResidencialResidencial baixa renda – faixa 04Não se aplicaNão se aplicaIntermediário",Mercado_Receita!$L$2:$L$1156)+SUMIF(Mercado_Receita!$S$2:$S$1156,"44774B1Convencional pré-pagamentoResidencialResidencial baixa renda – faixa 04Não se aplicaNão se aplicaNão se aplica",Mercado_Receita!$L$2:$L$1156)</f>
        <v>0</v>
      </c>
      <c r="S26" s="13">
        <f>SUMIF(Mercado_Receita!$S$2:$S$1156,"44805B1Convencional pré-pagamentoResidencialResidencial baixa renda – faixa 04Não se aplicaNão se aplicaPonta",Mercado_Receita!$L$2:$L$1156)+SUMIF(Mercado_Receita!$S$2:$S$1156,"44805B1Convencional pré-pagamentoResidencialResidencial baixa renda – faixa 04Não se aplicaNão se aplicaFora ponta",Mercado_Receita!$L$2:$L$1156)+SUMIF(Mercado_Receita!$S$2:$S$1156,"44805B1Convencional pré-pagamentoResidencialResidencial baixa renda – faixa 04Não se aplicaNão se aplicaIntermediário",Mercado_Receita!$L$2:$L$1156)+SUMIF(Mercado_Receita!$S$2:$S$1156,"44805B1Convencional pré-pagamentoResidencialResidencial baixa renda – faixa 04Não se aplicaNão se aplicaNão se aplica",Mercado_Receita!$L$2:$L$1156)</f>
        <v>0</v>
      </c>
      <c r="T26" s="13">
        <f>SUMIF(Mercado_Receita!$S$2:$S$1156,"44835B1Convencional pré-pagamentoResidencialResidencial baixa renda – faixa 04Não se aplicaNão se aplicaPonta",Mercado_Receita!$L$2:$L$1156)+SUMIF(Mercado_Receita!$S$2:$S$1156,"44835B1Convencional pré-pagamentoResidencialResidencial baixa renda – faixa 04Não se aplicaNão se aplicaFora ponta",Mercado_Receita!$L$2:$L$1156)+SUMIF(Mercado_Receita!$S$2:$S$1156,"44835B1Convencional pré-pagamentoResidencialResidencial baixa renda – faixa 04Não se aplicaNão se aplicaIntermediário",Mercado_Receita!$L$2:$L$1156)+SUMIF(Mercado_Receita!$S$2:$S$1156,"44835B1Convencional pré-pagamentoResidencialResidencial baixa renda – faixa 04Não se aplicaNão se aplicaNão se aplica",Mercado_Receita!$L$2:$L$1156)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2" t="s">
        <v>43</v>
      </c>
      <c r="B27" s="92" t="s">
        <v>33</v>
      </c>
      <c r="C27" s="92" t="s">
        <v>44</v>
      </c>
      <c r="D27" s="92" t="s">
        <v>25</v>
      </c>
      <c r="E27" s="92" t="s">
        <v>25</v>
      </c>
      <c r="F27" s="92" t="s">
        <v>25</v>
      </c>
      <c r="G27" s="13" t="s">
        <v>73</v>
      </c>
      <c r="H27" s="13" t="s">
        <v>72</v>
      </c>
      <c r="I27" s="13">
        <f>SUMIF(Mercado_Receita!$S$2:$S$1156,"44501B2BrancaRuralNão se aplicaNão se aplicaNão se aplicaPonta",Mercado_Receita!$L$2:$L$1156)</f>
        <v>1.4999999999999999E-2</v>
      </c>
      <c r="J27" s="13">
        <f>SUMIF(Mercado_Receita!$S$2:$S$1156,"44531B2BrancaRuralNão se aplicaNão se aplicaNão se aplicaPonta",Mercado_Receita!$L$2:$L$1156)</f>
        <v>1.2999999999999999E-2</v>
      </c>
      <c r="K27" s="13">
        <f>SUMIF(Mercado_Receita!$S$2:$S$1156,"44562B2BrancaRuralNão se aplicaNão se aplicaNão se aplicaPonta",Mercado_Receita!$L$2:$L$1156)</f>
        <v>1.9E-2</v>
      </c>
      <c r="L27" s="13">
        <f>SUMIF(Mercado_Receita!$S$2:$S$1156,"44593B2BrancaRuralNão se aplicaNão se aplicaNão se aplicaPonta",Mercado_Receita!$L$2:$L$1156)</f>
        <v>1.7999999999999999E-2</v>
      </c>
      <c r="M27" s="13">
        <f>SUMIF(Mercado_Receita!$S$2:$S$1156,"44621B2BrancaRuralNão se aplicaNão se aplicaNão se aplicaPonta",Mercado_Receita!$L$2:$L$1156)</f>
        <v>1.4999999999999999E-2</v>
      </c>
      <c r="N27" s="13">
        <f>SUMIF(Mercado_Receita!$S$2:$S$1156,"44652B2BrancaRuralNão se aplicaNão se aplicaNão se aplicaPonta",Mercado_Receita!$L$2:$L$1156)</f>
        <v>1.4999999999999999E-2</v>
      </c>
      <c r="O27" s="13">
        <f>SUMIF(Mercado_Receita!$S$2:$S$1156,"44682B2BrancaRuralNão se aplicaNão se aplicaNão se aplicaPonta",Mercado_Receita!$L$2:$L$1156)</f>
        <v>1.7000000000000001E-2</v>
      </c>
      <c r="P27" s="13">
        <f>SUMIF(Mercado_Receita!$S$2:$S$1156,"44713B2BrancaRuralNão se aplicaNão se aplicaNão se aplicaPonta",Mercado_Receita!$L$2:$L$1156)</f>
        <v>0</v>
      </c>
      <c r="Q27" s="13">
        <f>SUMIF(Mercado_Receita!$S$2:$S$1156,"44743B2BrancaRuralNão se aplicaNão se aplicaNão se aplicaPonta",Mercado_Receita!$L$2:$L$1156)</f>
        <v>0</v>
      </c>
      <c r="R27" s="13">
        <f>SUMIF(Mercado_Receita!$S$2:$S$1156,"44774B2BrancaRuralNão se aplicaNão se aplicaNão se aplicaPonta",Mercado_Receita!$L$2:$L$1156)</f>
        <v>0</v>
      </c>
      <c r="S27" s="13">
        <f>SUMIF(Mercado_Receita!$S$2:$S$1156,"44805B2BrancaRuralNão se aplicaNão se aplicaNão se aplicaPonta",Mercado_Receita!$L$2:$L$1156)</f>
        <v>0</v>
      </c>
      <c r="T27" s="13">
        <f>SUMIF(Mercado_Receita!$S$2:$S$1156,"44835B2BrancaRuralNão se aplicaNão se aplicaNão se aplicaPonta",Mercado_Receita!$L$2:$L$1156)</f>
        <v>0</v>
      </c>
      <c r="U27" s="13">
        <f t="shared" si="0"/>
        <v>0.112</v>
      </c>
      <c r="V27" s="13"/>
      <c r="W27" s="13"/>
    </row>
    <row r="28" spans="1:23" ht="11.25" customHeight="1" x14ac:dyDescent="0.25">
      <c r="A28" s="93"/>
      <c r="B28" s="93"/>
      <c r="C28" s="93"/>
      <c r="D28" s="93"/>
      <c r="E28" s="93"/>
      <c r="F28" s="93"/>
      <c r="G28" s="13" t="s">
        <v>85</v>
      </c>
      <c r="H28" s="13" t="s">
        <v>72</v>
      </c>
      <c r="I28" s="13">
        <f>SUMIF(Mercado_Receita!$S$2:$S$1156,"44501B2BrancaRuralNão se aplicaNão se aplicaNão se aplicaIntermediário",Mercado_Receita!$L$2:$L$1156)</f>
        <v>0.01</v>
      </c>
      <c r="J28" s="13">
        <f>SUMIF(Mercado_Receita!$S$2:$S$1156,"44531B2BrancaRuralNão se aplicaNão se aplicaNão se aplicaIntermediário",Mercado_Receita!$L$2:$L$1156)</f>
        <v>8.9999999999999993E-3</v>
      </c>
      <c r="K28" s="13">
        <f>SUMIF(Mercado_Receita!$S$2:$S$1156,"44562B2BrancaRuralNão se aplicaNão se aplicaNão se aplicaIntermediário",Mercado_Receita!$L$2:$L$1156)</f>
        <v>1.2999999999999999E-2</v>
      </c>
      <c r="L28" s="13">
        <f>SUMIF(Mercado_Receita!$S$2:$S$1156,"44593B2BrancaRuralNão se aplicaNão se aplicaNão se aplicaIntermediário",Mercado_Receita!$L$2:$L$1156)</f>
        <v>1.2E-2</v>
      </c>
      <c r="M28" s="13">
        <f>SUMIF(Mercado_Receita!$S$2:$S$1156,"44621B2BrancaRuralNão se aplicaNão se aplicaNão se aplicaIntermediário",Mercado_Receita!$L$2:$L$1156)</f>
        <v>0.01</v>
      </c>
      <c r="N28" s="13">
        <f>SUMIF(Mercado_Receita!$S$2:$S$1156,"44652B2BrancaRuralNão se aplicaNão se aplicaNão se aplicaIntermediário",Mercado_Receita!$L$2:$L$1156)</f>
        <v>0.01</v>
      </c>
      <c r="O28" s="13">
        <f>SUMIF(Mercado_Receita!$S$2:$S$1156,"44682B2BrancaRuralNão se aplicaNão se aplicaNão se aplicaIntermediário",Mercado_Receita!$L$2:$L$1156)</f>
        <v>1.0999999999999999E-2</v>
      </c>
      <c r="P28" s="13">
        <f>SUMIF(Mercado_Receita!$S$2:$S$1156,"44713B2BrancaRuralNão se aplicaNão se aplicaNão se aplicaIntermediário",Mercado_Receita!$L$2:$L$1156)</f>
        <v>0</v>
      </c>
      <c r="Q28" s="13">
        <f>SUMIF(Mercado_Receita!$S$2:$S$1156,"44743B2BrancaRuralNão se aplicaNão se aplicaNão se aplicaIntermediário",Mercado_Receita!$L$2:$L$1156)</f>
        <v>0</v>
      </c>
      <c r="R28" s="13">
        <f>SUMIF(Mercado_Receita!$S$2:$S$1156,"44774B2BrancaRuralNão se aplicaNão se aplicaNão se aplicaIntermediário",Mercado_Receita!$L$2:$L$1156)</f>
        <v>0</v>
      </c>
      <c r="S28" s="13">
        <f>SUMIF(Mercado_Receita!$S$2:$S$1156,"44805B2BrancaRuralNão se aplicaNão se aplicaNão se aplicaIntermediário",Mercado_Receita!$L$2:$L$1156)</f>
        <v>0</v>
      </c>
      <c r="T28" s="13">
        <f>SUMIF(Mercado_Receita!$S$2:$S$1156,"44835B2BrancaRuralNão se aplicaNão se aplicaNão se aplicaIntermediário",Mercado_Receita!$L$2:$L$1156)</f>
        <v>0</v>
      </c>
      <c r="U28" s="13">
        <f t="shared" si="0"/>
        <v>7.4999999999999997E-2</v>
      </c>
      <c r="V28" s="13"/>
      <c r="W28" s="13"/>
    </row>
    <row r="29" spans="1:23" ht="11.25" customHeight="1" x14ac:dyDescent="0.25">
      <c r="A29" s="93"/>
      <c r="B29" s="93"/>
      <c r="C29" s="93"/>
      <c r="D29" s="93"/>
      <c r="E29" s="93"/>
      <c r="F29" s="93"/>
      <c r="G29" s="13" t="s">
        <v>74</v>
      </c>
      <c r="H29" s="13" t="s">
        <v>72</v>
      </c>
      <c r="I29" s="13">
        <f>SUMIF(Mercado_Receita!$S$2:$S$1156,"44501B2BrancaRuralNão se aplicaNão se aplicaNão se aplicaFora ponta",Mercado_Receita!$L$2:$L$1156)</f>
        <v>0.129</v>
      </c>
      <c r="J29" s="13">
        <f>SUMIF(Mercado_Receita!$S$2:$S$1156,"44531B2BrancaRuralNão se aplicaNão se aplicaNão se aplicaFora ponta",Mercado_Receita!$L$2:$L$1156)</f>
        <v>0.115</v>
      </c>
      <c r="K29" s="13">
        <f>SUMIF(Mercado_Receita!$S$2:$S$1156,"44562B2BrancaRuralNão se aplicaNão se aplicaNão se aplicaFora ponta",Mercado_Receita!$L$2:$L$1156)</f>
        <v>0.17699999999999999</v>
      </c>
      <c r="L29" s="13">
        <f>SUMIF(Mercado_Receita!$S$2:$S$1156,"44593B2BrancaRuralNão se aplicaNão se aplicaNão se aplicaFora ponta",Mercado_Receita!$L$2:$L$1156)</f>
        <v>0.13400000000000001</v>
      </c>
      <c r="M29" s="13">
        <f>SUMIF(Mercado_Receita!$S$2:$S$1156,"44621B2BrancaRuralNão se aplicaNão se aplicaNão se aplicaFora ponta",Mercado_Receita!$L$2:$L$1156)</f>
        <v>0.11700000000000001</v>
      </c>
      <c r="N29" s="13">
        <f>SUMIF(Mercado_Receita!$S$2:$S$1156,"44652B2BrancaRuralNão se aplicaNão se aplicaNão se aplicaFora ponta",Mercado_Receita!$L$2:$L$1156)</f>
        <v>0.11700000000000001</v>
      </c>
      <c r="O29" s="13">
        <f>SUMIF(Mercado_Receita!$S$2:$S$1156,"44682B2BrancaRuralNão se aplicaNão se aplicaNão se aplicaFora ponta",Mercado_Receita!$L$2:$L$1156)</f>
        <v>0.127</v>
      </c>
      <c r="P29" s="13">
        <f>SUMIF(Mercado_Receita!$S$2:$S$1156,"44713B2BrancaRuralNão se aplicaNão se aplicaNão se aplicaFora ponta",Mercado_Receita!$L$2:$L$1156)</f>
        <v>0</v>
      </c>
      <c r="Q29" s="13">
        <f>SUMIF(Mercado_Receita!$S$2:$S$1156,"44743B2BrancaRuralNão se aplicaNão se aplicaNão se aplicaFora ponta",Mercado_Receita!$L$2:$L$1156)</f>
        <v>0</v>
      </c>
      <c r="R29" s="13">
        <f>SUMIF(Mercado_Receita!$S$2:$S$1156,"44774B2BrancaRuralNão se aplicaNão se aplicaNão se aplicaFora ponta",Mercado_Receita!$L$2:$L$1156)</f>
        <v>0</v>
      </c>
      <c r="S29" s="13">
        <f>SUMIF(Mercado_Receita!$S$2:$S$1156,"44805B2BrancaRuralNão se aplicaNão se aplicaNão se aplicaFora ponta",Mercado_Receita!$L$2:$L$1156)</f>
        <v>0</v>
      </c>
      <c r="T29" s="13">
        <f>SUMIF(Mercado_Receita!$S$2:$S$1156,"44835B2BrancaRuralNão se aplicaNão se aplicaNão se aplicaFora ponta",Mercado_Receita!$L$2:$L$1156)</f>
        <v>0</v>
      </c>
      <c r="U29" s="13">
        <f t="shared" si="0"/>
        <v>0.91599999999999993</v>
      </c>
      <c r="V29" s="13"/>
      <c r="W29" s="13"/>
    </row>
    <row r="30" spans="1:23" ht="11.25" customHeight="1" x14ac:dyDescent="0.25">
      <c r="A30" s="93"/>
      <c r="B30" s="12" t="s">
        <v>23</v>
      </c>
      <c r="C30" s="12" t="s">
        <v>44</v>
      </c>
      <c r="D30" s="12" t="s">
        <v>25</v>
      </c>
      <c r="E30" s="12" t="s">
        <v>25</v>
      </c>
      <c r="F30" s="12" t="s">
        <v>25</v>
      </c>
      <c r="G30" s="13" t="s">
        <v>76</v>
      </c>
      <c r="H30" s="13" t="s">
        <v>72</v>
      </c>
      <c r="I30" s="13">
        <f>SUMIF(Mercado_Receita!$S$2:$S$1156,"44501B2ConvencionalRuralNão se aplicaNão se aplicaNão se aplicaPonta",Mercado_Receita!$L$2:$L$1156)+SUMIF(Mercado_Receita!$S$2:$S$1156,"44501B2ConvencionalRuralNão se aplicaNão se aplicaNão se aplicaFora ponta",Mercado_Receita!$L$2:$L$1156)+SUMIF(Mercado_Receita!$S$2:$S$1156,"44501B2ConvencionalRuralNão se aplicaNão se aplicaNão se aplicaIntermediário",Mercado_Receita!$L$2:$L$1156)+SUMIF(Mercado_Receita!$S$2:$S$1156,"44501B2ConvencionalRuralNão se aplicaNão se aplicaNão se aplicaNão se aplica",Mercado_Receita!$L$2:$L$1156)</f>
        <v>4832.1909999999998</v>
      </c>
      <c r="J30" s="13">
        <f>SUMIF(Mercado_Receita!$S$2:$S$1156,"44531B2ConvencionalRuralNão se aplicaNão se aplicaNão se aplicaPonta",Mercado_Receita!$L$2:$L$1156)+SUMIF(Mercado_Receita!$S$2:$S$1156,"44531B2ConvencionalRuralNão se aplicaNão se aplicaNão se aplicaFora ponta",Mercado_Receita!$L$2:$L$1156)+SUMIF(Mercado_Receita!$S$2:$S$1156,"44531B2ConvencionalRuralNão se aplicaNão se aplicaNão se aplicaIntermediário",Mercado_Receita!$L$2:$L$1156)+SUMIF(Mercado_Receita!$S$2:$S$1156,"44531B2ConvencionalRuralNão se aplicaNão se aplicaNão se aplicaNão se aplica",Mercado_Receita!$L$2:$L$1156)</f>
        <v>4668.2359999999999</v>
      </c>
      <c r="K30" s="13">
        <f>SUMIF(Mercado_Receita!$S$2:$S$1156,"44562B2ConvencionalRuralNão se aplicaNão se aplicaNão se aplicaPonta",Mercado_Receita!$L$2:$L$1156)+SUMIF(Mercado_Receita!$S$2:$S$1156,"44562B2ConvencionalRuralNão se aplicaNão se aplicaNão se aplicaFora ponta",Mercado_Receita!$L$2:$L$1156)+SUMIF(Mercado_Receita!$S$2:$S$1156,"44562B2ConvencionalRuralNão se aplicaNão se aplicaNão se aplicaIntermediário",Mercado_Receita!$L$2:$L$1156)+SUMIF(Mercado_Receita!$S$2:$S$1156,"44562B2ConvencionalRuralNão se aplicaNão se aplicaNão se aplicaNão se aplica",Mercado_Receita!$L$2:$L$1156)</f>
        <v>4754.4780000000001</v>
      </c>
      <c r="L30" s="13">
        <f>SUMIF(Mercado_Receita!$S$2:$S$1156,"44593B2ConvencionalRuralNão se aplicaNão se aplicaNão se aplicaPonta",Mercado_Receita!$L$2:$L$1156)+SUMIF(Mercado_Receita!$S$2:$S$1156,"44593B2ConvencionalRuralNão se aplicaNão se aplicaNão se aplicaFora ponta",Mercado_Receita!$L$2:$L$1156)+SUMIF(Mercado_Receita!$S$2:$S$1156,"44593B2ConvencionalRuralNão se aplicaNão se aplicaNão se aplicaIntermediário",Mercado_Receita!$L$2:$L$1156)+SUMIF(Mercado_Receita!$S$2:$S$1156,"44593B2ConvencionalRuralNão se aplicaNão se aplicaNão se aplicaNão se aplica",Mercado_Receita!$L$2:$L$1156)</f>
        <v>4828.9259999999995</v>
      </c>
      <c r="M30" s="13">
        <f>SUMIF(Mercado_Receita!$S$2:$S$1156,"44621B2ConvencionalRuralNão se aplicaNão se aplicaNão se aplicaPonta",Mercado_Receita!$L$2:$L$1156)+SUMIF(Mercado_Receita!$S$2:$S$1156,"44621B2ConvencionalRuralNão se aplicaNão se aplicaNão se aplicaFora ponta",Mercado_Receita!$L$2:$L$1156)+SUMIF(Mercado_Receita!$S$2:$S$1156,"44621B2ConvencionalRuralNão se aplicaNão se aplicaNão se aplicaIntermediário",Mercado_Receita!$L$2:$L$1156)+SUMIF(Mercado_Receita!$S$2:$S$1156,"44621B2ConvencionalRuralNão se aplicaNão se aplicaNão se aplicaNão se aplica",Mercado_Receita!$L$2:$L$1156)</f>
        <v>4625.665</v>
      </c>
      <c r="N30" s="13">
        <f>SUMIF(Mercado_Receita!$S$2:$S$1156,"44652B2ConvencionalRuralNão se aplicaNão se aplicaNão se aplicaPonta",Mercado_Receita!$L$2:$L$1156)+SUMIF(Mercado_Receita!$S$2:$S$1156,"44652B2ConvencionalRuralNão se aplicaNão se aplicaNão se aplicaFora ponta",Mercado_Receita!$L$2:$L$1156)+SUMIF(Mercado_Receita!$S$2:$S$1156,"44652B2ConvencionalRuralNão se aplicaNão se aplicaNão se aplicaIntermediário",Mercado_Receita!$L$2:$L$1156)+SUMIF(Mercado_Receita!$S$2:$S$1156,"44652B2ConvencionalRuralNão se aplicaNão se aplicaNão se aplicaNão se aplica",Mercado_Receita!$L$2:$L$1156)</f>
        <v>4625.665</v>
      </c>
      <c r="O30" s="13">
        <f>SUMIF(Mercado_Receita!$S$2:$S$1156,"44682B2ConvencionalRuralNão se aplicaNão se aplicaNão se aplicaPonta",Mercado_Receita!$L$2:$L$1156)+SUMIF(Mercado_Receita!$S$2:$S$1156,"44682B2ConvencionalRuralNão se aplicaNão se aplicaNão se aplicaFora ponta",Mercado_Receita!$L$2:$L$1156)+SUMIF(Mercado_Receita!$S$2:$S$1156,"44682B2ConvencionalRuralNão se aplicaNão se aplicaNão se aplicaIntermediário",Mercado_Receita!$L$2:$L$1156)+SUMIF(Mercado_Receita!$S$2:$S$1156,"44682B2ConvencionalRuralNão se aplicaNão se aplicaNão se aplicaNão se aplica",Mercado_Receita!$L$2:$L$1156)</f>
        <v>4478.04</v>
      </c>
      <c r="P30" s="13">
        <f>SUMIF(Mercado_Receita!$S$2:$S$1156,"44713B2ConvencionalRuralNão se aplicaNão se aplicaNão se aplicaPonta",Mercado_Receita!$L$2:$L$1156)+SUMIF(Mercado_Receita!$S$2:$S$1156,"44713B2ConvencionalRuralNão se aplicaNão se aplicaNão se aplicaFora ponta",Mercado_Receita!$L$2:$L$1156)+SUMIF(Mercado_Receita!$S$2:$S$1156,"44713B2ConvencionalRuralNão se aplicaNão se aplicaNão se aplicaIntermediário",Mercado_Receita!$L$2:$L$1156)+SUMIF(Mercado_Receita!$S$2:$S$1156,"44713B2ConvencionalRuralNão se aplicaNão se aplicaNão se aplicaNão se aplica",Mercado_Receita!$L$2:$L$1156)</f>
        <v>4164.9710000000005</v>
      </c>
      <c r="Q30" s="13">
        <f>SUMIF(Mercado_Receita!$S$2:$S$1156,"44743B2ConvencionalRuralNão se aplicaNão se aplicaNão se aplicaPonta",Mercado_Receita!$L$2:$L$1156)+SUMIF(Mercado_Receita!$S$2:$S$1156,"44743B2ConvencionalRuralNão se aplicaNão se aplicaNão se aplicaFora ponta",Mercado_Receita!$L$2:$L$1156)+SUMIF(Mercado_Receita!$S$2:$S$1156,"44743B2ConvencionalRuralNão se aplicaNão se aplicaNão se aplicaIntermediário",Mercado_Receita!$L$2:$L$1156)+SUMIF(Mercado_Receita!$S$2:$S$1156,"44743B2ConvencionalRuralNão se aplicaNão se aplicaNão se aplicaNão se aplica",Mercado_Receita!$L$2:$L$1156)</f>
        <v>4060.9649999999997</v>
      </c>
      <c r="R30" s="13">
        <f>SUMIF(Mercado_Receita!$S$2:$S$1156,"44774B2ConvencionalRuralNão se aplicaNão se aplicaNão se aplicaPonta",Mercado_Receita!$L$2:$L$1156)+SUMIF(Mercado_Receita!$S$2:$S$1156,"44774B2ConvencionalRuralNão se aplicaNão se aplicaNão se aplicaFora ponta",Mercado_Receita!$L$2:$L$1156)+SUMIF(Mercado_Receita!$S$2:$S$1156,"44774B2ConvencionalRuralNão se aplicaNão se aplicaNão se aplicaIntermediário",Mercado_Receita!$L$2:$L$1156)+SUMIF(Mercado_Receita!$S$2:$S$1156,"44774B2ConvencionalRuralNão se aplicaNão se aplicaNão se aplicaNão se aplica",Mercado_Receita!$L$2:$L$1156)</f>
        <v>4662.598</v>
      </c>
      <c r="S30" s="13">
        <f>SUMIF(Mercado_Receita!$S$2:$S$1156,"44805B2ConvencionalRuralNão se aplicaNão se aplicaNão se aplicaPonta",Mercado_Receita!$L$2:$L$1156)+SUMIF(Mercado_Receita!$S$2:$S$1156,"44805B2ConvencionalRuralNão se aplicaNão se aplicaNão se aplicaFora ponta",Mercado_Receita!$L$2:$L$1156)+SUMIF(Mercado_Receita!$S$2:$S$1156,"44805B2ConvencionalRuralNão se aplicaNão se aplicaNão se aplicaIntermediário",Mercado_Receita!$L$2:$L$1156)+SUMIF(Mercado_Receita!$S$2:$S$1156,"44805B2ConvencionalRuralNão se aplicaNão se aplicaNão se aplicaNão se aplica",Mercado_Receita!$L$2:$L$1156)</f>
        <v>4557.857</v>
      </c>
      <c r="T30" s="13">
        <f>SUMIF(Mercado_Receita!$S$2:$S$1156,"44835B2ConvencionalRuralNão se aplicaNão se aplicaNão se aplicaPonta",Mercado_Receita!$L$2:$L$1156)+SUMIF(Mercado_Receita!$S$2:$S$1156,"44835B2ConvencionalRuralNão se aplicaNão se aplicaNão se aplicaFora ponta",Mercado_Receita!$L$2:$L$1156)+SUMIF(Mercado_Receita!$S$2:$S$1156,"44835B2ConvencionalRuralNão se aplicaNão se aplicaNão se aplicaIntermediário",Mercado_Receita!$L$2:$L$1156)+SUMIF(Mercado_Receita!$S$2:$S$1156,"44835B2ConvencionalRuralNão se aplicaNão se aplicaNão se aplicaNão se aplica",Mercado_Receita!$L$2:$L$1156)</f>
        <v>4557.857</v>
      </c>
      <c r="U30" s="13">
        <f t="shared" si="0"/>
        <v>54817.448999999993</v>
      </c>
      <c r="V30" s="13"/>
      <c r="W30" s="13"/>
    </row>
    <row r="31" spans="1:23" ht="11.25" customHeight="1" x14ac:dyDescent="0.25">
      <c r="A31" s="93"/>
      <c r="B31" s="92" t="s">
        <v>33</v>
      </c>
      <c r="C31" s="92" t="s">
        <v>44</v>
      </c>
      <c r="D31" s="92" t="s">
        <v>88</v>
      </c>
      <c r="E31" s="92" t="s">
        <v>25</v>
      </c>
      <c r="F31" s="92" t="s">
        <v>25</v>
      </c>
      <c r="G31" s="13" t="s">
        <v>73</v>
      </c>
      <c r="H31" s="13" t="s">
        <v>72</v>
      </c>
      <c r="I31" s="13">
        <f>SUMIF(Mercado_Receita!$S$2:$S$1156,"44501B2BrancaRuralCooperativa de eletrificação ruralNão se aplicaNão se aplicaPonta",Mercado_Receita!$L$2:$L$1156)</f>
        <v>0</v>
      </c>
      <c r="J31" s="13">
        <f>SUMIF(Mercado_Receita!$S$2:$S$1156,"44531B2BrancaRuralCooperativa de eletrificação ruralNão se aplicaNão se aplicaPonta",Mercado_Receita!$L$2:$L$1156)</f>
        <v>0</v>
      </c>
      <c r="K31" s="13">
        <f>SUMIF(Mercado_Receita!$S$2:$S$1156,"44562B2BrancaRuralCooperativa de eletrificação ruralNão se aplicaNão se aplicaPonta",Mercado_Receita!$L$2:$L$1156)</f>
        <v>0</v>
      </c>
      <c r="L31" s="13">
        <f>SUMIF(Mercado_Receita!$S$2:$S$1156,"44593B2BrancaRuralCooperativa de eletrificação ruralNão se aplicaNão se aplicaPonta",Mercado_Receita!$L$2:$L$1156)</f>
        <v>0</v>
      </c>
      <c r="M31" s="13">
        <f>SUMIF(Mercado_Receita!$S$2:$S$1156,"44621B2BrancaRuralCooperativa de eletrificação ruralNão se aplicaNão se aplicaPonta",Mercado_Receita!$L$2:$L$1156)</f>
        <v>0</v>
      </c>
      <c r="N31" s="13">
        <f>SUMIF(Mercado_Receita!$S$2:$S$1156,"44652B2BrancaRuralCooperativa de eletrificação ruralNão se aplicaNão se aplicaPonta",Mercado_Receita!$L$2:$L$1156)</f>
        <v>0</v>
      </c>
      <c r="O31" s="13">
        <f>SUMIF(Mercado_Receita!$S$2:$S$1156,"44682B2BrancaRuralCooperativa de eletrificação ruralNão se aplicaNão se aplicaPonta",Mercado_Receita!$L$2:$L$1156)</f>
        <v>0</v>
      </c>
      <c r="P31" s="13">
        <f>SUMIF(Mercado_Receita!$S$2:$S$1156,"44713B2BrancaRuralCooperativa de eletrificação ruralNão se aplicaNão se aplicaPonta",Mercado_Receita!$L$2:$L$1156)</f>
        <v>0</v>
      </c>
      <c r="Q31" s="13">
        <f>SUMIF(Mercado_Receita!$S$2:$S$1156,"44743B2BrancaRuralCooperativa de eletrificação ruralNão se aplicaNão se aplicaPonta",Mercado_Receita!$L$2:$L$1156)</f>
        <v>0</v>
      </c>
      <c r="R31" s="13">
        <f>SUMIF(Mercado_Receita!$S$2:$S$1156,"44774B2BrancaRuralCooperativa de eletrificação ruralNão se aplicaNão se aplicaPonta",Mercado_Receita!$L$2:$L$1156)</f>
        <v>0</v>
      </c>
      <c r="S31" s="13">
        <f>SUMIF(Mercado_Receita!$S$2:$S$1156,"44805B2BrancaRuralCooperativa de eletrificação ruralNão se aplicaNão se aplicaPonta",Mercado_Receita!$L$2:$L$1156)</f>
        <v>0</v>
      </c>
      <c r="T31" s="13">
        <f>SUMIF(Mercado_Receita!$S$2:$S$1156,"44835B2BrancaRuralCooperativa de eletrificação ruralNão se aplicaNão se aplicaPonta",Mercado_Receita!$L$2:$L$1156)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3"/>
      <c r="B32" s="93"/>
      <c r="C32" s="93"/>
      <c r="D32" s="93"/>
      <c r="E32" s="93"/>
      <c r="F32" s="93"/>
      <c r="G32" s="13" t="s">
        <v>85</v>
      </c>
      <c r="H32" s="13" t="s">
        <v>72</v>
      </c>
      <c r="I32" s="13">
        <f>SUMIF(Mercado_Receita!$S$2:$S$1156,"44501B2BrancaRuralCooperativa de eletrificação ruralNão se aplicaNão se aplicaIntermediário",Mercado_Receita!$L$2:$L$1156)</f>
        <v>0</v>
      </c>
      <c r="J32" s="13">
        <f>SUMIF(Mercado_Receita!$S$2:$S$1156,"44531B2BrancaRuralCooperativa de eletrificação ruralNão se aplicaNão se aplicaIntermediário",Mercado_Receita!$L$2:$L$1156)</f>
        <v>0</v>
      </c>
      <c r="K32" s="13">
        <f>SUMIF(Mercado_Receita!$S$2:$S$1156,"44562B2BrancaRuralCooperativa de eletrificação ruralNão se aplicaNão se aplicaIntermediário",Mercado_Receita!$L$2:$L$1156)</f>
        <v>0</v>
      </c>
      <c r="L32" s="13">
        <f>SUMIF(Mercado_Receita!$S$2:$S$1156,"44593B2BrancaRuralCooperativa de eletrificação ruralNão se aplicaNão se aplicaIntermediário",Mercado_Receita!$L$2:$L$1156)</f>
        <v>0</v>
      </c>
      <c r="M32" s="13">
        <f>SUMIF(Mercado_Receita!$S$2:$S$1156,"44621B2BrancaRuralCooperativa de eletrificação ruralNão se aplicaNão se aplicaIntermediário",Mercado_Receita!$L$2:$L$1156)</f>
        <v>0</v>
      </c>
      <c r="N32" s="13">
        <f>SUMIF(Mercado_Receita!$S$2:$S$1156,"44652B2BrancaRuralCooperativa de eletrificação ruralNão se aplicaNão se aplicaIntermediário",Mercado_Receita!$L$2:$L$1156)</f>
        <v>0</v>
      </c>
      <c r="O32" s="13">
        <f>SUMIF(Mercado_Receita!$S$2:$S$1156,"44682B2BrancaRuralCooperativa de eletrificação ruralNão se aplicaNão se aplicaIntermediário",Mercado_Receita!$L$2:$L$1156)</f>
        <v>0</v>
      </c>
      <c r="P32" s="13">
        <f>SUMIF(Mercado_Receita!$S$2:$S$1156,"44713B2BrancaRuralCooperativa de eletrificação ruralNão se aplicaNão se aplicaIntermediário",Mercado_Receita!$L$2:$L$1156)</f>
        <v>0</v>
      </c>
      <c r="Q32" s="13">
        <f>SUMIF(Mercado_Receita!$S$2:$S$1156,"44743B2BrancaRuralCooperativa de eletrificação ruralNão se aplicaNão se aplicaIntermediário",Mercado_Receita!$L$2:$L$1156)</f>
        <v>0</v>
      </c>
      <c r="R32" s="13">
        <f>SUMIF(Mercado_Receita!$S$2:$S$1156,"44774B2BrancaRuralCooperativa de eletrificação ruralNão se aplicaNão se aplicaIntermediário",Mercado_Receita!$L$2:$L$1156)</f>
        <v>0</v>
      </c>
      <c r="S32" s="13">
        <f>SUMIF(Mercado_Receita!$S$2:$S$1156,"44805B2BrancaRuralCooperativa de eletrificação ruralNão se aplicaNão se aplicaIntermediário",Mercado_Receita!$L$2:$L$1156)</f>
        <v>0</v>
      </c>
      <c r="T32" s="13">
        <f>SUMIF(Mercado_Receita!$S$2:$S$1156,"44835B2BrancaRuralCooperativa de eletrificação ruralNão se aplicaNão se aplicaIntermediário",Mercado_Receita!$L$2:$L$1156)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3"/>
      <c r="B33" s="93"/>
      <c r="C33" s="93"/>
      <c r="D33" s="93"/>
      <c r="E33" s="93"/>
      <c r="F33" s="93"/>
      <c r="G33" s="13" t="s">
        <v>74</v>
      </c>
      <c r="H33" s="13" t="s">
        <v>72</v>
      </c>
      <c r="I33" s="13">
        <f>SUMIF(Mercado_Receita!$S$2:$S$1156,"44501B2BrancaRuralCooperativa de eletrificação ruralNão se aplicaNão se aplicaFora ponta",Mercado_Receita!$L$2:$L$1156)</f>
        <v>0</v>
      </c>
      <c r="J33" s="13">
        <f>SUMIF(Mercado_Receita!$S$2:$S$1156,"44531B2BrancaRuralCooperativa de eletrificação ruralNão se aplicaNão se aplicaFora ponta",Mercado_Receita!$L$2:$L$1156)</f>
        <v>0</v>
      </c>
      <c r="K33" s="13">
        <f>SUMIF(Mercado_Receita!$S$2:$S$1156,"44562B2BrancaRuralCooperativa de eletrificação ruralNão se aplicaNão se aplicaFora ponta",Mercado_Receita!$L$2:$L$1156)</f>
        <v>0</v>
      </c>
      <c r="L33" s="13">
        <f>SUMIF(Mercado_Receita!$S$2:$S$1156,"44593B2BrancaRuralCooperativa de eletrificação ruralNão se aplicaNão se aplicaFora ponta",Mercado_Receita!$L$2:$L$1156)</f>
        <v>0</v>
      </c>
      <c r="M33" s="13">
        <f>SUMIF(Mercado_Receita!$S$2:$S$1156,"44621B2BrancaRuralCooperativa de eletrificação ruralNão se aplicaNão se aplicaFora ponta",Mercado_Receita!$L$2:$L$1156)</f>
        <v>0</v>
      </c>
      <c r="N33" s="13">
        <f>SUMIF(Mercado_Receita!$S$2:$S$1156,"44652B2BrancaRuralCooperativa de eletrificação ruralNão se aplicaNão se aplicaFora ponta",Mercado_Receita!$L$2:$L$1156)</f>
        <v>0</v>
      </c>
      <c r="O33" s="13">
        <f>SUMIF(Mercado_Receita!$S$2:$S$1156,"44682B2BrancaRuralCooperativa de eletrificação ruralNão se aplicaNão se aplicaFora ponta",Mercado_Receita!$L$2:$L$1156)</f>
        <v>0</v>
      </c>
      <c r="P33" s="13">
        <f>SUMIF(Mercado_Receita!$S$2:$S$1156,"44713B2BrancaRuralCooperativa de eletrificação ruralNão se aplicaNão se aplicaFora ponta",Mercado_Receita!$L$2:$L$1156)</f>
        <v>0</v>
      </c>
      <c r="Q33" s="13">
        <f>SUMIF(Mercado_Receita!$S$2:$S$1156,"44743B2BrancaRuralCooperativa de eletrificação ruralNão se aplicaNão se aplicaFora ponta",Mercado_Receita!$L$2:$L$1156)</f>
        <v>0</v>
      </c>
      <c r="R33" s="13">
        <f>SUMIF(Mercado_Receita!$S$2:$S$1156,"44774B2BrancaRuralCooperativa de eletrificação ruralNão se aplicaNão se aplicaFora ponta",Mercado_Receita!$L$2:$L$1156)</f>
        <v>0</v>
      </c>
      <c r="S33" s="13">
        <f>SUMIF(Mercado_Receita!$S$2:$S$1156,"44805B2BrancaRuralCooperativa de eletrificação ruralNão se aplicaNão se aplicaFora ponta",Mercado_Receita!$L$2:$L$1156)</f>
        <v>0</v>
      </c>
      <c r="T33" s="13">
        <f>SUMIF(Mercado_Receita!$S$2:$S$1156,"44835B2BrancaRuralCooperativa de eletrificação ruralNão se aplicaNão se aplicaFora ponta",Mercado_Receita!$L$2:$L$1156)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3"/>
      <c r="B34" s="12" t="s">
        <v>23</v>
      </c>
      <c r="C34" s="12" t="s">
        <v>44</v>
      </c>
      <c r="D34" s="12" t="s">
        <v>88</v>
      </c>
      <c r="E34" s="12" t="s">
        <v>25</v>
      </c>
      <c r="F34" s="12" t="s">
        <v>25</v>
      </c>
      <c r="G34" s="13" t="s">
        <v>76</v>
      </c>
      <c r="H34" s="13" t="s">
        <v>72</v>
      </c>
      <c r="I34" s="13">
        <f>SUMIF(Mercado_Receita!$S$2:$S$1156,"44501B2ConvencionalRuralCooperativa de eletrificação ruralNão se aplicaNão se aplicaPonta",Mercado_Receita!$L$2:$L$1156)+SUMIF(Mercado_Receita!$S$2:$S$1156,"44501B2ConvencionalRuralCooperativa de eletrificação ruralNão se aplicaNão se aplicaFora ponta",Mercado_Receita!$L$2:$L$1156)+SUMIF(Mercado_Receita!$S$2:$S$1156,"44501B2ConvencionalRuralCooperativa de eletrificação ruralNão se aplicaNão se aplicaIntermediário",Mercado_Receita!$L$2:$L$1156)+SUMIF(Mercado_Receita!$S$2:$S$1156,"44501B2ConvencionalRuralCooperativa de eletrificação ruralNão se aplicaNão se aplicaNão se aplica",Mercado_Receita!$L$2:$L$1156)</f>
        <v>0</v>
      </c>
      <c r="J34" s="13">
        <f>SUMIF(Mercado_Receita!$S$2:$S$1156,"44531B2ConvencionalRuralCooperativa de eletrificação ruralNão se aplicaNão se aplicaPonta",Mercado_Receita!$L$2:$L$1156)+SUMIF(Mercado_Receita!$S$2:$S$1156,"44531B2ConvencionalRuralCooperativa de eletrificação ruralNão se aplicaNão se aplicaFora ponta",Mercado_Receita!$L$2:$L$1156)+SUMIF(Mercado_Receita!$S$2:$S$1156,"44531B2ConvencionalRuralCooperativa de eletrificação ruralNão se aplicaNão se aplicaIntermediário",Mercado_Receita!$L$2:$L$1156)+SUMIF(Mercado_Receita!$S$2:$S$1156,"44531B2ConvencionalRuralCooperativa de eletrificação ruralNão se aplicaNão se aplicaNão se aplica",Mercado_Receita!$L$2:$L$1156)</f>
        <v>0</v>
      </c>
      <c r="K34" s="13">
        <f>SUMIF(Mercado_Receita!$S$2:$S$1156,"44562B2ConvencionalRuralCooperativa de eletrificação ruralNão se aplicaNão se aplicaPonta",Mercado_Receita!$L$2:$L$1156)+SUMIF(Mercado_Receita!$S$2:$S$1156,"44562B2ConvencionalRuralCooperativa de eletrificação ruralNão se aplicaNão se aplicaFora ponta",Mercado_Receita!$L$2:$L$1156)+SUMIF(Mercado_Receita!$S$2:$S$1156,"44562B2ConvencionalRuralCooperativa de eletrificação ruralNão se aplicaNão se aplicaIntermediário",Mercado_Receita!$L$2:$L$1156)+SUMIF(Mercado_Receita!$S$2:$S$1156,"44562B2ConvencionalRuralCooperativa de eletrificação ruralNão se aplicaNão se aplicaNão se aplica",Mercado_Receita!$L$2:$L$1156)</f>
        <v>0</v>
      </c>
      <c r="L34" s="13">
        <f>SUMIF(Mercado_Receita!$S$2:$S$1156,"44593B2ConvencionalRuralCooperativa de eletrificação ruralNão se aplicaNão se aplicaPonta",Mercado_Receita!$L$2:$L$1156)+SUMIF(Mercado_Receita!$S$2:$S$1156,"44593B2ConvencionalRuralCooperativa de eletrificação ruralNão se aplicaNão se aplicaFora ponta",Mercado_Receita!$L$2:$L$1156)+SUMIF(Mercado_Receita!$S$2:$S$1156,"44593B2ConvencionalRuralCooperativa de eletrificação ruralNão se aplicaNão se aplicaIntermediário",Mercado_Receita!$L$2:$L$1156)+SUMIF(Mercado_Receita!$S$2:$S$1156,"44593B2ConvencionalRuralCooperativa de eletrificação ruralNão se aplicaNão se aplicaNão se aplica",Mercado_Receita!$L$2:$L$1156)</f>
        <v>0</v>
      </c>
      <c r="M34" s="13">
        <f>SUMIF(Mercado_Receita!$S$2:$S$1156,"44621B2ConvencionalRuralCooperativa de eletrificação ruralNão se aplicaNão se aplicaPonta",Mercado_Receita!$L$2:$L$1156)+SUMIF(Mercado_Receita!$S$2:$S$1156,"44621B2ConvencionalRuralCooperativa de eletrificação ruralNão se aplicaNão se aplicaFora ponta",Mercado_Receita!$L$2:$L$1156)+SUMIF(Mercado_Receita!$S$2:$S$1156,"44621B2ConvencionalRuralCooperativa de eletrificação ruralNão se aplicaNão se aplicaIntermediário",Mercado_Receita!$L$2:$L$1156)+SUMIF(Mercado_Receita!$S$2:$S$1156,"44621B2ConvencionalRuralCooperativa de eletrificação ruralNão se aplicaNão se aplicaNão se aplica",Mercado_Receita!$L$2:$L$1156)</f>
        <v>0</v>
      </c>
      <c r="N34" s="13">
        <f>SUMIF(Mercado_Receita!$S$2:$S$1156,"44652B2ConvencionalRuralCooperativa de eletrificação ruralNão se aplicaNão se aplicaPonta",Mercado_Receita!$L$2:$L$1156)+SUMIF(Mercado_Receita!$S$2:$S$1156,"44652B2ConvencionalRuralCooperativa de eletrificação ruralNão se aplicaNão se aplicaFora ponta",Mercado_Receita!$L$2:$L$1156)+SUMIF(Mercado_Receita!$S$2:$S$1156,"44652B2ConvencionalRuralCooperativa de eletrificação ruralNão se aplicaNão se aplicaIntermediário",Mercado_Receita!$L$2:$L$1156)+SUMIF(Mercado_Receita!$S$2:$S$1156,"44652B2ConvencionalRuralCooperativa de eletrificação ruralNão se aplicaNão se aplicaNão se aplica",Mercado_Receita!$L$2:$L$1156)</f>
        <v>0</v>
      </c>
      <c r="O34" s="13">
        <f>SUMIF(Mercado_Receita!$S$2:$S$1156,"44682B2ConvencionalRuralCooperativa de eletrificação ruralNão se aplicaNão se aplicaPonta",Mercado_Receita!$L$2:$L$1156)+SUMIF(Mercado_Receita!$S$2:$S$1156,"44682B2ConvencionalRuralCooperativa de eletrificação ruralNão se aplicaNão se aplicaFora ponta",Mercado_Receita!$L$2:$L$1156)+SUMIF(Mercado_Receita!$S$2:$S$1156,"44682B2ConvencionalRuralCooperativa de eletrificação ruralNão se aplicaNão se aplicaIntermediário",Mercado_Receita!$L$2:$L$1156)+SUMIF(Mercado_Receita!$S$2:$S$1156,"44682B2ConvencionalRuralCooperativa de eletrificação ruralNão se aplicaNão se aplicaNão se aplica",Mercado_Receita!$L$2:$L$1156)</f>
        <v>0</v>
      </c>
      <c r="P34" s="13">
        <f>SUMIF(Mercado_Receita!$S$2:$S$1156,"44713B2ConvencionalRuralCooperativa de eletrificação ruralNão se aplicaNão se aplicaPonta",Mercado_Receita!$L$2:$L$1156)+SUMIF(Mercado_Receita!$S$2:$S$1156,"44713B2ConvencionalRuralCooperativa de eletrificação ruralNão se aplicaNão se aplicaFora ponta",Mercado_Receita!$L$2:$L$1156)+SUMIF(Mercado_Receita!$S$2:$S$1156,"44713B2ConvencionalRuralCooperativa de eletrificação ruralNão se aplicaNão se aplicaIntermediário",Mercado_Receita!$L$2:$L$1156)+SUMIF(Mercado_Receita!$S$2:$S$1156,"44713B2ConvencionalRuralCooperativa de eletrificação ruralNão se aplicaNão se aplicaNão se aplica",Mercado_Receita!$L$2:$L$1156)</f>
        <v>0</v>
      </c>
      <c r="Q34" s="13">
        <f>SUMIF(Mercado_Receita!$S$2:$S$1156,"44743B2ConvencionalRuralCooperativa de eletrificação ruralNão se aplicaNão se aplicaPonta",Mercado_Receita!$L$2:$L$1156)+SUMIF(Mercado_Receita!$S$2:$S$1156,"44743B2ConvencionalRuralCooperativa de eletrificação ruralNão se aplicaNão se aplicaFora ponta",Mercado_Receita!$L$2:$L$1156)+SUMIF(Mercado_Receita!$S$2:$S$1156,"44743B2ConvencionalRuralCooperativa de eletrificação ruralNão se aplicaNão se aplicaIntermediário",Mercado_Receita!$L$2:$L$1156)+SUMIF(Mercado_Receita!$S$2:$S$1156,"44743B2ConvencionalRuralCooperativa de eletrificação ruralNão se aplicaNão se aplicaNão se aplica",Mercado_Receita!$L$2:$L$1156)</f>
        <v>0</v>
      </c>
      <c r="R34" s="13">
        <f>SUMIF(Mercado_Receita!$S$2:$S$1156,"44774B2ConvencionalRuralCooperativa de eletrificação ruralNão se aplicaNão se aplicaPonta",Mercado_Receita!$L$2:$L$1156)+SUMIF(Mercado_Receita!$S$2:$S$1156,"44774B2ConvencionalRuralCooperativa de eletrificação ruralNão se aplicaNão se aplicaFora ponta",Mercado_Receita!$L$2:$L$1156)+SUMIF(Mercado_Receita!$S$2:$S$1156,"44774B2ConvencionalRuralCooperativa de eletrificação ruralNão se aplicaNão se aplicaIntermediário",Mercado_Receita!$L$2:$L$1156)+SUMIF(Mercado_Receita!$S$2:$S$1156,"44774B2ConvencionalRuralCooperativa de eletrificação ruralNão se aplicaNão se aplicaNão se aplica",Mercado_Receita!$L$2:$L$1156)</f>
        <v>0</v>
      </c>
      <c r="S34" s="13">
        <f>SUMIF(Mercado_Receita!$S$2:$S$1156,"44805B2ConvencionalRuralCooperativa de eletrificação ruralNão se aplicaNão se aplicaPonta",Mercado_Receita!$L$2:$L$1156)+SUMIF(Mercado_Receita!$S$2:$S$1156,"44805B2ConvencionalRuralCooperativa de eletrificação ruralNão se aplicaNão se aplicaFora ponta",Mercado_Receita!$L$2:$L$1156)+SUMIF(Mercado_Receita!$S$2:$S$1156,"44805B2ConvencionalRuralCooperativa de eletrificação ruralNão se aplicaNão se aplicaIntermediário",Mercado_Receita!$L$2:$L$1156)+SUMIF(Mercado_Receita!$S$2:$S$1156,"44805B2ConvencionalRuralCooperativa de eletrificação ruralNão se aplicaNão se aplicaNão se aplica",Mercado_Receita!$L$2:$L$1156)</f>
        <v>0</v>
      </c>
      <c r="T34" s="13">
        <f>SUMIF(Mercado_Receita!$S$2:$S$1156,"44835B2ConvencionalRuralCooperativa de eletrificação ruralNão se aplicaNão se aplicaPonta",Mercado_Receita!$L$2:$L$1156)+SUMIF(Mercado_Receita!$S$2:$S$1156,"44835B2ConvencionalRuralCooperativa de eletrificação ruralNão se aplicaNão se aplicaFora ponta",Mercado_Receita!$L$2:$L$1156)+SUMIF(Mercado_Receita!$S$2:$S$1156,"44835B2ConvencionalRuralCooperativa de eletrificação ruralNão se aplicaNão se aplicaIntermediário",Mercado_Receita!$L$2:$L$1156)+SUMIF(Mercado_Receita!$S$2:$S$1156,"44835B2ConvencionalRuralCooperativa de eletrificação ruralNão se aplicaNão se aplicaNão se aplica",Mercado_Receita!$L$2:$L$1156)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93"/>
      <c r="B35" s="92" t="s">
        <v>33</v>
      </c>
      <c r="C35" s="92" t="s">
        <v>44</v>
      </c>
      <c r="D35" s="92" t="s">
        <v>89</v>
      </c>
      <c r="E35" s="92" t="s">
        <v>25</v>
      </c>
      <c r="F35" s="92" t="s">
        <v>25</v>
      </c>
      <c r="G35" s="13" t="s">
        <v>73</v>
      </c>
      <c r="H35" s="13" t="s">
        <v>72</v>
      </c>
      <c r="I35" s="13">
        <f>SUMIF(Mercado_Receita!$S$2:$S$1156,"44501B2BrancaRuralServiço público de irrigação ruralNão se aplicaNão se aplicaPonta",Mercado_Receita!$L$2:$L$1156)</f>
        <v>0</v>
      </c>
      <c r="J35" s="13">
        <f>SUMIF(Mercado_Receita!$S$2:$S$1156,"44531B2BrancaRuralServiço público de irrigação ruralNão se aplicaNão se aplicaPonta",Mercado_Receita!$L$2:$L$1156)</f>
        <v>0</v>
      </c>
      <c r="K35" s="13">
        <f>SUMIF(Mercado_Receita!$S$2:$S$1156,"44562B2BrancaRuralServiço público de irrigação ruralNão se aplicaNão se aplicaPonta",Mercado_Receita!$L$2:$L$1156)</f>
        <v>0</v>
      </c>
      <c r="L35" s="13">
        <f>SUMIF(Mercado_Receita!$S$2:$S$1156,"44593B2BrancaRuralServiço público de irrigação ruralNão se aplicaNão se aplicaPonta",Mercado_Receita!$L$2:$L$1156)</f>
        <v>0</v>
      </c>
      <c r="M35" s="13">
        <f>SUMIF(Mercado_Receita!$S$2:$S$1156,"44621B2BrancaRuralServiço público de irrigação ruralNão se aplicaNão se aplicaPonta",Mercado_Receita!$L$2:$L$1156)</f>
        <v>0</v>
      </c>
      <c r="N35" s="13">
        <f>SUMIF(Mercado_Receita!$S$2:$S$1156,"44652B2BrancaRuralServiço público de irrigação ruralNão se aplicaNão se aplicaPonta",Mercado_Receita!$L$2:$L$1156)</f>
        <v>0</v>
      </c>
      <c r="O35" s="13">
        <f>SUMIF(Mercado_Receita!$S$2:$S$1156,"44682B2BrancaRuralServiço público de irrigação ruralNão se aplicaNão se aplicaPonta",Mercado_Receita!$L$2:$L$1156)</f>
        <v>0</v>
      </c>
      <c r="P35" s="13">
        <f>SUMIF(Mercado_Receita!$S$2:$S$1156,"44713B2BrancaRuralServiço público de irrigação ruralNão se aplicaNão se aplicaPonta",Mercado_Receita!$L$2:$L$1156)</f>
        <v>0</v>
      </c>
      <c r="Q35" s="13">
        <f>SUMIF(Mercado_Receita!$S$2:$S$1156,"44743B2BrancaRuralServiço público de irrigação ruralNão se aplicaNão se aplicaPonta",Mercado_Receita!$L$2:$L$1156)</f>
        <v>0</v>
      </c>
      <c r="R35" s="13">
        <f>SUMIF(Mercado_Receita!$S$2:$S$1156,"44774B2BrancaRuralServiço público de irrigação ruralNão se aplicaNão se aplicaPonta",Mercado_Receita!$L$2:$L$1156)</f>
        <v>0</v>
      </c>
      <c r="S35" s="13">
        <f>SUMIF(Mercado_Receita!$S$2:$S$1156,"44805B2BrancaRuralServiço público de irrigação ruralNão se aplicaNão se aplicaPonta",Mercado_Receita!$L$2:$L$1156)</f>
        <v>0</v>
      </c>
      <c r="T35" s="13">
        <f>SUMIF(Mercado_Receita!$S$2:$S$1156,"44835B2BrancaRuralServiço público de irrigação ruralNão se aplicaNão se aplicaPonta",Mercado_Receita!$L$2:$L$1156)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93"/>
      <c r="B36" s="93"/>
      <c r="C36" s="93"/>
      <c r="D36" s="93"/>
      <c r="E36" s="93"/>
      <c r="F36" s="93"/>
      <c r="G36" s="13" t="s">
        <v>85</v>
      </c>
      <c r="H36" s="13" t="s">
        <v>72</v>
      </c>
      <c r="I36" s="13">
        <f>SUMIF(Mercado_Receita!$S$2:$S$1156,"44501B2BrancaRuralServiço público de irrigação ruralNão se aplicaNão se aplicaIntermediário",Mercado_Receita!$L$2:$L$1156)</f>
        <v>0</v>
      </c>
      <c r="J36" s="13">
        <f>SUMIF(Mercado_Receita!$S$2:$S$1156,"44531B2BrancaRuralServiço público de irrigação ruralNão se aplicaNão se aplicaIntermediário",Mercado_Receita!$L$2:$L$1156)</f>
        <v>0</v>
      </c>
      <c r="K36" s="13">
        <f>SUMIF(Mercado_Receita!$S$2:$S$1156,"44562B2BrancaRuralServiço público de irrigação ruralNão se aplicaNão se aplicaIntermediário",Mercado_Receita!$L$2:$L$1156)</f>
        <v>0</v>
      </c>
      <c r="L36" s="13">
        <f>SUMIF(Mercado_Receita!$S$2:$S$1156,"44593B2BrancaRuralServiço público de irrigação ruralNão se aplicaNão se aplicaIntermediário",Mercado_Receita!$L$2:$L$1156)</f>
        <v>0</v>
      </c>
      <c r="M36" s="13">
        <f>SUMIF(Mercado_Receita!$S$2:$S$1156,"44621B2BrancaRuralServiço público de irrigação ruralNão se aplicaNão se aplicaIntermediário",Mercado_Receita!$L$2:$L$1156)</f>
        <v>0</v>
      </c>
      <c r="N36" s="13">
        <f>SUMIF(Mercado_Receita!$S$2:$S$1156,"44652B2BrancaRuralServiço público de irrigação ruralNão se aplicaNão se aplicaIntermediário",Mercado_Receita!$L$2:$L$1156)</f>
        <v>0</v>
      </c>
      <c r="O36" s="13">
        <f>SUMIF(Mercado_Receita!$S$2:$S$1156,"44682B2BrancaRuralServiço público de irrigação ruralNão se aplicaNão se aplicaIntermediário",Mercado_Receita!$L$2:$L$1156)</f>
        <v>0</v>
      </c>
      <c r="P36" s="13">
        <f>SUMIF(Mercado_Receita!$S$2:$S$1156,"44713B2BrancaRuralServiço público de irrigação ruralNão se aplicaNão se aplicaIntermediário",Mercado_Receita!$L$2:$L$1156)</f>
        <v>0</v>
      </c>
      <c r="Q36" s="13">
        <f>SUMIF(Mercado_Receita!$S$2:$S$1156,"44743B2BrancaRuralServiço público de irrigação ruralNão se aplicaNão se aplicaIntermediário",Mercado_Receita!$L$2:$L$1156)</f>
        <v>0</v>
      </c>
      <c r="R36" s="13">
        <f>SUMIF(Mercado_Receita!$S$2:$S$1156,"44774B2BrancaRuralServiço público de irrigação ruralNão se aplicaNão se aplicaIntermediário",Mercado_Receita!$L$2:$L$1156)</f>
        <v>0</v>
      </c>
      <c r="S36" s="13">
        <f>SUMIF(Mercado_Receita!$S$2:$S$1156,"44805B2BrancaRuralServiço público de irrigação ruralNão se aplicaNão se aplicaIntermediário",Mercado_Receita!$L$2:$L$1156)</f>
        <v>0</v>
      </c>
      <c r="T36" s="13">
        <f>SUMIF(Mercado_Receita!$S$2:$S$1156,"44835B2BrancaRuralServiço público de irrigação ruralNão se aplicaNão se aplicaIntermediário",Mercado_Receita!$L$2:$L$1156)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93"/>
      <c r="B37" s="93"/>
      <c r="C37" s="93"/>
      <c r="D37" s="93"/>
      <c r="E37" s="93"/>
      <c r="F37" s="93"/>
      <c r="G37" s="13" t="s">
        <v>74</v>
      </c>
      <c r="H37" s="13" t="s">
        <v>72</v>
      </c>
      <c r="I37" s="13">
        <f>SUMIF(Mercado_Receita!$S$2:$S$1156,"44501B2BrancaRuralServiço público de irrigação ruralNão se aplicaNão se aplicaFora ponta",Mercado_Receita!$L$2:$L$1156)</f>
        <v>0</v>
      </c>
      <c r="J37" s="13">
        <f>SUMIF(Mercado_Receita!$S$2:$S$1156,"44531B2BrancaRuralServiço público de irrigação ruralNão se aplicaNão se aplicaFora ponta",Mercado_Receita!$L$2:$L$1156)</f>
        <v>0</v>
      </c>
      <c r="K37" s="13">
        <f>SUMIF(Mercado_Receita!$S$2:$S$1156,"44562B2BrancaRuralServiço público de irrigação ruralNão se aplicaNão se aplicaFora ponta",Mercado_Receita!$L$2:$L$1156)</f>
        <v>0</v>
      </c>
      <c r="L37" s="13">
        <f>SUMIF(Mercado_Receita!$S$2:$S$1156,"44593B2BrancaRuralServiço público de irrigação ruralNão se aplicaNão se aplicaFora ponta",Mercado_Receita!$L$2:$L$1156)</f>
        <v>0</v>
      </c>
      <c r="M37" s="13">
        <f>SUMIF(Mercado_Receita!$S$2:$S$1156,"44621B2BrancaRuralServiço público de irrigação ruralNão se aplicaNão se aplicaFora ponta",Mercado_Receita!$L$2:$L$1156)</f>
        <v>0</v>
      </c>
      <c r="N37" s="13">
        <f>SUMIF(Mercado_Receita!$S$2:$S$1156,"44652B2BrancaRuralServiço público de irrigação ruralNão se aplicaNão se aplicaFora ponta",Mercado_Receita!$L$2:$L$1156)</f>
        <v>0</v>
      </c>
      <c r="O37" s="13">
        <f>SUMIF(Mercado_Receita!$S$2:$S$1156,"44682B2BrancaRuralServiço público de irrigação ruralNão se aplicaNão se aplicaFora ponta",Mercado_Receita!$L$2:$L$1156)</f>
        <v>0</v>
      </c>
      <c r="P37" s="13">
        <f>SUMIF(Mercado_Receita!$S$2:$S$1156,"44713B2BrancaRuralServiço público de irrigação ruralNão se aplicaNão se aplicaFora ponta",Mercado_Receita!$L$2:$L$1156)</f>
        <v>0</v>
      </c>
      <c r="Q37" s="13">
        <f>SUMIF(Mercado_Receita!$S$2:$S$1156,"44743B2BrancaRuralServiço público de irrigação ruralNão se aplicaNão se aplicaFora ponta",Mercado_Receita!$L$2:$L$1156)</f>
        <v>0</v>
      </c>
      <c r="R37" s="13">
        <f>SUMIF(Mercado_Receita!$S$2:$S$1156,"44774B2BrancaRuralServiço público de irrigação ruralNão se aplicaNão se aplicaFora ponta",Mercado_Receita!$L$2:$L$1156)</f>
        <v>0</v>
      </c>
      <c r="S37" s="13">
        <f>SUMIF(Mercado_Receita!$S$2:$S$1156,"44805B2BrancaRuralServiço público de irrigação ruralNão se aplicaNão se aplicaFora ponta",Mercado_Receita!$L$2:$L$1156)</f>
        <v>0</v>
      </c>
      <c r="T37" s="13">
        <f>SUMIF(Mercado_Receita!$S$2:$S$1156,"44835B2BrancaRuralServiço público de irrigação ruralNão se aplicaNão se aplicaFora ponta",Mercado_Receita!$L$2:$L$1156)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93"/>
      <c r="B38" s="12" t="s">
        <v>23</v>
      </c>
      <c r="C38" s="12" t="s">
        <v>44</v>
      </c>
      <c r="D38" s="12" t="s">
        <v>89</v>
      </c>
      <c r="E38" s="12" t="s">
        <v>25</v>
      </c>
      <c r="F38" s="12" t="s">
        <v>25</v>
      </c>
      <c r="G38" s="13" t="s">
        <v>76</v>
      </c>
      <c r="H38" s="13" t="s">
        <v>72</v>
      </c>
      <c r="I38" s="13">
        <f>SUMIF(Mercado_Receita!$S$2:$S$1156,"44501B2ConvencionalRuralServiço público de irrigação ruralNão se aplicaNão se aplicaPonta",Mercado_Receita!$L$2:$L$1156)+SUMIF(Mercado_Receita!$S$2:$S$1156,"44501B2ConvencionalRuralServiço público de irrigação ruralNão se aplicaNão se aplicaFora ponta",Mercado_Receita!$L$2:$L$1156)+SUMIF(Mercado_Receita!$S$2:$S$1156,"44501B2ConvencionalRuralServiço público de irrigação ruralNão se aplicaNão se aplicaIntermediário",Mercado_Receita!$L$2:$L$1156)+SUMIF(Mercado_Receita!$S$2:$S$1156,"44501B2ConvencionalRuralServiço público de irrigação ruralNão se aplicaNão se aplicaNão se aplica",Mercado_Receita!$L$2:$L$1156)</f>
        <v>0</v>
      </c>
      <c r="J38" s="13">
        <f>SUMIF(Mercado_Receita!$S$2:$S$1156,"44531B2ConvencionalRuralServiço público de irrigação ruralNão se aplicaNão se aplicaPonta",Mercado_Receita!$L$2:$L$1156)+SUMIF(Mercado_Receita!$S$2:$S$1156,"44531B2ConvencionalRuralServiço público de irrigação ruralNão se aplicaNão se aplicaFora ponta",Mercado_Receita!$L$2:$L$1156)+SUMIF(Mercado_Receita!$S$2:$S$1156,"44531B2ConvencionalRuralServiço público de irrigação ruralNão se aplicaNão se aplicaIntermediário",Mercado_Receita!$L$2:$L$1156)+SUMIF(Mercado_Receita!$S$2:$S$1156,"44531B2ConvencionalRuralServiço público de irrigação ruralNão se aplicaNão se aplicaNão se aplica",Mercado_Receita!$L$2:$L$1156)</f>
        <v>0</v>
      </c>
      <c r="K38" s="13">
        <f>SUMIF(Mercado_Receita!$S$2:$S$1156,"44562B2ConvencionalRuralServiço público de irrigação ruralNão se aplicaNão se aplicaPonta",Mercado_Receita!$L$2:$L$1156)+SUMIF(Mercado_Receita!$S$2:$S$1156,"44562B2ConvencionalRuralServiço público de irrigação ruralNão se aplicaNão se aplicaFora ponta",Mercado_Receita!$L$2:$L$1156)+SUMIF(Mercado_Receita!$S$2:$S$1156,"44562B2ConvencionalRuralServiço público de irrigação ruralNão se aplicaNão se aplicaIntermediário",Mercado_Receita!$L$2:$L$1156)+SUMIF(Mercado_Receita!$S$2:$S$1156,"44562B2ConvencionalRuralServiço público de irrigação ruralNão se aplicaNão se aplicaNão se aplica",Mercado_Receita!$L$2:$L$1156)</f>
        <v>0</v>
      </c>
      <c r="L38" s="13">
        <f>SUMIF(Mercado_Receita!$S$2:$S$1156,"44593B2ConvencionalRuralServiço público de irrigação ruralNão se aplicaNão se aplicaPonta",Mercado_Receita!$L$2:$L$1156)+SUMIF(Mercado_Receita!$S$2:$S$1156,"44593B2ConvencionalRuralServiço público de irrigação ruralNão se aplicaNão se aplicaFora ponta",Mercado_Receita!$L$2:$L$1156)+SUMIF(Mercado_Receita!$S$2:$S$1156,"44593B2ConvencionalRuralServiço público de irrigação ruralNão se aplicaNão se aplicaIntermediário",Mercado_Receita!$L$2:$L$1156)+SUMIF(Mercado_Receita!$S$2:$S$1156,"44593B2ConvencionalRuralServiço público de irrigação ruralNão se aplicaNão se aplicaNão se aplica",Mercado_Receita!$L$2:$L$1156)</f>
        <v>0</v>
      </c>
      <c r="M38" s="13">
        <f>SUMIF(Mercado_Receita!$S$2:$S$1156,"44621B2ConvencionalRuralServiço público de irrigação ruralNão se aplicaNão se aplicaPonta",Mercado_Receita!$L$2:$L$1156)+SUMIF(Mercado_Receita!$S$2:$S$1156,"44621B2ConvencionalRuralServiço público de irrigação ruralNão se aplicaNão se aplicaFora ponta",Mercado_Receita!$L$2:$L$1156)+SUMIF(Mercado_Receita!$S$2:$S$1156,"44621B2ConvencionalRuralServiço público de irrigação ruralNão se aplicaNão se aplicaIntermediário",Mercado_Receita!$L$2:$L$1156)+SUMIF(Mercado_Receita!$S$2:$S$1156,"44621B2ConvencionalRuralServiço público de irrigação ruralNão se aplicaNão se aplicaNão se aplica",Mercado_Receita!$L$2:$L$1156)</f>
        <v>0</v>
      </c>
      <c r="N38" s="13">
        <f>SUMIF(Mercado_Receita!$S$2:$S$1156,"44652B2ConvencionalRuralServiço público de irrigação ruralNão se aplicaNão se aplicaPonta",Mercado_Receita!$L$2:$L$1156)+SUMIF(Mercado_Receita!$S$2:$S$1156,"44652B2ConvencionalRuralServiço público de irrigação ruralNão se aplicaNão se aplicaFora ponta",Mercado_Receita!$L$2:$L$1156)+SUMIF(Mercado_Receita!$S$2:$S$1156,"44652B2ConvencionalRuralServiço público de irrigação ruralNão se aplicaNão se aplicaIntermediário",Mercado_Receita!$L$2:$L$1156)+SUMIF(Mercado_Receita!$S$2:$S$1156,"44652B2ConvencionalRuralServiço público de irrigação ruralNão se aplicaNão se aplicaNão se aplica",Mercado_Receita!$L$2:$L$1156)</f>
        <v>0</v>
      </c>
      <c r="O38" s="13">
        <f>SUMIF(Mercado_Receita!$S$2:$S$1156,"44682B2ConvencionalRuralServiço público de irrigação ruralNão se aplicaNão se aplicaPonta",Mercado_Receita!$L$2:$L$1156)+SUMIF(Mercado_Receita!$S$2:$S$1156,"44682B2ConvencionalRuralServiço público de irrigação ruralNão se aplicaNão se aplicaFora ponta",Mercado_Receita!$L$2:$L$1156)+SUMIF(Mercado_Receita!$S$2:$S$1156,"44682B2ConvencionalRuralServiço público de irrigação ruralNão se aplicaNão se aplicaIntermediário",Mercado_Receita!$L$2:$L$1156)+SUMIF(Mercado_Receita!$S$2:$S$1156,"44682B2ConvencionalRuralServiço público de irrigação ruralNão se aplicaNão se aplicaNão se aplica",Mercado_Receita!$L$2:$L$1156)</f>
        <v>0</v>
      </c>
      <c r="P38" s="13">
        <f>SUMIF(Mercado_Receita!$S$2:$S$1156,"44713B2ConvencionalRuralServiço público de irrigação ruralNão se aplicaNão se aplicaPonta",Mercado_Receita!$L$2:$L$1156)+SUMIF(Mercado_Receita!$S$2:$S$1156,"44713B2ConvencionalRuralServiço público de irrigação ruralNão se aplicaNão se aplicaFora ponta",Mercado_Receita!$L$2:$L$1156)+SUMIF(Mercado_Receita!$S$2:$S$1156,"44713B2ConvencionalRuralServiço público de irrigação ruralNão se aplicaNão se aplicaIntermediário",Mercado_Receita!$L$2:$L$1156)+SUMIF(Mercado_Receita!$S$2:$S$1156,"44713B2ConvencionalRuralServiço público de irrigação ruralNão se aplicaNão se aplicaNão se aplica",Mercado_Receita!$L$2:$L$1156)</f>
        <v>0</v>
      </c>
      <c r="Q38" s="13">
        <f>SUMIF(Mercado_Receita!$S$2:$S$1156,"44743B2ConvencionalRuralServiço público de irrigação ruralNão se aplicaNão se aplicaPonta",Mercado_Receita!$L$2:$L$1156)+SUMIF(Mercado_Receita!$S$2:$S$1156,"44743B2ConvencionalRuralServiço público de irrigação ruralNão se aplicaNão se aplicaFora ponta",Mercado_Receita!$L$2:$L$1156)+SUMIF(Mercado_Receita!$S$2:$S$1156,"44743B2ConvencionalRuralServiço público de irrigação ruralNão se aplicaNão se aplicaIntermediário",Mercado_Receita!$L$2:$L$1156)+SUMIF(Mercado_Receita!$S$2:$S$1156,"44743B2ConvencionalRuralServiço público de irrigação ruralNão se aplicaNão se aplicaNão se aplica",Mercado_Receita!$L$2:$L$1156)</f>
        <v>0</v>
      </c>
      <c r="R38" s="13">
        <f>SUMIF(Mercado_Receita!$S$2:$S$1156,"44774B2ConvencionalRuralServiço público de irrigação ruralNão se aplicaNão se aplicaPonta",Mercado_Receita!$L$2:$L$1156)+SUMIF(Mercado_Receita!$S$2:$S$1156,"44774B2ConvencionalRuralServiço público de irrigação ruralNão se aplicaNão se aplicaFora ponta",Mercado_Receita!$L$2:$L$1156)+SUMIF(Mercado_Receita!$S$2:$S$1156,"44774B2ConvencionalRuralServiço público de irrigação ruralNão se aplicaNão se aplicaIntermediário",Mercado_Receita!$L$2:$L$1156)+SUMIF(Mercado_Receita!$S$2:$S$1156,"44774B2ConvencionalRuralServiço público de irrigação ruralNão se aplicaNão se aplicaNão se aplica",Mercado_Receita!$L$2:$L$1156)</f>
        <v>0</v>
      </c>
      <c r="S38" s="13">
        <f>SUMIF(Mercado_Receita!$S$2:$S$1156,"44805B2ConvencionalRuralServiço público de irrigação ruralNão se aplicaNão se aplicaPonta",Mercado_Receita!$L$2:$L$1156)+SUMIF(Mercado_Receita!$S$2:$S$1156,"44805B2ConvencionalRuralServiço público de irrigação ruralNão se aplicaNão se aplicaFora ponta",Mercado_Receita!$L$2:$L$1156)+SUMIF(Mercado_Receita!$S$2:$S$1156,"44805B2ConvencionalRuralServiço público de irrigação ruralNão se aplicaNão se aplicaIntermediário",Mercado_Receita!$L$2:$L$1156)+SUMIF(Mercado_Receita!$S$2:$S$1156,"44805B2ConvencionalRuralServiço público de irrigação ruralNão se aplicaNão se aplicaNão se aplica",Mercado_Receita!$L$2:$L$1156)</f>
        <v>0</v>
      </c>
      <c r="T38" s="13">
        <f>SUMIF(Mercado_Receita!$S$2:$S$1156,"44835B2ConvencionalRuralServiço público de irrigação ruralNão se aplicaNão se aplicaPonta",Mercado_Receita!$L$2:$L$1156)+SUMIF(Mercado_Receita!$S$2:$S$1156,"44835B2ConvencionalRuralServiço público de irrigação ruralNão se aplicaNão se aplicaFora ponta",Mercado_Receita!$L$2:$L$1156)+SUMIF(Mercado_Receita!$S$2:$S$1156,"44835B2ConvencionalRuralServiço público de irrigação ruralNão se aplicaNão se aplicaIntermediário",Mercado_Receita!$L$2:$L$1156)+SUMIF(Mercado_Receita!$S$2:$S$1156,"44835B2ConvencionalRuralServiço público de irrigação ruralNão se aplicaNão se aplicaNão se aplica",Mercado_Receita!$L$2:$L$1156)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93"/>
      <c r="B39" s="92" t="s">
        <v>87</v>
      </c>
      <c r="C39" s="92" t="s">
        <v>44</v>
      </c>
      <c r="D39" s="12" t="s">
        <v>25</v>
      </c>
      <c r="E39" s="12" t="s">
        <v>25</v>
      </c>
      <c r="F39" s="12" t="s">
        <v>25</v>
      </c>
      <c r="G39" s="13" t="s">
        <v>76</v>
      </c>
      <c r="H39" s="13" t="s">
        <v>72</v>
      </c>
      <c r="I39" s="13">
        <f>SUMIF(Mercado_Receita!$S$2:$S$1156,"44501B2Convencional pré-pagamentoRuralNão se aplicaNão se aplicaNão se aplicaPonta",Mercado_Receita!$L$2:$L$1156)+SUMIF(Mercado_Receita!$S$2:$S$1156,"44501B2Convencional pré-pagamentoRuralNão se aplicaNão se aplicaNão se aplicaFora ponta",Mercado_Receita!$L$2:$L$1156)+SUMIF(Mercado_Receita!$S$2:$S$1156,"44501B2Convencional pré-pagamentoRuralNão se aplicaNão se aplicaNão se aplicaIntermediário",Mercado_Receita!$L$2:$L$1156)+SUMIF(Mercado_Receita!$S$2:$S$1156,"44501B2Convencional pré-pagamentoRuralNão se aplicaNão se aplicaNão se aplicaNão se aplica",Mercado_Receita!$L$2:$L$1156)</f>
        <v>0</v>
      </c>
      <c r="J39" s="13">
        <f>SUMIF(Mercado_Receita!$S$2:$S$1156,"44531B2Convencional pré-pagamentoRuralNão se aplicaNão se aplicaNão se aplicaPonta",Mercado_Receita!$L$2:$L$1156)+SUMIF(Mercado_Receita!$S$2:$S$1156,"44531B2Convencional pré-pagamentoRuralNão se aplicaNão se aplicaNão se aplicaFora ponta",Mercado_Receita!$L$2:$L$1156)+SUMIF(Mercado_Receita!$S$2:$S$1156,"44531B2Convencional pré-pagamentoRuralNão se aplicaNão se aplicaNão se aplicaIntermediário",Mercado_Receita!$L$2:$L$1156)+SUMIF(Mercado_Receita!$S$2:$S$1156,"44531B2Convencional pré-pagamentoRuralNão se aplicaNão se aplicaNão se aplicaNão se aplica",Mercado_Receita!$L$2:$L$1156)</f>
        <v>0</v>
      </c>
      <c r="K39" s="13">
        <f>SUMIF(Mercado_Receita!$S$2:$S$1156,"44562B2Convencional pré-pagamentoRuralNão se aplicaNão se aplicaNão se aplicaPonta",Mercado_Receita!$L$2:$L$1156)+SUMIF(Mercado_Receita!$S$2:$S$1156,"44562B2Convencional pré-pagamentoRuralNão se aplicaNão se aplicaNão se aplicaFora ponta",Mercado_Receita!$L$2:$L$1156)+SUMIF(Mercado_Receita!$S$2:$S$1156,"44562B2Convencional pré-pagamentoRuralNão se aplicaNão se aplicaNão se aplicaIntermediário",Mercado_Receita!$L$2:$L$1156)+SUMIF(Mercado_Receita!$S$2:$S$1156,"44562B2Convencional pré-pagamentoRuralNão se aplicaNão se aplicaNão se aplicaNão se aplica",Mercado_Receita!$L$2:$L$1156)</f>
        <v>0</v>
      </c>
      <c r="L39" s="13">
        <f>SUMIF(Mercado_Receita!$S$2:$S$1156,"44593B2Convencional pré-pagamentoRuralNão se aplicaNão se aplicaNão se aplicaPonta",Mercado_Receita!$L$2:$L$1156)+SUMIF(Mercado_Receita!$S$2:$S$1156,"44593B2Convencional pré-pagamentoRuralNão se aplicaNão se aplicaNão se aplicaFora ponta",Mercado_Receita!$L$2:$L$1156)+SUMIF(Mercado_Receita!$S$2:$S$1156,"44593B2Convencional pré-pagamentoRuralNão se aplicaNão se aplicaNão se aplicaIntermediário",Mercado_Receita!$L$2:$L$1156)+SUMIF(Mercado_Receita!$S$2:$S$1156,"44593B2Convencional pré-pagamentoRuralNão se aplicaNão se aplicaNão se aplicaNão se aplica",Mercado_Receita!$L$2:$L$1156)</f>
        <v>0</v>
      </c>
      <c r="M39" s="13">
        <f>SUMIF(Mercado_Receita!$S$2:$S$1156,"44621B2Convencional pré-pagamentoRuralNão se aplicaNão se aplicaNão se aplicaPonta",Mercado_Receita!$L$2:$L$1156)+SUMIF(Mercado_Receita!$S$2:$S$1156,"44621B2Convencional pré-pagamentoRuralNão se aplicaNão se aplicaNão se aplicaFora ponta",Mercado_Receita!$L$2:$L$1156)+SUMIF(Mercado_Receita!$S$2:$S$1156,"44621B2Convencional pré-pagamentoRuralNão se aplicaNão se aplicaNão se aplicaIntermediário",Mercado_Receita!$L$2:$L$1156)+SUMIF(Mercado_Receita!$S$2:$S$1156,"44621B2Convencional pré-pagamentoRuralNão se aplicaNão se aplicaNão se aplicaNão se aplica",Mercado_Receita!$L$2:$L$1156)</f>
        <v>0</v>
      </c>
      <c r="N39" s="13">
        <f>SUMIF(Mercado_Receita!$S$2:$S$1156,"44652B2Convencional pré-pagamentoRuralNão se aplicaNão se aplicaNão se aplicaPonta",Mercado_Receita!$L$2:$L$1156)+SUMIF(Mercado_Receita!$S$2:$S$1156,"44652B2Convencional pré-pagamentoRuralNão se aplicaNão se aplicaNão se aplicaFora ponta",Mercado_Receita!$L$2:$L$1156)+SUMIF(Mercado_Receita!$S$2:$S$1156,"44652B2Convencional pré-pagamentoRuralNão se aplicaNão se aplicaNão se aplicaIntermediário",Mercado_Receita!$L$2:$L$1156)+SUMIF(Mercado_Receita!$S$2:$S$1156,"44652B2Convencional pré-pagamentoRuralNão se aplicaNão se aplicaNão se aplicaNão se aplica",Mercado_Receita!$L$2:$L$1156)</f>
        <v>0</v>
      </c>
      <c r="O39" s="13">
        <f>SUMIF(Mercado_Receita!$S$2:$S$1156,"44682B2Convencional pré-pagamentoRuralNão se aplicaNão se aplicaNão se aplicaPonta",Mercado_Receita!$L$2:$L$1156)+SUMIF(Mercado_Receita!$S$2:$S$1156,"44682B2Convencional pré-pagamentoRuralNão se aplicaNão se aplicaNão se aplicaFora ponta",Mercado_Receita!$L$2:$L$1156)+SUMIF(Mercado_Receita!$S$2:$S$1156,"44682B2Convencional pré-pagamentoRuralNão se aplicaNão se aplicaNão se aplicaIntermediário",Mercado_Receita!$L$2:$L$1156)+SUMIF(Mercado_Receita!$S$2:$S$1156,"44682B2Convencional pré-pagamentoRuralNão se aplicaNão se aplicaNão se aplicaNão se aplica",Mercado_Receita!$L$2:$L$1156)</f>
        <v>0</v>
      </c>
      <c r="P39" s="13">
        <f>SUMIF(Mercado_Receita!$S$2:$S$1156,"44713B2Convencional pré-pagamentoRuralNão se aplicaNão se aplicaNão se aplicaPonta",Mercado_Receita!$L$2:$L$1156)+SUMIF(Mercado_Receita!$S$2:$S$1156,"44713B2Convencional pré-pagamentoRuralNão se aplicaNão se aplicaNão se aplicaFora ponta",Mercado_Receita!$L$2:$L$1156)+SUMIF(Mercado_Receita!$S$2:$S$1156,"44713B2Convencional pré-pagamentoRuralNão se aplicaNão se aplicaNão se aplicaIntermediário",Mercado_Receita!$L$2:$L$1156)+SUMIF(Mercado_Receita!$S$2:$S$1156,"44713B2Convencional pré-pagamentoRuralNão se aplicaNão se aplicaNão se aplicaNão se aplica",Mercado_Receita!$L$2:$L$1156)</f>
        <v>0</v>
      </c>
      <c r="Q39" s="13">
        <f>SUMIF(Mercado_Receita!$S$2:$S$1156,"44743B2Convencional pré-pagamentoRuralNão se aplicaNão se aplicaNão se aplicaPonta",Mercado_Receita!$L$2:$L$1156)+SUMIF(Mercado_Receita!$S$2:$S$1156,"44743B2Convencional pré-pagamentoRuralNão se aplicaNão se aplicaNão se aplicaFora ponta",Mercado_Receita!$L$2:$L$1156)+SUMIF(Mercado_Receita!$S$2:$S$1156,"44743B2Convencional pré-pagamentoRuralNão se aplicaNão se aplicaNão se aplicaIntermediário",Mercado_Receita!$L$2:$L$1156)+SUMIF(Mercado_Receita!$S$2:$S$1156,"44743B2Convencional pré-pagamentoRuralNão se aplicaNão se aplicaNão se aplicaNão se aplica",Mercado_Receita!$L$2:$L$1156)</f>
        <v>0</v>
      </c>
      <c r="R39" s="13">
        <f>SUMIF(Mercado_Receita!$S$2:$S$1156,"44774B2Convencional pré-pagamentoRuralNão se aplicaNão se aplicaNão se aplicaPonta",Mercado_Receita!$L$2:$L$1156)+SUMIF(Mercado_Receita!$S$2:$S$1156,"44774B2Convencional pré-pagamentoRuralNão se aplicaNão se aplicaNão se aplicaFora ponta",Mercado_Receita!$L$2:$L$1156)+SUMIF(Mercado_Receita!$S$2:$S$1156,"44774B2Convencional pré-pagamentoRuralNão se aplicaNão se aplicaNão se aplicaIntermediário",Mercado_Receita!$L$2:$L$1156)+SUMIF(Mercado_Receita!$S$2:$S$1156,"44774B2Convencional pré-pagamentoRuralNão se aplicaNão se aplicaNão se aplicaNão se aplica",Mercado_Receita!$L$2:$L$1156)</f>
        <v>0</v>
      </c>
      <c r="S39" s="13">
        <f>SUMIF(Mercado_Receita!$S$2:$S$1156,"44805B2Convencional pré-pagamentoRuralNão se aplicaNão se aplicaNão se aplicaPonta",Mercado_Receita!$L$2:$L$1156)+SUMIF(Mercado_Receita!$S$2:$S$1156,"44805B2Convencional pré-pagamentoRuralNão se aplicaNão se aplicaNão se aplicaFora ponta",Mercado_Receita!$L$2:$L$1156)+SUMIF(Mercado_Receita!$S$2:$S$1156,"44805B2Convencional pré-pagamentoRuralNão se aplicaNão se aplicaNão se aplicaIntermediário",Mercado_Receita!$L$2:$L$1156)+SUMIF(Mercado_Receita!$S$2:$S$1156,"44805B2Convencional pré-pagamentoRuralNão se aplicaNão se aplicaNão se aplicaNão se aplica",Mercado_Receita!$L$2:$L$1156)</f>
        <v>0</v>
      </c>
      <c r="T39" s="13">
        <f>SUMIF(Mercado_Receita!$S$2:$S$1156,"44835B2Convencional pré-pagamentoRuralNão se aplicaNão se aplicaNão se aplicaPonta",Mercado_Receita!$L$2:$L$1156)+SUMIF(Mercado_Receita!$S$2:$S$1156,"44835B2Convencional pré-pagamentoRuralNão se aplicaNão se aplicaNão se aplicaFora ponta",Mercado_Receita!$L$2:$L$1156)+SUMIF(Mercado_Receita!$S$2:$S$1156,"44835B2Convencional pré-pagamentoRuralNão se aplicaNão se aplicaNão se aplicaIntermediário",Mercado_Receita!$L$2:$L$1156)+SUMIF(Mercado_Receita!$S$2:$S$1156,"44835B2Convencional pré-pagamentoRuralNão se aplicaNão se aplicaNão se aplicaNão se aplica",Mercado_Receita!$L$2:$L$1156)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3"/>
      <c r="B40" s="93"/>
      <c r="C40" s="93"/>
      <c r="D40" s="12" t="s">
        <v>88</v>
      </c>
      <c r="E40" s="12" t="s">
        <v>25</v>
      </c>
      <c r="F40" s="12" t="s">
        <v>25</v>
      </c>
      <c r="G40" s="13" t="s">
        <v>76</v>
      </c>
      <c r="H40" s="13" t="s">
        <v>72</v>
      </c>
      <c r="I40" s="13">
        <f>SUMIF(Mercado_Receita!$S$2:$S$1156,"44501B2Convencional pré-pagamentoRuralCooperativa de eletrificação ruralNão se aplicaNão se aplicaPonta",Mercado_Receita!$L$2:$L$1156)+SUMIF(Mercado_Receita!$S$2:$S$1156,"44501B2Convencional pré-pagamentoRuralCooperativa de eletrificação ruralNão se aplicaNão se aplicaFora ponta",Mercado_Receita!$L$2:$L$1156)+SUMIF(Mercado_Receita!$S$2:$S$1156,"44501B2Convencional pré-pagamentoRuralCooperativa de eletrificação ruralNão se aplicaNão se aplicaIntermediário",Mercado_Receita!$L$2:$L$1156)+SUMIF(Mercado_Receita!$S$2:$S$1156,"44501B2Convencional pré-pagamentoRuralCooperativa de eletrificação ruralNão se aplicaNão se aplicaNão se aplica",Mercado_Receita!$L$2:$L$1156)</f>
        <v>0</v>
      </c>
      <c r="J40" s="13">
        <f>SUMIF(Mercado_Receita!$S$2:$S$1156,"44531B2Convencional pré-pagamentoRuralCooperativa de eletrificação ruralNão se aplicaNão se aplicaPonta",Mercado_Receita!$L$2:$L$1156)+SUMIF(Mercado_Receita!$S$2:$S$1156,"44531B2Convencional pré-pagamentoRuralCooperativa de eletrificação ruralNão se aplicaNão se aplicaFora ponta",Mercado_Receita!$L$2:$L$1156)+SUMIF(Mercado_Receita!$S$2:$S$1156,"44531B2Convencional pré-pagamentoRuralCooperativa de eletrificação ruralNão se aplicaNão se aplicaIntermediário",Mercado_Receita!$L$2:$L$1156)+SUMIF(Mercado_Receita!$S$2:$S$1156,"44531B2Convencional pré-pagamentoRuralCooperativa de eletrificação ruralNão se aplicaNão se aplicaNão se aplica",Mercado_Receita!$L$2:$L$1156)</f>
        <v>0</v>
      </c>
      <c r="K40" s="13">
        <f>SUMIF(Mercado_Receita!$S$2:$S$1156,"44562B2Convencional pré-pagamentoRuralCooperativa de eletrificação ruralNão se aplicaNão se aplicaPonta",Mercado_Receita!$L$2:$L$1156)+SUMIF(Mercado_Receita!$S$2:$S$1156,"44562B2Convencional pré-pagamentoRuralCooperativa de eletrificação ruralNão se aplicaNão se aplicaFora ponta",Mercado_Receita!$L$2:$L$1156)+SUMIF(Mercado_Receita!$S$2:$S$1156,"44562B2Convencional pré-pagamentoRuralCooperativa de eletrificação ruralNão se aplicaNão se aplicaIntermediário",Mercado_Receita!$L$2:$L$1156)+SUMIF(Mercado_Receita!$S$2:$S$1156,"44562B2Convencional pré-pagamentoRuralCooperativa de eletrificação ruralNão se aplicaNão se aplicaNão se aplica",Mercado_Receita!$L$2:$L$1156)</f>
        <v>0</v>
      </c>
      <c r="L40" s="13">
        <f>SUMIF(Mercado_Receita!$S$2:$S$1156,"44593B2Convencional pré-pagamentoRuralCooperativa de eletrificação ruralNão se aplicaNão se aplicaPonta",Mercado_Receita!$L$2:$L$1156)+SUMIF(Mercado_Receita!$S$2:$S$1156,"44593B2Convencional pré-pagamentoRuralCooperativa de eletrificação ruralNão se aplicaNão se aplicaFora ponta",Mercado_Receita!$L$2:$L$1156)+SUMIF(Mercado_Receita!$S$2:$S$1156,"44593B2Convencional pré-pagamentoRuralCooperativa de eletrificação ruralNão se aplicaNão se aplicaIntermediário",Mercado_Receita!$L$2:$L$1156)+SUMIF(Mercado_Receita!$S$2:$S$1156,"44593B2Convencional pré-pagamentoRuralCooperativa de eletrificação ruralNão se aplicaNão se aplicaNão se aplica",Mercado_Receita!$L$2:$L$1156)</f>
        <v>0</v>
      </c>
      <c r="M40" s="13">
        <f>SUMIF(Mercado_Receita!$S$2:$S$1156,"44621B2Convencional pré-pagamentoRuralCooperativa de eletrificação ruralNão se aplicaNão se aplicaPonta",Mercado_Receita!$L$2:$L$1156)+SUMIF(Mercado_Receita!$S$2:$S$1156,"44621B2Convencional pré-pagamentoRuralCooperativa de eletrificação ruralNão se aplicaNão se aplicaFora ponta",Mercado_Receita!$L$2:$L$1156)+SUMIF(Mercado_Receita!$S$2:$S$1156,"44621B2Convencional pré-pagamentoRuralCooperativa de eletrificação ruralNão se aplicaNão se aplicaIntermediário",Mercado_Receita!$L$2:$L$1156)+SUMIF(Mercado_Receita!$S$2:$S$1156,"44621B2Convencional pré-pagamentoRuralCooperativa de eletrificação ruralNão se aplicaNão se aplicaNão se aplica",Mercado_Receita!$L$2:$L$1156)</f>
        <v>0</v>
      </c>
      <c r="N40" s="13">
        <f>SUMIF(Mercado_Receita!$S$2:$S$1156,"44652B2Convencional pré-pagamentoRuralCooperativa de eletrificação ruralNão se aplicaNão se aplicaPonta",Mercado_Receita!$L$2:$L$1156)+SUMIF(Mercado_Receita!$S$2:$S$1156,"44652B2Convencional pré-pagamentoRuralCooperativa de eletrificação ruralNão se aplicaNão se aplicaFora ponta",Mercado_Receita!$L$2:$L$1156)+SUMIF(Mercado_Receita!$S$2:$S$1156,"44652B2Convencional pré-pagamentoRuralCooperativa de eletrificação ruralNão se aplicaNão se aplicaIntermediário",Mercado_Receita!$L$2:$L$1156)+SUMIF(Mercado_Receita!$S$2:$S$1156,"44652B2Convencional pré-pagamentoRuralCooperativa de eletrificação ruralNão se aplicaNão se aplicaNão se aplica",Mercado_Receita!$L$2:$L$1156)</f>
        <v>0</v>
      </c>
      <c r="O40" s="13">
        <f>SUMIF(Mercado_Receita!$S$2:$S$1156,"44682B2Convencional pré-pagamentoRuralCooperativa de eletrificação ruralNão se aplicaNão se aplicaPonta",Mercado_Receita!$L$2:$L$1156)+SUMIF(Mercado_Receita!$S$2:$S$1156,"44682B2Convencional pré-pagamentoRuralCooperativa de eletrificação ruralNão se aplicaNão se aplicaFora ponta",Mercado_Receita!$L$2:$L$1156)+SUMIF(Mercado_Receita!$S$2:$S$1156,"44682B2Convencional pré-pagamentoRuralCooperativa de eletrificação ruralNão se aplicaNão se aplicaIntermediário",Mercado_Receita!$L$2:$L$1156)+SUMIF(Mercado_Receita!$S$2:$S$1156,"44682B2Convencional pré-pagamentoRuralCooperativa de eletrificação ruralNão se aplicaNão se aplicaNão se aplica",Mercado_Receita!$L$2:$L$1156)</f>
        <v>0</v>
      </c>
      <c r="P40" s="13">
        <f>SUMIF(Mercado_Receita!$S$2:$S$1156,"44713B2Convencional pré-pagamentoRuralCooperativa de eletrificação ruralNão se aplicaNão se aplicaPonta",Mercado_Receita!$L$2:$L$1156)+SUMIF(Mercado_Receita!$S$2:$S$1156,"44713B2Convencional pré-pagamentoRuralCooperativa de eletrificação ruralNão se aplicaNão se aplicaFora ponta",Mercado_Receita!$L$2:$L$1156)+SUMIF(Mercado_Receita!$S$2:$S$1156,"44713B2Convencional pré-pagamentoRuralCooperativa de eletrificação ruralNão se aplicaNão se aplicaIntermediário",Mercado_Receita!$L$2:$L$1156)+SUMIF(Mercado_Receita!$S$2:$S$1156,"44713B2Convencional pré-pagamentoRuralCooperativa de eletrificação ruralNão se aplicaNão se aplicaNão se aplica",Mercado_Receita!$L$2:$L$1156)</f>
        <v>0</v>
      </c>
      <c r="Q40" s="13">
        <f>SUMIF(Mercado_Receita!$S$2:$S$1156,"44743B2Convencional pré-pagamentoRuralCooperativa de eletrificação ruralNão se aplicaNão se aplicaPonta",Mercado_Receita!$L$2:$L$1156)+SUMIF(Mercado_Receita!$S$2:$S$1156,"44743B2Convencional pré-pagamentoRuralCooperativa de eletrificação ruralNão se aplicaNão se aplicaFora ponta",Mercado_Receita!$L$2:$L$1156)+SUMIF(Mercado_Receita!$S$2:$S$1156,"44743B2Convencional pré-pagamentoRuralCooperativa de eletrificação ruralNão se aplicaNão se aplicaIntermediário",Mercado_Receita!$L$2:$L$1156)+SUMIF(Mercado_Receita!$S$2:$S$1156,"44743B2Convencional pré-pagamentoRuralCooperativa de eletrificação ruralNão se aplicaNão se aplicaNão se aplica",Mercado_Receita!$L$2:$L$1156)</f>
        <v>0</v>
      </c>
      <c r="R40" s="13">
        <f>SUMIF(Mercado_Receita!$S$2:$S$1156,"44774B2Convencional pré-pagamentoRuralCooperativa de eletrificação ruralNão se aplicaNão se aplicaPonta",Mercado_Receita!$L$2:$L$1156)+SUMIF(Mercado_Receita!$S$2:$S$1156,"44774B2Convencional pré-pagamentoRuralCooperativa de eletrificação ruralNão se aplicaNão se aplicaFora ponta",Mercado_Receita!$L$2:$L$1156)+SUMIF(Mercado_Receita!$S$2:$S$1156,"44774B2Convencional pré-pagamentoRuralCooperativa de eletrificação ruralNão se aplicaNão se aplicaIntermediário",Mercado_Receita!$L$2:$L$1156)+SUMIF(Mercado_Receita!$S$2:$S$1156,"44774B2Convencional pré-pagamentoRuralCooperativa de eletrificação ruralNão se aplicaNão se aplicaNão se aplica",Mercado_Receita!$L$2:$L$1156)</f>
        <v>0</v>
      </c>
      <c r="S40" s="13">
        <f>SUMIF(Mercado_Receita!$S$2:$S$1156,"44805B2Convencional pré-pagamentoRuralCooperativa de eletrificação ruralNão se aplicaNão se aplicaPonta",Mercado_Receita!$L$2:$L$1156)+SUMIF(Mercado_Receita!$S$2:$S$1156,"44805B2Convencional pré-pagamentoRuralCooperativa de eletrificação ruralNão se aplicaNão se aplicaFora ponta",Mercado_Receita!$L$2:$L$1156)+SUMIF(Mercado_Receita!$S$2:$S$1156,"44805B2Convencional pré-pagamentoRuralCooperativa de eletrificação ruralNão se aplicaNão se aplicaIntermediário",Mercado_Receita!$L$2:$L$1156)+SUMIF(Mercado_Receita!$S$2:$S$1156,"44805B2Convencional pré-pagamentoRuralCooperativa de eletrificação ruralNão se aplicaNão se aplicaNão se aplica",Mercado_Receita!$L$2:$L$1156)</f>
        <v>0</v>
      </c>
      <c r="T40" s="13">
        <f>SUMIF(Mercado_Receita!$S$2:$S$1156,"44835B2Convencional pré-pagamentoRuralCooperativa de eletrificação ruralNão se aplicaNão se aplicaPonta",Mercado_Receita!$L$2:$L$1156)+SUMIF(Mercado_Receita!$S$2:$S$1156,"44835B2Convencional pré-pagamentoRuralCooperativa de eletrificação ruralNão se aplicaNão se aplicaFora ponta",Mercado_Receita!$L$2:$L$1156)+SUMIF(Mercado_Receita!$S$2:$S$1156,"44835B2Convencional pré-pagamentoRuralCooperativa de eletrificação ruralNão se aplicaNão se aplicaIntermediário",Mercado_Receita!$L$2:$L$1156)+SUMIF(Mercado_Receita!$S$2:$S$1156,"44835B2Convencional pré-pagamentoRuralCooperativa de eletrificação ruralNão se aplicaNão se aplicaNão se aplica",Mercado_Receita!$L$2:$L$1156)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93"/>
      <c r="B41" s="93"/>
      <c r="C41" s="93"/>
      <c r="D41" s="12" t="s">
        <v>89</v>
      </c>
      <c r="E41" s="12" t="s">
        <v>25</v>
      </c>
      <c r="F41" s="12" t="s">
        <v>25</v>
      </c>
      <c r="G41" s="13" t="s">
        <v>76</v>
      </c>
      <c r="H41" s="13" t="s">
        <v>72</v>
      </c>
      <c r="I41" s="13">
        <f>SUMIF(Mercado_Receita!$S$2:$S$1156,"44501B2Convencional pré-pagamentoRuralServiço público de irrigação ruralNão se aplicaNão se aplicaPonta",Mercado_Receita!$L$2:$L$1156)+SUMIF(Mercado_Receita!$S$2:$S$1156,"44501B2Convencional pré-pagamentoRuralServiço público de irrigação ruralNão se aplicaNão se aplicaFora ponta",Mercado_Receita!$L$2:$L$1156)+SUMIF(Mercado_Receita!$S$2:$S$1156,"44501B2Convencional pré-pagamentoRuralServiço público de irrigação ruralNão se aplicaNão se aplicaIntermediário",Mercado_Receita!$L$2:$L$1156)+SUMIF(Mercado_Receita!$S$2:$S$1156,"44501B2Convencional pré-pagamentoRuralServiço público de irrigação ruralNão se aplicaNão se aplicaNão se aplica",Mercado_Receita!$L$2:$L$1156)</f>
        <v>0</v>
      </c>
      <c r="J41" s="13">
        <f>SUMIF(Mercado_Receita!$S$2:$S$1156,"44531B2Convencional pré-pagamentoRuralServiço público de irrigação ruralNão se aplicaNão se aplicaPonta",Mercado_Receita!$L$2:$L$1156)+SUMIF(Mercado_Receita!$S$2:$S$1156,"44531B2Convencional pré-pagamentoRuralServiço público de irrigação ruralNão se aplicaNão se aplicaFora ponta",Mercado_Receita!$L$2:$L$1156)+SUMIF(Mercado_Receita!$S$2:$S$1156,"44531B2Convencional pré-pagamentoRuralServiço público de irrigação ruralNão se aplicaNão se aplicaIntermediário",Mercado_Receita!$L$2:$L$1156)+SUMIF(Mercado_Receita!$S$2:$S$1156,"44531B2Convencional pré-pagamentoRuralServiço público de irrigação ruralNão se aplicaNão se aplicaNão se aplica",Mercado_Receita!$L$2:$L$1156)</f>
        <v>0</v>
      </c>
      <c r="K41" s="13">
        <f>SUMIF(Mercado_Receita!$S$2:$S$1156,"44562B2Convencional pré-pagamentoRuralServiço público de irrigação ruralNão se aplicaNão se aplicaPonta",Mercado_Receita!$L$2:$L$1156)+SUMIF(Mercado_Receita!$S$2:$S$1156,"44562B2Convencional pré-pagamentoRuralServiço público de irrigação ruralNão se aplicaNão se aplicaFora ponta",Mercado_Receita!$L$2:$L$1156)+SUMIF(Mercado_Receita!$S$2:$S$1156,"44562B2Convencional pré-pagamentoRuralServiço público de irrigação ruralNão se aplicaNão se aplicaIntermediário",Mercado_Receita!$L$2:$L$1156)+SUMIF(Mercado_Receita!$S$2:$S$1156,"44562B2Convencional pré-pagamentoRuralServiço público de irrigação ruralNão se aplicaNão se aplicaNão se aplica",Mercado_Receita!$L$2:$L$1156)</f>
        <v>0</v>
      </c>
      <c r="L41" s="13">
        <f>SUMIF(Mercado_Receita!$S$2:$S$1156,"44593B2Convencional pré-pagamentoRuralServiço público de irrigação ruralNão se aplicaNão se aplicaPonta",Mercado_Receita!$L$2:$L$1156)+SUMIF(Mercado_Receita!$S$2:$S$1156,"44593B2Convencional pré-pagamentoRuralServiço público de irrigação ruralNão se aplicaNão se aplicaFora ponta",Mercado_Receita!$L$2:$L$1156)+SUMIF(Mercado_Receita!$S$2:$S$1156,"44593B2Convencional pré-pagamentoRuralServiço público de irrigação ruralNão se aplicaNão se aplicaIntermediário",Mercado_Receita!$L$2:$L$1156)+SUMIF(Mercado_Receita!$S$2:$S$1156,"44593B2Convencional pré-pagamentoRuralServiço público de irrigação ruralNão se aplicaNão se aplicaNão se aplica",Mercado_Receita!$L$2:$L$1156)</f>
        <v>0</v>
      </c>
      <c r="M41" s="13">
        <f>SUMIF(Mercado_Receita!$S$2:$S$1156,"44621B2Convencional pré-pagamentoRuralServiço público de irrigação ruralNão se aplicaNão se aplicaPonta",Mercado_Receita!$L$2:$L$1156)+SUMIF(Mercado_Receita!$S$2:$S$1156,"44621B2Convencional pré-pagamentoRuralServiço público de irrigação ruralNão se aplicaNão se aplicaFora ponta",Mercado_Receita!$L$2:$L$1156)+SUMIF(Mercado_Receita!$S$2:$S$1156,"44621B2Convencional pré-pagamentoRuralServiço público de irrigação ruralNão se aplicaNão se aplicaIntermediário",Mercado_Receita!$L$2:$L$1156)+SUMIF(Mercado_Receita!$S$2:$S$1156,"44621B2Convencional pré-pagamentoRuralServiço público de irrigação ruralNão se aplicaNão se aplicaNão se aplica",Mercado_Receita!$L$2:$L$1156)</f>
        <v>0</v>
      </c>
      <c r="N41" s="13">
        <f>SUMIF(Mercado_Receita!$S$2:$S$1156,"44652B2Convencional pré-pagamentoRuralServiço público de irrigação ruralNão se aplicaNão se aplicaPonta",Mercado_Receita!$L$2:$L$1156)+SUMIF(Mercado_Receita!$S$2:$S$1156,"44652B2Convencional pré-pagamentoRuralServiço público de irrigação ruralNão se aplicaNão se aplicaFora ponta",Mercado_Receita!$L$2:$L$1156)+SUMIF(Mercado_Receita!$S$2:$S$1156,"44652B2Convencional pré-pagamentoRuralServiço público de irrigação ruralNão se aplicaNão se aplicaIntermediário",Mercado_Receita!$L$2:$L$1156)+SUMIF(Mercado_Receita!$S$2:$S$1156,"44652B2Convencional pré-pagamentoRuralServiço público de irrigação ruralNão se aplicaNão se aplicaNão se aplica",Mercado_Receita!$L$2:$L$1156)</f>
        <v>0</v>
      </c>
      <c r="O41" s="13">
        <f>SUMIF(Mercado_Receita!$S$2:$S$1156,"44682B2Convencional pré-pagamentoRuralServiço público de irrigação ruralNão se aplicaNão se aplicaPonta",Mercado_Receita!$L$2:$L$1156)+SUMIF(Mercado_Receita!$S$2:$S$1156,"44682B2Convencional pré-pagamentoRuralServiço público de irrigação ruralNão se aplicaNão se aplicaFora ponta",Mercado_Receita!$L$2:$L$1156)+SUMIF(Mercado_Receita!$S$2:$S$1156,"44682B2Convencional pré-pagamentoRuralServiço público de irrigação ruralNão se aplicaNão se aplicaIntermediário",Mercado_Receita!$L$2:$L$1156)+SUMIF(Mercado_Receita!$S$2:$S$1156,"44682B2Convencional pré-pagamentoRuralServiço público de irrigação ruralNão se aplicaNão se aplicaNão se aplica",Mercado_Receita!$L$2:$L$1156)</f>
        <v>0</v>
      </c>
      <c r="P41" s="13">
        <f>SUMIF(Mercado_Receita!$S$2:$S$1156,"44713B2Convencional pré-pagamentoRuralServiço público de irrigação ruralNão se aplicaNão se aplicaPonta",Mercado_Receita!$L$2:$L$1156)+SUMIF(Mercado_Receita!$S$2:$S$1156,"44713B2Convencional pré-pagamentoRuralServiço público de irrigação ruralNão se aplicaNão se aplicaFora ponta",Mercado_Receita!$L$2:$L$1156)+SUMIF(Mercado_Receita!$S$2:$S$1156,"44713B2Convencional pré-pagamentoRuralServiço público de irrigação ruralNão se aplicaNão se aplicaIntermediário",Mercado_Receita!$L$2:$L$1156)+SUMIF(Mercado_Receita!$S$2:$S$1156,"44713B2Convencional pré-pagamentoRuralServiço público de irrigação ruralNão se aplicaNão se aplicaNão se aplica",Mercado_Receita!$L$2:$L$1156)</f>
        <v>0</v>
      </c>
      <c r="Q41" s="13">
        <f>SUMIF(Mercado_Receita!$S$2:$S$1156,"44743B2Convencional pré-pagamentoRuralServiço público de irrigação ruralNão se aplicaNão se aplicaPonta",Mercado_Receita!$L$2:$L$1156)+SUMIF(Mercado_Receita!$S$2:$S$1156,"44743B2Convencional pré-pagamentoRuralServiço público de irrigação ruralNão se aplicaNão se aplicaFora ponta",Mercado_Receita!$L$2:$L$1156)+SUMIF(Mercado_Receita!$S$2:$S$1156,"44743B2Convencional pré-pagamentoRuralServiço público de irrigação ruralNão se aplicaNão se aplicaIntermediário",Mercado_Receita!$L$2:$L$1156)+SUMIF(Mercado_Receita!$S$2:$S$1156,"44743B2Convencional pré-pagamentoRuralServiço público de irrigação ruralNão se aplicaNão se aplicaNão se aplica",Mercado_Receita!$L$2:$L$1156)</f>
        <v>0</v>
      </c>
      <c r="R41" s="13">
        <f>SUMIF(Mercado_Receita!$S$2:$S$1156,"44774B2Convencional pré-pagamentoRuralServiço público de irrigação ruralNão se aplicaNão se aplicaPonta",Mercado_Receita!$L$2:$L$1156)+SUMIF(Mercado_Receita!$S$2:$S$1156,"44774B2Convencional pré-pagamentoRuralServiço público de irrigação ruralNão se aplicaNão se aplicaFora ponta",Mercado_Receita!$L$2:$L$1156)+SUMIF(Mercado_Receita!$S$2:$S$1156,"44774B2Convencional pré-pagamentoRuralServiço público de irrigação ruralNão se aplicaNão se aplicaIntermediário",Mercado_Receita!$L$2:$L$1156)+SUMIF(Mercado_Receita!$S$2:$S$1156,"44774B2Convencional pré-pagamentoRuralServiço público de irrigação ruralNão se aplicaNão se aplicaNão se aplica",Mercado_Receita!$L$2:$L$1156)</f>
        <v>0</v>
      </c>
      <c r="S41" s="13">
        <f>SUMIF(Mercado_Receita!$S$2:$S$1156,"44805B2Convencional pré-pagamentoRuralServiço público de irrigação ruralNão se aplicaNão se aplicaPonta",Mercado_Receita!$L$2:$L$1156)+SUMIF(Mercado_Receita!$S$2:$S$1156,"44805B2Convencional pré-pagamentoRuralServiço público de irrigação ruralNão se aplicaNão se aplicaFora ponta",Mercado_Receita!$L$2:$L$1156)+SUMIF(Mercado_Receita!$S$2:$S$1156,"44805B2Convencional pré-pagamentoRuralServiço público de irrigação ruralNão se aplicaNão se aplicaIntermediário",Mercado_Receita!$L$2:$L$1156)+SUMIF(Mercado_Receita!$S$2:$S$1156,"44805B2Convencional pré-pagamentoRuralServiço público de irrigação ruralNão se aplicaNão se aplicaNão se aplica",Mercado_Receita!$L$2:$L$1156)</f>
        <v>0</v>
      </c>
      <c r="T41" s="13">
        <f>SUMIF(Mercado_Receita!$S$2:$S$1156,"44835B2Convencional pré-pagamentoRuralServiço público de irrigação ruralNão se aplicaNão se aplicaPonta",Mercado_Receita!$L$2:$L$1156)+SUMIF(Mercado_Receita!$S$2:$S$1156,"44835B2Convencional pré-pagamentoRuralServiço público de irrigação ruralNão se aplicaNão se aplicaFora ponta",Mercado_Receita!$L$2:$L$1156)+SUMIF(Mercado_Receita!$S$2:$S$1156,"44835B2Convencional pré-pagamentoRuralServiço público de irrigação ruralNão se aplicaNão se aplicaIntermediário",Mercado_Receita!$L$2:$L$1156)+SUMIF(Mercado_Receita!$S$2:$S$1156,"44835B2Convencional pré-pagamentoRuralServiço público de irrigação ruralNão se aplicaNão se aplicaNão se aplica",Mercado_Receita!$L$2:$L$1156)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92" t="s">
        <v>37</v>
      </c>
      <c r="B42" s="92" t="s">
        <v>33</v>
      </c>
      <c r="C42" s="92" t="s">
        <v>25</v>
      </c>
      <c r="D42" s="92" t="s">
        <v>25</v>
      </c>
      <c r="E42" s="92" t="s">
        <v>25</v>
      </c>
      <c r="F42" s="92" t="s">
        <v>25</v>
      </c>
      <c r="G42" s="13" t="s">
        <v>73</v>
      </c>
      <c r="H42" s="13" t="s">
        <v>72</v>
      </c>
      <c r="I42" s="13">
        <f>SUMIF(Mercado_Receita!$S$2:$S$1156,"44501B3BrancaNão se aplicaNão se aplicaNão se aplicaNão se aplicaPonta",Mercado_Receita!$L$2:$L$1156)</f>
        <v>3.4849999999999999</v>
      </c>
      <c r="J42" s="13">
        <f>SUMIF(Mercado_Receita!$S$2:$S$1156,"44531B3BrancaNão se aplicaNão se aplicaNão se aplicaNão se aplicaPonta",Mercado_Receita!$L$2:$L$1156)</f>
        <v>3.0760000000000001</v>
      </c>
      <c r="K42" s="13">
        <f>SUMIF(Mercado_Receita!$S$2:$S$1156,"44562B3BrancaNão se aplicaNão se aplicaNão se aplicaNão se aplicaPonta",Mercado_Receita!$L$2:$L$1156)</f>
        <v>2.7789999999999999</v>
      </c>
      <c r="L42" s="13">
        <f>SUMIF(Mercado_Receita!$S$2:$S$1156,"44593B3BrancaNão se aplicaNão se aplicaNão se aplicaNão se aplicaPonta",Mercado_Receita!$L$2:$L$1156)</f>
        <v>2.766</v>
      </c>
      <c r="M42" s="13">
        <f>SUMIF(Mercado_Receita!$S$2:$S$1156,"44621B3BrancaNão se aplicaNão se aplicaNão se aplicaNão se aplicaPonta",Mercado_Receita!$L$2:$L$1156)</f>
        <v>3.073</v>
      </c>
      <c r="N42" s="13">
        <f>SUMIF(Mercado_Receita!$S$2:$S$1156,"44652B3BrancaNão se aplicaNão se aplicaNão se aplicaNão se aplicaPonta",Mercado_Receita!$L$2:$L$1156)</f>
        <v>3.073</v>
      </c>
      <c r="O42" s="13">
        <f>SUMIF(Mercado_Receita!$S$2:$S$1156,"44682B3BrancaNão se aplicaNão se aplicaNão se aplicaNão se aplicaPonta",Mercado_Receita!$L$2:$L$1156)</f>
        <v>3.54</v>
      </c>
      <c r="P42" s="13">
        <f>SUMIF(Mercado_Receita!$S$2:$S$1156,"44713B3BrancaNão se aplicaNão se aplicaNão se aplicaNão se aplicaPonta",Mercado_Receita!$L$2:$L$1156)</f>
        <v>3.198</v>
      </c>
      <c r="Q42" s="13">
        <f>SUMIF(Mercado_Receita!$S$2:$S$1156,"44743B3BrancaNão se aplicaNão se aplicaNão se aplicaNão se aplicaPonta",Mercado_Receita!$L$2:$L$1156)</f>
        <v>3.0329999999999999</v>
      </c>
      <c r="R42" s="13">
        <f>SUMIF(Mercado_Receita!$S$2:$S$1156,"44774B3BrancaNão se aplicaNão se aplicaNão se aplicaNão se aplicaPonta",Mercado_Receita!$L$2:$L$1156)</f>
        <v>3.7289999999999996</v>
      </c>
      <c r="S42" s="13">
        <f>SUMIF(Mercado_Receita!$S$2:$S$1156,"44805B3BrancaNão se aplicaNão se aplicaNão se aplicaNão se aplicaPonta",Mercado_Receita!$L$2:$L$1156)</f>
        <v>3.2450000000000001</v>
      </c>
      <c r="T42" s="13">
        <f>SUMIF(Mercado_Receita!$S$2:$S$1156,"44835B3BrancaNão se aplicaNão se aplicaNão se aplicaNão se aplicaPonta",Mercado_Receita!$L$2:$L$1156)</f>
        <v>3.2450000000000001</v>
      </c>
      <c r="U42" s="13">
        <f t="shared" si="0"/>
        <v>38.241999999999997</v>
      </c>
      <c r="V42" s="13"/>
      <c r="W42" s="13"/>
    </row>
    <row r="43" spans="1:23" ht="11.25" customHeight="1" x14ac:dyDescent="0.25">
      <c r="A43" s="93"/>
      <c r="B43" s="93"/>
      <c r="C43" s="93"/>
      <c r="D43" s="93"/>
      <c r="E43" s="93"/>
      <c r="F43" s="93"/>
      <c r="G43" s="13" t="s">
        <v>85</v>
      </c>
      <c r="H43" s="13" t="s">
        <v>72</v>
      </c>
      <c r="I43" s="13">
        <f>SUMIF(Mercado_Receita!$S$2:$S$1156,"44501B3BrancaNão se aplicaNão se aplicaNão se aplicaNão se aplicaIntermediário",Mercado_Receita!$L$2:$L$1156)</f>
        <v>2.2509999999999999</v>
      </c>
      <c r="J43" s="13">
        <f>SUMIF(Mercado_Receita!$S$2:$S$1156,"44531B3BrancaNão se aplicaNão se aplicaNão se aplicaNão se aplicaIntermediário",Mercado_Receita!$L$2:$L$1156)</f>
        <v>2.1259999999999999</v>
      </c>
      <c r="K43" s="13">
        <f>SUMIF(Mercado_Receita!$S$2:$S$1156,"44562B3BrancaNão se aplicaNão se aplicaNão se aplicaNão se aplicaIntermediário",Mercado_Receita!$L$2:$L$1156)</f>
        <v>1.875</v>
      </c>
      <c r="L43" s="13">
        <f>SUMIF(Mercado_Receita!$S$2:$S$1156,"44593B3BrancaNão se aplicaNão se aplicaNão se aplicaNão se aplicaIntermediário",Mercado_Receita!$L$2:$L$1156)</f>
        <v>1.8560000000000001</v>
      </c>
      <c r="M43" s="13">
        <f>SUMIF(Mercado_Receita!$S$2:$S$1156,"44621B3BrancaNão se aplicaNão se aplicaNão se aplicaNão se aplicaIntermediário",Mercado_Receita!$L$2:$L$1156)</f>
        <v>2.1440000000000001</v>
      </c>
      <c r="N43" s="13">
        <f>SUMIF(Mercado_Receita!$S$2:$S$1156,"44652B3BrancaNão se aplicaNão se aplicaNão se aplicaNão se aplicaIntermediário",Mercado_Receita!$L$2:$L$1156)</f>
        <v>2.1440000000000001</v>
      </c>
      <c r="O43" s="13">
        <f>SUMIF(Mercado_Receita!$S$2:$S$1156,"44682B3BrancaNão se aplicaNão se aplicaNão se aplicaNão se aplicaIntermediário",Mercado_Receita!$L$2:$L$1156)</f>
        <v>2.036</v>
      </c>
      <c r="P43" s="13">
        <f>SUMIF(Mercado_Receita!$S$2:$S$1156,"44713B3BrancaNão se aplicaNão se aplicaNão se aplicaNão se aplicaIntermediário",Mercado_Receita!$L$2:$L$1156)</f>
        <v>2.3340000000000001</v>
      </c>
      <c r="Q43" s="13">
        <f>SUMIF(Mercado_Receita!$S$2:$S$1156,"44743B3BrancaNão se aplicaNão se aplicaNão se aplicaNão se aplicaIntermediário",Mercado_Receita!$L$2:$L$1156)</f>
        <v>2.3199999999999998</v>
      </c>
      <c r="R43" s="13">
        <f>SUMIF(Mercado_Receita!$S$2:$S$1156,"44774B3BrancaNão se aplicaNão se aplicaNão se aplicaNão se aplicaIntermediário",Mercado_Receita!$L$2:$L$1156)</f>
        <v>2.6160000000000001</v>
      </c>
      <c r="S43" s="13">
        <f>SUMIF(Mercado_Receita!$S$2:$S$1156,"44805B3BrancaNão se aplicaNão se aplicaNão se aplicaNão se aplicaIntermediário",Mercado_Receita!$L$2:$L$1156)</f>
        <v>2.3439999999999999</v>
      </c>
      <c r="T43" s="13">
        <f>SUMIF(Mercado_Receita!$S$2:$S$1156,"44835B3BrancaNão se aplicaNão se aplicaNão se aplicaNão se aplicaIntermediário",Mercado_Receita!$L$2:$L$1156)</f>
        <v>2.3439999999999999</v>
      </c>
      <c r="U43" s="13">
        <f t="shared" si="0"/>
        <v>26.390000000000004</v>
      </c>
      <c r="V43" s="13"/>
      <c r="W43" s="13"/>
    </row>
    <row r="44" spans="1:23" ht="11.25" customHeight="1" x14ac:dyDescent="0.25">
      <c r="A44" s="93"/>
      <c r="B44" s="93"/>
      <c r="C44" s="93"/>
      <c r="D44" s="93"/>
      <c r="E44" s="93"/>
      <c r="F44" s="93"/>
      <c r="G44" s="13" t="s">
        <v>74</v>
      </c>
      <c r="H44" s="13" t="s">
        <v>72</v>
      </c>
      <c r="I44" s="13">
        <f>SUMIF(Mercado_Receita!$S$2:$S$1156,"44501B3BrancaNão se aplicaNão se aplicaNão se aplicaNão se aplicaFora ponta",Mercado_Receita!$L$2:$L$1156)</f>
        <v>97.412000000000006</v>
      </c>
      <c r="J44" s="13">
        <f>SUMIF(Mercado_Receita!$S$2:$S$1156,"44531B3BrancaNão se aplicaNão se aplicaNão se aplicaNão se aplicaFora ponta",Mercado_Receita!$L$2:$L$1156)</f>
        <v>96.534000000000006</v>
      </c>
      <c r="K44" s="13">
        <f>SUMIF(Mercado_Receita!$S$2:$S$1156,"44562B3BrancaNão se aplicaNão se aplicaNão se aplicaNão se aplicaFora ponta",Mercado_Receita!$L$2:$L$1156)</f>
        <v>80.566000000000003</v>
      </c>
      <c r="L44" s="13">
        <f>SUMIF(Mercado_Receita!$S$2:$S$1156,"44593B3BrancaNão se aplicaNão se aplicaNão se aplicaNão se aplicaFora ponta",Mercado_Receita!$L$2:$L$1156)</f>
        <v>86.956000000000003</v>
      </c>
      <c r="M44" s="13">
        <f>SUMIF(Mercado_Receita!$S$2:$S$1156,"44621B3BrancaNão se aplicaNão se aplicaNão se aplicaNão se aplicaFora ponta",Mercado_Receita!$L$2:$L$1156)</f>
        <v>96.016000000000005</v>
      </c>
      <c r="N44" s="13">
        <f>SUMIF(Mercado_Receita!$S$2:$S$1156,"44652B3BrancaNão se aplicaNão se aplicaNão se aplicaNão se aplicaFora ponta",Mercado_Receita!$L$2:$L$1156)</f>
        <v>96.016000000000005</v>
      </c>
      <c r="O44" s="13">
        <f>SUMIF(Mercado_Receita!$S$2:$S$1156,"44682B3BrancaNão se aplicaNão se aplicaNão se aplicaNão se aplicaFora ponta",Mercado_Receita!$L$2:$L$1156)</f>
        <v>107.792</v>
      </c>
      <c r="P44" s="13">
        <f>SUMIF(Mercado_Receita!$S$2:$S$1156,"44713B3BrancaNão se aplicaNão se aplicaNão se aplicaNão se aplicaFora ponta",Mercado_Receita!$L$2:$L$1156)</f>
        <v>90.72</v>
      </c>
      <c r="Q44" s="13">
        <f>SUMIF(Mercado_Receita!$S$2:$S$1156,"44743B3BrancaNão se aplicaNão se aplicaNão se aplicaNão se aplicaFora ponta",Mercado_Receita!$L$2:$L$1156)</f>
        <v>91.477000000000004</v>
      </c>
      <c r="R44" s="13">
        <f>SUMIF(Mercado_Receita!$S$2:$S$1156,"44774B3BrancaNão se aplicaNão se aplicaNão se aplicaNão se aplicaFora ponta",Mercado_Receita!$L$2:$L$1156)</f>
        <v>114.575</v>
      </c>
      <c r="S44" s="13">
        <f>SUMIF(Mercado_Receita!$S$2:$S$1156,"44805B3BrancaNão se aplicaNão se aplicaNão se aplicaNão se aplicaFora ponta",Mercado_Receita!$L$2:$L$1156)</f>
        <v>111.783</v>
      </c>
      <c r="T44" s="13">
        <f>SUMIF(Mercado_Receita!$S$2:$S$1156,"44835B3BrancaNão se aplicaNão se aplicaNão se aplicaNão se aplicaFora ponta",Mercado_Receita!$L$2:$L$1156)</f>
        <v>111.783</v>
      </c>
      <c r="U44" s="13">
        <f t="shared" si="0"/>
        <v>1181.6300000000001</v>
      </c>
      <c r="V44" s="13"/>
      <c r="W44" s="13"/>
    </row>
    <row r="45" spans="1:23" ht="11.25" customHeight="1" x14ac:dyDescent="0.25">
      <c r="A45" s="93"/>
      <c r="B45" s="12" t="s">
        <v>23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76</v>
      </c>
      <c r="H45" s="13" t="s">
        <v>72</v>
      </c>
      <c r="I45" s="13">
        <f>SUMIF(Mercado_Receita!$S$2:$S$1156,"44501B3ConvencionalNão se aplicaNão se aplicaNão se aplicaNão se aplicaPonta",Mercado_Receita!$L$2:$L$1156)+SUMIF(Mercado_Receita!$S$2:$S$1156,"44501B3ConvencionalNão se aplicaNão se aplicaNão se aplicaNão se aplicaFora ponta",Mercado_Receita!$L$2:$L$1156)+SUMIF(Mercado_Receita!$S$2:$S$1156,"44501B3ConvencionalNão se aplicaNão se aplicaNão se aplicaNão se aplicaIntermediário",Mercado_Receita!$L$2:$L$1156)+SUMIF(Mercado_Receita!$S$2:$S$1156,"44501B3ConvencionalNão se aplicaNão se aplicaNão se aplicaNão se aplicaNão se aplica",Mercado_Receita!$L$2:$L$1156)</f>
        <v>16713.682999999997</v>
      </c>
      <c r="J45" s="13">
        <f>SUMIF(Mercado_Receita!$S$2:$S$1156,"44531B3ConvencionalNão se aplicaNão se aplicaNão se aplicaNão se aplicaPonta",Mercado_Receita!$L$2:$L$1156)+SUMIF(Mercado_Receita!$S$2:$S$1156,"44531B3ConvencionalNão se aplicaNão se aplicaNão se aplicaNão se aplicaFora ponta",Mercado_Receita!$L$2:$L$1156)+SUMIF(Mercado_Receita!$S$2:$S$1156,"44531B3ConvencionalNão se aplicaNão se aplicaNão se aplicaNão se aplicaIntermediário",Mercado_Receita!$L$2:$L$1156)+SUMIF(Mercado_Receita!$S$2:$S$1156,"44531B3ConvencionalNão se aplicaNão se aplicaNão se aplicaNão se aplicaNão se aplica",Mercado_Receita!$L$2:$L$1156)</f>
        <v>16189.350000000002</v>
      </c>
      <c r="K45" s="13">
        <f>SUMIF(Mercado_Receita!$S$2:$S$1156,"44562B3ConvencionalNão se aplicaNão se aplicaNão se aplicaNão se aplicaPonta",Mercado_Receita!$L$2:$L$1156)+SUMIF(Mercado_Receita!$S$2:$S$1156,"44562B3ConvencionalNão se aplicaNão se aplicaNão se aplicaNão se aplicaFora ponta",Mercado_Receita!$L$2:$L$1156)+SUMIF(Mercado_Receita!$S$2:$S$1156,"44562B3ConvencionalNão se aplicaNão se aplicaNão se aplicaNão se aplicaIntermediário",Mercado_Receita!$L$2:$L$1156)+SUMIF(Mercado_Receita!$S$2:$S$1156,"44562B3ConvencionalNão se aplicaNão se aplicaNão se aplicaNão se aplicaNão se aplica",Mercado_Receita!$L$2:$L$1156)</f>
        <v>14415.585999999999</v>
      </c>
      <c r="L45" s="13">
        <f>SUMIF(Mercado_Receita!$S$2:$S$1156,"44593B3ConvencionalNão se aplicaNão se aplicaNão se aplicaNão se aplicaPonta",Mercado_Receita!$L$2:$L$1156)+SUMIF(Mercado_Receita!$S$2:$S$1156,"44593B3ConvencionalNão se aplicaNão se aplicaNão se aplicaNão se aplicaFora ponta",Mercado_Receita!$L$2:$L$1156)+SUMIF(Mercado_Receita!$S$2:$S$1156,"44593B3ConvencionalNão se aplicaNão se aplicaNão se aplicaNão se aplicaIntermediário",Mercado_Receita!$L$2:$L$1156)+SUMIF(Mercado_Receita!$S$2:$S$1156,"44593B3ConvencionalNão se aplicaNão se aplicaNão se aplicaNão se aplicaNão se aplica",Mercado_Receita!$L$2:$L$1156)</f>
        <v>15012.085000000003</v>
      </c>
      <c r="M45" s="13">
        <f>SUMIF(Mercado_Receita!$S$2:$S$1156,"44621B3ConvencionalNão se aplicaNão se aplicaNão se aplicaNão se aplicaPonta",Mercado_Receita!$L$2:$L$1156)+SUMIF(Mercado_Receita!$S$2:$S$1156,"44621B3ConvencionalNão se aplicaNão se aplicaNão se aplicaNão se aplicaFora ponta",Mercado_Receita!$L$2:$L$1156)+SUMIF(Mercado_Receita!$S$2:$S$1156,"44621B3ConvencionalNão se aplicaNão se aplicaNão se aplicaNão se aplicaIntermediário",Mercado_Receita!$L$2:$L$1156)+SUMIF(Mercado_Receita!$S$2:$S$1156,"44621B3ConvencionalNão se aplicaNão se aplicaNão se aplicaNão se aplicaNão se aplica",Mercado_Receita!$L$2:$L$1156)</f>
        <v>16302.217000000002</v>
      </c>
      <c r="N45" s="13">
        <f>SUMIF(Mercado_Receita!$S$2:$S$1156,"44652B3ConvencionalNão se aplicaNão se aplicaNão se aplicaNão se aplicaPonta",Mercado_Receita!$L$2:$L$1156)+SUMIF(Mercado_Receita!$S$2:$S$1156,"44652B3ConvencionalNão se aplicaNão se aplicaNão se aplicaNão se aplicaFora ponta",Mercado_Receita!$L$2:$L$1156)+SUMIF(Mercado_Receita!$S$2:$S$1156,"44652B3ConvencionalNão se aplicaNão se aplicaNão se aplicaNão se aplicaIntermediário",Mercado_Receita!$L$2:$L$1156)+SUMIF(Mercado_Receita!$S$2:$S$1156,"44652B3ConvencionalNão se aplicaNão se aplicaNão se aplicaNão se aplicaNão se aplica",Mercado_Receita!$L$2:$L$1156)</f>
        <v>16302.217000000002</v>
      </c>
      <c r="O45" s="13">
        <f>SUMIF(Mercado_Receita!$S$2:$S$1156,"44682B3ConvencionalNão se aplicaNão se aplicaNão se aplicaNão se aplicaPonta",Mercado_Receita!$L$2:$L$1156)+SUMIF(Mercado_Receita!$S$2:$S$1156,"44682B3ConvencionalNão se aplicaNão se aplicaNão se aplicaNão se aplicaFora ponta",Mercado_Receita!$L$2:$L$1156)+SUMIF(Mercado_Receita!$S$2:$S$1156,"44682B3ConvencionalNão se aplicaNão se aplicaNão se aplicaNão se aplicaIntermediário",Mercado_Receita!$L$2:$L$1156)+SUMIF(Mercado_Receita!$S$2:$S$1156,"44682B3ConvencionalNão se aplicaNão se aplicaNão se aplicaNão se aplicaNão se aplica",Mercado_Receita!$L$2:$L$1156)</f>
        <v>18760.435000000001</v>
      </c>
      <c r="P45" s="13">
        <f>SUMIF(Mercado_Receita!$S$2:$S$1156,"44713B3ConvencionalNão se aplicaNão se aplicaNão se aplicaNão se aplicaPonta",Mercado_Receita!$L$2:$L$1156)+SUMIF(Mercado_Receita!$S$2:$S$1156,"44713B3ConvencionalNão se aplicaNão se aplicaNão se aplicaNão se aplicaFora ponta",Mercado_Receita!$L$2:$L$1156)+SUMIF(Mercado_Receita!$S$2:$S$1156,"44713B3ConvencionalNão se aplicaNão se aplicaNão se aplicaNão se aplicaIntermediário",Mercado_Receita!$L$2:$L$1156)+SUMIF(Mercado_Receita!$S$2:$S$1156,"44713B3ConvencionalNão se aplicaNão se aplicaNão se aplicaNão se aplicaNão se aplica",Mercado_Receita!$L$2:$L$1156)</f>
        <v>15204.748</v>
      </c>
      <c r="Q45" s="13">
        <f>SUMIF(Mercado_Receita!$S$2:$S$1156,"44743B3ConvencionalNão se aplicaNão se aplicaNão se aplicaNão se aplicaPonta",Mercado_Receita!$L$2:$L$1156)+SUMIF(Mercado_Receita!$S$2:$S$1156,"44743B3ConvencionalNão se aplicaNão se aplicaNão se aplicaNão se aplicaFora ponta",Mercado_Receita!$L$2:$L$1156)+SUMIF(Mercado_Receita!$S$2:$S$1156,"44743B3ConvencionalNão se aplicaNão se aplicaNão se aplicaNão se aplicaIntermediário",Mercado_Receita!$L$2:$L$1156)+SUMIF(Mercado_Receita!$S$2:$S$1156,"44743B3ConvencionalNão se aplicaNão se aplicaNão se aplicaNão se aplicaNão se aplica",Mercado_Receita!$L$2:$L$1156)</f>
        <v>15034.689999999999</v>
      </c>
      <c r="R45" s="13">
        <f>SUMIF(Mercado_Receita!$S$2:$S$1156,"44774B3ConvencionalNão se aplicaNão se aplicaNão se aplicaNão se aplicaPonta",Mercado_Receita!$L$2:$L$1156)+SUMIF(Mercado_Receita!$S$2:$S$1156,"44774B3ConvencionalNão se aplicaNão se aplicaNão se aplicaNão se aplicaFora ponta",Mercado_Receita!$L$2:$L$1156)+SUMIF(Mercado_Receita!$S$2:$S$1156,"44774B3ConvencionalNão se aplicaNão se aplicaNão se aplicaNão se aplicaIntermediário",Mercado_Receita!$L$2:$L$1156)+SUMIF(Mercado_Receita!$S$2:$S$1156,"44774B3ConvencionalNão se aplicaNão se aplicaNão se aplicaNão se aplicaNão se aplica",Mercado_Receita!$L$2:$L$1156)</f>
        <v>17730.744999999995</v>
      </c>
      <c r="S45" s="13">
        <f>SUMIF(Mercado_Receita!$S$2:$S$1156,"44805B3ConvencionalNão se aplicaNão se aplicaNão se aplicaNão se aplicaPonta",Mercado_Receita!$L$2:$L$1156)+SUMIF(Mercado_Receita!$S$2:$S$1156,"44805B3ConvencionalNão se aplicaNão se aplicaNão se aplicaNão se aplicaFora ponta",Mercado_Receita!$L$2:$L$1156)+SUMIF(Mercado_Receita!$S$2:$S$1156,"44805B3ConvencionalNão se aplicaNão se aplicaNão se aplicaNão se aplicaIntermediário",Mercado_Receita!$L$2:$L$1156)+SUMIF(Mercado_Receita!$S$2:$S$1156,"44805B3ConvencionalNão se aplicaNão se aplicaNão se aplicaNão se aplicaNão se aplica",Mercado_Receita!$L$2:$L$1156)</f>
        <v>17820.793000000005</v>
      </c>
      <c r="T45" s="13">
        <f>SUMIF(Mercado_Receita!$S$2:$S$1156,"44835B3ConvencionalNão se aplicaNão se aplicaNão se aplicaNão se aplicaPonta",Mercado_Receita!$L$2:$L$1156)+SUMIF(Mercado_Receita!$S$2:$S$1156,"44835B3ConvencionalNão se aplicaNão se aplicaNão se aplicaNão se aplicaFora ponta",Mercado_Receita!$L$2:$L$1156)+SUMIF(Mercado_Receita!$S$2:$S$1156,"44835B3ConvencionalNão se aplicaNão se aplicaNão se aplicaNão se aplicaIntermediário",Mercado_Receita!$L$2:$L$1156)+SUMIF(Mercado_Receita!$S$2:$S$1156,"44835B3ConvencionalNão se aplicaNão se aplicaNão se aplicaNão se aplicaNão se aplica",Mercado_Receita!$L$2:$L$1156)</f>
        <v>17820.793000000005</v>
      </c>
      <c r="U45" s="13">
        <f t="shared" si="0"/>
        <v>197307.342</v>
      </c>
      <c r="V45" s="13"/>
      <c r="W45" s="13"/>
    </row>
    <row r="46" spans="1:23" ht="11.25" customHeight="1" x14ac:dyDescent="0.25">
      <c r="A46" s="93"/>
      <c r="B46" s="12" t="s">
        <v>87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76</v>
      </c>
      <c r="H46" s="13" t="s">
        <v>72</v>
      </c>
      <c r="I46" s="13">
        <f>SUMIF(Mercado_Receita!$S$2:$S$1156,"44501B3Convencional pré-pagamentoNão se aplicaNão se aplicaNão se aplicaNão se aplicaPonta",Mercado_Receita!$L$2:$L$1156)+SUMIF(Mercado_Receita!$S$2:$S$1156,"44501B3Convencional pré-pagamentoNão se aplicaNão se aplicaNão se aplicaNão se aplicaFora ponta",Mercado_Receita!$L$2:$L$1156)+SUMIF(Mercado_Receita!$S$2:$S$1156,"44501B3Convencional pré-pagamentoNão se aplicaNão se aplicaNão se aplicaNão se aplicaIntermediário",Mercado_Receita!$L$2:$L$1156)+SUMIF(Mercado_Receita!$S$2:$S$1156,"44501B3Convencional pré-pagamentoNão se aplicaNão se aplicaNão se aplicaNão se aplicaNão se aplica",Mercado_Receita!$L$2:$L$1156)</f>
        <v>0</v>
      </c>
      <c r="J46" s="13">
        <f>SUMIF(Mercado_Receita!$S$2:$S$1156,"44531B3Convencional pré-pagamentoNão se aplicaNão se aplicaNão se aplicaNão se aplicaPonta",Mercado_Receita!$L$2:$L$1156)+SUMIF(Mercado_Receita!$S$2:$S$1156,"44531B3Convencional pré-pagamentoNão se aplicaNão se aplicaNão se aplicaNão se aplicaFora ponta",Mercado_Receita!$L$2:$L$1156)+SUMIF(Mercado_Receita!$S$2:$S$1156,"44531B3Convencional pré-pagamentoNão se aplicaNão se aplicaNão se aplicaNão se aplicaIntermediário",Mercado_Receita!$L$2:$L$1156)+SUMIF(Mercado_Receita!$S$2:$S$1156,"44531B3Convencional pré-pagamentoNão se aplicaNão se aplicaNão se aplicaNão se aplicaNão se aplica",Mercado_Receita!$L$2:$L$1156)</f>
        <v>0</v>
      </c>
      <c r="K46" s="13">
        <f>SUMIF(Mercado_Receita!$S$2:$S$1156,"44562B3Convencional pré-pagamentoNão se aplicaNão se aplicaNão se aplicaNão se aplicaPonta",Mercado_Receita!$L$2:$L$1156)+SUMIF(Mercado_Receita!$S$2:$S$1156,"44562B3Convencional pré-pagamentoNão se aplicaNão se aplicaNão se aplicaNão se aplicaFora ponta",Mercado_Receita!$L$2:$L$1156)+SUMIF(Mercado_Receita!$S$2:$S$1156,"44562B3Convencional pré-pagamentoNão se aplicaNão se aplicaNão se aplicaNão se aplicaIntermediário",Mercado_Receita!$L$2:$L$1156)+SUMIF(Mercado_Receita!$S$2:$S$1156,"44562B3Convencional pré-pagamentoNão se aplicaNão se aplicaNão se aplicaNão se aplicaNão se aplica",Mercado_Receita!$L$2:$L$1156)</f>
        <v>0</v>
      </c>
      <c r="L46" s="13">
        <f>SUMIF(Mercado_Receita!$S$2:$S$1156,"44593B3Convencional pré-pagamentoNão se aplicaNão se aplicaNão se aplicaNão se aplicaPonta",Mercado_Receita!$L$2:$L$1156)+SUMIF(Mercado_Receita!$S$2:$S$1156,"44593B3Convencional pré-pagamentoNão se aplicaNão se aplicaNão se aplicaNão se aplicaFora ponta",Mercado_Receita!$L$2:$L$1156)+SUMIF(Mercado_Receita!$S$2:$S$1156,"44593B3Convencional pré-pagamentoNão se aplicaNão se aplicaNão se aplicaNão se aplicaIntermediário",Mercado_Receita!$L$2:$L$1156)+SUMIF(Mercado_Receita!$S$2:$S$1156,"44593B3Convencional pré-pagamentoNão se aplicaNão se aplicaNão se aplicaNão se aplicaNão se aplica",Mercado_Receita!$L$2:$L$1156)</f>
        <v>0</v>
      </c>
      <c r="M46" s="13">
        <f>SUMIF(Mercado_Receita!$S$2:$S$1156,"44621B3Convencional pré-pagamentoNão se aplicaNão se aplicaNão se aplicaNão se aplicaPonta",Mercado_Receita!$L$2:$L$1156)+SUMIF(Mercado_Receita!$S$2:$S$1156,"44621B3Convencional pré-pagamentoNão se aplicaNão se aplicaNão se aplicaNão se aplicaFora ponta",Mercado_Receita!$L$2:$L$1156)+SUMIF(Mercado_Receita!$S$2:$S$1156,"44621B3Convencional pré-pagamentoNão se aplicaNão se aplicaNão se aplicaNão se aplicaIntermediário",Mercado_Receita!$L$2:$L$1156)+SUMIF(Mercado_Receita!$S$2:$S$1156,"44621B3Convencional pré-pagamentoNão se aplicaNão se aplicaNão se aplicaNão se aplicaNão se aplica",Mercado_Receita!$L$2:$L$1156)</f>
        <v>0</v>
      </c>
      <c r="N46" s="13">
        <f>SUMIF(Mercado_Receita!$S$2:$S$1156,"44652B3Convencional pré-pagamentoNão se aplicaNão se aplicaNão se aplicaNão se aplicaPonta",Mercado_Receita!$L$2:$L$1156)+SUMIF(Mercado_Receita!$S$2:$S$1156,"44652B3Convencional pré-pagamentoNão se aplicaNão se aplicaNão se aplicaNão se aplicaFora ponta",Mercado_Receita!$L$2:$L$1156)+SUMIF(Mercado_Receita!$S$2:$S$1156,"44652B3Convencional pré-pagamentoNão se aplicaNão se aplicaNão se aplicaNão se aplicaIntermediário",Mercado_Receita!$L$2:$L$1156)+SUMIF(Mercado_Receita!$S$2:$S$1156,"44652B3Convencional pré-pagamentoNão se aplicaNão se aplicaNão se aplicaNão se aplicaNão se aplica",Mercado_Receita!$L$2:$L$1156)</f>
        <v>0</v>
      </c>
      <c r="O46" s="13">
        <f>SUMIF(Mercado_Receita!$S$2:$S$1156,"44682B3Convencional pré-pagamentoNão se aplicaNão se aplicaNão se aplicaNão se aplicaPonta",Mercado_Receita!$L$2:$L$1156)+SUMIF(Mercado_Receita!$S$2:$S$1156,"44682B3Convencional pré-pagamentoNão se aplicaNão se aplicaNão se aplicaNão se aplicaFora ponta",Mercado_Receita!$L$2:$L$1156)+SUMIF(Mercado_Receita!$S$2:$S$1156,"44682B3Convencional pré-pagamentoNão se aplicaNão se aplicaNão se aplicaNão se aplicaIntermediário",Mercado_Receita!$L$2:$L$1156)+SUMIF(Mercado_Receita!$S$2:$S$1156,"44682B3Convencional pré-pagamentoNão se aplicaNão se aplicaNão se aplicaNão se aplicaNão se aplica",Mercado_Receita!$L$2:$L$1156)</f>
        <v>0</v>
      </c>
      <c r="P46" s="13">
        <f>SUMIF(Mercado_Receita!$S$2:$S$1156,"44713B3Convencional pré-pagamentoNão se aplicaNão se aplicaNão se aplicaNão se aplicaPonta",Mercado_Receita!$L$2:$L$1156)+SUMIF(Mercado_Receita!$S$2:$S$1156,"44713B3Convencional pré-pagamentoNão se aplicaNão se aplicaNão se aplicaNão se aplicaFora ponta",Mercado_Receita!$L$2:$L$1156)+SUMIF(Mercado_Receita!$S$2:$S$1156,"44713B3Convencional pré-pagamentoNão se aplicaNão se aplicaNão se aplicaNão se aplicaIntermediário",Mercado_Receita!$L$2:$L$1156)+SUMIF(Mercado_Receita!$S$2:$S$1156,"44713B3Convencional pré-pagamentoNão se aplicaNão se aplicaNão se aplicaNão se aplicaNão se aplica",Mercado_Receita!$L$2:$L$1156)</f>
        <v>0</v>
      </c>
      <c r="Q46" s="13">
        <f>SUMIF(Mercado_Receita!$S$2:$S$1156,"44743B3Convencional pré-pagamentoNão se aplicaNão se aplicaNão se aplicaNão se aplicaPonta",Mercado_Receita!$L$2:$L$1156)+SUMIF(Mercado_Receita!$S$2:$S$1156,"44743B3Convencional pré-pagamentoNão se aplicaNão se aplicaNão se aplicaNão se aplicaFora ponta",Mercado_Receita!$L$2:$L$1156)+SUMIF(Mercado_Receita!$S$2:$S$1156,"44743B3Convencional pré-pagamentoNão se aplicaNão se aplicaNão se aplicaNão se aplicaIntermediário",Mercado_Receita!$L$2:$L$1156)+SUMIF(Mercado_Receita!$S$2:$S$1156,"44743B3Convencional pré-pagamentoNão se aplicaNão se aplicaNão se aplicaNão se aplicaNão se aplica",Mercado_Receita!$L$2:$L$1156)</f>
        <v>0</v>
      </c>
      <c r="R46" s="13">
        <f>SUMIF(Mercado_Receita!$S$2:$S$1156,"44774B3Convencional pré-pagamentoNão se aplicaNão se aplicaNão se aplicaNão se aplicaPonta",Mercado_Receita!$L$2:$L$1156)+SUMIF(Mercado_Receita!$S$2:$S$1156,"44774B3Convencional pré-pagamentoNão se aplicaNão se aplicaNão se aplicaNão se aplicaFora ponta",Mercado_Receita!$L$2:$L$1156)+SUMIF(Mercado_Receita!$S$2:$S$1156,"44774B3Convencional pré-pagamentoNão se aplicaNão se aplicaNão se aplicaNão se aplicaIntermediário",Mercado_Receita!$L$2:$L$1156)+SUMIF(Mercado_Receita!$S$2:$S$1156,"44774B3Convencional pré-pagamentoNão se aplicaNão se aplicaNão se aplicaNão se aplicaNão se aplica",Mercado_Receita!$L$2:$L$1156)</f>
        <v>0</v>
      </c>
      <c r="S46" s="13">
        <f>SUMIF(Mercado_Receita!$S$2:$S$1156,"44805B3Convencional pré-pagamentoNão se aplicaNão se aplicaNão se aplicaNão se aplicaPonta",Mercado_Receita!$L$2:$L$1156)+SUMIF(Mercado_Receita!$S$2:$S$1156,"44805B3Convencional pré-pagamentoNão se aplicaNão se aplicaNão se aplicaNão se aplicaFora ponta",Mercado_Receita!$L$2:$L$1156)+SUMIF(Mercado_Receita!$S$2:$S$1156,"44805B3Convencional pré-pagamentoNão se aplicaNão se aplicaNão se aplicaNão se aplicaIntermediário",Mercado_Receita!$L$2:$L$1156)+SUMIF(Mercado_Receita!$S$2:$S$1156,"44805B3Convencional pré-pagamentoNão se aplicaNão se aplicaNão se aplicaNão se aplicaNão se aplica",Mercado_Receita!$L$2:$L$1156)</f>
        <v>0</v>
      </c>
      <c r="T46" s="13">
        <f>SUMIF(Mercado_Receita!$S$2:$S$1156,"44835B3Convencional pré-pagamentoNão se aplicaNão se aplicaNão se aplicaNão se aplicaPonta",Mercado_Receita!$L$2:$L$1156)+SUMIF(Mercado_Receita!$S$2:$S$1156,"44835B3Convencional pré-pagamentoNão se aplicaNão se aplicaNão se aplicaNão se aplicaFora ponta",Mercado_Receita!$L$2:$L$1156)+SUMIF(Mercado_Receita!$S$2:$S$1156,"44835B3Convencional pré-pagamentoNão se aplicaNão se aplicaNão se aplicaNão se aplicaIntermediário",Mercado_Receita!$L$2:$L$1156)+SUMIF(Mercado_Receita!$S$2:$S$1156,"44835B3Convencional pré-pagamentoNão se aplicaNão se aplicaNão se aplicaNão se aplicaNão se aplica",Mercado_Receita!$L$2:$L$1156)</f>
        <v>0</v>
      </c>
      <c r="U46" s="13">
        <f t="shared" si="0"/>
        <v>0</v>
      </c>
      <c r="V46" s="13"/>
      <c r="W46" s="13"/>
    </row>
    <row r="47" spans="1:23" ht="11.25" customHeight="1" x14ac:dyDescent="0.25">
      <c r="A47" s="92" t="s">
        <v>46</v>
      </c>
      <c r="B47" s="92" t="s">
        <v>23</v>
      </c>
      <c r="C47" s="92" t="s">
        <v>47</v>
      </c>
      <c r="D47" s="12" t="s">
        <v>48</v>
      </c>
      <c r="E47" s="12" t="s">
        <v>25</v>
      </c>
      <c r="F47" s="12" t="s">
        <v>25</v>
      </c>
      <c r="G47" s="13" t="s">
        <v>76</v>
      </c>
      <c r="H47" s="13" t="s">
        <v>72</v>
      </c>
      <c r="I47" s="13">
        <f>SUMIF(Mercado_Receita!$S$2:$S$1156,"44501B4ConvencionalIluminação públicaIluminação pública – B4aNão se aplicaNão se aplicaPonta",Mercado_Receita!$L$2:$L$1156)+SUMIF(Mercado_Receita!$S$2:$S$1156,"44501B4ConvencionalIluminação públicaIluminação pública – B4aNão se aplicaNão se aplicaFora ponta",Mercado_Receita!$L$2:$L$1156)+SUMIF(Mercado_Receita!$S$2:$S$1156,"44501B4ConvencionalIluminação públicaIluminação pública – B4aNão se aplicaNão se aplicaIntermediário",Mercado_Receita!$L$2:$L$1156)+SUMIF(Mercado_Receita!$S$2:$S$1156,"44501B4ConvencionalIluminação públicaIluminação pública – B4aNão se aplicaNão se aplicaNão se aplica",Mercado_Receita!$L$2:$L$1156)</f>
        <v>3513.203</v>
      </c>
      <c r="J47" s="13">
        <f>SUMIF(Mercado_Receita!$S$2:$S$1156,"44531B4ConvencionalIluminação públicaIluminação pública – B4aNão se aplicaNão se aplicaPonta",Mercado_Receita!$L$2:$L$1156)+SUMIF(Mercado_Receita!$S$2:$S$1156,"44531B4ConvencionalIluminação públicaIluminação pública – B4aNão se aplicaNão se aplicaFora ponta",Mercado_Receita!$L$2:$L$1156)+SUMIF(Mercado_Receita!$S$2:$S$1156,"44531B4ConvencionalIluminação públicaIluminação pública – B4aNão se aplicaNão se aplicaIntermediário",Mercado_Receita!$L$2:$L$1156)+SUMIF(Mercado_Receita!$S$2:$S$1156,"44531B4ConvencionalIluminação públicaIluminação pública – B4aNão se aplicaNão se aplicaNão se aplica",Mercado_Receita!$L$2:$L$1156)</f>
        <v>3662.643</v>
      </c>
      <c r="K47" s="13">
        <f>SUMIF(Mercado_Receita!$S$2:$S$1156,"44562B4ConvencionalIluminação públicaIluminação pública – B4aNão se aplicaNão se aplicaPonta",Mercado_Receita!$L$2:$L$1156)+SUMIF(Mercado_Receita!$S$2:$S$1156,"44562B4ConvencionalIluminação públicaIluminação pública – B4aNão se aplicaNão se aplicaFora ponta",Mercado_Receita!$L$2:$L$1156)+SUMIF(Mercado_Receita!$S$2:$S$1156,"44562B4ConvencionalIluminação públicaIluminação pública – B4aNão se aplicaNão se aplicaIntermediário",Mercado_Receita!$L$2:$L$1156)+SUMIF(Mercado_Receita!$S$2:$S$1156,"44562B4ConvencionalIluminação públicaIluminação pública – B4aNão se aplicaNão se aplicaNão se aplica",Mercado_Receita!$L$2:$L$1156)</f>
        <v>3608.6130000000003</v>
      </c>
      <c r="L47" s="13">
        <f>SUMIF(Mercado_Receita!$S$2:$S$1156,"44593B4ConvencionalIluminação públicaIluminação pública – B4aNão se aplicaNão se aplicaPonta",Mercado_Receita!$L$2:$L$1156)+SUMIF(Mercado_Receita!$S$2:$S$1156,"44593B4ConvencionalIluminação públicaIluminação pública – B4aNão se aplicaNão se aplicaFora ponta",Mercado_Receita!$L$2:$L$1156)+SUMIF(Mercado_Receita!$S$2:$S$1156,"44593B4ConvencionalIluminação públicaIluminação pública – B4aNão se aplicaNão se aplicaIntermediário",Mercado_Receita!$L$2:$L$1156)+SUMIF(Mercado_Receita!$S$2:$S$1156,"44593B4ConvencionalIluminação públicaIluminação pública – B4aNão se aplicaNão se aplicaNão se aplica",Mercado_Receita!$L$2:$L$1156)</f>
        <v>3204.58</v>
      </c>
      <c r="M47" s="13">
        <f>SUMIF(Mercado_Receita!$S$2:$S$1156,"44621B4ConvencionalIluminação públicaIluminação pública – B4aNão se aplicaNão se aplicaPonta",Mercado_Receita!$L$2:$L$1156)+SUMIF(Mercado_Receita!$S$2:$S$1156,"44621B4ConvencionalIluminação públicaIluminação pública – B4aNão se aplicaNão se aplicaFora ponta",Mercado_Receita!$L$2:$L$1156)+SUMIF(Mercado_Receita!$S$2:$S$1156,"44621B4ConvencionalIluminação públicaIluminação pública – B4aNão se aplicaNão se aplicaIntermediário",Mercado_Receita!$L$2:$L$1156)+SUMIF(Mercado_Receita!$S$2:$S$1156,"44621B4ConvencionalIluminação públicaIluminação pública – B4aNão se aplicaNão se aplicaNão se aplica",Mercado_Receita!$L$2:$L$1156)</f>
        <v>3554.3530000000001</v>
      </c>
      <c r="N47" s="13">
        <f>SUMIF(Mercado_Receita!$S$2:$S$1156,"44652B4ConvencionalIluminação públicaIluminação pública – B4aNão se aplicaNão se aplicaPonta",Mercado_Receita!$L$2:$L$1156)+SUMIF(Mercado_Receita!$S$2:$S$1156,"44652B4ConvencionalIluminação públicaIluminação pública – B4aNão se aplicaNão se aplicaFora ponta",Mercado_Receita!$L$2:$L$1156)+SUMIF(Mercado_Receita!$S$2:$S$1156,"44652B4ConvencionalIluminação públicaIluminação pública – B4aNão se aplicaNão se aplicaIntermediário",Mercado_Receita!$L$2:$L$1156)+SUMIF(Mercado_Receita!$S$2:$S$1156,"44652B4ConvencionalIluminação públicaIluminação pública – B4aNão se aplicaNão se aplicaNão se aplica",Mercado_Receita!$L$2:$L$1156)</f>
        <v>3554.3530000000001</v>
      </c>
      <c r="O47" s="13">
        <f>SUMIF(Mercado_Receita!$S$2:$S$1156,"44682B4ConvencionalIluminação públicaIluminação pública – B4aNão se aplicaNão se aplicaPonta",Mercado_Receita!$L$2:$L$1156)+SUMIF(Mercado_Receita!$S$2:$S$1156,"44682B4ConvencionalIluminação públicaIluminação pública – B4aNão se aplicaNão se aplicaFora ponta",Mercado_Receita!$L$2:$L$1156)+SUMIF(Mercado_Receita!$S$2:$S$1156,"44682B4ConvencionalIluminação públicaIluminação pública – B4aNão se aplicaNão se aplicaIntermediário",Mercado_Receita!$L$2:$L$1156)+SUMIF(Mercado_Receita!$S$2:$S$1156,"44682B4ConvencionalIluminação públicaIluminação pública – B4aNão se aplicaNão se aplicaNão se aplica",Mercado_Receita!$L$2:$L$1156)</f>
        <v>4399.4949999999999</v>
      </c>
      <c r="P47" s="13">
        <f>SUMIF(Mercado_Receita!$S$2:$S$1156,"44713B4ConvencionalIluminação públicaIluminação pública – B4aNão se aplicaNão se aplicaPonta",Mercado_Receita!$L$2:$L$1156)+SUMIF(Mercado_Receita!$S$2:$S$1156,"44713B4ConvencionalIluminação públicaIluminação pública – B4aNão se aplicaNão se aplicaFora ponta",Mercado_Receita!$L$2:$L$1156)+SUMIF(Mercado_Receita!$S$2:$S$1156,"44713B4ConvencionalIluminação públicaIluminação pública – B4aNão se aplicaNão se aplicaIntermediário",Mercado_Receita!$L$2:$L$1156)+SUMIF(Mercado_Receita!$S$2:$S$1156,"44713B4ConvencionalIluminação públicaIluminação pública – B4aNão se aplicaNão se aplicaNão se aplica",Mercado_Receita!$L$2:$L$1156)</f>
        <v>3025.7200000000003</v>
      </c>
      <c r="Q47" s="13">
        <f>SUMIF(Mercado_Receita!$S$2:$S$1156,"44743B4ConvencionalIluminação públicaIluminação pública – B4aNão se aplicaNão se aplicaPonta",Mercado_Receita!$L$2:$L$1156)+SUMIF(Mercado_Receita!$S$2:$S$1156,"44743B4ConvencionalIluminação públicaIluminação pública – B4aNão se aplicaNão se aplicaFora ponta",Mercado_Receita!$L$2:$L$1156)+SUMIF(Mercado_Receita!$S$2:$S$1156,"44743B4ConvencionalIluminação públicaIluminação pública – B4aNão se aplicaNão se aplicaIntermediário",Mercado_Receita!$L$2:$L$1156)+SUMIF(Mercado_Receita!$S$2:$S$1156,"44743B4ConvencionalIluminação públicaIluminação pública – B4aNão se aplicaNão se aplicaNão se aplica",Mercado_Receita!$L$2:$L$1156)</f>
        <v>3541.84</v>
      </c>
      <c r="R47" s="13">
        <f>SUMIF(Mercado_Receita!$S$2:$S$1156,"44774B4ConvencionalIluminação públicaIluminação pública – B4aNão se aplicaNão se aplicaPonta",Mercado_Receita!$L$2:$L$1156)+SUMIF(Mercado_Receita!$S$2:$S$1156,"44774B4ConvencionalIluminação públicaIluminação pública – B4aNão se aplicaNão se aplicaFora ponta",Mercado_Receita!$L$2:$L$1156)+SUMIF(Mercado_Receita!$S$2:$S$1156,"44774B4ConvencionalIluminação públicaIluminação pública – B4aNão se aplicaNão se aplicaIntermediário",Mercado_Receita!$L$2:$L$1156)+SUMIF(Mercado_Receita!$S$2:$S$1156,"44774B4ConvencionalIluminação públicaIluminação pública – B4aNão se aplicaNão se aplicaNão se aplica",Mercado_Receita!$L$2:$L$1156)</f>
        <v>3561.6559999999999</v>
      </c>
      <c r="S47" s="13">
        <f>SUMIF(Mercado_Receita!$S$2:$S$1156,"44805B4ConvencionalIluminação públicaIluminação pública – B4aNão se aplicaNão se aplicaPonta",Mercado_Receita!$L$2:$L$1156)+SUMIF(Mercado_Receita!$S$2:$S$1156,"44805B4ConvencionalIluminação públicaIluminação pública – B4aNão se aplicaNão se aplicaFora ponta",Mercado_Receita!$L$2:$L$1156)+SUMIF(Mercado_Receita!$S$2:$S$1156,"44805B4ConvencionalIluminação públicaIluminação pública – B4aNão se aplicaNão se aplicaIntermediário",Mercado_Receita!$L$2:$L$1156)+SUMIF(Mercado_Receita!$S$2:$S$1156,"44805B4ConvencionalIluminação públicaIluminação pública – B4aNão se aplicaNão se aplicaNão se aplica",Mercado_Receita!$L$2:$L$1156)</f>
        <v>3434.8069999999998</v>
      </c>
      <c r="T47" s="13">
        <f>SUMIF(Mercado_Receita!$S$2:$S$1156,"44835B4ConvencionalIluminação públicaIluminação pública – B4aNão se aplicaNão se aplicaPonta",Mercado_Receita!$L$2:$L$1156)+SUMIF(Mercado_Receita!$S$2:$S$1156,"44835B4ConvencionalIluminação públicaIluminação pública – B4aNão se aplicaNão se aplicaFora ponta",Mercado_Receita!$L$2:$L$1156)+SUMIF(Mercado_Receita!$S$2:$S$1156,"44835B4ConvencionalIluminação públicaIluminação pública – B4aNão se aplicaNão se aplicaIntermediário",Mercado_Receita!$L$2:$L$1156)+SUMIF(Mercado_Receita!$S$2:$S$1156,"44835B4ConvencionalIluminação públicaIluminação pública – B4aNão se aplicaNão se aplicaNão se aplica",Mercado_Receita!$L$2:$L$1156)</f>
        <v>3434.8069999999998</v>
      </c>
      <c r="U47" s="13">
        <f t="shared" si="0"/>
        <v>42496.07</v>
      </c>
      <c r="V47" s="13"/>
      <c r="W47" s="13"/>
    </row>
    <row r="48" spans="1:23" ht="11.25" customHeight="1" x14ac:dyDescent="0.25">
      <c r="A48" s="93"/>
      <c r="B48" s="93"/>
      <c r="C48" s="93"/>
      <c r="D48" s="13" t="s">
        <v>90</v>
      </c>
      <c r="E48" s="13" t="s">
        <v>25</v>
      </c>
      <c r="F48" s="13" t="s">
        <v>25</v>
      </c>
      <c r="G48" s="13" t="s">
        <v>76</v>
      </c>
      <c r="H48" s="13" t="s">
        <v>72</v>
      </c>
      <c r="I48" s="13">
        <f>SUMIF(Mercado_Receita!$S$2:$S$1156,"44501B4ConvencionalIluminação públicaIluminação pública – B4bNão se aplicaNão se aplicaPonta",Mercado_Receita!$L$2:$L$1156)+SUMIF(Mercado_Receita!$S$2:$S$1156,"44501B4ConvencionalIluminação públicaIluminação pública – B4bNão se aplicaNão se aplicaFora ponta",Mercado_Receita!$L$2:$L$1156)+SUMIF(Mercado_Receita!$S$2:$S$1156,"44501B4ConvencionalIluminação públicaIluminação pública – B4bNão se aplicaNão se aplicaIntermediário",Mercado_Receita!$L$2:$L$1156)+SUMIF(Mercado_Receita!$S$2:$S$1156,"44501B4ConvencionalIluminação públicaIluminação pública – B4bNão se aplicaNão se aplicaNão se aplica",Mercado_Receita!$L$2:$L$1156)</f>
        <v>0</v>
      </c>
      <c r="J48" s="13">
        <f>SUMIF(Mercado_Receita!$S$2:$S$1156,"44531B4ConvencionalIluminação públicaIluminação pública – B4bNão se aplicaNão se aplicaPonta",Mercado_Receita!$L$2:$L$1156)+SUMIF(Mercado_Receita!$S$2:$S$1156,"44531B4ConvencionalIluminação públicaIluminação pública – B4bNão se aplicaNão se aplicaFora ponta",Mercado_Receita!$L$2:$L$1156)+SUMIF(Mercado_Receita!$S$2:$S$1156,"44531B4ConvencionalIluminação públicaIluminação pública – B4bNão se aplicaNão se aplicaIntermediário",Mercado_Receita!$L$2:$L$1156)+SUMIF(Mercado_Receita!$S$2:$S$1156,"44531B4ConvencionalIluminação públicaIluminação pública – B4bNão se aplicaNão se aplicaNão se aplica",Mercado_Receita!$L$2:$L$1156)</f>
        <v>0</v>
      </c>
      <c r="K48" s="13">
        <f>SUMIF(Mercado_Receita!$S$2:$S$1156,"44562B4ConvencionalIluminação públicaIluminação pública – B4bNão se aplicaNão se aplicaPonta",Mercado_Receita!$L$2:$L$1156)+SUMIF(Mercado_Receita!$S$2:$S$1156,"44562B4ConvencionalIluminação públicaIluminação pública – B4bNão se aplicaNão se aplicaFora ponta",Mercado_Receita!$L$2:$L$1156)+SUMIF(Mercado_Receita!$S$2:$S$1156,"44562B4ConvencionalIluminação públicaIluminação pública – B4bNão se aplicaNão se aplicaIntermediário",Mercado_Receita!$L$2:$L$1156)+SUMIF(Mercado_Receita!$S$2:$S$1156,"44562B4ConvencionalIluminação públicaIluminação pública – B4bNão se aplicaNão se aplicaNão se aplica",Mercado_Receita!$L$2:$L$1156)</f>
        <v>0</v>
      </c>
      <c r="L48" s="13">
        <f>SUMIF(Mercado_Receita!$S$2:$S$1156,"44593B4ConvencionalIluminação públicaIluminação pública – B4bNão se aplicaNão se aplicaPonta",Mercado_Receita!$L$2:$L$1156)+SUMIF(Mercado_Receita!$S$2:$S$1156,"44593B4ConvencionalIluminação públicaIluminação pública – B4bNão se aplicaNão se aplicaFora ponta",Mercado_Receita!$L$2:$L$1156)+SUMIF(Mercado_Receita!$S$2:$S$1156,"44593B4ConvencionalIluminação públicaIluminação pública – B4bNão se aplicaNão se aplicaIntermediário",Mercado_Receita!$L$2:$L$1156)+SUMIF(Mercado_Receita!$S$2:$S$1156,"44593B4ConvencionalIluminação públicaIluminação pública – B4bNão se aplicaNão se aplicaNão se aplica",Mercado_Receita!$L$2:$L$1156)</f>
        <v>0</v>
      </c>
      <c r="M48" s="13">
        <f>SUMIF(Mercado_Receita!$S$2:$S$1156,"44621B4ConvencionalIluminação públicaIluminação pública – B4bNão se aplicaNão se aplicaPonta",Mercado_Receita!$L$2:$L$1156)+SUMIF(Mercado_Receita!$S$2:$S$1156,"44621B4ConvencionalIluminação públicaIluminação pública – B4bNão se aplicaNão se aplicaFora ponta",Mercado_Receita!$L$2:$L$1156)+SUMIF(Mercado_Receita!$S$2:$S$1156,"44621B4ConvencionalIluminação públicaIluminação pública – B4bNão se aplicaNão se aplicaIntermediário",Mercado_Receita!$L$2:$L$1156)+SUMIF(Mercado_Receita!$S$2:$S$1156,"44621B4ConvencionalIluminação públicaIluminação pública – B4bNão se aplicaNão se aplicaNão se aplica",Mercado_Receita!$L$2:$L$1156)</f>
        <v>0</v>
      </c>
      <c r="N48" s="13">
        <f>SUMIF(Mercado_Receita!$S$2:$S$1156,"44652B4ConvencionalIluminação públicaIluminação pública – B4bNão se aplicaNão se aplicaPonta",Mercado_Receita!$L$2:$L$1156)+SUMIF(Mercado_Receita!$S$2:$S$1156,"44652B4ConvencionalIluminação públicaIluminação pública – B4bNão se aplicaNão se aplicaFora ponta",Mercado_Receita!$L$2:$L$1156)+SUMIF(Mercado_Receita!$S$2:$S$1156,"44652B4ConvencionalIluminação públicaIluminação pública – B4bNão se aplicaNão se aplicaIntermediário",Mercado_Receita!$L$2:$L$1156)+SUMIF(Mercado_Receita!$S$2:$S$1156,"44652B4ConvencionalIluminação públicaIluminação pública – B4bNão se aplicaNão se aplicaNão se aplica",Mercado_Receita!$L$2:$L$1156)</f>
        <v>0</v>
      </c>
      <c r="O48" s="13">
        <f>SUMIF(Mercado_Receita!$S$2:$S$1156,"44682B4ConvencionalIluminação públicaIluminação pública – B4bNão se aplicaNão se aplicaPonta",Mercado_Receita!$L$2:$L$1156)+SUMIF(Mercado_Receita!$S$2:$S$1156,"44682B4ConvencionalIluminação públicaIluminação pública – B4bNão se aplicaNão se aplicaFora ponta",Mercado_Receita!$L$2:$L$1156)+SUMIF(Mercado_Receita!$S$2:$S$1156,"44682B4ConvencionalIluminação públicaIluminação pública – B4bNão se aplicaNão se aplicaIntermediário",Mercado_Receita!$L$2:$L$1156)+SUMIF(Mercado_Receita!$S$2:$S$1156,"44682B4ConvencionalIluminação públicaIluminação pública – B4bNão se aplicaNão se aplicaNão se aplica",Mercado_Receita!$L$2:$L$1156)</f>
        <v>0</v>
      </c>
      <c r="P48" s="13">
        <f>SUMIF(Mercado_Receita!$S$2:$S$1156,"44713B4ConvencionalIluminação públicaIluminação pública – B4bNão se aplicaNão se aplicaPonta",Mercado_Receita!$L$2:$L$1156)+SUMIF(Mercado_Receita!$S$2:$S$1156,"44713B4ConvencionalIluminação públicaIluminação pública – B4bNão se aplicaNão se aplicaFora ponta",Mercado_Receita!$L$2:$L$1156)+SUMIF(Mercado_Receita!$S$2:$S$1156,"44713B4ConvencionalIluminação públicaIluminação pública – B4bNão se aplicaNão se aplicaIntermediário",Mercado_Receita!$L$2:$L$1156)+SUMIF(Mercado_Receita!$S$2:$S$1156,"44713B4ConvencionalIluminação públicaIluminação pública – B4bNão se aplicaNão se aplicaNão se aplica",Mercado_Receita!$L$2:$L$1156)</f>
        <v>0</v>
      </c>
      <c r="Q48" s="13">
        <f>SUMIF(Mercado_Receita!$S$2:$S$1156,"44743B4ConvencionalIluminação públicaIluminação pública – B4bNão se aplicaNão se aplicaPonta",Mercado_Receita!$L$2:$L$1156)+SUMIF(Mercado_Receita!$S$2:$S$1156,"44743B4ConvencionalIluminação públicaIluminação pública – B4bNão se aplicaNão se aplicaFora ponta",Mercado_Receita!$L$2:$L$1156)+SUMIF(Mercado_Receita!$S$2:$S$1156,"44743B4ConvencionalIluminação públicaIluminação pública – B4bNão se aplicaNão se aplicaIntermediário",Mercado_Receita!$L$2:$L$1156)+SUMIF(Mercado_Receita!$S$2:$S$1156,"44743B4ConvencionalIluminação públicaIluminação pública – B4bNão se aplicaNão se aplicaNão se aplica",Mercado_Receita!$L$2:$L$1156)</f>
        <v>0</v>
      </c>
      <c r="R48" s="13">
        <f>SUMIF(Mercado_Receita!$S$2:$S$1156,"44774B4ConvencionalIluminação públicaIluminação pública – B4bNão se aplicaNão se aplicaPonta",Mercado_Receita!$L$2:$L$1156)+SUMIF(Mercado_Receita!$S$2:$S$1156,"44774B4ConvencionalIluminação públicaIluminação pública – B4bNão se aplicaNão se aplicaFora ponta",Mercado_Receita!$L$2:$L$1156)+SUMIF(Mercado_Receita!$S$2:$S$1156,"44774B4ConvencionalIluminação públicaIluminação pública – B4bNão se aplicaNão se aplicaIntermediário",Mercado_Receita!$L$2:$L$1156)+SUMIF(Mercado_Receita!$S$2:$S$1156,"44774B4ConvencionalIluminação públicaIluminação pública – B4bNão se aplicaNão se aplicaNão se aplica",Mercado_Receita!$L$2:$L$1156)</f>
        <v>0</v>
      </c>
      <c r="S48" s="13">
        <f>SUMIF(Mercado_Receita!$S$2:$S$1156,"44805B4ConvencionalIluminação públicaIluminação pública – B4bNão se aplicaNão se aplicaPonta",Mercado_Receita!$L$2:$L$1156)+SUMIF(Mercado_Receita!$S$2:$S$1156,"44805B4ConvencionalIluminação públicaIluminação pública – B4bNão se aplicaNão se aplicaFora ponta",Mercado_Receita!$L$2:$L$1156)+SUMIF(Mercado_Receita!$S$2:$S$1156,"44805B4ConvencionalIluminação públicaIluminação pública – B4bNão se aplicaNão se aplicaIntermediário",Mercado_Receita!$L$2:$L$1156)+SUMIF(Mercado_Receita!$S$2:$S$1156,"44805B4ConvencionalIluminação públicaIluminação pública – B4bNão se aplicaNão se aplicaNão se aplica",Mercado_Receita!$L$2:$L$1156)</f>
        <v>0</v>
      </c>
      <c r="T48" s="13">
        <f>SUMIF(Mercado_Receita!$S$2:$S$1156,"44835B4ConvencionalIluminação públicaIluminação pública – B4bNão se aplicaNão se aplicaPonta",Mercado_Receita!$L$2:$L$1156)+SUMIF(Mercado_Receita!$S$2:$S$1156,"44835B4ConvencionalIluminação públicaIluminação pública – B4bNão se aplicaNão se aplicaFora ponta",Mercado_Receita!$L$2:$L$1156)+SUMIF(Mercado_Receita!$S$2:$S$1156,"44835B4ConvencionalIluminação públicaIluminação pública – B4bNão se aplicaNão se aplicaIntermediário",Mercado_Receita!$L$2:$L$1156)+SUMIF(Mercado_Receita!$S$2:$S$1156,"44835B4ConvencionalIluminação públicaIluminação pública – B4bNão se aplicaNão se aplicaNão se aplica",Mercado_Receita!$L$2:$L$1156)</f>
        <v>0</v>
      </c>
      <c r="U48" s="13">
        <f t="shared" si="0"/>
        <v>0</v>
      </c>
      <c r="V48" s="13"/>
      <c r="W48" s="13"/>
    </row>
    <row r="49" spans="1:23" ht="11.25" customHeight="1" x14ac:dyDescent="0.25">
      <c r="A49" s="94" t="s">
        <v>559</v>
      </c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13"/>
      <c r="W49" s="13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3465-C497-4F78-B6E0-5FB0E7EFBDA1}">
  <sheetPr codeName="Planilha5"/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62</v>
      </c>
      <c r="B1" s="10" t="s">
        <v>63</v>
      </c>
      <c r="C1" s="10" t="s">
        <v>64</v>
      </c>
      <c r="D1" s="10" t="s">
        <v>65</v>
      </c>
      <c r="E1" s="10" t="s">
        <v>66</v>
      </c>
      <c r="F1" s="10" t="s">
        <v>67</v>
      </c>
      <c r="G1" s="10" t="s">
        <v>68</v>
      </c>
      <c r="H1" s="10" t="s">
        <v>69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2" t="s">
        <v>39</v>
      </c>
      <c r="B2" s="92" t="s">
        <v>71</v>
      </c>
      <c r="C2" s="92" t="s">
        <v>25</v>
      </c>
      <c r="D2" s="92" t="s">
        <v>25</v>
      </c>
      <c r="E2" s="92" t="s">
        <v>25</v>
      </c>
      <c r="F2" s="92" t="s">
        <v>25</v>
      </c>
      <c r="G2" s="13" t="s">
        <v>73</v>
      </c>
      <c r="H2" s="13" t="s">
        <v>72</v>
      </c>
      <c r="I2" s="13">
        <f>SUMIF(Mercado_Receita!$T$2:$T$1156,"44501A4Energia horáriaNão se aplicaNão se aplicaNão se aplicaNão se aplicaPonta",Mercado_Receita!$N$2:$N$1156)</f>
        <v>1296.482</v>
      </c>
      <c r="J2" s="13">
        <f>SUMIF(Mercado_Receita!$T$2:$T$1156,"44531A4Energia horáriaNão se aplicaNão se aplicaNão se aplicaNão se aplicaPonta",Mercado_Receita!$N$2:$N$1156)</f>
        <v>1433.0859999999998</v>
      </c>
      <c r="K2" s="13">
        <f>SUMIF(Mercado_Receita!$T$2:$T$1156,"44562A4Energia horáriaNão se aplicaNão se aplicaNão se aplicaNão se aplicaPonta",Mercado_Receita!$N$2:$N$1156)</f>
        <v>1324.1759999999999</v>
      </c>
      <c r="L2" s="13">
        <f>SUMIF(Mercado_Receita!$T$2:$T$1156,"44593A4Energia horáriaNão se aplicaNão se aplicaNão se aplicaNão se aplicaPonta",Mercado_Receita!$N$2:$N$1156)</f>
        <v>1319.819</v>
      </c>
      <c r="M2" s="13">
        <f>SUMIF(Mercado_Receita!$T$2:$T$1156,"44621A4Energia horáriaNão se aplicaNão se aplicaNão se aplicaNão se aplicaPonta",Mercado_Receita!$N$2:$N$1156)</f>
        <v>1434.6299999999999</v>
      </c>
      <c r="N2" s="13">
        <f>SUMIF(Mercado_Receita!$T$2:$T$1156,"44652A4Energia horáriaNão se aplicaNão se aplicaNão se aplicaNão se aplicaPonta",Mercado_Receita!$N$2:$N$1156)</f>
        <v>1434.6299999999999</v>
      </c>
      <c r="O2" s="13">
        <f>SUMIF(Mercado_Receita!$T$2:$T$1156,"44682A4Energia horáriaNão se aplicaNão se aplicaNão se aplicaNão se aplicaPonta",Mercado_Receita!$N$2:$N$1156)</f>
        <v>1722.606</v>
      </c>
      <c r="P2" s="13">
        <f>SUMIF(Mercado_Receita!$T$2:$T$1156,"44713A4Energia horáriaNão se aplicaNão se aplicaNão se aplicaNão se aplicaPonta",Mercado_Receita!$N$2:$N$1156)</f>
        <v>1279.5530000000001</v>
      </c>
      <c r="Q2" s="13">
        <f>SUMIF(Mercado_Receita!$T$2:$T$1156,"44743A4Energia horáriaNão se aplicaNão se aplicaNão se aplicaNão se aplicaPonta",Mercado_Receita!$N$2:$N$1156)</f>
        <v>1291.213</v>
      </c>
      <c r="R2" s="13">
        <f>SUMIF(Mercado_Receita!$T$2:$T$1156,"44774A4Energia horáriaNão se aplicaNão se aplicaNão se aplicaNão se aplicaPonta",Mercado_Receita!$N$2:$N$1156)</f>
        <v>1517.3790000000001</v>
      </c>
      <c r="S2" s="13">
        <f>SUMIF(Mercado_Receita!$T$2:$T$1156,"44805A4Energia horáriaNão se aplicaNão se aplicaNão se aplicaNão se aplicaPonta",Mercado_Receita!$N$2:$N$1156)</f>
        <v>1501.4839999999999</v>
      </c>
      <c r="T2" s="13">
        <f>SUMIF(Mercado_Receita!$T$2:$T$1156,"44835A4Energia horáriaNão se aplicaNão se aplicaNão se aplicaNão se aplicaPonta",Mercado_Receita!$N$2:$N$1156)</f>
        <v>1501.4839999999999</v>
      </c>
      <c r="U2" s="13">
        <f t="shared" ref="U2:U39" si="0">SUM(I2:T2)</f>
        <v>17056.542000000001</v>
      </c>
      <c r="V2" s="13"/>
      <c r="W2" s="13"/>
    </row>
    <row r="3" spans="1:30" ht="11.25" customHeight="1" x14ac:dyDescent="0.25">
      <c r="A3" s="93"/>
      <c r="B3" s="93"/>
      <c r="C3" s="93"/>
      <c r="D3" s="93"/>
      <c r="E3" s="93"/>
      <c r="F3" s="93"/>
      <c r="G3" s="13" t="s">
        <v>74</v>
      </c>
      <c r="H3" s="13" t="s">
        <v>72</v>
      </c>
      <c r="I3" s="13">
        <f>SUMIF(Mercado_Receita!$T$2:$T$1156,"44501A4Energia horáriaNão se aplicaNão se aplicaNão se aplicaNão se aplicaFora ponta",Mercado_Receita!$N$2:$N$1156)</f>
        <v>19383.197</v>
      </c>
      <c r="J3" s="13">
        <f>SUMIF(Mercado_Receita!$T$2:$T$1156,"44531A4Energia horáriaNão se aplicaNão se aplicaNão se aplicaNão se aplicaFora ponta",Mercado_Receita!$N$2:$N$1156)</f>
        <v>18704.786000000007</v>
      </c>
      <c r="K3" s="13">
        <f>SUMIF(Mercado_Receita!$T$2:$T$1156,"44562A4Energia horáriaNão se aplicaNão se aplicaNão se aplicaNão se aplicaFora ponta",Mercado_Receita!$N$2:$N$1156)</f>
        <v>18359.532000000003</v>
      </c>
      <c r="L3" s="13">
        <f>SUMIF(Mercado_Receita!$T$2:$T$1156,"44593A4Energia horáriaNão se aplicaNão se aplicaNão se aplicaNão se aplicaFora ponta",Mercado_Receita!$N$2:$N$1156)</f>
        <v>18260.243999999995</v>
      </c>
      <c r="M3" s="13">
        <f>SUMIF(Mercado_Receita!$T$2:$T$1156,"44621A4Energia horáriaNão se aplicaNão se aplicaNão se aplicaNão se aplicaFora ponta",Mercado_Receita!$N$2:$N$1156)</f>
        <v>18918.64</v>
      </c>
      <c r="N3" s="13">
        <f>SUMIF(Mercado_Receita!$T$2:$T$1156,"44652A4Energia horáriaNão se aplicaNão se aplicaNão se aplicaNão se aplicaFora ponta",Mercado_Receita!$N$2:$N$1156)</f>
        <v>18918.64</v>
      </c>
      <c r="O3" s="13">
        <f>SUMIF(Mercado_Receita!$T$2:$T$1156,"44682A4Energia horáriaNão se aplicaNão se aplicaNão se aplicaNão se aplicaFora ponta",Mercado_Receita!$N$2:$N$1156)</f>
        <v>22747.905999999995</v>
      </c>
      <c r="P3" s="13">
        <f>SUMIF(Mercado_Receita!$T$2:$T$1156,"44713A4Energia horáriaNão se aplicaNão se aplicaNão se aplicaNão se aplicaFora ponta",Mercado_Receita!$N$2:$N$1156)</f>
        <v>16783.98</v>
      </c>
      <c r="Q3" s="13">
        <f>SUMIF(Mercado_Receita!$T$2:$T$1156,"44743A4Energia horáriaNão se aplicaNão se aplicaNão se aplicaNão se aplicaFora ponta",Mercado_Receita!$N$2:$N$1156)</f>
        <v>17259.592000000004</v>
      </c>
      <c r="R3" s="13">
        <f>SUMIF(Mercado_Receita!$T$2:$T$1156,"44774A4Energia horáriaNão se aplicaNão se aplicaNão se aplicaNão se aplicaFora ponta",Mercado_Receita!$N$2:$N$1156)</f>
        <v>19572.218999999994</v>
      </c>
      <c r="S3" s="13">
        <f>SUMIF(Mercado_Receita!$T$2:$T$1156,"44805A4Energia horáriaNão se aplicaNão se aplicaNão se aplicaNão se aplicaFora ponta",Mercado_Receita!$N$2:$N$1156)</f>
        <v>20263.375</v>
      </c>
      <c r="T3" s="13">
        <f>SUMIF(Mercado_Receita!$T$2:$T$1156,"44835A4Energia horáriaNão se aplicaNão se aplicaNão se aplicaNão se aplicaFora ponta",Mercado_Receita!$N$2:$N$1156)</f>
        <v>20263.375</v>
      </c>
      <c r="U3" s="13">
        <f t="shared" si="0"/>
        <v>229435.486</v>
      </c>
      <c r="V3" s="13"/>
      <c r="W3" s="13"/>
    </row>
    <row r="4" spans="1:30" ht="11.25" customHeight="1" x14ac:dyDescent="0.25">
      <c r="A4" s="93"/>
      <c r="B4" s="12" t="s">
        <v>75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76</v>
      </c>
      <c r="H4" s="13" t="s">
        <v>72</v>
      </c>
      <c r="I4" s="13">
        <f>SUMIF(Mercado_Receita!$T$2:$T$1156,"44501A4Energia convencionalNão se aplicaNão se aplicaNão se aplicaNão se aplicaNão se aplica",Mercado_Receita!$N$2:$N$1156)</f>
        <v>0</v>
      </c>
      <c r="J4" s="13">
        <f>SUMIF(Mercado_Receita!$T$2:$T$1156,"44531A4Energia convencionalNão se aplicaNão se aplicaNão se aplicaNão se aplicaNão se aplica",Mercado_Receita!$N$2:$N$1156)</f>
        <v>0</v>
      </c>
      <c r="K4" s="13">
        <f>SUMIF(Mercado_Receita!$T$2:$T$1156,"44562A4Energia convencionalNão se aplicaNão se aplicaNão se aplicaNão se aplicaNão se aplica",Mercado_Receita!$N$2:$N$1156)</f>
        <v>0</v>
      </c>
      <c r="L4" s="13">
        <f>SUMIF(Mercado_Receita!$T$2:$T$1156,"44593A4Energia convencionalNão se aplicaNão se aplicaNão se aplicaNão se aplicaNão se aplica",Mercado_Receita!$N$2:$N$1156)</f>
        <v>0</v>
      </c>
      <c r="M4" s="13">
        <f>SUMIF(Mercado_Receita!$T$2:$T$1156,"44621A4Energia convencionalNão se aplicaNão se aplicaNão se aplicaNão se aplicaNão se aplica",Mercado_Receita!$N$2:$N$1156)</f>
        <v>0</v>
      </c>
      <c r="N4" s="13">
        <f>SUMIF(Mercado_Receita!$T$2:$T$1156,"44652A4Energia convencionalNão se aplicaNão se aplicaNão se aplicaNão se aplicaNão se aplica",Mercado_Receita!$N$2:$N$1156)</f>
        <v>0</v>
      </c>
      <c r="O4" s="13">
        <f>SUMIF(Mercado_Receita!$T$2:$T$1156,"44682A4Energia convencionalNão se aplicaNão se aplicaNão se aplicaNão se aplicaNão se aplica",Mercado_Receita!$N$2:$N$1156)</f>
        <v>0</v>
      </c>
      <c r="P4" s="13">
        <f>SUMIF(Mercado_Receita!$T$2:$T$1156,"44713A4Energia convencionalNão se aplicaNão se aplicaNão se aplicaNão se aplicaNão se aplica",Mercado_Receita!$N$2:$N$1156)</f>
        <v>0</v>
      </c>
      <c r="Q4" s="13">
        <f>SUMIF(Mercado_Receita!$T$2:$T$1156,"44743A4Energia convencionalNão se aplicaNão se aplicaNão se aplicaNão se aplicaNão se aplica",Mercado_Receita!$N$2:$N$1156)</f>
        <v>0</v>
      </c>
      <c r="R4" s="13">
        <f>SUMIF(Mercado_Receita!$T$2:$T$1156,"44774A4Energia convencionalNão se aplicaNão se aplicaNão se aplicaNão se aplicaNão se aplica",Mercado_Receita!$N$2:$N$1156)</f>
        <v>0</v>
      </c>
      <c r="S4" s="13">
        <f>SUMIF(Mercado_Receita!$T$2:$T$1156,"44805A4Energia convencionalNão se aplicaNão se aplicaNão se aplicaNão se aplicaNão se aplica",Mercado_Receita!$N$2:$N$1156)</f>
        <v>0</v>
      </c>
      <c r="T4" s="13">
        <f>SUMIF(Mercado_Receita!$T$2:$T$1156,"44835A4Energia convencionalNão se aplicaNão se aplicaNão se aplicaNão se aplicaNão se aplica",Mercado_Receita!$N$2:$N$1156)</f>
        <v>0</v>
      </c>
      <c r="U4" s="13">
        <f t="shared" si="0"/>
        <v>0</v>
      </c>
      <c r="V4" s="13"/>
      <c r="W4" s="13"/>
    </row>
    <row r="5" spans="1:30" ht="11.25" customHeight="1" x14ac:dyDescent="0.25">
      <c r="A5" s="92" t="s">
        <v>22</v>
      </c>
      <c r="B5" s="92" t="s">
        <v>71</v>
      </c>
      <c r="C5" s="92" t="s">
        <v>24</v>
      </c>
      <c r="D5" s="92" t="s">
        <v>24</v>
      </c>
      <c r="E5" s="92" t="s">
        <v>25</v>
      </c>
      <c r="F5" s="92" t="s">
        <v>25</v>
      </c>
      <c r="G5" s="13" t="s">
        <v>73</v>
      </c>
      <c r="H5" s="13" t="s">
        <v>72</v>
      </c>
      <c r="I5" s="13">
        <f>SUMIF(Mercado_Receita!$T$2:$T$1156,"44501B1Energia horáriaResidencialResidencialNão se aplicaNão se aplicaPonta",Mercado_Receita!$N$2:$N$1156)</f>
        <v>6.0520000000000005</v>
      </c>
      <c r="J5" s="13">
        <f>SUMIF(Mercado_Receita!$T$2:$T$1156,"44531B1Energia horáriaResidencialResidencialNão se aplicaNão se aplicaPonta",Mercado_Receita!$N$2:$N$1156)</f>
        <v>5.9130000000000003</v>
      </c>
      <c r="K5" s="13">
        <f>SUMIF(Mercado_Receita!$T$2:$T$1156,"44562B1Energia horáriaResidencialResidencialNão se aplicaNão se aplicaPonta",Mercado_Receita!$N$2:$N$1156)</f>
        <v>5.2510000000000003</v>
      </c>
      <c r="L5" s="13">
        <f>SUMIF(Mercado_Receita!$T$2:$T$1156,"44593B1Energia horáriaResidencialResidencialNão se aplicaNão se aplicaPonta",Mercado_Receita!$N$2:$N$1156)</f>
        <v>5.8220000000000001</v>
      </c>
      <c r="M5" s="13">
        <f>SUMIF(Mercado_Receita!$T$2:$T$1156,"44621B1Energia horáriaResidencialResidencialNão se aplicaNão se aplicaPonta",Mercado_Receita!$N$2:$N$1156)</f>
        <v>5.1559999999999997</v>
      </c>
      <c r="N5" s="13">
        <f>SUMIF(Mercado_Receita!$T$2:$T$1156,"44652B1Energia horáriaResidencialResidencialNão se aplicaNão se aplicaPonta",Mercado_Receita!$N$2:$N$1156)</f>
        <v>5.1559999999999997</v>
      </c>
      <c r="O5" s="13">
        <f>SUMIF(Mercado_Receita!$T$2:$T$1156,"44682B1Energia horáriaResidencialResidencialNão se aplicaNão se aplicaPonta",Mercado_Receita!$N$2:$N$1156)</f>
        <v>4.6520000000000001</v>
      </c>
      <c r="P5" s="13">
        <f>SUMIF(Mercado_Receita!$T$2:$T$1156,"44713B1Energia horáriaResidencialResidencialNão se aplicaNão se aplicaPonta",Mercado_Receita!$N$2:$N$1156)</f>
        <v>4.1840000000000002</v>
      </c>
      <c r="Q5" s="13">
        <f>SUMIF(Mercado_Receita!$T$2:$T$1156,"44743B1Energia horáriaResidencialResidencialNão se aplicaNão se aplicaPonta",Mercado_Receita!$N$2:$N$1156)</f>
        <v>9.4489999999999998</v>
      </c>
      <c r="R5" s="13">
        <f>SUMIF(Mercado_Receita!$T$2:$T$1156,"44774B1Energia horáriaResidencialResidencialNão se aplicaNão se aplicaPonta",Mercado_Receita!$N$2:$N$1156)</f>
        <v>5.4480000000000004</v>
      </c>
      <c r="S5" s="13">
        <f>SUMIF(Mercado_Receita!$T$2:$T$1156,"44805B1Energia horáriaResidencialResidencialNão se aplicaNão se aplicaPonta",Mercado_Receita!$N$2:$N$1156)</f>
        <v>5.0720000000000001</v>
      </c>
      <c r="T5" s="13">
        <f>SUMIF(Mercado_Receita!$T$2:$T$1156,"44835B1Energia horáriaResidencialResidencialNão se aplicaNão se aplicaPonta",Mercado_Receita!$N$2:$N$1156)</f>
        <v>5.0720000000000001</v>
      </c>
      <c r="U5" s="13">
        <f t="shared" si="0"/>
        <v>67.227000000000004</v>
      </c>
      <c r="V5" s="13"/>
      <c r="W5" s="13"/>
    </row>
    <row r="6" spans="1:30" ht="11.25" customHeight="1" x14ac:dyDescent="0.25">
      <c r="A6" s="93"/>
      <c r="B6" s="93"/>
      <c r="C6" s="93"/>
      <c r="D6" s="93"/>
      <c r="E6" s="93"/>
      <c r="F6" s="93"/>
      <c r="G6" s="13" t="s">
        <v>85</v>
      </c>
      <c r="H6" s="13" t="s">
        <v>72</v>
      </c>
      <c r="I6" s="13">
        <f>SUMIF(Mercado_Receita!$T$2:$T$1156,"44501B1Energia horáriaResidencialResidencialNão se aplicaNão se aplicaIntermediário",Mercado_Receita!$N$2:$N$1156)</f>
        <v>4.1340000000000003</v>
      </c>
      <c r="J6" s="13">
        <f>SUMIF(Mercado_Receita!$T$2:$T$1156,"44531B1Energia horáriaResidencialResidencialNão se aplicaNão se aplicaIntermediário",Mercado_Receita!$N$2:$N$1156)</f>
        <v>4.0659999999999998</v>
      </c>
      <c r="K6" s="13">
        <f>SUMIF(Mercado_Receita!$T$2:$T$1156,"44562B1Energia horáriaResidencialResidencialNão se aplicaNão se aplicaIntermediário",Mercado_Receita!$N$2:$N$1156)</f>
        <v>3.4689999999999999</v>
      </c>
      <c r="L6" s="13">
        <f>SUMIF(Mercado_Receita!$T$2:$T$1156,"44593B1Energia horáriaResidencialResidencialNão se aplicaNão se aplicaIntermediário",Mercado_Receita!$N$2:$N$1156)</f>
        <v>3.867</v>
      </c>
      <c r="M6" s="13">
        <f>SUMIF(Mercado_Receita!$T$2:$T$1156,"44621B1Energia horáriaResidencialResidencialNão se aplicaNão se aplicaIntermediário",Mercado_Receita!$N$2:$N$1156)</f>
        <v>3.5209999999999999</v>
      </c>
      <c r="N6" s="13">
        <f>SUMIF(Mercado_Receita!$T$2:$T$1156,"44652B1Energia horáriaResidencialResidencialNão se aplicaNão se aplicaIntermediário",Mercado_Receita!$N$2:$N$1156)</f>
        <v>3.5209999999999999</v>
      </c>
      <c r="O6" s="13">
        <f>SUMIF(Mercado_Receita!$T$2:$T$1156,"44682B1Energia horáriaResidencialResidencialNão se aplicaNão se aplicaIntermediário",Mercado_Receita!$N$2:$N$1156)</f>
        <v>3.0379999999999998</v>
      </c>
      <c r="P6" s="13">
        <f>SUMIF(Mercado_Receita!$T$2:$T$1156,"44713B1Energia horáriaResidencialResidencialNão se aplicaNão se aplicaIntermediário",Mercado_Receita!$N$2:$N$1156)</f>
        <v>2.9569999999999999</v>
      </c>
      <c r="Q6" s="13">
        <f>SUMIF(Mercado_Receita!$T$2:$T$1156,"44743B1Energia horáriaResidencialResidencialNão se aplicaNão se aplicaIntermediário",Mercado_Receita!$N$2:$N$1156)</f>
        <v>3.0139999999999998</v>
      </c>
      <c r="R6" s="13">
        <f>SUMIF(Mercado_Receita!$T$2:$T$1156,"44774B1Energia horáriaResidencialResidencialNão se aplicaNão se aplicaIntermediário",Mercado_Receita!$N$2:$N$1156)</f>
        <v>3.6819999999999999</v>
      </c>
      <c r="S6" s="13">
        <f>SUMIF(Mercado_Receita!$T$2:$T$1156,"44805B1Energia horáriaResidencialResidencialNão se aplicaNão se aplicaIntermediário",Mercado_Receita!$N$2:$N$1156)</f>
        <v>3.3959999999999999</v>
      </c>
      <c r="T6" s="13">
        <f>SUMIF(Mercado_Receita!$T$2:$T$1156,"44835B1Energia horáriaResidencialResidencialNão se aplicaNão se aplicaIntermediário",Mercado_Receita!$N$2:$N$1156)</f>
        <v>3.3959999999999999</v>
      </c>
      <c r="U6" s="13">
        <f t="shared" si="0"/>
        <v>42.061</v>
      </c>
      <c r="V6" s="13"/>
      <c r="W6" s="13"/>
    </row>
    <row r="7" spans="1:30" ht="11.25" customHeight="1" x14ac:dyDescent="0.25">
      <c r="A7" s="93"/>
      <c r="B7" s="93"/>
      <c r="C7" s="93"/>
      <c r="D7" s="93"/>
      <c r="E7" s="93"/>
      <c r="F7" s="93"/>
      <c r="G7" s="13" t="s">
        <v>74</v>
      </c>
      <c r="H7" s="13" t="s">
        <v>72</v>
      </c>
      <c r="I7" s="13">
        <f>SUMIF(Mercado_Receita!$T$2:$T$1156,"44501B1Energia horáriaResidencialResidencialNão se aplicaNão se aplicaFora ponta",Mercado_Receita!$N$2:$N$1156)</f>
        <v>66.284000000000006</v>
      </c>
      <c r="J7" s="13">
        <f>SUMIF(Mercado_Receita!$T$2:$T$1156,"44531B1Energia horáriaResidencialResidencialNão se aplicaNão se aplicaFora ponta",Mercado_Receita!$N$2:$N$1156)</f>
        <v>58.777000000000001</v>
      </c>
      <c r="K7" s="13">
        <f>SUMIF(Mercado_Receita!$T$2:$T$1156,"44562B1Energia horáriaResidencialResidencialNão se aplicaNão se aplicaFora ponta",Mercado_Receita!$N$2:$N$1156)</f>
        <v>51.311999999999998</v>
      </c>
      <c r="L7" s="13">
        <f>SUMIF(Mercado_Receita!$T$2:$T$1156,"44593B1Energia horáriaResidencialResidencialNão se aplicaNão se aplicaFora ponta",Mercado_Receita!$N$2:$N$1156)</f>
        <v>55.481999999999999</v>
      </c>
      <c r="M7" s="13">
        <f>SUMIF(Mercado_Receita!$T$2:$T$1156,"44621B1Energia horáriaResidencialResidencialNão se aplicaNão se aplicaFora ponta",Mercado_Receita!$N$2:$N$1156)</f>
        <v>45.707000000000001</v>
      </c>
      <c r="N7" s="13">
        <f>SUMIF(Mercado_Receita!$T$2:$T$1156,"44652B1Energia horáriaResidencialResidencialNão se aplicaNão se aplicaFora ponta",Mercado_Receita!$N$2:$N$1156)</f>
        <v>45.707000000000001</v>
      </c>
      <c r="O7" s="13">
        <f>SUMIF(Mercado_Receita!$T$2:$T$1156,"44682B1Energia horáriaResidencialResidencialNão se aplicaNão se aplicaFora ponta",Mercado_Receita!$N$2:$N$1156)</f>
        <v>42.606999999999999</v>
      </c>
      <c r="P7" s="13">
        <f>SUMIF(Mercado_Receita!$T$2:$T$1156,"44713B1Energia horáriaResidencialResidencialNão se aplicaNão se aplicaFora ponta",Mercado_Receita!$N$2:$N$1156)</f>
        <v>38.471000000000004</v>
      </c>
      <c r="Q7" s="13">
        <f>SUMIF(Mercado_Receita!$T$2:$T$1156,"44743B1Energia horáriaResidencialResidencialNão se aplicaNão se aplicaFora ponta",Mercado_Receita!$N$2:$N$1156)</f>
        <v>39.063000000000002</v>
      </c>
      <c r="R7" s="13">
        <f>SUMIF(Mercado_Receita!$T$2:$T$1156,"44774B1Energia horáriaResidencialResidencialNão se aplicaNão se aplicaFora ponta",Mercado_Receita!$N$2:$N$1156)</f>
        <v>47.590999999999994</v>
      </c>
      <c r="S7" s="13">
        <f>SUMIF(Mercado_Receita!$T$2:$T$1156,"44805B1Energia horáriaResidencialResidencialNão se aplicaNão se aplicaFora ponta",Mercado_Receita!$N$2:$N$1156)</f>
        <v>46.279000000000003</v>
      </c>
      <c r="T7" s="13">
        <f>SUMIF(Mercado_Receita!$T$2:$T$1156,"44835B1Energia horáriaResidencialResidencialNão se aplicaNão se aplicaFora ponta",Mercado_Receita!$N$2:$N$1156)</f>
        <v>46.279000000000003</v>
      </c>
      <c r="U7" s="13">
        <f t="shared" si="0"/>
        <v>583.55899999999997</v>
      </c>
      <c r="V7" s="13"/>
      <c r="W7" s="13"/>
    </row>
    <row r="8" spans="1:30" ht="11.25" customHeight="1" x14ac:dyDescent="0.25">
      <c r="A8" s="93"/>
      <c r="B8" s="92" t="s">
        <v>75</v>
      </c>
      <c r="C8" s="92" t="s">
        <v>24</v>
      </c>
      <c r="D8" s="12" t="s">
        <v>24</v>
      </c>
      <c r="E8" s="12" t="s">
        <v>25</v>
      </c>
      <c r="F8" s="12" t="s">
        <v>25</v>
      </c>
      <c r="G8" s="13" t="s">
        <v>76</v>
      </c>
      <c r="H8" s="13" t="s">
        <v>72</v>
      </c>
      <c r="I8" s="13">
        <f>SUMIF(Mercado_Receita!$T$2:$T$1156,"44501B1Energia convencionalResidencialResidencialNão se aplicaNão se aplicaNão se aplica",Mercado_Receita!$N$2:$N$1156)</f>
        <v>49404.879000000001</v>
      </c>
      <c r="J8" s="13">
        <f>SUMIF(Mercado_Receita!$T$2:$T$1156,"44531B1Energia convencionalResidencialResidencialNão se aplicaNão se aplicaNão se aplica",Mercado_Receita!$N$2:$N$1156)</f>
        <v>46105.849000000002</v>
      </c>
      <c r="K8" s="13">
        <f>SUMIF(Mercado_Receita!$T$2:$T$1156,"44562B1Energia convencionalResidencialResidencialNão se aplicaNão se aplicaNão se aplica",Mercado_Receita!$N$2:$N$1156)</f>
        <v>42632.803</v>
      </c>
      <c r="L8" s="13">
        <f>SUMIF(Mercado_Receita!$T$2:$T$1156,"44593B1Energia convencionalResidencialResidencialNão se aplicaNão se aplicaNão se aplica",Mercado_Receita!$N$2:$N$1156)</f>
        <v>44464.398000000001</v>
      </c>
      <c r="M8" s="13">
        <f>SUMIF(Mercado_Receita!$T$2:$T$1156,"44621B1Energia convencionalResidencialResidencialNão se aplicaNão se aplicaNão se aplica",Mercado_Receita!$N$2:$N$1156)</f>
        <v>44524.876000000004</v>
      </c>
      <c r="N8" s="13">
        <f>SUMIF(Mercado_Receita!$T$2:$T$1156,"44652B1Energia convencionalResidencialResidencialNão se aplicaNão se aplicaNão se aplica",Mercado_Receita!$N$2:$N$1156)</f>
        <v>44524.876000000004</v>
      </c>
      <c r="O8" s="13">
        <f>SUMIF(Mercado_Receita!$T$2:$T$1156,"44682B1Energia convencionalResidencialResidencialNão se aplicaNão se aplicaNão se aplica",Mercado_Receita!$N$2:$N$1156)</f>
        <v>41031.549999999996</v>
      </c>
      <c r="P8" s="13">
        <f>SUMIF(Mercado_Receita!$T$2:$T$1156,"44713B1Energia convencionalResidencialResidencialNão se aplicaNão se aplicaNão se aplica",Mercado_Receita!$N$2:$N$1156)</f>
        <v>38138.46</v>
      </c>
      <c r="Q8" s="13">
        <f>SUMIF(Mercado_Receita!$T$2:$T$1156,"44743B1Energia convencionalResidencialResidencialNão se aplicaNão se aplicaNão se aplica",Mercado_Receita!$N$2:$N$1156)</f>
        <v>38127.534999999996</v>
      </c>
      <c r="R8" s="13">
        <f>SUMIF(Mercado_Receita!$T$2:$T$1156,"44774B1Energia convencionalResidencialResidencialNão se aplicaNão se aplicaNão se aplica",Mercado_Receita!$N$2:$N$1156)</f>
        <v>45071.158999999992</v>
      </c>
      <c r="S8" s="13">
        <f>SUMIF(Mercado_Receita!$T$2:$T$1156,"44805B1Energia convencionalResidencialResidencialNão se aplicaNão se aplicaNão se aplica",Mercado_Receita!$N$2:$N$1156)</f>
        <v>46398.029000000002</v>
      </c>
      <c r="T8" s="13">
        <f>SUMIF(Mercado_Receita!$T$2:$T$1156,"44835B1Energia convencionalResidencialResidencialNão se aplicaNão se aplicaNão se aplica",Mercado_Receita!$N$2:$N$1156)</f>
        <v>46398.029000000002</v>
      </c>
      <c r="U8" s="13">
        <f t="shared" si="0"/>
        <v>526822.44299999997</v>
      </c>
      <c r="V8" s="13"/>
      <c r="W8" s="13"/>
    </row>
    <row r="9" spans="1:30" ht="11.25" customHeight="1" x14ac:dyDescent="0.25">
      <c r="A9" s="93"/>
      <c r="B9" s="93"/>
      <c r="C9" s="93"/>
      <c r="D9" s="12" t="s">
        <v>29</v>
      </c>
      <c r="E9" s="12" t="s">
        <v>25</v>
      </c>
      <c r="F9" s="12" t="s">
        <v>25</v>
      </c>
      <c r="G9" s="13" t="s">
        <v>76</v>
      </c>
      <c r="H9" s="13" t="s">
        <v>72</v>
      </c>
      <c r="I9" s="13">
        <f>SUMIF(Mercado_Receita!$T$2:$T$1156,"44501B1Energia convencionalResidencialResidencial baixa renda – faixa 01Não se aplicaNão se aplicaNão se aplica",Mercado_Receita!$N$2:$N$1156)</f>
        <v>823.23400000000004</v>
      </c>
      <c r="J9" s="13">
        <f>SUMIF(Mercado_Receita!$T$2:$T$1156,"44531B1Energia convencionalResidencialResidencial baixa renda – faixa 01Não se aplicaNão se aplicaNão se aplica",Mercado_Receita!$N$2:$N$1156)</f>
        <v>827.75900000000001</v>
      </c>
      <c r="K9" s="13">
        <f>SUMIF(Mercado_Receita!$T$2:$T$1156,"44562B1Energia convencionalResidencialResidencial baixa renda – faixa 01Não se aplicaNão se aplicaNão se aplica",Mercado_Receita!$N$2:$N$1156)</f>
        <v>837.77499999999998</v>
      </c>
      <c r="L9" s="13">
        <f>SUMIF(Mercado_Receita!$T$2:$T$1156,"44593B1Energia convencionalResidencialResidencial baixa renda – faixa 01Não se aplicaNão se aplicaNão se aplica",Mercado_Receita!$N$2:$N$1156)</f>
        <v>848.30499999999995</v>
      </c>
      <c r="M9" s="13">
        <f>SUMIF(Mercado_Receita!$T$2:$T$1156,"44621B1Energia convencionalResidencialResidencial baixa renda – faixa 01Não se aplicaNão se aplicaNão se aplica",Mercado_Receita!$N$2:$N$1156)</f>
        <v>866.26</v>
      </c>
      <c r="N9" s="13">
        <f>SUMIF(Mercado_Receita!$T$2:$T$1156,"44652B1Energia convencionalResidencialResidencial baixa renda – faixa 01Não se aplicaNão se aplicaNão se aplica",Mercado_Receita!$N$2:$N$1156)</f>
        <v>866.26</v>
      </c>
      <c r="O9" s="13">
        <f>SUMIF(Mercado_Receita!$T$2:$T$1156,"44682B1Energia convencionalResidencialResidencial baixa renda – faixa 01Não se aplicaNão se aplicaNão se aplica",Mercado_Receita!$N$2:$N$1156)</f>
        <v>872.05600000000004</v>
      </c>
      <c r="P9" s="13">
        <f>SUMIF(Mercado_Receita!$T$2:$T$1156,"44713B1Energia convencionalResidencialResidencial baixa renda – faixa 01Não se aplicaNão se aplicaNão se aplica",Mercado_Receita!$N$2:$N$1156)</f>
        <v>882.09500000000003</v>
      </c>
      <c r="Q9" s="13">
        <f>SUMIF(Mercado_Receita!$T$2:$T$1156,"44743B1Energia convencionalResidencialResidencial baixa renda – faixa 01Não se aplicaNão se aplicaNão se aplica",Mercado_Receita!$N$2:$N$1156)</f>
        <v>883.94099999999992</v>
      </c>
      <c r="R9" s="13">
        <f>SUMIF(Mercado_Receita!$T$2:$T$1156,"44774B1Energia convencionalResidencialResidencial baixa renda – faixa 01Não se aplicaNão se aplicaNão se aplica",Mercado_Receita!$N$2:$N$1156)</f>
        <v>893.77</v>
      </c>
      <c r="S9" s="13">
        <f>SUMIF(Mercado_Receita!$T$2:$T$1156,"44805B1Energia convencionalResidencialResidencial baixa renda – faixa 01Não se aplicaNão se aplicaNão se aplica",Mercado_Receita!$N$2:$N$1156)</f>
        <v>899.80600000000004</v>
      </c>
      <c r="T9" s="13">
        <f>SUMIF(Mercado_Receita!$T$2:$T$1156,"44835B1Energia convencionalResidencialResidencial baixa renda – faixa 01Não se aplicaNão se aplicaNão se aplica",Mercado_Receita!$N$2:$N$1156)</f>
        <v>899.80600000000004</v>
      </c>
      <c r="U9" s="13">
        <f t="shared" si="0"/>
        <v>10401.067000000001</v>
      </c>
      <c r="V9" s="13"/>
      <c r="W9" s="13"/>
    </row>
    <row r="10" spans="1:30" ht="11.25" customHeight="1" x14ac:dyDescent="0.25">
      <c r="A10" s="93"/>
      <c r="B10" s="93"/>
      <c r="C10" s="93"/>
      <c r="D10" s="12" t="s">
        <v>30</v>
      </c>
      <c r="E10" s="12" t="s">
        <v>25</v>
      </c>
      <c r="F10" s="12" t="s">
        <v>25</v>
      </c>
      <c r="G10" s="13" t="s">
        <v>76</v>
      </c>
      <c r="H10" s="13" t="s">
        <v>72</v>
      </c>
      <c r="I10" s="13">
        <f>SUMIF(Mercado_Receita!$T$2:$T$1156,"44501B1Energia convencionalResidencialResidencial baixa renda – faixa 02Não se aplicaNão se aplicaNão se aplica",Mercado_Receita!$N$2:$N$1156)</f>
        <v>1729.473</v>
      </c>
      <c r="J10" s="13">
        <f>SUMIF(Mercado_Receita!$T$2:$T$1156,"44531B1Energia convencionalResidencialResidencial baixa renda – faixa 02Não se aplicaNão se aplicaNão se aplica",Mercado_Receita!$N$2:$N$1156)</f>
        <v>1730.4079999999999</v>
      </c>
      <c r="K10" s="13">
        <f>SUMIF(Mercado_Receita!$T$2:$T$1156,"44562B1Energia convencionalResidencialResidencial baixa renda – faixa 02Não se aplicaNão se aplicaNão se aplica",Mercado_Receita!$N$2:$N$1156)</f>
        <v>1734.9560000000001</v>
      </c>
      <c r="L10" s="13">
        <f>SUMIF(Mercado_Receita!$T$2:$T$1156,"44593B1Energia convencionalResidencialResidencial baixa renda – faixa 02Não se aplicaNão se aplicaNão se aplica",Mercado_Receita!$N$2:$N$1156)</f>
        <v>1760.6129999999998</v>
      </c>
      <c r="M10" s="13">
        <f>SUMIF(Mercado_Receita!$T$2:$T$1156,"44621B1Energia convencionalResidencialResidencial baixa renda – faixa 02Não se aplicaNão se aplicaNão se aplica",Mercado_Receita!$N$2:$N$1156)</f>
        <v>1807.587</v>
      </c>
      <c r="N10" s="13">
        <f>SUMIF(Mercado_Receita!$T$2:$T$1156,"44652B1Energia convencionalResidencialResidencial baixa renda – faixa 02Não se aplicaNão se aplicaNão se aplica",Mercado_Receita!$N$2:$N$1156)</f>
        <v>1807.587</v>
      </c>
      <c r="O10" s="13">
        <f>SUMIF(Mercado_Receita!$T$2:$T$1156,"44682B1Energia convencionalResidencialResidencial baixa renda – faixa 02Não se aplicaNão se aplicaNão se aplica",Mercado_Receita!$N$2:$N$1156)</f>
        <v>1802.145</v>
      </c>
      <c r="P10" s="13">
        <f>SUMIF(Mercado_Receita!$T$2:$T$1156,"44713B1Energia convencionalResidencialResidencial baixa renda – faixa 02Não se aplicaNão se aplicaNão se aplica",Mercado_Receita!$N$2:$N$1156)</f>
        <v>1820.5260000000001</v>
      </c>
      <c r="Q10" s="13">
        <f>SUMIF(Mercado_Receita!$T$2:$T$1156,"44743B1Energia convencionalResidencialResidencial baixa renda – faixa 02Não se aplicaNão se aplicaNão se aplica",Mercado_Receita!$N$2:$N$1156)</f>
        <v>1813.7339999999999</v>
      </c>
      <c r="R10" s="13">
        <f>SUMIF(Mercado_Receita!$T$2:$T$1156,"44774B1Energia convencionalResidencialResidencial baixa renda – faixa 02Não se aplicaNão se aplicaNão se aplica",Mercado_Receita!$N$2:$N$1156)</f>
        <v>1855.2800000000002</v>
      </c>
      <c r="S10" s="13">
        <f>SUMIF(Mercado_Receita!$T$2:$T$1156,"44805B1Energia convencionalResidencialResidencial baixa renda – faixa 02Não se aplicaNão se aplicaNão se aplica",Mercado_Receita!$N$2:$N$1156)</f>
        <v>1857.4969999999998</v>
      </c>
      <c r="T10" s="13">
        <f>SUMIF(Mercado_Receita!$T$2:$T$1156,"44835B1Energia convencionalResidencialResidencial baixa renda – faixa 02Não se aplicaNão se aplicaNão se aplica",Mercado_Receita!$N$2:$N$1156)</f>
        <v>1857.4969999999998</v>
      </c>
      <c r="U10" s="13">
        <f t="shared" si="0"/>
        <v>21577.302999999996</v>
      </c>
      <c r="V10" s="13"/>
      <c r="W10" s="13"/>
    </row>
    <row r="11" spans="1:30" ht="11.25" customHeight="1" x14ac:dyDescent="0.25">
      <c r="A11" s="93"/>
      <c r="B11" s="93"/>
      <c r="C11" s="93"/>
      <c r="D11" s="12" t="s">
        <v>31</v>
      </c>
      <c r="E11" s="12" t="s">
        <v>25</v>
      </c>
      <c r="F11" s="12" t="s">
        <v>25</v>
      </c>
      <c r="G11" s="13" t="s">
        <v>76</v>
      </c>
      <c r="H11" s="13" t="s">
        <v>72</v>
      </c>
      <c r="I11" s="13">
        <f>SUMIF(Mercado_Receita!$T$2:$T$1156,"44501B1Energia convencionalResidencialResidencial baixa renda – faixa 03Não se aplicaNão se aplicaNão se aplica",Mercado_Receita!$N$2:$N$1156)</f>
        <v>2143.576</v>
      </c>
      <c r="J11" s="13">
        <f>SUMIF(Mercado_Receita!$T$2:$T$1156,"44531B1Energia convencionalResidencialResidencial baixa renda – faixa 03Não se aplicaNão se aplicaNão se aplica",Mercado_Receita!$N$2:$N$1156)</f>
        <v>2094.9490000000001</v>
      </c>
      <c r="K11" s="13">
        <f>SUMIF(Mercado_Receita!$T$2:$T$1156,"44562B1Energia convencionalResidencialResidencial baixa renda – faixa 03Não se aplicaNão se aplicaNão se aplica",Mercado_Receita!$N$2:$N$1156)</f>
        <v>2007.07</v>
      </c>
      <c r="L11" s="13">
        <f>SUMIF(Mercado_Receita!$T$2:$T$1156,"44593B1Energia convencionalResidencialResidencial baixa renda – faixa 03Não se aplicaNão se aplicaNão se aplica",Mercado_Receita!$N$2:$N$1156)</f>
        <v>2076.5789999999997</v>
      </c>
      <c r="M11" s="13">
        <f>SUMIF(Mercado_Receita!$T$2:$T$1156,"44621B1Energia convencionalResidencialResidencial baixa renda – faixa 03Não se aplicaNão se aplicaNão se aplica",Mercado_Receita!$N$2:$N$1156)</f>
        <v>2154.9459999999999</v>
      </c>
      <c r="N11" s="13">
        <f>SUMIF(Mercado_Receita!$T$2:$T$1156,"44652B1Energia convencionalResidencialResidencial baixa renda – faixa 03Não se aplicaNão se aplicaNão se aplica",Mercado_Receita!$N$2:$N$1156)</f>
        <v>2154.9459999999999</v>
      </c>
      <c r="O11" s="13">
        <f>SUMIF(Mercado_Receita!$T$2:$T$1156,"44682B1Energia convencionalResidencialResidencial baixa renda – faixa 03Não se aplicaNão se aplicaNão se aplica",Mercado_Receita!$N$2:$N$1156)</f>
        <v>2074.1639999999998</v>
      </c>
      <c r="P11" s="13">
        <f>SUMIF(Mercado_Receita!$T$2:$T$1156,"44713B1Energia convencionalResidencialResidencial baixa renda – faixa 03Não se aplicaNão se aplicaNão se aplica",Mercado_Receita!$N$2:$N$1156)</f>
        <v>2073.7080000000001</v>
      </c>
      <c r="Q11" s="13">
        <f>SUMIF(Mercado_Receita!$T$2:$T$1156,"44743B1Energia convencionalResidencialResidencial baixa renda – faixa 03Não se aplicaNão se aplicaNão se aplica",Mercado_Receita!$N$2:$N$1156)</f>
        <v>2027.1389999999999</v>
      </c>
      <c r="R11" s="13">
        <f>SUMIF(Mercado_Receita!$T$2:$T$1156,"44774B1Energia convencionalResidencialResidencial baixa renda – faixa 03Não se aplicaNão se aplicaNão se aplica",Mercado_Receita!$N$2:$N$1156)</f>
        <v>2259.1120000000001</v>
      </c>
      <c r="S11" s="13">
        <f>SUMIF(Mercado_Receita!$T$2:$T$1156,"44805B1Energia convencionalResidencialResidencial baixa renda – faixa 03Não se aplicaNão se aplicaNão se aplica",Mercado_Receita!$N$2:$N$1156)</f>
        <v>2239.6119999999996</v>
      </c>
      <c r="T11" s="13">
        <f>SUMIF(Mercado_Receita!$T$2:$T$1156,"44835B1Energia convencionalResidencialResidencial baixa renda – faixa 03Não se aplicaNão se aplicaNão se aplica",Mercado_Receita!$N$2:$N$1156)</f>
        <v>2239.6119999999996</v>
      </c>
      <c r="U11" s="13">
        <f t="shared" si="0"/>
        <v>25545.413</v>
      </c>
      <c r="V11" s="13"/>
      <c r="W11" s="13"/>
    </row>
    <row r="12" spans="1:30" ht="11.25" customHeight="1" x14ac:dyDescent="0.25">
      <c r="A12" s="93"/>
      <c r="B12" s="93"/>
      <c r="C12" s="93"/>
      <c r="D12" s="12" t="s">
        <v>32</v>
      </c>
      <c r="E12" s="12" t="s">
        <v>25</v>
      </c>
      <c r="F12" s="12" t="s">
        <v>25</v>
      </c>
      <c r="G12" s="13" t="s">
        <v>76</v>
      </c>
      <c r="H12" s="13" t="s">
        <v>72</v>
      </c>
      <c r="I12" s="13">
        <f>SUMIF(Mercado_Receita!$T$2:$T$1156,"44501B1Energia convencionalResidencialResidencial baixa renda – faixa 04Não se aplicaNão se aplicaNão se aplica",Mercado_Receita!$N$2:$N$1156)</f>
        <v>2712.5419999999999</v>
      </c>
      <c r="J12" s="13">
        <f>SUMIF(Mercado_Receita!$T$2:$T$1156,"44531B1Energia convencionalResidencialResidencial baixa renda – faixa 04Não se aplicaNão se aplicaNão se aplica",Mercado_Receita!$N$2:$N$1156)</f>
        <v>2465.9520000000002</v>
      </c>
      <c r="K12" s="13">
        <f>SUMIF(Mercado_Receita!$T$2:$T$1156,"44562B1Energia convencionalResidencialResidencial baixa renda – faixa 04Não se aplicaNão se aplicaNão se aplica",Mercado_Receita!$N$2:$N$1156)</f>
        <v>2105.9519999999998</v>
      </c>
      <c r="L12" s="13">
        <f>SUMIF(Mercado_Receita!$T$2:$T$1156,"44593B1Energia convencionalResidencialResidencial baixa renda – faixa 04Não se aplicaNão se aplicaNão se aplica",Mercado_Receita!$N$2:$N$1156)</f>
        <v>2430.2750000000001</v>
      </c>
      <c r="M12" s="13">
        <f>SUMIF(Mercado_Receita!$T$2:$T$1156,"44621B1Energia convencionalResidencialResidencial baixa renda – faixa 04Não se aplicaNão se aplicaNão se aplica",Mercado_Receita!$N$2:$N$1156)</f>
        <v>2400.2710000000002</v>
      </c>
      <c r="N12" s="13">
        <f>SUMIF(Mercado_Receita!$T$2:$T$1156,"44652B1Energia convencionalResidencialResidencial baixa renda – faixa 04Não se aplicaNão se aplicaNão se aplica",Mercado_Receita!$N$2:$N$1156)</f>
        <v>2400.2710000000002</v>
      </c>
      <c r="O12" s="13">
        <f>SUMIF(Mercado_Receita!$T$2:$T$1156,"44682B1Energia convencionalResidencialResidencial baixa renda – faixa 04Não se aplicaNão se aplicaNão se aplica",Mercado_Receita!$N$2:$N$1156)</f>
        <v>2013.6189999999999</v>
      </c>
      <c r="P12" s="13">
        <f>SUMIF(Mercado_Receita!$T$2:$T$1156,"44713B1Energia convencionalResidencialResidencial baixa renda – faixa 04Não se aplicaNão se aplicaNão se aplica",Mercado_Receita!$N$2:$N$1156)</f>
        <v>1879.8109999999999</v>
      </c>
      <c r="Q12" s="13">
        <f>SUMIF(Mercado_Receita!$T$2:$T$1156,"44743B1Energia convencionalResidencialResidencial baixa renda – faixa 04Não se aplicaNão se aplicaNão se aplica",Mercado_Receita!$N$2:$N$1156)</f>
        <v>2820.7160000000003</v>
      </c>
      <c r="R12" s="13">
        <f>SUMIF(Mercado_Receita!$T$2:$T$1156,"44774B1Energia convencionalResidencialResidencial baixa renda – faixa 04Não se aplicaNão se aplicaNão se aplica",Mercado_Receita!$N$2:$N$1156)</f>
        <v>1602.5209999999997</v>
      </c>
      <c r="S12" s="13">
        <f>SUMIF(Mercado_Receita!$T$2:$T$1156,"44805B1Energia convencionalResidencialResidencial baixa renda – faixa 04Não se aplicaNão se aplicaNão se aplica",Mercado_Receita!$N$2:$N$1156)</f>
        <v>2631.6669999999999</v>
      </c>
      <c r="T12" s="13">
        <f>SUMIF(Mercado_Receita!$T$2:$T$1156,"44835B1Energia convencionalResidencialResidencial baixa renda – faixa 04Não se aplicaNão se aplicaNão se aplica",Mercado_Receita!$N$2:$N$1156)</f>
        <v>2631.6669999999999</v>
      </c>
      <c r="U12" s="13">
        <f t="shared" si="0"/>
        <v>28095.264000000006</v>
      </c>
      <c r="V12" s="13"/>
      <c r="W12" s="13"/>
    </row>
    <row r="13" spans="1:30" ht="11.25" customHeight="1" x14ac:dyDescent="0.25">
      <c r="A13" s="93"/>
      <c r="B13" s="92" t="s">
        <v>86</v>
      </c>
      <c r="C13" s="92" t="s">
        <v>24</v>
      </c>
      <c r="D13" s="12" t="s">
        <v>24</v>
      </c>
      <c r="E13" s="12" t="s">
        <v>25</v>
      </c>
      <c r="F13" s="12" t="s">
        <v>25</v>
      </c>
      <c r="G13" s="13" t="s">
        <v>76</v>
      </c>
      <c r="H13" s="13" t="s">
        <v>72</v>
      </c>
      <c r="I13" s="13">
        <f>SUMIF(Mercado_Receita!$T$2:$T$1156,"44501B1Energia convencional pré-pagamentoResidencialResidencialNão se aplicaNão se aplicaNão se aplica",Mercado_Receita!$N$2:$N$1156)</f>
        <v>0</v>
      </c>
      <c r="J13" s="13">
        <f>SUMIF(Mercado_Receita!$T$2:$T$1156,"44531B1Energia convencional pré-pagamentoResidencialResidencialNão se aplicaNão se aplicaNão se aplica",Mercado_Receita!$N$2:$N$1156)</f>
        <v>0</v>
      </c>
      <c r="K13" s="13">
        <f>SUMIF(Mercado_Receita!$T$2:$T$1156,"44562B1Energia convencional pré-pagamentoResidencialResidencialNão se aplicaNão se aplicaNão se aplica",Mercado_Receita!$N$2:$N$1156)</f>
        <v>0</v>
      </c>
      <c r="L13" s="13">
        <f>SUMIF(Mercado_Receita!$T$2:$T$1156,"44593B1Energia convencional pré-pagamentoResidencialResidencialNão se aplicaNão se aplicaNão se aplica",Mercado_Receita!$N$2:$N$1156)</f>
        <v>0</v>
      </c>
      <c r="M13" s="13">
        <f>SUMIF(Mercado_Receita!$T$2:$T$1156,"44621B1Energia convencional pré-pagamentoResidencialResidencialNão se aplicaNão se aplicaNão se aplica",Mercado_Receita!$N$2:$N$1156)</f>
        <v>0</v>
      </c>
      <c r="N13" s="13">
        <f>SUMIF(Mercado_Receita!$T$2:$T$1156,"44652B1Energia convencional pré-pagamentoResidencialResidencialNão se aplicaNão se aplicaNão se aplica",Mercado_Receita!$N$2:$N$1156)</f>
        <v>0</v>
      </c>
      <c r="O13" s="13">
        <f>SUMIF(Mercado_Receita!$T$2:$T$1156,"44682B1Energia convencional pré-pagamentoResidencialResidencialNão se aplicaNão se aplicaNão se aplica",Mercado_Receita!$N$2:$N$1156)</f>
        <v>0</v>
      </c>
      <c r="P13" s="13">
        <f>SUMIF(Mercado_Receita!$T$2:$T$1156,"44713B1Energia convencional pré-pagamentoResidencialResidencialNão se aplicaNão se aplicaNão se aplica",Mercado_Receita!$N$2:$N$1156)</f>
        <v>0</v>
      </c>
      <c r="Q13" s="13">
        <f>SUMIF(Mercado_Receita!$T$2:$T$1156,"44743B1Energia convencional pré-pagamentoResidencialResidencialNão se aplicaNão se aplicaNão se aplica",Mercado_Receita!$N$2:$N$1156)</f>
        <v>0</v>
      </c>
      <c r="R13" s="13">
        <f>SUMIF(Mercado_Receita!$T$2:$T$1156,"44774B1Energia convencional pré-pagamentoResidencialResidencialNão se aplicaNão se aplicaNão se aplica",Mercado_Receita!$N$2:$N$1156)</f>
        <v>0</v>
      </c>
      <c r="S13" s="13">
        <f>SUMIF(Mercado_Receita!$T$2:$T$1156,"44805B1Energia convencional pré-pagamentoResidencialResidencialNão se aplicaNão se aplicaNão se aplica",Mercado_Receita!$N$2:$N$1156)</f>
        <v>0</v>
      </c>
      <c r="T13" s="13">
        <f>SUMIF(Mercado_Receita!$T$2:$T$1156,"44835B1Energia convencional pré-pagamentoResidencialResidencialNão se aplicaNão se aplicaNão se aplica",Mercado_Receita!$N$2:$N$1156)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93"/>
      <c r="B14" s="93"/>
      <c r="C14" s="93"/>
      <c r="D14" s="12" t="s">
        <v>29</v>
      </c>
      <c r="E14" s="12" t="s">
        <v>25</v>
      </c>
      <c r="F14" s="12" t="s">
        <v>25</v>
      </c>
      <c r="G14" s="13" t="s">
        <v>76</v>
      </c>
      <c r="H14" s="13" t="s">
        <v>72</v>
      </c>
      <c r="I14" s="13">
        <f>SUMIF(Mercado_Receita!$T$2:$T$1156,"44501B1Energia convencional pré-pagamentoResidencialResidencial baixa renda – faixa 01Não se aplicaNão se aplicaNão se aplica",Mercado_Receita!$N$2:$N$1156)</f>
        <v>0</v>
      </c>
      <c r="J14" s="13">
        <f>SUMIF(Mercado_Receita!$T$2:$T$1156,"44531B1Energia convencional pré-pagamentoResidencialResidencial baixa renda – faixa 01Não se aplicaNão se aplicaNão se aplica",Mercado_Receita!$N$2:$N$1156)</f>
        <v>0</v>
      </c>
      <c r="K14" s="13">
        <f>SUMIF(Mercado_Receita!$T$2:$T$1156,"44562B1Energia convencional pré-pagamentoResidencialResidencial baixa renda – faixa 01Não se aplicaNão se aplicaNão se aplica",Mercado_Receita!$N$2:$N$1156)</f>
        <v>0</v>
      </c>
      <c r="L14" s="13">
        <f>SUMIF(Mercado_Receita!$T$2:$T$1156,"44593B1Energia convencional pré-pagamentoResidencialResidencial baixa renda – faixa 01Não se aplicaNão se aplicaNão se aplica",Mercado_Receita!$N$2:$N$1156)</f>
        <v>0</v>
      </c>
      <c r="M14" s="13">
        <f>SUMIF(Mercado_Receita!$T$2:$T$1156,"44621B1Energia convencional pré-pagamentoResidencialResidencial baixa renda – faixa 01Não se aplicaNão se aplicaNão se aplica",Mercado_Receita!$N$2:$N$1156)</f>
        <v>0</v>
      </c>
      <c r="N14" s="13">
        <f>SUMIF(Mercado_Receita!$T$2:$T$1156,"44652B1Energia convencional pré-pagamentoResidencialResidencial baixa renda – faixa 01Não se aplicaNão se aplicaNão se aplica",Mercado_Receita!$N$2:$N$1156)</f>
        <v>0</v>
      </c>
      <c r="O14" s="13">
        <f>SUMIF(Mercado_Receita!$T$2:$T$1156,"44682B1Energia convencional pré-pagamentoResidencialResidencial baixa renda – faixa 01Não se aplicaNão se aplicaNão se aplica",Mercado_Receita!$N$2:$N$1156)</f>
        <v>0</v>
      </c>
      <c r="P14" s="13">
        <f>SUMIF(Mercado_Receita!$T$2:$T$1156,"44713B1Energia convencional pré-pagamentoResidencialResidencial baixa renda – faixa 01Não se aplicaNão se aplicaNão se aplica",Mercado_Receita!$N$2:$N$1156)</f>
        <v>0</v>
      </c>
      <c r="Q14" s="13">
        <f>SUMIF(Mercado_Receita!$T$2:$T$1156,"44743B1Energia convencional pré-pagamentoResidencialResidencial baixa renda – faixa 01Não se aplicaNão se aplicaNão se aplica",Mercado_Receita!$N$2:$N$1156)</f>
        <v>0</v>
      </c>
      <c r="R14" s="13">
        <f>SUMIF(Mercado_Receita!$T$2:$T$1156,"44774B1Energia convencional pré-pagamentoResidencialResidencial baixa renda – faixa 01Não se aplicaNão se aplicaNão se aplica",Mercado_Receita!$N$2:$N$1156)</f>
        <v>0</v>
      </c>
      <c r="S14" s="13">
        <f>SUMIF(Mercado_Receita!$T$2:$T$1156,"44805B1Energia convencional pré-pagamentoResidencialResidencial baixa renda – faixa 01Não se aplicaNão se aplicaNão se aplica",Mercado_Receita!$N$2:$N$1156)</f>
        <v>0</v>
      </c>
      <c r="T14" s="13">
        <f>SUMIF(Mercado_Receita!$T$2:$T$1156,"44835B1Energia convencional pré-pagamentoResidencialResidencial baixa renda – faixa 01Não se aplicaNão se aplicaNão se aplica",Mercado_Receita!$N$2:$N$1156)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93"/>
      <c r="B15" s="93"/>
      <c r="C15" s="93"/>
      <c r="D15" s="12" t="s">
        <v>30</v>
      </c>
      <c r="E15" s="12" t="s">
        <v>25</v>
      </c>
      <c r="F15" s="12" t="s">
        <v>25</v>
      </c>
      <c r="G15" s="13" t="s">
        <v>76</v>
      </c>
      <c r="H15" s="13" t="s">
        <v>72</v>
      </c>
      <c r="I15" s="13">
        <f>SUMIF(Mercado_Receita!$T$2:$T$1156,"44501B1Energia convencional pré-pagamentoResidencialResidencial baixa renda – faixa 02Não se aplicaNão se aplicaNão se aplica",Mercado_Receita!$N$2:$N$1156)</f>
        <v>0</v>
      </c>
      <c r="J15" s="13">
        <f>SUMIF(Mercado_Receita!$T$2:$T$1156,"44531B1Energia convencional pré-pagamentoResidencialResidencial baixa renda – faixa 02Não se aplicaNão se aplicaNão se aplica",Mercado_Receita!$N$2:$N$1156)</f>
        <v>0</v>
      </c>
      <c r="K15" s="13">
        <f>SUMIF(Mercado_Receita!$T$2:$T$1156,"44562B1Energia convencional pré-pagamentoResidencialResidencial baixa renda – faixa 02Não se aplicaNão se aplicaNão se aplica",Mercado_Receita!$N$2:$N$1156)</f>
        <v>0</v>
      </c>
      <c r="L15" s="13">
        <f>SUMIF(Mercado_Receita!$T$2:$T$1156,"44593B1Energia convencional pré-pagamentoResidencialResidencial baixa renda – faixa 02Não se aplicaNão se aplicaNão se aplica",Mercado_Receita!$N$2:$N$1156)</f>
        <v>0</v>
      </c>
      <c r="M15" s="13">
        <f>SUMIF(Mercado_Receita!$T$2:$T$1156,"44621B1Energia convencional pré-pagamentoResidencialResidencial baixa renda – faixa 02Não se aplicaNão se aplicaNão se aplica",Mercado_Receita!$N$2:$N$1156)</f>
        <v>0</v>
      </c>
      <c r="N15" s="13">
        <f>SUMIF(Mercado_Receita!$T$2:$T$1156,"44652B1Energia convencional pré-pagamentoResidencialResidencial baixa renda – faixa 02Não se aplicaNão se aplicaNão se aplica",Mercado_Receita!$N$2:$N$1156)</f>
        <v>0</v>
      </c>
      <c r="O15" s="13">
        <f>SUMIF(Mercado_Receita!$T$2:$T$1156,"44682B1Energia convencional pré-pagamentoResidencialResidencial baixa renda – faixa 02Não se aplicaNão se aplicaNão se aplica",Mercado_Receita!$N$2:$N$1156)</f>
        <v>0</v>
      </c>
      <c r="P15" s="13">
        <f>SUMIF(Mercado_Receita!$T$2:$T$1156,"44713B1Energia convencional pré-pagamentoResidencialResidencial baixa renda – faixa 02Não se aplicaNão se aplicaNão se aplica",Mercado_Receita!$N$2:$N$1156)</f>
        <v>0</v>
      </c>
      <c r="Q15" s="13">
        <f>SUMIF(Mercado_Receita!$T$2:$T$1156,"44743B1Energia convencional pré-pagamentoResidencialResidencial baixa renda – faixa 02Não se aplicaNão se aplicaNão se aplica",Mercado_Receita!$N$2:$N$1156)</f>
        <v>0</v>
      </c>
      <c r="R15" s="13">
        <f>SUMIF(Mercado_Receita!$T$2:$T$1156,"44774B1Energia convencional pré-pagamentoResidencialResidencial baixa renda – faixa 02Não se aplicaNão se aplicaNão se aplica",Mercado_Receita!$N$2:$N$1156)</f>
        <v>0</v>
      </c>
      <c r="S15" s="13">
        <f>SUMIF(Mercado_Receita!$T$2:$T$1156,"44805B1Energia convencional pré-pagamentoResidencialResidencial baixa renda – faixa 02Não se aplicaNão se aplicaNão se aplica",Mercado_Receita!$N$2:$N$1156)</f>
        <v>0</v>
      </c>
      <c r="T15" s="13">
        <f>SUMIF(Mercado_Receita!$T$2:$T$1156,"44835B1Energia convencional pré-pagamentoResidencialResidencial baixa renda – faixa 02Não se aplicaNão se aplicaNão se aplica",Mercado_Receita!$N$2:$N$1156)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3"/>
      <c r="B16" s="93"/>
      <c r="C16" s="93"/>
      <c r="D16" s="12" t="s">
        <v>31</v>
      </c>
      <c r="E16" s="12" t="s">
        <v>25</v>
      </c>
      <c r="F16" s="12" t="s">
        <v>25</v>
      </c>
      <c r="G16" s="13" t="s">
        <v>76</v>
      </c>
      <c r="H16" s="13" t="s">
        <v>72</v>
      </c>
      <c r="I16" s="13">
        <f>SUMIF(Mercado_Receita!$T$2:$T$1156,"44501B1Energia convencional pré-pagamentoResidencialResidencial baixa renda – faixa 03Não se aplicaNão se aplicaNão se aplica",Mercado_Receita!$N$2:$N$1156)</f>
        <v>0</v>
      </c>
      <c r="J16" s="13">
        <f>SUMIF(Mercado_Receita!$T$2:$T$1156,"44531B1Energia convencional pré-pagamentoResidencialResidencial baixa renda – faixa 03Não se aplicaNão se aplicaNão se aplica",Mercado_Receita!$N$2:$N$1156)</f>
        <v>0</v>
      </c>
      <c r="K16" s="13">
        <f>SUMIF(Mercado_Receita!$T$2:$T$1156,"44562B1Energia convencional pré-pagamentoResidencialResidencial baixa renda – faixa 03Não se aplicaNão se aplicaNão se aplica",Mercado_Receita!$N$2:$N$1156)</f>
        <v>0</v>
      </c>
      <c r="L16" s="13">
        <f>SUMIF(Mercado_Receita!$T$2:$T$1156,"44593B1Energia convencional pré-pagamentoResidencialResidencial baixa renda – faixa 03Não se aplicaNão se aplicaNão se aplica",Mercado_Receita!$N$2:$N$1156)</f>
        <v>0</v>
      </c>
      <c r="M16" s="13">
        <f>SUMIF(Mercado_Receita!$T$2:$T$1156,"44621B1Energia convencional pré-pagamentoResidencialResidencial baixa renda – faixa 03Não se aplicaNão se aplicaNão se aplica",Mercado_Receita!$N$2:$N$1156)</f>
        <v>0</v>
      </c>
      <c r="N16" s="13">
        <f>SUMIF(Mercado_Receita!$T$2:$T$1156,"44652B1Energia convencional pré-pagamentoResidencialResidencial baixa renda – faixa 03Não se aplicaNão se aplicaNão se aplica",Mercado_Receita!$N$2:$N$1156)</f>
        <v>0</v>
      </c>
      <c r="O16" s="13">
        <f>SUMIF(Mercado_Receita!$T$2:$T$1156,"44682B1Energia convencional pré-pagamentoResidencialResidencial baixa renda – faixa 03Não se aplicaNão se aplicaNão se aplica",Mercado_Receita!$N$2:$N$1156)</f>
        <v>0</v>
      </c>
      <c r="P16" s="13">
        <f>SUMIF(Mercado_Receita!$T$2:$T$1156,"44713B1Energia convencional pré-pagamentoResidencialResidencial baixa renda – faixa 03Não se aplicaNão se aplicaNão se aplica",Mercado_Receita!$N$2:$N$1156)</f>
        <v>0</v>
      </c>
      <c r="Q16" s="13">
        <f>SUMIF(Mercado_Receita!$T$2:$T$1156,"44743B1Energia convencional pré-pagamentoResidencialResidencial baixa renda – faixa 03Não se aplicaNão se aplicaNão se aplica",Mercado_Receita!$N$2:$N$1156)</f>
        <v>0</v>
      </c>
      <c r="R16" s="13">
        <f>SUMIF(Mercado_Receita!$T$2:$T$1156,"44774B1Energia convencional pré-pagamentoResidencialResidencial baixa renda – faixa 03Não se aplicaNão se aplicaNão se aplica",Mercado_Receita!$N$2:$N$1156)</f>
        <v>0</v>
      </c>
      <c r="S16" s="13">
        <f>SUMIF(Mercado_Receita!$T$2:$T$1156,"44805B1Energia convencional pré-pagamentoResidencialResidencial baixa renda – faixa 03Não se aplicaNão se aplicaNão se aplica",Mercado_Receita!$N$2:$N$1156)</f>
        <v>0</v>
      </c>
      <c r="T16" s="13">
        <f>SUMIF(Mercado_Receita!$T$2:$T$1156,"44835B1Energia convencional pré-pagamentoResidencialResidencial baixa renda – faixa 03Não se aplicaNão se aplicaNão se aplica",Mercado_Receita!$N$2:$N$1156)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93"/>
      <c r="B17" s="93"/>
      <c r="C17" s="93"/>
      <c r="D17" s="12" t="s">
        <v>32</v>
      </c>
      <c r="E17" s="12" t="s">
        <v>25</v>
      </c>
      <c r="F17" s="12" t="s">
        <v>25</v>
      </c>
      <c r="G17" s="13" t="s">
        <v>76</v>
      </c>
      <c r="H17" s="13" t="s">
        <v>72</v>
      </c>
      <c r="I17" s="13">
        <f>SUMIF(Mercado_Receita!$T$2:$T$1156,"44501B1Energia convencional pré-pagamentoResidencialResidencial baixa renda – faixa 04Não se aplicaNão se aplicaNão se aplica",Mercado_Receita!$N$2:$N$1156)</f>
        <v>0</v>
      </c>
      <c r="J17" s="13">
        <f>SUMIF(Mercado_Receita!$T$2:$T$1156,"44531B1Energia convencional pré-pagamentoResidencialResidencial baixa renda – faixa 04Não se aplicaNão se aplicaNão se aplica",Mercado_Receita!$N$2:$N$1156)</f>
        <v>0</v>
      </c>
      <c r="K17" s="13">
        <f>SUMIF(Mercado_Receita!$T$2:$T$1156,"44562B1Energia convencional pré-pagamentoResidencialResidencial baixa renda – faixa 04Não se aplicaNão se aplicaNão se aplica",Mercado_Receita!$N$2:$N$1156)</f>
        <v>0</v>
      </c>
      <c r="L17" s="13">
        <f>SUMIF(Mercado_Receita!$T$2:$T$1156,"44593B1Energia convencional pré-pagamentoResidencialResidencial baixa renda – faixa 04Não se aplicaNão se aplicaNão se aplica",Mercado_Receita!$N$2:$N$1156)</f>
        <v>0</v>
      </c>
      <c r="M17" s="13">
        <f>SUMIF(Mercado_Receita!$T$2:$T$1156,"44621B1Energia convencional pré-pagamentoResidencialResidencial baixa renda – faixa 04Não se aplicaNão se aplicaNão se aplica",Mercado_Receita!$N$2:$N$1156)</f>
        <v>0</v>
      </c>
      <c r="N17" s="13">
        <f>SUMIF(Mercado_Receita!$T$2:$T$1156,"44652B1Energia convencional pré-pagamentoResidencialResidencial baixa renda – faixa 04Não se aplicaNão se aplicaNão se aplica",Mercado_Receita!$N$2:$N$1156)</f>
        <v>0</v>
      </c>
      <c r="O17" s="13">
        <f>SUMIF(Mercado_Receita!$T$2:$T$1156,"44682B1Energia convencional pré-pagamentoResidencialResidencial baixa renda – faixa 04Não se aplicaNão se aplicaNão se aplica",Mercado_Receita!$N$2:$N$1156)</f>
        <v>0</v>
      </c>
      <c r="P17" s="13">
        <f>SUMIF(Mercado_Receita!$T$2:$T$1156,"44713B1Energia convencional pré-pagamentoResidencialResidencial baixa renda – faixa 04Não se aplicaNão se aplicaNão se aplica",Mercado_Receita!$N$2:$N$1156)</f>
        <v>0</v>
      </c>
      <c r="Q17" s="13">
        <f>SUMIF(Mercado_Receita!$T$2:$T$1156,"44743B1Energia convencional pré-pagamentoResidencialResidencial baixa renda – faixa 04Não se aplicaNão se aplicaNão se aplica",Mercado_Receita!$N$2:$N$1156)</f>
        <v>0</v>
      </c>
      <c r="R17" s="13">
        <f>SUMIF(Mercado_Receita!$T$2:$T$1156,"44774B1Energia convencional pré-pagamentoResidencialResidencial baixa renda – faixa 04Não se aplicaNão se aplicaNão se aplica",Mercado_Receita!$N$2:$N$1156)</f>
        <v>0</v>
      </c>
      <c r="S17" s="13">
        <f>SUMIF(Mercado_Receita!$T$2:$T$1156,"44805B1Energia convencional pré-pagamentoResidencialResidencial baixa renda – faixa 04Não se aplicaNão se aplicaNão se aplica",Mercado_Receita!$N$2:$N$1156)</f>
        <v>0</v>
      </c>
      <c r="T17" s="13">
        <f>SUMIF(Mercado_Receita!$T$2:$T$1156,"44835B1Energia convencional pré-pagamentoResidencialResidencial baixa renda – faixa 04Não se aplicaNão se aplicaNão se aplica",Mercado_Receita!$N$2:$N$1156)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92" t="s">
        <v>43</v>
      </c>
      <c r="B18" s="92" t="s">
        <v>71</v>
      </c>
      <c r="C18" s="92" t="s">
        <v>44</v>
      </c>
      <c r="D18" s="92" t="s">
        <v>25</v>
      </c>
      <c r="E18" s="92" t="s">
        <v>25</v>
      </c>
      <c r="F18" s="92" t="s">
        <v>25</v>
      </c>
      <c r="G18" s="13" t="s">
        <v>73</v>
      </c>
      <c r="H18" s="13" t="s">
        <v>72</v>
      </c>
      <c r="I18" s="13">
        <f>SUMIF(Mercado_Receita!$T$2:$T$1156,"44501B2Energia horáriaRuralNão se aplicaNão se aplicaNão se aplicaPonta",Mercado_Receita!$N$2:$N$1156)</f>
        <v>1.4999999999999999E-2</v>
      </c>
      <c r="J18" s="13">
        <f>SUMIF(Mercado_Receita!$T$2:$T$1156,"44531B2Energia horáriaRuralNão se aplicaNão se aplicaNão se aplicaPonta",Mercado_Receita!$N$2:$N$1156)</f>
        <v>1.2999999999999999E-2</v>
      </c>
      <c r="K18" s="13">
        <f>SUMIF(Mercado_Receita!$T$2:$T$1156,"44562B2Energia horáriaRuralNão se aplicaNão se aplicaNão se aplicaPonta",Mercado_Receita!$N$2:$N$1156)</f>
        <v>1.9E-2</v>
      </c>
      <c r="L18" s="13">
        <f>SUMIF(Mercado_Receita!$T$2:$T$1156,"44593B2Energia horáriaRuralNão se aplicaNão se aplicaNão se aplicaPonta",Mercado_Receita!$N$2:$N$1156)</f>
        <v>1.7999999999999999E-2</v>
      </c>
      <c r="M18" s="13">
        <f>SUMIF(Mercado_Receita!$T$2:$T$1156,"44621B2Energia horáriaRuralNão se aplicaNão se aplicaNão se aplicaPonta",Mercado_Receita!$N$2:$N$1156)</f>
        <v>1.4999999999999999E-2</v>
      </c>
      <c r="N18" s="13">
        <f>SUMIF(Mercado_Receita!$T$2:$T$1156,"44652B2Energia horáriaRuralNão se aplicaNão se aplicaNão se aplicaPonta",Mercado_Receita!$N$2:$N$1156)</f>
        <v>1.4999999999999999E-2</v>
      </c>
      <c r="O18" s="13">
        <f>SUMIF(Mercado_Receita!$T$2:$T$1156,"44682B2Energia horáriaRuralNão se aplicaNão se aplicaNão se aplicaPonta",Mercado_Receita!$N$2:$N$1156)</f>
        <v>1.7000000000000001E-2</v>
      </c>
      <c r="P18" s="13">
        <f>SUMIF(Mercado_Receita!$T$2:$T$1156,"44713B2Energia horáriaRuralNão se aplicaNão se aplicaNão se aplicaPonta",Mercado_Receita!$N$2:$N$1156)</f>
        <v>0</v>
      </c>
      <c r="Q18" s="13">
        <f>SUMIF(Mercado_Receita!$T$2:$T$1156,"44743B2Energia horáriaRuralNão se aplicaNão se aplicaNão se aplicaPonta",Mercado_Receita!$N$2:$N$1156)</f>
        <v>0</v>
      </c>
      <c r="R18" s="13">
        <f>SUMIF(Mercado_Receita!$T$2:$T$1156,"44774B2Energia horáriaRuralNão se aplicaNão se aplicaNão se aplicaPonta",Mercado_Receita!$N$2:$N$1156)</f>
        <v>0</v>
      </c>
      <c r="S18" s="13">
        <f>SUMIF(Mercado_Receita!$T$2:$T$1156,"44805B2Energia horáriaRuralNão se aplicaNão se aplicaNão se aplicaPonta",Mercado_Receita!$N$2:$N$1156)</f>
        <v>0</v>
      </c>
      <c r="T18" s="13">
        <f>SUMIF(Mercado_Receita!$T$2:$T$1156,"44835B2Energia horáriaRuralNão se aplicaNão se aplicaNão se aplicaPonta",Mercado_Receita!$N$2:$N$1156)</f>
        <v>0</v>
      </c>
      <c r="U18" s="13">
        <f t="shared" si="0"/>
        <v>0.112</v>
      </c>
      <c r="V18" s="13"/>
      <c r="W18" s="13"/>
    </row>
    <row r="19" spans="1:23" ht="11.25" customHeight="1" x14ac:dyDescent="0.25">
      <c r="A19" s="93"/>
      <c r="B19" s="93"/>
      <c r="C19" s="93"/>
      <c r="D19" s="93"/>
      <c r="E19" s="93"/>
      <c r="F19" s="93"/>
      <c r="G19" s="13" t="s">
        <v>85</v>
      </c>
      <c r="H19" s="13" t="s">
        <v>72</v>
      </c>
      <c r="I19" s="13">
        <f>SUMIF(Mercado_Receita!$T$2:$T$1156,"44501B2Energia horáriaRuralNão se aplicaNão se aplicaNão se aplicaIntermediário",Mercado_Receita!$N$2:$N$1156)</f>
        <v>0.01</v>
      </c>
      <c r="J19" s="13">
        <f>SUMIF(Mercado_Receita!$T$2:$T$1156,"44531B2Energia horáriaRuralNão se aplicaNão se aplicaNão se aplicaIntermediário",Mercado_Receita!$N$2:$N$1156)</f>
        <v>8.9999999999999993E-3</v>
      </c>
      <c r="K19" s="13">
        <f>SUMIF(Mercado_Receita!$T$2:$T$1156,"44562B2Energia horáriaRuralNão se aplicaNão se aplicaNão se aplicaIntermediário",Mercado_Receita!$N$2:$N$1156)</f>
        <v>1.2999999999999999E-2</v>
      </c>
      <c r="L19" s="13">
        <f>SUMIF(Mercado_Receita!$T$2:$T$1156,"44593B2Energia horáriaRuralNão se aplicaNão se aplicaNão se aplicaIntermediário",Mercado_Receita!$N$2:$N$1156)</f>
        <v>1.2E-2</v>
      </c>
      <c r="M19" s="13">
        <f>SUMIF(Mercado_Receita!$T$2:$T$1156,"44621B2Energia horáriaRuralNão se aplicaNão se aplicaNão se aplicaIntermediário",Mercado_Receita!$N$2:$N$1156)</f>
        <v>0.01</v>
      </c>
      <c r="N19" s="13">
        <f>SUMIF(Mercado_Receita!$T$2:$T$1156,"44652B2Energia horáriaRuralNão se aplicaNão se aplicaNão se aplicaIntermediário",Mercado_Receita!$N$2:$N$1156)</f>
        <v>0.01</v>
      </c>
      <c r="O19" s="13">
        <f>SUMIF(Mercado_Receita!$T$2:$T$1156,"44682B2Energia horáriaRuralNão se aplicaNão se aplicaNão se aplicaIntermediário",Mercado_Receita!$N$2:$N$1156)</f>
        <v>1.0999999999999999E-2</v>
      </c>
      <c r="P19" s="13">
        <f>SUMIF(Mercado_Receita!$T$2:$T$1156,"44713B2Energia horáriaRuralNão se aplicaNão se aplicaNão se aplicaIntermediário",Mercado_Receita!$N$2:$N$1156)</f>
        <v>0</v>
      </c>
      <c r="Q19" s="13">
        <f>SUMIF(Mercado_Receita!$T$2:$T$1156,"44743B2Energia horáriaRuralNão se aplicaNão se aplicaNão se aplicaIntermediário",Mercado_Receita!$N$2:$N$1156)</f>
        <v>0</v>
      </c>
      <c r="R19" s="13">
        <f>SUMIF(Mercado_Receita!$T$2:$T$1156,"44774B2Energia horáriaRuralNão se aplicaNão se aplicaNão se aplicaIntermediário",Mercado_Receita!$N$2:$N$1156)</f>
        <v>0</v>
      </c>
      <c r="S19" s="13">
        <f>SUMIF(Mercado_Receita!$T$2:$T$1156,"44805B2Energia horáriaRuralNão se aplicaNão se aplicaNão se aplicaIntermediário",Mercado_Receita!$N$2:$N$1156)</f>
        <v>0</v>
      </c>
      <c r="T19" s="13">
        <f>SUMIF(Mercado_Receita!$T$2:$T$1156,"44835B2Energia horáriaRuralNão se aplicaNão se aplicaNão se aplicaIntermediário",Mercado_Receita!$N$2:$N$1156)</f>
        <v>0</v>
      </c>
      <c r="U19" s="13">
        <f t="shared" si="0"/>
        <v>7.4999999999999997E-2</v>
      </c>
      <c r="V19" s="13"/>
      <c r="W19" s="13"/>
    </row>
    <row r="20" spans="1:23" ht="11.25" customHeight="1" x14ac:dyDescent="0.25">
      <c r="A20" s="93"/>
      <c r="B20" s="93"/>
      <c r="C20" s="93"/>
      <c r="D20" s="93"/>
      <c r="E20" s="93"/>
      <c r="F20" s="93"/>
      <c r="G20" s="13" t="s">
        <v>74</v>
      </c>
      <c r="H20" s="13" t="s">
        <v>72</v>
      </c>
      <c r="I20" s="13">
        <f>SUMIF(Mercado_Receita!$T$2:$T$1156,"44501B2Energia horáriaRuralNão se aplicaNão se aplicaNão se aplicaFora ponta",Mercado_Receita!$N$2:$N$1156)</f>
        <v>0.129</v>
      </c>
      <c r="J20" s="13">
        <f>SUMIF(Mercado_Receita!$T$2:$T$1156,"44531B2Energia horáriaRuralNão se aplicaNão se aplicaNão se aplicaFora ponta",Mercado_Receita!$N$2:$N$1156)</f>
        <v>0.115</v>
      </c>
      <c r="K20" s="13">
        <f>SUMIF(Mercado_Receita!$T$2:$T$1156,"44562B2Energia horáriaRuralNão se aplicaNão se aplicaNão se aplicaFora ponta",Mercado_Receita!$N$2:$N$1156)</f>
        <v>0.17699999999999999</v>
      </c>
      <c r="L20" s="13">
        <f>SUMIF(Mercado_Receita!$T$2:$T$1156,"44593B2Energia horáriaRuralNão se aplicaNão se aplicaNão se aplicaFora ponta",Mercado_Receita!$N$2:$N$1156)</f>
        <v>0.13400000000000001</v>
      </c>
      <c r="M20" s="13">
        <f>SUMIF(Mercado_Receita!$T$2:$T$1156,"44621B2Energia horáriaRuralNão se aplicaNão se aplicaNão se aplicaFora ponta",Mercado_Receita!$N$2:$N$1156)</f>
        <v>0.11700000000000001</v>
      </c>
      <c r="N20" s="13">
        <f>SUMIF(Mercado_Receita!$T$2:$T$1156,"44652B2Energia horáriaRuralNão se aplicaNão se aplicaNão se aplicaFora ponta",Mercado_Receita!$N$2:$N$1156)</f>
        <v>0.11700000000000001</v>
      </c>
      <c r="O20" s="13">
        <f>SUMIF(Mercado_Receita!$T$2:$T$1156,"44682B2Energia horáriaRuralNão se aplicaNão se aplicaNão se aplicaFora ponta",Mercado_Receita!$N$2:$N$1156)</f>
        <v>0.127</v>
      </c>
      <c r="P20" s="13">
        <f>SUMIF(Mercado_Receita!$T$2:$T$1156,"44713B2Energia horáriaRuralNão se aplicaNão se aplicaNão se aplicaFora ponta",Mercado_Receita!$N$2:$N$1156)</f>
        <v>0</v>
      </c>
      <c r="Q20" s="13">
        <f>SUMIF(Mercado_Receita!$T$2:$T$1156,"44743B2Energia horáriaRuralNão se aplicaNão se aplicaNão se aplicaFora ponta",Mercado_Receita!$N$2:$N$1156)</f>
        <v>0</v>
      </c>
      <c r="R20" s="13">
        <f>SUMIF(Mercado_Receita!$T$2:$T$1156,"44774B2Energia horáriaRuralNão se aplicaNão se aplicaNão se aplicaFora ponta",Mercado_Receita!$N$2:$N$1156)</f>
        <v>0</v>
      </c>
      <c r="S20" s="13">
        <f>SUMIF(Mercado_Receita!$T$2:$T$1156,"44805B2Energia horáriaRuralNão se aplicaNão se aplicaNão se aplicaFora ponta",Mercado_Receita!$N$2:$N$1156)</f>
        <v>0</v>
      </c>
      <c r="T20" s="13">
        <f>SUMIF(Mercado_Receita!$T$2:$T$1156,"44835B2Energia horáriaRuralNão se aplicaNão se aplicaNão se aplicaFora ponta",Mercado_Receita!$N$2:$N$1156)</f>
        <v>0</v>
      </c>
      <c r="U20" s="13">
        <f t="shared" si="0"/>
        <v>0.91599999999999993</v>
      </c>
      <c r="V20" s="13"/>
      <c r="W20" s="13"/>
    </row>
    <row r="21" spans="1:23" ht="11.25" customHeight="1" x14ac:dyDescent="0.25">
      <c r="A21" s="93"/>
      <c r="B21" s="12" t="s">
        <v>75</v>
      </c>
      <c r="C21" s="12" t="s">
        <v>44</v>
      </c>
      <c r="D21" s="12" t="s">
        <v>25</v>
      </c>
      <c r="E21" s="12" t="s">
        <v>25</v>
      </c>
      <c r="F21" s="12" t="s">
        <v>25</v>
      </c>
      <c r="G21" s="13" t="s">
        <v>76</v>
      </c>
      <c r="H21" s="13" t="s">
        <v>72</v>
      </c>
      <c r="I21" s="13">
        <f>SUMIF(Mercado_Receita!$T$2:$T$1156,"44501B2Energia convencionalRuralNão se aplicaNão se aplicaNão se aplicaNão se aplica",Mercado_Receita!$N$2:$N$1156)</f>
        <v>4832.1909999999998</v>
      </c>
      <c r="J21" s="13">
        <f>SUMIF(Mercado_Receita!$T$2:$T$1156,"44531B2Energia convencionalRuralNão se aplicaNão se aplicaNão se aplicaNão se aplica",Mercado_Receita!$N$2:$N$1156)</f>
        <v>4668.2359999999999</v>
      </c>
      <c r="K21" s="13">
        <f>SUMIF(Mercado_Receita!$T$2:$T$1156,"44562B2Energia convencionalRuralNão se aplicaNão se aplicaNão se aplicaNão se aplica",Mercado_Receita!$N$2:$N$1156)</f>
        <v>4754.4780000000001</v>
      </c>
      <c r="L21" s="13">
        <f>SUMIF(Mercado_Receita!$T$2:$T$1156,"44593B2Energia convencionalRuralNão se aplicaNão se aplicaNão se aplicaNão se aplica",Mercado_Receita!$N$2:$N$1156)</f>
        <v>4828.9259999999995</v>
      </c>
      <c r="M21" s="13">
        <f>SUMIF(Mercado_Receita!$T$2:$T$1156,"44621B2Energia convencionalRuralNão se aplicaNão se aplicaNão se aplicaNão se aplica",Mercado_Receita!$N$2:$N$1156)</f>
        <v>4625.665</v>
      </c>
      <c r="N21" s="13">
        <f>SUMIF(Mercado_Receita!$T$2:$T$1156,"44652B2Energia convencionalRuralNão se aplicaNão se aplicaNão se aplicaNão se aplica",Mercado_Receita!$N$2:$N$1156)</f>
        <v>4625.665</v>
      </c>
      <c r="O21" s="13">
        <f>SUMIF(Mercado_Receita!$T$2:$T$1156,"44682B2Energia convencionalRuralNão se aplicaNão se aplicaNão se aplicaNão se aplica",Mercado_Receita!$N$2:$N$1156)</f>
        <v>4478.04</v>
      </c>
      <c r="P21" s="13">
        <f>SUMIF(Mercado_Receita!$T$2:$T$1156,"44713B2Energia convencionalRuralNão se aplicaNão se aplicaNão se aplicaNão se aplica",Mercado_Receita!$N$2:$N$1156)</f>
        <v>4164.9710000000005</v>
      </c>
      <c r="Q21" s="13">
        <f>SUMIF(Mercado_Receita!$T$2:$T$1156,"44743B2Energia convencionalRuralNão se aplicaNão se aplicaNão se aplicaNão se aplica",Mercado_Receita!$N$2:$N$1156)</f>
        <v>4060.9649999999997</v>
      </c>
      <c r="R21" s="13">
        <f>SUMIF(Mercado_Receita!$T$2:$T$1156,"44774B2Energia convencionalRuralNão se aplicaNão se aplicaNão se aplicaNão se aplica",Mercado_Receita!$N$2:$N$1156)</f>
        <v>4662.598</v>
      </c>
      <c r="S21" s="13">
        <f>SUMIF(Mercado_Receita!$T$2:$T$1156,"44805B2Energia convencionalRuralNão se aplicaNão se aplicaNão se aplicaNão se aplica",Mercado_Receita!$N$2:$N$1156)</f>
        <v>4557.857</v>
      </c>
      <c r="T21" s="13">
        <f>SUMIF(Mercado_Receita!$T$2:$T$1156,"44835B2Energia convencionalRuralNão se aplicaNão se aplicaNão se aplicaNão se aplica",Mercado_Receita!$N$2:$N$1156)</f>
        <v>4557.857</v>
      </c>
      <c r="U21" s="13">
        <f t="shared" si="0"/>
        <v>54817.448999999993</v>
      </c>
      <c r="V21" s="13"/>
      <c r="W21" s="13"/>
    </row>
    <row r="22" spans="1:23" ht="11.25" customHeight="1" x14ac:dyDescent="0.25">
      <c r="A22" s="93"/>
      <c r="B22" s="92" t="s">
        <v>71</v>
      </c>
      <c r="C22" s="92" t="s">
        <v>44</v>
      </c>
      <c r="D22" s="92" t="s">
        <v>88</v>
      </c>
      <c r="E22" s="92" t="s">
        <v>25</v>
      </c>
      <c r="F22" s="92" t="s">
        <v>25</v>
      </c>
      <c r="G22" s="13" t="s">
        <v>73</v>
      </c>
      <c r="H22" s="13" t="s">
        <v>72</v>
      </c>
      <c r="I22" s="13">
        <f>SUMIF(Mercado_Receita!$T$2:$T$1156,"44501B2Energia horáriaRuralCooperativa de eletrificação ruralNão se aplicaNão se aplicaPonta",Mercado_Receita!$N$2:$N$1156)</f>
        <v>0</v>
      </c>
      <c r="J22" s="13">
        <f>SUMIF(Mercado_Receita!$T$2:$T$1156,"44531B2Energia horáriaRuralCooperativa de eletrificação ruralNão se aplicaNão se aplicaPonta",Mercado_Receita!$N$2:$N$1156)</f>
        <v>0</v>
      </c>
      <c r="K22" s="13">
        <f>SUMIF(Mercado_Receita!$T$2:$T$1156,"44562B2Energia horáriaRuralCooperativa de eletrificação ruralNão se aplicaNão se aplicaPonta",Mercado_Receita!$N$2:$N$1156)</f>
        <v>0</v>
      </c>
      <c r="L22" s="13">
        <f>SUMIF(Mercado_Receita!$T$2:$T$1156,"44593B2Energia horáriaRuralCooperativa de eletrificação ruralNão se aplicaNão se aplicaPonta",Mercado_Receita!$N$2:$N$1156)</f>
        <v>0</v>
      </c>
      <c r="M22" s="13">
        <f>SUMIF(Mercado_Receita!$T$2:$T$1156,"44621B2Energia horáriaRuralCooperativa de eletrificação ruralNão se aplicaNão se aplicaPonta",Mercado_Receita!$N$2:$N$1156)</f>
        <v>0</v>
      </c>
      <c r="N22" s="13">
        <f>SUMIF(Mercado_Receita!$T$2:$T$1156,"44652B2Energia horáriaRuralCooperativa de eletrificação ruralNão se aplicaNão se aplicaPonta",Mercado_Receita!$N$2:$N$1156)</f>
        <v>0</v>
      </c>
      <c r="O22" s="13">
        <f>SUMIF(Mercado_Receita!$T$2:$T$1156,"44682B2Energia horáriaRuralCooperativa de eletrificação ruralNão se aplicaNão se aplicaPonta",Mercado_Receita!$N$2:$N$1156)</f>
        <v>0</v>
      </c>
      <c r="P22" s="13">
        <f>SUMIF(Mercado_Receita!$T$2:$T$1156,"44713B2Energia horáriaRuralCooperativa de eletrificação ruralNão se aplicaNão se aplicaPonta",Mercado_Receita!$N$2:$N$1156)</f>
        <v>0</v>
      </c>
      <c r="Q22" s="13">
        <f>SUMIF(Mercado_Receita!$T$2:$T$1156,"44743B2Energia horáriaRuralCooperativa de eletrificação ruralNão se aplicaNão se aplicaPonta",Mercado_Receita!$N$2:$N$1156)</f>
        <v>0</v>
      </c>
      <c r="R22" s="13">
        <f>SUMIF(Mercado_Receita!$T$2:$T$1156,"44774B2Energia horáriaRuralCooperativa de eletrificação ruralNão se aplicaNão se aplicaPonta",Mercado_Receita!$N$2:$N$1156)</f>
        <v>0</v>
      </c>
      <c r="S22" s="13">
        <f>SUMIF(Mercado_Receita!$T$2:$T$1156,"44805B2Energia horáriaRuralCooperativa de eletrificação ruralNão se aplicaNão se aplicaPonta",Mercado_Receita!$N$2:$N$1156)</f>
        <v>0</v>
      </c>
      <c r="T22" s="13">
        <f>SUMIF(Mercado_Receita!$T$2:$T$1156,"44835B2Energia horáriaRuralCooperativa de eletrificação ruralNão se aplicaNão se aplicaPonta",Mercado_Receita!$N$2:$N$1156)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3"/>
      <c r="B23" s="93"/>
      <c r="C23" s="93"/>
      <c r="D23" s="93"/>
      <c r="E23" s="93"/>
      <c r="F23" s="93"/>
      <c r="G23" s="13" t="s">
        <v>85</v>
      </c>
      <c r="H23" s="13" t="s">
        <v>72</v>
      </c>
      <c r="I23" s="13">
        <f>SUMIF(Mercado_Receita!$T$2:$T$1156,"44501B2Energia horáriaRuralCooperativa de eletrificação ruralNão se aplicaNão se aplicaIntermediário",Mercado_Receita!$N$2:$N$1156)</f>
        <v>0</v>
      </c>
      <c r="J23" s="13">
        <f>SUMIF(Mercado_Receita!$T$2:$T$1156,"44531B2Energia horáriaRuralCooperativa de eletrificação ruralNão se aplicaNão se aplicaIntermediário",Mercado_Receita!$N$2:$N$1156)</f>
        <v>0</v>
      </c>
      <c r="K23" s="13">
        <f>SUMIF(Mercado_Receita!$T$2:$T$1156,"44562B2Energia horáriaRuralCooperativa de eletrificação ruralNão se aplicaNão se aplicaIntermediário",Mercado_Receita!$N$2:$N$1156)</f>
        <v>0</v>
      </c>
      <c r="L23" s="13">
        <f>SUMIF(Mercado_Receita!$T$2:$T$1156,"44593B2Energia horáriaRuralCooperativa de eletrificação ruralNão se aplicaNão se aplicaIntermediário",Mercado_Receita!$N$2:$N$1156)</f>
        <v>0</v>
      </c>
      <c r="M23" s="13">
        <f>SUMIF(Mercado_Receita!$T$2:$T$1156,"44621B2Energia horáriaRuralCooperativa de eletrificação ruralNão se aplicaNão se aplicaIntermediário",Mercado_Receita!$N$2:$N$1156)</f>
        <v>0</v>
      </c>
      <c r="N23" s="13">
        <f>SUMIF(Mercado_Receita!$T$2:$T$1156,"44652B2Energia horáriaRuralCooperativa de eletrificação ruralNão se aplicaNão se aplicaIntermediário",Mercado_Receita!$N$2:$N$1156)</f>
        <v>0</v>
      </c>
      <c r="O23" s="13">
        <f>SUMIF(Mercado_Receita!$T$2:$T$1156,"44682B2Energia horáriaRuralCooperativa de eletrificação ruralNão se aplicaNão se aplicaIntermediário",Mercado_Receita!$N$2:$N$1156)</f>
        <v>0</v>
      </c>
      <c r="P23" s="13">
        <f>SUMIF(Mercado_Receita!$T$2:$T$1156,"44713B2Energia horáriaRuralCooperativa de eletrificação ruralNão se aplicaNão se aplicaIntermediário",Mercado_Receita!$N$2:$N$1156)</f>
        <v>0</v>
      </c>
      <c r="Q23" s="13">
        <f>SUMIF(Mercado_Receita!$T$2:$T$1156,"44743B2Energia horáriaRuralCooperativa de eletrificação ruralNão se aplicaNão se aplicaIntermediário",Mercado_Receita!$N$2:$N$1156)</f>
        <v>0</v>
      </c>
      <c r="R23" s="13">
        <f>SUMIF(Mercado_Receita!$T$2:$T$1156,"44774B2Energia horáriaRuralCooperativa de eletrificação ruralNão se aplicaNão se aplicaIntermediário",Mercado_Receita!$N$2:$N$1156)</f>
        <v>0</v>
      </c>
      <c r="S23" s="13">
        <f>SUMIF(Mercado_Receita!$T$2:$T$1156,"44805B2Energia horáriaRuralCooperativa de eletrificação ruralNão se aplicaNão se aplicaIntermediário",Mercado_Receita!$N$2:$N$1156)</f>
        <v>0</v>
      </c>
      <c r="T23" s="13">
        <f>SUMIF(Mercado_Receita!$T$2:$T$1156,"44835B2Energia horáriaRuralCooperativa de eletrificação ruralNão se aplicaNão se aplicaIntermediário",Mercado_Receita!$N$2:$N$1156)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3"/>
      <c r="B24" s="93"/>
      <c r="C24" s="93"/>
      <c r="D24" s="93"/>
      <c r="E24" s="93"/>
      <c r="F24" s="93"/>
      <c r="G24" s="13" t="s">
        <v>74</v>
      </c>
      <c r="H24" s="13" t="s">
        <v>72</v>
      </c>
      <c r="I24" s="13">
        <f>SUMIF(Mercado_Receita!$T$2:$T$1156,"44501B2Energia horáriaRuralCooperativa de eletrificação ruralNão se aplicaNão se aplicaFora ponta",Mercado_Receita!$N$2:$N$1156)</f>
        <v>0</v>
      </c>
      <c r="J24" s="13">
        <f>SUMIF(Mercado_Receita!$T$2:$T$1156,"44531B2Energia horáriaRuralCooperativa de eletrificação ruralNão se aplicaNão se aplicaFora ponta",Mercado_Receita!$N$2:$N$1156)</f>
        <v>0</v>
      </c>
      <c r="K24" s="13">
        <f>SUMIF(Mercado_Receita!$T$2:$T$1156,"44562B2Energia horáriaRuralCooperativa de eletrificação ruralNão se aplicaNão se aplicaFora ponta",Mercado_Receita!$N$2:$N$1156)</f>
        <v>0</v>
      </c>
      <c r="L24" s="13">
        <f>SUMIF(Mercado_Receita!$T$2:$T$1156,"44593B2Energia horáriaRuralCooperativa de eletrificação ruralNão se aplicaNão se aplicaFora ponta",Mercado_Receita!$N$2:$N$1156)</f>
        <v>0</v>
      </c>
      <c r="M24" s="13">
        <f>SUMIF(Mercado_Receita!$T$2:$T$1156,"44621B2Energia horáriaRuralCooperativa de eletrificação ruralNão se aplicaNão se aplicaFora ponta",Mercado_Receita!$N$2:$N$1156)</f>
        <v>0</v>
      </c>
      <c r="N24" s="13">
        <f>SUMIF(Mercado_Receita!$T$2:$T$1156,"44652B2Energia horáriaRuralCooperativa de eletrificação ruralNão se aplicaNão se aplicaFora ponta",Mercado_Receita!$N$2:$N$1156)</f>
        <v>0</v>
      </c>
      <c r="O24" s="13">
        <f>SUMIF(Mercado_Receita!$T$2:$T$1156,"44682B2Energia horáriaRuralCooperativa de eletrificação ruralNão se aplicaNão se aplicaFora ponta",Mercado_Receita!$N$2:$N$1156)</f>
        <v>0</v>
      </c>
      <c r="P24" s="13">
        <f>SUMIF(Mercado_Receita!$T$2:$T$1156,"44713B2Energia horáriaRuralCooperativa de eletrificação ruralNão se aplicaNão se aplicaFora ponta",Mercado_Receita!$N$2:$N$1156)</f>
        <v>0</v>
      </c>
      <c r="Q24" s="13">
        <f>SUMIF(Mercado_Receita!$T$2:$T$1156,"44743B2Energia horáriaRuralCooperativa de eletrificação ruralNão se aplicaNão se aplicaFora ponta",Mercado_Receita!$N$2:$N$1156)</f>
        <v>0</v>
      </c>
      <c r="R24" s="13">
        <f>SUMIF(Mercado_Receita!$T$2:$T$1156,"44774B2Energia horáriaRuralCooperativa de eletrificação ruralNão se aplicaNão se aplicaFora ponta",Mercado_Receita!$N$2:$N$1156)</f>
        <v>0</v>
      </c>
      <c r="S24" s="13">
        <f>SUMIF(Mercado_Receita!$T$2:$T$1156,"44805B2Energia horáriaRuralCooperativa de eletrificação ruralNão se aplicaNão se aplicaFora ponta",Mercado_Receita!$N$2:$N$1156)</f>
        <v>0</v>
      </c>
      <c r="T24" s="13">
        <f>SUMIF(Mercado_Receita!$T$2:$T$1156,"44835B2Energia horáriaRuralCooperativa de eletrificação ruralNão se aplicaNão se aplicaFora ponta",Mercado_Receita!$N$2:$N$1156)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3"/>
      <c r="B25" s="12" t="s">
        <v>75</v>
      </c>
      <c r="C25" s="12" t="s">
        <v>44</v>
      </c>
      <c r="D25" s="12" t="s">
        <v>88</v>
      </c>
      <c r="E25" s="12" t="s">
        <v>25</v>
      </c>
      <c r="F25" s="12" t="s">
        <v>25</v>
      </c>
      <c r="G25" s="13" t="s">
        <v>76</v>
      </c>
      <c r="H25" s="13" t="s">
        <v>72</v>
      </c>
      <c r="I25" s="13">
        <f>SUMIF(Mercado_Receita!$T$2:$T$1156,"44501B2Energia convencionalRuralCooperativa de eletrificação ruralNão se aplicaNão se aplicaNão se aplica",Mercado_Receita!$N$2:$N$1156)</f>
        <v>0</v>
      </c>
      <c r="J25" s="13">
        <f>SUMIF(Mercado_Receita!$T$2:$T$1156,"44531B2Energia convencionalRuralCooperativa de eletrificação ruralNão se aplicaNão se aplicaNão se aplica",Mercado_Receita!$N$2:$N$1156)</f>
        <v>0</v>
      </c>
      <c r="K25" s="13">
        <f>SUMIF(Mercado_Receita!$T$2:$T$1156,"44562B2Energia convencionalRuralCooperativa de eletrificação ruralNão se aplicaNão se aplicaNão se aplica",Mercado_Receita!$N$2:$N$1156)</f>
        <v>0</v>
      </c>
      <c r="L25" s="13">
        <f>SUMIF(Mercado_Receita!$T$2:$T$1156,"44593B2Energia convencionalRuralCooperativa de eletrificação ruralNão se aplicaNão se aplicaNão se aplica",Mercado_Receita!$N$2:$N$1156)</f>
        <v>0</v>
      </c>
      <c r="M25" s="13">
        <f>SUMIF(Mercado_Receita!$T$2:$T$1156,"44621B2Energia convencionalRuralCooperativa de eletrificação ruralNão se aplicaNão se aplicaNão se aplica",Mercado_Receita!$N$2:$N$1156)</f>
        <v>0</v>
      </c>
      <c r="N25" s="13">
        <f>SUMIF(Mercado_Receita!$T$2:$T$1156,"44652B2Energia convencionalRuralCooperativa de eletrificação ruralNão se aplicaNão se aplicaNão se aplica",Mercado_Receita!$N$2:$N$1156)</f>
        <v>0</v>
      </c>
      <c r="O25" s="13">
        <f>SUMIF(Mercado_Receita!$T$2:$T$1156,"44682B2Energia convencionalRuralCooperativa de eletrificação ruralNão se aplicaNão se aplicaNão se aplica",Mercado_Receita!$N$2:$N$1156)</f>
        <v>0</v>
      </c>
      <c r="P25" s="13">
        <f>SUMIF(Mercado_Receita!$T$2:$T$1156,"44713B2Energia convencionalRuralCooperativa de eletrificação ruralNão se aplicaNão se aplicaNão se aplica",Mercado_Receita!$N$2:$N$1156)</f>
        <v>0</v>
      </c>
      <c r="Q25" s="13">
        <f>SUMIF(Mercado_Receita!$T$2:$T$1156,"44743B2Energia convencionalRuralCooperativa de eletrificação ruralNão se aplicaNão se aplicaNão se aplica",Mercado_Receita!$N$2:$N$1156)</f>
        <v>0</v>
      </c>
      <c r="R25" s="13">
        <f>SUMIF(Mercado_Receita!$T$2:$T$1156,"44774B2Energia convencionalRuralCooperativa de eletrificação ruralNão se aplicaNão se aplicaNão se aplica",Mercado_Receita!$N$2:$N$1156)</f>
        <v>0</v>
      </c>
      <c r="S25" s="13">
        <f>SUMIF(Mercado_Receita!$T$2:$T$1156,"44805B2Energia convencionalRuralCooperativa de eletrificação ruralNão se aplicaNão se aplicaNão se aplica",Mercado_Receita!$N$2:$N$1156)</f>
        <v>0</v>
      </c>
      <c r="T25" s="13">
        <f>SUMIF(Mercado_Receita!$T$2:$T$1156,"44835B2Energia convencionalRuralCooperativa de eletrificação ruralNão se aplicaNão se aplicaNão se aplica",Mercado_Receita!$N$2:$N$1156)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3"/>
      <c r="B26" s="92" t="s">
        <v>71</v>
      </c>
      <c r="C26" s="92" t="s">
        <v>44</v>
      </c>
      <c r="D26" s="92" t="s">
        <v>89</v>
      </c>
      <c r="E26" s="92" t="s">
        <v>25</v>
      </c>
      <c r="F26" s="92" t="s">
        <v>25</v>
      </c>
      <c r="G26" s="13" t="s">
        <v>73</v>
      </c>
      <c r="H26" s="13" t="s">
        <v>72</v>
      </c>
      <c r="I26" s="13">
        <f>SUMIF(Mercado_Receita!$T$2:$T$1156,"44501B2Energia horáriaRuralServiço público de irrigação ruralNão se aplicaNão se aplicaPonta",Mercado_Receita!$N$2:$N$1156)</f>
        <v>0</v>
      </c>
      <c r="J26" s="13">
        <f>SUMIF(Mercado_Receita!$T$2:$T$1156,"44531B2Energia horáriaRuralServiço público de irrigação ruralNão se aplicaNão se aplicaPonta",Mercado_Receita!$N$2:$N$1156)</f>
        <v>0</v>
      </c>
      <c r="K26" s="13">
        <f>SUMIF(Mercado_Receita!$T$2:$T$1156,"44562B2Energia horáriaRuralServiço público de irrigação ruralNão se aplicaNão se aplicaPonta",Mercado_Receita!$N$2:$N$1156)</f>
        <v>0</v>
      </c>
      <c r="L26" s="13">
        <f>SUMIF(Mercado_Receita!$T$2:$T$1156,"44593B2Energia horáriaRuralServiço público de irrigação ruralNão se aplicaNão se aplicaPonta",Mercado_Receita!$N$2:$N$1156)</f>
        <v>0</v>
      </c>
      <c r="M26" s="13">
        <f>SUMIF(Mercado_Receita!$T$2:$T$1156,"44621B2Energia horáriaRuralServiço público de irrigação ruralNão se aplicaNão se aplicaPonta",Mercado_Receita!$N$2:$N$1156)</f>
        <v>0</v>
      </c>
      <c r="N26" s="13">
        <f>SUMIF(Mercado_Receita!$T$2:$T$1156,"44652B2Energia horáriaRuralServiço público de irrigação ruralNão se aplicaNão se aplicaPonta",Mercado_Receita!$N$2:$N$1156)</f>
        <v>0</v>
      </c>
      <c r="O26" s="13">
        <f>SUMIF(Mercado_Receita!$T$2:$T$1156,"44682B2Energia horáriaRuralServiço público de irrigação ruralNão se aplicaNão se aplicaPonta",Mercado_Receita!$N$2:$N$1156)</f>
        <v>0</v>
      </c>
      <c r="P26" s="13">
        <f>SUMIF(Mercado_Receita!$T$2:$T$1156,"44713B2Energia horáriaRuralServiço público de irrigação ruralNão se aplicaNão se aplicaPonta",Mercado_Receita!$N$2:$N$1156)</f>
        <v>0</v>
      </c>
      <c r="Q26" s="13">
        <f>SUMIF(Mercado_Receita!$T$2:$T$1156,"44743B2Energia horáriaRuralServiço público de irrigação ruralNão se aplicaNão se aplicaPonta",Mercado_Receita!$N$2:$N$1156)</f>
        <v>0</v>
      </c>
      <c r="R26" s="13">
        <f>SUMIF(Mercado_Receita!$T$2:$T$1156,"44774B2Energia horáriaRuralServiço público de irrigação ruralNão se aplicaNão se aplicaPonta",Mercado_Receita!$N$2:$N$1156)</f>
        <v>0</v>
      </c>
      <c r="S26" s="13">
        <f>SUMIF(Mercado_Receita!$T$2:$T$1156,"44805B2Energia horáriaRuralServiço público de irrigação ruralNão se aplicaNão se aplicaPonta",Mercado_Receita!$N$2:$N$1156)</f>
        <v>0</v>
      </c>
      <c r="T26" s="13">
        <f>SUMIF(Mercado_Receita!$T$2:$T$1156,"44835B2Energia horáriaRuralServiço público de irrigação ruralNão se aplicaNão se aplicaPonta",Mercado_Receita!$N$2:$N$1156)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3"/>
      <c r="B27" s="93"/>
      <c r="C27" s="93"/>
      <c r="D27" s="93"/>
      <c r="E27" s="93"/>
      <c r="F27" s="93"/>
      <c r="G27" s="13" t="s">
        <v>85</v>
      </c>
      <c r="H27" s="13" t="s">
        <v>72</v>
      </c>
      <c r="I27" s="13">
        <f>SUMIF(Mercado_Receita!$T$2:$T$1156,"44501B2Energia horáriaRuralServiço público de irrigação ruralNão se aplicaNão se aplicaIntermediário",Mercado_Receita!$N$2:$N$1156)</f>
        <v>0</v>
      </c>
      <c r="J27" s="13">
        <f>SUMIF(Mercado_Receita!$T$2:$T$1156,"44531B2Energia horáriaRuralServiço público de irrigação ruralNão se aplicaNão se aplicaIntermediário",Mercado_Receita!$N$2:$N$1156)</f>
        <v>0</v>
      </c>
      <c r="K27" s="13">
        <f>SUMIF(Mercado_Receita!$T$2:$T$1156,"44562B2Energia horáriaRuralServiço público de irrigação ruralNão se aplicaNão se aplicaIntermediário",Mercado_Receita!$N$2:$N$1156)</f>
        <v>0</v>
      </c>
      <c r="L27" s="13">
        <f>SUMIF(Mercado_Receita!$T$2:$T$1156,"44593B2Energia horáriaRuralServiço público de irrigação ruralNão se aplicaNão se aplicaIntermediário",Mercado_Receita!$N$2:$N$1156)</f>
        <v>0</v>
      </c>
      <c r="M27" s="13">
        <f>SUMIF(Mercado_Receita!$T$2:$T$1156,"44621B2Energia horáriaRuralServiço público de irrigação ruralNão se aplicaNão se aplicaIntermediário",Mercado_Receita!$N$2:$N$1156)</f>
        <v>0</v>
      </c>
      <c r="N27" s="13">
        <f>SUMIF(Mercado_Receita!$T$2:$T$1156,"44652B2Energia horáriaRuralServiço público de irrigação ruralNão se aplicaNão se aplicaIntermediário",Mercado_Receita!$N$2:$N$1156)</f>
        <v>0</v>
      </c>
      <c r="O27" s="13">
        <f>SUMIF(Mercado_Receita!$T$2:$T$1156,"44682B2Energia horáriaRuralServiço público de irrigação ruralNão se aplicaNão se aplicaIntermediário",Mercado_Receita!$N$2:$N$1156)</f>
        <v>0</v>
      </c>
      <c r="P27" s="13">
        <f>SUMIF(Mercado_Receita!$T$2:$T$1156,"44713B2Energia horáriaRuralServiço público de irrigação ruralNão se aplicaNão se aplicaIntermediário",Mercado_Receita!$N$2:$N$1156)</f>
        <v>0</v>
      </c>
      <c r="Q27" s="13">
        <f>SUMIF(Mercado_Receita!$T$2:$T$1156,"44743B2Energia horáriaRuralServiço público de irrigação ruralNão se aplicaNão se aplicaIntermediário",Mercado_Receita!$N$2:$N$1156)</f>
        <v>0</v>
      </c>
      <c r="R27" s="13">
        <f>SUMIF(Mercado_Receita!$T$2:$T$1156,"44774B2Energia horáriaRuralServiço público de irrigação ruralNão se aplicaNão se aplicaIntermediário",Mercado_Receita!$N$2:$N$1156)</f>
        <v>0</v>
      </c>
      <c r="S27" s="13">
        <f>SUMIF(Mercado_Receita!$T$2:$T$1156,"44805B2Energia horáriaRuralServiço público de irrigação ruralNão se aplicaNão se aplicaIntermediário",Mercado_Receita!$N$2:$N$1156)</f>
        <v>0</v>
      </c>
      <c r="T27" s="13">
        <f>SUMIF(Mercado_Receita!$T$2:$T$1156,"44835B2Energia horáriaRuralServiço público de irrigação ruralNão se aplicaNão se aplicaIntermediário",Mercado_Receita!$N$2:$N$1156)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3"/>
      <c r="B28" s="93"/>
      <c r="C28" s="93"/>
      <c r="D28" s="93"/>
      <c r="E28" s="93"/>
      <c r="F28" s="93"/>
      <c r="G28" s="13" t="s">
        <v>74</v>
      </c>
      <c r="H28" s="13" t="s">
        <v>72</v>
      </c>
      <c r="I28" s="13">
        <f>SUMIF(Mercado_Receita!$T$2:$T$1156,"44501B2Energia horáriaRuralServiço público de irrigação ruralNão se aplicaNão se aplicaFora ponta",Mercado_Receita!$N$2:$N$1156)</f>
        <v>0</v>
      </c>
      <c r="J28" s="13">
        <f>SUMIF(Mercado_Receita!$T$2:$T$1156,"44531B2Energia horáriaRuralServiço público de irrigação ruralNão se aplicaNão se aplicaFora ponta",Mercado_Receita!$N$2:$N$1156)</f>
        <v>0</v>
      </c>
      <c r="K28" s="13">
        <f>SUMIF(Mercado_Receita!$T$2:$T$1156,"44562B2Energia horáriaRuralServiço público de irrigação ruralNão se aplicaNão se aplicaFora ponta",Mercado_Receita!$N$2:$N$1156)</f>
        <v>0</v>
      </c>
      <c r="L28" s="13">
        <f>SUMIF(Mercado_Receita!$T$2:$T$1156,"44593B2Energia horáriaRuralServiço público de irrigação ruralNão se aplicaNão se aplicaFora ponta",Mercado_Receita!$N$2:$N$1156)</f>
        <v>0</v>
      </c>
      <c r="M28" s="13">
        <f>SUMIF(Mercado_Receita!$T$2:$T$1156,"44621B2Energia horáriaRuralServiço público de irrigação ruralNão se aplicaNão se aplicaFora ponta",Mercado_Receita!$N$2:$N$1156)</f>
        <v>0</v>
      </c>
      <c r="N28" s="13">
        <f>SUMIF(Mercado_Receita!$T$2:$T$1156,"44652B2Energia horáriaRuralServiço público de irrigação ruralNão se aplicaNão se aplicaFora ponta",Mercado_Receita!$N$2:$N$1156)</f>
        <v>0</v>
      </c>
      <c r="O28" s="13">
        <f>SUMIF(Mercado_Receita!$T$2:$T$1156,"44682B2Energia horáriaRuralServiço público de irrigação ruralNão se aplicaNão se aplicaFora ponta",Mercado_Receita!$N$2:$N$1156)</f>
        <v>0</v>
      </c>
      <c r="P28" s="13">
        <f>SUMIF(Mercado_Receita!$T$2:$T$1156,"44713B2Energia horáriaRuralServiço público de irrigação ruralNão se aplicaNão se aplicaFora ponta",Mercado_Receita!$N$2:$N$1156)</f>
        <v>0</v>
      </c>
      <c r="Q28" s="13">
        <f>SUMIF(Mercado_Receita!$T$2:$T$1156,"44743B2Energia horáriaRuralServiço público de irrigação ruralNão se aplicaNão se aplicaFora ponta",Mercado_Receita!$N$2:$N$1156)</f>
        <v>0</v>
      </c>
      <c r="R28" s="13">
        <f>SUMIF(Mercado_Receita!$T$2:$T$1156,"44774B2Energia horáriaRuralServiço público de irrigação ruralNão se aplicaNão se aplicaFora ponta",Mercado_Receita!$N$2:$N$1156)</f>
        <v>0</v>
      </c>
      <c r="S28" s="13">
        <f>SUMIF(Mercado_Receita!$T$2:$T$1156,"44805B2Energia horáriaRuralServiço público de irrigação ruralNão se aplicaNão se aplicaFora ponta",Mercado_Receita!$N$2:$N$1156)</f>
        <v>0</v>
      </c>
      <c r="T28" s="13">
        <f>SUMIF(Mercado_Receita!$T$2:$T$1156,"44835B2Energia horáriaRuralServiço público de irrigação ruralNão se aplicaNão se aplicaFora ponta",Mercado_Receita!$N$2:$N$1156)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3"/>
      <c r="B29" s="12" t="s">
        <v>75</v>
      </c>
      <c r="C29" s="12" t="s">
        <v>44</v>
      </c>
      <c r="D29" s="12" t="s">
        <v>89</v>
      </c>
      <c r="E29" s="12" t="s">
        <v>25</v>
      </c>
      <c r="F29" s="12" t="s">
        <v>25</v>
      </c>
      <c r="G29" s="13" t="s">
        <v>76</v>
      </c>
      <c r="H29" s="13" t="s">
        <v>72</v>
      </c>
      <c r="I29" s="13">
        <f>SUMIF(Mercado_Receita!$T$2:$T$1156,"44501B2Energia convencionalRuralServiço público de irrigação ruralNão se aplicaNão se aplicaNão se aplica",Mercado_Receita!$N$2:$N$1156)</f>
        <v>0</v>
      </c>
      <c r="J29" s="13">
        <f>SUMIF(Mercado_Receita!$T$2:$T$1156,"44531B2Energia convencionalRuralServiço público de irrigação ruralNão se aplicaNão se aplicaNão se aplica",Mercado_Receita!$N$2:$N$1156)</f>
        <v>0</v>
      </c>
      <c r="K29" s="13">
        <f>SUMIF(Mercado_Receita!$T$2:$T$1156,"44562B2Energia convencionalRuralServiço público de irrigação ruralNão se aplicaNão se aplicaNão se aplica",Mercado_Receita!$N$2:$N$1156)</f>
        <v>0</v>
      </c>
      <c r="L29" s="13">
        <f>SUMIF(Mercado_Receita!$T$2:$T$1156,"44593B2Energia convencionalRuralServiço público de irrigação ruralNão se aplicaNão se aplicaNão se aplica",Mercado_Receita!$N$2:$N$1156)</f>
        <v>0</v>
      </c>
      <c r="M29" s="13">
        <f>SUMIF(Mercado_Receita!$T$2:$T$1156,"44621B2Energia convencionalRuralServiço público de irrigação ruralNão se aplicaNão se aplicaNão se aplica",Mercado_Receita!$N$2:$N$1156)</f>
        <v>0</v>
      </c>
      <c r="N29" s="13">
        <f>SUMIF(Mercado_Receita!$T$2:$T$1156,"44652B2Energia convencionalRuralServiço público de irrigação ruralNão se aplicaNão se aplicaNão se aplica",Mercado_Receita!$N$2:$N$1156)</f>
        <v>0</v>
      </c>
      <c r="O29" s="13">
        <f>SUMIF(Mercado_Receita!$T$2:$T$1156,"44682B2Energia convencionalRuralServiço público de irrigação ruralNão se aplicaNão se aplicaNão se aplica",Mercado_Receita!$N$2:$N$1156)</f>
        <v>0</v>
      </c>
      <c r="P29" s="13">
        <f>SUMIF(Mercado_Receita!$T$2:$T$1156,"44713B2Energia convencionalRuralServiço público de irrigação ruralNão se aplicaNão se aplicaNão se aplica",Mercado_Receita!$N$2:$N$1156)</f>
        <v>0</v>
      </c>
      <c r="Q29" s="13">
        <f>SUMIF(Mercado_Receita!$T$2:$T$1156,"44743B2Energia convencionalRuralServiço público de irrigação ruralNão se aplicaNão se aplicaNão se aplica",Mercado_Receita!$N$2:$N$1156)</f>
        <v>0</v>
      </c>
      <c r="R29" s="13">
        <f>SUMIF(Mercado_Receita!$T$2:$T$1156,"44774B2Energia convencionalRuralServiço público de irrigação ruralNão se aplicaNão se aplicaNão se aplica",Mercado_Receita!$N$2:$N$1156)</f>
        <v>0</v>
      </c>
      <c r="S29" s="13">
        <f>SUMIF(Mercado_Receita!$T$2:$T$1156,"44805B2Energia convencionalRuralServiço público de irrigação ruralNão se aplicaNão se aplicaNão se aplica",Mercado_Receita!$N$2:$N$1156)</f>
        <v>0</v>
      </c>
      <c r="T29" s="13">
        <f>SUMIF(Mercado_Receita!$T$2:$T$1156,"44835B2Energia convencionalRuralServiço público de irrigação ruralNão se aplicaNão se aplicaNão se aplica",Mercado_Receita!$N$2:$N$1156)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3"/>
      <c r="B30" s="92" t="s">
        <v>86</v>
      </c>
      <c r="C30" s="92" t="s">
        <v>44</v>
      </c>
      <c r="D30" s="12" t="s">
        <v>25</v>
      </c>
      <c r="E30" s="12" t="s">
        <v>25</v>
      </c>
      <c r="F30" s="12" t="s">
        <v>25</v>
      </c>
      <c r="G30" s="13" t="s">
        <v>76</v>
      </c>
      <c r="H30" s="13" t="s">
        <v>72</v>
      </c>
      <c r="I30" s="13">
        <f>SUMIF(Mercado_Receita!$T$2:$T$1156,"44501B2Energia convencional pré-pagamentoRuralNão se aplicaNão se aplicaNão se aplicaNão se aplica",Mercado_Receita!$N$2:$N$1156)</f>
        <v>0</v>
      </c>
      <c r="J30" s="13">
        <f>SUMIF(Mercado_Receita!$T$2:$T$1156,"44531B2Energia convencional pré-pagamentoRuralNão se aplicaNão se aplicaNão se aplicaNão se aplica",Mercado_Receita!$N$2:$N$1156)</f>
        <v>0</v>
      </c>
      <c r="K30" s="13">
        <f>SUMIF(Mercado_Receita!$T$2:$T$1156,"44562B2Energia convencional pré-pagamentoRuralNão se aplicaNão se aplicaNão se aplicaNão se aplica",Mercado_Receita!$N$2:$N$1156)</f>
        <v>0</v>
      </c>
      <c r="L30" s="13">
        <f>SUMIF(Mercado_Receita!$T$2:$T$1156,"44593B2Energia convencional pré-pagamentoRuralNão se aplicaNão se aplicaNão se aplicaNão se aplica",Mercado_Receita!$N$2:$N$1156)</f>
        <v>0</v>
      </c>
      <c r="M30" s="13">
        <f>SUMIF(Mercado_Receita!$T$2:$T$1156,"44621B2Energia convencional pré-pagamentoRuralNão se aplicaNão se aplicaNão se aplicaNão se aplica",Mercado_Receita!$N$2:$N$1156)</f>
        <v>0</v>
      </c>
      <c r="N30" s="13">
        <f>SUMIF(Mercado_Receita!$T$2:$T$1156,"44652B2Energia convencional pré-pagamentoRuralNão se aplicaNão se aplicaNão se aplicaNão se aplica",Mercado_Receita!$N$2:$N$1156)</f>
        <v>0</v>
      </c>
      <c r="O30" s="13">
        <f>SUMIF(Mercado_Receita!$T$2:$T$1156,"44682B2Energia convencional pré-pagamentoRuralNão se aplicaNão se aplicaNão se aplicaNão se aplica",Mercado_Receita!$N$2:$N$1156)</f>
        <v>0</v>
      </c>
      <c r="P30" s="13">
        <f>SUMIF(Mercado_Receita!$T$2:$T$1156,"44713B2Energia convencional pré-pagamentoRuralNão se aplicaNão se aplicaNão se aplicaNão se aplica",Mercado_Receita!$N$2:$N$1156)</f>
        <v>0</v>
      </c>
      <c r="Q30" s="13">
        <f>SUMIF(Mercado_Receita!$T$2:$T$1156,"44743B2Energia convencional pré-pagamentoRuralNão se aplicaNão se aplicaNão se aplicaNão se aplica",Mercado_Receita!$N$2:$N$1156)</f>
        <v>0</v>
      </c>
      <c r="R30" s="13">
        <f>SUMIF(Mercado_Receita!$T$2:$T$1156,"44774B2Energia convencional pré-pagamentoRuralNão se aplicaNão se aplicaNão se aplicaNão se aplica",Mercado_Receita!$N$2:$N$1156)</f>
        <v>0</v>
      </c>
      <c r="S30" s="13">
        <f>SUMIF(Mercado_Receita!$T$2:$T$1156,"44805B2Energia convencional pré-pagamentoRuralNão se aplicaNão se aplicaNão se aplicaNão se aplica",Mercado_Receita!$N$2:$N$1156)</f>
        <v>0</v>
      </c>
      <c r="T30" s="13">
        <f>SUMIF(Mercado_Receita!$T$2:$T$1156,"44835B2Energia convencional pré-pagamentoRuralNão se aplicaNão se aplicaNão se aplicaNão se aplica",Mercado_Receita!$N$2:$N$1156)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93"/>
      <c r="B31" s="93"/>
      <c r="C31" s="93"/>
      <c r="D31" s="12" t="s">
        <v>88</v>
      </c>
      <c r="E31" s="12" t="s">
        <v>25</v>
      </c>
      <c r="F31" s="12" t="s">
        <v>25</v>
      </c>
      <c r="G31" s="13" t="s">
        <v>76</v>
      </c>
      <c r="H31" s="13" t="s">
        <v>72</v>
      </c>
      <c r="I31" s="13">
        <f>SUMIF(Mercado_Receita!$T$2:$T$1156,"44501B2Energia convencional pré-pagamentoRuralCooperativa de eletrificação ruralNão se aplicaNão se aplicaNão se aplica",Mercado_Receita!$N$2:$N$1156)</f>
        <v>0</v>
      </c>
      <c r="J31" s="13">
        <f>SUMIF(Mercado_Receita!$T$2:$T$1156,"44531B2Energia convencional pré-pagamentoRuralCooperativa de eletrificação ruralNão se aplicaNão se aplicaNão se aplica",Mercado_Receita!$N$2:$N$1156)</f>
        <v>0</v>
      </c>
      <c r="K31" s="13">
        <f>SUMIF(Mercado_Receita!$T$2:$T$1156,"44562B2Energia convencional pré-pagamentoRuralCooperativa de eletrificação ruralNão se aplicaNão se aplicaNão se aplica",Mercado_Receita!$N$2:$N$1156)</f>
        <v>0</v>
      </c>
      <c r="L31" s="13">
        <f>SUMIF(Mercado_Receita!$T$2:$T$1156,"44593B2Energia convencional pré-pagamentoRuralCooperativa de eletrificação ruralNão se aplicaNão se aplicaNão se aplica",Mercado_Receita!$N$2:$N$1156)</f>
        <v>0</v>
      </c>
      <c r="M31" s="13">
        <f>SUMIF(Mercado_Receita!$T$2:$T$1156,"44621B2Energia convencional pré-pagamentoRuralCooperativa de eletrificação ruralNão se aplicaNão se aplicaNão se aplica",Mercado_Receita!$N$2:$N$1156)</f>
        <v>0</v>
      </c>
      <c r="N31" s="13">
        <f>SUMIF(Mercado_Receita!$T$2:$T$1156,"44652B2Energia convencional pré-pagamentoRuralCooperativa de eletrificação ruralNão se aplicaNão se aplicaNão se aplica",Mercado_Receita!$N$2:$N$1156)</f>
        <v>0</v>
      </c>
      <c r="O31" s="13">
        <f>SUMIF(Mercado_Receita!$T$2:$T$1156,"44682B2Energia convencional pré-pagamentoRuralCooperativa de eletrificação ruralNão se aplicaNão se aplicaNão se aplica",Mercado_Receita!$N$2:$N$1156)</f>
        <v>0</v>
      </c>
      <c r="P31" s="13">
        <f>SUMIF(Mercado_Receita!$T$2:$T$1156,"44713B2Energia convencional pré-pagamentoRuralCooperativa de eletrificação ruralNão se aplicaNão se aplicaNão se aplica",Mercado_Receita!$N$2:$N$1156)</f>
        <v>0</v>
      </c>
      <c r="Q31" s="13">
        <f>SUMIF(Mercado_Receita!$T$2:$T$1156,"44743B2Energia convencional pré-pagamentoRuralCooperativa de eletrificação ruralNão se aplicaNão se aplicaNão se aplica",Mercado_Receita!$N$2:$N$1156)</f>
        <v>0</v>
      </c>
      <c r="R31" s="13">
        <f>SUMIF(Mercado_Receita!$T$2:$T$1156,"44774B2Energia convencional pré-pagamentoRuralCooperativa de eletrificação ruralNão se aplicaNão se aplicaNão se aplica",Mercado_Receita!$N$2:$N$1156)</f>
        <v>0</v>
      </c>
      <c r="S31" s="13">
        <f>SUMIF(Mercado_Receita!$T$2:$T$1156,"44805B2Energia convencional pré-pagamentoRuralCooperativa de eletrificação ruralNão se aplicaNão se aplicaNão se aplica",Mercado_Receita!$N$2:$N$1156)</f>
        <v>0</v>
      </c>
      <c r="T31" s="13">
        <f>SUMIF(Mercado_Receita!$T$2:$T$1156,"44835B2Energia convencional pré-pagamentoRuralCooperativa de eletrificação ruralNão se aplicaNão se aplicaNão se aplica",Mercado_Receita!$N$2:$N$1156)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3"/>
      <c r="B32" s="93"/>
      <c r="C32" s="93"/>
      <c r="D32" s="12" t="s">
        <v>89</v>
      </c>
      <c r="E32" s="12" t="s">
        <v>25</v>
      </c>
      <c r="F32" s="12" t="s">
        <v>25</v>
      </c>
      <c r="G32" s="13" t="s">
        <v>76</v>
      </c>
      <c r="H32" s="13" t="s">
        <v>72</v>
      </c>
      <c r="I32" s="13">
        <f>SUMIF(Mercado_Receita!$T$2:$T$1156,"44501B2Energia convencional pré-pagamentoRuralServiço público de irrigação ruralNão se aplicaNão se aplicaNão se aplica",Mercado_Receita!$N$2:$N$1156)</f>
        <v>0</v>
      </c>
      <c r="J32" s="13">
        <f>SUMIF(Mercado_Receita!$T$2:$T$1156,"44531B2Energia convencional pré-pagamentoRuralServiço público de irrigação ruralNão se aplicaNão se aplicaNão se aplica",Mercado_Receita!$N$2:$N$1156)</f>
        <v>0</v>
      </c>
      <c r="K32" s="13">
        <f>SUMIF(Mercado_Receita!$T$2:$T$1156,"44562B2Energia convencional pré-pagamentoRuralServiço público de irrigação ruralNão se aplicaNão se aplicaNão se aplica",Mercado_Receita!$N$2:$N$1156)</f>
        <v>0</v>
      </c>
      <c r="L32" s="13">
        <f>SUMIF(Mercado_Receita!$T$2:$T$1156,"44593B2Energia convencional pré-pagamentoRuralServiço público de irrigação ruralNão se aplicaNão se aplicaNão se aplica",Mercado_Receita!$N$2:$N$1156)</f>
        <v>0</v>
      </c>
      <c r="M32" s="13">
        <f>SUMIF(Mercado_Receita!$T$2:$T$1156,"44621B2Energia convencional pré-pagamentoRuralServiço público de irrigação ruralNão se aplicaNão se aplicaNão se aplica",Mercado_Receita!$N$2:$N$1156)</f>
        <v>0</v>
      </c>
      <c r="N32" s="13">
        <f>SUMIF(Mercado_Receita!$T$2:$T$1156,"44652B2Energia convencional pré-pagamentoRuralServiço público de irrigação ruralNão se aplicaNão se aplicaNão se aplica",Mercado_Receita!$N$2:$N$1156)</f>
        <v>0</v>
      </c>
      <c r="O32" s="13">
        <f>SUMIF(Mercado_Receita!$T$2:$T$1156,"44682B2Energia convencional pré-pagamentoRuralServiço público de irrigação ruralNão se aplicaNão se aplicaNão se aplica",Mercado_Receita!$N$2:$N$1156)</f>
        <v>0</v>
      </c>
      <c r="P32" s="13">
        <f>SUMIF(Mercado_Receita!$T$2:$T$1156,"44713B2Energia convencional pré-pagamentoRuralServiço público de irrigação ruralNão se aplicaNão se aplicaNão se aplica",Mercado_Receita!$N$2:$N$1156)</f>
        <v>0</v>
      </c>
      <c r="Q32" s="13">
        <f>SUMIF(Mercado_Receita!$T$2:$T$1156,"44743B2Energia convencional pré-pagamentoRuralServiço público de irrigação ruralNão se aplicaNão se aplicaNão se aplica",Mercado_Receita!$N$2:$N$1156)</f>
        <v>0</v>
      </c>
      <c r="R32" s="13">
        <f>SUMIF(Mercado_Receita!$T$2:$T$1156,"44774B2Energia convencional pré-pagamentoRuralServiço público de irrigação ruralNão se aplicaNão se aplicaNão se aplica",Mercado_Receita!$N$2:$N$1156)</f>
        <v>0</v>
      </c>
      <c r="S32" s="13">
        <f>SUMIF(Mercado_Receita!$T$2:$T$1156,"44805B2Energia convencional pré-pagamentoRuralServiço público de irrigação ruralNão se aplicaNão se aplicaNão se aplica",Mercado_Receita!$N$2:$N$1156)</f>
        <v>0</v>
      </c>
      <c r="T32" s="13">
        <f>SUMIF(Mercado_Receita!$T$2:$T$1156,"44835B2Energia convencional pré-pagamentoRuralServiço público de irrigação ruralNão se aplicaNão se aplicaNão se aplica",Mercado_Receita!$N$2:$N$1156)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2" t="s">
        <v>37</v>
      </c>
      <c r="B33" s="92" t="s">
        <v>71</v>
      </c>
      <c r="C33" s="92" t="s">
        <v>25</v>
      </c>
      <c r="D33" s="92" t="s">
        <v>25</v>
      </c>
      <c r="E33" s="92" t="s">
        <v>25</v>
      </c>
      <c r="F33" s="92" t="s">
        <v>25</v>
      </c>
      <c r="G33" s="13" t="s">
        <v>73</v>
      </c>
      <c r="H33" s="13" t="s">
        <v>72</v>
      </c>
      <c r="I33" s="13">
        <f>SUMIF(Mercado_Receita!$T$2:$T$1156,"44501B3Energia horáriaNão se aplicaNão se aplicaNão se aplicaNão se aplicaPonta",Mercado_Receita!$N$2:$N$1156)</f>
        <v>3.4849999999999999</v>
      </c>
      <c r="J33" s="13">
        <f>SUMIF(Mercado_Receita!$T$2:$T$1156,"44531B3Energia horáriaNão se aplicaNão se aplicaNão se aplicaNão se aplicaPonta",Mercado_Receita!$N$2:$N$1156)</f>
        <v>3.0760000000000001</v>
      </c>
      <c r="K33" s="13">
        <f>SUMIF(Mercado_Receita!$T$2:$T$1156,"44562B3Energia horáriaNão se aplicaNão se aplicaNão se aplicaNão se aplicaPonta",Mercado_Receita!$N$2:$N$1156)</f>
        <v>2.7789999999999999</v>
      </c>
      <c r="L33" s="13">
        <f>SUMIF(Mercado_Receita!$T$2:$T$1156,"44593B3Energia horáriaNão se aplicaNão se aplicaNão se aplicaNão se aplicaPonta",Mercado_Receita!$N$2:$N$1156)</f>
        <v>2.766</v>
      </c>
      <c r="M33" s="13">
        <f>SUMIF(Mercado_Receita!$T$2:$T$1156,"44621B3Energia horáriaNão se aplicaNão se aplicaNão se aplicaNão se aplicaPonta",Mercado_Receita!$N$2:$N$1156)</f>
        <v>3.073</v>
      </c>
      <c r="N33" s="13">
        <f>SUMIF(Mercado_Receita!$T$2:$T$1156,"44652B3Energia horáriaNão se aplicaNão se aplicaNão se aplicaNão se aplicaPonta",Mercado_Receita!$N$2:$N$1156)</f>
        <v>3.073</v>
      </c>
      <c r="O33" s="13">
        <f>SUMIF(Mercado_Receita!$T$2:$T$1156,"44682B3Energia horáriaNão se aplicaNão se aplicaNão se aplicaNão se aplicaPonta",Mercado_Receita!$N$2:$N$1156)</f>
        <v>3.54</v>
      </c>
      <c r="P33" s="13">
        <f>SUMIF(Mercado_Receita!$T$2:$T$1156,"44713B3Energia horáriaNão se aplicaNão se aplicaNão se aplicaNão se aplicaPonta",Mercado_Receita!$N$2:$N$1156)</f>
        <v>3.198</v>
      </c>
      <c r="Q33" s="13">
        <f>SUMIF(Mercado_Receita!$T$2:$T$1156,"44743B3Energia horáriaNão se aplicaNão se aplicaNão se aplicaNão se aplicaPonta",Mercado_Receita!$N$2:$N$1156)</f>
        <v>3.0329999999999999</v>
      </c>
      <c r="R33" s="13">
        <f>SUMIF(Mercado_Receita!$T$2:$T$1156,"44774B3Energia horáriaNão se aplicaNão se aplicaNão se aplicaNão se aplicaPonta",Mercado_Receita!$N$2:$N$1156)</f>
        <v>3.7289999999999996</v>
      </c>
      <c r="S33" s="13">
        <f>SUMIF(Mercado_Receita!$T$2:$T$1156,"44805B3Energia horáriaNão se aplicaNão se aplicaNão se aplicaNão se aplicaPonta",Mercado_Receita!$N$2:$N$1156)</f>
        <v>3.2450000000000001</v>
      </c>
      <c r="T33" s="13">
        <f>SUMIF(Mercado_Receita!$T$2:$T$1156,"44835B3Energia horáriaNão se aplicaNão se aplicaNão se aplicaNão se aplicaPonta",Mercado_Receita!$N$2:$N$1156)</f>
        <v>3.2450000000000001</v>
      </c>
      <c r="U33" s="13">
        <f t="shared" si="0"/>
        <v>38.241999999999997</v>
      </c>
      <c r="V33" s="13"/>
      <c r="W33" s="13"/>
    </row>
    <row r="34" spans="1:23" ht="11.25" customHeight="1" x14ac:dyDescent="0.25">
      <c r="A34" s="93"/>
      <c r="B34" s="93"/>
      <c r="C34" s="93"/>
      <c r="D34" s="93"/>
      <c r="E34" s="93"/>
      <c r="F34" s="93"/>
      <c r="G34" s="13" t="s">
        <v>85</v>
      </c>
      <c r="H34" s="13" t="s">
        <v>72</v>
      </c>
      <c r="I34" s="13">
        <f>SUMIF(Mercado_Receita!$T$2:$T$1156,"44501B3Energia horáriaNão se aplicaNão se aplicaNão se aplicaNão se aplicaIntermediário",Mercado_Receita!$N$2:$N$1156)</f>
        <v>2.2509999999999999</v>
      </c>
      <c r="J34" s="13">
        <f>SUMIF(Mercado_Receita!$T$2:$T$1156,"44531B3Energia horáriaNão se aplicaNão se aplicaNão se aplicaNão se aplicaIntermediário",Mercado_Receita!$N$2:$N$1156)</f>
        <v>2.1259999999999999</v>
      </c>
      <c r="K34" s="13">
        <f>SUMIF(Mercado_Receita!$T$2:$T$1156,"44562B3Energia horáriaNão se aplicaNão se aplicaNão se aplicaNão se aplicaIntermediário",Mercado_Receita!$N$2:$N$1156)</f>
        <v>1.875</v>
      </c>
      <c r="L34" s="13">
        <f>SUMIF(Mercado_Receita!$T$2:$T$1156,"44593B3Energia horáriaNão se aplicaNão se aplicaNão se aplicaNão se aplicaIntermediário",Mercado_Receita!$N$2:$N$1156)</f>
        <v>1.8560000000000001</v>
      </c>
      <c r="M34" s="13">
        <f>SUMIF(Mercado_Receita!$T$2:$T$1156,"44621B3Energia horáriaNão se aplicaNão se aplicaNão se aplicaNão se aplicaIntermediário",Mercado_Receita!$N$2:$N$1156)</f>
        <v>2.1440000000000001</v>
      </c>
      <c r="N34" s="13">
        <f>SUMIF(Mercado_Receita!$T$2:$T$1156,"44652B3Energia horáriaNão se aplicaNão se aplicaNão se aplicaNão se aplicaIntermediário",Mercado_Receita!$N$2:$N$1156)</f>
        <v>2.1440000000000001</v>
      </c>
      <c r="O34" s="13">
        <f>SUMIF(Mercado_Receita!$T$2:$T$1156,"44682B3Energia horáriaNão se aplicaNão se aplicaNão se aplicaNão se aplicaIntermediário",Mercado_Receita!$N$2:$N$1156)</f>
        <v>2.036</v>
      </c>
      <c r="P34" s="13">
        <f>SUMIF(Mercado_Receita!$T$2:$T$1156,"44713B3Energia horáriaNão se aplicaNão se aplicaNão se aplicaNão se aplicaIntermediário",Mercado_Receita!$N$2:$N$1156)</f>
        <v>2.3340000000000001</v>
      </c>
      <c r="Q34" s="13">
        <f>SUMIF(Mercado_Receita!$T$2:$T$1156,"44743B3Energia horáriaNão se aplicaNão se aplicaNão se aplicaNão se aplicaIntermediário",Mercado_Receita!$N$2:$N$1156)</f>
        <v>2.3199999999999998</v>
      </c>
      <c r="R34" s="13">
        <f>SUMIF(Mercado_Receita!$T$2:$T$1156,"44774B3Energia horáriaNão se aplicaNão se aplicaNão se aplicaNão se aplicaIntermediário",Mercado_Receita!$N$2:$N$1156)</f>
        <v>2.6160000000000001</v>
      </c>
      <c r="S34" s="13">
        <f>SUMIF(Mercado_Receita!$T$2:$T$1156,"44805B3Energia horáriaNão se aplicaNão se aplicaNão se aplicaNão se aplicaIntermediário",Mercado_Receita!$N$2:$N$1156)</f>
        <v>2.3439999999999999</v>
      </c>
      <c r="T34" s="13">
        <f>SUMIF(Mercado_Receita!$T$2:$T$1156,"44835B3Energia horáriaNão se aplicaNão se aplicaNão se aplicaNão se aplicaIntermediário",Mercado_Receita!$N$2:$N$1156)</f>
        <v>2.3439999999999999</v>
      </c>
      <c r="U34" s="13">
        <f t="shared" si="0"/>
        <v>26.390000000000004</v>
      </c>
      <c r="V34" s="13"/>
      <c r="W34" s="13"/>
    </row>
    <row r="35" spans="1:23" ht="11.25" customHeight="1" x14ac:dyDescent="0.25">
      <c r="A35" s="93"/>
      <c r="B35" s="93"/>
      <c r="C35" s="93"/>
      <c r="D35" s="93"/>
      <c r="E35" s="93"/>
      <c r="F35" s="93"/>
      <c r="G35" s="13" t="s">
        <v>74</v>
      </c>
      <c r="H35" s="13" t="s">
        <v>72</v>
      </c>
      <c r="I35" s="13">
        <f>SUMIF(Mercado_Receita!$T$2:$T$1156,"44501B3Energia horáriaNão se aplicaNão se aplicaNão se aplicaNão se aplicaFora ponta",Mercado_Receita!$N$2:$N$1156)</f>
        <v>97.412000000000006</v>
      </c>
      <c r="J35" s="13">
        <f>SUMIF(Mercado_Receita!$T$2:$T$1156,"44531B3Energia horáriaNão se aplicaNão se aplicaNão se aplicaNão se aplicaFora ponta",Mercado_Receita!$N$2:$N$1156)</f>
        <v>96.534000000000006</v>
      </c>
      <c r="K35" s="13">
        <f>SUMIF(Mercado_Receita!$T$2:$T$1156,"44562B3Energia horáriaNão se aplicaNão se aplicaNão se aplicaNão se aplicaFora ponta",Mercado_Receita!$N$2:$N$1156)</f>
        <v>80.566000000000003</v>
      </c>
      <c r="L35" s="13">
        <f>SUMIF(Mercado_Receita!$T$2:$T$1156,"44593B3Energia horáriaNão se aplicaNão se aplicaNão se aplicaNão se aplicaFora ponta",Mercado_Receita!$N$2:$N$1156)</f>
        <v>86.956000000000003</v>
      </c>
      <c r="M35" s="13">
        <f>SUMIF(Mercado_Receita!$T$2:$T$1156,"44621B3Energia horáriaNão se aplicaNão se aplicaNão se aplicaNão se aplicaFora ponta",Mercado_Receita!$N$2:$N$1156)</f>
        <v>96.016000000000005</v>
      </c>
      <c r="N35" s="13">
        <f>SUMIF(Mercado_Receita!$T$2:$T$1156,"44652B3Energia horáriaNão se aplicaNão se aplicaNão se aplicaNão se aplicaFora ponta",Mercado_Receita!$N$2:$N$1156)</f>
        <v>96.016000000000005</v>
      </c>
      <c r="O35" s="13">
        <f>SUMIF(Mercado_Receita!$T$2:$T$1156,"44682B3Energia horáriaNão se aplicaNão se aplicaNão se aplicaNão se aplicaFora ponta",Mercado_Receita!$N$2:$N$1156)</f>
        <v>107.792</v>
      </c>
      <c r="P35" s="13">
        <f>SUMIF(Mercado_Receita!$T$2:$T$1156,"44713B3Energia horáriaNão se aplicaNão se aplicaNão se aplicaNão se aplicaFora ponta",Mercado_Receita!$N$2:$N$1156)</f>
        <v>90.72</v>
      </c>
      <c r="Q35" s="13">
        <f>SUMIF(Mercado_Receita!$T$2:$T$1156,"44743B3Energia horáriaNão se aplicaNão se aplicaNão se aplicaNão se aplicaFora ponta",Mercado_Receita!$N$2:$N$1156)</f>
        <v>91.477000000000004</v>
      </c>
      <c r="R35" s="13">
        <f>SUMIF(Mercado_Receita!$T$2:$T$1156,"44774B3Energia horáriaNão se aplicaNão se aplicaNão se aplicaNão se aplicaFora ponta",Mercado_Receita!$N$2:$N$1156)</f>
        <v>114.575</v>
      </c>
      <c r="S35" s="13">
        <f>SUMIF(Mercado_Receita!$T$2:$T$1156,"44805B3Energia horáriaNão se aplicaNão se aplicaNão se aplicaNão se aplicaFora ponta",Mercado_Receita!$N$2:$N$1156)</f>
        <v>111.783</v>
      </c>
      <c r="T35" s="13">
        <f>SUMIF(Mercado_Receita!$T$2:$T$1156,"44835B3Energia horáriaNão se aplicaNão se aplicaNão se aplicaNão se aplicaFora ponta",Mercado_Receita!$N$2:$N$1156)</f>
        <v>111.783</v>
      </c>
      <c r="U35" s="13">
        <f t="shared" si="0"/>
        <v>1181.6300000000001</v>
      </c>
      <c r="V35" s="13"/>
      <c r="W35" s="13"/>
    </row>
    <row r="36" spans="1:23" ht="11.25" customHeight="1" x14ac:dyDescent="0.25">
      <c r="A36" s="93"/>
      <c r="B36" s="12" t="s">
        <v>75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76</v>
      </c>
      <c r="H36" s="13" t="s">
        <v>72</v>
      </c>
      <c r="I36" s="13">
        <f>SUMIF(Mercado_Receita!$T$2:$T$1156,"44501B3Energia convencionalNão se aplicaNão se aplicaNão se aplicaNão se aplicaNão se aplica",Mercado_Receita!$N$2:$N$1156)</f>
        <v>16713.682999999997</v>
      </c>
      <c r="J36" s="13">
        <f>SUMIF(Mercado_Receita!$T$2:$T$1156,"44531B3Energia convencionalNão se aplicaNão se aplicaNão se aplicaNão se aplicaNão se aplica",Mercado_Receita!$N$2:$N$1156)</f>
        <v>16189.350000000002</v>
      </c>
      <c r="K36" s="13">
        <f>SUMIF(Mercado_Receita!$T$2:$T$1156,"44562B3Energia convencionalNão se aplicaNão se aplicaNão se aplicaNão se aplicaNão se aplica",Mercado_Receita!$N$2:$N$1156)</f>
        <v>14415.585999999999</v>
      </c>
      <c r="L36" s="13">
        <f>SUMIF(Mercado_Receita!$T$2:$T$1156,"44593B3Energia convencionalNão se aplicaNão se aplicaNão se aplicaNão se aplicaNão se aplica",Mercado_Receita!$N$2:$N$1156)</f>
        <v>15012.085000000003</v>
      </c>
      <c r="M36" s="13">
        <f>SUMIF(Mercado_Receita!$T$2:$T$1156,"44621B3Energia convencionalNão se aplicaNão se aplicaNão se aplicaNão se aplicaNão se aplica",Mercado_Receita!$N$2:$N$1156)</f>
        <v>16302.217000000002</v>
      </c>
      <c r="N36" s="13">
        <f>SUMIF(Mercado_Receita!$T$2:$T$1156,"44652B3Energia convencionalNão se aplicaNão se aplicaNão se aplicaNão se aplicaNão se aplica",Mercado_Receita!$N$2:$N$1156)</f>
        <v>16302.217000000002</v>
      </c>
      <c r="O36" s="13">
        <f>SUMIF(Mercado_Receita!$T$2:$T$1156,"44682B3Energia convencionalNão se aplicaNão se aplicaNão se aplicaNão se aplicaNão se aplica",Mercado_Receita!$N$2:$N$1156)</f>
        <v>18760.435000000001</v>
      </c>
      <c r="P36" s="13">
        <f>SUMIF(Mercado_Receita!$T$2:$T$1156,"44713B3Energia convencionalNão se aplicaNão se aplicaNão se aplicaNão se aplicaNão se aplica",Mercado_Receita!$N$2:$N$1156)</f>
        <v>15204.748</v>
      </c>
      <c r="Q36" s="13">
        <f>SUMIF(Mercado_Receita!$T$2:$T$1156,"44743B3Energia convencionalNão se aplicaNão se aplicaNão se aplicaNão se aplicaNão se aplica",Mercado_Receita!$N$2:$N$1156)</f>
        <v>15034.689999999999</v>
      </c>
      <c r="R36" s="13">
        <f>SUMIF(Mercado_Receita!$T$2:$T$1156,"44774B3Energia convencionalNão se aplicaNão se aplicaNão se aplicaNão se aplicaNão se aplica",Mercado_Receita!$N$2:$N$1156)</f>
        <v>17730.744999999995</v>
      </c>
      <c r="S36" s="13">
        <f>SUMIF(Mercado_Receita!$T$2:$T$1156,"44805B3Energia convencionalNão se aplicaNão se aplicaNão se aplicaNão se aplicaNão se aplica",Mercado_Receita!$N$2:$N$1156)</f>
        <v>17820.793000000005</v>
      </c>
      <c r="T36" s="13">
        <f>SUMIF(Mercado_Receita!$T$2:$T$1156,"44835B3Energia convencionalNão se aplicaNão se aplicaNão se aplicaNão se aplicaNão se aplica",Mercado_Receita!$N$2:$N$1156)</f>
        <v>17820.793000000005</v>
      </c>
      <c r="U36" s="13">
        <f t="shared" si="0"/>
        <v>197307.342</v>
      </c>
      <c r="V36" s="13"/>
      <c r="W36" s="13"/>
    </row>
    <row r="37" spans="1:23" ht="11.25" customHeight="1" x14ac:dyDescent="0.25">
      <c r="A37" s="93"/>
      <c r="B37" s="12" t="s">
        <v>86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76</v>
      </c>
      <c r="H37" s="13" t="s">
        <v>72</v>
      </c>
      <c r="I37" s="13">
        <f>SUMIF(Mercado_Receita!$T$2:$T$1156,"44501B3Energia convencional pré-pagamentoNão se aplicaNão se aplicaNão se aplicaNão se aplicaNão se aplica",Mercado_Receita!$N$2:$N$1156)</f>
        <v>0</v>
      </c>
      <c r="J37" s="13">
        <f>SUMIF(Mercado_Receita!$T$2:$T$1156,"44531B3Energia convencional pré-pagamentoNão se aplicaNão se aplicaNão se aplicaNão se aplicaNão se aplica",Mercado_Receita!$N$2:$N$1156)</f>
        <v>0</v>
      </c>
      <c r="K37" s="13">
        <f>SUMIF(Mercado_Receita!$T$2:$T$1156,"44562B3Energia convencional pré-pagamentoNão se aplicaNão se aplicaNão se aplicaNão se aplicaNão se aplica",Mercado_Receita!$N$2:$N$1156)</f>
        <v>0</v>
      </c>
      <c r="L37" s="13">
        <f>SUMIF(Mercado_Receita!$T$2:$T$1156,"44593B3Energia convencional pré-pagamentoNão se aplicaNão se aplicaNão se aplicaNão se aplicaNão se aplica",Mercado_Receita!$N$2:$N$1156)</f>
        <v>0</v>
      </c>
      <c r="M37" s="13">
        <f>SUMIF(Mercado_Receita!$T$2:$T$1156,"44621B3Energia convencional pré-pagamentoNão se aplicaNão se aplicaNão se aplicaNão se aplicaNão se aplica",Mercado_Receita!$N$2:$N$1156)</f>
        <v>0</v>
      </c>
      <c r="N37" s="13">
        <f>SUMIF(Mercado_Receita!$T$2:$T$1156,"44652B3Energia convencional pré-pagamentoNão se aplicaNão se aplicaNão se aplicaNão se aplicaNão se aplica",Mercado_Receita!$N$2:$N$1156)</f>
        <v>0</v>
      </c>
      <c r="O37" s="13">
        <f>SUMIF(Mercado_Receita!$T$2:$T$1156,"44682B3Energia convencional pré-pagamentoNão se aplicaNão se aplicaNão se aplicaNão se aplicaNão se aplica",Mercado_Receita!$N$2:$N$1156)</f>
        <v>0</v>
      </c>
      <c r="P37" s="13">
        <f>SUMIF(Mercado_Receita!$T$2:$T$1156,"44713B3Energia convencional pré-pagamentoNão se aplicaNão se aplicaNão se aplicaNão se aplicaNão se aplica",Mercado_Receita!$N$2:$N$1156)</f>
        <v>0</v>
      </c>
      <c r="Q37" s="13">
        <f>SUMIF(Mercado_Receita!$T$2:$T$1156,"44743B3Energia convencional pré-pagamentoNão se aplicaNão se aplicaNão se aplicaNão se aplicaNão se aplica",Mercado_Receita!$N$2:$N$1156)</f>
        <v>0</v>
      </c>
      <c r="R37" s="13">
        <f>SUMIF(Mercado_Receita!$T$2:$T$1156,"44774B3Energia convencional pré-pagamentoNão se aplicaNão se aplicaNão se aplicaNão se aplicaNão se aplica",Mercado_Receita!$N$2:$N$1156)</f>
        <v>0</v>
      </c>
      <c r="S37" s="13">
        <f>SUMIF(Mercado_Receita!$T$2:$T$1156,"44805B3Energia convencional pré-pagamentoNão se aplicaNão se aplicaNão se aplicaNão se aplicaNão se aplica",Mercado_Receita!$N$2:$N$1156)</f>
        <v>0</v>
      </c>
      <c r="T37" s="13">
        <f>SUMIF(Mercado_Receita!$T$2:$T$1156,"44835B3Energia convencional pré-pagamentoNão se aplicaNão se aplicaNão se aplicaNão se aplicaNão se aplica",Mercado_Receita!$N$2:$N$1156)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92" t="s">
        <v>46</v>
      </c>
      <c r="B38" s="92" t="s">
        <v>75</v>
      </c>
      <c r="C38" s="92" t="s">
        <v>47</v>
      </c>
      <c r="D38" s="12" t="s">
        <v>48</v>
      </c>
      <c r="E38" s="12" t="s">
        <v>25</v>
      </c>
      <c r="F38" s="12" t="s">
        <v>25</v>
      </c>
      <c r="G38" s="13" t="s">
        <v>76</v>
      </c>
      <c r="H38" s="13" t="s">
        <v>72</v>
      </c>
      <c r="I38" s="13">
        <f>SUMIF(Mercado_Receita!$T$2:$T$1156,"44501B4Energia convencionalIluminação públicaIluminação pública – B4aNão se aplicaNão se aplicaNão se aplica",Mercado_Receita!$N$2:$N$1156)</f>
        <v>3513.203</v>
      </c>
      <c r="J38" s="13">
        <f>SUMIF(Mercado_Receita!$T$2:$T$1156,"44531B4Energia convencionalIluminação públicaIluminação pública – B4aNão se aplicaNão se aplicaNão se aplica",Mercado_Receita!$N$2:$N$1156)</f>
        <v>3662.643</v>
      </c>
      <c r="K38" s="13">
        <f>SUMIF(Mercado_Receita!$T$2:$T$1156,"44562B4Energia convencionalIluminação públicaIluminação pública – B4aNão se aplicaNão se aplicaNão se aplica",Mercado_Receita!$N$2:$N$1156)</f>
        <v>3608.6130000000003</v>
      </c>
      <c r="L38" s="13">
        <f>SUMIF(Mercado_Receita!$T$2:$T$1156,"44593B4Energia convencionalIluminação públicaIluminação pública – B4aNão se aplicaNão se aplicaNão se aplica",Mercado_Receita!$N$2:$N$1156)</f>
        <v>3204.58</v>
      </c>
      <c r="M38" s="13">
        <f>SUMIF(Mercado_Receita!$T$2:$T$1156,"44621B4Energia convencionalIluminação públicaIluminação pública – B4aNão se aplicaNão se aplicaNão se aplica",Mercado_Receita!$N$2:$N$1156)</f>
        <v>3554.3530000000001</v>
      </c>
      <c r="N38" s="13">
        <f>SUMIF(Mercado_Receita!$T$2:$T$1156,"44652B4Energia convencionalIluminação públicaIluminação pública – B4aNão se aplicaNão se aplicaNão se aplica",Mercado_Receita!$N$2:$N$1156)</f>
        <v>3554.3530000000001</v>
      </c>
      <c r="O38" s="13">
        <f>SUMIF(Mercado_Receita!$T$2:$T$1156,"44682B4Energia convencionalIluminação públicaIluminação pública – B4aNão se aplicaNão se aplicaNão se aplica",Mercado_Receita!$N$2:$N$1156)</f>
        <v>4399.4949999999999</v>
      </c>
      <c r="P38" s="13">
        <f>SUMIF(Mercado_Receita!$T$2:$T$1156,"44713B4Energia convencionalIluminação públicaIluminação pública – B4aNão se aplicaNão se aplicaNão se aplica",Mercado_Receita!$N$2:$N$1156)</f>
        <v>3025.7200000000003</v>
      </c>
      <c r="Q38" s="13">
        <f>SUMIF(Mercado_Receita!$T$2:$T$1156,"44743B4Energia convencionalIluminação públicaIluminação pública – B4aNão se aplicaNão se aplicaNão se aplica",Mercado_Receita!$N$2:$N$1156)</f>
        <v>3541.84</v>
      </c>
      <c r="R38" s="13">
        <f>SUMIF(Mercado_Receita!$T$2:$T$1156,"44774B4Energia convencionalIluminação públicaIluminação pública – B4aNão se aplicaNão se aplicaNão se aplica",Mercado_Receita!$N$2:$N$1156)</f>
        <v>3561.6559999999999</v>
      </c>
      <c r="S38" s="13">
        <f>SUMIF(Mercado_Receita!$T$2:$T$1156,"44805B4Energia convencionalIluminação públicaIluminação pública – B4aNão se aplicaNão se aplicaNão se aplica",Mercado_Receita!$N$2:$N$1156)</f>
        <v>3434.8069999999998</v>
      </c>
      <c r="T38" s="13">
        <f>SUMIF(Mercado_Receita!$T$2:$T$1156,"44835B4Energia convencionalIluminação públicaIluminação pública – B4aNão se aplicaNão se aplicaNão se aplica",Mercado_Receita!$N$2:$N$1156)</f>
        <v>3434.8069999999998</v>
      </c>
      <c r="U38" s="13">
        <f t="shared" si="0"/>
        <v>42496.07</v>
      </c>
      <c r="V38" s="13"/>
      <c r="W38" s="13"/>
    </row>
    <row r="39" spans="1:23" ht="11.25" customHeight="1" x14ac:dyDescent="0.25">
      <c r="A39" s="93"/>
      <c r="B39" s="93"/>
      <c r="C39" s="93"/>
      <c r="D39" s="13" t="s">
        <v>90</v>
      </c>
      <c r="E39" s="13" t="s">
        <v>25</v>
      </c>
      <c r="F39" s="13" t="s">
        <v>25</v>
      </c>
      <c r="G39" s="13" t="s">
        <v>76</v>
      </c>
      <c r="H39" s="13" t="s">
        <v>72</v>
      </c>
      <c r="I39" s="13">
        <f>SUMIF(Mercado_Receita!$T$2:$T$1156,"44501B4Energia convencionalIluminação públicaIluminação pública – B4bNão se aplicaNão se aplicaNão se aplica",Mercado_Receita!$N$2:$N$1156)</f>
        <v>0</v>
      </c>
      <c r="J39" s="13">
        <f>SUMIF(Mercado_Receita!$T$2:$T$1156,"44531B4Energia convencionalIluminação públicaIluminação pública – B4bNão se aplicaNão se aplicaNão se aplica",Mercado_Receita!$N$2:$N$1156)</f>
        <v>0</v>
      </c>
      <c r="K39" s="13">
        <f>SUMIF(Mercado_Receita!$T$2:$T$1156,"44562B4Energia convencionalIluminação públicaIluminação pública – B4bNão se aplicaNão se aplicaNão se aplica",Mercado_Receita!$N$2:$N$1156)</f>
        <v>0</v>
      </c>
      <c r="L39" s="13">
        <f>SUMIF(Mercado_Receita!$T$2:$T$1156,"44593B4Energia convencionalIluminação públicaIluminação pública – B4bNão se aplicaNão se aplicaNão se aplica",Mercado_Receita!$N$2:$N$1156)</f>
        <v>0</v>
      </c>
      <c r="M39" s="13">
        <f>SUMIF(Mercado_Receita!$T$2:$T$1156,"44621B4Energia convencionalIluminação públicaIluminação pública – B4bNão se aplicaNão se aplicaNão se aplica",Mercado_Receita!$N$2:$N$1156)</f>
        <v>0</v>
      </c>
      <c r="N39" s="13">
        <f>SUMIF(Mercado_Receita!$T$2:$T$1156,"44652B4Energia convencionalIluminação públicaIluminação pública – B4bNão se aplicaNão se aplicaNão se aplica",Mercado_Receita!$N$2:$N$1156)</f>
        <v>0</v>
      </c>
      <c r="O39" s="13">
        <f>SUMIF(Mercado_Receita!$T$2:$T$1156,"44682B4Energia convencionalIluminação públicaIluminação pública – B4bNão se aplicaNão se aplicaNão se aplica",Mercado_Receita!$N$2:$N$1156)</f>
        <v>0</v>
      </c>
      <c r="P39" s="13">
        <f>SUMIF(Mercado_Receita!$T$2:$T$1156,"44713B4Energia convencionalIluminação públicaIluminação pública – B4bNão se aplicaNão se aplicaNão se aplica",Mercado_Receita!$N$2:$N$1156)</f>
        <v>0</v>
      </c>
      <c r="Q39" s="13">
        <f>SUMIF(Mercado_Receita!$T$2:$T$1156,"44743B4Energia convencionalIluminação públicaIluminação pública – B4bNão se aplicaNão se aplicaNão se aplica",Mercado_Receita!$N$2:$N$1156)</f>
        <v>0</v>
      </c>
      <c r="R39" s="13">
        <f>SUMIF(Mercado_Receita!$T$2:$T$1156,"44774B4Energia convencionalIluminação públicaIluminação pública – B4bNão se aplicaNão se aplicaNão se aplica",Mercado_Receita!$N$2:$N$1156)</f>
        <v>0</v>
      </c>
      <c r="S39" s="13">
        <f>SUMIF(Mercado_Receita!$T$2:$T$1156,"44805B4Energia convencionalIluminação públicaIluminação pública – B4bNão se aplicaNão se aplicaNão se aplica",Mercado_Receita!$N$2:$N$1156)</f>
        <v>0</v>
      </c>
      <c r="T39" s="13">
        <f>SUMIF(Mercado_Receita!$T$2:$T$1156,"44835B4Energia convencionalIluminação públicaIluminação pública – B4bNão se aplicaNão se aplicaNão se aplica",Mercado_Receita!$N$2:$N$1156)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4" t="s">
        <v>559</v>
      </c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13"/>
      <c r="W40" s="13"/>
    </row>
  </sheetData>
  <mergeCells count="44"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  <mergeCell ref="C22:C24"/>
    <mergeCell ref="B22:B24"/>
    <mergeCell ref="F26:F28"/>
    <mergeCell ref="E26:E28"/>
    <mergeCell ref="D26:D28"/>
    <mergeCell ref="C26:C28"/>
    <mergeCell ref="B26:B28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A2:A4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7B39-BA2A-45BB-8FDC-3FF3CBEC463C}">
  <sheetPr codeName="Planilha6"/>
  <dimension ref="A1:AD200"/>
  <sheetViews>
    <sheetView showGridLines="0" topLeftCell="A33" workbookViewId="0">
      <selection activeCell="D53" sqref="D53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.85546875" style="14" bestFit="1" customWidth="1"/>
    <col min="7" max="11" width="9.140625" style="14"/>
    <col min="12" max="12" width="34.140625" style="14" bestFit="1" customWidth="1"/>
    <col min="13" max="13" width="11.71093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10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2.4257812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10" t="s">
        <v>599</v>
      </c>
      <c r="B1" s="10" t="s">
        <v>600</v>
      </c>
      <c r="C1" s="10" t="s">
        <v>601</v>
      </c>
      <c r="D1" s="10" t="s">
        <v>602</v>
      </c>
      <c r="E1" s="10" t="s">
        <v>603</v>
      </c>
      <c r="F1" s="10" t="s">
        <v>604</v>
      </c>
      <c r="G1" s="7"/>
      <c r="H1" s="7"/>
      <c r="I1" s="7"/>
      <c r="J1" s="7"/>
      <c r="K1" s="7"/>
      <c r="L1" s="106" t="s">
        <v>605</v>
      </c>
      <c r="M1" s="106"/>
      <c r="N1" s="7"/>
      <c r="O1" s="103" t="s">
        <v>686</v>
      </c>
      <c r="P1" s="104"/>
      <c r="Q1" s="104"/>
      <c r="R1" s="104"/>
      <c r="S1" s="104"/>
      <c r="T1" s="104"/>
      <c r="U1" s="104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96" t="s">
        <v>560</v>
      </c>
      <c r="B2" s="96" t="s">
        <v>561</v>
      </c>
      <c r="C2" s="16" t="s">
        <v>646</v>
      </c>
      <c r="D2" s="13">
        <v>22459678.417030092</v>
      </c>
      <c r="E2" s="13">
        <v>-8179987.3096862873</v>
      </c>
      <c r="F2" s="13">
        <v>0</v>
      </c>
      <c r="G2" s="15"/>
      <c r="H2" s="15"/>
      <c r="I2" s="15"/>
      <c r="J2" s="15"/>
      <c r="K2" s="15"/>
      <c r="L2" s="30" t="s">
        <v>606</v>
      </c>
      <c r="M2" s="36">
        <v>0.16368715699587733</v>
      </c>
      <c r="N2" s="15"/>
      <c r="O2" s="51" t="s">
        <v>687</v>
      </c>
      <c r="P2" s="51" t="s">
        <v>688</v>
      </c>
      <c r="Q2" s="51" t="s">
        <v>689</v>
      </c>
      <c r="R2" s="51" t="s">
        <v>39</v>
      </c>
      <c r="S2" s="51" t="s">
        <v>690</v>
      </c>
      <c r="T2" s="51" t="s">
        <v>82</v>
      </c>
      <c r="U2" s="51"/>
      <c r="V2" s="15"/>
      <c r="W2" s="15"/>
      <c r="X2" s="30" t="s">
        <v>659</v>
      </c>
      <c r="Y2" s="15"/>
      <c r="Z2" s="15"/>
      <c r="AA2" s="15" t="s">
        <v>698</v>
      </c>
      <c r="AB2" s="15"/>
      <c r="AC2" s="15"/>
      <c r="AD2" s="15"/>
    </row>
    <row r="3" spans="1:30" ht="12" customHeight="1" x14ac:dyDescent="0.2">
      <c r="A3" s="98"/>
      <c r="B3" s="98"/>
      <c r="C3" s="16" t="s">
        <v>562</v>
      </c>
      <c r="D3" s="13">
        <v>1082207.9690302885</v>
      </c>
      <c r="E3" s="13">
        <v>-203151.11492290522</v>
      </c>
      <c r="F3" s="13">
        <v>0</v>
      </c>
      <c r="G3" s="15"/>
      <c r="H3" s="15"/>
      <c r="I3" s="15"/>
      <c r="J3" s="15"/>
      <c r="K3" s="15"/>
      <c r="L3" s="30" t="s">
        <v>607</v>
      </c>
      <c r="M3" s="36"/>
      <c r="N3" s="15"/>
      <c r="O3" s="52">
        <v>1</v>
      </c>
      <c r="P3" s="52">
        <v>1</v>
      </c>
      <c r="Q3" s="52">
        <v>1</v>
      </c>
      <c r="R3" s="52">
        <v>1</v>
      </c>
      <c r="S3" s="52">
        <v>1</v>
      </c>
      <c r="T3" s="52">
        <v>1</v>
      </c>
      <c r="U3" s="52" t="s">
        <v>691</v>
      </c>
      <c r="V3" s="15"/>
      <c r="W3" s="15"/>
      <c r="X3" s="30" t="s">
        <v>660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8"/>
      <c r="B4" s="98"/>
      <c r="C4" s="16" t="s">
        <v>563</v>
      </c>
      <c r="D4" s="13">
        <f>$M$22-D$30</f>
        <v>3600614.9623489506</v>
      </c>
      <c r="E4" s="13">
        <f>IF((D4+D$30)&lt;&gt;0,$M$20*D4/(D4+D$30),0)</f>
        <v>8.3422194394368088</v>
      </c>
      <c r="F4" s="13">
        <f>IF((D4+D$30)&lt;&gt;0,$M$21*D4/(D4+D$30),0)</f>
        <v>0</v>
      </c>
      <c r="G4" s="15"/>
      <c r="H4" s="15"/>
      <c r="I4" s="15"/>
      <c r="J4" s="15"/>
      <c r="K4" s="15"/>
      <c r="L4" s="30" t="s">
        <v>608</v>
      </c>
      <c r="M4" s="36">
        <v>7.6314926559838181E-2</v>
      </c>
      <c r="N4" s="15"/>
      <c r="O4" s="52">
        <v>1</v>
      </c>
      <c r="P4" s="52">
        <v>1</v>
      </c>
      <c r="Q4" s="52">
        <v>1</v>
      </c>
      <c r="R4" s="52">
        <v>1</v>
      </c>
      <c r="S4" s="52">
        <v>1</v>
      </c>
      <c r="T4" s="52">
        <v>1</v>
      </c>
      <c r="U4" s="52" t="s">
        <v>81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8"/>
      <c r="B5" s="98"/>
      <c r="C5" s="16" t="s">
        <v>564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30" t="s">
        <v>609</v>
      </c>
      <c r="M5" s="36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8"/>
      <c r="B6" s="98"/>
      <c r="C6" s="16" t="s">
        <v>565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30" t="s">
        <v>610</v>
      </c>
      <c r="M6" s="36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8"/>
      <c r="B7" s="98"/>
      <c r="C7" s="16" t="s">
        <v>566</v>
      </c>
      <c r="D7" s="13">
        <v>35141224.13086278</v>
      </c>
      <c r="E7" s="13">
        <v>-1377720.5683361534</v>
      </c>
      <c r="F7" s="13">
        <v>11722199.327785593</v>
      </c>
      <c r="G7" s="15"/>
      <c r="H7" s="15"/>
      <c r="I7" s="15"/>
      <c r="J7" s="15"/>
      <c r="K7" s="15"/>
      <c r="L7" s="30" t="s">
        <v>611</v>
      </c>
      <c r="M7" s="30">
        <f>M8+M9+M10+M11</f>
        <v>262981.94909006241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8"/>
      <c r="B8" s="98"/>
      <c r="C8" s="16" t="s">
        <v>567</v>
      </c>
      <c r="D8" s="13">
        <v>0</v>
      </c>
      <c r="E8" s="13">
        <v>0</v>
      </c>
      <c r="F8" s="13">
        <v>0</v>
      </c>
      <c r="G8" s="15"/>
      <c r="H8" s="15"/>
      <c r="I8" s="15"/>
      <c r="J8" s="15"/>
      <c r="K8" s="15"/>
      <c r="L8" s="37" t="s">
        <v>612</v>
      </c>
      <c r="M8" s="30">
        <v>108087.91235486264</v>
      </c>
      <c r="N8" s="15"/>
      <c r="O8" s="30" t="s">
        <v>645</v>
      </c>
      <c r="P8" s="31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8"/>
      <c r="B9" s="98"/>
      <c r="C9" s="16" t="s">
        <v>568</v>
      </c>
      <c r="D9" s="13"/>
      <c r="E9" s="13"/>
      <c r="F9" s="13"/>
      <c r="G9" s="15"/>
      <c r="H9" s="15"/>
      <c r="I9" s="15"/>
      <c r="J9" s="15"/>
      <c r="K9" s="15"/>
      <c r="L9" s="38" t="s">
        <v>613</v>
      </c>
      <c r="M9" s="30">
        <v>154894.03673519974</v>
      </c>
      <c r="N9" s="15"/>
      <c r="O9" s="30" t="s">
        <v>650</v>
      </c>
      <c r="P9" s="31">
        <f>SUM(Mercado_Receita!$J$2:$J$1156)</f>
        <v>1509608</v>
      </c>
      <c r="Q9" s="31">
        <v>1509608</v>
      </c>
      <c r="R9" s="31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8"/>
      <c r="B10" s="97"/>
      <c r="C10" s="16" t="s">
        <v>569</v>
      </c>
      <c r="D10" s="13">
        <f>SUM(D$2:D9)</f>
        <v>62283725.479272112</v>
      </c>
      <c r="E10" s="13">
        <f>SUM(E$2:E9)</f>
        <v>-9760850.6507259067</v>
      </c>
      <c r="F10" s="13">
        <f>SUM(F$2:F9)</f>
        <v>11722199.327785593</v>
      </c>
      <c r="G10" s="15"/>
      <c r="H10" s="15"/>
      <c r="I10" s="15"/>
      <c r="J10" s="15"/>
      <c r="K10" s="15"/>
      <c r="L10" s="37" t="s">
        <v>614</v>
      </c>
      <c r="M10" s="30">
        <v>0</v>
      </c>
      <c r="N10" s="15"/>
      <c r="O10" s="30" t="s">
        <v>651</v>
      </c>
      <c r="P10" s="31">
        <f>SUM(Mercado_Receita!$L$2:$L$1156)</f>
        <v>1155494.5910000014</v>
      </c>
      <c r="Q10" s="31">
        <v>1155494.591</v>
      </c>
      <c r="R10" s="31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8"/>
      <c r="B11" s="96" t="s">
        <v>570</v>
      </c>
      <c r="C11" s="16" t="s">
        <v>571</v>
      </c>
      <c r="D11" s="13">
        <v>0</v>
      </c>
      <c r="E11" s="13">
        <v>0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37" t="s">
        <v>615</v>
      </c>
      <c r="M11" s="30">
        <v>0</v>
      </c>
      <c r="N11" s="15"/>
      <c r="O11" s="30" t="s">
        <v>652</v>
      </c>
      <c r="P11" s="31">
        <f>SUM(Mercado_Receita!$N$2:$N$1156)</f>
        <v>1155494.5910000014</v>
      </c>
      <c r="Q11" s="31">
        <v>1155494.591</v>
      </c>
      <c r="R11" s="31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8"/>
      <c r="B12" s="98"/>
      <c r="C12" s="16" t="s">
        <v>572</v>
      </c>
      <c r="D12" s="13">
        <v>0</v>
      </c>
      <c r="E12" s="13">
        <v>0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30" t="s">
        <v>616</v>
      </c>
      <c r="M12" s="30">
        <v>1418476.5400900608</v>
      </c>
      <c r="N12" s="15"/>
      <c r="O12" s="30" t="s">
        <v>653</v>
      </c>
      <c r="P12" s="31">
        <f>SUMIF('MERCADO TUSD'!$H$2:$H$48,"kW",'MERCADO TUSD'!$U$2:$U$48)</f>
        <v>1509608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8"/>
      <c r="B13" s="98"/>
      <c r="C13" s="16" t="s">
        <v>573</v>
      </c>
      <c r="D13" s="13">
        <f>-$M$51+2411724.70643563</f>
        <v>2411724.7064356301</v>
      </c>
      <c r="E13" s="13">
        <v>-498592.4753131317</v>
      </c>
      <c r="F13" s="13">
        <v>0</v>
      </c>
      <c r="G13" s="15"/>
      <c r="H13" s="15"/>
      <c r="I13" s="15"/>
      <c r="J13" s="15"/>
      <c r="K13" s="15"/>
      <c r="L13" s="30" t="s">
        <v>617</v>
      </c>
      <c r="M13" s="30">
        <v>0</v>
      </c>
      <c r="N13" s="15"/>
      <c r="O13" s="30" t="s">
        <v>654</v>
      </c>
      <c r="P13" s="31">
        <f>SUMIF('MERCADO TUSD'!$H$2:$H$48,"MWh",'MERCADO TUSD'!$U$2:$U$48)</f>
        <v>1155494.591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8"/>
      <c r="B14" s="98"/>
      <c r="C14" s="16" t="s">
        <v>574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30" t="s">
        <v>618</v>
      </c>
      <c r="M14" s="30">
        <v>336.26833333333343</v>
      </c>
      <c r="N14" s="15"/>
      <c r="O14" s="30" t="s">
        <v>655</v>
      </c>
      <c r="P14" s="31">
        <f>SUMIF('MERCADO TE'!$H$2:$H$39,"MWh",'MERCADO TE'!$U$2:$U$39)</f>
        <v>1155494.591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8"/>
      <c r="B15" s="98"/>
      <c r="C15" s="16" t="s">
        <v>575</v>
      </c>
      <c r="D15" s="13">
        <v>0</v>
      </c>
      <c r="E15" s="13">
        <v>0</v>
      </c>
      <c r="F15" s="13">
        <v>0</v>
      </c>
      <c r="G15" s="15"/>
      <c r="H15" s="15"/>
      <c r="I15" s="15"/>
      <c r="J15" s="15"/>
      <c r="K15" s="15"/>
      <c r="L15" s="30" t="s">
        <v>619</v>
      </c>
      <c r="M15" s="30">
        <f>M14*M12</f>
        <v>476988742.00851804</v>
      </c>
      <c r="N15" s="15"/>
      <c r="O15" s="30" t="s">
        <v>656</v>
      </c>
      <c r="P15" s="31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8"/>
      <c r="B16" s="98"/>
      <c r="C16" s="16" t="s">
        <v>576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30" t="s">
        <v>620</v>
      </c>
      <c r="M16" s="30">
        <v>-13077999.780522833</v>
      </c>
      <c r="N16" s="15"/>
      <c r="O16" s="30" t="s">
        <v>657</v>
      </c>
      <c r="P16" s="31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8"/>
      <c r="B17" s="98"/>
      <c r="C17" s="16" t="s">
        <v>577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30" t="s">
        <v>621</v>
      </c>
      <c r="M17" s="30">
        <v>-1858638.2543047678</v>
      </c>
      <c r="N17" s="15"/>
      <c r="O17" s="30" t="s">
        <v>658</v>
      </c>
      <c r="P17" s="31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8"/>
      <c r="B18" s="97"/>
      <c r="C18" s="16" t="s">
        <v>569</v>
      </c>
      <c r="D18" s="13">
        <f>SUM(D$11:D17)</f>
        <v>2411724.7064356301</v>
      </c>
      <c r="E18" s="13">
        <f>SUM(E$11:E17)</f>
        <v>-498592.4753131317</v>
      </c>
      <c r="F18" s="13">
        <f>SUM(F$11:F17)</f>
        <v>0</v>
      </c>
      <c r="G18" s="15"/>
      <c r="H18" s="15"/>
      <c r="I18" s="15"/>
      <c r="J18" s="15"/>
      <c r="K18" s="15"/>
      <c r="L18" s="30" t="s">
        <v>622</v>
      </c>
      <c r="M18" s="30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8"/>
      <c r="B19" s="96" t="s">
        <v>578</v>
      </c>
      <c r="C19" s="16" t="s">
        <v>579</v>
      </c>
      <c r="D19" s="13">
        <v>264654952.64166877</v>
      </c>
      <c r="E19" s="13">
        <v>5817275.3211929277</v>
      </c>
      <c r="F19" s="13">
        <v>0</v>
      </c>
      <c r="G19" s="15"/>
      <c r="H19" s="15"/>
      <c r="I19" s="15"/>
      <c r="J19" s="15"/>
      <c r="K19" s="15"/>
      <c r="L19" s="30" t="s">
        <v>623</v>
      </c>
      <c r="M19" s="30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8"/>
      <c r="B20" s="97"/>
      <c r="C20" s="16" t="s">
        <v>569</v>
      </c>
      <c r="D20" s="13">
        <f>SUM(D$19:D19)</f>
        <v>264654952.64166877</v>
      </c>
      <c r="E20" s="13">
        <f>SUM(E$19:E19)</f>
        <v>5817275.3211929277</v>
      </c>
      <c r="F20" s="13">
        <f>SUM(F$19:F19)</f>
        <v>0</v>
      </c>
      <c r="G20" s="15"/>
      <c r="H20" s="15"/>
      <c r="I20" s="15"/>
      <c r="J20" s="15"/>
      <c r="K20" s="15"/>
      <c r="L20" s="30" t="s">
        <v>624</v>
      </c>
      <c r="M20" s="30">
        <v>17.154813343001791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8"/>
      <c r="B21" s="96" t="s">
        <v>580</v>
      </c>
      <c r="C21" s="16" t="s">
        <v>581</v>
      </c>
      <c r="D21" s="13"/>
      <c r="E21" s="13">
        <f>IF($D$47&lt;&gt;0,(1-$D$46/$D$47)*0,0)+0</f>
        <v>0</v>
      </c>
      <c r="F21" s="13"/>
      <c r="G21" s="15"/>
      <c r="H21" s="15"/>
      <c r="I21" s="15"/>
      <c r="J21" s="15"/>
      <c r="K21" s="15"/>
      <c r="L21" s="30" t="s">
        <v>625</v>
      </c>
      <c r="M21" s="30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8"/>
      <c r="B22" s="98"/>
      <c r="C22" s="16" t="s">
        <v>582</v>
      </c>
      <c r="D22" s="13"/>
      <c r="E22" s="13"/>
      <c r="F22" s="13"/>
      <c r="G22" s="15"/>
      <c r="H22" s="15"/>
      <c r="I22" s="15"/>
      <c r="J22" s="15"/>
      <c r="K22" s="15"/>
      <c r="L22" s="30" t="s">
        <v>647</v>
      </c>
      <c r="M22" s="30">
        <v>7404249.9178474834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8"/>
      <c r="B23" s="97"/>
      <c r="C23" s="16" t="s">
        <v>569</v>
      </c>
      <c r="D23" s="13">
        <f>SUM(D$21:D22)</f>
        <v>0</v>
      </c>
      <c r="E23" s="13">
        <f>SUM(E$21:E22)</f>
        <v>0</v>
      </c>
      <c r="F23" s="13">
        <f>SUM(F$21:F22)</f>
        <v>0</v>
      </c>
      <c r="G23" s="15"/>
      <c r="H23" s="15"/>
      <c r="I23" s="15"/>
      <c r="J23" s="15"/>
      <c r="K23" s="15"/>
      <c r="L23" s="30" t="s">
        <v>626</v>
      </c>
      <c r="M23" s="30">
        <v>13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8"/>
      <c r="B24" s="96" t="s">
        <v>583</v>
      </c>
      <c r="C24" s="16" t="s">
        <v>584</v>
      </c>
      <c r="D24" s="13">
        <f>$M$14*$M$8</f>
        <v>36346542.14104908</v>
      </c>
      <c r="E24" s="13">
        <f>$M$16*$M$8/$M$12</f>
        <v>-996543.58327583992</v>
      </c>
      <c r="F24" s="13">
        <f>$M$17*$M$8/$M$12</f>
        <v>-141628.23497802331</v>
      </c>
      <c r="G24" s="15"/>
      <c r="H24" s="15"/>
      <c r="I24" s="15"/>
      <c r="J24" s="15"/>
      <c r="K24" s="15"/>
      <c r="L24" s="30" t="s">
        <v>627</v>
      </c>
      <c r="M24" s="30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8"/>
      <c r="B25" s="98"/>
      <c r="C25" s="16" t="s">
        <v>585</v>
      </c>
      <c r="D25" s="13">
        <f>$M$14*$M$10</f>
        <v>0</v>
      </c>
      <c r="E25" s="13">
        <f>$M$16*$M$10/$M$12</f>
        <v>0</v>
      </c>
      <c r="F25" s="13">
        <f>$M$17*$M$10/$M$12</f>
        <v>0</v>
      </c>
      <c r="G25" s="15"/>
      <c r="H25" s="15"/>
      <c r="I25" s="15"/>
      <c r="J25" s="15"/>
      <c r="K25" s="15"/>
      <c r="L25" s="30" t="s">
        <v>628</v>
      </c>
      <c r="M25" s="30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8"/>
      <c r="B26" s="98"/>
      <c r="C26" s="16" t="s">
        <v>586</v>
      </c>
      <c r="D26" s="13">
        <f>$M$14*$M$9</f>
        <v>52085959.576217741</v>
      </c>
      <c r="E26" s="13">
        <f>$M$16*$M$9/$M$12</f>
        <v>-1428084.371630583</v>
      </c>
      <c r="F26" s="13">
        <f>$M$17*$M$9/$M$12</f>
        <v>-202958.57837835769</v>
      </c>
      <c r="G26" s="15"/>
      <c r="H26" s="15"/>
      <c r="I26" s="15"/>
      <c r="J26" s="15"/>
      <c r="K26" s="15"/>
      <c r="L26" s="30" t="s">
        <v>629</v>
      </c>
      <c r="M26" s="30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8"/>
      <c r="B27" s="98"/>
      <c r="C27" s="16" t="s">
        <v>587</v>
      </c>
      <c r="D27" s="13">
        <v>5162888.2053043898</v>
      </c>
      <c r="E27" s="13">
        <v>-54417.442338082838</v>
      </c>
      <c r="F27" s="13">
        <v>0</v>
      </c>
      <c r="G27" s="15"/>
      <c r="H27" s="15"/>
      <c r="I27" s="15"/>
      <c r="J27" s="15"/>
      <c r="K27" s="15"/>
      <c r="L27" s="30" t="s">
        <v>630</v>
      </c>
      <c r="M27" s="30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8"/>
      <c r="B28" s="97"/>
      <c r="C28" s="16" t="s">
        <v>569</v>
      </c>
      <c r="D28" s="13">
        <f>SUM(D$24:D27)</f>
        <v>93595389.922571212</v>
      </c>
      <c r="E28" s="13">
        <f>SUM(E$24:E27)</f>
        <v>-2479045.3972445056</v>
      </c>
      <c r="F28" s="13">
        <f>SUM(F$24:F27)</f>
        <v>-344586.81335638103</v>
      </c>
      <c r="G28" s="15"/>
      <c r="H28" s="15"/>
      <c r="I28" s="15"/>
      <c r="J28" s="15"/>
      <c r="K28" s="15"/>
      <c r="L28" s="30" t="s">
        <v>631</v>
      </c>
      <c r="M28" s="30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97"/>
      <c r="B29" s="99" t="s">
        <v>569</v>
      </c>
      <c r="C29" s="100"/>
      <c r="D29" s="13">
        <f>SUMIF(C$2:C28,"SUBTOTAL",D$2:D28)</f>
        <v>422945792.74994767</v>
      </c>
      <c r="E29" s="13">
        <f>SUMIF(C$2:C28,"SUBTOTAL",E$2:E28)</f>
        <v>-6921213.2020906173</v>
      </c>
      <c r="F29" s="13">
        <f>SUMIF(C$2:C28,"SUBTOTAL",F$2:F28)</f>
        <v>11377612.514429212</v>
      </c>
      <c r="G29" s="15"/>
      <c r="H29" s="15"/>
      <c r="I29" s="15"/>
      <c r="J29" s="15"/>
      <c r="K29" s="15"/>
      <c r="L29" s="30" t="s">
        <v>632</v>
      </c>
      <c r="M29" s="30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96" t="s">
        <v>588</v>
      </c>
      <c r="B30" s="96" t="s">
        <v>561</v>
      </c>
      <c r="C30" s="16" t="s">
        <v>563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3803634.9554985329</v>
      </c>
      <c r="E30" s="13">
        <f>IF((D30+D$4)&lt;&gt;0,$M$20*D30/(D30+D$4),0)</f>
        <v>8.8125939035649825</v>
      </c>
      <c r="F30" s="13">
        <f>IF((D30+D$4)&lt;&gt;0,$M$21*D30/(D30+D$4),0)</f>
        <v>0</v>
      </c>
      <c r="G30" s="15"/>
      <c r="H30" s="15"/>
      <c r="I30" s="15"/>
      <c r="J30" s="15"/>
      <c r="K30" s="15"/>
      <c r="L30" s="30" t="s">
        <v>633</v>
      </c>
      <c r="M30" s="30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8"/>
      <c r="B31" s="98"/>
      <c r="C31" s="16" t="s">
        <v>589</v>
      </c>
      <c r="D31" s="13">
        <v>0</v>
      </c>
      <c r="E31" s="13">
        <v>0</v>
      </c>
      <c r="F31" s="13">
        <v>0</v>
      </c>
      <c r="G31" s="15"/>
      <c r="H31" s="15"/>
      <c r="I31" s="15"/>
      <c r="J31" s="15"/>
      <c r="K31" s="15"/>
      <c r="L31" s="30" t="s">
        <v>634</v>
      </c>
      <c r="M31" s="30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8"/>
      <c r="B32" s="98"/>
      <c r="C32" s="16" t="s">
        <v>590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30" t="s">
        <v>635</v>
      </c>
      <c r="M32" s="30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8"/>
      <c r="B33" s="98"/>
      <c r="C33" s="16" t="s">
        <v>649</v>
      </c>
      <c r="D33" s="13">
        <v>1649021.7022508194</v>
      </c>
      <c r="E33" s="13">
        <v>-619505.78256934951</v>
      </c>
      <c r="F33" s="13">
        <v>0</v>
      </c>
      <c r="G33" s="15"/>
      <c r="H33" s="15"/>
      <c r="I33" s="15"/>
      <c r="J33" s="15"/>
      <c r="K33" s="15"/>
      <c r="L33" s="30" t="s">
        <v>636</v>
      </c>
      <c r="M33" s="30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8"/>
      <c r="B34" s="98"/>
      <c r="C34" s="16" t="s">
        <v>591</v>
      </c>
      <c r="D34" s="13">
        <v>0</v>
      </c>
      <c r="E34" s="13">
        <v>0</v>
      </c>
      <c r="F34" s="13">
        <v>0</v>
      </c>
      <c r="G34" s="15"/>
      <c r="H34" s="15"/>
      <c r="I34" s="15"/>
      <c r="J34" s="15"/>
      <c r="K34" s="15"/>
      <c r="L34" s="30" t="s">
        <v>637</v>
      </c>
      <c r="M34" s="30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8"/>
      <c r="B35" s="97"/>
      <c r="C35" s="16" t="s">
        <v>569</v>
      </c>
      <c r="D35" s="13">
        <f>SUM(D$30:D34)</f>
        <v>5452656.657749352</v>
      </c>
      <c r="E35" s="13">
        <f>SUM(E$30:E34)</f>
        <v>-619496.969975446</v>
      </c>
      <c r="F35" s="13">
        <f>SUM(F$30:F34)</f>
        <v>0</v>
      </c>
      <c r="G35" s="15"/>
      <c r="H35" s="15"/>
      <c r="I35" s="15"/>
      <c r="J35" s="15"/>
      <c r="K35" s="15"/>
      <c r="L35" s="30" t="s">
        <v>638</v>
      </c>
      <c r="M35" s="30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8"/>
      <c r="B36" s="96" t="s">
        <v>592</v>
      </c>
      <c r="C36" s="16" t="s">
        <v>593</v>
      </c>
      <c r="D36" s="13">
        <f>$M$14*($M$12-$M$7)</f>
        <v>388556240.29125124</v>
      </c>
      <c r="E36" s="13">
        <f>$M$16*($M$12-$M$7)/$M$12</f>
        <v>-10653371.82561641</v>
      </c>
      <c r="F36" s="13">
        <f>$M$17*($M$12-$M$7)/$M$12</f>
        <v>-1514051.4409483867</v>
      </c>
      <c r="G36" s="15"/>
      <c r="H36" s="15"/>
      <c r="I36" s="15"/>
      <c r="J36" s="15"/>
      <c r="K36" s="15"/>
      <c r="L36" s="30" t="s">
        <v>639</v>
      </c>
      <c r="M36" s="30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8"/>
      <c r="B37" s="97"/>
      <c r="C37" s="16" t="s">
        <v>569</v>
      </c>
      <c r="D37" s="13">
        <f>SUM(D$36:D36)</f>
        <v>388556240.29125124</v>
      </c>
      <c r="E37" s="13">
        <f>SUM(E$36:E36)</f>
        <v>-10653371.82561641</v>
      </c>
      <c r="F37" s="13">
        <f>SUM(F$36:F36)</f>
        <v>-1514051.4409483867</v>
      </c>
      <c r="G37" s="15"/>
      <c r="H37" s="15"/>
      <c r="I37" s="15"/>
      <c r="J37" s="15"/>
      <c r="K37" s="15"/>
      <c r="L37" s="30" t="s">
        <v>640</v>
      </c>
      <c r="M37" s="30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8"/>
      <c r="B38" s="96" t="s">
        <v>570</v>
      </c>
      <c r="C38" s="16" t="s">
        <v>594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30" t="s">
        <v>641</v>
      </c>
      <c r="M38" s="30">
        <f>IFERROR(VLOOKUP("Convencional1RuralNão se aplicaRURALB2",Descontos!B1:U88,VLOOKUP("Convencional1RuralNão se aplicaRURALB2",Descontos!B1:U88,20,FALSE)+12,FALSE),100)</f>
        <v>0.06</v>
      </c>
      <c r="N38" s="15" t="s">
        <v>692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8"/>
      <c r="B39" s="98"/>
      <c r="C39" s="16" t="s">
        <v>595</v>
      </c>
      <c r="D39" s="13">
        <v>0</v>
      </c>
      <c r="E39" s="13">
        <v>0</v>
      </c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30" t="s">
        <v>642</v>
      </c>
      <c r="M39" s="30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709</v>
      </c>
      <c r="P39" s="15" t="s">
        <v>710</v>
      </c>
      <c r="Q39" s="15" t="s">
        <v>711</v>
      </c>
      <c r="R39" s="15" t="s">
        <v>712</v>
      </c>
      <c r="S39" s="15" t="s">
        <v>1</v>
      </c>
      <c r="T39" s="15" t="s">
        <v>713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98"/>
      <c r="B40" s="98"/>
      <c r="C40" s="16" t="s">
        <v>596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30" t="s">
        <v>643</v>
      </c>
      <c r="M40" s="30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56"/>
      <c r="P40" s="56"/>
      <c r="Q40" s="56"/>
      <c r="R40" s="56"/>
      <c r="S40" s="56"/>
      <c r="T40" s="56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98"/>
      <c r="B41" s="97"/>
      <c r="C41" s="16" t="s">
        <v>569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56"/>
      <c r="P41" s="56"/>
      <c r="Q41" s="56"/>
      <c r="R41" s="56"/>
      <c r="S41" s="56"/>
      <c r="T41" s="56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98"/>
      <c r="B42" s="96" t="s">
        <v>580</v>
      </c>
      <c r="C42" s="16" t="s">
        <v>581</v>
      </c>
      <c r="D42" s="13"/>
      <c r="E42" s="13">
        <f>IF($D$47&lt;&gt;0,($D$46/$D$47)* 0,0)+0</f>
        <v>0</v>
      </c>
      <c r="F42" s="13"/>
      <c r="G42" s="15"/>
      <c r="H42" s="15"/>
      <c r="I42" s="15"/>
      <c r="J42" s="15"/>
      <c r="K42" s="15"/>
      <c r="L42" s="15"/>
      <c r="M42" s="15"/>
      <c r="N42" s="15"/>
      <c r="O42" s="56"/>
      <c r="P42" s="56"/>
      <c r="Q42" s="56"/>
      <c r="R42" s="56"/>
      <c r="S42" s="56"/>
      <c r="T42" s="56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98"/>
      <c r="B43" s="97"/>
      <c r="C43" s="16" t="s">
        <v>569</v>
      </c>
      <c r="D43" s="13">
        <f>SUM(D$42:D42)</f>
        <v>0</v>
      </c>
      <c r="E43" s="13">
        <f>SUM(E$42:E42)</f>
        <v>0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56"/>
      <c r="P43" s="56"/>
      <c r="Q43" s="56"/>
      <c r="R43" s="56"/>
      <c r="S43" s="56"/>
      <c r="T43" s="56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98"/>
      <c r="B44" s="96" t="s">
        <v>583</v>
      </c>
      <c r="C44" s="16" t="s">
        <v>597</v>
      </c>
      <c r="D44" s="13">
        <f>$M$14*$M$11</f>
        <v>0</v>
      </c>
      <c r="E44" s="13">
        <f>$M$16*$M$11/$M$12</f>
        <v>0</v>
      </c>
      <c r="F44" s="13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56"/>
      <c r="P44" s="56"/>
      <c r="Q44" s="56"/>
      <c r="R44" s="56"/>
      <c r="S44" s="56"/>
      <c r="T44" s="56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98"/>
      <c r="B45" s="97"/>
      <c r="C45" s="16" t="s">
        <v>569</v>
      </c>
      <c r="D45" s="13">
        <f>SUM(D$44:D44)</f>
        <v>0</v>
      </c>
      <c r="E45" s="13">
        <f>SUM(E$44:E44)</f>
        <v>0</v>
      </c>
      <c r="F45" s="13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56"/>
      <c r="P45" s="56"/>
      <c r="Q45" s="56"/>
      <c r="R45" s="56"/>
      <c r="S45" s="56"/>
      <c r="T45" s="56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97"/>
      <c r="B46" s="99" t="s">
        <v>569</v>
      </c>
      <c r="C46" s="100"/>
      <c r="D46" s="13">
        <f>SUMIF(C$30:C45,"SUBTOTAL",D$30:D45)</f>
        <v>394008896.9490006</v>
      </c>
      <c r="E46" s="13">
        <f>SUMIF(C$30:C45,"SUBTOTAL",E$30:E45)</f>
        <v>-11272868.795591855</v>
      </c>
      <c r="F46" s="13">
        <f>SUMIF(C$30:C45,"SUBTOTAL",F$30:F45)</f>
        <v>-1514051.4409483867</v>
      </c>
      <c r="G46" s="15"/>
      <c r="H46" s="15"/>
      <c r="I46" s="15"/>
      <c r="J46" s="15"/>
      <c r="K46" s="15"/>
      <c r="L46" s="15"/>
      <c r="M46" s="15"/>
      <c r="N46" s="15"/>
      <c r="O46" s="56"/>
      <c r="P46" s="56"/>
      <c r="Q46" s="56"/>
      <c r="R46" s="56"/>
      <c r="S46" s="56"/>
      <c r="T46" s="56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9" t="s">
        <v>598</v>
      </c>
      <c r="B47" s="105"/>
      <c r="C47" s="100"/>
      <c r="D47" s="13">
        <f>SUMIF(C$2:C46,"SUBTOTAL",D$2:D46)</f>
        <v>816954689.69894826</v>
      </c>
      <c r="E47" s="13">
        <f>SUMIF(C$2:C46,"SUBTOTAL",E$2:E46)</f>
        <v>-18194081.997682475</v>
      </c>
      <c r="F47" s="13">
        <f>SUMIF(C$2:C46,"SUBTOTAL",F$2:F46)</f>
        <v>9863561.0734808259</v>
      </c>
      <c r="G47" s="15"/>
      <c r="H47" s="15"/>
      <c r="I47" s="15"/>
      <c r="J47" s="15"/>
      <c r="K47" s="15"/>
      <c r="L47" s="15"/>
      <c r="M47" s="15"/>
      <c r="N47" s="15"/>
      <c r="O47" s="56"/>
      <c r="P47" s="56"/>
      <c r="Q47" s="56"/>
      <c r="R47" s="56"/>
      <c r="S47" s="56"/>
      <c r="T47" s="56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01" t="s">
        <v>684</v>
      </c>
      <c r="B48" s="102"/>
      <c r="C48" s="102"/>
      <c r="D48" s="48">
        <f ca="1">'TUSD BE'!$AM$53+'TUSD BE'!$AM$57+'TE BE'!$AB$44</f>
        <v>816954689.69894814</v>
      </c>
      <c r="E48" s="49">
        <f ca="1">'TUSD BF'!$AM$53+'TE BF'!$AB$44</f>
        <v>-18194081.997682471</v>
      </c>
      <c r="F48" s="49">
        <f ca="1">'TUSD CVA'!$AM$53+'TE CVA'!$AB$44</f>
        <v>9863561.0734808221</v>
      </c>
      <c r="L48" s="35"/>
      <c r="M48" s="30"/>
      <c r="O48" s="56"/>
      <c r="P48" s="56"/>
      <c r="Q48" s="56"/>
      <c r="R48" s="56"/>
      <c r="S48" s="56"/>
      <c r="T48" s="56"/>
    </row>
    <row r="49" spans="1:20" ht="12" customHeight="1" x14ac:dyDescent="0.25">
      <c r="A49" s="101" t="s">
        <v>685</v>
      </c>
      <c r="B49" s="102"/>
      <c r="C49" s="102"/>
      <c r="D49" s="50" t="str">
        <f ca="1">IF(ABS(D48-D47)&gt;1,"ERRO","OK")</f>
        <v>OK</v>
      </c>
      <c r="E49" s="50" t="str">
        <f ca="1">IF(ABS(E48-E47)&gt;1,"ERRO","OK")</f>
        <v>OK</v>
      </c>
      <c r="F49" s="50" t="str">
        <f ca="1">IF(ABS(F48-F47)&gt;1,"ERRO","OK")</f>
        <v>OK</v>
      </c>
      <c r="L49" s="35"/>
      <c r="M49" s="30"/>
      <c r="O49" s="56"/>
      <c r="P49" s="56"/>
      <c r="Q49" s="56"/>
      <c r="R49" s="56"/>
      <c r="S49" s="56"/>
      <c r="T49" s="56"/>
    </row>
    <row r="50" spans="1:20" ht="12" customHeight="1" x14ac:dyDescent="0.25">
      <c r="L50" s="35"/>
      <c r="M50" s="30"/>
      <c r="O50" s="56"/>
      <c r="P50" s="56"/>
      <c r="Q50" s="56"/>
      <c r="R50" s="56"/>
      <c r="S50" s="56"/>
      <c r="T50" s="56"/>
    </row>
    <row r="51" spans="1:20" ht="12" customHeight="1" x14ac:dyDescent="0.25">
      <c r="D51" s="69">
        <f ca="1">SUM(D48:F48)</f>
        <v>808624168.77474654</v>
      </c>
      <c r="L51" s="33" t="s">
        <v>644</v>
      </c>
      <c r="M51" s="34">
        <v>0</v>
      </c>
      <c r="O51" s="56"/>
      <c r="P51" s="56"/>
      <c r="Q51" s="56"/>
      <c r="R51" s="56"/>
      <c r="S51" s="56"/>
      <c r="T51" s="56"/>
    </row>
    <row r="52" spans="1:20" ht="12" customHeight="1" x14ac:dyDescent="0.25">
      <c r="D52" s="69">
        <f ca="1">EFEITO!AU9+SUM(SUBSIDIO!AJ2:AJ9)</f>
        <v>808624168.77474618</v>
      </c>
      <c r="O52" s="56"/>
      <c r="P52" s="56"/>
      <c r="Q52" s="56"/>
      <c r="R52" s="56"/>
      <c r="S52" s="56"/>
      <c r="T52" s="56"/>
    </row>
    <row r="53" spans="1:20" ht="12" customHeight="1" x14ac:dyDescent="0.25">
      <c r="O53" s="56"/>
      <c r="P53" s="56"/>
      <c r="Q53" s="56"/>
      <c r="R53" s="56"/>
      <c r="S53" s="56"/>
      <c r="T53" s="56"/>
    </row>
    <row r="54" spans="1:20" ht="12" customHeight="1" x14ac:dyDescent="0.25">
      <c r="O54" s="56"/>
      <c r="P54" s="56"/>
      <c r="Q54" s="56"/>
      <c r="R54" s="56"/>
      <c r="S54" s="56"/>
      <c r="T54" s="56"/>
    </row>
    <row r="55" spans="1:20" ht="12" customHeight="1" x14ac:dyDescent="0.25">
      <c r="O55" s="56"/>
      <c r="P55" s="56"/>
      <c r="Q55" s="56"/>
      <c r="R55" s="56"/>
      <c r="S55" s="56"/>
      <c r="T55" s="56"/>
    </row>
    <row r="56" spans="1:20" ht="12" customHeight="1" x14ac:dyDescent="0.25">
      <c r="O56" s="56"/>
      <c r="P56" s="56"/>
      <c r="Q56" s="56"/>
      <c r="R56" s="56"/>
      <c r="S56" s="56"/>
      <c r="T56" s="56"/>
    </row>
    <row r="57" spans="1:20" ht="12" customHeight="1" x14ac:dyDescent="0.25">
      <c r="O57" s="56"/>
      <c r="P57" s="56"/>
      <c r="Q57" s="56"/>
      <c r="R57" s="56"/>
      <c r="S57" s="56"/>
      <c r="T57" s="56"/>
    </row>
    <row r="58" spans="1:20" ht="12" customHeight="1" x14ac:dyDescent="0.25">
      <c r="O58" s="56"/>
      <c r="P58" s="56"/>
      <c r="Q58" s="56"/>
      <c r="R58" s="56"/>
      <c r="S58" s="56"/>
      <c r="T58" s="56"/>
    </row>
    <row r="59" spans="1:20" ht="12" customHeight="1" x14ac:dyDescent="0.25">
      <c r="O59" s="56"/>
      <c r="P59" s="56"/>
      <c r="Q59" s="56"/>
      <c r="R59" s="56"/>
      <c r="S59" s="56"/>
      <c r="T59" s="56"/>
    </row>
    <row r="60" spans="1:20" ht="12" customHeight="1" x14ac:dyDescent="0.25">
      <c r="O60" s="56"/>
      <c r="P60" s="56"/>
      <c r="Q60" s="56"/>
      <c r="R60" s="56"/>
      <c r="S60" s="56"/>
      <c r="T60" s="56"/>
    </row>
    <row r="61" spans="1:20" ht="12" customHeight="1" x14ac:dyDescent="0.25">
      <c r="O61" s="56"/>
      <c r="P61" s="56"/>
      <c r="Q61" s="56"/>
      <c r="R61" s="56"/>
      <c r="S61" s="56"/>
      <c r="T61" s="56"/>
    </row>
    <row r="62" spans="1:20" ht="12" customHeight="1" x14ac:dyDescent="0.25">
      <c r="O62" s="56"/>
      <c r="P62" s="56"/>
      <c r="Q62" s="56"/>
      <c r="R62" s="56"/>
      <c r="S62" s="56"/>
      <c r="T62" s="56"/>
    </row>
    <row r="63" spans="1:20" ht="12" customHeight="1" x14ac:dyDescent="0.25">
      <c r="O63" s="56"/>
      <c r="P63" s="56"/>
      <c r="Q63" s="56"/>
      <c r="R63" s="56"/>
      <c r="S63" s="56"/>
      <c r="T63" s="56"/>
    </row>
    <row r="64" spans="1:20" ht="12" customHeight="1" x14ac:dyDescent="0.25">
      <c r="O64" s="56"/>
      <c r="P64" s="56"/>
      <c r="Q64" s="56"/>
      <c r="R64" s="56"/>
      <c r="S64" s="56"/>
      <c r="T64" s="56"/>
    </row>
    <row r="65" spans="15:20" ht="12" customHeight="1" x14ac:dyDescent="0.25">
      <c r="O65" s="56"/>
      <c r="P65" s="56"/>
      <c r="Q65" s="56"/>
      <c r="R65" s="56"/>
      <c r="S65" s="56"/>
      <c r="T65" s="56"/>
    </row>
    <row r="66" spans="15:20" ht="12" customHeight="1" x14ac:dyDescent="0.25">
      <c r="O66" s="56"/>
      <c r="P66" s="56"/>
      <c r="Q66" s="56"/>
      <c r="R66" s="56"/>
      <c r="S66" s="56"/>
      <c r="T66" s="56"/>
    </row>
    <row r="67" spans="15:20" ht="12" customHeight="1" x14ac:dyDescent="0.25">
      <c r="O67" s="56"/>
      <c r="P67" s="56"/>
      <c r="Q67" s="56"/>
      <c r="R67" s="56"/>
      <c r="S67" s="56"/>
      <c r="T67" s="56"/>
    </row>
    <row r="68" spans="15:20" ht="12" customHeight="1" x14ac:dyDescent="0.25">
      <c r="O68" s="56"/>
      <c r="P68" s="56"/>
      <c r="Q68" s="56"/>
      <c r="R68" s="56"/>
      <c r="S68" s="56"/>
      <c r="T68" s="56"/>
    </row>
    <row r="69" spans="15:20" ht="12" customHeight="1" x14ac:dyDescent="0.25">
      <c r="O69" s="56"/>
      <c r="P69" s="56"/>
      <c r="Q69" s="56"/>
      <c r="R69" s="56"/>
      <c r="S69" s="56"/>
      <c r="T69" s="56"/>
    </row>
    <row r="70" spans="15:20" ht="12" customHeight="1" x14ac:dyDescent="0.25">
      <c r="O70" s="56"/>
      <c r="P70" s="56"/>
      <c r="Q70" s="56"/>
      <c r="R70" s="56"/>
      <c r="S70" s="56"/>
      <c r="T70" s="56"/>
    </row>
    <row r="71" spans="15:20" ht="12" customHeight="1" x14ac:dyDescent="0.25">
      <c r="O71" s="56"/>
      <c r="P71" s="56"/>
      <c r="Q71" s="56"/>
      <c r="R71" s="56"/>
      <c r="S71" s="56"/>
      <c r="T71" s="56"/>
    </row>
    <row r="72" spans="15:20" ht="12" customHeight="1" x14ac:dyDescent="0.25">
      <c r="O72" s="56"/>
      <c r="P72" s="56"/>
      <c r="Q72" s="56"/>
      <c r="R72" s="56"/>
      <c r="S72" s="56"/>
      <c r="T72" s="56"/>
    </row>
    <row r="73" spans="15:20" ht="12" customHeight="1" x14ac:dyDescent="0.25">
      <c r="O73" s="56"/>
      <c r="P73" s="56"/>
      <c r="Q73" s="56"/>
      <c r="R73" s="56"/>
      <c r="S73" s="56"/>
      <c r="T73" s="56"/>
    </row>
    <row r="74" spans="15:20" ht="12" customHeight="1" x14ac:dyDescent="0.25">
      <c r="O74" s="56"/>
      <c r="P74" s="56"/>
      <c r="Q74" s="56"/>
      <c r="R74" s="56"/>
      <c r="S74" s="56"/>
      <c r="T74" s="56"/>
    </row>
    <row r="75" spans="15:20" ht="12" customHeight="1" x14ac:dyDescent="0.25">
      <c r="O75" s="56"/>
      <c r="P75" s="56"/>
      <c r="Q75" s="56"/>
      <c r="R75" s="56"/>
      <c r="S75" s="56"/>
      <c r="T75" s="56"/>
    </row>
    <row r="76" spans="15:20" ht="12" customHeight="1" x14ac:dyDescent="0.25">
      <c r="O76" s="56"/>
      <c r="P76" s="56"/>
      <c r="Q76" s="56"/>
      <c r="R76" s="56"/>
      <c r="S76" s="56"/>
      <c r="T76" s="56"/>
    </row>
    <row r="77" spans="15:20" ht="12" customHeight="1" x14ac:dyDescent="0.25">
      <c r="O77" s="56"/>
      <c r="P77" s="56"/>
      <c r="Q77" s="56"/>
      <c r="R77" s="56"/>
      <c r="S77" s="56"/>
      <c r="T77" s="56"/>
    </row>
    <row r="78" spans="15:20" ht="12" customHeight="1" x14ac:dyDescent="0.25">
      <c r="O78" s="56"/>
      <c r="P78" s="56"/>
      <c r="Q78" s="56"/>
      <c r="R78" s="56"/>
      <c r="S78" s="56"/>
      <c r="T78" s="56"/>
    </row>
    <row r="79" spans="15:20" ht="12" customHeight="1" x14ac:dyDescent="0.25">
      <c r="O79" s="56"/>
      <c r="P79" s="56"/>
      <c r="Q79" s="56"/>
      <c r="R79" s="56"/>
      <c r="S79" s="56"/>
      <c r="T79" s="56"/>
    </row>
    <row r="80" spans="15:20" ht="12" customHeight="1" x14ac:dyDescent="0.25">
      <c r="O80" s="56"/>
      <c r="P80" s="56"/>
      <c r="Q80" s="56"/>
      <c r="R80" s="56"/>
      <c r="S80" s="56"/>
      <c r="T80" s="56"/>
    </row>
    <row r="81" spans="15:20" ht="12" customHeight="1" x14ac:dyDescent="0.25">
      <c r="O81" s="56"/>
      <c r="P81" s="56"/>
      <c r="Q81" s="56"/>
      <c r="R81" s="56"/>
      <c r="S81" s="56"/>
      <c r="T81" s="56"/>
    </row>
    <row r="82" spans="15:20" ht="12" customHeight="1" x14ac:dyDescent="0.25">
      <c r="O82" s="56"/>
      <c r="P82" s="56"/>
      <c r="Q82" s="56"/>
      <c r="R82" s="56"/>
      <c r="S82" s="56"/>
      <c r="T82" s="56"/>
    </row>
    <row r="83" spans="15:20" ht="12" customHeight="1" x14ac:dyDescent="0.25">
      <c r="O83" s="56"/>
      <c r="P83" s="56"/>
      <c r="Q83" s="56"/>
      <c r="R83" s="56"/>
      <c r="S83" s="56"/>
      <c r="T83" s="56"/>
    </row>
    <row r="84" spans="15:20" ht="12" customHeight="1" x14ac:dyDescent="0.25">
      <c r="O84" s="56"/>
      <c r="P84" s="56"/>
      <c r="Q84" s="56"/>
      <c r="R84" s="56"/>
      <c r="S84" s="56"/>
      <c r="T84" s="56"/>
    </row>
    <row r="85" spans="15:20" ht="12" customHeight="1" x14ac:dyDescent="0.25">
      <c r="O85" s="56"/>
      <c r="P85" s="56"/>
      <c r="Q85" s="56"/>
      <c r="R85" s="56"/>
      <c r="S85" s="56"/>
      <c r="T85" s="56"/>
    </row>
    <row r="86" spans="15:20" ht="12" customHeight="1" x14ac:dyDescent="0.25">
      <c r="O86" s="56"/>
      <c r="P86" s="56"/>
      <c r="Q86" s="56"/>
      <c r="R86" s="56"/>
      <c r="S86" s="56"/>
      <c r="T86" s="56"/>
    </row>
    <row r="87" spans="15:20" ht="12" customHeight="1" x14ac:dyDescent="0.25">
      <c r="O87" s="56"/>
      <c r="P87" s="56"/>
      <c r="Q87" s="56"/>
      <c r="R87" s="56"/>
      <c r="S87" s="56"/>
      <c r="T87" s="56"/>
    </row>
    <row r="88" spans="15:20" ht="12" customHeight="1" x14ac:dyDescent="0.25">
      <c r="O88" s="56"/>
      <c r="P88" s="56"/>
      <c r="Q88" s="56"/>
      <c r="R88" s="56"/>
      <c r="S88" s="56"/>
      <c r="T88" s="56"/>
    </row>
    <row r="89" spans="15:20" ht="12" customHeight="1" x14ac:dyDescent="0.25">
      <c r="O89" s="56"/>
      <c r="P89" s="56"/>
      <c r="Q89" s="56"/>
      <c r="R89" s="56"/>
      <c r="S89" s="56"/>
      <c r="T89" s="56"/>
    </row>
    <row r="90" spans="15:20" ht="12" customHeight="1" x14ac:dyDescent="0.25">
      <c r="O90" s="56"/>
      <c r="P90" s="56"/>
      <c r="Q90" s="56"/>
      <c r="R90" s="56"/>
      <c r="S90" s="56"/>
      <c r="T90" s="56"/>
    </row>
    <row r="91" spans="15:20" ht="12" customHeight="1" x14ac:dyDescent="0.25">
      <c r="O91" s="56"/>
      <c r="P91" s="56"/>
      <c r="Q91" s="56"/>
      <c r="R91" s="56"/>
      <c r="S91" s="56"/>
      <c r="T91" s="56"/>
    </row>
    <row r="92" spans="15:20" ht="12" customHeight="1" x14ac:dyDescent="0.25">
      <c r="O92" s="56"/>
      <c r="P92" s="56"/>
      <c r="Q92" s="56"/>
      <c r="R92" s="56"/>
      <c r="S92" s="56"/>
      <c r="T92" s="56"/>
    </row>
    <row r="93" spans="15:20" ht="12" customHeight="1" x14ac:dyDescent="0.25">
      <c r="O93" s="56"/>
      <c r="P93" s="56"/>
      <c r="Q93" s="56"/>
      <c r="R93" s="56"/>
      <c r="S93" s="56"/>
      <c r="T93" s="56"/>
    </row>
    <row r="94" spans="15:20" ht="12" customHeight="1" x14ac:dyDescent="0.25">
      <c r="O94" s="56"/>
      <c r="P94" s="56"/>
      <c r="Q94" s="56"/>
      <c r="R94" s="56"/>
      <c r="S94" s="56"/>
      <c r="T94" s="56"/>
    </row>
    <row r="95" spans="15:20" ht="12" customHeight="1" x14ac:dyDescent="0.25">
      <c r="O95" s="56"/>
      <c r="P95" s="56"/>
      <c r="Q95" s="56"/>
      <c r="R95" s="56"/>
      <c r="S95" s="56"/>
      <c r="T95" s="56"/>
    </row>
    <row r="96" spans="15:20" ht="12" customHeight="1" x14ac:dyDescent="0.25">
      <c r="O96" s="56"/>
      <c r="P96" s="56"/>
      <c r="Q96" s="56"/>
      <c r="R96" s="56"/>
      <c r="S96" s="56"/>
      <c r="T96" s="56"/>
    </row>
    <row r="97" spans="15:30" ht="12" customHeight="1" x14ac:dyDescent="0.25">
      <c r="O97" s="56"/>
      <c r="P97" s="56"/>
      <c r="Q97" s="56"/>
      <c r="R97" s="56"/>
      <c r="S97" s="56"/>
      <c r="T97" s="56"/>
    </row>
    <row r="98" spans="15:30" ht="12" customHeight="1" x14ac:dyDescent="0.25">
      <c r="O98" s="56"/>
      <c r="P98" s="56"/>
      <c r="Q98" s="56"/>
      <c r="R98" s="56"/>
      <c r="S98" s="56"/>
      <c r="T98" s="56"/>
    </row>
    <row r="99" spans="15:30" ht="12" customHeight="1" x14ac:dyDescent="0.25">
      <c r="O99" s="55"/>
      <c r="P99" s="55"/>
      <c r="Q99" s="55"/>
      <c r="R99" s="55"/>
      <c r="S99" s="55"/>
      <c r="T99" s="55"/>
    </row>
    <row r="100" spans="15:30" ht="12" customHeight="1" x14ac:dyDescent="0.25"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</row>
    <row r="101" spans="15:30" ht="12" customHeight="1" x14ac:dyDescent="0.25">
      <c r="O101" s="56" t="s">
        <v>709</v>
      </c>
      <c r="P101" s="56" t="s">
        <v>714</v>
      </c>
      <c r="Q101" s="56" t="s">
        <v>715</v>
      </c>
      <c r="R101" s="56" t="s">
        <v>716</v>
      </c>
      <c r="S101" s="56" t="s">
        <v>717</v>
      </c>
      <c r="T101" s="56" t="s">
        <v>718</v>
      </c>
      <c r="U101" s="56" t="s">
        <v>719</v>
      </c>
      <c r="V101" s="56" t="s">
        <v>720</v>
      </c>
      <c r="W101" s="56"/>
      <c r="X101" s="56"/>
      <c r="Y101" s="56"/>
      <c r="Z101" s="56"/>
      <c r="AA101" s="56"/>
      <c r="AB101" s="56"/>
      <c r="AC101" s="56"/>
      <c r="AD101" s="56"/>
    </row>
    <row r="102" spans="15:30" ht="12" customHeight="1" x14ac:dyDescent="0.25">
      <c r="O102" s="56" t="s">
        <v>38</v>
      </c>
      <c r="P102" s="56" t="s">
        <v>23</v>
      </c>
      <c r="Q102" s="56" t="s">
        <v>43</v>
      </c>
      <c r="R102" s="56" t="s">
        <v>44</v>
      </c>
      <c r="S102" s="56" t="s">
        <v>25</v>
      </c>
      <c r="T102" s="56" t="s">
        <v>44</v>
      </c>
      <c r="U102" s="56">
        <v>4</v>
      </c>
      <c r="V102" s="56">
        <v>0.3</v>
      </c>
      <c r="W102" s="56">
        <v>0.24</v>
      </c>
      <c r="X102" s="56">
        <v>0.18</v>
      </c>
      <c r="Y102" s="56">
        <v>0.12</v>
      </c>
      <c r="Z102" s="56">
        <v>0.06</v>
      </c>
      <c r="AA102" s="56">
        <v>0</v>
      </c>
      <c r="AB102" s="56"/>
      <c r="AC102" s="56"/>
      <c r="AD102" s="56"/>
    </row>
    <row r="103" spans="15:30" ht="12" customHeight="1" x14ac:dyDescent="0.25"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</row>
    <row r="104" spans="15:30" ht="12" customHeight="1" x14ac:dyDescent="0.25"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</row>
    <row r="105" spans="15:30" ht="12" customHeight="1" x14ac:dyDescent="0.25"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</row>
    <row r="106" spans="15:30" ht="12" customHeight="1" x14ac:dyDescent="0.25"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</row>
    <row r="107" spans="15:30" ht="12" customHeight="1" x14ac:dyDescent="0.25"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</row>
    <row r="108" spans="15:30" ht="12" customHeight="1" x14ac:dyDescent="0.25"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</row>
    <row r="109" spans="15:30" ht="12" customHeight="1" x14ac:dyDescent="0.25"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</row>
    <row r="110" spans="15:30" ht="12" customHeight="1" x14ac:dyDescent="0.25"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</row>
    <row r="111" spans="15:30" ht="12" customHeight="1" x14ac:dyDescent="0.25"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</row>
    <row r="112" spans="15:30" ht="12" customHeight="1" x14ac:dyDescent="0.25"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</row>
    <row r="113" spans="15:30" ht="12" customHeight="1" x14ac:dyDescent="0.25"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</row>
    <row r="114" spans="15:30" ht="12" customHeight="1" x14ac:dyDescent="0.25"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</row>
    <row r="115" spans="15:30" ht="12" customHeight="1" x14ac:dyDescent="0.25"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</row>
    <row r="116" spans="15:30" ht="12" customHeight="1" x14ac:dyDescent="0.25"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</row>
    <row r="117" spans="15:30" ht="12" customHeight="1" x14ac:dyDescent="0.25"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</row>
    <row r="118" spans="15:30" ht="12" customHeight="1" x14ac:dyDescent="0.25"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</row>
    <row r="119" spans="15:30" ht="12" customHeight="1" x14ac:dyDescent="0.25"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</row>
    <row r="120" spans="15:30" ht="12" customHeight="1" x14ac:dyDescent="0.25"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</row>
    <row r="121" spans="15:30" ht="12" customHeight="1" x14ac:dyDescent="0.25"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</row>
    <row r="122" spans="15:30" ht="12" customHeight="1" x14ac:dyDescent="0.25"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</row>
    <row r="123" spans="15:30" ht="12" customHeight="1" x14ac:dyDescent="0.25"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</row>
    <row r="124" spans="15:30" ht="12" customHeight="1" x14ac:dyDescent="0.25"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</row>
    <row r="125" spans="15:30" ht="12" customHeight="1" x14ac:dyDescent="0.25"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</row>
    <row r="126" spans="15:30" ht="12" customHeight="1" x14ac:dyDescent="0.25"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</row>
    <row r="127" spans="15:30" ht="12" customHeight="1" x14ac:dyDescent="0.25"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</row>
    <row r="128" spans="15:30" ht="12" customHeight="1" x14ac:dyDescent="0.25"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</row>
    <row r="129" spans="15:30" ht="12" customHeight="1" x14ac:dyDescent="0.25"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</row>
    <row r="130" spans="15:30" ht="12" customHeight="1" x14ac:dyDescent="0.25"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</row>
    <row r="131" spans="15:30" ht="12" customHeight="1" x14ac:dyDescent="0.25"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</row>
    <row r="132" spans="15:30" ht="12" customHeight="1" x14ac:dyDescent="0.25"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</row>
    <row r="133" spans="15:30" ht="12" customHeight="1" x14ac:dyDescent="0.25"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</row>
    <row r="134" spans="15:30" ht="12" customHeight="1" x14ac:dyDescent="0.25"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</row>
    <row r="135" spans="15:30" ht="12" customHeight="1" x14ac:dyDescent="0.25"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</row>
    <row r="136" spans="15:30" ht="12" customHeight="1" x14ac:dyDescent="0.25"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</row>
    <row r="137" spans="15:30" ht="12" customHeight="1" x14ac:dyDescent="0.25"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</row>
    <row r="138" spans="15:30" ht="12" customHeight="1" x14ac:dyDescent="0.25"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</row>
    <row r="139" spans="15:30" ht="12" customHeight="1" x14ac:dyDescent="0.25"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</row>
    <row r="140" spans="15:30" ht="12" customHeight="1" x14ac:dyDescent="0.25"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</row>
    <row r="141" spans="15:30" ht="12" customHeight="1" x14ac:dyDescent="0.25"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</row>
    <row r="142" spans="15:30" ht="12" customHeight="1" x14ac:dyDescent="0.25"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</row>
    <row r="143" spans="15:30" ht="12" customHeight="1" x14ac:dyDescent="0.25"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</row>
    <row r="144" spans="15:30" ht="12" customHeight="1" x14ac:dyDescent="0.25"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</row>
    <row r="145" spans="15:30" ht="12" customHeight="1" x14ac:dyDescent="0.25"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</row>
    <row r="146" spans="15:30" ht="12" customHeight="1" x14ac:dyDescent="0.25"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</row>
    <row r="147" spans="15:30" ht="12" customHeight="1" x14ac:dyDescent="0.25"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</row>
    <row r="148" spans="15:30" ht="12" customHeight="1" x14ac:dyDescent="0.25"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</row>
    <row r="149" spans="15:30" ht="12" customHeight="1" x14ac:dyDescent="0.25"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</row>
    <row r="150" spans="15:30" ht="12" customHeight="1" x14ac:dyDescent="0.25"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</row>
    <row r="151" spans="15:30" ht="12" customHeight="1" x14ac:dyDescent="0.25"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</row>
    <row r="152" spans="15:30" ht="12" customHeight="1" x14ac:dyDescent="0.25"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</row>
    <row r="153" spans="15:30" ht="12" customHeight="1" x14ac:dyDescent="0.25"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</row>
    <row r="154" spans="15:30" ht="12" customHeight="1" x14ac:dyDescent="0.25"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</row>
    <row r="155" spans="15:30" ht="12" customHeight="1" x14ac:dyDescent="0.25"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</row>
    <row r="156" spans="15:30" ht="12" customHeight="1" x14ac:dyDescent="0.25"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</row>
    <row r="157" spans="15:30" ht="12" customHeight="1" x14ac:dyDescent="0.25"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</row>
    <row r="158" spans="15:30" ht="12" customHeight="1" x14ac:dyDescent="0.25"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</row>
    <row r="159" spans="15:30" ht="12" customHeight="1" x14ac:dyDescent="0.25"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</row>
    <row r="160" spans="15:30" ht="12" customHeight="1" x14ac:dyDescent="0.25"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</row>
    <row r="161" spans="15:30" ht="12" customHeight="1" x14ac:dyDescent="0.25"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</row>
    <row r="162" spans="15:30" ht="12" customHeight="1" x14ac:dyDescent="0.25"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</row>
    <row r="163" spans="15:30" ht="12" customHeight="1" x14ac:dyDescent="0.25"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</row>
    <row r="164" spans="15:30" ht="12" customHeight="1" x14ac:dyDescent="0.25"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</row>
    <row r="165" spans="15:30" ht="12" customHeight="1" x14ac:dyDescent="0.25"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</row>
    <row r="166" spans="15:30" ht="12" customHeight="1" x14ac:dyDescent="0.25"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</row>
    <row r="167" spans="15:30" ht="12" customHeight="1" x14ac:dyDescent="0.25"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</row>
    <row r="168" spans="15:30" ht="12" customHeight="1" x14ac:dyDescent="0.25"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</row>
    <row r="169" spans="15:30" ht="12" customHeight="1" x14ac:dyDescent="0.25"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</row>
    <row r="170" spans="15:30" ht="12" customHeight="1" x14ac:dyDescent="0.25"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</row>
    <row r="171" spans="15:30" ht="12" customHeight="1" x14ac:dyDescent="0.25"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</row>
    <row r="172" spans="15:30" ht="12" customHeight="1" x14ac:dyDescent="0.25"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</row>
    <row r="173" spans="15:30" ht="12" customHeight="1" x14ac:dyDescent="0.25"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</row>
    <row r="174" spans="15:30" ht="12" customHeight="1" x14ac:dyDescent="0.25"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</row>
    <row r="175" spans="15:30" ht="12" customHeight="1" x14ac:dyDescent="0.25"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</row>
    <row r="176" spans="15:30" ht="12" customHeight="1" x14ac:dyDescent="0.25"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</row>
    <row r="177" spans="15:30" ht="12" customHeight="1" x14ac:dyDescent="0.25"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</row>
    <row r="178" spans="15:30" ht="12" customHeight="1" x14ac:dyDescent="0.25"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</row>
    <row r="179" spans="15:30" ht="12" customHeight="1" x14ac:dyDescent="0.25"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</row>
    <row r="180" spans="15:30" ht="12" customHeight="1" x14ac:dyDescent="0.25"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</row>
    <row r="181" spans="15:30" ht="12" customHeight="1" x14ac:dyDescent="0.25"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</row>
    <row r="182" spans="15:30" ht="12" customHeight="1" x14ac:dyDescent="0.25"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</row>
    <row r="183" spans="15:30" ht="12" customHeight="1" x14ac:dyDescent="0.25"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</row>
    <row r="184" spans="15:30" ht="12" customHeight="1" x14ac:dyDescent="0.25"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</row>
    <row r="185" spans="15:30" ht="12" customHeight="1" x14ac:dyDescent="0.25"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</row>
    <row r="186" spans="15:30" ht="12" customHeight="1" x14ac:dyDescent="0.25"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</row>
    <row r="187" spans="15:30" ht="12" customHeight="1" x14ac:dyDescent="0.25"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</row>
    <row r="188" spans="15:30" ht="12" customHeight="1" x14ac:dyDescent="0.25"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</row>
    <row r="189" spans="15:30" ht="12" customHeight="1" x14ac:dyDescent="0.25"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</row>
    <row r="190" spans="15:30" ht="12" customHeight="1" x14ac:dyDescent="0.25"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</row>
    <row r="191" spans="15:30" ht="12" customHeight="1" x14ac:dyDescent="0.25"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</row>
    <row r="192" spans="15:30" ht="12" customHeight="1" x14ac:dyDescent="0.25"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</row>
    <row r="193" spans="15:30" ht="12" customHeight="1" x14ac:dyDescent="0.25"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</row>
    <row r="194" spans="15:30" ht="12" customHeight="1" x14ac:dyDescent="0.25"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</row>
    <row r="195" spans="15:30" ht="12" customHeight="1" x14ac:dyDescent="0.25"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</row>
    <row r="196" spans="15:30" ht="12" customHeight="1" x14ac:dyDescent="0.25"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</row>
    <row r="197" spans="15:30" ht="12" customHeight="1" x14ac:dyDescent="0.25"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</row>
    <row r="198" spans="15:30" ht="12" customHeight="1" x14ac:dyDescent="0.25"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</row>
    <row r="199" spans="15:30" ht="12" customHeight="1" x14ac:dyDescent="0.25"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</row>
    <row r="200" spans="15:30" ht="12" customHeight="1" x14ac:dyDescent="0.25"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</row>
  </sheetData>
  <mergeCells count="19">
    <mergeCell ref="A48:C48"/>
    <mergeCell ref="A49:C49"/>
    <mergeCell ref="O1:U1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33A0-2348-4379-9A9F-218098769114}">
  <dimension ref="A1:AP51"/>
  <sheetViews>
    <sheetView showGridLines="0" topLeftCell="C39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0.85546875" style="9" bestFit="1" customWidth="1"/>
    <col min="18" max="19" width="10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662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P1" s="109" t="s">
        <v>663</v>
      </c>
    </row>
    <row r="2" spans="1:42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P2" s="110"/>
    </row>
    <row r="3" spans="1:42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/>
      <c r="U3" s="109" t="s">
        <v>570</v>
      </c>
      <c r="V3" s="109"/>
      <c r="W3" s="109"/>
      <c r="X3" s="109"/>
      <c r="Y3" s="109"/>
      <c r="Z3" s="109"/>
      <c r="AA3" s="109"/>
      <c r="AB3" s="109"/>
      <c r="AC3" s="109" t="s">
        <v>578</v>
      </c>
      <c r="AD3" s="109"/>
      <c r="AE3" s="109" t="s">
        <v>580</v>
      </c>
      <c r="AF3" s="109"/>
      <c r="AG3" s="109"/>
      <c r="AH3" s="109" t="s">
        <v>583</v>
      </c>
      <c r="AI3" s="109"/>
      <c r="AJ3" s="109"/>
      <c r="AK3" s="109"/>
      <c r="AL3" s="109"/>
      <c r="AM3" s="109" t="s">
        <v>569</v>
      </c>
      <c r="AP3" s="110"/>
    </row>
    <row r="4" spans="1:42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569</v>
      </c>
      <c r="U4" s="32" t="s">
        <v>571</v>
      </c>
      <c r="V4" s="32" t="s">
        <v>572</v>
      </c>
      <c r="W4" s="32" t="s">
        <v>573</v>
      </c>
      <c r="X4" s="32" t="s">
        <v>574</v>
      </c>
      <c r="Y4" s="32" t="s">
        <v>575</v>
      </c>
      <c r="Z4" s="32" t="s">
        <v>576</v>
      </c>
      <c r="AA4" s="32" t="s">
        <v>577</v>
      </c>
      <c r="AB4" s="32" t="s">
        <v>569</v>
      </c>
      <c r="AC4" s="32" t="s">
        <v>579</v>
      </c>
      <c r="AD4" s="32" t="s">
        <v>569</v>
      </c>
      <c r="AE4" s="32" t="s">
        <v>581</v>
      </c>
      <c r="AF4" s="32" t="s">
        <v>582</v>
      </c>
      <c r="AG4" s="32" t="s">
        <v>569</v>
      </c>
      <c r="AH4" s="32" t="s">
        <v>584</v>
      </c>
      <c r="AI4" s="32" t="s">
        <v>585</v>
      </c>
      <c r="AJ4" s="32" t="s">
        <v>586</v>
      </c>
      <c r="AK4" s="32" t="s">
        <v>587</v>
      </c>
      <c r="AL4" s="32" t="s">
        <v>569</v>
      </c>
      <c r="AM4" s="111"/>
      <c r="AP4" s="110"/>
    </row>
    <row r="5" spans="1:42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/>
      <c r="M5" s="30"/>
      <c r="N5" s="30"/>
      <c r="O5" s="30"/>
      <c r="P5" s="30"/>
      <c r="Q5" s="30"/>
      <c r="R5" s="30"/>
      <c r="S5" s="30"/>
      <c r="T5" s="30"/>
      <c r="U5" s="30">
        <v>0</v>
      </c>
      <c r="V5" s="30">
        <v>0</v>
      </c>
      <c r="W5" s="30">
        <v>2.3E-3</v>
      </c>
      <c r="X5" s="30">
        <v>0</v>
      </c>
      <c r="Y5" s="30">
        <v>0</v>
      </c>
      <c r="Z5" s="30">
        <v>0</v>
      </c>
      <c r="AA5" s="30">
        <v>0</v>
      </c>
      <c r="AB5" s="30"/>
      <c r="AC5" s="30">
        <v>47.021900000000002</v>
      </c>
      <c r="AD5" s="30"/>
      <c r="AE5" s="30"/>
      <c r="AF5" s="30"/>
      <c r="AG5" s="30"/>
      <c r="AH5" s="30"/>
      <c r="AI5" s="30"/>
      <c r="AJ5" s="30"/>
      <c r="AK5" s="30"/>
      <c r="AL5" s="30"/>
      <c r="AM5" s="30"/>
      <c r="AP5" s="30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/>
      <c r="M6" s="30"/>
      <c r="N6" s="30"/>
      <c r="O6" s="30"/>
      <c r="P6" s="30"/>
      <c r="Q6" s="30"/>
      <c r="R6" s="30"/>
      <c r="S6" s="30"/>
      <c r="T6" s="30"/>
      <c r="U6" s="30">
        <v>0</v>
      </c>
      <c r="V6" s="30">
        <v>0</v>
      </c>
      <c r="W6" s="30">
        <v>6.9999999999999999E-4</v>
      </c>
      <c r="X6" s="30">
        <v>0</v>
      </c>
      <c r="Y6" s="30">
        <v>0</v>
      </c>
      <c r="Z6" s="30">
        <v>0</v>
      </c>
      <c r="AA6" s="30">
        <v>0</v>
      </c>
      <c r="AB6" s="30"/>
      <c r="AC6" s="30">
        <v>15.678000000000001</v>
      </c>
      <c r="AD6" s="30"/>
      <c r="AE6" s="30"/>
      <c r="AF6" s="30"/>
      <c r="AG6" s="30"/>
      <c r="AH6" s="30"/>
      <c r="AI6" s="30"/>
      <c r="AJ6" s="30"/>
      <c r="AK6" s="30"/>
      <c r="AL6" s="30"/>
      <c r="AM6" s="30"/>
      <c r="AP6" s="30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/>
      <c r="M7" s="30"/>
      <c r="N7" s="30"/>
      <c r="O7" s="30"/>
      <c r="P7" s="30"/>
      <c r="Q7" s="30"/>
      <c r="R7" s="30"/>
      <c r="S7" s="30"/>
      <c r="T7" s="30"/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/>
      <c r="AC7" s="30">
        <v>0</v>
      </c>
      <c r="AD7" s="30"/>
      <c r="AE7" s="30"/>
      <c r="AF7" s="30"/>
      <c r="AG7" s="30"/>
      <c r="AH7" s="30"/>
      <c r="AI7" s="30"/>
      <c r="AJ7" s="30"/>
      <c r="AK7" s="30"/>
      <c r="AL7" s="30"/>
      <c r="AM7" s="30"/>
      <c r="AP7" s="30">
        <v>1</v>
      </c>
    </row>
    <row r="8" spans="1:42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/>
      <c r="M8" s="30"/>
      <c r="N8" s="30"/>
      <c r="O8" s="30"/>
      <c r="P8" s="30"/>
      <c r="Q8" s="30"/>
      <c r="R8" s="30"/>
      <c r="S8" s="30"/>
      <c r="T8" s="30"/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/>
      <c r="AC8" s="30">
        <v>0</v>
      </c>
      <c r="AD8" s="30"/>
      <c r="AE8" s="30"/>
      <c r="AF8" s="30"/>
      <c r="AG8" s="30"/>
      <c r="AH8" s="30"/>
      <c r="AI8" s="30"/>
      <c r="AJ8" s="30"/>
      <c r="AK8" s="30"/>
      <c r="AL8" s="30"/>
      <c r="AM8" s="30"/>
      <c r="AP8" s="30">
        <v>1</v>
      </c>
    </row>
    <row r="9" spans="1:42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/>
      <c r="M9" s="30"/>
      <c r="N9" s="30"/>
      <c r="O9" s="30"/>
      <c r="P9" s="30"/>
      <c r="Q9" s="30"/>
      <c r="R9" s="30"/>
      <c r="S9" s="30"/>
      <c r="T9" s="30"/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/>
      <c r="AC9" s="30">
        <v>12.285399999999999</v>
      </c>
      <c r="AD9" s="30"/>
      <c r="AE9" s="30"/>
      <c r="AF9" s="30"/>
      <c r="AG9" s="30"/>
      <c r="AH9" s="30"/>
      <c r="AI9" s="30"/>
      <c r="AJ9" s="30"/>
      <c r="AK9" s="30"/>
      <c r="AL9" s="30"/>
      <c r="AM9" s="30"/>
      <c r="AP9" s="30"/>
    </row>
    <row r="10" spans="1:42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/>
      <c r="M10" s="30"/>
      <c r="N10" s="30"/>
      <c r="O10" s="30"/>
      <c r="P10" s="30"/>
      <c r="Q10" s="30"/>
      <c r="R10" s="30"/>
      <c r="S10" s="30"/>
      <c r="T10" s="30"/>
      <c r="U10" s="30">
        <v>0</v>
      </c>
      <c r="V10" s="30">
        <v>0</v>
      </c>
      <c r="W10" s="30">
        <v>6.9999999999999999E-4</v>
      </c>
      <c r="X10" s="30">
        <v>0</v>
      </c>
      <c r="Y10" s="30">
        <v>0</v>
      </c>
      <c r="Z10" s="30">
        <v>0</v>
      </c>
      <c r="AA10" s="30">
        <v>0</v>
      </c>
      <c r="AB10" s="30"/>
      <c r="AC10" s="30">
        <v>15.678000000000001</v>
      </c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P10" s="30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/>
      <c r="M11" s="30"/>
      <c r="N11" s="30"/>
      <c r="O11" s="30"/>
      <c r="P11" s="30"/>
      <c r="Q11" s="30"/>
      <c r="R11" s="30"/>
      <c r="S11" s="30"/>
      <c r="T11" s="30"/>
      <c r="U11" s="30">
        <v>0</v>
      </c>
      <c r="V11" s="30">
        <v>0</v>
      </c>
      <c r="W11" s="30">
        <v>5.4399999999999997E-2</v>
      </c>
      <c r="X11" s="30">
        <v>0</v>
      </c>
      <c r="Y11" s="30">
        <v>0</v>
      </c>
      <c r="Z11" s="30">
        <v>0</v>
      </c>
      <c r="AA11" s="30">
        <v>0</v>
      </c>
      <c r="AB11" s="30"/>
      <c r="AC11" s="30">
        <v>1130.8788999999999</v>
      </c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P11" s="30">
        <v>1</v>
      </c>
    </row>
    <row r="12" spans="1:42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/>
      <c r="M12" s="30"/>
      <c r="N12" s="30"/>
      <c r="O12" s="30"/>
      <c r="P12" s="30"/>
      <c r="Q12" s="30"/>
      <c r="R12" s="30"/>
      <c r="S12" s="30"/>
      <c r="T12" s="30"/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/>
      <c r="AC12" s="30">
        <v>0</v>
      </c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P12" s="30">
        <v>1</v>
      </c>
    </row>
    <row r="13" spans="1:42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/>
      <c r="M13" s="30"/>
      <c r="N13" s="30"/>
      <c r="O13" s="30"/>
      <c r="P13" s="30"/>
      <c r="Q13" s="30"/>
      <c r="R13" s="30"/>
      <c r="S13" s="30"/>
      <c r="T13" s="30"/>
      <c r="U13" s="30">
        <v>0</v>
      </c>
      <c r="V13" s="30">
        <v>0</v>
      </c>
      <c r="W13" s="30">
        <v>5.4399999999999997E-2</v>
      </c>
      <c r="X13" s="30">
        <v>0</v>
      </c>
      <c r="Y13" s="30">
        <v>0</v>
      </c>
      <c r="Z13" s="30">
        <v>0</v>
      </c>
      <c r="AA13" s="30">
        <v>0</v>
      </c>
      <c r="AB13" s="30"/>
      <c r="AC13" s="30">
        <v>1130.8788999999999</v>
      </c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P13" s="30">
        <v>1</v>
      </c>
    </row>
    <row r="14" spans="1:42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/>
      <c r="M14" s="30"/>
      <c r="N14" s="30"/>
      <c r="O14" s="30"/>
      <c r="P14" s="30"/>
      <c r="Q14" s="30"/>
      <c r="R14" s="30"/>
      <c r="S14" s="30"/>
      <c r="T14" s="30"/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0</v>
      </c>
      <c r="AB14" s="30"/>
      <c r="AC14" s="30">
        <v>0</v>
      </c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P14" s="30">
        <v>1</v>
      </c>
    </row>
    <row r="15" spans="1:42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/>
      <c r="M15" s="30"/>
      <c r="N15" s="30"/>
      <c r="O15" s="30"/>
      <c r="P15" s="30"/>
      <c r="Q15" s="30"/>
      <c r="R15" s="30"/>
      <c r="S15" s="30"/>
      <c r="T15" s="30"/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/>
      <c r="AC15" s="30">
        <v>3.5682</v>
      </c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P15" s="30"/>
    </row>
    <row r="16" spans="1:42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/>
      <c r="M16" s="30"/>
      <c r="N16" s="30"/>
      <c r="O16" s="30"/>
      <c r="P16" s="30"/>
      <c r="Q16" s="30"/>
      <c r="R16" s="30"/>
      <c r="S16" s="30"/>
      <c r="T16" s="30"/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/>
      <c r="AC16" s="30">
        <v>17.7395</v>
      </c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P16" s="30"/>
    </row>
    <row r="17" spans="1:42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/>
      <c r="M17" s="30"/>
      <c r="N17" s="30"/>
      <c r="O17" s="30"/>
      <c r="P17" s="30"/>
      <c r="Q17" s="30"/>
      <c r="R17" s="30"/>
      <c r="S17" s="30"/>
      <c r="T17" s="30"/>
      <c r="U17" s="30">
        <v>0</v>
      </c>
      <c r="V17" s="30">
        <v>0</v>
      </c>
      <c r="W17" s="30">
        <v>3.39E-2</v>
      </c>
      <c r="X17" s="30">
        <v>0</v>
      </c>
      <c r="Y17" s="30">
        <v>0</v>
      </c>
      <c r="Z17" s="30">
        <v>0</v>
      </c>
      <c r="AA17" s="30">
        <v>0</v>
      </c>
      <c r="AB17" s="30"/>
      <c r="AC17" s="30">
        <v>626.42190000000005</v>
      </c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P17" s="30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/>
      <c r="M18" s="30"/>
      <c r="N18" s="30"/>
      <c r="O18" s="30"/>
      <c r="P18" s="30"/>
      <c r="Q18" s="30"/>
      <c r="R18" s="30"/>
      <c r="S18" s="30"/>
      <c r="T18" s="30"/>
      <c r="U18" s="30">
        <v>0</v>
      </c>
      <c r="V18" s="30">
        <v>0</v>
      </c>
      <c r="W18" s="30">
        <v>2.0299999999999999E-2</v>
      </c>
      <c r="X18" s="30">
        <v>0</v>
      </c>
      <c r="Y18" s="30">
        <v>0</v>
      </c>
      <c r="Z18" s="30">
        <v>0</v>
      </c>
      <c r="AA18" s="30">
        <v>0</v>
      </c>
      <c r="AB18" s="30"/>
      <c r="AC18" s="30">
        <v>375.85309999999998</v>
      </c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P18" s="30">
        <v>1</v>
      </c>
    </row>
    <row r="19" spans="1:42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/>
      <c r="M19" s="30"/>
      <c r="N19" s="30"/>
      <c r="O19" s="30"/>
      <c r="P19" s="30"/>
      <c r="Q19" s="30"/>
      <c r="R19" s="30"/>
      <c r="S19" s="30"/>
      <c r="T19" s="30"/>
      <c r="U19" s="30">
        <v>0</v>
      </c>
      <c r="V19" s="30">
        <v>0</v>
      </c>
      <c r="W19" s="30">
        <v>6.7999999999999996E-3</v>
      </c>
      <c r="X19" s="30">
        <v>0</v>
      </c>
      <c r="Y19" s="30">
        <v>0</v>
      </c>
      <c r="Z19" s="30">
        <v>0</v>
      </c>
      <c r="AA19" s="30">
        <v>0</v>
      </c>
      <c r="AB19" s="30"/>
      <c r="AC19" s="30">
        <v>125.28440000000001</v>
      </c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P19" s="30">
        <v>1</v>
      </c>
    </row>
    <row r="20" spans="1:42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/>
      <c r="M20" s="30"/>
      <c r="N20" s="30"/>
      <c r="O20" s="30"/>
      <c r="P20" s="30"/>
      <c r="Q20" s="30"/>
      <c r="R20" s="30"/>
      <c r="S20" s="30"/>
      <c r="T20" s="30"/>
      <c r="U20" s="30">
        <v>0</v>
      </c>
      <c r="V20" s="30">
        <v>0</v>
      </c>
      <c r="W20" s="30">
        <v>1.11E-2</v>
      </c>
      <c r="X20" s="30">
        <v>0</v>
      </c>
      <c r="Y20" s="30">
        <v>0</v>
      </c>
      <c r="Z20" s="30">
        <v>0</v>
      </c>
      <c r="AA20" s="30">
        <v>0</v>
      </c>
      <c r="AB20" s="30"/>
      <c r="AC20" s="30">
        <v>205.38419999999999</v>
      </c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P20" s="30">
        <v>1</v>
      </c>
    </row>
    <row r="21" spans="1:42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/>
      <c r="M21" s="30"/>
      <c r="N21" s="30"/>
      <c r="O21" s="30"/>
      <c r="P21" s="30"/>
      <c r="Q21" s="30"/>
      <c r="R21" s="30"/>
      <c r="S21" s="30"/>
      <c r="T21" s="30"/>
      <c r="U21" s="30">
        <v>0</v>
      </c>
      <c r="V21" s="30">
        <v>0</v>
      </c>
      <c r="W21" s="30">
        <f>(1 - CUSTOS!$M$24)*0.0111</f>
        <v>1.11E-2</v>
      </c>
      <c r="X21" s="30">
        <v>0</v>
      </c>
      <c r="Y21" s="30">
        <v>0</v>
      </c>
      <c r="Z21" s="30">
        <v>0</v>
      </c>
      <c r="AA21" s="30">
        <v>0</v>
      </c>
      <c r="AB21" s="30"/>
      <c r="AC21" s="30">
        <f>(1 - CUSTOS!$M$24)*205.3842</f>
        <v>205.38419999999999</v>
      </c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P21" s="30">
        <f>IF((1 - CUSTOS!$M$24)&lt;&gt;0,1/(1 - CUSTOS!$M$24),1)</f>
        <v>1</v>
      </c>
    </row>
    <row r="22" spans="1:42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/>
      <c r="M22" s="30"/>
      <c r="N22" s="30"/>
      <c r="O22" s="30"/>
      <c r="P22" s="30"/>
      <c r="Q22" s="30"/>
      <c r="R22" s="30"/>
      <c r="S22" s="30"/>
      <c r="T22" s="30"/>
      <c r="U22" s="30">
        <v>0</v>
      </c>
      <c r="V22" s="30">
        <v>0</v>
      </c>
      <c r="W22" s="30">
        <f>(1 - CUSTOS!$M$25)*0.0111</f>
        <v>1.11E-2</v>
      </c>
      <c r="X22" s="30">
        <v>0</v>
      </c>
      <c r="Y22" s="30">
        <v>0</v>
      </c>
      <c r="Z22" s="30">
        <v>0</v>
      </c>
      <c r="AA22" s="30">
        <v>0</v>
      </c>
      <c r="AB22" s="30"/>
      <c r="AC22" s="30">
        <f>(1 - CUSTOS!$M$25)*205.3842</f>
        <v>205.38419999999999</v>
      </c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P22" s="30">
        <f>IF((1 - CUSTOS!$M$25)&lt;&gt;0,1/(1 - CUSTOS!$M$25),1)</f>
        <v>1</v>
      </c>
    </row>
    <row r="23" spans="1:42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/>
      <c r="M23" s="30"/>
      <c r="N23" s="30"/>
      <c r="O23" s="30"/>
      <c r="P23" s="30"/>
      <c r="Q23" s="30"/>
      <c r="R23" s="30"/>
      <c r="S23" s="30"/>
      <c r="T23" s="30"/>
      <c r="U23" s="30">
        <v>0</v>
      </c>
      <c r="V23" s="30">
        <v>0</v>
      </c>
      <c r="W23" s="30">
        <f>(1 - CUSTOS!$M$26)*0.0111</f>
        <v>1.11E-2</v>
      </c>
      <c r="X23" s="30">
        <v>0</v>
      </c>
      <c r="Y23" s="30">
        <v>0</v>
      </c>
      <c r="Z23" s="30">
        <v>0</v>
      </c>
      <c r="AA23" s="30">
        <v>0</v>
      </c>
      <c r="AB23" s="30"/>
      <c r="AC23" s="30">
        <f>(1 - CUSTOS!$M$26)*205.3842</f>
        <v>205.38419999999999</v>
      </c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P23" s="30">
        <f>IF((1 - CUSTOS!$M$26)&lt;&gt;0,1/(1 - CUSTOS!$M$26),1)</f>
        <v>1</v>
      </c>
    </row>
    <row r="24" spans="1:42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/>
      <c r="M24" s="30"/>
      <c r="N24" s="30"/>
      <c r="O24" s="30"/>
      <c r="P24" s="30"/>
      <c r="Q24" s="30"/>
      <c r="R24" s="30"/>
      <c r="S24" s="30"/>
      <c r="T24" s="30"/>
      <c r="U24" s="30">
        <v>0</v>
      </c>
      <c r="V24" s="30">
        <v>0</v>
      </c>
      <c r="W24" s="30">
        <f>(1 - CUSTOS!$M$27)*0.0111</f>
        <v>1.11E-2</v>
      </c>
      <c r="X24" s="30">
        <v>0</v>
      </c>
      <c r="Y24" s="30">
        <v>0</v>
      </c>
      <c r="Z24" s="30">
        <v>0</v>
      </c>
      <c r="AA24" s="30">
        <v>0</v>
      </c>
      <c r="AB24" s="30"/>
      <c r="AC24" s="30">
        <f>(1 - CUSTOS!$M$27)*205.3842</f>
        <v>205.38419999999999</v>
      </c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P24" s="30">
        <f>IF((1 - CUSTOS!$M$27)&lt;&gt;0,1/(1 - CUSTOS!$M$27),1)</f>
        <v>1</v>
      </c>
    </row>
    <row r="25" spans="1:42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/>
      <c r="M25" s="30"/>
      <c r="N25" s="30"/>
      <c r="O25" s="30"/>
      <c r="P25" s="30"/>
      <c r="Q25" s="30"/>
      <c r="R25" s="30"/>
      <c r="S25" s="30"/>
      <c r="T25" s="30"/>
      <c r="U25" s="30">
        <v>0</v>
      </c>
      <c r="V25" s="30">
        <v>0</v>
      </c>
      <c r="W25" s="30">
        <v>1.11E-2</v>
      </c>
      <c r="X25" s="30">
        <v>0</v>
      </c>
      <c r="Y25" s="30">
        <v>0</v>
      </c>
      <c r="Z25" s="30">
        <v>0</v>
      </c>
      <c r="AA25" s="30">
        <v>0</v>
      </c>
      <c r="AB25" s="30"/>
      <c r="AC25" s="30">
        <v>205.38419999999999</v>
      </c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P25" s="30">
        <v>1</v>
      </c>
    </row>
    <row r="26" spans="1:42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/>
      <c r="M26" s="30"/>
      <c r="N26" s="30"/>
      <c r="O26" s="30"/>
      <c r="P26" s="30"/>
      <c r="Q26" s="30"/>
      <c r="R26" s="30"/>
      <c r="S26" s="30"/>
      <c r="T26" s="30"/>
      <c r="U26" s="30">
        <v>0</v>
      </c>
      <c r="V26" s="30">
        <v>0</v>
      </c>
      <c r="W26" s="30">
        <f>(1 - CUSTOS!$M$24)*0.0111</f>
        <v>1.11E-2</v>
      </c>
      <c r="X26" s="30">
        <v>0</v>
      </c>
      <c r="Y26" s="30">
        <v>0</v>
      </c>
      <c r="Z26" s="30">
        <v>0</v>
      </c>
      <c r="AA26" s="30">
        <v>0</v>
      </c>
      <c r="AB26" s="30"/>
      <c r="AC26" s="30">
        <f>(1 - CUSTOS!$M$24)*205.3842</f>
        <v>205.38419999999999</v>
      </c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P26" s="30">
        <f>IF((1 - CUSTOS!$M$24)&lt;&gt;0,1/(1 - CUSTOS!$M$24),1)</f>
        <v>1</v>
      </c>
    </row>
    <row r="27" spans="1:42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/>
      <c r="M27" s="30"/>
      <c r="N27" s="30"/>
      <c r="O27" s="30"/>
      <c r="P27" s="30"/>
      <c r="Q27" s="30"/>
      <c r="R27" s="30"/>
      <c r="S27" s="30"/>
      <c r="T27" s="30"/>
      <c r="U27" s="30">
        <v>0</v>
      </c>
      <c r="V27" s="30">
        <v>0</v>
      </c>
      <c r="W27" s="30">
        <f>(1 - CUSTOS!$M$25)*0.0111</f>
        <v>1.11E-2</v>
      </c>
      <c r="X27" s="30">
        <v>0</v>
      </c>
      <c r="Y27" s="30">
        <v>0</v>
      </c>
      <c r="Z27" s="30">
        <v>0</v>
      </c>
      <c r="AA27" s="30">
        <v>0</v>
      </c>
      <c r="AB27" s="30"/>
      <c r="AC27" s="30">
        <f>(1 - CUSTOS!$M$25)*205.3842</f>
        <v>205.38419999999999</v>
      </c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P27" s="30">
        <f>IF((1 - CUSTOS!$M$25)&lt;&gt;0,1/(1 - CUSTOS!$M$25),1)</f>
        <v>1</v>
      </c>
    </row>
    <row r="28" spans="1:42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/>
      <c r="M28" s="30"/>
      <c r="N28" s="30"/>
      <c r="O28" s="30"/>
      <c r="P28" s="30"/>
      <c r="Q28" s="30"/>
      <c r="R28" s="30"/>
      <c r="S28" s="30"/>
      <c r="T28" s="30"/>
      <c r="U28" s="30">
        <v>0</v>
      </c>
      <c r="V28" s="30">
        <v>0</v>
      </c>
      <c r="W28" s="30">
        <f>(1 - CUSTOS!$M$26)*0.0111</f>
        <v>1.11E-2</v>
      </c>
      <c r="X28" s="30">
        <v>0</v>
      </c>
      <c r="Y28" s="30">
        <v>0</v>
      </c>
      <c r="Z28" s="30">
        <v>0</v>
      </c>
      <c r="AA28" s="30">
        <v>0</v>
      </c>
      <c r="AB28" s="30"/>
      <c r="AC28" s="30">
        <f>(1 - CUSTOS!$M$26)*205.3842</f>
        <v>205.38419999999999</v>
      </c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P28" s="30">
        <f>IF((1 - CUSTOS!$M$26)&lt;&gt;0,1/(1 - CUSTOS!$M$26),1)</f>
        <v>1</v>
      </c>
    </row>
    <row r="29" spans="1:42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/>
      <c r="M29" s="30"/>
      <c r="N29" s="30"/>
      <c r="O29" s="30"/>
      <c r="P29" s="30"/>
      <c r="Q29" s="30"/>
      <c r="R29" s="30"/>
      <c r="S29" s="30"/>
      <c r="T29" s="30"/>
      <c r="U29" s="30">
        <v>0</v>
      </c>
      <c r="V29" s="30">
        <v>0</v>
      </c>
      <c r="W29" s="30">
        <f>(1 - CUSTOS!$M$27)*0.0111</f>
        <v>1.11E-2</v>
      </c>
      <c r="X29" s="30">
        <v>0</v>
      </c>
      <c r="Y29" s="30">
        <v>0</v>
      </c>
      <c r="Z29" s="30">
        <v>0</v>
      </c>
      <c r="AA29" s="30">
        <v>0</v>
      </c>
      <c r="AB29" s="30"/>
      <c r="AC29" s="30">
        <f>(1 - CUSTOS!$M$27)*205.3842</f>
        <v>205.38419999999999</v>
      </c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P29" s="30">
        <f>IF((1 - CUSTOS!$M$27)&lt;&gt;0,1/(1 - CUSTOS!$M$27),1)</f>
        <v>1</v>
      </c>
    </row>
    <row r="30" spans="1:42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/>
      <c r="M30" s="30"/>
      <c r="N30" s="30"/>
      <c r="O30" s="30"/>
      <c r="P30" s="30"/>
      <c r="Q30" s="30"/>
      <c r="R30" s="30"/>
      <c r="S30" s="30"/>
      <c r="T30" s="30"/>
      <c r="U30" s="30">
        <v>0</v>
      </c>
      <c r="V30" s="30">
        <v>0</v>
      </c>
      <c r="W30" s="30">
        <f>(1 - CUSTOS!$M$28)*0.0355</f>
        <v>3.5499999999999997E-2</v>
      </c>
      <c r="X30" s="30">
        <v>0</v>
      </c>
      <c r="Y30" s="30">
        <v>0</v>
      </c>
      <c r="Z30" s="30">
        <v>0</v>
      </c>
      <c r="AA30" s="30">
        <v>0</v>
      </c>
      <c r="AB30" s="30"/>
      <c r="AC30" s="30">
        <f>(1 - CUSTOS!$M$28)*657.2295</f>
        <v>657.22950000000003</v>
      </c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P30" s="30">
        <f>IF((1 - CUSTOS!$M$28)&lt;&gt;0,1/(1 - CUSTOS!$M$28),1)</f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/>
      <c r="M31" s="30"/>
      <c r="N31" s="30"/>
      <c r="O31" s="30"/>
      <c r="P31" s="30"/>
      <c r="Q31" s="30"/>
      <c r="R31" s="30"/>
      <c r="S31" s="30"/>
      <c r="T31" s="30"/>
      <c r="U31" s="30">
        <v>0</v>
      </c>
      <c r="V31" s="30">
        <v>0</v>
      </c>
      <c r="W31" s="30">
        <f>(1 - CUSTOS!$M$28)*0.0213</f>
        <v>2.1299999999999999E-2</v>
      </c>
      <c r="X31" s="30">
        <v>0</v>
      </c>
      <c r="Y31" s="30">
        <v>0</v>
      </c>
      <c r="Z31" s="30">
        <v>0</v>
      </c>
      <c r="AA31" s="30">
        <v>0</v>
      </c>
      <c r="AB31" s="30"/>
      <c r="AC31" s="30">
        <f>(1 - CUSTOS!$M$28)*394.3377</f>
        <v>394.33769999999998</v>
      </c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P31" s="30">
        <f>IF((1 - CUSTOS!$M$28)&lt;&gt;0,1/(1 - CUSTOS!$M$28),1)</f>
        <v>1</v>
      </c>
    </row>
    <row r="32" spans="1:42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/>
      <c r="M32" s="30"/>
      <c r="N32" s="30"/>
      <c r="O32" s="30"/>
      <c r="P32" s="30"/>
      <c r="Q32" s="30"/>
      <c r="R32" s="30"/>
      <c r="S32" s="30"/>
      <c r="T32" s="30"/>
      <c r="U32" s="30">
        <v>0</v>
      </c>
      <c r="V32" s="30">
        <v>0</v>
      </c>
      <c r="W32" s="30">
        <f>(1 - CUSTOS!$M$28)*0.0071</f>
        <v>7.1000000000000004E-3</v>
      </c>
      <c r="X32" s="30">
        <v>0</v>
      </c>
      <c r="Y32" s="30">
        <v>0</v>
      </c>
      <c r="Z32" s="30">
        <v>0</v>
      </c>
      <c r="AA32" s="30">
        <v>0</v>
      </c>
      <c r="AB32" s="30"/>
      <c r="AC32" s="30">
        <f>(1 - CUSTOS!$M$28)*131.4459</f>
        <v>131.44589999999999</v>
      </c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P32" s="30">
        <f>IF((1 - CUSTOS!$M$28)&lt;&gt;0,1/(1 - CUSTOS!$M$28),1)</f>
        <v>1</v>
      </c>
    </row>
    <row r="33" spans="1:42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/>
      <c r="M33" s="30"/>
      <c r="N33" s="30"/>
      <c r="O33" s="30"/>
      <c r="P33" s="30"/>
      <c r="Q33" s="30"/>
      <c r="R33" s="30"/>
      <c r="S33" s="30"/>
      <c r="T33" s="30"/>
      <c r="U33" s="30">
        <v>0</v>
      </c>
      <c r="V33" s="30">
        <v>0</v>
      </c>
      <c r="W33" s="30">
        <f>(1 - CUSTOS!$M$28)*0.0111</f>
        <v>1.11E-2</v>
      </c>
      <c r="X33" s="30">
        <v>0</v>
      </c>
      <c r="Y33" s="30">
        <v>0</v>
      </c>
      <c r="Z33" s="30">
        <v>0</v>
      </c>
      <c r="AA33" s="30">
        <v>0</v>
      </c>
      <c r="AB33" s="30"/>
      <c r="AC33" s="30">
        <f>(1 - CUSTOS!$M$28)*205.3842</f>
        <v>205.38419999999999</v>
      </c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P33" s="30">
        <f>IF((1 - CUSTOS!$M$28)&lt;&gt;0,1/(1 - CUSTOS!$M$28),1)</f>
        <v>1</v>
      </c>
    </row>
    <row r="34" spans="1:42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/>
      <c r="M34" s="30"/>
      <c r="N34" s="30"/>
      <c r="O34" s="30"/>
      <c r="P34" s="30"/>
      <c r="Q34" s="30"/>
      <c r="R34" s="30"/>
      <c r="S34" s="30"/>
      <c r="T34" s="30"/>
      <c r="U34" s="30">
        <v>0</v>
      </c>
      <c r="V34" s="30">
        <v>0</v>
      </c>
      <c r="W34" s="30">
        <f>(1 - CUSTOS!$M$29)*0.0355</f>
        <v>3.5499999999999997E-2</v>
      </c>
      <c r="X34" s="30">
        <v>0</v>
      </c>
      <c r="Y34" s="30">
        <v>0</v>
      </c>
      <c r="Z34" s="30">
        <v>0</v>
      </c>
      <c r="AA34" s="30">
        <v>0</v>
      </c>
      <c r="AB34" s="30"/>
      <c r="AC34" s="30">
        <f>(1 - CUSTOS!$M$29)*657.2295</f>
        <v>657.22950000000003</v>
      </c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P34" s="30">
        <f>IF((1 - CUSTOS!$M$29)&lt;&gt;0,1/(1 - CUSTOS!$M$29),1)</f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/>
      <c r="M35" s="30"/>
      <c r="N35" s="30"/>
      <c r="O35" s="30"/>
      <c r="P35" s="30"/>
      <c r="Q35" s="30"/>
      <c r="R35" s="30"/>
      <c r="S35" s="30"/>
      <c r="T35" s="30"/>
      <c r="U35" s="30">
        <v>0</v>
      </c>
      <c r="V35" s="30">
        <v>0</v>
      </c>
      <c r="W35" s="30">
        <f>(1 - CUSTOS!$M$29)*0.0213</f>
        <v>2.1299999999999999E-2</v>
      </c>
      <c r="X35" s="30">
        <v>0</v>
      </c>
      <c r="Y35" s="30">
        <v>0</v>
      </c>
      <c r="Z35" s="30">
        <v>0</v>
      </c>
      <c r="AA35" s="30">
        <v>0</v>
      </c>
      <c r="AB35" s="30"/>
      <c r="AC35" s="30">
        <f>(1 - CUSTOS!$M$29)*394.3377</f>
        <v>394.33769999999998</v>
      </c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P35" s="30">
        <f>IF((1 - CUSTOS!$M$29)&lt;&gt;0,1/(1 - CUSTOS!$M$29),1)</f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/>
      <c r="M36" s="30"/>
      <c r="N36" s="30"/>
      <c r="O36" s="30"/>
      <c r="P36" s="30"/>
      <c r="Q36" s="30"/>
      <c r="R36" s="30"/>
      <c r="S36" s="30"/>
      <c r="T36" s="30"/>
      <c r="U36" s="30">
        <v>0</v>
      </c>
      <c r="V36" s="30">
        <v>0</v>
      </c>
      <c r="W36" s="30">
        <f>(1 - CUSTOS!$M$29)*0.0071</f>
        <v>7.1000000000000004E-3</v>
      </c>
      <c r="X36" s="30">
        <v>0</v>
      </c>
      <c r="Y36" s="30">
        <v>0</v>
      </c>
      <c r="Z36" s="30">
        <v>0</v>
      </c>
      <c r="AA36" s="30">
        <v>0</v>
      </c>
      <c r="AB36" s="30"/>
      <c r="AC36" s="30">
        <f>(1 - CUSTOS!$M$29)*131.4459</f>
        <v>131.44589999999999</v>
      </c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P36" s="30">
        <f>IF((1 - CUSTOS!$M$29)&lt;&gt;0,1/(1 - CUSTOS!$M$29),1)</f>
        <v>1</v>
      </c>
    </row>
    <row r="37" spans="1:42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/>
      <c r="M37" s="30"/>
      <c r="N37" s="30"/>
      <c r="O37" s="30"/>
      <c r="P37" s="30"/>
      <c r="Q37" s="30"/>
      <c r="R37" s="30"/>
      <c r="S37" s="30"/>
      <c r="T37" s="30"/>
      <c r="U37" s="30">
        <v>0</v>
      </c>
      <c r="V37" s="30">
        <v>0</v>
      </c>
      <c r="W37" s="30">
        <f>(1 - CUSTOS!$M$29)*0.0111</f>
        <v>1.11E-2</v>
      </c>
      <c r="X37" s="30">
        <v>0</v>
      </c>
      <c r="Y37" s="30">
        <v>0</v>
      </c>
      <c r="Z37" s="30">
        <v>0</v>
      </c>
      <c r="AA37" s="30">
        <v>0</v>
      </c>
      <c r="AB37" s="30"/>
      <c r="AC37" s="30">
        <f>(1 - CUSTOS!$M$29)*205.3842</f>
        <v>205.38419999999999</v>
      </c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P37" s="30">
        <f>IF((1 - CUSTOS!$M$29)&lt;&gt;0,1/(1 - CUSTOS!$M$29),1)</f>
        <v>1</v>
      </c>
    </row>
    <row r="38" spans="1:42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/>
      <c r="M38" s="30"/>
      <c r="N38" s="30"/>
      <c r="O38" s="30"/>
      <c r="P38" s="30"/>
      <c r="Q38" s="30"/>
      <c r="R38" s="30"/>
      <c r="S38" s="30"/>
      <c r="T38" s="30"/>
      <c r="U38" s="30">
        <v>0</v>
      </c>
      <c r="V38" s="30">
        <v>0</v>
      </c>
      <c r="W38" s="30">
        <f>(1 - CUSTOS!$M$30)*0.0355</f>
        <v>3.5499999999999997E-2</v>
      </c>
      <c r="X38" s="30">
        <v>0</v>
      </c>
      <c r="Y38" s="30">
        <v>0</v>
      </c>
      <c r="Z38" s="30">
        <v>0</v>
      </c>
      <c r="AA38" s="30">
        <v>0</v>
      </c>
      <c r="AB38" s="30"/>
      <c r="AC38" s="30">
        <f>(1 - CUSTOS!$M$30)*657.2295</f>
        <v>657.22950000000003</v>
      </c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P38" s="30">
        <f>IF((1 - CUSTOS!$M$30)&lt;&gt;0,1/(1 - CUSTOS!$M$30),1)</f>
        <v>1</v>
      </c>
    </row>
    <row r="39" spans="1:42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/>
      <c r="M39" s="30"/>
      <c r="N39" s="30"/>
      <c r="O39" s="30"/>
      <c r="P39" s="30"/>
      <c r="Q39" s="30"/>
      <c r="R39" s="30"/>
      <c r="S39" s="30"/>
      <c r="T39" s="30"/>
      <c r="U39" s="30">
        <v>0</v>
      </c>
      <c r="V39" s="30">
        <v>0</v>
      </c>
      <c r="W39" s="30">
        <f>(1 - CUSTOS!$M$30)*0.0213</f>
        <v>2.1299999999999999E-2</v>
      </c>
      <c r="X39" s="30">
        <v>0</v>
      </c>
      <c r="Y39" s="30">
        <v>0</v>
      </c>
      <c r="Z39" s="30">
        <v>0</v>
      </c>
      <c r="AA39" s="30">
        <v>0</v>
      </c>
      <c r="AB39" s="30"/>
      <c r="AC39" s="30">
        <f>(1 - CUSTOS!$M$30)*394.3377</f>
        <v>394.33769999999998</v>
      </c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P39" s="30">
        <f>IF((1 - CUSTOS!$M$30)&lt;&gt;0,1/(1 - CUSTOS!$M$30),1)</f>
        <v>1</v>
      </c>
    </row>
    <row r="40" spans="1:42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/>
      <c r="M40" s="30"/>
      <c r="N40" s="30"/>
      <c r="O40" s="30"/>
      <c r="P40" s="30"/>
      <c r="Q40" s="30"/>
      <c r="R40" s="30"/>
      <c r="S40" s="30"/>
      <c r="T40" s="30"/>
      <c r="U40" s="30">
        <v>0</v>
      </c>
      <c r="V40" s="30">
        <v>0</v>
      </c>
      <c r="W40" s="30">
        <f>(1 - CUSTOS!$M$30)*0.0071</f>
        <v>7.1000000000000004E-3</v>
      </c>
      <c r="X40" s="30">
        <v>0</v>
      </c>
      <c r="Y40" s="30">
        <v>0</v>
      </c>
      <c r="Z40" s="30">
        <v>0</v>
      </c>
      <c r="AA40" s="30">
        <v>0</v>
      </c>
      <c r="AB40" s="30"/>
      <c r="AC40" s="30">
        <f>(1 - CUSTOS!$M$30)*131.4459</f>
        <v>131.44589999999999</v>
      </c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P40" s="30">
        <f>IF((1 - CUSTOS!$M$30)&lt;&gt;0,1/(1 - CUSTOS!$M$30),1)</f>
        <v>1</v>
      </c>
    </row>
    <row r="41" spans="1:42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/>
      <c r="M41" s="30"/>
      <c r="N41" s="30"/>
      <c r="O41" s="30"/>
      <c r="P41" s="30"/>
      <c r="Q41" s="30"/>
      <c r="R41" s="30"/>
      <c r="S41" s="30"/>
      <c r="T41" s="30"/>
      <c r="U41" s="30">
        <v>0</v>
      </c>
      <c r="V41" s="30">
        <v>0</v>
      </c>
      <c r="W41" s="30">
        <f>(1 - CUSTOS!$M$30)*0.0111</f>
        <v>1.11E-2</v>
      </c>
      <c r="X41" s="30">
        <v>0</v>
      </c>
      <c r="Y41" s="30">
        <v>0</v>
      </c>
      <c r="Z41" s="30">
        <v>0</v>
      </c>
      <c r="AA41" s="30">
        <v>0</v>
      </c>
      <c r="AB41" s="30"/>
      <c r="AC41" s="30">
        <f>(1 - CUSTOS!$M$30)*205.3842</f>
        <v>205.38419999999999</v>
      </c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P41" s="30">
        <f>IF((1 - CUSTOS!$M$30)&lt;&gt;0,1/(1 - CUSTOS!$M$30),1)</f>
        <v>1</v>
      </c>
    </row>
    <row r="42" spans="1:42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/>
      <c r="M42" s="30"/>
      <c r="N42" s="30"/>
      <c r="O42" s="30"/>
      <c r="P42" s="30"/>
      <c r="Q42" s="30"/>
      <c r="R42" s="30"/>
      <c r="S42" s="30"/>
      <c r="T42" s="30"/>
      <c r="U42" s="30">
        <v>0</v>
      </c>
      <c r="V42" s="30">
        <v>0</v>
      </c>
      <c r="W42" s="30">
        <f>(1 - CUSTOS!$M$28)*0.0111</f>
        <v>1.11E-2</v>
      </c>
      <c r="X42" s="30">
        <v>0</v>
      </c>
      <c r="Y42" s="30">
        <v>0</v>
      </c>
      <c r="Z42" s="30">
        <v>0</v>
      </c>
      <c r="AA42" s="30">
        <v>0</v>
      </c>
      <c r="AB42" s="30"/>
      <c r="AC42" s="30">
        <f>(1 - CUSTOS!$M$28)*205.3842</f>
        <v>205.38419999999999</v>
      </c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P42" s="30">
        <f>IF((1 - CUSTOS!$M$28)&lt;&gt;0,1/(1 - CUSTOS!$M$28),1)</f>
        <v>1</v>
      </c>
    </row>
    <row r="43" spans="1:42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/>
      <c r="M43" s="30"/>
      <c r="N43" s="30"/>
      <c r="O43" s="30"/>
      <c r="P43" s="30"/>
      <c r="Q43" s="30"/>
      <c r="R43" s="30"/>
      <c r="S43" s="30"/>
      <c r="T43" s="30"/>
      <c r="U43" s="30">
        <v>0</v>
      </c>
      <c r="V43" s="30">
        <v>0</v>
      </c>
      <c r="W43" s="30">
        <f>(1 - CUSTOS!$M$29)*0.0111</f>
        <v>1.11E-2</v>
      </c>
      <c r="X43" s="30">
        <v>0</v>
      </c>
      <c r="Y43" s="30">
        <v>0</v>
      </c>
      <c r="Z43" s="30">
        <v>0</v>
      </c>
      <c r="AA43" s="30">
        <v>0</v>
      </c>
      <c r="AB43" s="30"/>
      <c r="AC43" s="30">
        <f>(1 - CUSTOS!$M$29)*205.3842</f>
        <v>205.38419999999999</v>
      </c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P43" s="30">
        <f>IF((1 - CUSTOS!$M$29)&lt;&gt;0,1/(1 - CUSTOS!$M$29),1)</f>
        <v>1</v>
      </c>
    </row>
    <row r="44" spans="1:42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/>
      <c r="M44" s="30"/>
      <c r="N44" s="30"/>
      <c r="O44" s="30"/>
      <c r="P44" s="30"/>
      <c r="Q44" s="30"/>
      <c r="R44" s="30"/>
      <c r="S44" s="30"/>
      <c r="T44" s="30"/>
      <c r="U44" s="30">
        <v>0</v>
      </c>
      <c r="V44" s="30">
        <v>0</v>
      </c>
      <c r="W44" s="30">
        <f>(1 - CUSTOS!$M$30)*0.0111</f>
        <v>1.11E-2</v>
      </c>
      <c r="X44" s="30">
        <v>0</v>
      </c>
      <c r="Y44" s="30">
        <v>0</v>
      </c>
      <c r="Z44" s="30">
        <v>0</v>
      </c>
      <c r="AA44" s="30">
        <v>0</v>
      </c>
      <c r="AB44" s="30"/>
      <c r="AC44" s="30">
        <f>(1 - CUSTOS!$M$30)*205.3842</f>
        <v>205.38419999999999</v>
      </c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P44" s="30">
        <f>IF((1 - CUSTOS!$M$30)&lt;&gt;0,1/(1 - CUSTOS!$M$30),1)</f>
        <v>1</v>
      </c>
    </row>
    <row r="45" spans="1:42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/>
      <c r="M45" s="30"/>
      <c r="N45" s="30"/>
      <c r="O45" s="30"/>
      <c r="P45" s="30"/>
      <c r="Q45" s="30"/>
      <c r="R45" s="30"/>
      <c r="S45" s="30"/>
      <c r="T45" s="30"/>
      <c r="U45" s="30">
        <v>0</v>
      </c>
      <c r="V45" s="30">
        <v>0</v>
      </c>
      <c r="W45" s="30">
        <f>(1 - CUSTOS!$M$31)*0.0416</f>
        <v>4.1599999999999998E-2</v>
      </c>
      <c r="X45" s="30">
        <v>0</v>
      </c>
      <c r="Y45" s="30">
        <v>0</v>
      </c>
      <c r="Z45" s="30">
        <v>0</v>
      </c>
      <c r="AA45" s="30">
        <v>0</v>
      </c>
      <c r="AB45" s="30"/>
      <c r="AC45" s="30">
        <f>(1 - CUSTOS!$M$31)*770.1908</f>
        <v>770.19079999999997</v>
      </c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P45" s="30">
        <f>IF((1 - CUSTOS!$M$31)&lt;&gt;0,1/(1 - CUSTOS!$M$31),1)</f>
        <v>1</v>
      </c>
    </row>
    <row r="46" spans="1:42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/>
      <c r="M46" s="30"/>
      <c r="N46" s="30"/>
      <c r="O46" s="30"/>
      <c r="P46" s="30"/>
      <c r="Q46" s="30"/>
      <c r="R46" s="30"/>
      <c r="S46" s="30"/>
      <c r="T46" s="30"/>
      <c r="U46" s="30">
        <v>0</v>
      </c>
      <c r="V46" s="30">
        <v>0</v>
      </c>
      <c r="W46" s="30">
        <f>(1 - CUSTOS!$M$31)*0.025</f>
        <v>2.5000000000000001E-2</v>
      </c>
      <c r="X46" s="30">
        <v>0</v>
      </c>
      <c r="Y46" s="30">
        <v>0</v>
      </c>
      <c r="Z46" s="30">
        <v>0</v>
      </c>
      <c r="AA46" s="30">
        <v>0</v>
      </c>
      <c r="AB46" s="30"/>
      <c r="AC46" s="30">
        <f>(1 - CUSTOS!$M$31)*462.1145</f>
        <v>462.11450000000002</v>
      </c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P46" s="30">
        <f>IF((1 - CUSTOS!$M$31)&lt;&gt;0,1/(1 - CUSTOS!$M$31),1)</f>
        <v>1</v>
      </c>
    </row>
    <row r="47" spans="1:42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/>
      <c r="M47" s="30"/>
      <c r="N47" s="30"/>
      <c r="O47" s="30"/>
      <c r="P47" s="30"/>
      <c r="Q47" s="30"/>
      <c r="R47" s="30"/>
      <c r="S47" s="30"/>
      <c r="T47" s="30"/>
      <c r="U47" s="30">
        <v>0</v>
      </c>
      <c r="V47" s="30">
        <v>0</v>
      </c>
      <c r="W47" s="30">
        <f>(1 - CUSTOS!$M$31)*0.0083</f>
        <v>8.3000000000000001E-3</v>
      </c>
      <c r="X47" s="30">
        <v>0</v>
      </c>
      <c r="Y47" s="30">
        <v>0</v>
      </c>
      <c r="Z47" s="30">
        <v>0</v>
      </c>
      <c r="AA47" s="30">
        <v>0</v>
      </c>
      <c r="AB47" s="30"/>
      <c r="AC47" s="30">
        <f>(1 - CUSTOS!$M$31)*154.0382</f>
        <v>154.03819999999999</v>
      </c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P47" s="30">
        <f>IF((1 - CUSTOS!$M$31)&lt;&gt;0,1/(1 - CUSTOS!$M$31),1)</f>
        <v>1</v>
      </c>
    </row>
    <row r="48" spans="1:42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/>
      <c r="M48" s="30"/>
      <c r="N48" s="30"/>
      <c r="O48" s="30"/>
      <c r="P48" s="30"/>
      <c r="Q48" s="30"/>
      <c r="R48" s="30"/>
      <c r="S48" s="30"/>
      <c r="T48" s="30"/>
      <c r="U48" s="30">
        <v>0</v>
      </c>
      <c r="V48" s="30">
        <v>0</v>
      </c>
      <c r="W48" s="30">
        <f>(1 - CUSTOS!$M$31)*0.0111</f>
        <v>1.11E-2</v>
      </c>
      <c r="X48" s="30">
        <v>0</v>
      </c>
      <c r="Y48" s="30">
        <v>0</v>
      </c>
      <c r="Z48" s="30">
        <v>0</v>
      </c>
      <c r="AA48" s="30">
        <v>0</v>
      </c>
      <c r="AB48" s="30"/>
      <c r="AC48" s="30">
        <f>(1 - CUSTOS!$M$31)*205.3842</f>
        <v>205.38419999999999</v>
      </c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P48" s="30">
        <f>IF((1 - CUSTOS!$M$31)&lt;&gt;0,1/(1 - CUSTOS!$M$31),1)</f>
        <v>1</v>
      </c>
    </row>
    <row r="49" spans="1:42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/>
      <c r="M49" s="30"/>
      <c r="N49" s="30"/>
      <c r="O49" s="30"/>
      <c r="P49" s="30"/>
      <c r="Q49" s="30"/>
      <c r="R49" s="30"/>
      <c r="S49" s="30"/>
      <c r="T49" s="30"/>
      <c r="U49" s="30">
        <v>0</v>
      </c>
      <c r="V49" s="30">
        <v>0</v>
      </c>
      <c r="W49" s="30">
        <f>(1 - CUSTOS!$M$31)*0.0111</f>
        <v>1.11E-2</v>
      </c>
      <c r="X49" s="30">
        <v>0</v>
      </c>
      <c r="Y49" s="30">
        <v>0</v>
      </c>
      <c r="Z49" s="30">
        <v>0</v>
      </c>
      <c r="AA49" s="30">
        <v>0</v>
      </c>
      <c r="AB49" s="30"/>
      <c r="AC49" s="30">
        <f>(1 - CUSTOS!$M$31)*205.3842</f>
        <v>205.38419999999999</v>
      </c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P49" s="30">
        <f>IF((1 - CUSTOS!$M$31)&lt;&gt;0,1/(1 - CUSTOS!$M$31),1)</f>
        <v>1</v>
      </c>
    </row>
    <row r="50" spans="1:42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/>
      <c r="M50" s="30"/>
      <c r="N50" s="30"/>
      <c r="O50" s="30"/>
      <c r="P50" s="30"/>
      <c r="Q50" s="30"/>
      <c r="R50" s="30"/>
      <c r="S50" s="30"/>
      <c r="T50" s="30"/>
      <c r="U50" s="30">
        <v>0</v>
      </c>
      <c r="V50" s="30">
        <v>0</v>
      </c>
      <c r="W50" s="30">
        <f>(1 - CUSTOS!$M$32)*0.0111</f>
        <v>6.1050000000000011E-3</v>
      </c>
      <c r="X50" s="30">
        <v>0</v>
      </c>
      <c r="Y50" s="30">
        <v>0</v>
      </c>
      <c r="Z50" s="30">
        <v>0</v>
      </c>
      <c r="AA50" s="30">
        <v>0</v>
      </c>
      <c r="AB50" s="30"/>
      <c r="AC50" s="30">
        <f>(1 - CUSTOS!$M$32)*205.3842</f>
        <v>112.96131000000001</v>
      </c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P50" s="30">
        <f>IF((1 - CUSTOS!$M$32)&lt;&gt;0,1/(1 - CUSTOS!$M$32),1)</f>
        <v>1.8181818181818181</v>
      </c>
    </row>
    <row r="51" spans="1:42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/>
      <c r="M51" s="30"/>
      <c r="N51" s="30"/>
      <c r="O51" s="30"/>
      <c r="P51" s="30"/>
      <c r="Q51" s="30"/>
      <c r="R51" s="30"/>
      <c r="S51" s="30"/>
      <c r="T51" s="30"/>
      <c r="U51" s="30">
        <v>0</v>
      </c>
      <c r="V51" s="30">
        <v>0</v>
      </c>
      <c r="W51" s="30">
        <f>(1 - CUSTOS!$M$33)*0.0111</f>
        <v>6.6600000000000001E-3</v>
      </c>
      <c r="X51" s="30">
        <v>0</v>
      </c>
      <c r="Y51" s="30">
        <v>0</v>
      </c>
      <c r="Z51" s="30">
        <v>0</v>
      </c>
      <c r="AA51" s="30">
        <v>0</v>
      </c>
      <c r="AB51" s="30"/>
      <c r="AC51" s="30">
        <f>(1 - CUSTOS!$M$33)*205.3842</f>
        <v>123.23051999999998</v>
      </c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P51" s="30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4478-77E0-496F-A556-032B0A5540DD}">
  <dimension ref="A1:AP70"/>
  <sheetViews>
    <sheetView showGridLines="0" topLeftCell="C39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0.85546875" style="9" bestFit="1" customWidth="1"/>
    <col min="18" max="19" width="10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662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P1" s="109" t="s">
        <v>663</v>
      </c>
    </row>
    <row r="2" spans="1:42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P2" s="110"/>
    </row>
    <row r="3" spans="1:42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/>
      <c r="U3" s="109" t="s">
        <v>570</v>
      </c>
      <c r="V3" s="109"/>
      <c r="W3" s="109"/>
      <c r="X3" s="109"/>
      <c r="Y3" s="109"/>
      <c r="Z3" s="109"/>
      <c r="AA3" s="109"/>
      <c r="AB3" s="109"/>
      <c r="AC3" s="109" t="s">
        <v>578</v>
      </c>
      <c r="AD3" s="109"/>
      <c r="AE3" s="109" t="s">
        <v>580</v>
      </c>
      <c r="AF3" s="109"/>
      <c r="AG3" s="109"/>
      <c r="AH3" s="109" t="s">
        <v>583</v>
      </c>
      <c r="AI3" s="109"/>
      <c r="AJ3" s="109"/>
      <c r="AK3" s="109"/>
      <c r="AL3" s="109"/>
      <c r="AM3" s="109" t="s">
        <v>569</v>
      </c>
      <c r="AP3" s="110"/>
    </row>
    <row r="4" spans="1:42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569</v>
      </c>
      <c r="U4" s="32" t="s">
        <v>571</v>
      </c>
      <c r="V4" s="32" t="s">
        <v>572</v>
      </c>
      <c r="W4" s="32" t="s">
        <v>573</v>
      </c>
      <c r="X4" s="32" t="s">
        <v>574</v>
      </c>
      <c r="Y4" s="32" t="s">
        <v>575</v>
      </c>
      <c r="Z4" s="32" t="s">
        <v>576</v>
      </c>
      <c r="AA4" s="32" t="s">
        <v>577</v>
      </c>
      <c r="AB4" s="32" t="s">
        <v>569</v>
      </c>
      <c r="AC4" s="32" t="s">
        <v>579</v>
      </c>
      <c r="AD4" s="32" t="s">
        <v>569</v>
      </c>
      <c r="AE4" s="32" t="s">
        <v>581</v>
      </c>
      <c r="AF4" s="32" t="s">
        <v>582</v>
      </c>
      <c r="AG4" s="32" t="s">
        <v>569</v>
      </c>
      <c r="AH4" s="32" t="s">
        <v>584</v>
      </c>
      <c r="AI4" s="32" t="s">
        <v>585</v>
      </c>
      <c r="AJ4" s="32" t="s">
        <v>586</v>
      </c>
      <c r="AK4" s="32" t="s">
        <v>587</v>
      </c>
      <c r="AL4" s="32" t="s">
        <v>569</v>
      </c>
      <c r="AM4" s="111"/>
      <c r="AP4" s="110"/>
    </row>
    <row r="5" spans="1:42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/>
      <c r="U5" s="30">
        <f>TRANSICAO!$U$5*CUSTOS!$R$3</f>
        <v>0</v>
      </c>
      <c r="V5" s="30">
        <f>TRANSICAO!$V$5*CUSTOS!$R$3</f>
        <v>0</v>
      </c>
      <c r="W5" s="30">
        <f>TRANSICAO!$W$5*CUSTOS!$R$3</f>
        <v>2.3E-3</v>
      </c>
      <c r="X5" s="30">
        <f>TRANSICAO!$X$5*CUSTOS!$R$3</f>
        <v>0</v>
      </c>
      <c r="Y5" s="30">
        <f>TRANSICAO!$Y$5*CUSTOS!$R$3</f>
        <v>0</v>
      </c>
      <c r="Z5" s="30">
        <f>TRANSICAO!$Z$5*CUSTOS!$R$3</f>
        <v>0</v>
      </c>
      <c r="AA5" s="30">
        <f>TRANSICAO!$AA$5*CUSTOS!$R$3</f>
        <v>0</v>
      </c>
      <c r="AB5" s="30">
        <f>TRANSICAO!$AB$5*CUSTOS!$R$3</f>
        <v>0</v>
      </c>
      <c r="AC5" s="30">
        <f>TRANSICAO!$AC$5*CUSTOS!$R$3</f>
        <v>47.021900000000002</v>
      </c>
      <c r="AD5" s="30">
        <f>TRANSICAO!$AD$5*CUSTOS!$R$3</f>
        <v>0</v>
      </c>
      <c r="AE5" s="30">
        <v>0</v>
      </c>
      <c r="AF5" s="30">
        <v>0</v>
      </c>
      <c r="AG5" s="30"/>
      <c r="AH5" s="30">
        <v>0</v>
      </c>
      <c r="AI5" s="30">
        <v>0</v>
      </c>
      <c r="AJ5" s="30">
        <v>0</v>
      </c>
      <c r="AK5" s="30">
        <f t="shared" ref="AK5:AK51" si="0">AJ5</f>
        <v>0</v>
      </c>
      <c r="AL5" s="30"/>
      <c r="AM5" s="30"/>
      <c r="AP5" s="30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/>
      <c r="U6" s="30">
        <f>TRANSICAO!$U$6*CUSTOS!$R$3</f>
        <v>0</v>
      </c>
      <c r="V6" s="30">
        <f>TRANSICAO!$V$6*CUSTOS!$R$3</f>
        <v>0</v>
      </c>
      <c r="W6" s="30">
        <f>TRANSICAO!$W$6*CUSTOS!$R$3</f>
        <v>6.9999999999999999E-4</v>
      </c>
      <c r="X6" s="30">
        <f>TRANSICAO!$X$6*CUSTOS!$R$3</f>
        <v>0</v>
      </c>
      <c r="Y6" s="30">
        <f>TRANSICAO!$Y$6*CUSTOS!$R$3</f>
        <v>0</v>
      </c>
      <c r="Z6" s="30">
        <f>TRANSICAO!$Z$6*CUSTOS!$R$3</f>
        <v>0</v>
      </c>
      <c r="AA6" s="30">
        <f>TRANSICAO!$AA$6*CUSTOS!$R$3</f>
        <v>0</v>
      </c>
      <c r="AB6" s="30">
        <f>TRANSICAO!$AB$6*CUSTOS!$R$3</f>
        <v>0</v>
      </c>
      <c r="AC6" s="30">
        <f>TRANSICAO!$AC$6*CUSTOS!$R$3</f>
        <v>15.678000000000001</v>
      </c>
      <c r="AD6" s="30">
        <f>TRANSICAO!$AD$6*CUSTOS!$R$3</f>
        <v>0</v>
      </c>
      <c r="AE6" s="30">
        <v>0</v>
      </c>
      <c r="AF6" s="30">
        <v>0</v>
      </c>
      <c r="AG6" s="30"/>
      <c r="AH6" s="30">
        <v>0</v>
      </c>
      <c r="AI6" s="30">
        <v>0</v>
      </c>
      <c r="AJ6" s="30">
        <v>0</v>
      </c>
      <c r="AK6" s="30">
        <f t="shared" si="0"/>
        <v>0</v>
      </c>
      <c r="AL6" s="30"/>
      <c r="AM6" s="30"/>
      <c r="AP6" s="30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>
        <f>0.84</f>
        <v>0.84</v>
      </c>
      <c r="M7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7" s="30">
        <f ca="1">(+M7+O7+R7+U7+V7+W7+X7+Y7+Z7+AA7+AC7+AH7+AI7+AJ7+AK7)*CUSTOS!$M$5</f>
        <v>1.0464205993545941</v>
      </c>
      <c r="O7" s="30">
        <v>1</v>
      </c>
      <c r="P7" s="30">
        <v>1</v>
      </c>
      <c r="Q7" s="30">
        <f>0.84</f>
        <v>0.84</v>
      </c>
      <c r="R7" s="30">
        <v>1</v>
      </c>
      <c r="S7" s="30">
        <v>1</v>
      </c>
      <c r="T7" s="30"/>
      <c r="U7" s="30">
        <f>TRANSICAO!$U$7*CUSTOS!$R$3</f>
        <v>0</v>
      </c>
      <c r="V7" s="30">
        <f>TRANSICAO!$V$7*CUSTOS!$R$3</f>
        <v>0</v>
      </c>
      <c r="W7" s="30">
        <f>TRANSICAO!$W$7*CUSTOS!$R$3</f>
        <v>0</v>
      </c>
      <c r="X7" s="30">
        <f>TRANSICAO!$X$7*CUSTOS!$R$3</f>
        <v>0</v>
      </c>
      <c r="Y7" s="30">
        <f>TRANSICAO!$Y$7*CUSTOS!$R$3</f>
        <v>0</v>
      </c>
      <c r="Z7" s="30">
        <f>TRANSICAO!$Z$7*CUSTOS!$R$3</f>
        <v>0</v>
      </c>
      <c r="AA7" s="30">
        <f>TRANSICAO!$AA$7*CUSTOS!$R$3</f>
        <v>0</v>
      </c>
      <c r="AB7" s="30">
        <f>TRANSICAO!$AB$7*CUSTOS!$R$3</f>
        <v>0</v>
      </c>
      <c r="AC7" s="30">
        <f>TRANSICAO!$AC$7*CUSTOS!$R$3</f>
        <v>0</v>
      </c>
      <c r="AD7" s="30">
        <f>TRANSICAO!$AD$7*CUSTOS!$R$3</f>
        <v>0</v>
      </c>
      <c r="AE7" s="30">
        <v>0</v>
      </c>
      <c r="AF7" s="30">
        <v>0</v>
      </c>
      <c r="AG7" s="30"/>
      <c r="AH7" s="30">
        <v>12.7735</v>
      </c>
      <c r="AI7" s="30">
        <v>12.7735</v>
      </c>
      <c r="AJ7" s="30">
        <f ca="1">$N$63</f>
        <v>38.148156172210491</v>
      </c>
      <c r="AK7" s="30">
        <f t="shared" ca="1" si="0"/>
        <v>38.148156172210491</v>
      </c>
      <c r="AL7" s="30"/>
      <c r="AM7" s="30"/>
      <c r="AP7" s="30">
        <v>1</v>
      </c>
    </row>
    <row r="8" spans="1:42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>
        <v>0</v>
      </c>
      <c r="M8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8" s="30">
        <f ca="1">(+M8+O8+R8+U8+V8+W8+X8+Y8+Z8+AA8+AC8+AH8+AI8+AJ8+AK8)*CUSTOS!$M$5</f>
        <v>1.0364205993545941</v>
      </c>
      <c r="O8" s="30">
        <v>1</v>
      </c>
      <c r="P8" s="30">
        <v>0</v>
      </c>
      <c r="Q8" s="30">
        <v>0</v>
      </c>
      <c r="R8" s="30">
        <v>0</v>
      </c>
      <c r="S8" s="30">
        <v>0</v>
      </c>
      <c r="T8" s="30"/>
      <c r="U8" s="30">
        <f>TRANSICAO!$U$8*CUSTOS!$R$3</f>
        <v>0</v>
      </c>
      <c r="V8" s="30">
        <f>TRANSICAO!$V$8*CUSTOS!$R$3</f>
        <v>0</v>
      </c>
      <c r="W8" s="30">
        <f>TRANSICAO!$W$8*CUSTOS!$R$3</f>
        <v>0</v>
      </c>
      <c r="X8" s="30">
        <f>TRANSICAO!$X$8*CUSTOS!$R$3</f>
        <v>0</v>
      </c>
      <c r="Y8" s="30">
        <f>TRANSICAO!$Y$8*CUSTOS!$R$3</f>
        <v>0</v>
      </c>
      <c r="Z8" s="30">
        <f>TRANSICAO!$Z$8*CUSTOS!$R$3</f>
        <v>0</v>
      </c>
      <c r="AA8" s="30">
        <f>TRANSICAO!$AA$8*CUSTOS!$R$3</f>
        <v>0</v>
      </c>
      <c r="AB8" s="30">
        <f>TRANSICAO!$AB$8*CUSTOS!$R$3</f>
        <v>0</v>
      </c>
      <c r="AC8" s="30">
        <f>TRANSICAO!$AC$8*CUSTOS!$R$3</f>
        <v>0</v>
      </c>
      <c r="AD8" s="30">
        <f>TRANSICAO!$AD$8*CUSTOS!$R$3</f>
        <v>0</v>
      </c>
      <c r="AE8" s="30">
        <v>0</v>
      </c>
      <c r="AF8" s="30">
        <v>0</v>
      </c>
      <c r="AG8" s="30"/>
      <c r="AH8" s="30">
        <v>12.7735</v>
      </c>
      <c r="AI8" s="30">
        <v>12.7735</v>
      </c>
      <c r="AJ8" s="30">
        <f ca="1">$N$63</f>
        <v>38.148156172210491</v>
      </c>
      <c r="AK8" s="30">
        <f t="shared" ca="1" si="0"/>
        <v>38.148156172210491</v>
      </c>
      <c r="AL8" s="30"/>
      <c r="AM8" s="30"/>
      <c r="AP8" s="30">
        <v>1</v>
      </c>
    </row>
    <row r="9" spans="1:42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>
        <v>0</v>
      </c>
      <c r="M9" s="30">
        <v>4.9099999999999998E-2</v>
      </c>
      <c r="N9" s="30">
        <f>0.1233</f>
        <v>0.12330000000000001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/>
      <c r="U9" s="30">
        <f>TRANSICAO!$U$9*CUSTOS!$R$4</f>
        <v>0</v>
      </c>
      <c r="V9" s="30">
        <f>TRANSICAO!$V$9*CUSTOS!$R$4</f>
        <v>0</v>
      </c>
      <c r="W9" s="30">
        <f>TRANSICAO!$W$9*CUSTOS!$R$4</f>
        <v>0</v>
      </c>
      <c r="X9" s="30">
        <f>TRANSICAO!$X$9*CUSTOS!$R$4</f>
        <v>0</v>
      </c>
      <c r="Y9" s="30">
        <f>TRANSICAO!$Y$9*CUSTOS!$R$4</f>
        <v>0</v>
      </c>
      <c r="Z9" s="30">
        <f>TRANSICAO!$Z$9*CUSTOS!$R$4</f>
        <v>0</v>
      </c>
      <c r="AA9" s="30">
        <f>TRANSICAO!$AA$9*CUSTOS!$R$4</f>
        <v>0</v>
      </c>
      <c r="AB9" s="30">
        <f>TRANSICAO!$AB$9*CUSTOS!$R$4</f>
        <v>0</v>
      </c>
      <c r="AC9" s="30">
        <f>TRANSICAO!$AC$9*CUSTOS!$R$4</f>
        <v>12.285399999999999</v>
      </c>
      <c r="AD9" s="30">
        <f>TRANSICAO!$AD$9*CUSTOS!$R$4</f>
        <v>0</v>
      </c>
      <c r="AE9" s="30">
        <v>0</v>
      </c>
      <c r="AF9" s="30">
        <v>0</v>
      </c>
      <c r="AG9" s="30"/>
      <c r="AH9" s="30">
        <v>0</v>
      </c>
      <c r="AI9" s="30">
        <v>0</v>
      </c>
      <c r="AJ9" s="30">
        <v>0</v>
      </c>
      <c r="AK9" s="30">
        <f t="shared" si="0"/>
        <v>0</v>
      </c>
      <c r="AL9" s="30"/>
      <c r="AM9" s="30"/>
      <c r="AP9" s="30"/>
    </row>
    <row r="10" spans="1:42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/>
      <c r="U10" s="30">
        <f>TRANSICAO!$U$10*CUSTOS!$R$3</f>
        <v>0</v>
      </c>
      <c r="V10" s="30">
        <f>TRANSICAO!$V$10*CUSTOS!$R$3</f>
        <v>0</v>
      </c>
      <c r="W10" s="30">
        <f>TRANSICAO!$W$10*CUSTOS!$R$3</f>
        <v>6.9999999999999999E-4</v>
      </c>
      <c r="X10" s="30">
        <f>TRANSICAO!$X$10*CUSTOS!$R$3</f>
        <v>0</v>
      </c>
      <c r="Y10" s="30">
        <f>TRANSICAO!$Y$10*CUSTOS!$R$3</f>
        <v>0</v>
      </c>
      <c r="Z10" s="30">
        <f>TRANSICAO!$Z$10*CUSTOS!$R$3</f>
        <v>0</v>
      </c>
      <c r="AA10" s="30">
        <f>TRANSICAO!$AA$10*CUSTOS!$R$3</f>
        <v>0</v>
      </c>
      <c r="AB10" s="30">
        <f>TRANSICAO!$AB$10*CUSTOS!$R$3</f>
        <v>0</v>
      </c>
      <c r="AC10" s="30">
        <f>TRANSICAO!$AC$10*CUSTOS!$R$3</f>
        <v>15.678000000000001</v>
      </c>
      <c r="AD10" s="30">
        <f>TRANSICAO!$AD$10*CUSTOS!$R$3</f>
        <v>0</v>
      </c>
      <c r="AE10" s="30">
        <v>0</v>
      </c>
      <c r="AF10" s="30">
        <v>0</v>
      </c>
      <c r="AG10" s="30"/>
      <c r="AH10" s="30">
        <v>0</v>
      </c>
      <c r="AI10" s="30">
        <v>0</v>
      </c>
      <c r="AJ10" s="30">
        <v>0</v>
      </c>
      <c r="AK10" s="30">
        <f t="shared" si="0"/>
        <v>0</v>
      </c>
      <c r="AL10" s="30"/>
      <c r="AM10" s="30"/>
      <c r="AP10" s="30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>
        <f>0.84</f>
        <v>0.84</v>
      </c>
      <c r="M11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11" s="30">
        <f ca="1">(+M11+O11+R11+U11+V11+W11+X11+Y11+Z11+AA11+AC11+AH11+AI11+AJ11+AK11)*CUSTOS!$M$5</f>
        <v>12.355753599354594</v>
      </c>
      <c r="O11" s="30">
        <v>1</v>
      </c>
      <c r="P11" s="30">
        <v>1</v>
      </c>
      <c r="Q11" s="30">
        <f>0.84</f>
        <v>0.84</v>
      </c>
      <c r="R11" s="30">
        <v>1</v>
      </c>
      <c r="S11" s="30">
        <v>1</v>
      </c>
      <c r="T11" s="30"/>
      <c r="U11" s="30">
        <f>TRANSICAO!$U$11*CUSTOS!$R$3</f>
        <v>0</v>
      </c>
      <c r="V11" s="30">
        <f>TRANSICAO!$V$11*CUSTOS!$R$3</f>
        <v>0</v>
      </c>
      <c r="W11" s="30">
        <f>TRANSICAO!$W$11*CUSTOS!$R$3</f>
        <v>5.4399999999999997E-2</v>
      </c>
      <c r="X11" s="30">
        <f>TRANSICAO!$X$11*CUSTOS!$R$3</f>
        <v>0</v>
      </c>
      <c r="Y11" s="30">
        <f>TRANSICAO!$Y$11*CUSTOS!$R$3</f>
        <v>0</v>
      </c>
      <c r="Z11" s="30">
        <f>TRANSICAO!$Z$11*CUSTOS!$R$3</f>
        <v>0</v>
      </c>
      <c r="AA11" s="30">
        <f>TRANSICAO!$AA$11*CUSTOS!$R$3</f>
        <v>0</v>
      </c>
      <c r="AB11" s="30">
        <f>TRANSICAO!$AB$11*CUSTOS!$R$3</f>
        <v>0</v>
      </c>
      <c r="AC11" s="30">
        <f>TRANSICAO!$AC$11*CUSTOS!$R$3</f>
        <v>1130.8788999999999</v>
      </c>
      <c r="AD11" s="30">
        <f>TRANSICAO!$AD$11*CUSTOS!$R$3</f>
        <v>0</v>
      </c>
      <c r="AE11" s="30">
        <v>0</v>
      </c>
      <c r="AF11" s="30">
        <v>0</v>
      </c>
      <c r="AG11" s="30"/>
      <c r="AH11" s="30">
        <v>12.7735</v>
      </c>
      <c r="AI11" s="30">
        <v>12.7735</v>
      </c>
      <c r="AJ11" s="30">
        <f ca="1">$N$63</f>
        <v>38.148156172210491</v>
      </c>
      <c r="AK11" s="30">
        <f t="shared" ca="1" si="0"/>
        <v>38.148156172210491</v>
      </c>
      <c r="AL11" s="30"/>
      <c r="AM11" s="30"/>
      <c r="AP11" s="30">
        <v>1</v>
      </c>
    </row>
    <row r="12" spans="1:42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>
        <f>0.84</f>
        <v>0.84</v>
      </c>
      <c r="M12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12" s="30">
        <f ca="1">(+M12+O12+R12+U12+V12+W12+X12+Y12+Z12+AA12+AC12+AH12+AI12+AJ12+AK12)*CUSTOS!$M$5</f>
        <v>1.0464205993545941</v>
      </c>
      <c r="O12" s="30">
        <v>1</v>
      </c>
      <c r="P12" s="30">
        <v>1</v>
      </c>
      <c r="Q12" s="30">
        <f>0.84</f>
        <v>0.84</v>
      </c>
      <c r="R12" s="30">
        <v>1</v>
      </c>
      <c r="S12" s="30">
        <v>1</v>
      </c>
      <c r="T12" s="30"/>
      <c r="U12" s="30">
        <f>TRANSICAO!$U$12*CUSTOS!$R$3</f>
        <v>0</v>
      </c>
      <c r="V12" s="30">
        <f>TRANSICAO!$V$12*CUSTOS!$R$3</f>
        <v>0</v>
      </c>
      <c r="W12" s="30">
        <f>TRANSICAO!$W$12*CUSTOS!$R$3</f>
        <v>0</v>
      </c>
      <c r="X12" s="30">
        <f>TRANSICAO!$X$12*CUSTOS!$R$3</f>
        <v>0</v>
      </c>
      <c r="Y12" s="30">
        <f>TRANSICAO!$Y$12*CUSTOS!$R$3</f>
        <v>0</v>
      </c>
      <c r="Z12" s="30">
        <f>TRANSICAO!$Z$12*CUSTOS!$R$3</f>
        <v>0</v>
      </c>
      <c r="AA12" s="30">
        <f>TRANSICAO!$AA$12*CUSTOS!$R$3</f>
        <v>0</v>
      </c>
      <c r="AB12" s="30">
        <f>TRANSICAO!$AB$12*CUSTOS!$R$3</f>
        <v>0</v>
      </c>
      <c r="AC12" s="30">
        <f>TRANSICAO!$AC$12*CUSTOS!$R$3</f>
        <v>0</v>
      </c>
      <c r="AD12" s="30">
        <f>TRANSICAO!$AD$12*CUSTOS!$R$3</f>
        <v>0</v>
      </c>
      <c r="AE12" s="30">
        <v>0</v>
      </c>
      <c r="AF12" s="30">
        <v>0</v>
      </c>
      <c r="AG12" s="30"/>
      <c r="AH12" s="30">
        <v>12.7735</v>
      </c>
      <c r="AI12" s="30">
        <v>12.7735</v>
      </c>
      <c r="AJ12" s="30">
        <f ca="1">$N$63</f>
        <v>38.148156172210491</v>
      </c>
      <c r="AK12" s="30">
        <f t="shared" ca="1" si="0"/>
        <v>38.148156172210491</v>
      </c>
      <c r="AL12" s="30"/>
      <c r="AM12" s="30"/>
      <c r="AP12" s="30">
        <v>1</v>
      </c>
    </row>
    <row r="13" spans="1:42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>
        <v>0</v>
      </c>
      <c r="M13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13" s="30">
        <f ca="1">(+M13+O13+R13+U13+V13+W13+X13+Y13+Z13+AA13+AC13+AH13+AI13+AJ13+AK13)*CUSTOS!$M$5</f>
        <v>12.345753599354595</v>
      </c>
      <c r="O13" s="30">
        <v>1</v>
      </c>
      <c r="P13" s="30">
        <v>0</v>
      </c>
      <c r="Q13" s="30">
        <v>0</v>
      </c>
      <c r="R13" s="30">
        <v>0</v>
      </c>
      <c r="S13" s="30">
        <v>0</v>
      </c>
      <c r="T13" s="30"/>
      <c r="U13" s="30">
        <f>TRANSICAO!$U$13*CUSTOS!$R$3</f>
        <v>0</v>
      </c>
      <c r="V13" s="30">
        <f>TRANSICAO!$V$13*CUSTOS!$R$3</f>
        <v>0</v>
      </c>
      <c r="W13" s="30">
        <f>TRANSICAO!$W$13*CUSTOS!$R$3</f>
        <v>5.4399999999999997E-2</v>
      </c>
      <c r="X13" s="30">
        <f>TRANSICAO!$X$13*CUSTOS!$R$3</f>
        <v>0</v>
      </c>
      <c r="Y13" s="30">
        <f>TRANSICAO!$Y$13*CUSTOS!$R$3</f>
        <v>0</v>
      </c>
      <c r="Z13" s="30">
        <f>TRANSICAO!$Z$13*CUSTOS!$R$3</f>
        <v>0</v>
      </c>
      <c r="AA13" s="30">
        <f>TRANSICAO!$AA$13*CUSTOS!$R$3</f>
        <v>0</v>
      </c>
      <c r="AB13" s="30">
        <f>TRANSICAO!$AB$13*CUSTOS!$R$3</f>
        <v>0</v>
      </c>
      <c r="AC13" s="30">
        <f>TRANSICAO!$AC$13*CUSTOS!$R$3</f>
        <v>1130.8788999999999</v>
      </c>
      <c r="AD13" s="30">
        <f>TRANSICAO!$AD$13*CUSTOS!$R$3</f>
        <v>0</v>
      </c>
      <c r="AE13" s="30">
        <v>0</v>
      </c>
      <c r="AF13" s="30">
        <v>0</v>
      </c>
      <c r="AG13" s="30"/>
      <c r="AH13" s="30">
        <v>12.7735</v>
      </c>
      <c r="AI13" s="30">
        <v>12.7735</v>
      </c>
      <c r="AJ13" s="30">
        <f ca="1">$N$63</f>
        <v>38.148156172210491</v>
      </c>
      <c r="AK13" s="30">
        <f t="shared" ca="1" si="0"/>
        <v>38.148156172210491</v>
      </c>
      <c r="AL13" s="30"/>
      <c r="AM13" s="30"/>
      <c r="AP13" s="30">
        <v>1</v>
      </c>
    </row>
    <row r="14" spans="1:42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>
        <v>0</v>
      </c>
      <c r="M14" s="30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0.79874759103841475</v>
      </c>
      <c r="N14" s="30">
        <f ca="1">(+M14+O14+R14+U14+V14+W14+X14+Y14+Z14+AA14+AC14+AH14+AI14+AJ14+AK14)*CUSTOS!$M$5</f>
        <v>1.0364205993545941</v>
      </c>
      <c r="O14" s="30">
        <v>1</v>
      </c>
      <c r="P14" s="30">
        <v>0</v>
      </c>
      <c r="Q14" s="30">
        <v>0</v>
      </c>
      <c r="R14" s="30">
        <v>0</v>
      </c>
      <c r="S14" s="30">
        <v>0</v>
      </c>
      <c r="T14" s="30"/>
      <c r="U14" s="30">
        <f>TRANSICAO!$U$14*CUSTOS!$R$3</f>
        <v>0</v>
      </c>
      <c r="V14" s="30">
        <f>TRANSICAO!$V$14*CUSTOS!$R$3</f>
        <v>0</v>
      </c>
      <c r="W14" s="30">
        <f>TRANSICAO!$W$14*CUSTOS!$R$3</f>
        <v>0</v>
      </c>
      <c r="X14" s="30">
        <f>TRANSICAO!$X$14*CUSTOS!$R$3</f>
        <v>0</v>
      </c>
      <c r="Y14" s="30">
        <f>TRANSICAO!$Y$14*CUSTOS!$R$3</f>
        <v>0</v>
      </c>
      <c r="Z14" s="30">
        <f>TRANSICAO!$Z$14*CUSTOS!$R$3</f>
        <v>0</v>
      </c>
      <c r="AA14" s="30">
        <f>TRANSICAO!$AA$14*CUSTOS!$R$3</f>
        <v>0</v>
      </c>
      <c r="AB14" s="30">
        <f>TRANSICAO!$AB$14*CUSTOS!$R$3</f>
        <v>0</v>
      </c>
      <c r="AC14" s="30">
        <f>TRANSICAO!$AC$14*CUSTOS!$R$3</f>
        <v>0</v>
      </c>
      <c r="AD14" s="30">
        <f>TRANSICAO!$AD$14*CUSTOS!$R$3</f>
        <v>0</v>
      </c>
      <c r="AE14" s="30">
        <v>0</v>
      </c>
      <c r="AF14" s="30">
        <v>0</v>
      </c>
      <c r="AG14" s="30"/>
      <c r="AH14" s="30">
        <v>12.7735</v>
      </c>
      <c r="AI14" s="30">
        <v>12.7735</v>
      </c>
      <c r="AJ14" s="30">
        <f ca="1">$N$63</f>
        <v>38.148156172210491</v>
      </c>
      <c r="AK14" s="30">
        <f t="shared" ca="1" si="0"/>
        <v>38.148156172210491</v>
      </c>
      <c r="AL14" s="30"/>
      <c r="AM14" s="30"/>
      <c r="AP14" s="30">
        <v>1</v>
      </c>
    </row>
    <row r="15" spans="1:42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>
        <v>0</v>
      </c>
      <c r="M15" s="30">
        <v>1.43E-2</v>
      </c>
      <c r="N15" s="30">
        <f>0.0358</f>
        <v>3.5799999999999998E-2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/>
      <c r="U15" s="30">
        <f>TRANSICAO!$U$15*CUSTOS!$T$4</f>
        <v>0</v>
      </c>
      <c r="V15" s="30">
        <f>TRANSICAO!$V$15*CUSTOS!$T$4</f>
        <v>0</v>
      </c>
      <c r="W15" s="30">
        <f>TRANSICAO!$W$15*CUSTOS!$T$4</f>
        <v>0</v>
      </c>
      <c r="X15" s="30">
        <f>TRANSICAO!$X$15*CUSTOS!$T$4</f>
        <v>0</v>
      </c>
      <c r="Y15" s="30">
        <f>TRANSICAO!$Y$15*CUSTOS!$T$4</f>
        <v>0</v>
      </c>
      <c r="Z15" s="30">
        <f>TRANSICAO!$Z$15*CUSTOS!$T$4</f>
        <v>0</v>
      </c>
      <c r="AA15" s="30">
        <f>TRANSICAO!$AA$15*CUSTOS!$T$4</f>
        <v>0</v>
      </c>
      <c r="AB15" s="30">
        <f>TRANSICAO!$AB$15*CUSTOS!$T$4</f>
        <v>0</v>
      </c>
      <c r="AC15" s="30">
        <f>TRANSICAO!$AC$15*CUSTOS!$T$4</f>
        <v>3.5682</v>
      </c>
      <c r="AD15" s="30">
        <f>TRANSICAO!$AD$15*CUSTOS!$T$4</f>
        <v>0</v>
      </c>
      <c r="AE15" s="30">
        <v>0</v>
      </c>
      <c r="AF15" s="30">
        <v>0</v>
      </c>
      <c r="AG15" s="30"/>
      <c r="AH15" s="30">
        <v>0</v>
      </c>
      <c r="AI15" s="30">
        <v>0</v>
      </c>
      <c r="AJ15" s="30">
        <v>0</v>
      </c>
      <c r="AK15" s="30">
        <f t="shared" si="0"/>
        <v>0</v>
      </c>
      <c r="AL15" s="30"/>
      <c r="AM15" s="30"/>
      <c r="AP15" s="30"/>
    </row>
    <row r="16" spans="1:42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>
        <v>0</v>
      </c>
      <c r="M16" s="30">
        <v>1.43E-2</v>
      </c>
      <c r="N16" s="30">
        <f>0.0358</f>
        <v>3.5799999999999998E-2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/>
      <c r="U16" s="30">
        <f>TRANSICAO!$U$16*CUSTOS!$T$4</f>
        <v>0</v>
      </c>
      <c r="V16" s="30">
        <f>TRANSICAO!$V$16*CUSTOS!$T$4</f>
        <v>0</v>
      </c>
      <c r="W16" s="30">
        <f>TRANSICAO!$W$16*CUSTOS!$T$4</f>
        <v>0</v>
      </c>
      <c r="X16" s="30">
        <f>TRANSICAO!$X$16*CUSTOS!$T$4</f>
        <v>0</v>
      </c>
      <c r="Y16" s="30">
        <f>TRANSICAO!$Y$16*CUSTOS!$T$4</f>
        <v>0</v>
      </c>
      <c r="Z16" s="30">
        <f>TRANSICAO!$Z$16*CUSTOS!$T$4</f>
        <v>0</v>
      </c>
      <c r="AA16" s="30">
        <f>TRANSICAO!$AA$16*CUSTOS!$T$4</f>
        <v>0</v>
      </c>
      <c r="AB16" s="30">
        <f>TRANSICAO!$AB$16*CUSTOS!$T$4</f>
        <v>0</v>
      </c>
      <c r="AC16" s="30">
        <f>TRANSICAO!$AC$16*CUSTOS!$T$4</f>
        <v>17.7395</v>
      </c>
      <c r="AD16" s="30">
        <f>TRANSICAO!$AD$16*CUSTOS!$T$4</f>
        <v>0</v>
      </c>
      <c r="AE16" s="30">
        <v>0</v>
      </c>
      <c r="AF16" s="30">
        <v>0</v>
      </c>
      <c r="AG16" s="30"/>
      <c r="AH16" s="30">
        <v>0</v>
      </c>
      <c r="AI16" s="30">
        <v>0</v>
      </c>
      <c r="AJ16" s="30">
        <v>0</v>
      </c>
      <c r="AK16" s="30">
        <f t="shared" si="0"/>
        <v>0</v>
      </c>
      <c r="AL16" s="30"/>
      <c r="AM16" s="30"/>
      <c r="AP16" s="30"/>
    </row>
    <row r="17" spans="1:42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>
        <f>1</f>
        <v>1</v>
      </c>
      <c r="M17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0.97395001014437776</v>
      </c>
      <c r="N17" s="30">
        <f ca="1">(+M17+O17+R17+U17+V17+W17+X17+Y17+Z17+AA17+AC17+AH17+AI17+AJ17+AK17)*CUSTOS!$M$5</f>
        <v>7.7688811139565717</v>
      </c>
      <c r="O17" s="30">
        <v>1</v>
      </c>
      <c r="P17" s="30">
        <v>1</v>
      </c>
      <c r="Q17" s="30">
        <f>1</f>
        <v>1</v>
      </c>
      <c r="R17" s="30">
        <v>1</v>
      </c>
      <c r="S17" s="30">
        <v>1</v>
      </c>
      <c r="T17" s="30"/>
      <c r="U17" s="30">
        <f>TRANSICAO!$U$17*CUSTOS!$T$3</f>
        <v>0</v>
      </c>
      <c r="V17" s="30">
        <f>TRANSICAO!$V$17*CUSTOS!$T$3</f>
        <v>0</v>
      </c>
      <c r="W17" s="30">
        <f>TRANSICAO!$W$17*CUSTOS!$T$3</f>
        <v>3.39E-2</v>
      </c>
      <c r="X17" s="30">
        <f>TRANSICAO!$X$17*CUSTOS!$T$3</f>
        <v>0</v>
      </c>
      <c r="Y17" s="30">
        <f>TRANSICAO!$Y$17*CUSTOS!$T$3</f>
        <v>0</v>
      </c>
      <c r="Z17" s="30">
        <f>TRANSICAO!$Z$17*CUSTOS!$T$3</f>
        <v>0</v>
      </c>
      <c r="AA17" s="30">
        <f>TRANSICAO!$AA$17*CUSTOS!$T$3</f>
        <v>0</v>
      </c>
      <c r="AB17" s="30">
        <f>TRANSICAO!$AB$17*CUSTOS!$T$3</f>
        <v>0</v>
      </c>
      <c r="AC17" s="30">
        <f>TRANSICAO!$AC$17*CUSTOS!$T$3</f>
        <v>626.42190000000005</v>
      </c>
      <c r="AD17" s="30">
        <f>TRANSICAO!$AD$17*CUSTOS!$T$3</f>
        <v>0</v>
      </c>
      <c r="AE17" s="30">
        <v>0</v>
      </c>
      <c r="AF17" s="30">
        <v>0</v>
      </c>
      <c r="AG17" s="30"/>
      <c r="AH17" s="30">
        <v>26.773599999999998</v>
      </c>
      <c r="AI17" s="30">
        <v>26.773599999999998</v>
      </c>
      <c r="AJ17" s="30">
        <f ca="1">$N$64</f>
        <v>46.955580692756364</v>
      </c>
      <c r="AK17" s="30">
        <f t="shared" ca="1" si="0"/>
        <v>46.955580692756364</v>
      </c>
      <c r="AL17" s="30"/>
      <c r="AM17" s="30"/>
      <c r="AP17" s="30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>
        <f>1</f>
        <v>1</v>
      </c>
      <c r="M18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0.97395001014437776</v>
      </c>
      <c r="N18" s="30">
        <f ca="1">(+M18+O18+R18+U18+V18+W18+X18+Y18+Z18+AA18+AC18+AH18+AI18+AJ18+AK18)*CUSTOS!$M$5</f>
        <v>5.2630571139565703</v>
      </c>
      <c r="O18" s="30">
        <v>1</v>
      </c>
      <c r="P18" s="30">
        <v>1</v>
      </c>
      <c r="Q18" s="30">
        <f>1</f>
        <v>1</v>
      </c>
      <c r="R18" s="30">
        <v>1</v>
      </c>
      <c r="S18" s="30">
        <v>1</v>
      </c>
      <c r="T18" s="30"/>
      <c r="U18" s="30">
        <f>TRANSICAO!$U$18*CUSTOS!$T$3</f>
        <v>0</v>
      </c>
      <c r="V18" s="30">
        <f>TRANSICAO!$V$18*CUSTOS!$T$3</f>
        <v>0</v>
      </c>
      <c r="W18" s="30">
        <f>TRANSICAO!$W$18*CUSTOS!$T$3</f>
        <v>2.0299999999999999E-2</v>
      </c>
      <c r="X18" s="30">
        <f>TRANSICAO!$X$18*CUSTOS!$T$3</f>
        <v>0</v>
      </c>
      <c r="Y18" s="30">
        <f>TRANSICAO!$Y$18*CUSTOS!$T$3</f>
        <v>0</v>
      </c>
      <c r="Z18" s="30">
        <f>TRANSICAO!$Z$18*CUSTOS!$T$3</f>
        <v>0</v>
      </c>
      <c r="AA18" s="30">
        <f>TRANSICAO!$AA$18*CUSTOS!$T$3</f>
        <v>0</v>
      </c>
      <c r="AB18" s="30">
        <f>TRANSICAO!$AB$18*CUSTOS!$T$3</f>
        <v>0</v>
      </c>
      <c r="AC18" s="30">
        <f>TRANSICAO!$AC$18*CUSTOS!$T$3</f>
        <v>375.85309999999998</v>
      </c>
      <c r="AD18" s="30">
        <f>TRANSICAO!$AD$18*CUSTOS!$T$3</f>
        <v>0</v>
      </c>
      <c r="AE18" s="30">
        <v>0</v>
      </c>
      <c r="AF18" s="30">
        <v>0</v>
      </c>
      <c r="AG18" s="30"/>
      <c r="AH18" s="30">
        <v>26.773599999999998</v>
      </c>
      <c r="AI18" s="30">
        <v>26.773599999999998</v>
      </c>
      <c r="AJ18" s="30">
        <f ca="1">$N$64</f>
        <v>46.955580692756364</v>
      </c>
      <c r="AK18" s="30">
        <f t="shared" ca="1" si="0"/>
        <v>46.955580692756364</v>
      </c>
      <c r="AL18" s="30"/>
      <c r="AM18" s="30"/>
      <c r="AP18" s="30">
        <v>1</v>
      </c>
    </row>
    <row r="19" spans="1:42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>
        <f>1</f>
        <v>1</v>
      </c>
      <c r="M19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0.97395001014437776</v>
      </c>
      <c r="N19" s="30">
        <f ca="1">(+M19+O19+R19+U19+V19+W19+X19+Y19+Z19+AA19+AC19+AH19+AI19+AJ19+AK19)*CUSTOS!$M$5</f>
        <v>2.7572351139565714</v>
      </c>
      <c r="O19" s="30">
        <v>1</v>
      </c>
      <c r="P19" s="30">
        <v>1</v>
      </c>
      <c r="Q19" s="30">
        <f>1</f>
        <v>1</v>
      </c>
      <c r="R19" s="30">
        <v>1</v>
      </c>
      <c r="S19" s="30">
        <v>1</v>
      </c>
      <c r="T19" s="30"/>
      <c r="U19" s="30">
        <f>TRANSICAO!$U$19*CUSTOS!$T$3</f>
        <v>0</v>
      </c>
      <c r="V19" s="30">
        <f>TRANSICAO!$V$19*CUSTOS!$T$3</f>
        <v>0</v>
      </c>
      <c r="W19" s="30">
        <f>TRANSICAO!$W$19*CUSTOS!$T$3</f>
        <v>6.7999999999999996E-3</v>
      </c>
      <c r="X19" s="30">
        <f>TRANSICAO!$X$19*CUSTOS!$T$3</f>
        <v>0</v>
      </c>
      <c r="Y19" s="30">
        <f>TRANSICAO!$Y$19*CUSTOS!$T$3</f>
        <v>0</v>
      </c>
      <c r="Z19" s="30">
        <f>TRANSICAO!$Z$19*CUSTOS!$T$3</f>
        <v>0</v>
      </c>
      <c r="AA19" s="30">
        <f>TRANSICAO!$AA$19*CUSTOS!$T$3</f>
        <v>0</v>
      </c>
      <c r="AB19" s="30">
        <f>TRANSICAO!$AB$19*CUSTOS!$T$3</f>
        <v>0</v>
      </c>
      <c r="AC19" s="30">
        <f>TRANSICAO!$AC$19*CUSTOS!$T$3</f>
        <v>125.28440000000001</v>
      </c>
      <c r="AD19" s="30">
        <f>TRANSICAO!$AD$19*CUSTOS!$T$3</f>
        <v>0</v>
      </c>
      <c r="AE19" s="30">
        <v>0</v>
      </c>
      <c r="AF19" s="30">
        <v>0</v>
      </c>
      <c r="AG19" s="30"/>
      <c r="AH19" s="30">
        <v>26.773599999999998</v>
      </c>
      <c r="AI19" s="30">
        <v>26.773599999999998</v>
      </c>
      <c r="AJ19" s="30">
        <f ca="1">$N$64</f>
        <v>46.955580692756364</v>
      </c>
      <c r="AK19" s="30">
        <f t="shared" ca="1" si="0"/>
        <v>46.955580692756364</v>
      </c>
      <c r="AL19" s="30"/>
      <c r="AM19" s="30"/>
      <c r="AP19" s="30">
        <v>1</v>
      </c>
    </row>
    <row r="20" spans="1:42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>
        <f>1</f>
        <v>1</v>
      </c>
      <c r="M20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0.97395001014437776</v>
      </c>
      <c r="N20" s="30">
        <f ca="1">(+M20+O20+R20+U20+V20+W20+X20+Y20+Z20+AA20+AC20+AH20+AI20+AJ20+AK20)*CUSTOS!$M$5</f>
        <v>3.5582761139565715</v>
      </c>
      <c r="O20" s="30">
        <v>1</v>
      </c>
      <c r="P20" s="30">
        <v>1</v>
      </c>
      <c r="Q20" s="30">
        <f>1</f>
        <v>1</v>
      </c>
      <c r="R20" s="30">
        <v>1</v>
      </c>
      <c r="S20" s="30">
        <v>1</v>
      </c>
      <c r="T20" s="30"/>
      <c r="U20" s="30">
        <f>TRANSICAO!$U$20*CUSTOS!$T$3</f>
        <v>0</v>
      </c>
      <c r="V20" s="30">
        <f>TRANSICAO!$V$20*CUSTOS!$T$3</f>
        <v>0</v>
      </c>
      <c r="W20" s="30">
        <f>TRANSICAO!$W$20*CUSTOS!$T$3</f>
        <v>1.11E-2</v>
      </c>
      <c r="X20" s="30">
        <f>TRANSICAO!$X$20*CUSTOS!$T$3</f>
        <v>0</v>
      </c>
      <c r="Y20" s="30">
        <f>TRANSICAO!$Y$20*CUSTOS!$T$3</f>
        <v>0</v>
      </c>
      <c r="Z20" s="30">
        <f>TRANSICAO!$Z$20*CUSTOS!$T$3</f>
        <v>0</v>
      </c>
      <c r="AA20" s="30">
        <f>TRANSICAO!$AA$20*CUSTOS!$T$3</f>
        <v>0</v>
      </c>
      <c r="AB20" s="30">
        <f>TRANSICAO!$AB$20*CUSTOS!$T$3</f>
        <v>0</v>
      </c>
      <c r="AC20" s="30">
        <f>TRANSICAO!$AC$20*CUSTOS!$T$3</f>
        <v>205.38419999999999</v>
      </c>
      <c r="AD20" s="30">
        <f>TRANSICAO!$AD$20*CUSTOS!$T$3</f>
        <v>0</v>
      </c>
      <c r="AE20" s="30">
        <v>0</v>
      </c>
      <c r="AF20" s="30">
        <v>0</v>
      </c>
      <c r="AG20" s="30"/>
      <c r="AH20" s="30">
        <v>26.773599999999998</v>
      </c>
      <c r="AI20" s="30">
        <v>26.773599999999998</v>
      </c>
      <c r="AJ20" s="30">
        <f ca="1">$N$64</f>
        <v>46.955580692756364</v>
      </c>
      <c r="AK20" s="30">
        <f t="shared" ca="1" si="0"/>
        <v>46.955580692756364</v>
      </c>
      <c r="AL20" s="30"/>
      <c r="AM20" s="30"/>
      <c r="AP20" s="30">
        <v>1</v>
      </c>
    </row>
    <row r="21" spans="1:42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>
        <v>0</v>
      </c>
      <c r="M21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0.97395001014437776</v>
      </c>
      <c r="N21" s="30">
        <f ca="1">(+M21+O21+R21+U21+V21+W21+X21+Y21+Z21+AA21+AC21+AH21+AI21+AJ21+AK21)*CUSTOS!$M$5</f>
        <v>3.5482761139565713</v>
      </c>
      <c r="O21" s="30">
        <f>1 - CUSTOS!$M$24</f>
        <v>1</v>
      </c>
      <c r="P21" s="30">
        <v>0</v>
      </c>
      <c r="Q21" s="30">
        <v>0</v>
      </c>
      <c r="R21" s="30">
        <v>0</v>
      </c>
      <c r="S21" s="30">
        <f>1 - CUSTOS!$M$24</f>
        <v>1</v>
      </c>
      <c r="T21" s="30"/>
      <c r="U21" s="30">
        <f>TRANSICAO!$U$21*CUSTOS!$T$3</f>
        <v>0</v>
      </c>
      <c r="V21" s="30">
        <f>TRANSICAO!$V$21*CUSTOS!$T$3</f>
        <v>0</v>
      </c>
      <c r="W21" s="30">
        <f>TRANSICAO!$W$21*CUSTOS!$T$3</f>
        <v>1.11E-2</v>
      </c>
      <c r="X21" s="30">
        <f>TRANSICAO!$X$21*CUSTOS!$T$3</f>
        <v>0</v>
      </c>
      <c r="Y21" s="30">
        <f>TRANSICAO!$Y$21*CUSTOS!$T$3</f>
        <v>0</v>
      </c>
      <c r="Z21" s="30">
        <f>TRANSICAO!$Z$21*CUSTOS!$T$3</f>
        <v>0</v>
      </c>
      <c r="AA21" s="30">
        <f>TRANSICAO!$AA$21*CUSTOS!$T$3</f>
        <v>0</v>
      </c>
      <c r="AB21" s="30">
        <f>TRANSICAO!$AB$21*CUSTOS!$T$3</f>
        <v>0</v>
      </c>
      <c r="AC21" s="30">
        <f>TRANSICAO!$AC$21*CUSTOS!$T$3</f>
        <v>205.38419999999999</v>
      </c>
      <c r="AD21" s="30">
        <f>TRANSICAO!$AD$21*CUSTOS!$T$3</f>
        <v>0</v>
      </c>
      <c r="AE21" s="30">
        <v>0</v>
      </c>
      <c r="AF21" s="30">
        <v>0</v>
      </c>
      <c r="AG21" s="30"/>
      <c r="AH21" s="30">
        <f>(1 - CUSTOS!$M$24)*26.7736</f>
        <v>26.773599999999998</v>
      </c>
      <c r="AI21" s="30">
        <f>(1 - CUSTOS!$M$24)*26.7736</f>
        <v>26.773599999999998</v>
      </c>
      <c r="AJ21" s="30">
        <f ca="1">$N$64*(1-CUSTOS!$M$24)</f>
        <v>46.955580692756364</v>
      </c>
      <c r="AK21" s="30">
        <f t="shared" ca="1" si="0"/>
        <v>46.955580692756364</v>
      </c>
      <c r="AL21" s="30"/>
      <c r="AM21" s="30"/>
      <c r="AP21" s="30">
        <f>IF((1 - CUSTOS!$M$24)&lt;&gt;0,1/(1 - CUSTOS!$M$24),1)</f>
        <v>1</v>
      </c>
    </row>
    <row r="22" spans="1:42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>
        <v>0</v>
      </c>
      <c r="M22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0.97395001014437776</v>
      </c>
      <c r="N22" s="30">
        <f ca="1">(+M22+O22+R22+U22+V22+W22+X22+Y22+Z22+AA22+AC22+AH22+AI22+AJ22+AK22)*CUSTOS!$M$5</f>
        <v>3.5482761139565713</v>
      </c>
      <c r="O22" s="30">
        <f>1 - CUSTOS!$M$25</f>
        <v>1</v>
      </c>
      <c r="P22" s="30">
        <v>0</v>
      </c>
      <c r="Q22" s="30">
        <v>0</v>
      </c>
      <c r="R22" s="30">
        <v>0</v>
      </c>
      <c r="S22" s="30">
        <f>1 - CUSTOS!$M$25</f>
        <v>1</v>
      </c>
      <c r="T22" s="30"/>
      <c r="U22" s="30">
        <f>TRANSICAO!$U$22*CUSTOS!$T$3</f>
        <v>0</v>
      </c>
      <c r="V22" s="30">
        <f>TRANSICAO!$V$22*CUSTOS!$T$3</f>
        <v>0</v>
      </c>
      <c r="W22" s="30">
        <f>TRANSICAO!$W$22*CUSTOS!$T$3</f>
        <v>1.11E-2</v>
      </c>
      <c r="X22" s="30">
        <f>TRANSICAO!$X$22*CUSTOS!$T$3</f>
        <v>0</v>
      </c>
      <c r="Y22" s="30">
        <f>TRANSICAO!$Y$22*CUSTOS!$T$3</f>
        <v>0</v>
      </c>
      <c r="Z22" s="30">
        <f>TRANSICAO!$Z$22*CUSTOS!$T$3</f>
        <v>0</v>
      </c>
      <c r="AA22" s="30">
        <f>TRANSICAO!$AA$22*CUSTOS!$T$3</f>
        <v>0</v>
      </c>
      <c r="AB22" s="30">
        <f>TRANSICAO!$AB$22*CUSTOS!$T$3</f>
        <v>0</v>
      </c>
      <c r="AC22" s="30">
        <f>TRANSICAO!$AC$22*CUSTOS!$T$3</f>
        <v>205.38419999999999</v>
      </c>
      <c r="AD22" s="30">
        <f>TRANSICAO!$AD$22*CUSTOS!$T$3</f>
        <v>0</v>
      </c>
      <c r="AE22" s="30">
        <v>0</v>
      </c>
      <c r="AF22" s="30">
        <v>0</v>
      </c>
      <c r="AG22" s="30"/>
      <c r="AH22" s="30">
        <f>(1 - CUSTOS!$M$25)*26.7736</f>
        <v>26.773599999999998</v>
      </c>
      <c r="AI22" s="30">
        <f>(1 - CUSTOS!$M$25)*26.7736</f>
        <v>26.773599999999998</v>
      </c>
      <c r="AJ22" s="30">
        <f ca="1">$N$64*(1-CUSTOS!$M$25)</f>
        <v>46.955580692756364</v>
      </c>
      <c r="AK22" s="30">
        <f t="shared" ca="1" si="0"/>
        <v>46.955580692756364</v>
      </c>
      <c r="AL22" s="30"/>
      <c r="AM22" s="30"/>
      <c r="AP22" s="30">
        <f>IF((1 - CUSTOS!$M$25)&lt;&gt;0,1/(1 - CUSTOS!$M$25),1)</f>
        <v>1</v>
      </c>
    </row>
    <row r="23" spans="1:42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>
        <v>0</v>
      </c>
      <c r="M23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0.97395001014437776</v>
      </c>
      <c r="N23" s="30">
        <f ca="1">(+M23+O23+R23+U23+V23+W23+X23+Y23+Z23+AA23+AC23+AH23+AI23+AJ23+AK23)*CUSTOS!$M$5</f>
        <v>3.5482761139565713</v>
      </c>
      <c r="O23" s="30">
        <f>1 - CUSTOS!$M$26</f>
        <v>1</v>
      </c>
      <c r="P23" s="30">
        <v>0</v>
      </c>
      <c r="Q23" s="30">
        <v>0</v>
      </c>
      <c r="R23" s="30">
        <v>0</v>
      </c>
      <c r="S23" s="30">
        <f>1 - CUSTOS!$M$26</f>
        <v>1</v>
      </c>
      <c r="T23" s="30"/>
      <c r="U23" s="30">
        <f>TRANSICAO!$U$23*CUSTOS!$T$3</f>
        <v>0</v>
      </c>
      <c r="V23" s="30">
        <f>TRANSICAO!$V$23*CUSTOS!$T$3</f>
        <v>0</v>
      </c>
      <c r="W23" s="30">
        <f>TRANSICAO!$W$23*CUSTOS!$T$3</f>
        <v>1.11E-2</v>
      </c>
      <c r="X23" s="30">
        <f>TRANSICAO!$X$23*CUSTOS!$T$3</f>
        <v>0</v>
      </c>
      <c r="Y23" s="30">
        <f>TRANSICAO!$Y$23*CUSTOS!$T$3</f>
        <v>0</v>
      </c>
      <c r="Z23" s="30">
        <f>TRANSICAO!$Z$23*CUSTOS!$T$3</f>
        <v>0</v>
      </c>
      <c r="AA23" s="30">
        <f>TRANSICAO!$AA$23*CUSTOS!$T$3</f>
        <v>0</v>
      </c>
      <c r="AB23" s="30">
        <f>TRANSICAO!$AB$23*CUSTOS!$T$3</f>
        <v>0</v>
      </c>
      <c r="AC23" s="30">
        <f>TRANSICAO!$AC$23*CUSTOS!$T$3</f>
        <v>205.38419999999999</v>
      </c>
      <c r="AD23" s="30">
        <f>TRANSICAO!$AD$23*CUSTOS!$T$3</f>
        <v>0</v>
      </c>
      <c r="AE23" s="30">
        <v>0</v>
      </c>
      <c r="AF23" s="30">
        <v>0</v>
      </c>
      <c r="AG23" s="30"/>
      <c r="AH23" s="30">
        <f>(1 - CUSTOS!$M$26)*26.7736</f>
        <v>26.773599999999998</v>
      </c>
      <c r="AI23" s="30">
        <f>(1 - CUSTOS!$M$26)*26.7736</f>
        <v>26.773599999999998</v>
      </c>
      <c r="AJ23" s="30">
        <f ca="1">$N$64*(1-CUSTOS!$M$26)</f>
        <v>46.955580692756364</v>
      </c>
      <c r="AK23" s="30">
        <f t="shared" ca="1" si="0"/>
        <v>46.955580692756364</v>
      </c>
      <c r="AL23" s="30"/>
      <c r="AM23" s="30"/>
      <c r="AP23" s="30">
        <f>IF((1 - CUSTOS!$M$26)&lt;&gt;0,1/(1 - CUSTOS!$M$26),1)</f>
        <v>1</v>
      </c>
    </row>
    <row r="24" spans="1:42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>
        <v>0</v>
      </c>
      <c r="M24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0.97395001014437776</v>
      </c>
      <c r="N24" s="30">
        <f ca="1">(+M24+O24+R24+U24+V24+W24+X24+Y24+Z24+AA24+AC24+AH24+AI24+AJ24+AK24)*CUSTOS!$M$5</f>
        <v>3.5482761139565713</v>
      </c>
      <c r="O24" s="30">
        <f>1 - CUSTOS!$M$27</f>
        <v>1</v>
      </c>
      <c r="P24" s="30">
        <v>0</v>
      </c>
      <c r="Q24" s="30">
        <v>0</v>
      </c>
      <c r="R24" s="30">
        <v>0</v>
      </c>
      <c r="S24" s="30">
        <f>1 - CUSTOS!$M$27</f>
        <v>1</v>
      </c>
      <c r="T24" s="30"/>
      <c r="U24" s="30">
        <f>TRANSICAO!$U$24*CUSTOS!$T$3</f>
        <v>0</v>
      </c>
      <c r="V24" s="30">
        <f>TRANSICAO!$V$24*CUSTOS!$T$3</f>
        <v>0</v>
      </c>
      <c r="W24" s="30">
        <f>TRANSICAO!$W$24*CUSTOS!$T$3</f>
        <v>1.11E-2</v>
      </c>
      <c r="X24" s="30">
        <f>TRANSICAO!$X$24*CUSTOS!$T$3</f>
        <v>0</v>
      </c>
      <c r="Y24" s="30">
        <f>TRANSICAO!$Y$24*CUSTOS!$T$3</f>
        <v>0</v>
      </c>
      <c r="Z24" s="30">
        <f>TRANSICAO!$Z$24*CUSTOS!$T$3</f>
        <v>0</v>
      </c>
      <c r="AA24" s="30">
        <f>TRANSICAO!$AA$24*CUSTOS!$T$3</f>
        <v>0</v>
      </c>
      <c r="AB24" s="30">
        <f>TRANSICAO!$AB$24*CUSTOS!$T$3</f>
        <v>0</v>
      </c>
      <c r="AC24" s="30">
        <f>TRANSICAO!$AC$24*CUSTOS!$T$3</f>
        <v>205.38419999999999</v>
      </c>
      <c r="AD24" s="30">
        <f>TRANSICAO!$AD$24*CUSTOS!$T$3</f>
        <v>0</v>
      </c>
      <c r="AE24" s="30">
        <v>0</v>
      </c>
      <c r="AF24" s="30">
        <v>0</v>
      </c>
      <c r="AG24" s="30"/>
      <c r="AH24" s="30">
        <f>(1 - CUSTOS!$M$27)*26.7736</f>
        <v>26.773599999999998</v>
      </c>
      <c r="AI24" s="30">
        <f>(1 - CUSTOS!$M$27)*26.7736</f>
        <v>26.773599999999998</v>
      </c>
      <c r="AJ24" s="30">
        <f ca="1">$N$64*(1-CUSTOS!$M$27)</f>
        <v>46.955580692756364</v>
      </c>
      <c r="AK24" s="30">
        <f t="shared" ca="1" si="0"/>
        <v>46.955580692756364</v>
      </c>
      <c r="AL24" s="30"/>
      <c r="AM24" s="30"/>
      <c r="AP24" s="30">
        <f>IF((1 - CUSTOS!$M$27)&lt;&gt;0,1/(1 - CUSTOS!$M$27),1)</f>
        <v>1</v>
      </c>
    </row>
    <row r="25" spans="1:42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>
        <f>1</f>
        <v>1</v>
      </c>
      <c r="M25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0.97395001014437776</v>
      </c>
      <c r="N25" s="30">
        <f ca="1">(+M25+O25+R25+U25+V25+W25+X25+Y25+Z25+AA25+AC25+AH25+AI25+AJ25+AK25)*CUSTOS!$M$5</f>
        <v>3.5582761139565715</v>
      </c>
      <c r="O25" s="30">
        <v>1</v>
      </c>
      <c r="P25" s="30">
        <v>1</v>
      </c>
      <c r="Q25" s="30">
        <f>1</f>
        <v>1</v>
      </c>
      <c r="R25" s="30">
        <v>1</v>
      </c>
      <c r="S25" s="30">
        <v>1</v>
      </c>
      <c r="T25" s="30"/>
      <c r="U25" s="30">
        <f>TRANSICAO!$U$25*CUSTOS!$T$3</f>
        <v>0</v>
      </c>
      <c r="V25" s="30">
        <f>TRANSICAO!$V$25*CUSTOS!$T$3</f>
        <v>0</v>
      </c>
      <c r="W25" s="30">
        <f>TRANSICAO!$W$25*CUSTOS!$T$3</f>
        <v>1.11E-2</v>
      </c>
      <c r="X25" s="30">
        <f>TRANSICAO!$X$25*CUSTOS!$T$3</f>
        <v>0</v>
      </c>
      <c r="Y25" s="30">
        <f>TRANSICAO!$Y$25*CUSTOS!$T$3</f>
        <v>0</v>
      </c>
      <c r="Z25" s="30">
        <f>TRANSICAO!$Z$25*CUSTOS!$T$3</f>
        <v>0</v>
      </c>
      <c r="AA25" s="30">
        <f>TRANSICAO!$AA$25*CUSTOS!$T$3</f>
        <v>0</v>
      </c>
      <c r="AB25" s="30">
        <f>TRANSICAO!$AB$25*CUSTOS!$T$3</f>
        <v>0</v>
      </c>
      <c r="AC25" s="30">
        <f>TRANSICAO!$AC$25*CUSTOS!$T$3</f>
        <v>205.38419999999999</v>
      </c>
      <c r="AD25" s="30">
        <f>TRANSICAO!$AD$25*CUSTOS!$T$3</f>
        <v>0</v>
      </c>
      <c r="AE25" s="30">
        <v>0</v>
      </c>
      <c r="AF25" s="30">
        <v>0</v>
      </c>
      <c r="AG25" s="30"/>
      <c r="AH25" s="30">
        <v>26.773599999999998</v>
      </c>
      <c r="AI25" s="30">
        <v>26.773599999999998</v>
      </c>
      <c r="AJ25" s="30">
        <f ca="1">$N$64</f>
        <v>46.955580692756364</v>
      </c>
      <c r="AK25" s="30">
        <f t="shared" ca="1" si="0"/>
        <v>46.955580692756364</v>
      </c>
      <c r="AL25" s="30"/>
      <c r="AM25" s="30"/>
      <c r="AP25" s="30">
        <v>1</v>
      </c>
    </row>
    <row r="26" spans="1:42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>
        <v>0</v>
      </c>
      <c r="M26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0.97395001014437776</v>
      </c>
      <c r="N26" s="30">
        <f ca="1">(+M26+O26+R26+U26+V26+W26+X26+Y26+Z26+AA26+AC26+AH26+AI26+AJ26+AK26)*CUSTOS!$M$5</f>
        <v>3.5482761139565713</v>
      </c>
      <c r="O26" s="30">
        <f>1 - CUSTOS!$M$24</f>
        <v>1</v>
      </c>
      <c r="P26" s="30">
        <v>0</v>
      </c>
      <c r="Q26" s="30">
        <v>0</v>
      </c>
      <c r="R26" s="30">
        <v>0</v>
      </c>
      <c r="S26" s="30">
        <f>1 - CUSTOS!$M$24</f>
        <v>1</v>
      </c>
      <c r="T26" s="30"/>
      <c r="U26" s="30">
        <f>TRANSICAO!$U$26*CUSTOS!$T$3</f>
        <v>0</v>
      </c>
      <c r="V26" s="30">
        <f>TRANSICAO!$V$26*CUSTOS!$T$3</f>
        <v>0</v>
      </c>
      <c r="W26" s="30">
        <f>TRANSICAO!$W$26*CUSTOS!$T$3</f>
        <v>1.11E-2</v>
      </c>
      <c r="X26" s="30">
        <f>TRANSICAO!$X$26*CUSTOS!$T$3</f>
        <v>0</v>
      </c>
      <c r="Y26" s="30">
        <f>TRANSICAO!$Y$26*CUSTOS!$T$3</f>
        <v>0</v>
      </c>
      <c r="Z26" s="30">
        <f>TRANSICAO!$Z$26*CUSTOS!$T$3</f>
        <v>0</v>
      </c>
      <c r="AA26" s="30">
        <f>TRANSICAO!$AA$26*CUSTOS!$T$3</f>
        <v>0</v>
      </c>
      <c r="AB26" s="30">
        <f>TRANSICAO!$AB$26*CUSTOS!$T$3</f>
        <v>0</v>
      </c>
      <c r="AC26" s="30">
        <f>TRANSICAO!$AC$26*CUSTOS!$T$3</f>
        <v>205.38419999999999</v>
      </c>
      <c r="AD26" s="30">
        <f>TRANSICAO!$AD$26*CUSTOS!$T$3</f>
        <v>0</v>
      </c>
      <c r="AE26" s="30">
        <v>0</v>
      </c>
      <c r="AF26" s="30">
        <v>0</v>
      </c>
      <c r="AG26" s="30"/>
      <c r="AH26" s="30">
        <f>(1 - CUSTOS!$M$24)*26.7736</f>
        <v>26.773599999999998</v>
      </c>
      <c r="AI26" s="30">
        <f>(1 - CUSTOS!$M$24)*26.7736</f>
        <v>26.773599999999998</v>
      </c>
      <c r="AJ26" s="30">
        <f ca="1">$N$64*(1-CUSTOS!$M$24)</f>
        <v>46.955580692756364</v>
      </c>
      <c r="AK26" s="30">
        <f t="shared" ca="1" si="0"/>
        <v>46.955580692756364</v>
      </c>
      <c r="AL26" s="30"/>
      <c r="AM26" s="30"/>
      <c r="AP26" s="30">
        <f>IF((1 - CUSTOS!$M$24)&lt;&gt;0,1/(1 - CUSTOS!$M$24),1)</f>
        <v>1</v>
      </c>
    </row>
    <row r="27" spans="1:42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>
        <v>0</v>
      </c>
      <c r="M27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0.97395001014437776</v>
      </c>
      <c r="N27" s="30">
        <f ca="1">(+M27+O27+R27+U27+V27+W27+X27+Y27+Z27+AA27+AC27+AH27+AI27+AJ27+AK27)*CUSTOS!$M$5</f>
        <v>3.5482761139565713</v>
      </c>
      <c r="O27" s="30">
        <f>1 - CUSTOS!$M$25</f>
        <v>1</v>
      </c>
      <c r="P27" s="30">
        <v>0</v>
      </c>
      <c r="Q27" s="30">
        <v>0</v>
      </c>
      <c r="R27" s="30">
        <v>0</v>
      </c>
      <c r="S27" s="30">
        <f>1 - CUSTOS!$M$25</f>
        <v>1</v>
      </c>
      <c r="T27" s="30"/>
      <c r="U27" s="30">
        <f>TRANSICAO!$U$27*CUSTOS!$T$3</f>
        <v>0</v>
      </c>
      <c r="V27" s="30">
        <f>TRANSICAO!$V$27*CUSTOS!$T$3</f>
        <v>0</v>
      </c>
      <c r="W27" s="30">
        <f>TRANSICAO!$W$27*CUSTOS!$T$3</f>
        <v>1.11E-2</v>
      </c>
      <c r="X27" s="30">
        <f>TRANSICAO!$X$27*CUSTOS!$T$3</f>
        <v>0</v>
      </c>
      <c r="Y27" s="30">
        <f>TRANSICAO!$Y$27*CUSTOS!$T$3</f>
        <v>0</v>
      </c>
      <c r="Z27" s="30">
        <f>TRANSICAO!$Z$27*CUSTOS!$T$3</f>
        <v>0</v>
      </c>
      <c r="AA27" s="30">
        <f>TRANSICAO!$AA$27*CUSTOS!$T$3</f>
        <v>0</v>
      </c>
      <c r="AB27" s="30">
        <f>TRANSICAO!$AB$27*CUSTOS!$T$3</f>
        <v>0</v>
      </c>
      <c r="AC27" s="30">
        <f>TRANSICAO!$AC$27*CUSTOS!$T$3</f>
        <v>205.38419999999999</v>
      </c>
      <c r="AD27" s="30">
        <f>TRANSICAO!$AD$27*CUSTOS!$T$3</f>
        <v>0</v>
      </c>
      <c r="AE27" s="30">
        <v>0</v>
      </c>
      <c r="AF27" s="30">
        <v>0</v>
      </c>
      <c r="AG27" s="30"/>
      <c r="AH27" s="30">
        <f>(1 - CUSTOS!$M$25)*26.7736</f>
        <v>26.773599999999998</v>
      </c>
      <c r="AI27" s="30">
        <f>(1 - CUSTOS!$M$25)*26.7736</f>
        <v>26.773599999999998</v>
      </c>
      <c r="AJ27" s="30">
        <f ca="1">$N$64*(1-CUSTOS!$M$25)</f>
        <v>46.955580692756364</v>
      </c>
      <c r="AK27" s="30">
        <f t="shared" ca="1" si="0"/>
        <v>46.955580692756364</v>
      </c>
      <c r="AL27" s="30"/>
      <c r="AM27" s="30"/>
      <c r="AP27" s="30">
        <f>IF((1 - CUSTOS!$M$25)&lt;&gt;0,1/(1 - CUSTOS!$M$25),1)</f>
        <v>1</v>
      </c>
    </row>
    <row r="28" spans="1:42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>
        <v>0</v>
      </c>
      <c r="M28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0.97395001014437776</v>
      </c>
      <c r="N28" s="30">
        <f ca="1">(+M28+O28+R28+U28+V28+W28+X28+Y28+Z28+AA28+AC28+AH28+AI28+AJ28+AK28)*CUSTOS!$M$5</f>
        <v>3.5482761139565713</v>
      </c>
      <c r="O28" s="30">
        <f>1 - CUSTOS!$M$26</f>
        <v>1</v>
      </c>
      <c r="P28" s="30">
        <v>0</v>
      </c>
      <c r="Q28" s="30">
        <v>0</v>
      </c>
      <c r="R28" s="30">
        <v>0</v>
      </c>
      <c r="S28" s="30">
        <f>1 - CUSTOS!$M$26</f>
        <v>1</v>
      </c>
      <c r="T28" s="30"/>
      <c r="U28" s="30">
        <f>TRANSICAO!$U$28*CUSTOS!$T$3</f>
        <v>0</v>
      </c>
      <c r="V28" s="30">
        <f>TRANSICAO!$V$28*CUSTOS!$T$3</f>
        <v>0</v>
      </c>
      <c r="W28" s="30">
        <f>TRANSICAO!$W$28*CUSTOS!$T$3</f>
        <v>1.11E-2</v>
      </c>
      <c r="X28" s="30">
        <f>TRANSICAO!$X$28*CUSTOS!$T$3</f>
        <v>0</v>
      </c>
      <c r="Y28" s="30">
        <f>TRANSICAO!$Y$28*CUSTOS!$T$3</f>
        <v>0</v>
      </c>
      <c r="Z28" s="30">
        <f>TRANSICAO!$Z$28*CUSTOS!$T$3</f>
        <v>0</v>
      </c>
      <c r="AA28" s="30">
        <f>TRANSICAO!$AA$28*CUSTOS!$T$3</f>
        <v>0</v>
      </c>
      <c r="AB28" s="30">
        <f>TRANSICAO!$AB$28*CUSTOS!$T$3</f>
        <v>0</v>
      </c>
      <c r="AC28" s="30">
        <f>TRANSICAO!$AC$28*CUSTOS!$T$3</f>
        <v>205.38419999999999</v>
      </c>
      <c r="AD28" s="30">
        <f>TRANSICAO!$AD$28*CUSTOS!$T$3</f>
        <v>0</v>
      </c>
      <c r="AE28" s="30">
        <v>0</v>
      </c>
      <c r="AF28" s="30">
        <v>0</v>
      </c>
      <c r="AG28" s="30"/>
      <c r="AH28" s="30">
        <f>(1 - CUSTOS!$M$26)*26.7736</f>
        <v>26.773599999999998</v>
      </c>
      <c r="AI28" s="30">
        <f>(1 - CUSTOS!$M$26)*26.7736</f>
        <v>26.773599999999998</v>
      </c>
      <c r="AJ28" s="30">
        <f ca="1">$N$64*(1-CUSTOS!$M$26)</f>
        <v>46.955580692756364</v>
      </c>
      <c r="AK28" s="30">
        <f t="shared" ca="1" si="0"/>
        <v>46.955580692756364</v>
      </c>
      <c r="AL28" s="30"/>
      <c r="AM28" s="30"/>
      <c r="AP28" s="30">
        <f>IF((1 - CUSTOS!$M$26)&lt;&gt;0,1/(1 - CUSTOS!$M$26),1)</f>
        <v>1</v>
      </c>
    </row>
    <row r="29" spans="1:42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>
        <v>0</v>
      </c>
      <c r="M29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0.97395001014437776</v>
      </c>
      <c r="N29" s="30">
        <f ca="1">(+M29+O29+R29+U29+V29+W29+X29+Y29+Z29+AA29+AC29+AH29+AI29+AJ29+AK29)*CUSTOS!$M$5</f>
        <v>3.5482761139565713</v>
      </c>
      <c r="O29" s="30">
        <f>1 - CUSTOS!$M$27</f>
        <v>1</v>
      </c>
      <c r="P29" s="30">
        <v>0</v>
      </c>
      <c r="Q29" s="30">
        <v>0</v>
      </c>
      <c r="R29" s="30">
        <v>0</v>
      </c>
      <c r="S29" s="30">
        <f>1 - CUSTOS!$M$27</f>
        <v>1</v>
      </c>
      <c r="T29" s="30"/>
      <c r="U29" s="30">
        <f>TRANSICAO!$U$29*CUSTOS!$T$3</f>
        <v>0</v>
      </c>
      <c r="V29" s="30">
        <f>TRANSICAO!$V$29*CUSTOS!$T$3</f>
        <v>0</v>
      </c>
      <c r="W29" s="30">
        <f>TRANSICAO!$W$29*CUSTOS!$T$3</f>
        <v>1.11E-2</v>
      </c>
      <c r="X29" s="30">
        <f>TRANSICAO!$X$29*CUSTOS!$T$3</f>
        <v>0</v>
      </c>
      <c r="Y29" s="30">
        <f>TRANSICAO!$Y$29*CUSTOS!$T$3</f>
        <v>0</v>
      </c>
      <c r="Z29" s="30">
        <f>TRANSICAO!$Z$29*CUSTOS!$T$3</f>
        <v>0</v>
      </c>
      <c r="AA29" s="30">
        <f>TRANSICAO!$AA$29*CUSTOS!$T$3</f>
        <v>0</v>
      </c>
      <c r="AB29" s="30">
        <f>TRANSICAO!$AB$29*CUSTOS!$T$3</f>
        <v>0</v>
      </c>
      <c r="AC29" s="30">
        <f>TRANSICAO!$AC$29*CUSTOS!$T$3</f>
        <v>205.38419999999999</v>
      </c>
      <c r="AD29" s="30">
        <f>TRANSICAO!$AD$29*CUSTOS!$T$3</f>
        <v>0</v>
      </c>
      <c r="AE29" s="30">
        <v>0</v>
      </c>
      <c r="AF29" s="30">
        <v>0</v>
      </c>
      <c r="AG29" s="30"/>
      <c r="AH29" s="30">
        <f>(1 - CUSTOS!$M$27)*26.7736</f>
        <v>26.773599999999998</v>
      </c>
      <c r="AI29" s="30">
        <f>(1 - CUSTOS!$M$27)*26.7736</f>
        <v>26.773599999999998</v>
      </c>
      <c r="AJ29" s="30">
        <f ca="1">$N$64*(1-CUSTOS!$M$27)</f>
        <v>46.955580692756364</v>
      </c>
      <c r="AK29" s="30">
        <f t="shared" ca="1" si="0"/>
        <v>46.955580692756364</v>
      </c>
      <c r="AL29" s="30"/>
      <c r="AM29" s="30"/>
      <c r="AP29" s="30">
        <f>IF((1 - CUSTOS!$M$27)&lt;&gt;0,1/(1 - CUSTOS!$M$27),1)</f>
        <v>1</v>
      </c>
    </row>
    <row r="30" spans="1:42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>
        <f>1*(1 - CUSTOS!$M$28)</f>
        <v>1</v>
      </c>
      <c r="M30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0.97395001014437776</v>
      </c>
      <c r="N30" s="30">
        <f ca="1">(+M30+O30+R30+U30+V30+W30+X30+Y30+Z30+AA30+AC30+AH30+AI30+AJ30+AK30)*CUSTOS!$M$5</f>
        <v>8.076973113956571</v>
      </c>
      <c r="O30" s="30">
        <f>1 - CUSTOS!$M$28</f>
        <v>1</v>
      </c>
      <c r="P30" s="30">
        <f>1 - CUSTOS!$M$28</f>
        <v>1</v>
      </c>
      <c r="Q30" s="30">
        <f>1*(1 - CUSTOS!$M$28)</f>
        <v>1</v>
      </c>
      <c r="R30" s="30">
        <f>1 - CUSTOS!$M$28</f>
        <v>1</v>
      </c>
      <c r="S30" s="30">
        <f>1 - CUSTOS!$M$28</f>
        <v>1</v>
      </c>
      <c r="T30" s="30"/>
      <c r="U30" s="30">
        <f>TRANSICAO!$U$30*CUSTOS!$T$3</f>
        <v>0</v>
      </c>
      <c r="V30" s="30">
        <f>TRANSICAO!$V$30*CUSTOS!$T$3</f>
        <v>0</v>
      </c>
      <c r="W30" s="30">
        <f>TRANSICAO!$W$30*CUSTOS!$T$3</f>
        <v>3.5499999999999997E-2</v>
      </c>
      <c r="X30" s="30">
        <f>TRANSICAO!$X$30*CUSTOS!$T$3</f>
        <v>0</v>
      </c>
      <c r="Y30" s="30">
        <f>TRANSICAO!$Y$30*CUSTOS!$T$3</f>
        <v>0</v>
      </c>
      <c r="Z30" s="30">
        <f>TRANSICAO!$Z$30*CUSTOS!$T$3</f>
        <v>0</v>
      </c>
      <c r="AA30" s="30">
        <f>TRANSICAO!$AA$30*CUSTOS!$T$3</f>
        <v>0</v>
      </c>
      <c r="AB30" s="30">
        <f>TRANSICAO!$AB$30*CUSTOS!$T$3</f>
        <v>0</v>
      </c>
      <c r="AC30" s="30">
        <f>TRANSICAO!$AC$30*CUSTOS!$T$3</f>
        <v>657.22950000000003</v>
      </c>
      <c r="AD30" s="30">
        <f>TRANSICAO!$AD$30*CUSTOS!$T$3</f>
        <v>0</v>
      </c>
      <c r="AE30" s="30">
        <v>0</v>
      </c>
      <c r="AF30" s="30">
        <v>0</v>
      </c>
      <c r="AG30" s="30"/>
      <c r="AH30" s="30">
        <f>(1 - CUSTOS!$M$28)*26.7736</f>
        <v>26.773599999999998</v>
      </c>
      <c r="AI30" s="30">
        <f>(1 - CUSTOS!$M$28)*26.7736</f>
        <v>26.773599999999998</v>
      </c>
      <c r="AJ30" s="30">
        <f ca="1">$N$64*(1-CUSTOS!$M$28)</f>
        <v>46.955580692756364</v>
      </c>
      <c r="AK30" s="30">
        <f t="shared" ca="1" si="0"/>
        <v>46.955580692756364</v>
      </c>
      <c r="AL30" s="30"/>
      <c r="AM30" s="30"/>
      <c r="AP30" s="30">
        <f>IF((1 - CUSTOS!$M$28)&lt;&gt;0,1/(1 - CUSTOS!$M$28),1)</f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>
        <f>1*(1 - CUSTOS!$M$28)</f>
        <v>1</v>
      </c>
      <c r="M31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0.97395001014437776</v>
      </c>
      <c r="N31" s="30">
        <f ca="1">(+M31+O31+R31+U31+V31+W31+X31+Y31+Z31+AA31+AC31+AH31+AI31+AJ31+AK31)*CUSTOS!$M$5</f>
        <v>5.4479131139565711</v>
      </c>
      <c r="O31" s="30">
        <f>1 - CUSTOS!$M$28</f>
        <v>1</v>
      </c>
      <c r="P31" s="30">
        <f>1 - CUSTOS!$M$28</f>
        <v>1</v>
      </c>
      <c r="Q31" s="30">
        <f>1*(1 - CUSTOS!$M$28)</f>
        <v>1</v>
      </c>
      <c r="R31" s="30">
        <f>1 - CUSTOS!$M$28</f>
        <v>1</v>
      </c>
      <c r="S31" s="30">
        <f>1 - CUSTOS!$M$28</f>
        <v>1</v>
      </c>
      <c r="T31" s="30"/>
      <c r="U31" s="30">
        <f>TRANSICAO!$U$31*CUSTOS!$T$3</f>
        <v>0</v>
      </c>
      <c r="V31" s="30">
        <f>TRANSICAO!$V$31*CUSTOS!$T$3</f>
        <v>0</v>
      </c>
      <c r="W31" s="30">
        <f>TRANSICAO!$W$31*CUSTOS!$T$3</f>
        <v>2.1299999999999999E-2</v>
      </c>
      <c r="X31" s="30">
        <f>TRANSICAO!$X$31*CUSTOS!$T$3</f>
        <v>0</v>
      </c>
      <c r="Y31" s="30">
        <f>TRANSICAO!$Y$31*CUSTOS!$T$3</f>
        <v>0</v>
      </c>
      <c r="Z31" s="30">
        <f>TRANSICAO!$Z$31*CUSTOS!$T$3</f>
        <v>0</v>
      </c>
      <c r="AA31" s="30">
        <f>TRANSICAO!$AA$31*CUSTOS!$T$3</f>
        <v>0</v>
      </c>
      <c r="AB31" s="30">
        <f>TRANSICAO!$AB$31*CUSTOS!$T$3</f>
        <v>0</v>
      </c>
      <c r="AC31" s="30">
        <f>TRANSICAO!$AC$31*CUSTOS!$T$3</f>
        <v>394.33769999999998</v>
      </c>
      <c r="AD31" s="30">
        <f>TRANSICAO!$AD$31*CUSTOS!$T$3</f>
        <v>0</v>
      </c>
      <c r="AE31" s="30">
        <v>0</v>
      </c>
      <c r="AF31" s="30">
        <v>0</v>
      </c>
      <c r="AG31" s="30"/>
      <c r="AH31" s="30">
        <f>(1 - CUSTOS!$M$28)*26.7736</f>
        <v>26.773599999999998</v>
      </c>
      <c r="AI31" s="30">
        <f>(1 - CUSTOS!$M$28)*26.7736</f>
        <v>26.773599999999998</v>
      </c>
      <c r="AJ31" s="30">
        <f ca="1">$N$64*(1-CUSTOS!$M$28)</f>
        <v>46.955580692756364</v>
      </c>
      <c r="AK31" s="30">
        <f t="shared" ca="1" si="0"/>
        <v>46.955580692756364</v>
      </c>
      <c r="AL31" s="30"/>
      <c r="AM31" s="30"/>
      <c r="AP31" s="30">
        <f>IF((1 - CUSTOS!$M$28)&lt;&gt;0,1/(1 - CUSTOS!$M$28),1)</f>
        <v>1</v>
      </c>
    </row>
    <row r="32" spans="1:42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>
        <f>1*(1 - CUSTOS!$M$28)</f>
        <v>1</v>
      </c>
      <c r="M32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0.97395001014437776</v>
      </c>
      <c r="N32" s="30">
        <f ca="1">(+M32+O32+R32+U32+V32+W32+X32+Y32+Z32+AA32+AC32+AH32+AI32+AJ32+AK32)*CUSTOS!$M$5</f>
        <v>2.8188531139565707</v>
      </c>
      <c r="O32" s="30">
        <f>1 - CUSTOS!$M$28</f>
        <v>1</v>
      </c>
      <c r="P32" s="30">
        <f>1 - CUSTOS!$M$28</f>
        <v>1</v>
      </c>
      <c r="Q32" s="30">
        <f>1*(1 - CUSTOS!$M$28)</f>
        <v>1</v>
      </c>
      <c r="R32" s="30">
        <f>1 - CUSTOS!$M$28</f>
        <v>1</v>
      </c>
      <c r="S32" s="30">
        <f>1 - CUSTOS!$M$28</f>
        <v>1</v>
      </c>
      <c r="T32" s="30"/>
      <c r="U32" s="30">
        <f>TRANSICAO!$U$32*CUSTOS!$T$3</f>
        <v>0</v>
      </c>
      <c r="V32" s="30">
        <f>TRANSICAO!$V$32*CUSTOS!$T$3</f>
        <v>0</v>
      </c>
      <c r="W32" s="30">
        <f>TRANSICAO!$W$32*CUSTOS!$T$3</f>
        <v>7.1000000000000004E-3</v>
      </c>
      <c r="X32" s="30">
        <f>TRANSICAO!$X$32*CUSTOS!$T$3</f>
        <v>0</v>
      </c>
      <c r="Y32" s="30">
        <f>TRANSICAO!$Y$32*CUSTOS!$T$3</f>
        <v>0</v>
      </c>
      <c r="Z32" s="30">
        <f>TRANSICAO!$Z$32*CUSTOS!$T$3</f>
        <v>0</v>
      </c>
      <c r="AA32" s="30">
        <f>TRANSICAO!$AA$32*CUSTOS!$T$3</f>
        <v>0</v>
      </c>
      <c r="AB32" s="30">
        <f>TRANSICAO!$AB$32*CUSTOS!$T$3</f>
        <v>0</v>
      </c>
      <c r="AC32" s="30">
        <f>TRANSICAO!$AC$32*CUSTOS!$T$3</f>
        <v>131.44589999999999</v>
      </c>
      <c r="AD32" s="30">
        <f>TRANSICAO!$AD$32*CUSTOS!$T$3</f>
        <v>0</v>
      </c>
      <c r="AE32" s="30">
        <v>0</v>
      </c>
      <c r="AF32" s="30">
        <v>0</v>
      </c>
      <c r="AG32" s="30"/>
      <c r="AH32" s="30">
        <f>(1 - CUSTOS!$M$28)*26.7736</f>
        <v>26.773599999999998</v>
      </c>
      <c r="AI32" s="30">
        <f>(1 - CUSTOS!$M$28)*26.7736</f>
        <v>26.773599999999998</v>
      </c>
      <c r="AJ32" s="30">
        <f ca="1">$N$64*(1-CUSTOS!$M$28)</f>
        <v>46.955580692756364</v>
      </c>
      <c r="AK32" s="30">
        <f t="shared" ca="1" si="0"/>
        <v>46.955580692756364</v>
      </c>
      <c r="AL32" s="30"/>
      <c r="AM32" s="30"/>
      <c r="AP32" s="30">
        <f>IF((1 - CUSTOS!$M$28)&lt;&gt;0,1/(1 - CUSTOS!$M$28),1)</f>
        <v>1</v>
      </c>
    </row>
    <row r="33" spans="1:42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>
        <f>1*(1 - CUSTOS!$M$28)</f>
        <v>1</v>
      </c>
      <c r="M33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0.97395001014437776</v>
      </c>
      <c r="N33" s="30">
        <f ca="1">(+M33+O33+R33+U33+V33+W33+X33+Y33+Z33+AA33+AC33+AH33+AI33+AJ33+AK33)*CUSTOS!$M$5</f>
        <v>3.5582761139565715</v>
      </c>
      <c r="O33" s="30">
        <f>1 - CUSTOS!$M$28</f>
        <v>1</v>
      </c>
      <c r="P33" s="30">
        <f>1 - CUSTOS!$M$28</f>
        <v>1</v>
      </c>
      <c r="Q33" s="30">
        <f>1*(1 - CUSTOS!$M$28)</f>
        <v>1</v>
      </c>
      <c r="R33" s="30">
        <f>1 - CUSTOS!$M$28</f>
        <v>1</v>
      </c>
      <c r="S33" s="30">
        <f>1 - CUSTOS!$M$28</f>
        <v>1</v>
      </c>
      <c r="T33" s="30"/>
      <c r="U33" s="30">
        <f>TRANSICAO!$U$33*CUSTOS!$T$3</f>
        <v>0</v>
      </c>
      <c r="V33" s="30">
        <f>TRANSICAO!$V$33*CUSTOS!$T$3</f>
        <v>0</v>
      </c>
      <c r="W33" s="30">
        <f>TRANSICAO!$W$33*CUSTOS!$T$3</f>
        <v>1.11E-2</v>
      </c>
      <c r="X33" s="30">
        <f>TRANSICAO!$X$33*CUSTOS!$T$3</f>
        <v>0</v>
      </c>
      <c r="Y33" s="30">
        <f>TRANSICAO!$Y$33*CUSTOS!$T$3</f>
        <v>0</v>
      </c>
      <c r="Z33" s="30">
        <f>TRANSICAO!$Z$33*CUSTOS!$T$3</f>
        <v>0</v>
      </c>
      <c r="AA33" s="30">
        <f>TRANSICAO!$AA$33*CUSTOS!$T$3</f>
        <v>0</v>
      </c>
      <c r="AB33" s="30">
        <f>TRANSICAO!$AB$33*CUSTOS!$T$3</f>
        <v>0</v>
      </c>
      <c r="AC33" s="30">
        <f>TRANSICAO!$AC$33*CUSTOS!$T$3</f>
        <v>205.38419999999999</v>
      </c>
      <c r="AD33" s="30">
        <f>TRANSICAO!$AD$33*CUSTOS!$T$3</f>
        <v>0</v>
      </c>
      <c r="AE33" s="30">
        <v>0</v>
      </c>
      <c r="AF33" s="30">
        <v>0</v>
      </c>
      <c r="AG33" s="30"/>
      <c r="AH33" s="30">
        <f>(1 - CUSTOS!$M$28)*26.7736</f>
        <v>26.773599999999998</v>
      </c>
      <c r="AI33" s="30">
        <f>(1 - CUSTOS!$M$28)*26.7736</f>
        <v>26.773599999999998</v>
      </c>
      <c r="AJ33" s="30">
        <f ca="1">$N$64*(1-CUSTOS!$M$28)</f>
        <v>46.955580692756364</v>
      </c>
      <c r="AK33" s="30">
        <f t="shared" ca="1" si="0"/>
        <v>46.955580692756364</v>
      </c>
      <c r="AL33" s="30"/>
      <c r="AM33" s="30"/>
      <c r="AP33" s="30">
        <f>IF((1 - CUSTOS!$M$28)&lt;&gt;0,1/(1 - CUSTOS!$M$28),1)</f>
        <v>1</v>
      </c>
    </row>
    <row r="34" spans="1:42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>
        <f>1*(1 - CUSTOS!$M$29)</f>
        <v>1</v>
      </c>
      <c r="M34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0.97395001014437776</v>
      </c>
      <c r="N34" s="30">
        <f ca="1">(+M34+O34+R34+U34+V34+W34+X34+Y34+Z34+AA34+AC34+AH34+AI34+AJ34+AK34)*CUSTOS!$M$5</f>
        <v>8.076973113956571</v>
      </c>
      <c r="O34" s="30">
        <f>1 - CUSTOS!$M$29</f>
        <v>1</v>
      </c>
      <c r="P34" s="30">
        <f>1 - CUSTOS!$M$29</f>
        <v>1</v>
      </c>
      <c r="Q34" s="30">
        <f>1*(1 - CUSTOS!$M$29)</f>
        <v>1</v>
      </c>
      <c r="R34" s="30">
        <f>1 - CUSTOS!$M$29</f>
        <v>1</v>
      </c>
      <c r="S34" s="30">
        <f>1 - CUSTOS!$M$29</f>
        <v>1</v>
      </c>
      <c r="T34" s="30"/>
      <c r="U34" s="30">
        <f>TRANSICAO!$U$34*CUSTOS!$T$3</f>
        <v>0</v>
      </c>
      <c r="V34" s="30">
        <f>TRANSICAO!$V$34*CUSTOS!$T$3</f>
        <v>0</v>
      </c>
      <c r="W34" s="30">
        <f>TRANSICAO!$W$34*CUSTOS!$T$3</f>
        <v>3.5499999999999997E-2</v>
      </c>
      <c r="X34" s="30">
        <f>TRANSICAO!$X$34*CUSTOS!$T$3</f>
        <v>0</v>
      </c>
      <c r="Y34" s="30">
        <f>TRANSICAO!$Y$34*CUSTOS!$T$3</f>
        <v>0</v>
      </c>
      <c r="Z34" s="30">
        <f>TRANSICAO!$Z$34*CUSTOS!$T$3</f>
        <v>0</v>
      </c>
      <c r="AA34" s="30">
        <f>TRANSICAO!$AA$34*CUSTOS!$T$3</f>
        <v>0</v>
      </c>
      <c r="AB34" s="30">
        <f>TRANSICAO!$AB$34*CUSTOS!$T$3</f>
        <v>0</v>
      </c>
      <c r="AC34" s="30">
        <f>TRANSICAO!$AC$34*CUSTOS!$T$3</f>
        <v>657.22950000000003</v>
      </c>
      <c r="AD34" s="30">
        <f>TRANSICAO!$AD$34*CUSTOS!$T$3</f>
        <v>0</v>
      </c>
      <c r="AE34" s="30">
        <v>0</v>
      </c>
      <c r="AF34" s="30">
        <v>0</v>
      </c>
      <c r="AG34" s="30"/>
      <c r="AH34" s="30">
        <f>(1 - CUSTOS!$M$29)*26.7736</f>
        <v>26.773599999999998</v>
      </c>
      <c r="AI34" s="30">
        <f>(1 - CUSTOS!$M$29)*26.7736</f>
        <v>26.773599999999998</v>
      </c>
      <c r="AJ34" s="30">
        <f ca="1">$N$64*(1-CUSTOS!$M$29)</f>
        <v>46.955580692756364</v>
      </c>
      <c r="AK34" s="30">
        <f t="shared" ca="1" si="0"/>
        <v>46.955580692756364</v>
      </c>
      <c r="AL34" s="30"/>
      <c r="AM34" s="30"/>
      <c r="AP34" s="30">
        <f>IF((1 - CUSTOS!$M$29)&lt;&gt;0,1/(1 - CUSTOS!$M$29),1)</f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>
        <f>1*(1 - CUSTOS!$M$29)</f>
        <v>1</v>
      </c>
      <c r="M35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0.97395001014437776</v>
      </c>
      <c r="N35" s="30">
        <f ca="1">(+M35+O35+R35+U35+V35+W35+X35+Y35+Z35+AA35+AC35+AH35+AI35+AJ35+AK35)*CUSTOS!$M$5</f>
        <v>5.4479131139565711</v>
      </c>
      <c r="O35" s="30">
        <f>1 - CUSTOS!$M$29</f>
        <v>1</v>
      </c>
      <c r="P35" s="30">
        <f>1 - CUSTOS!$M$29</f>
        <v>1</v>
      </c>
      <c r="Q35" s="30">
        <f>1*(1 - CUSTOS!$M$29)</f>
        <v>1</v>
      </c>
      <c r="R35" s="30">
        <f>1 - CUSTOS!$M$29</f>
        <v>1</v>
      </c>
      <c r="S35" s="30">
        <f>1 - CUSTOS!$M$29</f>
        <v>1</v>
      </c>
      <c r="T35" s="30"/>
      <c r="U35" s="30">
        <f>TRANSICAO!$U$35*CUSTOS!$T$3</f>
        <v>0</v>
      </c>
      <c r="V35" s="30">
        <f>TRANSICAO!$V$35*CUSTOS!$T$3</f>
        <v>0</v>
      </c>
      <c r="W35" s="30">
        <f>TRANSICAO!$W$35*CUSTOS!$T$3</f>
        <v>2.1299999999999999E-2</v>
      </c>
      <c r="X35" s="30">
        <f>TRANSICAO!$X$35*CUSTOS!$T$3</f>
        <v>0</v>
      </c>
      <c r="Y35" s="30">
        <f>TRANSICAO!$Y$35*CUSTOS!$T$3</f>
        <v>0</v>
      </c>
      <c r="Z35" s="30">
        <f>TRANSICAO!$Z$35*CUSTOS!$T$3</f>
        <v>0</v>
      </c>
      <c r="AA35" s="30">
        <f>TRANSICAO!$AA$35*CUSTOS!$T$3</f>
        <v>0</v>
      </c>
      <c r="AB35" s="30">
        <f>TRANSICAO!$AB$35*CUSTOS!$T$3</f>
        <v>0</v>
      </c>
      <c r="AC35" s="30">
        <f>TRANSICAO!$AC$35*CUSTOS!$T$3</f>
        <v>394.33769999999998</v>
      </c>
      <c r="AD35" s="30">
        <f>TRANSICAO!$AD$35*CUSTOS!$T$3</f>
        <v>0</v>
      </c>
      <c r="AE35" s="30">
        <v>0</v>
      </c>
      <c r="AF35" s="30">
        <v>0</v>
      </c>
      <c r="AG35" s="30"/>
      <c r="AH35" s="30">
        <f>(1 - CUSTOS!$M$29)*26.7736</f>
        <v>26.773599999999998</v>
      </c>
      <c r="AI35" s="30">
        <f>(1 - CUSTOS!$M$29)*26.7736</f>
        <v>26.773599999999998</v>
      </c>
      <c r="AJ35" s="30">
        <f ca="1">$N$64*(1-CUSTOS!$M$29)</f>
        <v>46.955580692756364</v>
      </c>
      <c r="AK35" s="30">
        <f t="shared" ca="1" si="0"/>
        <v>46.955580692756364</v>
      </c>
      <c r="AL35" s="30"/>
      <c r="AM35" s="30"/>
      <c r="AP35" s="30">
        <f>IF((1 - CUSTOS!$M$29)&lt;&gt;0,1/(1 - CUSTOS!$M$29),1)</f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>
        <f>1*(1 - CUSTOS!$M$29)</f>
        <v>1</v>
      </c>
      <c r="M36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0.97395001014437776</v>
      </c>
      <c r="N36" s="30">
        <f ca="1">(+M36+O36+R36+U36+V36+W36+X36+Y36+Z36+AA36+AC36+AH36+AI36+AJ36+AK36)*CUSTOS!$M$5</f>
        <v>2.8188531139565707</v>
      </c>
      <c r="O36" s="30">
        <f>1 - CUSTOS!$M$29</f>
        <v>1</v>
      </c>
      <c r="P36" s="30">
        <f>1 - CUSTOS!$M$29</f>
        <v>1</v>
      </c>
      <c r="Q36" s="30">
        <f>1*(1 - CUSTOS!$M$29)</f>
        <v>1</v>
      </c>
      <c r="R36" s="30">
        <f>1 - CUSTOS!$M$29</f>
        <v>1</v>
      </c>
      <c r="S36" s="30">
        <f>1 - CUSTOS!$M$29</f>
        <v>1</v>
      </c>
      <c r="T36" s="30"/>
      <c r="U36" s="30">
        <f>TRANSICAO!$U$36*CUSTOS!$T$3</f>
        <v>0</v>
      </c>
      <c r="V36" s="30">
        <f>TRANSICAO!$V$36*CUSTOS!$T$3</f>
        <v>0</v>
      </c>
      <c r="W36" s="30">
        <f>TRANSICAO!$W$36*CUSTOS!$T$3</f>
        <v>7.1000000000000004E-3</v>
      </c>
      <c r="X36" s="30">
        <f>TRANSICAO!$X$36*CUSTOS!$T$3</f>
        <v>0</v>
      </c>
      <c r="Y36" s="30">
        <f>TRANSICAO!$Y$36*CUSTOS!$T$3</f>
        <v>0</v>
      </c>
      <c r="Z36" s="30">
        <f>TRANSICAO!$Z$36*CUSTOS!$T$3</f>
        <v>0</v>
      </c>
      <c r="AA36" s="30">
        <f>TRANSICAO!$AA$36*CUSTOS!$T$3</f>
        <v>0</v>
      </c>
      <c r="AB36" s="30">
        <f>TRANSICAO!$AB$36*CUSTOS!$T$3</f>
        <v>0</v>
      </c>
      <c r="AC36" s="30">
        <f>TRANSICAO!$AC$36*CUSTOS!$T$3</f>
        <v>131.44589999999999</v>
      </c>
      <c r="AD36" s="30">
        <f>TRANSICAO!$AD$36*CUSTOS!$T$3</f>
        <v>0</v>
      </c>
      <c r="AE36" s="30">
        <v>0</v>
      </c>
      <c r="AF36" s="30">
        <v>0</v>
      </c>
      <c r="AG36" s="30"/>
      <c r="AH36" s="30">
        <f>(1 - CUSTOS!$M$29)*26.7736</f>
        <v>26.773599999999998</v>
      </c>
      <c r="AI36" s="30">
        <f>(1 - CUSTOS!$M$29)*26.7736</f>
        <v>26.773599999999998</v>
      </c>
      <c r="AJ36" s="30">
        <f ca="1">$N$64*(1-CUSTOS!$M$29)</f>
        <v>46.955580692756364</v>
      </c>
      <c r="AK36" s="30">
        <f t="shared" ca="1" si="0"/>
        <v>46.955580692756364</v>
      </c>
      <c r="AL36" s="30"/>
      <c r="AM36" s="30"/>
      <c r="AP36" s="30">
        <f>IF((1 - CUSTOS!$M$29)&lt;&gt;0,1/(1 - CUSTOS!$M$29),1)</f>
        <v>1</v>
      </c>
    </row>
    <row r="37" spans="1:42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>
        <f>1*(1 - CUSTOS!$M$29)</f>
        <v>1</v>
      </c>
      <c r="M37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0.97395001014437776</v>
      </c>
      <c r="N37" s="30">
        <f ca="1">(+M37+O37+R37+U37+V37+W37+X37+Y37+Z37+AA37+AC37+AH37+AI37+AJ37+AK37)*CUSTOS!$M$5</f>
        <v>3.5582761139565715</v>
      </c>
      <c r="O37" s="30">
        <f>1 - CUSTOS!$M$29</f>
        <v>1</v>
      </c>
      <c r="P37" s="30">
        <f>1 - CUSTOS!$M$29</f>
        <v>1</v>
      </c>
      <c r="Q37" s="30">
        <f>1*(1 - CUSTOS!$M$29)</f>
        <v>1</v>
      </c>
      <c r="R37" s="30">
        <f>1 - CUSTOS!$M$29</f>
        <v>1</v>
      </c>
      <c r="S37" s="30">
        <f>1 - CUSTOS!$M$29</f>
        <v>1</v>
      </c>
      <c r="T37" s="30"/>
      <c r="U37" s="30">
        <f>TRANSICAO!$U$37*CUSTOS!$T$3</f>
        <v>0</v>
      </c>
      <c r="V37" s="30">
        <f>TRANSICAO!$V$37*CUSTOS!$T$3</f>
        <v>0</v>
      </c>
      <c r="W37" s="30">
        <f>TRANSICAO!$W$37*CUSTOS!$T$3</f>
        <v>1.11E-2</v>
      </c>
      <c r="X37" s="30">
        <f>TRANSICAO!$X$37*CUSTOS!$T$3</f>
        <v>0</v>
      </c>
      <c r="Y37" s="30">
        <f>TRANSICAO!$Y$37*CUSTOS!$T$3</f>
        <v>0</v>
      </c>
      <c r="Z37" s="30">
        <f>TRANSICAO!$Z$37*CUSTOS!$T$3</f>
        <v>0</v>
      </c>
      <c r="AA37" s="30">
        <f>TRANSICAO!$AA$37*CUSTOS!$T$3</f>
        <v>0</v>
      </c>
      <c r="AB37" s="30">
        <f>TRANSICAO!$AB$37*CUSTOS!$T$3</f>
        <v>0</v>
      </c>
      <c r="AC37" s="30">
        <f>TRANSICAO!$AC$37*CUSTOS!$T$3</f>
        <v>205.38419999999999</v>
      </c>
      <c r="AD37" s="30">
        <f>TRANSICAO!$AD$37*CUSTOS!$T$3</f>
        <v>0</v>
      </c>
      <c r="AE37" s="30">
        <v>0</v>
      </c>
      <c r="AF37" s="30">
        <v>0</v>
      </c>
      <c r="AG37" s="30"/>
      <c r="AH37" s="30">
        <f>(1 - CUSTOS!$M$29)*26.7736</f>
        <v>26.773599999999998</v>
      </c>
      <c r="AI37" s="30">
        <f>(1 - CUSTOS!$M$29)*26.7736</f>
        <v>26.773599999999998</v>
      </c>
      <c r="AJ37" s="30">
        <f ca="1">$N$64*(1-CUSTOS!$M$29)</f>
        <v>46.955580692756364</v>
      </c>
      <c r="AK37" s="30">
        <f t="shared" ca="1" si="0"/>
        <v>46.955580692756364</v>
      </c>
      <c r="AL37" s="30"/>
      <c r="AM37" s="30"/>
      <c r="AP37" s="30">
        <f>IF((1 - CUSTOS!$M$29)&lt;&gt;0,1/(1 - CUSTOS!$M$29),1)</f>
        <v>1</v>
      </c>
    </row>
    <row r="38" spans="1:42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>
        <f>1*(1 - CUSTOS!$M$30)</f>
        <v>1</v>
      </c>
      <c r="M38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0.97395001014437776</v>
      </c>
      <c r="N38" s="30">
        <f ca="1">(+M38+O38+R38+U38+V38+W38+X38+Y38+Z38+AA38+AC38+AH38+AI38+AJ38+AK38)*CUSTOS!$M$5</f>
        <v>8.076973113956571</v>
      </c>
      <c r="O38" s="30">
        <f>1 - CUSTOS!$M$30</f>
        <v>1</v>
      </c>
      <c r="P38" s="30">
        <f>1 - CUSTOS!$M$30</f>
        <v>1</v>
      </c>
      <c r="Q38" s="30">
        <f>1*(1 - CUSTOS!$M$30)</f>
        <v>1</v>
      </c>
      <c r="R38" s="30">
        <f>1 - CUSTOS!$M$30</f>
        <v>1</v>
      </c>
      <c r="S38" s="30">
        <f>1 - CUSTOS!$M$30</f>
        <v>1</v>
      </c>
      <c r="T38" s="30"/>
      <c r="U38" s="30">
        <f>TRANSICAO!$U$38*CUSTOS!$T$3</f>
        <v>0</v>
      </c>
      <c r="V38" s="30">
        <f>TRANSICAO!$V$38*CUSTOS!$T$3</f>
        <v>0</v>
      </c>
      <c r="W38" s="30">
        <f>TRANSICAO!$W$38*CUSTOS!$T$3</f>
        <v>3.5499999999999997E-2</v>
      </c>
      <c r="X38" s="30">
        <f>TRANSICAO!$X$38*CUSTOS!$T$3</f>
        <v>0</v>
      </c>
      <c r="Y38" s="30">
        <f>TRANSICAO!$Y$38*CUSTOS!$T$3</f>
        <v>0</v>
      </c>
      <c r="Z38" s="30">
        <f>TRANSICAO!$Z$38*CUSTOS!$T$3</f>
        <v>0</v>
      </c>
      <c r="AA38" s="30">
        <f>TRANSICAO!$AA$38*CUSTOS!$T$3</f>
        <v>0</v>
      </c>
      <c r="AB38" s="30">
        <f>TRANSICAO!$AB$38*CUSTOS!$T$3</f>
        <v>0</v>
      </c>
      <c r="AC38" s="30">
        <f>TRANSICAO!$AC$38*CUSTOS!$T$3</f>
        <v>657.22950000000003</v>
      </c>
      <c r="AD38" s="30">
        <f>TRANSICAO!$AD$38*CUSTOS!$T$3</f>
        <v>0</v>
      </c>
      <c r="AE38" s="30">
        <v>0</v>
      </c>
      <c r="AF38" s="30">
        <v>0</v>
      </c>
      <c r="AG38" s="30"/>
      <c r="AH38" s="30">
        <f>(1 - CUSTOS!$M$30)*26.7736</f>
        <v>26.773599999999998</v>
      </c>
      <c r="AI38" s="30">
        <f>(1 - CUSTOS!$M$30)*26.7736</f>
        <v>26.773599999999998</v>
      </c>
      <c r="AJ38" s="30">
        <f ca="1">$N$64*(1-CUSTOS!$M$30)</f>
        <v>46.955580692756364</v>
      </c>
      <c r="AK38" s="30">
        <f t="shared" ca="1" si="0"/>
        <v>46.955580692756364</v>
      </c>
      <c r="AL38" s="30"/>
      <c r="AM38" s="30"/>
      <c r="AP38" s="30">
        <f>IF((1 - CUSTOS!$M$30)&lt;&gt;0,1/(1 - CUSTOS!$M$30),1)</f>
        <v>1</v>
      </c>
    </row>
    <row r="39" spans="1:42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>
        <f>1*(1 - CUSTOS!$M$30)</f>
        <v>1</v>
      </c>
      <c r="M39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0.97395001014437776</v>
      </c>
      <c r="N39" s="30">
        <f ca="1">(+M39+O39+R39+U39+V39+W39+X39+Y39+Z39+AA39+AC39+AH39+AI39+AJ39+AK39)*CUSTOS!$M$5</f>
        <v>5.4479131139565711</v>
      </c>
      <c r="O39" s="30">
        <f>1 - CUSTOS!$M$30</f>
        <v>1</v>
      </c>
      <c r="P39" s="30">
        <f>1 - CUSTOS!$M$30</f>
        <v>1</v>
      </c>
      <c r="Q39" s="30">
        <f>1*(1 - CUSTOS!$M$30)</f>
        <v>1</v>
      </c>
      <c r="R39" s="30">
        <f>1 - CUSTOS!$M$30</f>
        <v>1</v>
      </c>
      <c r="S39" s="30">
        <f>1 - CUSTOS!$M$30</f>
        <v>1</v>
      </c>
      <c r="T39" s="30"/>
      <c r="U39" s="30">
        <f>TRANSICAO!$U$39*CUSTOS!$T$3</f>
        <v>0</v>
      </c>
      <c r="V39" s="30">
        <f>TRANSICAO!$V$39*CUSTOS!$T$3</f>
        <v>0</v>
      </c>
      <c r="W39" s="30">
        <f>TRANSICAO!$W$39*CUSTOS!$T$3</f>
        <v>2.1299999999999999E-2</v>
      </c>
      <c r="X39" s="30">
        <f>TRANSICAO!$X$39*CUSTOS!$T$3</f>
        <v>0</v>
      </c>
      <c r="Y39" s="30">
        <f>TRANSICAO!$Y$39*CUSTOS!$T$3</f>
        <v>0</v>
      </c>
      <c r="Z39" s="30">
        <f>TRANSICAO!$Z$39*CUSTOS!$T$3</f>
        <v>0</v>
      </c>
      <c r="AA39" s="30">
        <f>TRANSICAO!$AA$39*CUSTOS!$T$3</f>
        <v>0</v>
      </c>
      <c r="AB39" s="30">
        <f>TRANSICAO!$AB$39*CUSTOS!$T$3</f>
        <v>0</v>
      </c>
      <c r="AC39" s="30">
        <f>TRANSICAO!$AC$39*CUSTOS!$T$3</f>
        <v>394.33769999999998</v>
      </c>
      <c r="AD39" s="30">
        <f>TRANSICAO!$AD$39*CUSTOS!$T$3</f>
        <v>0</v>
      </c>
      <c r="AE39" s="30">
        <v>0</v>
      </c>
      <c r="AF39" s="30">
        <v>0</v>
      </c>
      <c r="AG39" s="30"/>
      <c r="AH39" s="30">
        <f>(1 - CUSTOS!$M$30)*26.7736</f>
        <v>26.773599999999998</v>
      </c>
      <c r="AI39" s="30">
        <f>(1 - CUSTOS!$M$30)*26.7736</f>
        <v>26.773599999999998</v>
      </c>
      <c r="AJ39" s="30">
        <f ca="1">$N$64*(1-CUSTOS!$M$30)</f>
        <v>46.955580692756364</v>
      </c>
      <c r="AK39" s="30">
        <f t="shared" ca="1" si="0"/>
        <v>46.955580692756364</v>
      </c>
      <c r="AL39" s="30"/>
      <c r="AM39" s="30"/>
      <c r="AP39" s="30">
        <f>IF((1 - CUSTOS!$M$30)&lt;&gt;0,1/(1 - CUSTOS!$M$30),1)</f>
        <v>1</v>
      </c>
    </row>
    <row r="40" spans="1:42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>
        <f>1*(1 - CUSTOS!$M$30)</f>
        <v>1</v>
      </c>
      <c r="M40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0.97395001014437776</v>
      </c>
      <c r="N40" s="30">
        <f ca="1">(+M40+O40+R40+U40+V40+W40+X40+Y40+Z40+AA40+AC40+AH40+AI40+AJ40+AK40)*CUSTOS!$M$5</f>
        <v>2.8188531139565707</v>
      </c>
      <c r="O40" s="30">
        <f>1 - CUSTOS!$M$30</f>
        <v>1</v>
      </c>
      <c r="P40" s="30">
        <f>1 - CUSTOS!$M$30</f>
        <v>1</v>
      </c>
      <c r="Q40" s="30">
        <f>1*(1 - CUSTOS!$M$30)</f>
        <v>1</v>
      </c>
      <c r="R40" s="30">
        <f>1 - CUSTOS!$M$30</f>
        <v>1</v>
      </c>
      <c r="S40" s="30">
        <f>1 - CUSTOS!$M$30</f>
        <v>1</v>
      </c>
      <c r="T40" s="30"/>
      <c r="U40" s="30">
        <f>TRANSICAO!$U$40*CUSTOS!$T$3</f>
        <v>0</v>
      </c>
      <c r="V40" s="30">
        <f>TRANSICAO!$V$40*CUSTOS!$T$3</f>
        <v>0</v>
      </c>
      <c r="W40" s="30">
        <f>TRANSICAO!$W$40*CUSTOS!$T$3</f>
        <v>7.1000000000000004E-3</v>
      </c>
      <c r="X40" s="30">
        <f>TRANSICAO!$X$40*CUSTOS!$T$3</f>
        <v>0</v>
      </c>
      <c r="Y40" s="30">
        <f>TRANSICAO!$Y$40*CUSTOS!$T$3</f>
        <v>0</v>
      </c>
      <c r="Z40" s="30">
        <f>TRANSICAO!$Z$40*CUSTOS!$T$3</f>
        <v>0</v>
      </c>
      <c r="AA40" s="30">
        <f>TRANSICAO!$AA$40*CUSTOS!$T$3</f>
        <v>0</v>
      </c>
      <c r="AB40" s="30">
        <f>TRANSICAO!$AB$40*CUSTOS!$T$3</f>
        <v>0</v>
      </c>
      <c r="AC40" s="30">
        <f>TRANSICAO!$AC$40*CUSTOS!$T$3</f>
        <v>131.44589999999999</v>
      </c>
      <c r="AD40" s="30">
        <f>TRANSICAO!$AD$40*CUSTOS!$T$3</f>
        <v>0</v>
      </c>
      <c r="AE40" s="30">
        <v>0</v>
      </c>
      <c r="AF40" s="30">
        <v>0</v>
      </c>
      <c r="AG40" s="30"/>
      <c r="AH40" s="30">
        <f>(1 - CUSTOS!$M$30)*26.7736</f>
        <v>26.773599999999998</v>
      </c>
      <c r="AI40" s="30">
        <f>(1 - CUSTOS!$M$30)*26.7736</f>
        <v>26.773599999999998</v>
      </c>
      <c r="AJ40" s="30">
        <f ca="1">$N$64*(1-CUSTOS!$M$30)</f>
        <v>46.955580692756364</v>
      </c>
      <c r="AK40" s="30">
        <f t="shared" ca="1" si="0"/>
        <v>46.955580692756364</v>
      </c>
      <c r="AL40" s="30"/>
      <c r="AM40" s="30"/>
      <c r="AP40" s="30">
        <f>IF((1 - CUSTOS!$M$30)&lt;&gt;0,1/(1 - CUSTOS!$M$30),1)</f>
        <v>1</v>
      </c>
    </row>
    <row r="41" spans="1:42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>
        <f>1*(1 - CUSTOS!$M$30)</f>
        <v>1</v>
      </c>
      <c r="M41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0.97395001014437776</v>
      </c>
      <c r="N41" s="30">
        <f ca="1">(+M41+O41+R41+U41+V41+W41+X41+Y41+Z41+AA41+AC41+AH41+AI41+AJ41+AK41)*CUSTOS!$M$5</f>
        <v>3.5582761139565715</v>
      </c>
      <c r="O41" s="30">
        <f>1 - CUSTOS!$M$30</f>
        <v>1</v>
      </c>
      <c r="P41" s="30">
        <f>1 - CUSTOS!$M$30</f>
        <v>1</v>
      </c>
      <c r="Q41" s="30">
        <f>1*(1 - CUSTOS!$M$30)</f>
        <v>1</v>
      </c>
      <c r="R41" s="30">
        <f>1 - CUSTOS!$M$30</f>
        <v>1</v>
      </c>
      <c r="S41" s="30">
        <f>1 - CUSTOS!$M$30</f>
        <v>1</v>
      </c>
      <c r="T41" s="30"/>
      <c r="U41" s="30">
        <f>TRANSICAO!$U$41*CUSTOS!$T$3</f>
        <v>0</v>
      </c>
      <c r="V41" s="30">
        <f>TRANSICAO!$V$41*CUSTOS!$T$3</f>
        <v>0</v>
      </c>
      <c r="W41" s="30">
        <f>TRANSICAO!$W$41*CUSTOS!$T$3</f>
        <v>1.11E-2</v>
      </c>
      <c r="X41" s="30">
        <f>TRANSICAO!$X$41*CUSTOS!$T$3</f>
        <v>0</v>
      </c>
      <c r="Y41" s="30">
        <f>TRANSICAO!$Y$41*CUSTOS!$T$3</f>
        <v>0</v>
      </c>
      <c r="Z41" s="30">
        <f>TRANSICAO!$Z$41*CUSTOS!$T$3</f>
        <v>0</v>
      </c>
      <c r="AA41" s="30">
        <f>TRANSICAO!$AA$41*CUSTOS!$T$3</f>
        <v>0</v>
      </c>
      <c r="AB41" s="30">
        <f>TRANSICAO!$AB$41*CUSTOS!$T$3</f>
        <v>0</v>
      </c>
      <c r="AC41" s="30">
        <f>TRANSICAO!$AC$41*CUSTOS!$T$3</f>
        <v>205.38419999999999</v>
      </c>
      <c r="AD41" s="30">
        <f>TRANSICAO!$AD$41*CUSTOS!$T$3</f>
        <v>0</v>
      </c>
      <c r="AE41" s="30">
        <v>0</v>
      </c>
      <c r="AF41" s="30">
        <v>0</v>
      </c>
      <c r="AG41" s="30"/>
      <c r="AH41" s="30">
        <f>(1 - CUSTOS!$M$30)*26.7736</f>
        <v>26.773599999999998</v>
      </c>
      <c r="AI41" s="30">
        <f>(1 - CUSTOS!$M$30)*26.7736</f>
        <v>26.773599999999998</v>
      </c>
      <c r="AJ41" s="30">
        <f ca="1">$N$64*(1-CUSTOS!$M$30)</f>
        <v>46.955580692756364</v>
      </c>
      <c r="AK41" s="30">
        <f t="shared" ca="1" si="0"/>
        <v>46.955580692756364</v>
      </c>
      <c r="AL41" s="30"/>
      <c r="AM41" s="30"/>
      <c r="AP41" s="30">
        <f>IF((1 - CUSTOS!$M$30)&lt;&gt;0,1/(1 - CUSTOS!$M$30),1)</f>
        <v>1</v>
      </c>
    </row>
    <row r="42" spans="1:42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>
        <f>1*(1 - CUSTOS!$M$28)</f>
        <v>1</v>
      </c>
      <c r="M42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0.97395001014437776</v>
      </c>
      <c r="N42" s="30">
        <f ca="1">(+M42+O42+R42+U42+V42+W42+X42+Y42+Z42+AA42+AC42+AH42+AI42+AJ42+AK42)*CUSTOS!$M$5</f>
        <v>3.5582761139565715</v>
      </c>
      <c r="O42" s="30">
        <f>1 - CUSTOS!$M$28</f>
        <v>1</v>
      </c>
      <c r="P42" s="30">
        <f>1 - CUSTOS!$M$28</f>
        <v>1</v>
      </c>
      <c r="Q42" s="30">
        <f>1*(1 - CUSTOS!$M$28)</f>
        <v>1</v>
      </c>
      <c r="R42" s="30">
        <f>1 - CUSTOS!$M$28</f>
        <v>1</v>
      </c>
      <c r="S42" s="30">
        <f>1 - CUSTOS!$M$28</f>
        <v>1</v>
      </c>
      <c r="T42" s="30"/>
      <c r="U42" s="30">
        <f>TRANSICAO!$U$42*CUSTOS!$T$3</f>
        <v>0</v>
      </c>
      <c r="V42" s="30">
        <f>TRANSICAO!$V$42*CUSTOS!$T$3</f>
        <v>0</v>
      </c>
      <c r="W42" s="30">
        <f>TRANSICAO!$W$42*CUSTOS!$T$3</f>
        <v>1.11E-2</v>
      </c>
      <c r="X42" s="30">
        <f>TRANSICAO!$X$42*CUSTOS!$T$3</f>
        <v>0</v>
      </c>
      <c r="Y42" s="30">
        <f>TRANSICAO!$Y$42*CUSTOS!$T$3</f>
        <v>0</v>
      </c>
      <c r="Z42" s="30">
        <f>TRANSICAO!$Z$42*CUSTOS!$T$3</f>
        <v>0</v>
      </c>
      <c r="AA42" s="30">
        <f>TRANSICAO!$AA$42*CUSTOS!$T$3</f>
        <v>0</v>
      </c>
      <c r="AB42" s="30">
        <f>TRANSICAO!$AB$42*CUSTOS!$T$3</f>
        <v>0</v>
      </c>
      <c r="AC42" s="30">
        <f>TRANSICAO!$AC$42*CUSTOS!$T$3</f>
        <v>205.38419999999999</v>
      </c>
      <c r="AD42" s="30">
        <f>TRANSICAO!$AD$42*CUSTOS!$T$3</f>
        <v>0</v>
      </c>
      <c r="AE42" s="30">
        <v>0</v>
      </c>
      <c r="AF42" s="30">
        <v>0</v>
      </c>
      <c r="AG42" s="30"/>
      <c r="AH42" s="30">
        <f>(1 - CUSTOS!$M$28)*26.7736</f>
        <v>26.773599999999998</v>
      </c>
      <c r="AI42" s="30">
        <f>(1 - CUSTOS!$M$28)*26.7736</f>
        <v>26.773599999999998</v>
      </c>
      <c r="AJ42" s="30">
        <f ca="1">$N$64*(1-CUSTOS!$M$28)</f>
        <v>46.955580692756364</v>
      </c>
      <c r="AK42" s="30">
        <f t="shared" ca="1" si="0"/>
        <v>46.955580692756364</v>
      </c>
      <c r="AL42" s="30"/>
      <c r="AM42" s="30"/>
      <c r="AP42" s="30">
        <f>IF((1 - CUSTOS!$M$28)&lt;&gt;0,1/(1 - CUSTOS!$M$28),1)</f>
        <v>1</v>
      </c>
    </row>
    <row r="43" spans="1:42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>
        <f>1*(1 - CUSTOS!$M$29)</f>
        <v>1</v>
      </c>
      <c r="M43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0.97395001014437776</v>
      </c>
      <c r="N43" s="30">
        <f ca="1">(+M43+O43+R43+U43+V43+W43+X43+Y43+Z43+AA43+AC43+AH43+AI43+AJ43+AK43)*CUSTOS!$M$5</f>
        <v>3.5582761139565715</v>
      </c>
      <c r="O43" s="30">
        <f>1 - CUSTOS!$M$29</f>
        <v>1</v>
      </c>
      <c r="P43" s="30">
        <f>1 - CUSTOS!$M$29</f>
        <v>1</v>
      </c>
      <c r="Q43" s="30">
        <f>1*(1 - CUSTOS!$M$29)</f>
        <v>1</v>
      </c>
      <c r="R43" s="30">
        <f>1 - CUSTOS!$M$29</f>
        <v>1</v>
      </c>
      <c r="S43" s="30">
        <f>1 - CUSTOS!$M$29</f>
        <v>1</v>
      </c>
      <c r="T43" s="30"/>
      <c r="U43" s="30">
        <f>TRANSICAO!$U$43*CUSTOS!$T$3</f>
        <v>0</v>
      </c>
      <c r="V43" s="30">
        <f>TRANSICAO!$V$43*CUSTOS!$T$3</f>
        <v>0</v>
      </c>
      <c r="W43" s="30">
        <f>TRANSICAO!$W$43*CUSTOS!$T$3</f>
        <v>1.11E-2</v>
      </c>
      <c r="X43" s="30">
        <f>TRANSICAO!$X$43*CUSTOS!$T$3</f>
        <v>0</v>
      </c>
      <c r="Y43" s="30">
        <f>TRANSICAO!$Y$43*CUSTOS!$T$3</f>
        <v>0</v>
      </c>
      <c r="Z43" s="30">
        <f>TRANSICAO!$Z$43*CUSTOS!$T$3</f>
        <v>0</v>
      </c>
      <c r="AA43" s="30">
        <f>TRANSICAO!$AA$43*CUSTOS!$T$3</f>
        <v>0</v>
      </c>
      <c r="AB43" s="30">
        <f>TRANSICAO!$AB$43*CUSTOS!$T$3</f>
        <v>0</v>
      </c>
      <c r="AC43" s="30">
        <f>TRANSICAO!$AC$43*CUSTOS!$T$3</f>
        <v>205.38419999999999</v>
      </c>
      <c r="AD43" s="30">
        <f>TRANSICAO!$AD$43*CUSTOS!$T$3</f>
        <v>0</v>
      </c>
      <c r="AE43" s="30">
        <v>0</v>
      </c>
      <c r="AF43" s="30">
        <v>0</v>
      </c>
      <c r="AG43" s="30"/>
      <c r="AH43" s="30">
        <f>(1 - CUSTOS!$M$29)*26.7736</f>
        <v>26.773599999999998</v>
      </c>
      <c r="AI43" s="30">
        <f>(1 - CUSTOS!$M$29)*26.7736</f>
        <v>26.773599999999998</v>
      </c>
      <c r="AJ43" s="30">
        <f ca="1">$N$64*(1-CUSTOS!$M$29)</f>
        <v>46.955580692756364</v>
      </c>
      <c r="AK43" s="30">
        <f t="shared" ca="1" si="0"/>
        <v>46.955580692756364</v>
      </c>
      <c r="AL43" s="30"/>
      <c r="AM43" s="30"/>
      <c r="AP43" s="30">
        <f>IF((1 - CUSTOS!$M$29)&lt;&gt;0,1/(1 - CUSTOS!$M$29),1)</f>
        <v>1</v>
      </c>
    </row>
    <row r="44" spans="1:42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>
        <f>1*(1 - CUSTOS!$M$30)</f>
        <v>1</v>
      </c>
      <c r="M44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0.97395001014437776</v>
      </c>
      <c r="N44" s="30">
        <f ca="1">(+M44+O44+R44+U44+V44+W44+X44+Y44+Z44+AA44+AC44+AH44+AI44+AJ44+AK44)*CUSTOS!$M$5</f>
        <v>3.5582761139565715</v>
      </c>
      <c r="O44" s="30">
        <f>1 - CUSTOS!$M$30</f>
        <v>1</v>
      </c>
      <c r="P44" s="30">
        <f>1 - CUSTOS!$M$30</f>
        <v>1</v>
      </c>
      <c r="Q44" s="30">
        <f>1*(1 - CUSTOS!$M$30)</f>
        <v>1</v>
      </c>
      <c r="R44" s="30">
        <f>1 - CUSTOS!$M$30</f>
        <v>1</v>
      </c>
      <c r="S44" s="30">
        <f>1 - CUSTOS!$M$30</f>
        <v>1</v>
      </c>
      <c r="T44" s="30"/>
      <c r="U44" s="30">
        <f>TRANSICAO!$U$44*CUSTOS!$T$3</f>
        <v>0</v>
      </c>
      <c r="V44" s="30">
        <f>TRANSICAO!$V$44*CUSTOS!$T$3</f>
        <v>0</v>
      </c>
      <c r="W44" s="30">
        <f>TRANSICAO!$W$44*CUSTOS!$T$3</f>
        <v>1.11E-2</v>
      </c>
      <c r="X44" s="30">
        <f>TRANSICAO!$X$44*CUSTOS!$T$3</f>
        <v>0</v>
      </c>
      <c r="Y44" s="30">
        <f>TRANSICAO!$Y$44*CUSTOS!$T$3</f>
        <v>0</v>
      </c>
      <c r="Z44" s="30">
        <f>TRANSICAO!$Z$44*CUSTOS!$T$3</f>
        <v>0</v>
      </c>
      <c r="AA44" s="30">
        <f>TRANSICAO!$AA$44*CUSTOS!$T$3</f>
        <v>0</v>
      </c>
      <c r="AB44" s="30">
        <f>TRANSICAO!$AB$44*CUSTOS!$T$3</f>
        <v>0</v>
      </c>
      <c r="AC44" s="30">
        <f>TRANSICAO!$AC$44*CUSTOS!$T$3</f>
        <v>205.38419999999999</v>
      </c>
      <c r="AD44" s="30">
        <f>TRANSICAO!$AD$44*CUSTOS!$T$3</f>
        <v>0</v>
      </c>
      <c r="AE44" s="30">
        <v>0</v>
      </c>
      <c r="AF44" s="30">
        <v>0</v>
      </c>
      <c r="AG44" s="30"/>
      <c r="AH44" s="30">
        <f>(1 - CUSTOS!$M$30)*26.7736</f>
        <v>26.773599999999998</v>
      </c>
      <c r="AI44" s="30">
        <f>(1 - CUSTOS!$M$30)*26.7736</f>
        <v>26.773599999999998</v>
      </c>
      <c r="AJ44" s="30">
        <f ca="1">$N$64*(1-CUSTOS!$M$30)</f>
        <v>46.955580692756364</v>
      </c>
      <c r="AK44" s="30">
        <f t="shared" ca="1" si="0"/>
        <v>46.955580692756364</v>
      </c>
      <c r="AL44" s="30"/>
      <c r="AM44" s="30"/>
      <c r="AP44" s="30">
        <f>IF((1 - CUSTOS!$M$30)&lt;&gt;0,1/(1 - CUSTOS!$M$30),1)</f>
        <v>1</v>
      </c>
    </row>
    <row r="45" spans="1:42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>
        <f>1*(1 - CUSTOS!$M$31)</f>
        <v>1</v>
      </c>
      <c r="M45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0.97395001014437776</v>
      </c>
      <c r="N45" s="30">
        <f ca="1">(+M45+O45+R45+U45+V45+W45+X45+Y45+Z45+AA45+AC45+AH45+AI45+AJ45+AK45)*CUSTOS!$M$5</f>
        <v>9.2066471139565706</v>
      </c>
      <c r="O45" s="30">
        <f>1 - CUSTOS!$M$31</f>
        <v>1</v>
      </c>
      <c r="P45" s="30">
        <f>1 - CUSTOS!$M$31</f>
        <v>1</v>
      </c>
      <c r="Q45" s="30">
        <f>1*(1 - CUSTOS!$M$31)</f>
        <v>1</v>
      </c>
      <c r="R45" s="30">
        <f>1 - CUSTOS!$M$31</f>
        <v>1</v>
      </c>
      <c r="S45" s="30">
        <f>1 - CUSTOS!$M$31</f>
        <v>1</v>
      </c>
      <c r="T45" s="30"/>
      <c r="U45" s="30">
        <f>TRANSICAO!$U$45*CUSTOS!$T$3</f>
        <v>0</v>
      </c>
      <c r="V45" s="30">
        <f>TRANSICAO!$V$45*CUSTOS!$T$3</f>
        <v>0</v>
      </c>
      <c r="W45" s="30">
        <f>TRANSICAO!$W$45*CUSTOS!$T$3</f>
        <v>4.1599999999999998E-2</v>
      </c>
      <c r="X45" s="30">
        <f>TRANSICAO!$X$45*CUSTOS!$T$3</f>
        <v>0</v>
      </c>
      <c r="Y45" s="30">
        <f>TRANSICAO!$Y$45*CUSTOS!$T$3</f>
        <v>0</v>
      </c>
      <c r="Z45" s="30">
        <f>TRANSICAO!$Z$45*CUSTOS!$T$3</f>
        <v>0</v>
      </c>
      <c r="AA45" s="30">
        <f>TRANSICAO!$AA$45*CUSTOS!$T$3</f>
        <v>0</v>
      </c>
      <c r="AB45" s="30">
        <f>TRANSICAO!$AB$45*CUSTOS!$T$3</f>
        <v>0</v>
      </c>
      <c r="AC45" s="30">
        <f>TRANSICAO!$AC$45*CUSTOS!$T$3</f>
        <v>770.19079999999997</v>
      </c>
      <c r="AD45" s="30">
        <f>TRANSICAO!$AD$45*CUSTOS!$T$3</f>
        <v>0</v>
      </c>
      <c r="AE45" s="30">
        <v>0</v>
      </c>
      <c r="AF45" s="30">
        <v>0</v>
      </c>
      <c r="AG45" s="30"/>
      <c r="AH45" s="30">
        <f>(1 - CUSTOS!$M$31)*26.7736</f>
        <v>26.773599999999998</v>
      </c>
      <c r="AI45" s="30">
        <f>(1 - CUSTOS!$M$31)*26.7736</f>
        <v>26.773599999999998</v>
      </c>
      <c r="AJ45" s="30">
        <f ca="1">$N$64*(1-CUSTOS!$M$31)</f>
        <v>46.955580692756364</v>
      </c>
      <c r="AK45" s="30">
        <f t="shared" ca="1" si="0"/>
        <v>46.955580692756364</v>
      </c>
      <c r="AL45" s="30"/>
      <c r="AM45" s="30"/>
      <c r="AP45" s="30">
        <f>IF((1 - CUSTOS!$M$31)&lt;&gt;0,1/(1 - CUSTOS!$M$31),1)</f>
        <v>1</v>
      </c>
    </row>
    <row r="46" spans="1:42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>
        <f>1*(1 - CUSTOS!$M$31)</f>
        <v>1</v>
      </c>
      <c r="M46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0.97395001014437776</v>
      </c>
      <c r="N46" s="30">
        <f ca="1">(+M46+O46+R46+U46+V46+W46+X46+Y46+Z46+AA46+AC46+AH46+AI46+AJ46+AK46)*CUSTOS!$M$5</f>
        <v>6.1257181139565722</v>
      </c>
      <c r="O46" s="30">
        <f>1 - CUSTOS!$M$31</f>
        <v>1</v>
      </c>
      <c r="P46" s="30">
        <f>1 - CUSTOS!$M$31</f>
        <v>1</v>
      </c>
      <c r="Q46" s="30">
        <f>1*(1 - CUSTOS!$M$31)</f>
        <v>1</v>
      </c>
      <c r="R46" s="30">
        <f>1 - CUSTOS!$M$31</f>
        <v>1</v>
      </c>
      <c r="S46" s="30">
        <f>1 - CUSTOS!$M$31</f>
        <v>1</v>
      </c>
      <c r="T46" s="30"/>
      <c r="U46" s="30">
        <f>TRANSICAO!$U$46*CUSTOS!$T$3</f>
        <v>0</v>
      </c>
      <c r="V46" s="30">
        <f>TRANSICAO!$V$46*CUSTOS!$T$3</f>
        <v>0</v>
      </c>
      <c r="W46" s="30">
        <f>TRANSICAO!$W$46*CUSTOS!$T$3</f>
        <v>2.5000000000000001E-2</v>
      </c>
      <c r="X46" s="30">
        <f>TRANSICAO!$X$46*CUSTOS!$T$3</f>
        <v>0</v>
      </c>
      <c r="Y46" s="30">
        <f>TRANSICAO!$Y$46*CUSTOS!$T$3</f>
        <v>0</v>
      </c>
      <c r="Z46" s="30">
        <f>TRANSICAO!$Z$46*CUSTOS!$T$3</f>
        <v>0</v>
      </c>
      <c r="AA46" s="30">
        <f>TRANSICAO!$AA$46*CUSTOS!$T$3</f>
        <v>0</v>
      </c>
      <c r="AB46" s="30">
        <f>TRANSICAO!$AB$46*CUSTOS!$T$3</f>
        <v>0</v>
      </c>
      <c r="AC46" s="30">
        <f>TRANSICAO!$AC$46*CUSTOS!$T$3</f>
        <v>462.11450000000002</v>
      </c>
      <c r="AD46" s="30">
        <f>TRANSICAO!$AD$46*CUSTOS!$T$3</f>
        <v>0</v>
      </c>
      <c r="AE46" s="30">
        <v>0</v>
      </c>
      <c r="AF46" s="30">
        <v>0</v>
      </c>
      <c r="AG46" s="30"/>
      <c r="AH46" s="30">
        <f>(1 - CUSTOS!$M$31)*26.7736</f>
        <v>26.773599999999998</v>
      </c>
      <c r="AI46" s="30">
        <f>(1 - CUSTOS!$M$31)*26.7736</f>
        <v>26.773599999999998</v>
      </c>
      <c r="AJ46" s="30">
        <f ca="1">$N$64*(1-CUSTOS!$M$31)</f>
        <v>46.955580692756364</v>
      </c>
      <c r="AK46" s="30">
        <f t="shared" ca="1" si="0"/>
        <v>46.955580692756364</v>
      </c>
      <c r="AL46" s="30"/>
      <c r="AM46" s="30"/>
      <c r="AP46" s="30">
        <f>IF((1 - CUSTOS!$M$31)&lt;&gt;0,1/(1 - CUSTOS!$M$31),1)</f>
        <v>1</v>
      </c>
    </row>
    <row r="47" spans="1:42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>
        <f>1*(1 - CUSTOS!$M$31)</f>
        <v>1</v>
      </c>
      <c r="M47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0.97395001014437776</v>
      </c>
      <c r="N47" s="30">
        <f ca="1">(+M47+O47+R47+U47+V47+W47+X47+Y47+Z47+AA47+AC47+AH47+AI47+AJ47+AK47)*CUSTOS!$M$5</f>
        <v>3.0447881139565709</v>
      </c>
      <c r="O47" s="30">
        <f>1 - CUSTOS!$M$31</f>
        <v>1</v>
      </c>
      <c r="P47" s="30">
        <f>1 - CUSTOS!$M$31</f>
        <v>1</v>
      </c>
      <c r="Q47" s="30">
        <f>1*(1 - CUSTOS!$M$31)</f>
        <v>1</v>
      </c>
      <c r="R47" s="30">
        <f>1 - CUSTOS!$M$31</f>
        <v>1</v>
      </c>
      <c r="S47" s="30">
        <f>1 - CUSTOS!$M$31</f>
        <v>1</v>
      </c>
      <c r="T47" s="30"/>
      <c r="U47" s="30">
        <f>TRANSICAO!$U$47*CUSTOS!$T$3</f>
        <v>0</v>
      </c>
      <c r="V47" s="30">
        <f>TRANSICAO!$V$47*CUSTOS!$T$3</f>
        <v>0</v>
      </c>
      <c r="W47" s="30">
        <f>TRANSICAO!$W$47*CUSTOS!$T$3</f>
        <v>8.3000000000000001E-3</v>
      </c>
      <c r="X47" s="30">
        <f>TRANSICAO!$X$47*CUSTOS!$T$3</f>
        <v>0</v>
      </c>
      <c r="Y47" s="30">
        <f>TRANSICAO!$Y$47*CUSTOS!$T$3</f>
        <v>0</v>
      </c>
      <c r="Z47" s="30">
        <f>TRANSICAO!$Z$47*CUSTOS!$T$3</f>
        <v>0</v>
      </c>
      <c r="AA47" s="30">
        <f>TRANSICAO!$AA$47*CUSTOS!$T$3</f>
        <v>0</v>
      </c>
      <c r="AB47" s="30">
        <f>TRANSICAO!$AB$47*CUSTOS!$T$3</f>
        <v>0</v>
      </c>
      <c r="AC47" s="30">
        <f>TRANSICAO!$AC$47*CUSTOS!$T$3</f>
        <v>154.03819999999999</v>
      </c>
      <c r="AD47" s="30">
        <f>TRANSICAO!$AD$47*CUSTOS!$T$3</f>
        <v>0</v>
      </c>
      <c r="AE47" s="30">
        <v>0</v>
      </c>
      <c r="AF47" s="30">
        <v>0</v>
      </c>
      <c r="AG47" s="30"/>
      <c r="AH47" s="30">
        <f>(1 - CUSTOS!$M$31)*26.7736</f>
        <v>26.773599999999998</v>
      </c>
      <c r="AI47" s="30">
        <f>(1 - CUSTOS!$M$31)*26.7736</f>
        <v>26.773599999999998</v>
      </c>
      <c r="AJ47" s="30">
        <f ca="1">$N$64*(1-CUSTOS!$M$31)</f>
        <v>46.955580692756364</v>
      </c>
      <c r="AK47" s="30">
        <f t="shared" ca="1" si="0"/>
        <v>46.955580692756364</v>
      </c>
      <c r="AL47" s="30"/>
      <c r="AM47" s="30"/>
      <c r="AP47" s="30">
        <f>IF((1 - CUSTOS!$M$31)&lt;&gt;0,1/(1 - CUSTOS!$M$31),1)</f>
        <v>1</v>
      </c>
    </row>
    <row r="48" spans="1:42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>
        <f>1*(1 - CUSTOS!$M$31)</f>
        <v>1</v>
      </c>
      <c r="M48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0.97395001014437776</v>
      </c>
      <c r="N48" s="30">
        <f ca="1">(+M48+O48+R48+U48+V48+W48+X48+Y48+Z48+AA48+AC48+AH48+AI48+AJ48+AK48)*CUSTOS!$M$5</f>
        <v>3.5582761139565715</v>
      </c>
      <c r="O48" s="30">
        <f>1 - CUSTOS!$M$31</f>
        <v>1</v>
      </c>
      <c r="P48" s="30">
        <f>1 - CUSTOS!$M$31</f>
        <v>1</v>
      </c>
      <c r="Q48" s="30">
        <f>1*(1 - CUSTOS!$M$31)</f>
        <v>1</v>
      </c>
      <c r="R48" s="30">
        <f>1 - CUSTOS!$M$31</f>
        <v>1</v>
      </c>
      <c r="S48" s="30">
        <f>1 - CUSTOS!$M$31</f>
        <v>1</v>
      </c>
      <c r="T48" s="30"/>
      <c r="U48" s="30">
        <f>TRANSICAO!$U$48*CUSTOS!$T$3</f>
        <v>0</v>
      </c>
      <c r="V48" s="30">
        <f>TRANSICAO!$V$48*CUSTOS!$T$3</f>
        <v>0</v>
      </c>
      <c r="W48" s="30">
        <f>TRANSICAO!$W$48*CUSTOS!$T$3</f>
        <v>1.11E-2</v>
      </c>
      <c r="X48" s="30">
        <f>TRANSICAO!$X$48*CUSTOS!$T$3</f>
        <v>0</v>
      </c>
      <c r="Y48" s="30">
        <f>TRANSICAO!$Y$48*CUSTOS!$T$3</f>
        <v>0</v>
      </c>
      <c r="Z48" s="30">
        <f>TRANSICAO!$Z$48*CUSTOS!$T$3</f>
        <v>0</v>
      </c>
      <c r="AA48" s="30">
        <f>TRANSICAO!$AA$48*CUSTOS!$T$3</f>
        <v>0</v>
      </c>
      <c r="AB48" s="30">
        <f>TRANSICAO!$AB$48*CUSTOS!$T$3</f>
        <v>0</v>
      </c>
      <c r="AC48" s="30">
        <f>TRANSICAO!$AC$48*CUSTOS!$T$3</f>
        <v>205.38419999999999</v>
      </c>
      <c r="AD48" s="30">
        <f>TRANSICAO!$AD$48*CUSTOS!$T$3</f>
        <v>0</v>
      </c>
      <c r="AE48" s="30">
        <v>0</v>
      </c>
      <c r="AF48" s="30">
        <v>0</v>
      </c>
      <c r="AG48" s="30"/>
      <c r="AH48" s="30">
        <f>(1 - CUSTOS!$M$31)*26.7736</f>
        <v>26.773599999999998</v>
      </c>
      <c r="AI48" s="30">
        <f>(1 - CUSTOS!$M$31)*26.7736</f>
        <v>26.773599999999998</v>
      </c>
      <c r="AJ48" s="30">
        <f ca="1">$N$64*(1-CUSTOS!$M$31)</f>
        <v>46.955580692756364</v>
      </c>
      <c r="AK48" s="30">
        <f t="shared" ca="1" si="0"/>
        <v>46.955580692756364</v>
      </c>
      <c r="AL48" s="30"/>
      <c r="AM48" s="30"/>
      <c r="AP48" s="30">
        <f>IF((1 - CUSTOS!$M$31)&lt;&gt;0,1/(1 - CUSTOS!$M$31),1)</f>
        <v>1</v>
      </c>
    </row>
    <row r="49" spans="1:42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>
        <f>1*(1 - CUSTOS!$M$31)</f>
        <v>1</v>
      </c>
      <c r="M49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0.97395001014437776</v>
      </c>
      <c r="N49" s="30">
        <f ca="1">(+M49+O49+R49+U49+V49+W49+X49+Y49+Z49+AA49+AC49+AH49+AI49+AJ49+AK49)*CUSTOS!$M$5</f>
        <v>3.5582761139565715</v>
      </c>
      <c r="O49" s="30">
        <f>1 - CUSTOS!$M$31</f>
        <v>1</v>
      </c>
      <c r="P49" s="30">
        <f>1 - CUSTOS!$M$31</f>
        <v>1</v>
      </c>
      <c r="Q49" s="30">
        <f>1*(1 - CUSTOS!$M$31)</f>
        <v>1</v>
      </c>
      <c r="R49" s="30">
        <f>1 - CUSTOS!$M$31</f>
        <v>1</v>
      </c>
      <c r="S49" s="30">
        <f>1 - CUSTOS!$M$31</f>
        <v>1</v>
      </c>
      <c r="T49" s="30"/>
      <c r="U49" s="30">
        <f>TRANSICAO!$U$49*CUSTOS!$T$3</f>
        <v>0</v>
      </c>
      <c r="V49" s="30">
        <f>TRANSICAO!$V$49*CUSTOS!$T$3</f>
        <v>0</v>
      </c>
      <c r="W49" s="30">
        <f>TRANSICAO!$W$49*CUSTOS!$T$3</f>
        <v>1.11E-2</v>
      </c>
      <c r="X49" s="30">
        <f>TRANSICAO!$X$49*CUSTOS!$T$3</f>
        <v>0</v>
      </c>
      <c r="Y49" s="30">
        <f>TRANSICAO!$Y$49*CUSTOS!$T$3</f>
        <v>0</v>
      </c>
      <c r="Z49" s="30">
        <f>TRANSICAO!$Z$49*CUSTOS!$T$3</f>
        <v>0</v>
      </c>
      <c r="AA49" s="30">
        <f>TRANSICAO!$AA$49*CUSTOS!$T$3</f>
        <v>0</v>
      </c>
      <c r="AB49" s="30">
        <f>TRANSICAO!$AB$49*CUSTOS!$T$3</f>
        <v>0</v>
      </c>
      <c r="AC49" s="30">
        <f>TRANSICAO!$AC$49*CUSTOS!$T$3</f>
        <v>205.38419999999999</v>
      </c>
      <c r="AD49" s="30">
        <f>TRANSICAO!$AD$49*CUSTOS!$T$3</f>
        <v>0</v>
      </c>
      <c r="AE49" s="30">
        <v>0</v>
      </c>
      <c r="AF49" s="30">
        <v>0</v>
      </c>
      <c r="AG49" s="30"/>
      <c r="AH49" s="30">
        <f>(1 - CUSTOS!$M$31)*26.7736</f>
        <v>26.773599999999998</v>
      </c>
      <c r="AI49" s="30">
        <f>(1 - CUSTOS!$M$31)*26.7736</f>
        <v>26.773599999999998</v>
      </c>
      <c r="AJ49" s="30">
        <f ca="1">$N$64*(1-CUSTOS!$M$31)</f>
        <v>46.955580692756364</v>
      </c>
      <c r="AK49" s="30">
        <f t="shared" ca="1" si="0"/>
        <v>46.955580692756364</v>
      </c>
      <c r="AL49" s="30"/>
      <c r="AM49" s="30"/>
      <c r="AP49" s="30">
        <f>IF((1 - CUSTOS!$M$31)&lt;&gt;0,1/(1 - CUSTOS!$M$31),1)</f>
        <v>1</v>
      </c>
    </row>
    <row r="50" spans="1:42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>
        <f>1*(1 - CUSTOS!$M$32)</f>
        <v>0.55000000000000004</v>
      </c>
      <c r="M50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0.53567250557940782</v>
      </c>
      <c r="N50" s="30">
        <f ca="1">(+M50+O50+R50+U50+V50+W50+X50+Y50+Z50+AA50+AC50+AH50+AI50+AJ50+AK50)*CUSTOS!$M$5</f>
        <v>1.9570518626761146</v>
      </c>
      <c r="O50" s="30">
        <f>1 - CUSTOS!$M$32</f>
        <v>0.55000000000000004</v>
      </c>
      <c r="P50" s="30">
        <f>1 - CUSTOS!$M$32</f>
        <v>0.55000000000000004</v>
      </c>
      <c r="Q50" s="30">
        <f>1*(1 - CUSTOS!$M$32)</f>
        <v>0.55000000000000004</v>
      </c>
      <c r="R50" s="30">
        <f>1 - CUSTOS!$M$32</f>
        <v>0.55000000000000004</v>
      </c>
      <c r="S50" s="30">
        <f>1 - CUSTOS!$M$32</f>
        <v>0.55000000000000004</v>
      </c>
      <c r="T50" s="30"/>
      <c r="U50" s="30">
        <f>TRANSICAO!$U$50*CUSTOS!$T$3</f>
        <v>0</v>
      </c>
      <c r="V50" s="30">
        <f>TRANSICAO!$V$50*CUSTOS!$T$3</f>
        <v>0</v>
      </c>
      <c r="W50" s="30">
        <f>TRANSICAO!$W$50*CUSTOS!$T$3</f>
        <v>6.1050000000000011E-3</v>
      </c>
      <c r="X50" s="30">
        <f>TRANSICAO!$X$50*CUSTOS!$T$3</f>
        <v>0</v>
      </c>
      <c r="Y50" s="30">
        <f>TRANSICAO!$Y$50*CUSTOS!$T$3</f>
        <v>0</v>
      </c>
      <c r="Z50" s="30">
        <f>TRANSICAO!$Z$50*CUSTOS!$T$3</f>
        <v>0</v>
      </c>
      <c r="AA50" s="30">
        <f>TRANSICAO!$AA$50*CUSTOS!$T$3</f>
        <v>0</v>
      </c>
      <c r="AB50" s="30">
        <f>TRANSICAO!$AB$50*CUSTOS!$T$3</f>
        <v>0</v>
      </c>
      <c r="AC50" s="30">
        <f>TRANSICAO!$AC$50*CUSTOS!$T$3</f>
        <v>112.96131000000001</v>
      </c>
      <c r="AD50" s="30">
        <f>TRANSICAO!$AD$50*CUSTOS!$T$3</f>
        <v>0</v>
      </c>
      <c r="AE50" s="30">
        <v>0</v>
      </c>
      <c r="AF50" s="30">
        <v>0</v>
      </c>
      <c r="AG50" s="30"/>
      <c r="AH50" s="30">
        <f>(1 - CUSTOS!$M$32)*26.7736</f>
        <v>14.725480000000001</v>
      </c>
      <c r="AI50" s="30">
        <f>(1 - CUSTOS!$M$32)*26.7736</f>
        <v>14.725480000000001</v>
      </c>
      <c r="AJ50" s="30">
        <f ca="1">$N$64*(1-CUSTOS!$M$32)</f>
        <v>25.825569381016003</v>
      </c>
      <c r="AK50" s="30">
        <f t="shared" ca="1" si="0"/>
        <v>25.825569381016003</v>
      </c>
      <c r="AL50" s="30"/>
      <c r="AM50" s="30"/>
      <c r="AP50" s="30">
        <f>IF((1 - CUSTOS!$M$32)&lt;&gt;0,1/(1 - CUSTOS!$M$32),1)</f>
        <v>1.8181818181818181</v>
      </c>
    </row>
    <row r="51" spans="1:42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>
        <f>1*(1 - CUSTOS!$M$33)</f>
        <v>0.6</v>
      </c>
      <c r="M51" s="30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0.58437000608662659</v>
      </c>
      <c r="N51" s="30">
        <f ca="1">(+M51+O51+R51+U51+V51+W51+X51+Y51+Z51+AA51+AC51+AH51+AI51+AJ51+AK51)*CUSTOS!$M$5</f>
        <v>2.1349656683739422</v>
      </c>
      <c r="O51" s="30">
        <f>1 - CUSTOS!$M$33</f>
        <v>0.6</v>
      </c>
      <c r="P51" s="30">
        <f>1 - CUSTOS!$M$33</f>
        <v>0.6</v>
      </c>
      <c r="Q51" s="30">
        <f>1*(1 - CUSTOS!$M$33)</f>
        <v>0.6</v>
      </c>
      <c r="R51" s="30">
        <f>1 - CUSTOS!$M$33</f>
        <v>0.6</v>
      </c>
      <c r="S51" s="30">
        <f>1 - CUSTOS!$M$33</f>
        <v>0.6</v>
      </c>
      <c r="T51" s="30"/>
      <c r="U51" s="30">
        <f>TRANSICAO!$U$51*CUSTOS!$T$3</f>
        <v>0</v>
      </c>
      <c r="V51" s="30">
        <f>TRANSICAO!$V$51*CUSTOS!$T$3</f>
        <v>0</v>
      </c>
      <c r="W51" s="30">
        <f>TRANSICAO!$W$51*CUSTOS!$T$3</f>
        <v>6.6600000000000001E-3</v>
      </c>
      <c r="X51" s="30">
        <f>TRANSICAO!$X$51*CUSTOS!$T$3</f>
        <v>0</v>
      </c>
      <c r="Y51" s="30">
        <f>TRANSICAO!$Y$51*CUSTOS!$T$3</f>
        <v>0</v>
      </c>
      <c r="Z51" s="30">
        <f>TRANSICAO!$Z$51*CUSTOS!$T$3</f>
        <v>0</v>
      </c>
      <c r="AA51" s="30">
        <f>TRANSICAO!$AA$51*CUSTOS!$T$3</f>
        <v>0</v>
      </c>
      <c r="AB51" s="30">
        <f>TRANSICAO!$AB$51*CUSTOS!$T$3</f>
        <v>0</v>
      </c>
      <c r="AC51" s="30">
        <f>TRANSICAO!$AC$51*CUSTOS!$T$3</f>
        <v>123.23051999999998</v>
      </c>
      <c r="AD51" s="30">
        <f>TRANSICAO!$AD$51*CUSTOS!$T$3</f>
        <v>0</v>
      </c>
      <c r="AE51" s="30">
        <v>0</v>
      </c>
      <c r="AF51" s="30">
        <v>0</v>
      </c>
      <c r="AG51" s="30"/>
      <c r="AH51" s="30">
        <f>(1 - CUSTOS!$M$33)*26.7736</f>
        <v>16.064159999999998</v>
      </c>
      <c r="AI51" s="30">
        <f>(1 - CUSTOS!$M$33)*26.7736</f>
        <v>16.064159999999998</v>
      </c>
      <c r="AJ51" s="30">
        <f ca="1">$N$64*(1-CUSTOS!$M$33)</f>
        <v>28.173348415653816</v>
      </c>
      <c r="AK51" s="30">
        <f t="shared" ca="1" si="0"/>
        <v>28.173348415653816</v>
      </c>
      <c r="AL51" s="30"/>
      <c r="AM51" s="30"/>
      <c r="AP51" s="30">
        <f>IF((1 - CUSTOS!$M$33)&lt;&gt;0,1/(1 - CUSTOS!$M$33),1)</f>
        <v>1.6666666666666667</v>
      </c>
    </row>
    <row r="53" spans="1:42" ht="11.25" customHeight="1" x14ac:dyDescent="0.25">
      <c r="K53" s="35" t="s">
        <v>664</v>
      </c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</row>
    <row r="54" spans="1:42" ht="11.25" customHeight="1" x14ac:dyDescent="0.25">
      <c r="K54" s="35" t="s">
        <v>665</v>
      </c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</row>
    <row r="55" spans="1:42" ht="11.25" customHeight="1" x14ac:dyDescent="0.25">
      <c r="K55" s="35" t="s">
        <v>666</v>
      </c>
      <c r="L55" s="30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1011313.58802</v>
      </c>
      <c r="M55" s="30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1063582.8975168709</v>
      </c>
      <c r="N55" s="30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3559241.9453178346</v>
      </c>
      <c r="O55" s="30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1136371.3595</v>
      </c>
      <c r="P55" s="30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1050752.3125</v>
      </c>
      <c r="Q55" s="30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1011313.58802</v>
      </c>
      <c r="R55" s="30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1050752.3125</v>
      </c>
      <c r="S55" s="30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1136371.3595</v>
      </c>
      <c r="T55" s="30"/>
      <c r="U55" s="30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30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30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11802.695154949999</v>
      </c>
      <c r="X55" s="30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30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0</v>
      </c>
      <c r="Z55" s="30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30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30"/>
      <c r="AC55" s="30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224232507.14737251</v>
      </c>
      <c r="AD55" s="30"/>
      <c r="AE55" s="30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30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30"/>
      <c r="AH55" s="30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26973839.189506397</v>
      </c>
      <c r="AI55" s="30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26973839.189506397</v>
      </c>
      <c r="AJ55" s="30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51188017.136413217</v>
      </c>
      <c r="AK55" s="30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51188017.136413217</v>
      </c>
      <c r="AL55" s="30"/>
      <c r="AM55" s="30"/>
    </row>
    <row r="56" spans="1:42" ht="11.25" customHeight="1" x14ac:dyDescent="0.25">
      <c r="K56" s="35" t="s">
        <v>602</v>
      </c>
      <c r="L56" s="30">
        <f>CUSTOS!$D$2</f>
        <v>22459678.417030092</v>
      </c>
      <c r="M56" s="30">
        <f>CUSTOS!$D$3</f>
        <v>1082207.9690302885</v>
      </c>
      <c r="N56" s="30">
        <f>CUSTOS!$D$4</f>
        <v>3600614.9623489506</v>
      </c>
      <c r="O56" s="30">
        <f>CUSTOS!$D$5</f>
        <v>0</v>
      </c>
      <c r="P56" s="30">
        <f>CUSTOS!$D$6</f>
        <v>0</v>
      </c>
      <c r="Q56" s="30">
        <f>CUSTOS!$D$7</f>
        <v>35141224.13086278</v>
      </c>
      <c r="R56" s="30">
        <f>CUSTOS!$D$8</f>
        <v>0</v>
      </c>
      <c r="S56" s="30">
        <f>CUSTOS!$D$9</f>
        <v>0</v>
      </c>
      <c r="T56" s="30">
        <f>CUSTOS!$D$10</f>
        <v>62283725.479272112</v>
      </c>
      <c r="U56" s="30">
        <f>CUSTOS!$D$11</f>
        <v>0</v>
      </c>
      <c r="V56" s="30">
        <f>IF(SUM(V53:V55)&lt;&gt;0,CUSTOS!$D$12+CUSTOS!$D$16+CUSTOS!$D$17-'TR TUSD'!$Z$54-'TR TUSD'!$AA$54,0)</f>
        <v>0</v>
      </c>
      <c r="W56" s="30">
        <f>CUSTOS!$D$13</f>
        <v>2411724.7064356301</v>
      </c>
      <c r="X56" s="30">
        <f>CUSTOS!$D$14</f>
        <v>0</v>
      </c>
      <c r="Y56" s="30">
        <f>IF(SUM(V53:V55)=0,CUSTOS!$D$15+CUSTOS!$D$16+CUSTOS!$D$17-'TR TUSD'!$Z$54-'TR TUSD'!$AA$54,CUSTOS!$D$15)</f>
        <v>0</v>
      </c>
      <c r="Z56" s="30">
        <f>Z54</f>
        <v>0</v>
      </c>
      <c r="AA56" s="30">
        <f>AA54</f>
        <v>0</v>
      </c>
      <c r="AB56" s="30">
        <f>CUSTOS!$D$18</f>
        <v>2411724.7064356301</v>
      </c>
      <c r="AC56" s="30">
        <f>CUSTOS!$D$19</f>
        <v>264654952.64166877</v>
      </c>
      <c r="AD56" s="30">
        <f>CUSTOS!$D$20</f>
        <v>264654952.64166877</v>
      </c>
      <c r="AE56" s="30">
        <f>CUSTOS!$D$21</f>
        <v>0</v>
      </c>
      <c r="AF56" s="30">
        <f>CUSTOS!$D$22</f>
        <v>0</v>
      </c>
      <c r="AG56" s="30">
        <f>CUSTOS!$D$23</f>
        <v>0</v>
      </c>
      <c r="AH56" s="30">
        <f>CUSTOS!$D$24</f>
        <v>36346542.14104908</v>
      </c>
      <c r="AI56" s="30">
        <f>CUSTOS!$D$25</f>
        <v>0</v>
      </c>
      <c r="AJ56" s="30">
        <f>CUSTOS!$D$26</f>
        <v>52085959.576217741</v>
      </c>
      <c r="AK56" s="30">
        <f>CUSTOS!$D$27</f>
        <v>5162888.2053043898</v>
      </c>
      <c r="AL56" s="30">
        <f>CUSTOS!$D$28</f>
        <v>93595389.922571212</v>
      </c>
      <c r="AM56" s="30">
        <f>CUSTOS!$D$29</f>
        <v>422945792.74994767</v>
      </c>
    </row>
    <row r="57" spans="1:42" ht="11.25" customHeight="1" x14ac:dyDescent="0.25">
      <c r="K57" s="35" t="s">
        <v>603</v>
      </c>
      <c r="L57" s="30">
        <f>CUSTOS!$E$2</f>
        <v>-8179987.3096862873</v>
      </c>
      <c r="M57" s="30">
        <f>CUSTOS!$E$3</f>
        <v>-203151.11492290522</v>
      </c>
      <c r="N57" s="30">
        <f>CUSTOS!$E$4</f>
        <v>8.3422194394368088</v>
      </c>
      <c r="O57" s="30">
        <f>CUSTOS!$E$5</f>
        <v>0</v>
      </c>
      <c r="P57" s="30">
        <f>CUSTOS!$E$6</f>
        <v>0</v>
      </c>
      <c r="Q57" s="30">
        <f>CUSTOS!$E$7</f>
        <v>-1377720.5683361534</v>
      </c>
      <c r="R57" s="30">
        <f>CUSTOS!$E$8</f>
        <v>0</v>
      </c>
      <c r="S57" s="30">
        <f>CUSTOS!$E$9</f>
        <v>0</v>
      </c>
      <c r="T57" s="30">
        <f>CUSTOS!$E$10</f>
        <v>-9760850.6507259067</v>
      </c>
      <c r="U57" s="30">
        <f>CUSTOS!$E$11</f>
        <v>0</v>
      </c>
      <c r="V57" s="30">
        <f>CUSTOS!$E$12</f>
        <v>0</v>
      </c>
      <c r="W57" s="30">
        <f>CUSTOS!$E$13</f>
        <v>-498592.4753131317</v>
      </c>
      <c r="X57" s="30">
        <f>CUSTOS!$E$14</f>
        <v>0</v>
      </c>
      <c r="Y57" s="30">
        <f>CUSTOS!$E$15</f>
        <v>0</v>
      </c>
      <c r="Z57" s="30">
        <f>CUSTOS!$E$16</f>
        <v>0</v>
      </c>
      <c r="AA57" s="30">
        <f>CUSTOS!$E$17</f>
        <v>0</v>
      </c>
      <c r="AB57" s="30">
        <f>CUSTOS!$E$18</f>
        <v>-498592.4753131317</v>
      </c>
      <c r="AC57" s="30">
        <f>CUSTOS!$E$19</f>
        <v>5817275.3211929277</v>
      </c>
      <c r="AD57" s="30">
        <f>CUSTOS!$E$20</f>
        <v>5817275.3211929277</v>
      </c>
      <c r="AE57" s="30">
        <f>CUSTOS!$E$21</f>
        <v>0</v>
      </c>
      <c r="AF57" s="30">
        <f>CUSTOS!$E$22</f>
        <v>0</v>
      </c>
      <c r="AG57" s="30">
        <f>CUSTOS!$E$23</f>
        <v>0</v>
      </c>
      <c r="AH57" s="30">
        <f>CUSTOS!$E$24</f>
        <v>-996543.58327583992</v>
      </c>
      <c r="AI57" s="30">
        <f>CUSTOS!$E$25</f>
        <v>0</v>
      </c>
      <c r="AJ57" s="30">
        <f>CUSTOS!$E$26</f>
        <v>-1428084.371630583</v>
      </c>
      <c r="AK57" s="30">
        <f>CUSTOS!$E$27</f>
        <v>-54417.442338082838</v>
      </c>
      <c r="AL57" s="30">
        <f>CUSTOS!$E$28</f>
        <v>-2479045.3972445056</v>
      </c>
      <c r="AM57" s="30">
        <f>CUSTOS!$E$29</f>
        <v>-6921213.2020906173</v>
      </c>
    </row>
    <row r="58" spans="1:42" ht="11.25" customHeight="1" x14ac:dyDescent="0.25">
      <c r="K58" s="35" t="s">
        <v>604</v>
      </c>
      <c r="L58" s="30">
        <f>CUSTOS!$F$2</f>
        <v>0</v>
      </c>
      <c r="M58" s="30">
        <f>CUSTOS!$F$3</f>
        <v>0</v>
      </c>
      <c r="N58" s="30">
        <f>CUSTOS!$F$4</f>
        <v>0</v>
      </c>
      <c r="O58" s="30">
        <f>CUSTOS!$F$5</f>
        <v>0</v>
      </c>
      <c r="P58" s="30">
        <f>CUSTOS!$F$6</f>
        <v>0</v>
      </c>
      <c r="Q58" s="30">
        <f>CUSTOS!$F$7</f>
        <v>11722199.327785593</v>
      </c>
      <c r="R58" s="30">
        <f>CUSTOS!$F$8</f>
        <v>0</v>
      </c>
      <c r="S58" s="30">
        <f>CUSTOS!$F$9</f>
        <v>0</v>
      </c>
      <c r="T58" s="30">
        <f>CUSTOS!$F$10</f>
        <v>11722199.327785593</v>
      </c>
      <c r="U58" s="30">
        <f>CUSTOS!$F$11</f>
        <v>0</v>
      </c>
      <c r="V58" s="30">
        <f>CUSTOS!$F$12</f>
        <v>0</v>
      </c>
      <c r="W58" s="30">
        <f>CUSTOS!$F$13</f>
        <v>0</v>
      </c>
      <c r="X58" s="30">
        <f>CUSTOS!$F$14</f>
        <v>0</v>
      </c>
      <c r="Y58" s="30">
        <f>CUSTOS!$F$15</f>
        <v>0</v>
      </c>
      <c r="Z58" s="30">
        <f>CUSTOS!$F$16</f>
        <v>0</v>
      </c>
      <c r="AA58" s="30">
        <f>CUSTOS!$F$17</f>
        <v>0</v>
      </c>
      <c r="AB58" s="30">
        <f>CUSTOS!$F$18</f>
        <v>0</v>
      </c>
      <c r="AC58" s="30">
        <f>CUSTOS!$F$19</f>
        <v>0</v>
      </c>
      <c r="AD58" s="30">
        <f>CUSTOS!$F$20</f>
        <v>0</v>
      </c>
      <c r="AE58" s="30">
        <f>CUSTOS!$F$21</f>
        <v>0</v>
      </c>
      <c r="AF58" s="30">
        <f>CUSTOS!$F$22</f>
        <v>0</v>
      </c>
      <c r="AG58" s="30">
        <f>CUSTOS!$F$23</f>
        <v>0</v>
      </c>
      <c r="AH58" s="30">
        <f>CUSTOS!$F$24</f>
        <v>-141628.23497802331</v>
      </c>
      <c r="AI58" s="30">
        <f>CUSTOS!$F$25</f>
        <v>0</v>
      </c>
      <c r="AJ58" s="30">
        <f>CUSTOS!$F$26</f>
        <v>-202958.57837835769</v>
      </c>
      <c r="AK58" s="30">
        <f>CUSTOS!$F$27</f>
        <v>0</v>
      </c>
      <c r="AL58" s="30">
        <f>CUSTOS!$F$28</f>
        <v>-344586.81335638103</v>
      </c>
      <c r="AM58" s="30">
        <f>CUSTOS!$F$29</f>
        <v>11377612.514429212</v>
      </c>
    </row>
    <row r="59" spans="1:42" ht="11.25" customHeight="1" x14ac:dyDescent="0.25">
      <c r="K59" s="35" t="s">
        <v>667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/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/>
      <c r="AC59" s="30">
        <v>0</v>
      </c>
      <c r="AD59" s="30"/>
      <c r="AE59" s="30">
        <v>0</v>
      </c>
      <c r="AF59" s="30">
        <v>0</v>
      </c>
      <c r="AG59" s="30"/>
      <c r="AH59" s="30">
        <v>0</v>
      </c>
      <c r="AI59" s="30">
        <v>0</v>
      </c>
      <c r="AJ59" s="30">
        <v>0</v>
      </c>
      <c r="AK59" s="30">
        <v>0</v>
      </c>
      <c r="AL59" s="30"/>
      <c r="AM59" s="30"/>
    </row>
    <row r="60" spans="1:42" ht="11.25" customHeight="1" x14ac:dyDescent="0.25">
      <c r="K60" s="35" t="s">
        <v>668</v>
      </c>
      <c r="L60" s="30">
        <f t="shared" ref="L60:S60" si="1">IF((L55+L53)&lt;&gt;0,(L56-L54-L59)/(L55+L53),0)</f>
        <v>22.208421485765623</v>
      </c>
      <c r="M60" s="30">
        <f t="shared" si="1"/>
        <v>1.0175116312577996</v>
      </c>
      <c r="N60" s="30">
        <f t="shared" ca="1" si="1"/>
        <v>1.0116241091970559</v>
      </c>
      <c r="O60" s="30">
        <f t="shared" si="1"/>
        <v>0</v>
      </c>
      <c r="P60" s="30">
        <f t="shared" si="1"/>
        <v>0</v>
      </c>
      <c r="Q60" s="30">
        <f t="shared" si="1"/>
        <v>34.748098460403376</v>
      </c>
      <c r="R60" s="30">
        <f t="shared" si="1"/>
        <v>0</v>
      </c>
      <c r="S60" s="30">
        <f t="shared" si="1"/>
        <v>0</v>
      </c>
      <c r="T60" s="30"/>
      <c r="U60" s="30">
        <f>IF(U55&lt;&gt;0,(U56-U54-U53-U59)/U55,0)</f>
        <v>0</v>
      </c>
      <c r="V60" s="30">
        <f>IF(V55&lt;&gt;0,(V56-V54-V53-V59)/V55,0)</f>
        <v>0</v>
      </c>
      <c r="W60" s="30">
        <f>IF(W55&lt;&gt;0,(W56-W54-W53-W59)/W55,0)</f>
        <v>204.33677857249097</v>
      </c>
      <c r="X60" s="30">
        <f>IF(X55&lt;&gt;0,(X56-X54-X53-X59)/X55,0)</f>
        <v>0</v>
      </c>
      <c r="Y60" s="30">
        <f>IF(Y55&lt;&gt;0,(Y56-Y54-Y53-Y59)/Y55,0)</f>
        <v>0</v>
      </c>
      <c r="Z60" s="30"/>
      <c r="AA60" s="30"/>
      <c r="AB60" s="30"/>
      <c r="AC60" s="30">
        <f>IF(AC55&lt;&gt;0,(AC56-AC54-AC53-AC59)/AC55,0)</f>
        <v>1.1802702293638869</v>
      </c>
      <c r="AD60" s="30"/>
      <c r="AE60" s="30">
        <f>IF((AE55+AE53)&lt;&gt;0,(AE56-AE54-AE59)/(AE55+AE53),0)</f>
        <v>0</v>
      </c>
      <c r="AF60" s="30">
        <f>IF((AF55+AF53)&lt;&gt;0,(AF56-AF54-AF59)/(AF55+AF53),0)</f>
        <v>0</v>
      </c>
      <c r="AG60" s="30"/>
      <c r="AH60" s="30">
        <f>IF(AH55&lt;&gt;0,(AH56-AH54-AH53-AH59)/AH55,0)</f>
        <v>1.3474738203076755</v>
      </c>
      <c r="AI60" s="30">
        <f>IF(AI55&lt;&gt;0,(AI56-AI54-AI53-AI59)/AI55,0)</f>
        <v>0</v>
      </c>
      <c r="AJ60" s="30">
        <f ca="1">IF((AJ55+AJ53)&lt;&gt;0,(AJ56-AJ54-AJ59)/(AJ55+AJ53),0)</f>
        <v>1.0175420438227087</v>
      </c>
      <c r="AK60" s="30">
        <f ca="1">IF((AK55+AK53)&lt;&gt;0,(AK56-AK54-AK59)/(AK55+AK53),0)</f>
        <v>0.10086126586121866</v>
      </c>
      <c r="AL60" s="30"/>
      <c r="AM60" s="30"/>
    </row>
    <row r="62" spans="1:42" ht="11.25" customHeight="1" x14ac:dyDescent="0.25">
      <c r="K62" s="41" t="s">
        <v>1182</v>
      </c>
      <c r="L62" s="41" t="s">
        <v>1183</v>
      </c>
      <c r="M62" s="41" t="s">
        <v>1184</v>
      </c>
      <c r="N62" s="41" t="s">
        <v>1185</v>
      </c>
      <c r="O62" s="41" t="s">
        <v>1186</v>
      </c>
      <c r="P62" s="41" t="s">
        <v>1187</v>
      </c>
    </row>
    <row r="63" spans="1:42" ht="11.25" customHeight="1" x14ac:dyDescent="0.25">
      <c r="K63" s="40" t="s">
        <v>39</v>
      </c>
      <c r="L63" s="40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66020239.058340304</v>
      </c>
      <c r="M63" s="40">
        <f>+'TUSD BE'!$I$7+'TUSD BE'!$I$8+'TUSD BE'!$I$11+'TUSD BE'!$I$12+'TUSD BE'!$I$13+'TUSD BE'!$I$14</f>
        <v>246492.02800000002</v>
      </c>
      <c r="N63" s="40">
        <f ca="1">IF(AND($L$70&lt;&gt;0,M63&lt;&gt;0),(L63/$L$70*$AJ$56)/M63,0)</f>
        <v>38.148156172210491</v>
      </c>
      <c r="O63" s="40"/>
      <c r="P63" s="40"/>
    </row>
    <row r="64" spans="1:42" ht="11.25" customHeight="1" x14ac:dyDescent="0.25">
      <c r="K64" s="40" t="s">
        <v>82</v>
      </c>
      <c r="L64" s="40">
        <f ca="1">+$L$65+$L$66+$L$67+$L$68+$L$69</f>
        <v>299676705.91008502</v>
      </c>
      <c r="M64" s="40">
        <f>+$M$65+$M$66+$M$67+$M$68+$M$69</f>
        <v>909002.56299999973</v>
      </c>
      <c r="N64" s="40">
        <f ca="1">IF(AND($L$70&lt;&gt;0,M64&lt;&gt;0),(L64/$L$70*$AJ$56)/M64,0)</f>
        <v>46.955580692756364</v>
      </c>
      <c r="O64" s="40"/>
      <c r="P64" s="40"/>
    </row>
    <row r="65" spans="11:16" ht="11.25" customHeight="1" x14ac:dyDescent="0.25">
      <c r="K65" s="40" t="s">
        <v>82</v>
      </c>
      <c r="L65" s="40"/>
      <c r="M65" s="40"/>
      <c r="N65" s="40">
        <f ca="1">IF(AND($L$70&lt;&gt;0,M65&lt;&gt;0),(L65/$L$70*$AJ$56)/M65,0)</f>
        <v>0</v>
      </c>
      <c r="O65" s="40"/>
      <c r="P65" s="40"/>
    </row>
    <row r="66" spans="11:16" ht="11.25" customHeight="1" x14ac:dyDescent="0.25">
      <c r="K66" s="40" t="s">
        <v>22</v>
      </c>
      <c r="L66" s="40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204985462.67006621</v>
      </c>
      <c r="M66" s="40">
        <f>+'TUSD BE'!$I$17+'TUSD BE'!$I$18+'TUSD BE'!$I$19+'TUSD BE'!$I$20+'TUSD BE'!$I$21+'TUSD BE'!$I$22+'TUSD BE'!$I$23+'TUSD BE'!$I$24+'TUSD BE'!$I$25+'TUSD BE'!$I$26+'TUSD BE'!$I$27+'TUSD BE'!$I$28+'TUSD BE'!$I$29</f>
        <v>613134.33699999982</v>
      </c>
      <c r="N66" s="40"/>
      <c r="O66" s="40"/>
      <c r="P66" s="40"/>
    </row>
    <row r="67" spans="11:16" ht="11.25" customHeight="1" x14ac:dyDescent="0.25">
      <c r="K67" s="40" t="s">
        <v>43</v>
      </c>
      <c r="L67" s="40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18764435.235549394</v>
      </c>
      <c r="M67" s="40">
        <f>+'TUSD BE'!$I$30+'TUSD BE'!$I$31+'TUSD BE'!$I$32+'TUSD BE'!$I$33+'TUSD BE'!$I$34+'TUSD BE'!$I$35+'TUSD BE'!$I$36+'TUSD BE'!$I$37+'TUSD BE'!$I$38+'TUSD BE'!$I$39+'TUSD BE'!$I$40+'TUSD BE'!$I$41+'TUSD BE'!$I$42+'TUSD BE'!$I$43+'TUSD BE'!$I$44</f>
        <v>54818.551999999996</v>
      </c>
      <c r="N67" s="40"/>
      <c r="O67" s="40"/>
      <c r="P67" s="40"/>
    </row>
    <row r="68" spans="11:16" ht="11.25" customHeight="1" x14ac:dyDescent="0.25">
      <c r="K68" s="40" t="s">
        <v>37</v>
      </c>
      <c r="L68" s="40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67926264.736645907</v>
      </c>
      <c r="M68" s="40">
        <f>+'TUSD BE'!$I$45+'TUSD BE'!$I$46+'TUSD BE'!$I$47+'TUSD BE'!$I$48+'TUSD BE'!$I$49</f>
        <v>198553.60399999999</v>
      </c>
      <c r="N68" s="40"/>
      <c r="O68" s="40"/>
      <c r="P68" s="40"/>
    </row>
    <row r="69" spans="11:16" ht="11.25" customHeight="1" x14ac:dyDescent="0.25">
      <c r="K69" s="40" t="s">
        <v>46</v>
      </c>
      <c r="L69" s="40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8000543.2678235192</v>
      </c>
      <c r="M69" s="40">
        <f>+'TUSD BE'!$I$50+'TUSD BE'!$I$51</f>
        <v>42496.07</v>
      </c>
      <c r="N69" s="40"/>
      <c r="O69" s="40"/>
      <c r="P69" s="40"/>
    </row>
    <row r="70" spans="11:16" ht="11.25" customHeight="1" x14ac:dyDescent="0.25">
      <c r="K70" s="40"/>
      <c r="L70" s="40">
        <f ca="1">SUM($L$63:$L$69,-$L$64)</f>
        <v>365696944.96842545</v>
      </c>
      <c r="M70" s="40">
        <f>SUM($M$63:$M$69,-$M$64)</f>
        <v>1155494.591</v>
      </c>
      <c r="N70" s="40"/>
      <c r="O70" s="40"/>
      <c r="P70" s="40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3F61-6112-4913-B8AB-CC55936E1B87}">
  <dimension ref="A1:AP58"/>
  <sheetViews>
    <sheetView showGridLines="0" topLeftCell="Z1" workbookViewId="0">
      <selection activeCell="AM5" sqref="AM5:AM5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669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P1" s="109" t="s">
        <v>663</v>
      </c>
    </row>
    <row r="2" spans="1:42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P2" s="110"/>
    </row>
    <row r="3" spans="1:42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/>
      <c r="U3" s="109" t="s">
        <v>570</v>
      </c>
      <c r="V3" s="109"/>
      <c r="W3" s="109"/>
      <c r="X3" s="109"/>
      <c r="Y3" s="109"/>
      <c r="Z3" s="109"/>
      <c r="AA3" s="109"/>
      <c r="AB3" s="109"/>
      <c r="AC3" s="109" t="s">
        <v>578</v>
      </c>
      <c r="AD3" s="109"/>
      <c r="AE3" s="109" t="s">
        <v>580</v>
      </c>
      <c r="AF3" s="109"/>
      <c r="AG3" s="109"/>
      <c r="AH3" s="109" t="s">
        <v>583</v>
      </c>
      <c r="AI3" s="109"/>
      <c r="AJ3" s="109"/>
      <c r="AK3" s="109"/>
      <c r="AL3" s="109"/>
      <c r="AM3" s="109" t="s">
        <v>569</v>
      </c>
      <c r="AP3" s="110"/>
    </row>
    <row r="4" spans="1:42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569</v>
      </c>
      <c r="U4" s="32" t="s">
        <v>571</v>
      </c>
      <c r="V4" s="32" t="s">
        <v>572</v>
      </c>
      <c r="W4" s="32" t="s">
        <v>573</v>
      </c>
      <c r="X4" s="32" t="s">
        <v>574</v>
      </c>
      <c r="Y4" s="32" t="s">
        <v>575</v>
      </c>
      <c r="Z4" s="32" t="s">
        <v>576</v>
      </c>
      <c r="AA4" s="32" t="s">
        <v>577</v>
      </c>
      <c r="AB4" s="32" t="s">
        <v>569</v>
      </c>
      <c r="AC4" s="32" t="s">
        <v>579</v>
      </c>
      <c r="AD4" s="32" t="s">
        <v>569</v>
      </c>
      <c r="AE4" s="32" t="s">
        <v>581</v>
      </c>
      <c r="AF4" s="32" t="s">
        <v>582</v>
      </c>
      <c r="AG4" s="32" t="s">
        <v>569</v>
      </c>
      <c r="AH4" s="32" t="s">
        <v>584</v>
      </c>
      <c r="AI4" s="32" t="s">
        <v>585</v>
      </c>
      <c r="AJ4" s="32" t="s">
        <v>586</v>
      </c>
      <c r="AK4" s="32" t="s">
        <v>587</v>
      </c>
      <c r="AL4" s="32" t="s">
        <v>569</v>
      </c>
      <c r="AM4" s="111"/>
      <c r="AP4" s="110"/>
    </row>
    <row r="5" spans="1:42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>
        <f>'TR TUSD'!$L$5*'TR TUSD'!$L$60</f>
        <v>0</v>
      </c>
      <c r="M5" s="30">
        <f>'TR TUSD'!$M$5*'TR TUSD'!$M$60</f>
        <v>0</v>
      </c>
      <c r="N5" s="30">
        <f ca="1">'TR TUSD'!$N$5*'TR TUSD'!$N$60</f>
        <v>0</v>
      </c>
      <c r="O5" s="30">
        <f>'TR TUSD'!$O$5*'TR TUSD'!$O$60</f>
        <v>0</v>
      </c>
      <c r="P5" s="30">
        <f>'TR TUSD'!$P$5*'TR TUSD'!$P$60</f>
        <v>0</v>
      </c>
      <c r="Q5" s="30">
        <f>'TR TUSD'!$Q$5*'TR TUSD'!$Q$60</f>
        <v>0</v>
      </c>
      <c r="R5" s="30">
        <f>'TR TUSD'!$R$5*'TR TUSD'!$R$60</f>
        <v>0</v>
      </c>
      <c r="S5" s="30">
        <f>'TR TUSD'!$S$5*'TR TUSD'!$S$60</f>
        <v>0</v>
      </c>
      <c r="T5" s="30">
        <f ca="1">SUM($L$5:$S$5)</f>
        <v>0</v>
      </c>
      <c r="U5" s="30">
        <f>'TR TUSD'!$U$5*'TR TUSD'!$U$60</f>
        <v>0</v>
      </c>
      <c r="V5" s="30">
        <f>'TR TUSD'!$V$5*'TR TUSD'!$V$60</f>
        <v>0</v>
      </c>
      <c r="W5" s="30">
        <f>'TR TUSD'!$W$5*'TR TUSD'!$W$60</f>
        <v>0.4699745907167292</v>
      </c>
      <c r="X5" s="30">
        <f>'TR TUSD'!$X$5*'TR TUSD'!$X$60</f>
        <v>0</v>
      </c>
      <c r="Y5" s="30">
        <f>'TR TUSD'!$Y$5*'TR TUSD'!$Y$60</f>
        <v>0</v>
      </c>
      <c r="Z5" s="30">
        <f>'TR TUSD'!$Z$5</f>
        <v>0</v>
      </c>
      <c r="AA5" s="30">
        <f>'TR TUSD'!$AA$5</f>
        <v>0</v>
      </c>
      <c r="AB5" s="30">
        <f>SUM($U$5:$AA$5)</f>
        <v>0.4699745907167292</v>
      </c>
      <c r="AC5" s="30">
        <f>'TR TUSD'!$AC$5*'TR TUSD'!$AC$60</f>
        <v>55.498548698125759</v>
      </c>
      <c r="AD5" s="30">
        <f>SUM($AC$5:$AC$5)</f>
        <v>55.498548698125759</v>
      </c>
      <c r="AE5" s="30">
        <v>0</v>
      </c>
      <c r="AF5" s="30">
        <v>0</v>
      </c>
      <c r="AG5" s="30">
        <f>SUM($AE$5:$AF$5)</f>
        <v>0</v>
      </c>
      <c r="AH5" s="30">
        <f>'TR TUSD'!$AH$5*'TR TUSD'!$AH$60</f>
        <v>0</v>
      </c>
      <c r="AI5" s="30">
        <f>'TR TUSD'!$AI$5*'TR TUSD'!$AI$60</f>
        <v>0</v>
      </c>
      <c r="AJ5" s="30">
        <f ca="1">'TR TUSD'!$AJ$5*'TR TUSD'!$AJ$60</f>
        <v>0</v>
      </c>
      <c r="AK5" s="30">
        <f ca="1">'TR TUSD'!$AK$5*'TR TUSD'!$AK$60</f>
        <v>0</v>
      </c>
      <c r="AL5" s="30">
        <f ca="1">SUM($AH$5:$AK$5)</f>
        <v>0</v>
      </c>
      <c r="AM5" s="30">
        <f ca="1">SUMIF($L$4:$AL$4,"SUBTOTAL",$L$5:$AL$5)</f>
        <v>55.968523288842491</v>
      </c>
      <c r="AP5" s="30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>
        <f>'TR TUSD'!$L$6*'TR TUSD'!$L$60</f>
        <v>0</v>
      </c>
      <c r="M6" s="30">
        <f>'TR TUSD'!$M$6*'TR TUSD'!$M$60</f>
        <v>0</v>
      </c>
      <c r="N6" s="30">
        <f ca="1">'TR TUSD'!$N$6*'TR TUSD'!$N$60</f>
        <v>0</v>
      </c>
      <c r="O6" s="30">
        <f>'TR TUSD'!$O$6*'TR TUSD'!$O$60</f>
        <v>0</v>
      </c>
      <c r="P6" s="30">
        <f>'TR TUSD'!$P$6*'TR TUSD'!$P$60</f>
        <v>0</v>
      </c>
      <c r="Q6" s="30">
        <f>'TR TUSD'!$Q$6*'TR TUSD'!$Q$60</f>
        <v>0</v>
      </c>
      <c r="R6" s="30">
        <f>'TR TUSD'!$R$6*'TR TUSD'!$R$60</f>
        <v>0</v>
      </c>
      <c r="S6" s="30">
        <f>'TR TUSD'!$S$6*'TR TUSD'!$S$60</f>
        <v>0</v>
      </c>
      <c r="T6" s="30">
        <f ca="1">SUM($L$6:$S$6)</f>
        <v>0</v>
      </c>
      <c r="U6" s="30">
        <f>'TR TUSD'!$U$6*'TR TUSD'!$U$60</f>
        <v>0</v>
      </c>
      <c r="V6" s="30">
        <f>'TR TUSD'!$V$6*'TR TUSD'!$V$60</f>
        <v>0</v>
      </c>
      <c r="W6" s="30">
        <f>'TR TUSD'!$W$6*'TR TUSD'!$W$60</f>
        <v>0.14303574500074367</v>
      </c>
      <c r="X6" s="30">
        <f>'TR TUSD'!$X$6*'TR TUSD'!$X$60</f>
        <v>0</v>
      </c>
      <c r="Y6" s="30">
        <f>'TR TUSD'!$Y$6*'TR TUSD'!$Y$60</f>
        <v>0</v>
      </c>
      <c r="Z6" s="30">
        <f>'TR TUSD'!$Z$6</f>
        <v>0</v>
      </c>
      <c r="AA6" s="30">
        <f>'TR TUSD'!$AA$6</f>
        <v>0</v>
      </c>
      <c r="AB6" s="30">
        <f>SUM($U$6:$AA$6)</f>
        <v>0.14303574500074367</v>
      </c>
      <c r="AC6" s="30">
        <f>'TR TUSD'!$AC$6*'TR TUSD'!$AC$60</f>
        <v>18.504276655967018</v>
      </c>
      <c r="AD6" s="30">
        <f>SUM($AC$6:$AC$6)</f>
        <v>18.504276655967018</v>
      </c>
      <c r="AE6" s="30">
        <v>0</v>
      </c>
      <c r="AF6" s="30">
        <v>0</v>
      </c>
      <c r="AG6" s="30">
        <f>SUM($AE$6:$AF$6)</f>
        <v>0</v>
      </c>
      <c r="AH6" s="30">
        <f>'TR TUSD'!$AH$6*'TR TUSD'!$AH$60</f>
        <v>0</v>
      </c>
      <c r="AI6" s="30">
        <f>'TR TUSD'!$AI$6*'TR TUSD'!$AI$60</f>
        <v>0</v>
      </c>
      <c r="AJ6" s="30">
        <f ca="1">'TR TUSD'!$AJ$6*'TR TUSD'!$AJ$60</f>
        <v>0</v>
      </c>
      <c r="AK6" s="30">
        <f ca="1">'TR TUSD'!$AK$6*'TR TUSD'!$AK$60</f>
        <v>0</v>
      </c>
      <c r="AL6" s="30">
        <f ca="1">SUM($AH$6:$AK$6)</f>
        <v>0</v>
      </c>
      <c r="AM6" s="30">
        <f ca="1">SUMIF($L$4:$AL$4,"SUBTOTAL",$L$6:$AL$6)</f>
        <v>18.647312400967763</v>
      </c>
      <c r="AP6" s="30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>
        <f>'TR TUSD'!$L$7*'TR TUSD'!$L$60</f>
        <v>18.655074048043122</v>
      </c>
      <c r="M7" s="30">
        <f>'TR TUSD'!$M$7*'TR TUSD'!$M$60</f>
        <v>0.81273496432073522</v>
      </c>
      <c r="N7" s="30">
        <f ca="1">'TR TUSD'!$N$7*'TR TUSD'!$N$60</f>
        <v>1.0585843066675407</v>
      </c>
      <c r="O7" s="30">
        <f>'TR TUSD'!$O$7*'TR TUSD'!$O$60</f>
        <v>0</v>
      </c>
      <c r="P7" s="30">
        <f>'TR TUSD'!$P$7*'TR TUSD'!$P$60</f>
        <v>0</v>
      </c>
      <c r="Q7" s="30">
        <f>'TR TUSD'!$Q$7*'TR TUSD'!$Q$60</f>
        <v>29.188402706738835</v>
      </c>
      <c r="R7" s="30">
        <f>'TR TUSD'!$R$7*'TR TUSD'!$R$60</f>
        <v>0</v>
      </c>
      <c r="S7" s="30">
        <f>'TR TUSD'!$S$7*'TR TUSD'!$S$60</f>
        <v>0</v>
      </c>
      <c r="T7" s="30">
        <f ca="1">SUM($L$7:$S$7)</f>
        <v>49.714796025770234</v>
      </c>
      <c r="U7" s="30">
        <f>'TR TUSD'!$U$7*'TR TUSD'!$U$60</f>
        <v>0</v>
      </c>
      <c r="V7" s="30">
        <f>'TR TUSD'!$V$7*'TR TUSD'!$V$60</f>
        <v>0</v>
      </c>
      <c r="W7" s="30">
        <f>'TR TUSD'!$W$7*'TR TUSD'!$W$60</f>
        <v>0</v>
      </c>
      <c r="X7" s="30">
        <f>'TR TUSD'!$X$7*'TR TUSD'!$X$60</f>
        <v>0</v>
      </c>
      <c r="Y7" s="30">
        <f>'TR TUSD'!$Y$7*'TR TUSD'!$Y$60</f>
        <v>0</v>
      </c>
      <c r="Z7" s="30">
        <f>'TR TUSD'!$Z$7</f>
        <v>0</v>
      </c>
      <c r="AA7" s="30">
        <f>'TR TUSD'!$AA$7</f>
        <v>0</v>
      </c>
      <c r="AB7" s="30">
        <f>SUM($U$7:$AA$7)</f>
        <v>0</v>
      </c>
      <c r="AC7" s="30">
        <f>'TR TUSD'!$AC$7*'TR TUSD'!$AC$60</f>
        <v>0</v>
      </c>
      <c r="AD7" s="30">
        <f>SUM($AC$7:$AC$7)</f>
        <v>0</v>
      </c>
      <c r="AE7" s="30">
        <v>0</v>
      </c>
      <c r="AF7" s="30">
        <v>0</v>
      </c>
      <c r="AG7" s="30">
        <f>SUM($AE$7:$AF$7)</f>
        <v>0</v>
      </c>
      <c r="AH7" s="30">
        <f>'TR TUSD'!$AH$7*'TR TUSD'!$AH$60</f>
        <v>17.211956843700094</v>
      </c>
      <c r="AI7" s="30">
        <f>'TR TUSD'!$AI$7*'TR TUSD'!$AI$60</f>
        <v>0</v>
      </c>
      <c r="AJ7" s="30">
        <f ca="1">'TR TUSD'!$AJ$7*'TR TUSD'!$AJ$60</f>
        <v>38.817352799538945</v>
      </c>
      <c r="AK7" s="30">
        <f ca="1">'TR TUSD'!$AK$7*'TR TUSD'!$AK$60</f>
        <v>3.847671321800612</v>
      </c>
      <c r="AL7" s="30">
        <f ca="1">SUM($AH$7:$AK$7)</f>
        <v>59.87698096503965</v>
      </c>
      <c r="AM7" s="30">
        <f ca="1">SUMIF($L$4:$AL$4,"SUBTOTAL",$L$7:$AL$7)</f>
        <v>109.59177699080988</v>
      </c>
      <c r="AP7" s="30">
        <v>1</v>
      </c>
    </row>
    <row r="8" spans="1:42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>
        <f>'TR TUSD'!$L$8*'TR TUSD'!$L$60</f>
        <v>0</v>
      </c>
      <c r="M8" s="30">
        <f>'TR TUSD'!$M$8*'TR TUSD'!$M$60</f>
        <v>0.81273496432073522</v>
      </c>
      <c r="N8" s="30">
        <f ca="1">'TR TUSD'!$N$8*'TR TUSD'!$N$60</f>
        <v>1.04846806557557</v>
      </c>
      <c r="O8" s="30">
        <f>'TR TUSD'!$O$8*'TR TUSD'!$O$60</f>
        <v>0</v>
      </c>
      <c r="P8" s="30">
        <f>'TR TUSD'!$P$8*'TR TUSD'!$P$60</f>
        <v>0</v>
      </c>
      <c r="Q8" s="30">
        <f>'TR TUSD'!$Q$8*'TR TUSD'!$Q$60</f>
        <v>0</v>
      </c>
      <c r="R8" s="30">
        <f>'TR TUSD'!$R$8*'TR TUSD'!$R$60</f>
        <v>0</v>
      </c>
      <c r="S8" s="30">
        <f>'TR TUSD'!$S$8*'TR TUSD'!$S$60</f>
        <v>0</v>
      </c>
      <c r="T8" s="30">
        <f ca="1">SUM($L$8:$S$8)</f>
        <v>1.8612030298963052</v>
      </c>
      <c r="U8" s="30">
        <f>'TR TUSD'!$U$8*'TR TUSD'!$U$60</f>
        <v>0</v>
      </c>
      <c r="V8" s="30">
        <f>'TR TUSD'!$V$8*'TR TUSD'!$V$60</f>
        <v>0</v>
      </c>
      <c r="W8" s="30">
        <f>'TR TUSD'!$W$8*'TR TUSD'!$W$60</f>
        <v>0</v>
      </c>
      <c r="X8" s="30">
        <f>'TR TUSD'!$X$8*'TR TUSD'!$X$60</f>
        <v>0</v>
      </c>
      <c r="Y8" s="30">
        <f>'TR TUSD'!$Y$8*'TR TUSD'!$Y$60</f>
        <v>0</v>
      </c>
      <c r="Z8" s="30">
        <f>'TR TUSD'!$Z$8</f>
        <v>0</v>
      </c>
      <c r="AA8" s="30">
        <f>'TR TUSD'!$AA$8</f>
        <v>0</v>
      </c>
      <c r="AB8" s="30">
        <f>SUM($U$8:$AA$8)</f>
        <v>0</v>
      </c>
      <c r="AC8" s="30">
        <f>'TR TUSD'!$AC$8*'TR TUSD'!$AC$60</f>
        <v>0</v>
      </c>
      <c r="AD8" s="30">
        <f>SUM($AC$8:$AC$8)</f>
        <v>0</v>
      </c>
      <c r="AE8" s="30">
        <v>0</v>
      </c>
      <c r="AF8" s="30">
        <v>0</v>
      </c>
      <c r="AG8" s="30">
        <f>SUM($AE$8:$AF$8)</f>
        <v>0</v>
      </c>
      <c r="AH8" s="30">
        <f>'TR TUSD'!$AH$8*'TR TUSD'!$AH$60</f>
        <v>17.211956843700094</v>
      </c>
      <c r="AI8" s="30">
        <f>'TR TUSD'!$AI$8*'TR TUSD'!$AI$60</f>
        <v>0</v>
      </c>
      <c r="AJ8" s="30">
        <f ca="1">'TR TUSD'!$AJ$8*'TR TUSD'!$AJ$60</f>
        <v>38.817352799538945</v>
      </c>
      <c r="AK8" s="30">
        <f ca="1">'TR TUSD'!$AK$8*'TR TUSD'!$AK$60</f>
        <v>3.847671321800612</v>
      </c>
      <c r="AL8" s="30">
        <f ca="1">SUM($AH$8:$AK$8)</f>
        <v>59.87698096503965</v>
      </c>
      <c r="AM8" s="30">
        <f ca="1">SUMIF($L$4:$AL$4,"SUBTOTAL",$L$8:$AL$8)</f>
        <v>61.738183994935952</v>
      </c>
      <c r="AP8" s="30">
        <v>1</v>
      </c>
    </row>
    <row r="9" spans="1:42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>
        <f>'TR TUSD'!$L$9*'TR TUSD'!$L$60</f>
        <v>0</v>
      </c>
      <c r="M9" s="30">
        <f>'TR TUSD'!$M$9*'TR TUSD'!$M$60</f>
        <v>4.995982109475796E-2</v>
      </c>
      <c r="N9" s="30">
        <f ca="1">'TR TUSD'!$N$9*'TR TUSD'!$N$60</f>
        <v>0.124733252663997</v>
      </c>
      <c r="O9" s="30">
        <f>'TR TUSD'!$O$9*'TR TUSD'!$O$60</f>
        <v>0</v>
      </c>
      <c r="P9" s="30">
        <f>'TR TUSD'!$P$9*'TR TUSD'!$P$60</f>
        <v>0</v>
      </c>
      <c r="Q9" s="30">
        <f>'TR TUSD'!$Q$9*'TR TUSD'!$Q$60</f>
        <v>0</v>
      </c>
      <c r="R9" s="30">
        <f>'TR TUSD'!$R$9*'TR TUSD'!$R$60</f>
        <v>0</v>
      </c>
      <c r="S9" s="30">
        <f>'TR TUSD'!$S$9*'TR TUSD'!$S$60</f>
        <v>0</v>
      </c>
      <c r="T9" s="30">
        <f ca="1">SUM($L$9:$S$9)</f>
        <v>0.17469307375875495</v>
      </c>
      <c r="U9" s="30">
        <f>'TR TUSD'!$U$9*'TR TUSD'!$U$60</f>
        <v>0</v>
      </c>
      <c r="V9" s="30">
        <f>'TR TUSD'!$V$9*'TR TUSD'!$V$60</f>
        <v>0</v>
      </c>
      <c r="W9" s="30">
        <f>'TR TUSD'!$W$9*'TR TUSD'!$W$60</f>
        <v>0</v>
      </c>
      <c r="X9" s="30">
        <f>'TR TUSD'!$X$9*'TR TUSD'!$X$60</f>
        <v>0</v>
      </c>
      <c r="Y9" s="30">
        <f>'TR TUSD'!$Y$9*'TR TUSD'!$Y$60</f>
        <v>0</v>
      </c>
      <c r="Z9" s="30">
        <f>'TR TUSD'!$Z$9*'TR TUSD'!$Z$60</f>
        <v>0</v>
      </c>
      <c r="AA9" s="30">
        <f>'TR TUSD'!$AA$9*'TR TUSD'!$AA$60</f>
        <v>0</v>
      </c>
      <c r="AB9" s="30">
        <f>SUM($U$9:$AA$9)</f>
        <v>0</v>
      </c>
      <c r="AC9" s="30">
        <f>'TR TUSD'!$AC$9*'TR TUSD'!$AC$60</f>
        <v>14.500091875827096</v>
      </c>
      <c r="AD9" s="30">
        <f>SUM($AC$9:$AC$9)</f>
        <v>14.500091875827096</v>
      </c>
      <c r="AE9" s="30">
        <v>0</v>
      </c>
      <c r="AF9" s="30">
        <v>0</v>
      </c>
      <c r="AG9" s="30">
        <f>SUM($AE$9:$AF$9)</f>
        <v>0</v>
      </c>
      <c r="AH9" s="30">
        <f>'TR TUSD'!$AH$9*'TR TUSD'!$AH$60</f>
        <v>0</v>
      </c>
      <c r="AI9" s="30">
        <f>'TR TUSD'!$AI$9*'TR TUSD'!$AI$60</f>
        <v>0</v>
      </c>
      <c r="AJ9" s="30">
        <f ca="1">'TR TUSD'!$AJ$9*'TR TUSD'!$AJ$60</f>
        <v>0</v>
      </c>
      <c r="AK9" s="30">
        <f ca="1">'TR TUSD'!$AK$9*'TR TUSD'!$AK$60</f>
        <v>0</v>
      </c>
      <c r="AL9" s="30">
        <f ca="1">SUM($AH$9:$AK$9)</f>
        <v>0</v>
      </c>
      <c r="AM9" s="30">
        <f ca="1">SUMIF($L$4:$AL$4,"SUBTOTAL",$L$9:$AL$9)</f>
        <v>14.674784949585851</v>
      </c>
      <c r="AP9" s="30"/>
    </row>
    <row r="10" spans="1:42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>
        <f>'TR TUSD'!$L$10*'TR TUSD'!$L$60</f>
        <v>0</v>
      </c>
      <c r="M10" s="30">
        <f>'TR TUSD'!$M$10*'TR TUSD'!$M$60</f>
        <v>0</v>
      </c>
      <c r="N10" s="30">
        <f ca="1">'TR TUSD'!$N$10*'TR TUSD'!$N$60</f>
        <v>0</v>
      </c>
      <c r="O10" s="30">
        <f>'TR TUSD'!$O$10*'TR TUSD'!$O$60</f>
        <v>0</v>
      </c>
      <c r="P10" s="30">
        <f>'TR TUSD'!$P$10*'TR TUSD'!$P$60</f>
        <v>0</v>
      </c>
      <c r="Q10" s="30">
        <f>'TR TUSD'!$Q$10*'TR TUSD'!$Q$60</f>
        <v>0</v>
      </c>
      <c r="R10" s="30">
        <f>'TR TUSD'!$R$10*'TR TUSD'!$R$60</f>
        <v>0</v>
      </c>
      <c r="S10" s="30">
        <f>'TR TUSD'!$S$10*'TR TUSD'!$S$60</f>
        <v>0</v>
      </c>
      <c r="T10" s="30">
        <f ca="1">SUM($L$10:$S$10)</f>
        <v>0</v>
      </c>
      <c r="U10" s="30">
        <f>'TR TUSD'!$U$10*'TR TUSD'!$U$60</f>
        <v>0</v>
      </c>
      <c r="V10" s="30">
        <f>'TR TUSD'!$V$10*'TR TUSD'!$V$60</f>
        <v>0</v>
      </c>
      <c r="W10" s="30">
        <f>'TR TUSD'!$W$10*'TR TUSD'!$W$60</f>
        <v>0.14303574500074367</v>
      </c>
      <c r="X10" s="30">
        <f>'TR TUSD'!$X$10*'TR TUSD'!$X$60</f>
        <v>0</v>
      </c>
      <c r="Y10" s="30">
        <f>'TR TUSD'!$Y$10*'TR TUSD'!$Y$60</f>
        <v>0</v>
      </c>
      <c r="Z10" s="30">
        <f>'TR TUSD'!$Z$10</f>
        <v>0</v>
      </c>
      <c r="AA10" s="30">
        <f>'TR TUSD'!$AA$10</f>
        <v>0</v>
      </c>
      <c r="AB10" s="30">
        <f>SUM($U$10:$AA$10)</f>
        <v>0.14303574500074367</v>
      </c>
      <c r="AC10" s="30">
        <f>'TR TUSD'!$AC$10*'TR TUSD'!$AC$60</f>
        <v>18.504276655967018</v>
      </c>
      <c r="AD10" s="30">
        <f>SUM($AC$10:$AC$10)</f>
        <v>18.504276655967018</v>
      </c>
      <c r="AE10" s="30">
        <v>0</v>
      </c>
      <c r="AF10" s="30">
        <v>0</v>
      </c>
      <c r="AG10" s="30">
        <f>SUM($AE$10:$AF$10)</f>
        <v>0</v>
      </c>
      <c r="AH10" s="30">
        <f>'TR TUSD'!$AH$10*'TR TUSD'!$AH$60</f>
        <v>0</v>
      </c>
      <c r="AI10" s="30">
        <f>'TR TUSD'!$AI$10*'TR TUSD'!$AI$60</f>
        <v>0</v>
      </c>
      <c r="AJ10" s="30">
        <f ca="1">'TR TUSD'!$AJ$10*'TR TUSD'!$AJ$60</f>
        <v>0</v>
      </c>
      <c r="AK10" s="30">
        <f ca="1">'TR TUSD'!$AK$10*'TR TUSD'!$AK$60</f>
        <v>0</v>
      </c>
      <c r="AL10" s="30">
        <f ca="1">SUM($AH$10:$AK$10)</f>
        <v>0</v>
      </c>
      <c r="AM10" s="30">
        <f ca="1">SUMIF($L$4:$AL$4,"SUBTOTAL",$L$10:$AL$10)</f>
        <v>18.647312400967763</v>
      </c>
      <c r="AP10" s="30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>
        <f>'TR TUSD'!$L$11*'TR TUSD'!$L$60</f>
        <v>18.655074048043122</v>
      </c>
      <c r="M11" s="30">
        <f>'TR TUSD'!$M$11*'TR TUSD'!$M$60</f>
        <v>0.81273496432073522</v>
      </c>
      <c r="N11" s="30">
        <f ca="1">'TR TUSD'!$N$11*'TR TUSD'!$N$60</f>
        <v>12.499378228405408</v>
      </c>
      <c r="O11" s="30">
        <f>'TR TUSD'!$O$11*'TR TUSD'!$O$60</f>
        <v>0</v>
      </c>
      <c r="P11" s="30">
        <f>'TR TUSD'!$P$11*'TR TUSD'!$P$60</f>
        <v>0</v>
      </c>
      <c r="Q11" s="30">
        <f>'TR TUSD'!$Q$11*'TR TUSD'!$Q$60</f>
        <v>29.188402706738835</v>
      </c>
      <c r="R11" s="30">
        <f>'TR TUSD'!$R$11*'TR TUSD'!$R$60</f>
        <v>0</v>
      </c>
      <c r="S11" s="30">
        <f>'TR TUSD'!$S$11*'TR TUSD'!$S$60</f>
        <v>0</v>
      </c>
      <c r="T11" s="30">
        <f ca="1">SUM($L$11:$S$11)</f>
        <v>61.155589947508105</v>
      </c>
      <c r="U11" s="30">
        <f>'TR TUSD'!$U$11*'TR TUSD'!$U$60</f>
        <v>0</v>
      </c>
      <c r="V11" s="30">
        <f>'TR TUSD'!$V$11*'TR TUSD'!$V$60</f>
        <v>0</v>
      </c>
      <c r="W11" s="30">
        <f>'TR TUSD'!$W$11*'TR TUSD'!$W$60</f>
        <v>11.115920754343508</v>
      </c>
      <c r="X11" s="30">
        <f>'TR TUSD'!$X$11*'TR TUSD'!$X$60</f>
        <v>0</v>
      </c>
      <c r="Y11" s="30">
        <f>'TR TUSD'!$Y$11*'TR TUSD'!$Y$60</f>
        <v>0</v>
      </c>
      <c r="Z11" s="30">
        <f>'TR TUSD'!$Z$11</f>
        <v>0</v>
      </c>
      <c r="AA11" s="30">
        <f>'TR TUSD'!$AA$11</f>
        <v>0</v>
      </c>
      <c r="AB11" s="30">
        <f>SUM($U$11:$AA$11)</f>
        <v>11.115920754343508</v>
      </c>
      <c r="AC11" s="30">
        <f>'TR TUSD'!$AC$11*'TR TUSD'!$AC$60</f>
        <v>1334.7426986857802</v>
      </c>
      <c r="AD11" s="30">
        <f>SUM($AC$11:$AC$11)</f>
        <v>1334.7426986857802</v>
      </c>
      <c r="AE11" s="30">
        <v>0</v>
      </c>
      <c r="AF11" s="30">
        <v>0</v>
      </c>
      <c r="AG11" s="30">
        <f>SUM($AE$11:$AF$11)</f>
        <v>0</v>
      </c>
      <c r="AH11" s="30">
        <f>'TR TUSD'!$AH$11*'TR TUSD'!$AH$60</f>
        <v>17.211956843700094</v>
      </c>
      <c r="AI11" s="30">
        <f>'TR TUSD'!$AI$11*'TR TUSD'!$AI$60</f>
        <v>0</v>
      </c>
      <c r="AJ11" s="30">
        <f ca="1">'TR TUSD'!$AJ$11*'TR TUSD'!$AJ$60</f>
        <v>38.817352799538945</v>
      </c>
      <c r="AK11" s="30">
        <f ca="1">'TR TUSD'!$AK$11*'TR TUSD'!$AK$60</f>
        <v>3.847671321800612</v>
      </c>
      <c r="AL11" s="30">
        <f ca="1">SUM($AH$11:$AK$11)</f>
        <v>59.87698096503965</v>
      </c>
      <c r="AM11" s="30">
        <f ca="1">SUMIF($L$4:$AL$4,"SUBTOTAL",$L$11:$AL$11)</f>
        <v>1466.8911903526714</v>
      </c>
      <c r="AP11" s="30">
        <v>1</v>
      </c>
    </row>
    <row r="12" spans="1:42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>
        <f>'TR TUSD'!$L$12*'TR TUSD'!$L$60</f>
        <v>18.655074048043122</v>
      </c>
      <c r="M12" s="30">
        <f>'TR TUSD'!$M$12*'TR TUSD'!$M$60</f>
        <v>0.81273496432073522</v>
      </c>
      <c r="N12" s="30">
        <f ca="1">'TR TUSD'!$N$12*'TR TUSD'!$N$60</f>
        <v>1.0585843066675407</v>
      </c>
      <c r="O12" s="30">
        <f>'TR TUSD'!$O$12*'TR TUSD'!$O$60</f>
        <v>0</v>
      </c>
      <c r="P12" s="30">
        <f>'TR TUSD'!$P$12*'TR TUSD'!$P$60</f>
        <v>0</v>
      </c>
      <c r="Q12" s="30">
        <f>'TR TUSD'!$Q$12*'TR TUSD'!$Q$60</f>
        <v>29.188402706738835</v>
      </c>
      <c r="R12" s="30">
        <f>'TR TUSD'!$R$12*'TR TUSD'!$R$60</f>
        <v>0</v>
      </c>
      <c r="S12" s="30">
        <f>'TR TUSD'!$S$12*'TR TUSD'!$S$60</f>
        <v>0</v>
      </c>
      <c r="T12" s="30">
        <f ca="1">SUM($L$12:$S$12)</f>
        <v>49.714796025770234</v>
      </c>
      <c r="U12" s="30">
        <f>'TR TUSD'!$U$12*'TR TUSD'!$U$60</f>
        <v>0</v>
      </c>
      <c r="V12" s="30">
        <f>'TR TUSD'!$V$12*'TR TUSD'!$V$60</f>
        <v>0</v>
      </c>
      <c r="W12" s="30">
        <f>'TR TUSD'!$W$12*'TR TUSD'!$W$60</f>
        <v>0</v>
      </c>
      <c r="X12" s="30">
        <f>'TR TUSD'!$X$12*'TR TUSD'!$X$60</f>
        <v>0</v>
      </c>
      <c r="Y12" s="30">
        <f>'TR TUSD'!$Y$12*'TR TUSD'!$Y$60</f>
        <v>0</v>
      </c>
      <c r="Z12" s="30">
        <f>'TR TUSD'!$Z$12</f>
        <v>0</v>
      </c>
      <c r="AA12" s="30">
        <f>'TR TUSD'!$AA$12</f>
        <v>0</v>
      </c>
      <c r="AB12" s="30">
        <f>SUM($U$12:$AA$12)</f>
        <v>0</v>
      </c>
      <c r="AC12" s="30">
        <f>'TR TUSD'!$AC$12*'TR TUSD'!$AC$60</f>
        <v>0</v>
      </c>
      <c r="AD12" s="30">
        <f>SUM($AC$12:$AC$12)</f>
        <v>0</v>
      </c>
      <c r="AE12" s="30">
        <v>0</v>
      </c>
      <c r="AF12" s="30">
        <v>0</v>
      </c>
      <c r="AG12" s="30">
        <f>SUM($AE$12:$AF$12)</f>
        <v>0</v>
      </c>
      <c r="AH12" s="30">
        <f>'TR TUSD'!$AH$12*'TR TUSD'!$AH$60</f>
        <v>17.211956843700094</v>
      </c>
      <c r="AI12" s="30">
        <f>'TR TUSD'!$AI$12*'TR TUSD'!$AI$60</f>
        <v>0</v>
      </c>
      <c r="AJ12" s="30">
        <f ca="1">'TR TUSD'!$AJ$12*'TR TUSD'!$AJ$60</f>
        <v>38.817352799538945</v>
      </c>
      <c r="AK12" s="30">
        <f ca="1">'TR TUSD'!$AK$12*'TR TUSD'!$AK$60</f>
        <v>3.847671321800612</v>
      </c>
      <c r="AL12" s="30">
        <f ca="1">SUM($AH$12:$AK$12)</f>
        <v>59.87698096503965</v>
      </c>
      <c r="AM12" s="30">
        <f ca="1">SUMIF($L$4:$AL$4,"SUBTOTAL",$L$12:$AL$12)</f>
        <v>109.59177699080988</v>
      </c>
      <c r="AP12" s="30">
        <v>1</v>
      </c>
    </row>
    <row r="13" spans="1:42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>
        <f>'TR TUSD'!$L$13*'TR TUSD'!$L$60</f>
        <v>0</v>
      </c>
      <c r="M13" s="30">
        <f>'TR TUSD'!$M$13*'TR TUSD'!$M$60</f>
        <v>0.81273496432073522</v>
      </c>
      <c r="N13" s="30">
        <f ca="1">'TR TUSD'!$N$13*'TR TUSD'!$N$60</f>
        <v>12.489261987313439</v>
      </c>
      <c r="O13" s="30">
        <f>'TR TUSD'!$O$13*'TR TUSD'!$O$60</f>
        <v>0</v>
      </c>
      <c r="P13" s="30">
        <f>'TR TUSD'!$P$13*'TR TUSD'!$P$60</f>
        <v>0</v>
      </c>
      <c r="Q13" s="30">
        <f>'TR TUSD'!$Q$13*'TR TUSD'!$Q$60</f>
        <v>0</v>
      </c>
      <c r="R13" s="30">
        <f>'TR TUSD'!$R$13*'TR TUSD'!$R$60</f>
        <v>0</v>
      </c>
      <c r="S13" s="30">
        <f>'TR TUSD'!$S$13*'TR TUSD'!$S$60</f>
        <v>0</v>
      </c>
      <c r="T13" s="30">
        <f ca="1">SUM($L$13:$S$13)</f>
        <v>13.301996951634175</v>
      </c>
      <c r="U13" s="30">
        <f>'TR TUSD'!$U$13*'TR TUSD'!$U$60</f>
        <v>0</v>
      </c>
      <c r="V13" s="30">
        <f>'TR TUSD'!$V$13*'TR TUSD'!$V$60</f>
        <v>0</v>
      </c>
      <c r="W13" s="30">
        <f>'TR TUSD'!$W$13*'TR TUSD'!$W$60</f>
        <v>11.115920754343508</v>
      </c>
      <c r="X13" s="30">
        <f>'TR TUSD'!$X$13*'TR TUSD'!$X$60</f>
        <v>0</v>
      </c>
      <c r="Y13" s="30">
        <f>'TR TUSD'!$Y$13*'TR TUSD'!$Y$60</f>
        <v>0</v>
      </c>
      <c r="Z13" s="30">
        <f>'TR TUSD'!$Z$13</f>
        <v>0</v>
      </c>
      <c r="AA13" s="30">
        <f>'TR TUSD'!$AA$13</f>
        <v>0</v>
      </c>
      <c r="AB13" s="30">
        <f>SUM($U$13:$AA$13)</f>
        <v>11.115920754343508</v>
      </c>
      <c r="AC13" s="30">
        <f>'TR TUSD'!$AC$13*'TR TUSD'!$AC$60</f>
        <v>1334.7426986857802</v>
      </c>
      <c r="AD13" s="30">
        <f>SUM($AC$13:$AC$13)</f>
        <v>1334.7426986857802</v>
      </c>
      <c r="AE13" s="30">
        <v>0</v>
      </c>
      <c r="AF13" s="30">
        <v>0</v>
      </c>
      <c r="AG13" s="30">
        <f>SUM($AE$13:$AF$13)</f>
        <v>0</v>
      </c>
      <c r="AH13" s="30">
        <f>'TR TUSD'!$AH$13*'TR TUSD'!$AH$60</f>
        <v>17.211956843700094</v>
      </c>
      <c r="AI13" s="30">
        <f>'TR TUSD'!$AI$13*'TR TUSD'!$AI$60</f>
        <v>0</v>
      </c>
      <c r="AJ13" s="30">
        <f ca="1">'TR TUSD'!$AJ$13*'TR TUSD'!$AJ$60</f>
        <v>38.817352799538945</v>
      </c>
      <c r="AK13" s="30">
        <f ca="1">'TR TUSD'!$AK$13*'TR TUSD'!$AK$60</f>
        <v>3.847671321800612</v>
      </c>
      <c r="AL13" s="30">
        <f ca="1">SUM($AH$13:$AK$13)</f>
        <v>59.87698096503965</v>
      </c>
      <c r="AM13" s="30">
        <f ca="1">SUMIF($L$4:$AL$4,"SUBTOTAL",$L$13:$AL$13)</f>
        <v>1419.0375973567975</v>
      </c>
      <c r="AP13" s="30">
        <v>1</v>
      </c>
    </row>
    <row r="14" spans="1:42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>
        <f>'TR TUSD'!$L$14*'TR TUSD'!$L$60</f>
        <v>0</v>
      </c>
      <c r="M14" s="30">
        <f>'TR TUSD'!$M$14*'TR TUSD'!$M$60</f>
        <v>0.81273496432073522</v>
      </c>
      <c r="N14" s="30">
        <f ca="1">'TR TUSD'!$N$14*'TR TUSD'!$N$60</f>
        <v>1.04846806557557</v>
      </c>
      <c r="O14" s="30">
        <f>'TR TUSD'!$O$14*'TR TUSD'!$O$60</f>
        <v>0</v>
      </c>
      <c r="P14" s="30">
        <f>'TR TUSD'!$P$14*'TR TUSD'!$P$60</f>
        <v>0</v>
      </c>
      <c r="Q14" s="30">
        <f>'TR TUSD'!$Q$14*'TR TUSD'!$Q$60</f>
        <v>0</v>
      </c>
      <c r="R14" s="30">
        <f>'TR TUSD'!$R$14*'TR TUSD'!$R$60</f>
        <v>0</v>
      </c>
      <c r="S14" s="30">
        <f>'TR TUSD'!$S$14*'TR TUSD'!$S$60</f>
        <v>0</v>
      </c>
      <c r="T14" s="30">
        <f ca="1">SUM($L$14:$S$14)</f>
        <v>1.8612030298963052</v>
      </c>
      <c r="U14" s="30">
        <f>'TR TUSD'!$U$14*'TR TUSD'!$U$60</f>
        <v>0</v>
      </c>
      <c r="V14" s="30">
        <f>'TR TUSD'!$V$14*'TR TUSD'!$V$60</f>
        <v>0</v>
      </c>
      <c r="W14" s="30">
        <f>'TR TUSD'!$W$14*'TR TUSD'!$W$60</f>
        <v>0</v>
      </c>
      <c r="X14" s="30">
        <f>'TR TUSD'!$X$14*'TR TUSD'!$X$60</f>
        <v>0</v>
      </c>
      <c r="Y14" s="30">
        <f>'TR TUSD'!$Y$14*'TR TUSD'!$Y$60</f>
        <v>0</v>
      </c>
      <c r="Z14" s="30">
        <f>'TR TUSD'!$Z$14</f>
        <v>0</v>
      </c>
      <c r="AA14" s="30">
        <f>'TR TUSD'!$AA$14</f>
        <v>0</v>
      </c>
      <c r="AB14" s="30">
        <f>SUM($U$14:$AA$14)</f>
        <v>0</v>
      </c>
      <c r="AC14" s="30">
        <f>'TR TUSD'!$AC$14*'TR TUSD'!$AC$60</f>
        <v>0</v>
      </c>
      <c r="AD14" s="30">
        <f>SUM($AC$14:$AC$14)</f>
        <v>0</v>
      </c>
      <c r="AE14" s="30">
        <v>0</v>
      </c>
      <c r="AF14" s="30">
        <v>0</v>
      </c>
      <c r="AG14" s="30">
        <f>SUM($AE$14:$AF$14)</f>
        <v>0</v>
      </c>
      <c r="AH14" s="30">
        <f>'TR TUSD'!$AH$14*'TR TUSD'!$AH$60</f>
        <v>17.211956843700094</v>
      </c>
      <c r="AI14" s="30">
        <f>'TR TUSD'!$AI$14*'TR TUSD'!$AI$60</f>
        <v>0</v>
      </c>
      <c r="AJ14" s="30">
        <f ca="1">'TR TUSD'!$AJ$14*'TR TUSD'!$AJ$60</f>
        <v>38.817352799538945</v>
      </c>
      <c r="AK14" s="30">
        <f ca="1">'TR TUSD'!$AK$14*'TR TUSD'!$AK$60</f>
        <v>3.847671321800612</v>
      </c>
      <c r="AL14" s="30">
        <f ca="1">SUM($AH$14:$AK$14)</f>
        <v>59.87698096503965</v>
      </c>
      <c r="AM14" s="30">
        <f ca="1">SUMIF($L$4:$AL$4,"SUBTOTAL",$L$14:$AL$14)</f>
        <v>61.738183994935952</v>
      </c>
      <c r="AP14" s="30">
        <v>1</v>
      </c>
    </row>
    <row r="15" spans="1:42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>
        <f>'TR TUSD'!$L$15*'TR TUSD'!$L$60</f>
        <v>0</v>
      </c>
      <c r="M15" s="30">
        <f>'TR TUSD'!$M$15*'TR TUSD'!$M$60</f>
        <v>1.4550416326986535E-2</v>
      </c>
      <c r="N15" s="30">
        <f ca="1">'TR TUSD'!$N$15*'TR TUSD'!$N$60</f>
        <v>3.6216143109254598E-2</v>
      </c>
      <c r="O15" s="30">
        <f>'TR TUSD'!$O$15*'TR TUSD'!$O$60</f>
        <v>0</v>
      </c>
      <c r="P15" s="30">
        <f>'TR TUSD'!$P$15*'TR TUSD'!$P$60</f>
        <v>0</v>
      </c>
      <c r="Q15" s="30">
        <f>'TR TUSD'!$Q$15*'TR TUSD'!$Q$60</f>
        <v>0</v>
      </c>
      <c r="R15" s="30">
        <f>'TR TUSD'!$R$15*'TR TUSD'!$R$60</f>
        <v>0</v>
      </c>
      <c r="S15" s="30">
        <f>'TR TUSD'!$S$15*'TR TUSD'!$S$60</f>
        <v>0</v>
      </c>
      <c r="T15" s="30">
        <f ca="1">SUM($L$15:$S$15)</f>
        <v>5.0766559436241129E-2</v>
      </c>
      <c r="U15" s="30">
        <f>'TR TUSD'!$U$15*'TR TUSD'!$U$60</f>
        <v>0</v>
      </c>
      <c r="V15" s="30">
        <f>'TR TUSD'!$V$15*'TR TUSD'!$V$60</f>
        <v>0</v>
      </c>
      <c r="W15" s="30">
        <f>'TR TUSD'!$W$15*'TR TUSD'!$W$60</f>
        <v>0</v>
      </c>
      <c r="X15" s="30">
        <f>'TR TUSD'!$X$15*'TR TUSD'!$X$60</f>
        <v>0</v>
      </c>
      <c r="Y15" s="30">
        <f>'TR TUSD'!$Y$15*'TR TUSD'!$Y$60</f>
        <v>0</v>
      </c>
      <c r="Z15" s="30">
        <f>'TR TUSD'!$Z$15*'TR TUSD'!$Z$60</f>
        <v>0</v>
      </c>
      <c r="AA15" s="30">
        <f>'TR TUSD'!$AA$15*'TR TUSD'!$AA$60</f>
        <v>0</v>
      </c>
      <c r="AB15" s="30">
        <f>SUM($U$15:$AA$15)</f>
        <v>0</v>
      </c>
      <c r="AC15" s="30">
        <f>'TR TUSD'!$AC$15*'TR TUSD'!$AC$60</f>
        <v>4.211440232416221</v>
      </c>
      <c r="AD15" s="30">
        <f>SUM($AC$15:$AC$15)</f>
        <v>4.211440232416221</v>
      </c>
      <c r="AE15" s="30">
        <v>0</v>
      </c>
      <c r="AF15" s="30">
        <v>0</v>
      </c>
      <c r="AG15" s="30">
        <f>SUM($AE$15:$AF$15)</f>
        <v>0</v>
      </c>
      <c r="AH15" s="30">
        <f>'TR TUSD'!$AH$15*'TR TUSD'!$AH$60</f>
        <v>0</v>
      </c>
      <c r="AI15" s="30">
        <f>'TR TUSD'!$AI$15*'TR TUSD'!$AI$60</f>
        <v>0</v>
      </c>
      <c r="AJ15" s="30">
        <f ca="1">'TR TUSD'!$AJ$15*'TR TUSD'!$AJ$60</f>
        <v>0</v>
      </c>
      <c r="AK15" s="30">
        <f ca="1">'TR TUSD'!$AK$15*'TR TUSD'!$AK$60</f>
        <v>0</v>
      </c>
      <c r="AL15" s="30">
        <f ca="1">SUM($AH$15:$AK$15)</f>
        <v>0</v>
      </c>
      <c r="AM15" s="30">
        <f ca="1">SUMIF($L$4:$AL$4,"SUBTOTAL",$L$15:$AL$15)</f>
        <v>4.2622067918524618</v>
      </c>
      <c r="AP15" s="30"/>
    </row>
    <row r="16" spans="1:42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>
        <f>'TR TUSD'!$L$16*'TR TUSD'!$L$60</f>
        <v>0</v>
      </c>
      <c r="M16" s="30">
        <f>'TR TUSD'!$M$16*'TR TUSD'!$M$60</f>
        <v>1.4550416326986535E-2</v>
      </c>
      <c r="N16" s="30">
        <f ca="1">'TR TUSD'!$N$16*'TR TUSD'!$N$60</f>
        <v>3.6216143109254598E-2</v>
      </c>
      <c r="O16" s="30">
        <f>'TR TUSD'!$O$16*'TR TUSD'!$O$60</f>
        <v>0</v>
      </c>
      <c r="P16" s="30">
        <f>'TR TUSD'!$P$16*'TR TUSD'!$P$60</f>
        <v>0</v>
      </c>
      <c r="Q16" s="30">
        <f>'TR TUSD'!$Q$16*'TR TUSD'!$Q$60</f>
        <v>0</v>
      </c>
      <c r="R16" s="30">
        <f>'TR TUSD'!$R$16*'TR TUSD'!$R$60</f>
        <v>0</v>
      </c>
      <c r="S16" s="30">
        <f>'TR TUSD'!$S$16*'TR TUSD'!$S$60</f>
        <v>0</v>
      </c>
      <c r="T16" s="30">
        <f ca="1">SUM($L$16:$S$16)</f>
        <v>5.0766559436241129E-2</v>
      </c>
      <c r="U16" s="30">
        <f>'TR TUSD'!$U$16*'TR TUSD'!$U$60</f>
        <v>0</v>
      </c>
      <c r="V16" s="30">
        <f>'TR TUSD'!$V$16*'TR TUSD'!$V$60</f>
        <v>0</v>
      </c>
      <c r="W16" s="30">
        <f>'TR TUSD'!$W$16*'TR TUSD'!$W$60</f>
        <v>0</v>
      </c>
      <c r="X16" s="30">
        <f>'TR TUSD'!$X$16*'TR TUSD'!$X$60</f>
        <v>0</v>
      </c>
      <c r="Y16" s="30">
        <f>'TR TUSD'!$Y$16*'TR TUSD'!$Y$60</f>
        <v>0</v>
      </c>
      <c r="Z16" s="30">
        <f>'TR TUSD'!$Z$16*'TR TUSD'!$Z$60</f>
        <v>0</v>
      </c>
      <c r="AA16" s="30">
        <f>'TR TUSD'!$AA$16*'TR TUSD'!$AA$60</f>
        <v>0</v>
      </c>
      <c r="AB16" s="30">
        <f>SUM($U$16:$AA$16)</f>
        <v>0</v>
      </c>
      <c r="AC16" s="30">
        <f>'TR TUSD'!$AC$16*'TR TUSD'!$AC$60</f>
        <v>20.937403733800672</v>
      </c>
      <c r="AD16" s="30">
        <f>SUM($AC$16:$AC$16)</f>
        <v>20.937403733800672</v>
      </c>
      <c r="AE16" s="30">
        <v>0</v>
      </c>
      <c r="AF16" s="30">
        <v>0</v>
      </c>
      <c r="AG16" s="30">
        <f>SUM($AE$16:$AF$16)</f>
        <v>0</v>
      </c>
      <c r="AH16" s="30">
        <f>'TR TUSD'!$AH$16*'TR TUSD'!$AH$60</f>
        <v>0</v>
      </c>
      <c r="AI16" s="30">
        <f>'TR TUSD'!$AI$16*'TR TUSD'!$AI$60</f>
        <v>0</v>
      </c>
      <c r="AJ16" s="30">
        <f ca="1">'TR TUSD'!$AJ$16*'TR TUSD'!$AJ$60</f>
        <v>0</v>
      </c>
      <c r="AK16" s="30">
        <f ca="1">'TR TUSD'!$AK$16*'TR TUSD'!$AK$60</f>
        <v>0</v>
      </c>
      <c r="AL16" s="30">
        <f ca="1">SUM($AH$16:$AK$16)</f>
        <v>0</v>
      </c>
      <c r="AM16" s="30">
        <f ca="1">SUMIF($L$4:$AL$4,"SUBTOTAL",$L$16:$AL$16)</f>
        <v>20.988170293236912</v>
      </c>
      <c r="AP16" s="30"/>
    </row>
    <row r="17" spans="1:42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>
        <f>'TR TUSD'!$L$17*'TR TUSD'!$L$60</f>
        <v>22.208421485765623</v>
      </c>
      <c r="M17" s="30">
        <f>'TR TUSD'!$M$17*'TR TUSD'!$M$60</f>
        <v>0.9910054635855563</v>
      </c>
      <c r="N17" s="30">
        <f ca="1">'TR TUSD'!$N$17*'TR TUSD'!$N$60</f>
        <v>7.8591874363641478</v>
      </c>
      <c r="O17" s="30">
        <f>'TR TUSD'!$O$17*'TR TUSD'!$O$60</f>
        <v>0</v>
      </c>
      <c r="P17" s="30">
        <f>'TR TUSD'!$P$17*'TR TUSD'!$P$60</f>
        <v>0</v>
      </c>
      <c r="Q17" s="30">
        <f>'TR TUSD'!$Q$17*'TR TUSD'!$Q$60</f>
        <v>34.748098460403376</v>
      </c>
      <c r="R17" s="30">
        <f>'TR TUSD'!$R$17*'TR TUSD'!$R$60</f>
        <v>0</v>
      </c>
      <c r="S17" s="30">
        <f>'TR TUSD'!$S$17*'TR TUSD'!$S$60</f>
        <v>0</v>
      </c>
      <c r="T17" s="30">
        <f ca="1">SUM($L$17:$S$17)</f>
        <v>65.8067128461187</v>
      </c>
      <c r="U17" s="30">
        <f>'TR TUSD'!$U$17*'TR TUSD'!$U$60</f>
        <v>0</v>
      </c>
      <c r="V17" s="30">
        <f>'TR TUSD'!$V$17*'TR TUSD'!$V$60</f>
        <v>0</v>
      </c>
      <c r="W17" s="30">
        <f>'TR TUSD'!$W$17*'TR TUSD'!$W$60</f>
        <v>6.9270167936074438</v>
      </c>
      <c r="X17" s="30">
        <f>'TR TUSD'!$X$17*'TR TUSD'!$X$60</f>
        <v>0</v>
      </c>
      <c r="Y17" s="30">
        <f>'TR TUSD'!$Y$17*'TR TUSD'!$Y$60</f>
        <v>0</v>
      </c>
      <c r="Z17" s="30">
        <f>'TR TUSD'!$Z$17</f>
        <v>0</v>
      </c>
      <c r="AA17" s="30">
        <f>'TR TUSD'!$AA$17</f>
        <v>0</v>
      </c>
      <c r="AB17" s="30">
        <f>SUM($U$17:$AA$17)</f>
        <v>6.9270167936074438</v>
      </c>
      <c r="AC17" s="30">
        <f>'TR TUSD'!$AC$17*'TR TUSD'!$AC$60</f>
        <v>739.34711959156186</v>
      </c>
      <c r="AD17" s="30">
        <f>SUM($AC$17:$AC$17)</f>
        <v>739.34711959156186</v>
      </c>
      <c r="AE17" s="30">
        <v>0</v>
      </c>
      <c r="AF17" s="30">
        <v>0</v>
      </c>
      <c r="AG17" s="30">
        <f>SUM($AE$17:$AF$17)</f>
        <v>0</v>
      </c>
      <c r="AH17" s="30">
        <f>'TR TUSD'!$AH$17*'TR TUSD'!$AH$60</f>
        <v>36.076725075389575</v>
      </c>
      <c r="AI17" s="30">
        <f>'TR TUSD'!$AI$17*'TR TUSD'!$AI$60</f>
        <v>0</v>
      </c>
      <c r="AJ17" s="30">
        <f ca="1">'TR TUSD'!$AJ$17*'TR TUSD'!$AJ$60</f>
        <v>47.779277546989434</v>
      </c>
      <c r="AK17" s="30">
        <f ca="1">'TR TUSD'!$AK$17*'TR TUSD'!$AK$60</f>
        <v>4.7359993079200056</v>
      </c>
      <c r="AL17" s="30">
        <f ca="1">SUM($AH$17:$AK$17)</f>
        <v>88.59200193029902</v>
      </c>
      <c r="AM17" s="30">
        <f ca="1">SUMIF($L$4:$AL$4,"SUBTOTAL",$L$17:$AL$17)</f>
        <v>900.672851161587</v>
      </c>
      <c r="AP17" s="30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>
        <f>'TR TUSD'!$L$18*'TR TUSD'!$L$60</f>
        <v>22.208421485765623</v>
      </c>
      <c r="M18" s="30">
        <f>'TR TUSD'!$M$18*'TR TUSD'!$M$60</f>
        <v>0.9910054635855563</v>
      </c>
      <c r="N18" s="30">
        <f ca="1">'TR TUSD'!$N$18*'TR TUSD'!$N$60</f>
        <v>5.3242354645595436</v>
      </c>
      <c r="O18" s="30">
        <f>'TR TUSD'!$O$18*'TR TUSD'!$O$60</f>
        <v>0</v>
      </c>
      <c r="P18" s="30">
        <f>'TR TUSD'!$P$18*'TR TUSD'!$P$60</f>
        <v>0</v>
      </c>
      <c r="Q18" s="30">
        <f>'TR TUSD'!$Q$18*'TR TUSD'!$Q$60</f>
        <v>34.748098460403376</v>
      </c>
      <c r="R18" s="30">
        <f>'TR TUSD'!$R$18*'TR TUSD'!$R$60</f>
        <v>0</v>
      </c>
      <c r="S18" s="30">
        <f>'TR TUSD'!$S$18*'TR TUSD'!$S$60</f>
        <v>0</v>
      </c>
      <c r="T18" s="30">
        <f ca="1">SUM($L$18:$S$18)</f>
        <v>63.271760874314097</v>
      </c>
      <c r="U18" s="30">
        <f>'TR TUSD'!$U$18*'TR TUSD'!$U$60</f>
        <v>0</v>
      </c>
      <c r="V18" s="30">
        <f>'TR TUSD'!$V$18*'TR TUSD'!$V$60</f>
        <v>0</v>
      </c>
      <c r="W18" s="30">
        <f>'TR TUSD'!$W$18*'TR TUSD'!$W$60</f>
        <v>4.1480366050215665</v>
      </c>
      <c r="X18" s="30">
        <f>'TR TUSD'!$X$18*'TR TUSD'!$X$60</f>
        <v>0</v>
      </c>
      <c r="Y18" s="30">
        <f>'TR TUSD'!$Y$18*'TR TUSD'!$Y$60</f>
        <v>0</v>
      </c>
      <c r="Z18" s="30">
        <f>'TR TUSD'!$Z$18</f>
        <v>0</v>
      </c>
      <c r="AA18" s="30">
        <f>'TR TUSD'!$AA$18</f>
        <v>0</v>
      </c>
      <c r="AB18" s="30">
        <f>SUM($U$18:$AA$18)</f>
        <v>4.1480366050215665</v>
      </c>
      <c r="AC18" s="30">
        <f>'TR TUSD'!$AC$18*'TR TUSD'!$AC$60</f>
        <v>443.60822454412789</v>
      </c>
      <c r="AD18" s="30">
        <f>SUM($AC$18:$AC$18)</f>
        <v>443.60822454412789</v>
      </c>
      <c r="AE18" s="30">
        <v>0</v>
      </c>
      <c r="AF18" s="30">
        <v>0</v>
      </c>
      <c r="AG18" s="30">
        <f>SUM($AE$18:$AF$18)</f>
        <v>0</v>
      </c>
      <c r="AH18" s="30">
        <f>'TR TUSD'!$AH$18*'TR TUSD'!$AH$60</f>
        <v>36.076725075389575</v>
      </c>
      <c r="AI18" s="30">
        <f>'TR TUSD'!$AI$18*'TR TUSD'!$AI$60</f>
        <v>0</v>
      </c>
      <c r="AJ18" s="30">
        <f ca="1">'TR TUSD'!$AJ$18*'TR TUSD'!$AJ$60</f>
        <v>47.779277546989434</v>
      </c>
      <c r="AK18" s="30">
        <f ca="1">'TR TUSD'!$AK$18*'TR TUSD'!$AK$60</f>
        <v>4.7359993079200056</v>
      </c>
      <c r="AL18" s="30">
        <f ca="1">SUM($AH$18:$AK$18)</f>
        <v>88.59200193029902</v>
      </c>
      <c r="AM18" s="30">
        <f ca="1">SUMIF($L$4:$AL$4,"SUBTOTAL",$L$18:$AL$18)</f>
        <v>599.6200239537626</v>
      </c>
      <c r="AP18" s="30">
        <v>1</v>
      </c>
    </row>
    <row r="19" spans="1:42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>
        <f>'TR TUSD'!$L$19*'TR TUSD'!$L$60</f>
        <v>22.208421485765623</v>
      </c>
      <c r="M19" s="30">
        <f>'TR TUSD'!$M$19*'TR TUSD'!$M$60</f>
        <v>0.9910054635855563</v>
      </c>
      <c r="N19" s="30">
        <f ca="1">'TR TUSD'!$N$19*'TR TUSD'!$N$60</f>
        <v>2.7892855160031593</v>
      </c>
      <c r="O19" s="30">
        <f>'TR TUSD'!$O$19*'TR TUSD'!$O$60</f>
        <v>0</v>
      </c>
      <c r="P19" s="30">
        <f>'TR TUSD'!$P$19*'TR TUSD'!$P$60</f>
        <v>0</v>
      </c>
      <c r="Q19" s="30">
        <f>'TR TUSD'!$Q$19*'TR TUSD'!$Q$60</f>
        <v>34.748098460403376</v>
      </c>
      <c r="R19" s="30">
        <f>'TR TUSD'!$R$19*'TR TUSD'!$R$60</f>
        <v>0</v>
      </c>
      <c r="S19" s="30">
        <f>'TR TUSD'!$S$19*'TR TUSD'!$S$60</f>
        <v>0</v>
      </c>
      <c r="T19" s="30">
        <f ca="1">SUM($L$19:$S$19)</f>
        <v>60.736810925757709</v>
      </c>
      <c r="U19" s="30">
        <f>'TR TUSD'!$U$19*'TR TUSD'!$U$60</f>
        <v>0</v>
      </c>
      <c r="V19" s="30">
        <f>'TR TUSD'!$V$19*'TR TUSD'!$V$60</f>
        <v>0</v>
      </c>
      <c r="W19" s="30">
        <f>'TR TUSD'!$W$19*'TR TUSD'!$W$60</f>
        <v>1.3894900942929385</v>
      </c>
      <c r="X19" s="30">
        <f>'TR TUSD'!$X$19*'TR TUSD'!$X$60</f>
        <v>0</v>
      </c>
      <c r="Y19" s="30">
        <f>'TR TUSD'!$Y$19*'TR TUSD'!$Y$60</f>
        <v>0</v>
      </c>
      <c r="Z19" s="30">
        <f>'TR TUSD'!$Z$19</f>
        <v>0</v>
      </c>
      <c r="AA19" s="30">
        <f>'TR TUSD'!$AA$19</f>
        <v>0</v>
      </c>
      <c r="AB19" s="30">
        <f>SUM($U$19:$AA$19)</f>
        <v>1.3894900942929385</v>
      </c>
      <c r="AC19" s="30">
        <f>'TR TUSD'!$AC$19*'TR TUSD'!$AC$60</f>
        <v>147.86944752371696</v>
      </c>
      <c r="AD19" s="30">
        <f>SUM($AC$19:$AC$19)</f>
        <v>147.86944752371696</v>
      </c>
      <c r="AE19" s="30">
        <v>0</v>
      </c>
      <c r="AF19" s="30">
        <v>0</v>
      </c>
      <c r="AG19" s="30">
        <f>SUM($AE$19:$AF$19)</f>
        <v>0</v>
      </c>
      <c r="AH19" s="30">
        <f>'TR TUSD'!$AH$19*'TR TUSD'!$AH$60</f>
        <v>36.076725075389575</v>
      </c>
      <c r="AI19" s="30">
        <f>'TR TUSD'!$AI$19*'TR TUSD'!$AI$60</f>
        <v>0</v>
      </c>
      <c r="AJ19" s="30">
        <f ca="1">'TR TUSD'!$AJ$19*'TR TUSD'!$AJ$60</f>
        <v>47.779277546989434</v>
      </c>
      <c r="AK19" s="30">
        <f ca="1">'TR TUSD'!$AK$19*'TR TUSD'!$AK$60</f>
        <v>4.7359993079200056</v>
      </c>
      <c r="AL19" s="30">
        <f ca="1">SUM($AH$19:$AK$19)</f>
        <v>88.59200193029902</v>
      </c>
      <c r="AM19" s="30">
        <f ca="1">SUMIF($L$4:$AL$4,"SUBTOTAL",$L$19:$AL$19)</f>
        <v>298.58775047406664</v>
      </c>
      <c r="AP19" s="30">
        <v>1</v>
      </c>
    </row>
    <row r="20" spans="1:42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>
        <f>'TR TUSD'!$L$20*'TR TUSD'!$L$60</f>
        <v>22.208421485765623</v>
      </c>
      <c r="M20" s="30">
        <f>'TR TUSD'!$M$20*'TR TUSD'!$M$60</f>
        <v>0.9910054635855563</v>
      </c>
      <c r="N20" s="30">
        <f ca="1">'TR TUSD'!$N$20*'TR TUSD'!$N$60</f>
        <v>3.5996379040584783</v>
      </c>
      <c r="O20" s="30">
        <f>'TR TUSD'!$O$20*'TR TUSD'!$O$60</f>
        <v>0</v>
      </c>
      <c r="P20" s="30">
        <f>'TR TUSD'!$P$20*'TR TUSD'!$P$60</f>
        <v>0</v>
      </c>
      <c r="Q20" s="30">
        <f>'TR TUSD'!$Q$20*'TR TUSD'!$Q$60</f>
        <v>34.748098460403376</v>
      </c>
      <c r="R20" s="30">
        <f>'TR TUSD'!$R$20*'TR TUSD'!$R$60</f>
        <v>0</v>
      </c>
      <c r="S20" s="30">
        <f>'TR TUSD'!$S$20*'TR TUSD'!$S$60</f>
        <v>0</v>
      </c>
      <c r="T20" s="30">
        <f ca="1">SUM($L$20:$S$20)</f>
        <v>61.54716331381303</v>
      </c>
      <c r="U20" s="30">
        <f>'TR TUSD'!$U$20*'TR TUSD'!$U$60</f>
        <v>0</v>
      </c>
      <c r="V20" s="30">
        <f>'TR TUSD'!$V$20*'TR TUSD'!$V$60</f>
        <v>0</v>
      </c>
      <c r="W20" s="30">
        <f>'TR TUSD'!$W$20*'TR TUSD'!$W$60</f>
        <v>2.2681382421546501</v>
      </c>
      <c r="X20" s="30">
        <f>'TR TUSD'!$X$20*'TR TUSD'!$X$60</f>
        <v>0</v>
      </c>
      <c r="Y20" s="30">
        <f>'TR TUSD'!$Y$20*'TR TUSD'!$Y$60</f>
        <v>0</v>
      </c>
      <c r="Z20" s="30">
        <f>'TR TUSD'!$Z$20</f>
        <v>0</v>
      </c>
      <c r="AA20" s="30">
        <f>'TR TUSD'!$AA$20</f>
        <v>0</v>
      </c>
      <c r="AB20" s="30">
        <f>SUM($U$20:$AA$20)</f>
        <v>2.2681382421546501</v>
      </c>
      <c r="AC20" s="30">
        <f>'TR TUSD'!$AC$20*'TR TUSD'!$AC$60</f>
        <v>242.4088568417184</v>
      </c>
      <c r="AD20" s="30">
        <f>SUM($AC$20:$AC$20)</f>
        <v>242.4088568417184</v>
      </c>
      <c r="AE20" s="30">
        <v>0</v>
      </c>
      <c r="AF20" s="30">
        <v>0</v>
      </c>
      <c r="AG20" s="30">
        <f>SUM($AE$20:$AF$20)</f>
        <v>0</v>
      </c>
      <c r="AH20" s="30">
        <f>'TR TUSD'!$AH$20*'TR TUSD'!$AH$60</f>
        <v>36.076725075389575</v>
      </c>
      <c r="AI20" s="30">
        <f>'TR TUSD'!$AI$20*'TR TUSD'!$AI$60</f>
        <v>0</v>
      </c>
      <c r="AJ20" s="30">
        <f ca="1">'TR TUSD'!$AJ$20*'TR TUSD'!$AJ$60</f>
        <v>47.779277546989434</v>
      </c>
      <c r="AK20" s="30">
        <f ca="1">'TR TUSD'!$AK$20*'TR TUSD'!$AK$60</f>
        <v>4.7359993079200056</v>
      </c>
      <c r="AL20" s="30">
        <f ca="1">SUM($AH$20:$AK$20)</f>
        <v>88.59200193029902</v>
      </c>
      <c r="AM20" s="30">
        <f ca="1">SUMIF($L$4:$AL$4,"SUBTOTAL",$L$20:$AL$20)</f>
        <v>394.81616032798513</v>
      </c>
      <c r="AP20" s="30">
        <v>1</v>
      </c>
    </row>
    <row r="21" spans="1:42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>
        <f>'TR TUSD'!$L$21*'TR TUSD'!$L$60</f>
        <v>0</v>
      </c>
      <c r="M21" s="30">
        <f>'TR TUSD'!$M$21*'TR TUSD'!$M$60</f>
        <v>0.9910054635855563</v>
      </c>
      <c r="N21" s="30">
        <f ca="1">'TR TUSD'!$N$21*'TR TUSD'!$N$60</f>
        <v>3.5895216629665079</v>
      </c>
      <c r="O21" s="30">
        <f>'TR TUSD'!$O$21*'TR TUSD'!$O$60</f>
        <v>0</v>
      </c>
      <c r="P21" s="30">
        <f>'TR TUSD'!$P$21*'TR TUSD'!$P$60</f>
        <v>0</v>
      </c>
      <c r="Q21" s="30">
        <f>'TR TUSD'!$Q$21*'TR TUSD'!$Q$60</f>
        <v>0</v>
      </c>
      <c r="R21" s="30">
        <f>'TR TUSD'!$R$21*'TR TUSD'!$R$60</f>
        <v>0</v>
      </c>
      <c r="S21" s="30">
        <f>'TR TUSD'!$S$21*'TR TUSD'!$S$60</f>
        <v>0</v>
      </c>
      <c r="T21" s="30">
        <f ca="1">SUM($L$21:$S$21)</f>
        <v>4.580527126552064</v>
      </c>
      <c r="U21" s="30">
        <f>'TR TUSD'!$U$21*'TR TUSD'!$U$60</f>
        <v>0</v>
      </c>
      <c r="V21" s="30">
        <f>'TR TUSD'!$V$21*'TR TUSD'!$V$60</f>
        <v>0</v>
      </c>
      <c r="W21" s="30">
        <f>'TR TUSD'!$W$21*'TR TUSD'!$W$60</f>
        <v>2.2681382421546501</v>
      </c>
      <c r="X21" s="30">
        <f>'TR TUSD'!$X$21*'TR TUSD'!$X$60</f>
        <v>0</v>
      </c>
      <c r="Y21" s="30">
        <f>'TR TUSD'!$Y$21*'TR TUSD'!$Y$60</f>
        <v>0</v>
      </c>
      <c r="Z21" s="30">
        <f>'TR TUSD'!$Z$21</f>
        <v>0</v>
      </c>
      <c r="AA21" s="30">
        <f>'TR TUSD'!$AA$21</f>
        <v>0</v>
      </c>
      <c r="AB21" s="30">
        <f>SUM($U$21:$AA$21)</f>
        <v>2.2681382421546501</v>
      </c>
      <c r="AC21" s="30">
        <f>'TR TUSD'!$AC$21*'TR TUSD'!$AC$60</f>
        <v>242.4088568417184</v>
      </c>
      <c r="AD21" s="30">
        <f>SUM($AC$21:$AC$21)</f>
        <v>242.4088568417184</v>
      </c>
      <c r="AE21" s="30">
        <v>0</v>
      </c>
      <c r="AF21" s="30">
        <v>0</v>
      </c>
      <c r="AG21" s="30">
        <f>SUM($AE$21:$AF$21)</f>
        <v>0</v>
      </c>
      <c r="AH21" s="30">
        <f>'TR TUSD'!$AH$21*'TR TUSD'!$AH$60</f>
        <v>36.076725075389575</v>
      </c>
      <c r="AI21" s="30">
        <f>'TR TUSD'!$AI$21*'TR TUSD'!$AI$60</f>
        <v>0</v>
      </c>
      <c r="AJ21" s="30">
        <f ca="1">'TR TUSD'!$AJ$21*'TR TUSD'!$AJ$60</f>
        <v>47.779277546989434</v>
      </c>
      <c r="AK21" s="30">
        <f ca="1">'TR TUSD'!$AK$21*'TR TUSD'!$AK$60</f>
        <v>4.7359993079200056</v>
      </c>
      <c r="AL21" s="30">
        <f ca="1">SUM($AH$21:$AK$21)</f>
        <v>88.59200193029902</v>
      </c>
      <c r="AM21" s="30">
        <f ca="1">SUMIF($L$4:$AL$4,"SUBTOTAL",$L$21:$AL$21)</f>
        <v>337.84952414072416</v>
      </c>
      <c r="AP21" s="30">
        <f>IF((1 - CUSTOS!$M$24)&lt;&gt;0,1/(1 - CUSTOS!$M$24),1)</f>
        <v>1</v>
      </c>
    </row>
    <row r="22" spans="1:42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>
        <f>'TR TUSD'!$L$22*'TR TUSD'!$L$60</f>
        <v>0</v>
      </c>
      <c r="M22" s="30">
        <f>'TR TUSD'!$M$22*'TR TUSD'!$M$60</f>
        <v>0.9910054635855563</v>
      </c>
      <c r="N22" s="30">
        <f ca="1">'TR TUSD'!$N$22*'TR TUSD'!$N$60</f>
        <v>3.5895216629665079</v>
      </c>
      <c r="O22" s="30">
        <f>'TR TUSD'!$O$22*'TR TUSD'!$O$60</f>
        <v>0</v>
      </c>
      <c r="P22" s="30">
        <f>'TR TUSD'!$P$22*'TR TUSD'!$P$60</f>
        <v>0</v>
      </c>
      <c r="Q22" s="30">
        <f>'TR TUSD'!$Q$22*'TR TUSD'!$Q$60</f>
        <v>0</v>
      </c>
      <c r="R22" s="30">
        <f>'TR TUSD'!$R$22*'TR TUSD'!$R$60</f>
        <v>0</v>
      </c>
      <c r="S22" s="30">
        <f>'TR TUSD'!$S$22*'TR TUSD'!$S$60</f>
        <v>0</v>
      </c>
      <c r="T22" s="30">
        <f ca="1">SUM($L$22:$S$22)</f>
        <v>4.580527126552064</v>
      </c>
      <c r="U22" s="30">
        <f>'TR TUSD'!$U$22*'TR TUSD'!$U$60</f>
        <v>0</v>
      </c>
      <c r="V22" s="30">
        <f>'TR TUSD'!$V$22*'TR TUSD'!$V$60</f>
        <v>0</v>
      </c>
      <c r="W22" s="30">
        <f>'TR TUSD'!$W$22*'TR TUSD'!$W$60</f>
        <v>2.2681382421546501</v>
      </c>
      <c r="X22" s="30">
        <f>'TR TUSD'!$X$22*'TR TUSD'!$X$60</f>
        <v>0</v>
      </c>
      <c r="Y22" s="30">
        <f>'TR TUSD'!$Y$22*'TR TUSD'!$Y$60</f>
        <v>0</v>
      </c>
      <c r="Z22" s="30">
        <f>'TR TUSD'!$Z$22</f>
        <v>0</v>
      </c>
      <c r="AA22" s="30">
        <f>'TR TUSD'!$AA$22</f>
        <v>0</v>
      </c>
      <c r="AB22" s="30">
        <f>SUM($U$22:$AA$22)</f>
        <v>2.2681382421546501</v>
      </c>
      <c r="AC22" s="30">
        <f>'TR TUSD'!$AC$22*'TR TUSD'!$AC$60</f>
        <v>242.4088568417184</v>
      </c>
      <c r="AD22" s="30">
        <f>SUM($AC$22:$AC$22)</f>
        <v>242.4088568417184</v>
      </c>
      <c r="AE22" s="30">
        <v>0</v>
      </c>
      <c r="AF22" s="30">
        <v>0</v>
      </c>
      <c r="AG22" s="30">
        <f>SUM($AE$22:$AF$22)</f>
        <v>0</v>
      </c>
      <c r="AH22" s="30">
        <f>'TR TUSD'!$AH$22*'TR TUSD'!$AH$60</f>
        <v>36.076725075389575</v>
      </c>
      <c r="AI22" s="30">
        <f>'TR TUSD'!$AI$22*'TR TUSD'!$AI$60</f>
        <v>0</v>
      </c>
      <c r="AJ22" s="30">
        <f ca="1">'TR TUSD'!$AJ$22*'TR TUSD'!$AJ$60</f>
        <v>47.779277546989434</v>
      </c>
      <c r="AK22" s="30">
        <f ca="1">'TR TUSD'!$AK$22*'TR TUSD'!$AK$60</f>
        <v>4.7359993079200056</v>
      </c>
      <c r="AL22" s="30">
        <f ca="1">SUM($AH$22:$AK$22)</f>
        <v>88.59200193029902</v>
      </c>
      <c r="AM22" s="30">
        <f ca="1">SUMIF($L$4:$AL$4,"SUBTOTAL",$L$22:$AL$22)</f>
        <v>337.84952414072416</v>
      </c>
      <c r="AP22" s="30">
        <f>IF((1 - CUSTOS!$M$25)&lt;&gt;0,1/(1 - CUSTOS!$M$25),1)</f>
        <v>1</v>
      </c>
    </row>
    <row r="23" spans="1:42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>
        <f>'TR TUSD'!$L$23*'TR TUSD'!$L$60</f>
        <v>0</v>
      </c>
      <c r="M23" s="30">
        <f>'TR TUSD'!$M$23*'TR TUSD'!$M$60</f>
        <v>0.9910054635855563</v>
      </c>
      <c r="N23" s="30">
        <f ca="1">'TR TUSD'!$N$23*'TR TUSD'!$N$60</f>
        <v>3.5895216629665079</v>
      </c>
      <c r="O23" s="30">
        <f>'TR TUSD'!$O$23*'TR TUSD'!$O$60</f>
        <v>0</v>
      </c>
      <c r="P23" s="30">
        <f>'TR TUSD'!$P$23*'TR TUSD'!$P$60</f>
        <v>0</v>
      </c>
      <c r="Q23" s="30">
        <f>'TR TUSD'!$Q$23*'TR TUSD'!$Q$60</f>
        <v>0</v>
      </c>
      <c r="R23" s="30">
        <f>'TR TUSD'!$R$23*'TR TUSD'!$R$60</f>
        <v>0</v>
      </c>
      <c r="S23" s="30">
        <f>'TR TUSD'!$S$23*'TR TUSD'!$S$60</f>
        <v>0</v>
      </c>
      <c r="T23" s="30">
        <f ca="1">SUM($L$23:$S$23)</f>
        <v>4.580527126552064</v>
      </c>
      <c r="U23" s="30">
        <f>'TR TUSD'!$U$23*'TR TUSD'!$U$60</f>
        <v>0</v>
      </c>
      <c r="V23" s="30">
        <f>'TR TUSD'!$V$23*'TR TUSD'!$V$60</f>
        <v>0</v>
      </c>
      <c r="W23" s="30">
        <f>'TR TUSD'!$W$23*'TR TUSD'!$W$60</f>
        <v>2.2681382421546501</v>
      </c>
      <c r="X23" s="30">
        <f>'TR TUSD'!$X$23*'TR TUSD'!$X$60</f>
        <v>0</v>
      </c>
      <c r="Y23" s="30">
        <f>'TR TUSD'!$Y$23*'TR TUSD'!$Y$60</f>
        <v>0</v>
      </c>
      <c r="Z23" s="30">
        <f>'TR TUSD'!$Z$23</f>
        <v>0</v>
      </c>
      <c r="AA23" s="30">
        <f>'TR TUSD'!$AA$23</f>
        <v>0</v>
      </c>
      <c r="AB23" s="30">
        <f>SUM($U$23:$AA$23)</f>
        <v>2.2681382421546501</v>
      </c>
      <c r="AC23" s="30">
        <f>'TR TUSD'!$AC$23*'TR TUSD'!$AC$60</f>
        <v>242.4088568417184</v>
      </c>
      <c r="AD23" s="30">
        <f>SUM($AC$23:$AC$23)</f>
        <v>242.4088568417184</v>
      </c>
      <c r="AE23" s="30">
        <v>0</v>
      </c>
      <c r="AF23" s="30">
        <v>0</v>
      </c>
      <c r="AG23" s="30">
        <f>SUM($AE$23:$AF$23)</f>
        <v>0</v>
      </c>
      <c r="AH23" s="30">
        <f>'TR TUSD'!$AH$23*'TR TUSD'!$AH$60</f>
        <v>36.076725075389575</v>
      </c>
      <c r="AI23" s="30">
        <f>'TR TUSD'!$AI$23*'TR TUSD'!$AI$60</f>
        <v>0</v>
      </c>
      <c r="AJ23" s="30">
        <f ca="1">'TR TUSD'!$AJ$23*'TR TUSD'!$AJ$60</f>
        <v>47.779277546989434</v>
      </c>
      <c r="AK23" s="30">
        <f ca="1">'TR TUSD'!$AK$23*'TR TUSD'!$AK$60</f>
        <v>4.7359993079200056</v>
      </c>
      <c r="AL23" s="30">
        <f ca="1">SUM($AH$23:$AK$23)</f>
        <v>88.59200193029902</v>
      </c>
      <c r="AM23" s="30">
        <f ca="1">SUMIF($L$4:$AL$4,"SUBTOTAL",$L$23:$AL$23)</f>
        <v>337.84952414072416</v>
      </c>
      <c r="AP23" s="30">
        <f>IF((1 - CUSTOS!$M$26)&lt;&gt;0,1/(1 - CUSTOS!$M$26),1)</f>
        <v>1</v>
      </c>
    </row>
    <row r="24" spans="1:42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>
        <f>'TR TUSD'!$L$24*'TR TUSD'!$L$60</f>
        <v>0</v>
      </c>
      <c r="M24" s="30">
        <f>'TR TUSD'!$M$24*'TR TUSD'!$M$60</f>
        <v>0.9910054635855563</v>
      </c>
      <c r="N24" s="30">
        <f ca="1">'TR TUSD'!$N$24*'TR TUSD'!$N$60</f>
        <v>3.5895216629665079</v>
      </c>
      <c r="O24" s="30">
        <f>'TR TUSD'!$O$24*'TR TUSD'!$O$60</f>
        <v>0</v>
      </c>
      <c r="P24" s="30">
        <f>'TR TUSD'!$P$24*'TR TUSD'!$P$60</f>
        <v>0</v>
      </c>
      <c r="Q24" s="30">
        <f>'TR TUSD'!$Q$24*'TR TUSD'!$Q$60</f>
        <v>0</v>
      </c>
      <c r="R24" s="30">
        <f>'TR TUSD'!$R$24*'TR TUSD'!$R$60</f>
        <v>0</v>
      </c>
      <c r="S24" s="30">
        <f>'TR TUSD'!$S$24*'TR TUSD'!$S$60</f>
        <v>0</v>
      </c>
      <c r="T24" s="30">
        <f ca="1">SUM($L$24:$S$24)</f>
        <v>4.580527126552064</v>
      </c>
      <c r="U24" s="30">
        <f>'TR TUSD'!$U$24*'TR TUSD'!$U$60</f>
        <v>0</v>
      </c>
      <c r="V24" s="30">
        <f>'TR TUSD'!$V$24*'TR TUSD'!$V$60</f>
        <v>0</v>
      </c>
      <c r="W24" s="30">
        <f>'TR TUSD'!$W$24*'TR TUSD'!$W$60</f>
        <v>2.2681382421546501</v>
      </c>
      <c r="X24" s="30">
        <f>'TR TUSD'!$X$24*'TR TUSD'!$X$60</f>
        <v>0</v>
      </c>
      <c r="Y24" s="30">
        <f>'TR TUSD'!$Y$24*'TR TUSD'!$Y$60</f>
        <v>0</v>
      </c>
      <c r="Z24" s="30">
        <f>'TR TUSD'!$Z$24</f>
        <v>0</v>
      </c>
      <c r="AA24" s="30">
        <f>'TR TUSD'!$AA$24</f>
        <v>0</v>
      </c>
      <c r="AB24" s="30">
        <f>SUM($U$24:$AA$24)</f>
        <v>2.2681382421546501</v>
      </c>
      <c r="AC24" s="30">
        <f>'TR TUSD'!$AC$24*'TR TUSD'!$AC$60</f>
        <v>242.4088568417184</v>
      </c>
      <c r="AD24" s="30">
        <f>SUM($AC$24:$AC$24)</f>
        <v>242.4088568417184</v>
      </c>
      <c r="AE24" s="30">
        <v>0</v>
      </c>
      <c r="AF24" s="30">
        <v>0</v>
      </c>
      <c r="AG24" s="30">
        <f>SUM($AE$24:$AF$24)</f>
        <v>0</v>
      </c>
      <c r="AH24" s="30">
        <f>'TR TUSD'!$AH$24*'TR TUSD'!$AH$60</f>
        <v>36.076725075389575</v>
      </c>
      <c r="AI24" s="30">
        <f>'TR TUSD'!$AI$24*'TR TUSD'!$AI$60</f>
        <v>0</v>
      </c>
      <c r="AJ24" s="30">
        <f ca="1">'TR TUSD'!$AJ$24*'TR TUSD'!$AJ$60</f>
        <v>47.779277546989434</v>
      </c>
      <c r="AK24" s="30">
        <f ca="1">'TR TUSD'!$AK$24*'TR TUSD'!$AK$60</f>
        <v>4.7359993079200056</v>
      </c>
      <c r="AL24" s="30">
        <f ca="1">SUM($AH$24:$AK$24)</f>
        <v>88.59200193029902</v>
      </c>
      <c r="AM24" s="30">
        <f ca="1">SUMIF($L$4:$AL$4,"SUBTOTAL",$L$24:$AL$24)</f>
        <v>337.84952414072416</v>
      </c>
      <c r="AP24" s="30">
        <f>IF((1 - CUSTOS!$M$27)&lt;&gt;0,1/(1 - CUSTOS!$M$27),1)</f>
        <v>1</v>
      </c>
    </row>
    <row r="25" spans="1:42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>
        <f>'TR TUSD'!$L$25*'TR TUSD'!$L$60</f>
        <v>22.208421485765623</v>
      </c>
      <c r="M25" s="30">
        <f>'TR TUSD'!$M$25*'TR TUSD'!$M$60</f>
        <v>0.9910054635855563</v>
      </c>
      <c r="N25" s="30">
        <f ca="1">'TR TUSD'!$N$25*'TR TUSD'!$N$60</f>
        <v>3.5996379040584783</v>
      </c>
      <c r="O25" s="30">
        <f>'TR TUSD'!$O$25*'TR TUSD'!$O$60</f>
        <v>0</v>
      </c>
      <c r="P25" s="30">
        <f>'TR TUSD'!$P$25*'TR TUSD'!$P$60</f>
        <v>0</v>
      </c>
      <c r="Q25" s="30">
        <f>'TR TUSD'!$Q$25*'TR TUSD'!$Q$60</f>
        <v>34.748098460403376</v>
      </c>
      <c r="R25" s="30">
        <f>'TR TUSD'!$R$25*'TR TUSD'!$R$60</f>
        <v>0</v>
      </c>
      <c r="S25" s="30">
        <f>'TR TUSD'!$S$25*'TR TUSD'!$S$60</f>
        <v>0</v>
      </c>
      <c r="T25" s="30">
        <f ca="1">SUM($L$25:$S$25)</f>
        <v>61.54716331381303</v>
      </c>
      <c r="U25" s="30">
        <f>'TR TUSD'!$U$25*'TR TUSD'!$U$60</f>
        <v>0</v>
      </c>
      <c r="V25" s="30">
        <f>'TR TUSD'!$V$25*'TR TUSD'!$V$60</f>
        <v>0</v>
      </c>
      <c r="W25" s="30">
        <f>'TR TUSD'!$W$25*'TR TUSD'!$W$60</f>
        <v>2.2681382421546501</v>
      </c>
      <c r="X25" s="30">
        <f>'TR TUSD'!$X$25*'TR TUSD'!$X$60</f>
        <v>0</v>
      </c>
      <c r="Y25" s="30">
        <f>'TR TUSD'!$Y$25*'TR TUSD'!$Y$60</f>
        <v>0</v>
      </c>
      <c r="Z25" s="30">
        <f>'TR TUSD'!$Z$25</f>
        <v>0</v>
      </c>
      <c r="AA25" s="30">
        <f>'TR TUSD'!$AA$25</f>
        <v>0</v>
      </c>
      <c r="AB25" s="30">
        <f>SUM($U$25:$AA$25)</f>
        <v>2.2681382421546501</v>
      </c>
      <c r="AC25" s="30">
        <f>'TR TUSD'!$AC$25*'TR TUSD'!$AC$60</f>
        <v>242.4088568417184</v>
      </c>
      <c r="AD25" s="30">
        <f>SUM($AC$25:$AC$25)</f>
        <v>242.4088568417184</v>
      </c>
      <c r="AE25" s="30">
        <v>0</v>
      </c>
      <c r="AF25" s="30">
        <v>0</v>
      </c>
      <c r="AG25" s="30">
        <f>SUM($AE$25:$AF$25)</f>
        <v>0</v>
      </c>
      <c r="AH25" s="30">
        <f>'TR TUSD'!$AH$25*'TR TUSD'!$AH$60</f>
        <v>36.076725075389575</v>
      </c>
      <c r="AI25" s="30">
        <f>'TR TUSD'!$AI$25*'TR TUSD'!$AI$60</f>
        <v>0</v>
      </c>
      <c r="AJ25" s="30">
        <f ca="1">'TR TUSD'!$AJ$25*'TR TUSD'!$AJ$60</f>
        <v>47.779277546989434</v>
      </c>
      <c r="AK25" s="30">
        <f ca="1">'TR TUSD'!$AK$25*'TR TUSD'!$AK$60</f>
        <v>4.7359993079200056</v>
      </c>
      <c r="AL25" s="30">
        <f ca="1">SUM($AH$25:$AK$25)</f>
        <v>88.59200193029902</v>
      </c>
      <c r="AM25" s="30">
        <f ca="1">SUMIF($L$4:$AL$4,"SUBTOTAL",$L$25:$AL$25)</f>
        <v>394.81616032798513</v>
      </c>
      <c r="AP25" s="30">
        <v>1</v>
      </c>
    </row>
    <row r="26" spans="1:42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>
        <f>'TR TUSD'!$L$26*'TR TUSD'!$L$60</f>
        <v>0</v>
      </c>
      <c r="M26" s="30">
        <f>'TR TUSD'!$M$26*'TR TUSD'!$M$60</f>
        <v>0.9910054635855563</v>
      </c>
      <c r="N26" s="30">
        <f ca="1">'TR TUSD'!$N$26*'TR TUSD'!$N$60</f>
        <v>3.5895216629665079</v>
      </c>
      <c r="O26" s="30">
        <f>'TR TUSD'!$O$26*'TR TUSD'!$O$60</f>
        <v>0</v>
      </c>
      <c r="P26" s="30">
        <f>'TR TUSD'!$P$26*'TR TUSD'!$P$60</f>
        <v>0</v>
      </c>
      <c r="Q26" s="30">
        <f>'TR TUSD'!$Q$26*'TR TUSD'!$Q$60</f>
        <v>0</v>
      </c>
      <c r="R26" s="30">
        <f>'TR TUSD'!$R$26*'TR TUSD'!$R$60</f>
        <v>0</v>
      </c>
      <c r="S26" s="30">
        <f>'TR TUSD'!$S$26*'TR TUSD'!$S$60</f>
        <v>0</v>
      </c>
      <c r="T26" s="30">
        <f ca="1">SUM($L$26:$S$26)</f>
        <v>4.580527126552064</v>
      </c>
      <c r="U26" s="30">
        <f>'TR TUSD'!$U$26*'TR TUSD'!$U$60</f>
        <v>0</v>
      </c>
      <c r="V26" s="30">
        <f>'TR TUSD'!$V$26*'TR TUSD'!$V$60</f>
        <v>0</v>
      </c>
      <c r="W26" s="30">
        <f>'TR TUSD'!$W$26*'TR TUSD'!$W$60</f>
        <v>2.2681382421546501</v>
      </c>
      <c r="X26" s="30">
        <f>'TR TUSD'!$X$26*'TR TUSD'!$X$60</f>
        <v>0</v>
      </c>
      <c r="Y26" s="30">
        <f>'TR TUSD'!$Y$26*'TR TUSD'!$Y$60</f>
        <v>0</v>
      </c>
      <c r="Z26" s="30">
        <f>'TR TUSD'!$Z$26</f>
        <v>0</v>
      </c>
      <c r="AA26" s="30">
        <f>'TR TUSD'!$AA$26</f>
        <v>0</v>
      </c>
      <c r="AB26" s="30">
        <f>SUM($U$26:$AA$26)</f>
        <v>2.2681382421546501</v>
      </c>
      <c r="AC26" s="30">
        <f>'TR TUSD'!$AC$26*'TR TUSD'!$AC$60</f>
        <v>242.4088568417184</v>
      </c>
      <c r="AD26" s="30">
        <f>SUM($AC$26:$AC$26)</f>
        <v>242.4088568417184</v>
      </c>
      <c r="AE26" s="30">
        <v>0</v>
      </c>
      <c r="AF26" s="30">
        <v>0</v>
      </c>
      <c r="AG26" s="30">
        <f>SUM($AE$26:$AF$26)</f>
        <v>0</v>
      </c>
      <c r="AH26" s="30">
        <f>'TR TUSD'!$AH$26*'TR TUSD'!$AH$60</f>
        <v>36.076725075389575</v>
      </c>
      <c r="AI26" s="30">
        <f>'TR TUSD'!$AI$26*'TR TUSD'!$AI$60</f>
        <v>0</v>
      </c>
      <c r="AJ26" s="30">
        <f ca="1">'TR TUSD'!$AJ$26*'TR TUSD'!$AJ$60</f>
        <v>47.779277546989434</v>
      </c>
      <c r="AK26" s="30">
        <f ca="1">'TR TUSD'!$AK$26*'TR TUSD'!$AK$60</f>
        <v>4.7359993079200056</v>
      </c>
      <c r="AL26" s="30">
        <f ca="1">SUM($AH$26:$AK$26)</f>
        <v>88.59200193029902</v>
      </c>
      <c r="AM26" s="30">
        <f ca="1">SUMIF($L$4:$AL$4,"SUBTOTAL",$L$26:$AL$26)</f>
        <v>337.84952414072416</v>
      </c>
      <c r="AP26" s="30">
        <f>IF((1 - CUSTOS!$M$24)&lt;&gt;0,1/(1 - CUSTOS!$M$24),1)</f>
        <v>1</v>
      </c>
    </row>
    <row r="27" spans="1:42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>
        <f>'TR TUSD'!$L$27*'TR TUSD'!$L$60</f>
        <v>0</v>
      </c>
      <c r="M27" s="30">
        <f>'TR TUSD'!$M$27*'TR TUSD'!$M$60</f>
        <v>0.9910054635855563</v>
      </c>
      <c r="N27" s="30">
        <f ca="1">'TR TUSD'!$N$27*'TR TUSD'!$N$60</f>
        <v>3.5895216629665079</v>
      </c>
      <c r="O27" s="30">
        <f>'TR TUSD'!$O$27*'TR TUSD'!$O$60</f>
        <v>0</v>
      </c>
      <c r="P27" s="30">
        <f>'TR TUSD'!$P$27*'TR TUSD'!$P$60</f>
        <v>0</v>
      </c>
      <c r="Q27" s="30">
        <f>'TR TUSD'!$Q$27*'TR TUSD'!$Q$60</f>
        <v>0</v>
      </c>
      <c r="R27" s="30">
        <f>'TR TUSD'!$R$27*'TR TUSD'!$R$60</f>
        <v>0</v>
      </c>
      <c r="S27" s="30">
        <f>'TR TUSD'!$S$27*'TR TUSD'!$S$60</f>
        <v>0</v>
      </c>
      <c r="T27" s="30">
        <f ca="1">SUM($L$27:$S$27)</f>
        <v>4.580527126552064</v>
      </c>
      <c r="U27" s="30">
        <f>'TR TUSD'!$U$27*'TR TUSD'!$U$60</f>
        <v>0</v>
      </c>
      <c r="V27" s="30">
        <f>'TR TUSD'!$V$27*'TR TUSD'!$V$60</f>
        <v>0</v>
      </c>
      <c r="W27" s="30">
        <f>'TR TUSD'!$W$27*'TR TUSD'!$W$60</f>
        <v>2.2681382421546501</v>
      </c>
      <c r="X27" s="30">
        <f>'TR TUSD'!$X$27*'TR TUSD'!$X$60</f>
        <v>0</v>
      </c>
      <c r="Y27" s="30">
        <f>'TR TUSD'!$Y$27*'TR TUSD'!$Y$60</f>
        <v>0</v>
      </c>
      <c r="Z27" s="30">
        <f>'TR TUSD'!$Z$27</f>
        <v>0</v>
      </c>
      <c r="AA27" s="30">
        <f>'TR TUSD'!$AA$27</f>
        <v>0</v>
      </c>
      <c r="AB27" s="30">
        <f>SUM($U$27:$AA$27)</f>
        <v>2.2681382421546501</v>
      </c>
      <c r="AC27" s="30">
        <f>'TR TUSD'!$AC$27*'TR TUSD'!$AC$60</f>
        <v>242.4088568417184</v>
      </c>
      <c r="AD27" s="30">
        <f>SUM($AC$27:$AC$27)</f>
        <v>242.4088568417184</v>
      </c>
      <c r="AE27" s="30">
        <v>0</v>
      </c>
      <c r="AF27" s="30">
        <v>0</v>
      </c>
      <c r="AG27" s="30">
        <f>SUM($AE$27:$AF$27)</f>
        <v>0</v>
      </c>
      <c r="AH27" s="30">
        <f>'TR TUSD'!$AH$27*'TR TUSD'!$AH$60</f>
        <v>36.076725075389575</v>
      </c>
      <c r="AI27" s="30">
        <f>'TR TUSD'!$AI$27*'TR TUSD'!$AI$60</f>
        <v>0</v>
      </c>
      <c r="AJ27" s="30">
        <f ca="1">'TR TUSD'!$AJ$27*'TR TUSD'!$AJ$60</f>
        <v>47.779277546989434</v>
      </c>
      <c r="AK27" s="30">
        <f ca="1">'TR TUSD'!$AK$27*'TR TUSD'!$AK$60</f>
        <v>4.7359993079200056</v>
      </c>
      <c r="AL27" s="30">
        <f ca="1">SUM($AH$27:$AK$27)</f>
        <v>88.59200193029902</v>
      </c>
      <c r="AM27" s="30">
        <f ca="1">SUMIF($L$4:$AL$4,"SUBTOTAL",$L$27:$AL$27)</f>
        <v>337.84952414072416</v>
      </c>
      <c r="AP27" s="30">
        <f>IF((1 - CUSTOS!$M$25)&lt;&gt;0,1/(1 - CUSTOS!$M$25),1)</f>
        <v>1</v>
      </c>
    </row>
    <row r="28" spans="1:42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>
        <f>'TR TUSD'!$L$28*'TR TUSD'!$L$60</f>
        <v>0</v>
      </c>
      <c r="M28" s="30">
        <f>'TR TUSD'!$M$28*'TR TUSD'!$M$60</f>
        <v>0.9910054635855563</v>
      </c>
      <c r="N28" s="30">
        <f ca="1">'TR TUSD'!$N$28*'TR TUSD'!$N$60</f>
        <v>3.5895216629665079</v>
      </c>
      <c r="O28" s="30">
        <f>'TR TUSD'!$O$28*'TR TUSD'!$O$60</f>
        <v>0</v>
      </c>
      <c r="P28" s="30">
        <f>'TR TUSD'!$P$28*'TR TUSD'!$P$60</f>
        <v>0</v>
      </c>
      <c r="Q28" s="30">
        <f>'TR TUSD'!$Q$28*'TR TUSD'!$Q$60</f>
        <v>0</v>
      </c>
      <c r="R28" s="30">
        <f>'TR TUSD'!$R$28*'TR TUSD'!$R$60</f>
        <v>0</v>
      </c>
      <c r="S28" s="30">
        <f>'TR TUSD'!$S$28*'TR TUSD'!$S$60</f>
        <v>0</v>
      </c>
      <c r="T28" s="30">
        <f ca="1">SUM($L$28:$S$28)</f>
        <v>4.580527126552064</v>
      </c>
      <c r="U28" s="30">
        <f>'TR TUSD'!$U$28*'TR TUSD'!$U$60</f>
        <v>0</v>
      </c>
      <c r="V28" s="30">
        <f>'TR TUSD'!$V$28*'TR TUSD'!$V$60</f>
        <v>0</v>
      </c>
      <c r="W28" s="30">
        <f>'TR TUSD'!$W$28*'TR TUSD'!$W$60</f>
        <v>2.2681382421546501</v>
      </c>
      <c r="X28" s="30">
        <f>'TR TUSD'!$X$28*'TR TUSD'!$X$60</f>
        <v>0</v>
      </c>
      <c r="Y28" s="30">
        <f>'TR TUSD'!$Y$28*'TR TUSD'!$Y$60</f>
        <v>0</v>
      </c>
      <c r="Z28" s="30">
        <f>'TR TUSD'!$Z$28</f>
        <v>0</v>
      </c>
      <c r="AA28" s="30">
        <f>'TR TUSD'!$AA$28</f>
        <v>0</v>
      </c>
      <c r="AB28" s="30">
        <f>SUM($U$28:$AA$28)</f>
        <v>2.2681382421546501</v>
      </c>
      <c r="AC28" s="30">
        <f>'TR TUSD'!$AC$28*'TR TUSD'!$AC$60</f>
        <v>242.4088568417184</v>
      </c>
      <c r="AD28" s="30">
        <f>SUM($AC$28:$AC$28)</f>
        <v>242.4088568417184</v>
      </c>
      <c r="AE28" s="30">
        <v>0</v>
      </c>
      <c r="AF28" s="30">
        <v>0</v>
      </c>
      <c r="AG28" s="30">
        <f>SUM($AE$28:$AF$28)</f>
        <v>0</v>
      </c>
      <c r="AH28" s="30">
        <f>'TR TUSD'!$AH$28*'TR TUSD'!$AH$60</f>
        <v>36.076725075389575</v>
      </c>
      <c r="AI28" s="30">
        <f>'TR TUSD'!$AI$28*'TR TUSD'!$AI$60</f>
        <v>0</v>
      </c>
      <c r="AJ28" s="30">
        <f ca="1">'TR TUSD'!$AJ$28*'TR TUSD'!$AJ$60</f>
        <v>47.779277546989434</v>
      </c>
      <c r="AK28" s="30">
        <f ca="1">'TR TUSD'!$AK$28*'TR TUSD'!$AK$60</f>
        <v>4.7359993079200056</v>
      </c>
      <c r="AL28" s="30">
        <f ca="1">SUM($AH$28:$AK$28)</f>
        <v>88.59200193029902</v>
      </c>
      <c r="AM28" s="30">
        <f ca="1">SUMIF($L$4:$AL$4,"SUBTOTAL",$L$28:$AL$28)</f>
        <v>337.84952414072416</v>
      </c>
      <c r="AP28" s="30">
        <f>IF((1 - CUSTOS!$M$26)&lt;&gt;0,1/(1 - CUSTOS!$M$26),1)</f>
        <v>1</v>
      </c>
    </row>
    <row r="29" spans="1:42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>
        <f>'TR TUSD'!$L$29*'TR TUSD'!$L$60</f>
        <v>0</v>
      </c>
      <c r="M29" s="30">
        <f>'TR TUSD'!$M$29*'TR TUSD'!$M$60</f>
        <v>0.9910054635855563</v>
      </c>
      <c r="N29" s="30">
        <f ca="1">'TR TUSD'!$N$29*'TR TUSD'!$N$60</f>
        <v>3.5895216629665079</v>
      </c>
      <c r="O29" s="30">
        <f>'TR TUSD'!$O$29*'TR TUSD'!$O$60</f>
        <v>0</v>
      </c>
      <c r="P29" s="30">
        <f>'TR TUSD'!$P$29*'TR TUSD'!$P$60</f>
        <v>0</v>
      </c>
      <c r="Q29" s="30">
        <f>'TR TUSD'!$Q$29*'TR TUSD'!$Q$60</f>
        <v>0</v>
      </c>
      <c r="R29" s="30">
        <f>'TR TUSD'!$R$29*'TR TUSD'!$R$60</f>
        <v>0</v>
      </c>
      <c r="S29" s="30">
        <f>'TR TUSD'!$S$29*'TR TUSD'!$S$60</f>
        <v>0</v>
      </c>
      <c r="T29" s="30">
        <f ca="1">SUM($L$29:$S$29)</f>
        <v>4.580527126552064</v>
      </c>
      <c r="U29" s="30">
        <f>'TR TUSD'!$U$29*'TR TUSD'!$U$60</f>
        <v>0</v>
      </c>
      <c r="V29" s="30">
        <f>'TR TUSD'!$V$29*'TR TUSD'!$V$60</f>
        <v>0</v>
      </c>
      <c r="W29" s="30">
        <f>'TR TUSD'!$W$29*'TR TUSD'!$W$60</f>
        <v>2.2681382421546501</v>
      </c>
      <c r="X29" s="30">
        <f>'TR TUSD'!$X$29*'TR TUSD'!$X$60</f>
        <v>0</v>
      </c>
      <c r="Y29" s="30">
        <f>'TR TUSD'!$Y$29*'TR TUSD'!$Y$60</f>
        <v>0</v>
      </c>
      <c r="Z29" s="30">
        <f>'TR TUSD'!$Z$29</f>
        <v>0</v>
      </c>
      <c r="AA29" s="30">
        <f>'TR TUSD'!$AA$29</f>
        <v>0</v>
      </c>
      <c r="AB29" s="30">
        <f>SUM($U$29:$AA$29)</f>
        <v>2.2681382421546501</v>
      </c>
      <c r="AC29" s="30">
        <f>'TR TUSD'!$AC$29*'TR TUSD'!$AC$60</f>
        <v>242.4088568417184</v>
      </c>
      <c r="AD29" s="30">
        <f>SUM($AC$29:$AC$29)</f>
        <v>242.4088568417184</v>
      </c>
      <c r="AE29" s="30">
        <v>0</v>
      </c>
      <c r="AF29" s="30">
        <v>0</v>
      </c>
      <c r="AG29" s="30">
        <f>SUM($AE$29:$AF$29)</f>
        <v>0</v>
      </c>
      <c r="AH29" s="30">
        <f>'TR TUSD'!$AH$29*'TR TUSD'!$AH$60</f>
        <v>36.076725075389575</v>
      </c>
      <c r="AI29" s="30">
        <f>'TR TUSD'!$AI$29*'TR TUSD'!$AI$60</f>
        <v>0</v>
      </c>
      <c r="AJ29" s="30">
        <f ca="1">'TR TUSD'!$AJ$29*'TR TUSD'!$AJ$60</f>
        <v>47.779277546989434</v>
      </c>
      <c r="AK29" s="30">
        <f ca="1">'TR TUSD'!$AK$29*'TR TUSD'!$AK$60</f>
        <v>4.7359993079200056</v>
      </c>
      <c r="AL29" s="30">
        <f ca="1">SUM($AH$29:$AK$29)</f>
        <v>88.59200193029902</v>
      </c>
      <c r="AM29" s="30">
        <f ca="1">SUMIF($L$4:$AL$4,"SUBTOTAL",$L$29:$AL$29)</f>
        <v>337.84952414072416</v>
      </c>
      <c r="AP29" s="30">
        <f>IF((1 - CUSTOS!$M$27)&lt;&gt;0,1/(1 - CUSTOS!$M$27),1)</f>
        <v>1</v>
      </c>
    </row>
    <row r="30" spans="1:42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>
        <f>'TR TUSD'!$L$30*'TR TUSD'!$L$60</f>
        <v>22.208421485765623</v>
      </c>
      <c r="M30" s="30">
        <f>'TR TUSD'!$M$30*'TR TUSD'!$M$60</f>
        <v>0.9910054635855563</v>
      </c>
      <c r="N30" s="30">
        <f ca="1">'TR TUSD'!$N$30*'TR TUSD'!$N$60</f>
        <v>8.1708607314148871</v>
      </c>
      <c r="O30" s="30">
        <f>'TR TUSD'!$O$30*'TR TUSD'!$O$60</f>
        <v>0</v>
      </c>
      <c r="P30" s="30">
        <f>'TR TUSD'!$P$30*'TR TUSD'!$P$60</f>
        <v>0</v>
      </c>
      <c r="Q30" s="30">
        <f>'TR TUSD'!$Q$30*'TR TUSD'!$Q$60</f>
        <v>34.748098460403376</v>
      </c>
      <c r="R30" s="30">
        <f>'TR TUSD'!$R$30*'TR TUSD'!$R$60</f>
        <v>0</v>
      </c>
      <c r="S30" s="30">
        <f>'TR TUSD'!$S$30*'TR TUSD'!$S$60</f>
        <v>0</v>
      </c>
      <c r="T30" s="30">
        <f ca="1">SUM($L$30:$S$30)</f>
        <v>66.118386141169438</v>
      </c>
      <c r="U30" s="30">
        <f>'TR TUSD'!$U$30*'TR TUSD'!$U$60</f>
        <v>0</v>
      </c>
      <c r="V30" s="30">
        <f>'TR TUSD'!$V$30*'TR TUSD'!$V$60</f>
        <v>0</v>
      </c>
      <c r="W30" s="30">
        <f>'TR TUSD'!$W$30*'TR TUSD'!$W$60</f>
        <v>7.2539556393234292</v>
      </c>
      <c r="X30" s="30">
        <f>'TR TUSD'!$X$30*'TR TUSD'!$X$60</f>
        <v>0</v>
      </c>
      <c r="Y30" s="30">
        <f>'TR TUSD'!$Y$30*'TR TUSD'!$Y$60</f>
        <v>0</v>
      </c>
      <c r="Z30" s="30">
        <f>'TR TUSD'!$Z$30</f>
        <v>0</v>
      </c>
      <c r="AA30" s="30">
        <f>'TR TUSD'!$AA$30</f>
        <v>0</v>
      </c>
      <c r="AB30" s="30">
        <f>SUM($U$30:$AA$30)</f>
        <v>7.2539556393234292</v>
      </c>
      <c r="AC30" s="30">
        <f>'TR TUSD'!$AC$30*'TR TUSD'!$AC$60</f>
        <v>775.70841270971277</v>
      </c>
      <c r="AD30" s="30">
        <f>SUM($AC$30:$AC$30)</f>
        <v>775.70841270971277</v>
      </c>
      <c r="AE30" s="30">
        <v>0</v>
      </c>
      <c r="AF30" s="30">
        <v>0</v>
      </c>
      <c r="AG30" s="30">
        <f>SUM($AE$30:$AF$30)</f>
        <v>0</v>
      </c>
      <c r="AH30" s="30">
        <f>'TR TUSD'!$AH$30*'TR TUSD'!$AH$60</f>
        <v>36.076725075389575</v>
      </c>
      <c r="AI30" s="30">
        <f>'TR TUSD'!$AI$30*'TR TUSD'!$AI$60</f>
        <v>0</v>
      </c>
      <c r="AJ30" s="30">
        <f ca="1">'TR TUSD'!$AJ$30*'TR TUSD'!$AJ$60</f>
        <v>47.779277546989434</v>
      </c>
      <c r="AK30" s="30">
        <f ca="1">'TR TUSD'!$AK$30*'TR TUSD'!$AK$60</f>
        <v>4.7359993079200056</v>
      </c>
      <c r="AL30" s="30">
        <f ca="1">SUM($AH$30:$AK$30)</f>
        <v>88.59200193029902</v>
      </c>
      <c r="AM30" s="30">
        <f ca="1">SUMIF($L$4:$AL$4,"SUBTOTAL",$L$30:$AL$30)</f>
        <v>937.6727564205047</v>
      </c>
      <c r="AP30" s="30">
        <f>IF((1 - CUSTOS!$M$28)&lt;&gt;0,1/(1 - CUSTOS!$M$28),1)</f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>
        <f>'TR TUSD'!$L$31*'TR TUSD'!$L$60</f>
        <v>22.208421485765623</v>
      </c>
      <c r="M31" s="30">
        <f>'TR TUSD'!$M$31*'TR TUSD'!$M$60</f>
        <v>0.9910054635855563</v>
      </c>
      <c r="N31" s="30">
        <f ca="1">'TR TUSD'!$N$31*'TR TUSD'!$N$60</f>
        <v>5.5112402508892755</v>
      </c>
      <c r="O31" s="30">
        <f>'TR TUSD'!$O$31*'TR TUSD'!$O$60</f>
        <v>0</v>
      </c>
      <c r="P31" s="30">
        <f>'TR TUSD'!$P$31*'TR TUSD'!$P$60</f>
        <v>0</v>
      </c>
      <c r="Q31" s="30">
        <f>'TR TUSD'!$Q$31*'TR TUSD'!$Q$60</f>
        <v>34.748098460403376</v>
      </c>
      <c r="R31" s="30">
        <f>'TR TUSD'!$R$31*'TR TUSD'!$R$60</f>
        <v>0</v>
      </c>
      <c r="S31" s="30">
        <f>'TR TUSD'!$S$31*'TR TUSD'!$S$60</f>
        <v>0</v>
      </c>
      <c r="T31" s="30">
        <f ca="1">SUM($L$31:$S$31)</f>
        <v>63.458765660643834</v>
      </c>
      <c r="U31" s="30">
        <f>'TR TUSD'!$U$31*'TR TUSD'!$U$60</f>
        <v>0</v>
      </c>
      <c r="V31" s="30">
        <f>'TR TUSD'!$V$31*'TR TUSD'!$V$60</f>
        <v>0</v>
      </c>
      <c r="W31" s="30">
        <f>'TR TUSD'!$W$31*'TR TUSD'!$W$60</f>
        <v>4.3523733835940579</v>
      </c>
      <c r="X31" s="30">
        <f>'TR TUSD'!$X$31*'TR TUSD'!$X$60</f>
        <v>0</v>
      </c>
      <c r="Y31" s="30">
        <f>'TR TUSD'!$Y$31*'TR TUSD'!$Y$60</f>
        <v>0</v>
      </c>
      <c r="Z31" s="30">
        <f>'TR TUSD'!$Z$31</f>
        <v>0</v>
      </c>
      <c r="AA31" s="30">
        <f>'TR TUSD'!$AA$31</f>
        <v>0</v>
      </c>
      <c r="AB31" s="30">
        <f>SUM($U$31:$AA$31)</f>
        <v>4.3523733835940579</v>
      </c>
      <c r="AC31" s="30">
        <f>'TR TUSD'!$AC$31*'TR TUSD'!$AC$60</f>
        <v>465.42504762582763</v>
      </c>
      <c r="AD31" s="30">
        <f>SUM($AC$31:$AC$31)</f>
        <v>465.42504762582763</v>
      </c>
      <c r="AE31" s="30">
        <v>0</v>
      </c>
      <c r="AF31" s="30">
        <v>0</v>
      </c>
      <c r="AG31" s="30">
        <f>SUM($AE$31:$AF$31)</f>
        <v>0</v>
      </c>
      <c r="AH31" s="30">
        <f>'TR TUSD'!$AH$31*'TR TUSD'!$AH$60</f>
        <v>36.076725075389575</v>
      </c>
      <c r="AI31" s="30">
        <f>'TR TUSD'!$AI$31*'TR TUSD'!$AI$60</f>
        <v>0</v>
      </c>
      <c r="AJ31" s="30">
        <f ca="1">'TR TUSD'!$AJ$31*'TR TUSD'!$AJ$60</f>
        <v>47.779277546989434</v>
      </c>
      <c r="AK31" s="30">
        <f ca="1">'TR TUSD'!$AK$31*'TR TUSD'!$AK$60</f>
        <v>4.7359993079200056</v>
      </c>
      <c r="AL31" s="30">
        <f ca="1">SUM($AH$31:$AK$31)</f>
        <v>88.59200193029902</v>
      </c>
      <c r="AM31" s="30">
        <f ca="1">SUMIF($L$4:$AL$4,"SUBTOTAL",$L$31:$AL$31)</f>
        <v>621.82818860036457</v>
      </c>
      <c r="AP31" s="30">
        <f>IF((1 - CUSTOS!$M$28)&lt;&gt;0,1/(1 - CUSTOS!$M$28),1)</f>
        <v>1</v>
      </c>
    </row>
    <row r="32" spans="1:42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>
        <f>'TR TUSD'!$L$32*'TR TUSD'!$L$60</f>
        <v>22.208421485765623</v>
      </c>
      <c r="M32" s="30">
        <f>'TR TUSD'!$M$32*'TR TUSD'!$M$60</f>
        <v>0.9910054635855563</v>
      </c>
      <c r="N32" s="30">
        <f ca="1">'TR TUSD'!$N$32*'TR TUSD'!$N$60</f>
        <v>2.851619770363663</v>
      </c>
      <c r="O32" s="30">
        <f>'TR TUSD'!$O$32*'TR TUSD'!$O$60</f>
        <v>0</v>
      </c>
      <c r="P32" s="30">
        <f>'TR TUSD'!$P$32*'TR TUSD'!$P$60</f>
        <v>0</v>
      </c>
      <c r="Q32" s="30">
        <f>'TR TUSD'!$Q$32*'TR TUSD'!$Q$60</f>
        <v>34.748098460403376</v>
      </c>
      <c r="R32" s="30">
        <f>'TR TUSD'!$R$32*'TR TUSD'!$R$60</f>
        <v>0</v>
      </c>
      <c r="S32" s="30">
        <f>'TR TUSD'!$S$32*'TR TUSD'!$S$60</f>
        <v>0</v>
      </c>
      <c r="T32" s="30">
        <f ca="1">SUM($L$32:$S$32)</f>
        <v>60.799145180118217</v>
      </c>
      <c r="U32" s="30">
        <f>'TR TUSD'!$U$32*'TR TUSD'!$U$60</f>
        <v>0</v>
      </c>
      <c r="V32" s="30">
        <f>'TR TUSD'!$V$32*'TR TUSD'!$V$60</f>
        <v>0</v>
      </c>
      <c r="W32" s="30">
        <f>'TR TUSD'!$W$32*'TR TUSD'!$W$60</f>
        <v>1.4507911278646859</v>
      </c>
      <c r="X32" s="30">
        <f>'TR TUSD'!$X$32*'TR TUSD'!$X$60</f>
        <v>0</v>
      </c>
      <c r="Y32" s="30">
        <f>'TR TUSD'!$Y$32*'TR TUSD'!$Y$60</f>
        <v>0</v>
      </c>
      <c r="Z32" s="30">
        <f>'TR TUSD'!$Z$32</f>
        <v>0</v>
      </c>
      <c r="AA32" s="30">
        <f>'TR TUSD'!$AA$32</f>
        <v>0</v>
      </c>
      <c r="AB32" s="30">
        <f>SUM($U$32:$AA$32)</f>
        <v>1.4507911278646859</v>
      </c>
      <c r="AC32" s="30">
        <f>'TR TUSD'!$AC$32*'TR TUSD'!$AC$60</f>
        <v>155.14168254194254</v>
      </c>
      <c r="AD32" s="30">
        <f>SUM($AC$32:$AC$32)</f>
        <v>155.14168254194254</v>
      </c>
      <c r="AE32" s="30">
        <v>0</v>
      </c>
      <c r="AF32" s="30">
        <v>0</v>
      </c>
      <c r="AG32" s="30">
        <f>SUM($AE$32:$AF$32)</f>
        <v>0</v>
      </c>
      <c r="AH32" s="30">
        <f>'TR TUSD'!$AH$32*'TR TUSD'!$AH$60</f>
        <v>36.076725075389575</v>
      </c>
      <c r="AI32" s="30">
        <f>'TR TUSD'!$AI$32*'TR TUSD'!$AI$60</f>
        <v>0</v>
      </c>
      <c r="AJ32" s="30">
        <f ca="1">'TR TUSD'!$AJ$32*'TR TUSD'!$AJ$60</f>
        <v>47.779277546989434</v>
      </c>
      <c r="AK32" s="30">
        <f ca="1">'TR TUSD'!$AK$32*'TR TUSD'!$AK$60</f>
        <v>4.7359993079200056</v>
      </c>
      <c r="AL32" s="30">
        <f ca="1">SUM($AH$32:$AK$32)</f>
        <v>88.59200193029902</v>
      </c>
      <c r="AM32" s="30">
        <f ca="1">SUMIF($L$4:$AL$4,"SUBTOTAL",$L$32:$AL$32)</f>
        <v>305.98362078022444</v>
      </c>
      <c r="AP32" s="30">
        <f>IF((1 - CUSTOS!$M$28)&lt;&gt;0,1/(1 - CUSTOS!$M$28),1)</f>
        <v>1</v>
      </c>
    </row>
    <row r="33" spans="1:42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>
        <f>'TR TUSD'!$L$33*'TR TUSD'!$L$60</f>
        <v>22.208421485765623</v>
      </c>
      <c r="M33" s="30">
        <f>'TR TUSD'!$M$33*'TR TUSD'!$M$60</f>
        <v>0.9910054635855563</v>
      </c>
      <c r="N33" s="30">
        <f ca="1">'TR TUSD'!$N$33*'TR TUSD'!$N$60</f>
        <v>3.5996379040584783</v>
      </c>
      <c r="O33" s="30">
        <f>'TR TUSD'!$O$33*'TR TUSD'!$O$60</f>
        <v>0</v>
      </c>
      <c r="P33" s="30">
        <f>'TR TUSD'!$P$33*'TR TUSD'!$P$60</f>
        <v>0</v>
      </c>
      <c r="Q33" s="30">
        <f>'TR TUSD'!$Q$33*'TR TUSD'!$Q$60</f>
        <v>34.748098460403376</v>
      </c>
      <c r="R33" s="30">
        <f>'TR TUSD'!$R$33*'TR TUSD'!$R$60</f>
        <v>0</v>
      </c>
      <c r="S33" s="30">
        <f>'TR TUSD'!$S$33*'TR TUSD'!$S$60</f>
        <v>0</v>
      </c>
      <c r="T33" s="30">
        <f ca="1">SUM($L$33:$S$33)</f>
        <v>61.54716331381303</v>
      </c>
      <c r="U33" s="30">
        <f>'TR TUSD'!$U$33*'TR TUSD'!$U$60</f>
        <v>0</v>
      </c>
      <c r="V33" s="30">
        <f>'TR TUSD'!$V$33*'TR TUSD'!$V$60</f>
        <v>0</v>
      </c>
      <c r="W33" s="30">
        <f>'TR TUSD'!$W$33*'TR TUSD'!$W$60</f>
        <v>2.2681382421546501</v>
      </c>
      <c r="X33" s="30">
        <f>'TR TUSD'!$X$33*'TR TUSD'!$X$60</f>
        <v>0</v>
      </c>
      <c r="Y33" s="30">
        <f>'TR TUSD'!$Y$33*'TR TUSD'!$Y$60</f>
        <v>0</v>
      </c>
      <c r="Z33" s="30">
        <f>'TR TUSD'!$Z$33</f>
        <v>0</v>
      </c>
      <c r="AA33" s="30">
        <f>'TR TUSD'!$AA$33</f>
        <v>0</v>
      </c>
      <c r="AB33" s="30">
        <f>SUM($U$33:$AA$33)</f>
        <v>2.2681382421546501</v>
      </c>
      <c r="AC33" s="30">
        <f>'TR TUSD'!$AC$33*'TR TUSD'!$AC$60</f>
        <v>242.4088568417184</v>
      </c>
      <c r="AD33" s="30">
        <f>SUM($AC$33:$AC$33)</f>
        <v>242.4088568417184</v>
      </c>
      <c r="AE33" s="30">
        <v>0</v>
      </c>
      <c r="AF33" s="30">
        <v>0</v>
      </c>
      <c r="AG33" s="30">
        <f>SUM($AE$33:$AF$33)</f>
        <v>0</v>
      </c>
      <c r="AH33" s="30">
        <f>'TR TUSD'!$AH$33*'TR TUSD'!$AH$60</f>
        <v>36.076725075389575</v>
      </c>
      <c r="AI33" s="30">
        <f>'TR TUSD'!$AI$33*'TR TUSD'!$AI$60</f>
        <v>0</v>
      </c>
      <c r="AJ33" s="30">
        <f ca="1">'TR TUSD'!$AJ$33*'TR TUSD'!$AJ$60</f>
        <v>47.779277546989434</v>
      </c>
      <c r="AK33" s="30">
        <f ca="1">'TR TUSD'!$AK$33*'TR TUSD'!$AK$60</f>
        <v>4.7359993079200056</v>
      </c>
      <c r="AL33" s="30">
        <f ca="1">SUM($AH$33:$AK$33)</f>
        <v>88.59200193029902</v>
      </c>
      <c r="AM33" s="30">
        <f ca="1">SUMIF($L$4:$AL$4,"SUBTOTAL",$L$33:$AL$33)</f>
        <v>394.81616032798513</v>
      </c>
      <c r="AP33" s="30">
        <f>IF((1 - CUSTOS!$M$28)&lt;&gt;0,1/(1 - CUSTOS!$M$28),1)</f>
        <v>1</v>
      </c>
    </row>
    <row r="34" spans="1:42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>
        <f>'TR TUSD'!$L$34*'TR TUSD'!$L$60</f>
        <v>22.208421485765623</v>
      </c>
      <c r="M34" s="30">
        <f>'TR TUSD'!$M$34*'TR TUSD'!$M$60</f>
        <v>0.9910054635855563</v>
      </c>
      <c r="N34" s="30">
        <f ca="1">'TR TUSD'!$N$34*'TR TUSD'!$N$60</f>
        <v>8.1708607314148871</v>
      </c>
      <c r="O34" s="30">
        <f>'TR TUSD'!$O$34*'TR TUSD'!$O$60</f>
        <v>0</v>
      </c>
      <c r="P34" s="30">
        <f>'TR TUSD'!$P$34*'TR TUSD'!$P$60</f>
        <v>0</v>
      </c>
      <c r="Q34" s="30">
        <f>'TR TUSD'!$Q$34*'TR TUSD'!$Q$60</f>
        <v>34.748098460403376</v>
      </c>
      <c r="R34" s="30">
        <f>'TR TUSD'!$R$34*'TR TUSD'!$R$60</f>
        <v>0</v>
      </c>
      <c r="S34" s="30">
        <f>'TR TUSD'!$S$34*'TR TUSD'!$S$60</f>
        <v>0</v>
      </c>
      <c r="T34" s="30">
        <f ca="1">SUM($L$34:$S$34)</f>
        <v>66.118386141169438</v>
      </c>
      <c r="U34" s="30">
        <f>'TR TUSD'!$U$34*'TR TUSD'!$U$60</f>
        <v>0</v>
      </c>
      <c r="V34" s="30">
        <f>'TR TUSD'!$V$34*'TR TUSD'!$V$60</f>
        <v>0</v>
      </c>
      <c r="W34" s="30">
        <f>'TR TUSD'!$W$34*'TR TUSD'!$W$60</f>
        <v>7.2539556393234292</v>
      </c>
      <c r="X34" s="30">
        <f>'TR TUSD'!$X$34*'TR TUSD'!$X$60</f>
        <v>0</v>
      </c>
      <c r="Y34" s="30">
        <f>'TR TUSD'!$Y$34*'TR TUSD'!$Y$60</f>
        <v>0</v>
      </c>
      <c r="Z34" s="30">
        <f>'TR TUSD'!$Z$34</f>
        <v>0</v>
      </c>
      <c r="AA34" s="30">
        <f>'TR TUSD'!$AA$34</f>
        <v>0</v>
      </c>
      <c r="AB34" s="30">
        <f>SUM($U$34:$AA$34)</f>
        <v>7.2539556393234292</v>
      </c>
      <c r="AC34" s="30">
        <f>'TR TUSD'!$AC$34*'TR TUSD'!$AC$60</f>
        <v>775.70841270971277</v>
      </c>
      <c r="AD34" s="30">
        <f>SUM($AC$34:$AC$34)</f>
        <v>775.70841270971277</v>
      </c>
      <c r="AE34" s="30">
        <v>0</v>
      </c>
      <c r="AF34" s="30">
        <v>0</v>
      </c>
      <c r="AG34" s="30">
        <f>SUM($AE$34:$AF$34)</f>
        <v>0</v>
      </c>
      <c r="AH34" s="30">
        <f>'TR TUSD'!$AH$34*'TR TUSD'!$AH$60</f>
        <v>36.076725075389575</v>
      </c>
      <c r="AI34" s="30">
        <f>'TR TUSD'!$AI$34*'TR TUSD'!$AI$60</f>
        <v>0</v>
      </c>
      <c r="AJ34" s="30">
        <f ca="1">'TR TUSD'!$AJ$34*'TR TUSD'!$AJ$60</f>
        <v>47.779277546989434</v>
      </c>
      <c r="AK34" s="30">
        <f ca="1">'TR TUSD'!$AK$34*'TR TUSD'!$AK$60</f>
        <v>4.7359993079200056</v>
      </c>
      <c r="AL34" s="30">
        <f ca="1">SUM($AH$34:$AK$34)</f>
        <v>88.59200193029902</v>
      </c>
      <c r="AM34" s="30">
        <f ca="1">SUMIF($L$4:$AL$4,"SUBTOTAL",$L$34:$AL$34)</f>
        <v>937.6727564205047</v>
      </c>
      <c r="AP34" s="30">
        <f>IF((1 - CUSTOS!$M$29)&lt;&gt;0,1/(1 - CUSTOS!$M$29),1)</f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>
        <f>'TR TUSD'!$L$35*'TR TUSD'!$L$60</f>
        <v>22.208421485765623</v>
      </c>
      <c r="M35" s="30">
        <f>'TR TUSD'!$M$35*'TR TUSD'!$M$60</f>
        <v>0.9910054635855563</v>
      </c>
      <c r="N35" s="30">
        <f ca="1">'TR TUSD'!$N$35*'TR TUSD'!$N$60</f>
        <v>5.5112402508892755</v>
      </c>
      <c r="O35" s="30">
        <f>'TR TUSD'!$O$35*'TR TUSD'!$O$60</f>
        <v>0</v>
      </c>
      <c r="P35" s="30">
        <f>'TR TUSD'!$P$35*'TR TUSD'!$P$60</f>
        <v>0</v>
      </c>
      <c r="Q35" s="30">
        <f>'TR TUSD'!$Q$35*'TR TUSD'!$Q$60</f>
        <v>34.748098460403376</v>
      </c>
      <c r="R35" s="30">
        <f>'TR TUSD'!$R$35*'TR TUSD'!$R$60</f>
        <v>0</v>
      </c>
      <c r="S35" s="30">
        <f>'TR TUSD'!$S$35*'TR TUSD'!$S$60</f>
        <v>0</v>
      </c>
      <c r="T35" s="30">
        <f ca="1">SUM($L$35:$S$35)</f>
        <v>63.458765660643834</v>
      </c>
      <c r="U35" s="30">
        <f>'TR TUSD'!$U$35*'TR TUSD'!$U$60</f>
        <v>0</v>
      </c>
      <c r="V35" s="30">
        <f>'TR TUSD'!$V$35*'TR TUSD'!$V$60</f>
        <v>0</v>
      </c>
      <c r="W35" s="30">
        <f>'TR TUSD'!$W$35*'TR TUSD'!$W$60</f>
        <v>4.3523733835940579</v>
      </c>
      <c r="X35" s="30">
        <f>'TR TUSD'!$X$35*'TR TUSD'!$X$60</f>
        <v>0</v>
      </c>
      <c r="Y35" s="30">
        <f>'TR TUSD'!$Y$35*'TR TUSD'!$Y$60</f>
        <v>0</v>
      </c>
      <c r="Z35" s="30">
        <f>'TR TUSD'!$Z$35</f>
        <v>0</v>
      </c>
      <c r="AA35" s="30">
        <f>'TR TUSD'!$AA$35</f>
        <v>0</v>
      </c>
      <c r="AB35" s="30">
        <f>SUM($U$35:$AA$35)</f>
        <v>4.3523733835940579</v>
      </c>
      <c r="AC35" s="30">
        <f>'TR TUSD'!$AC$35*'TR TUSD'!$AC$60</f>
        <v>465.42504762582763</v>
      </c>
      <c r="AD35" s="30">
        <f>SUM($AC$35:$AC$35)</f>
        <v>465.42504762582763</v>
      </c>
      <c r="AE35" s="30">
        <v>0</v>
      </c>
      <c r="AF35" s="30">
        <v>0</v>
      </c>
      <c r="AG35" s="30">
        <f>SUM($AE$35:$AF$35)</f>
        <v>0</v>
      </c>
      <c r="AH35" s="30">
        <f>'TR TUSD'!$AH$35*'TR TUSD'!$AH$60</f>
        <v>36.076725075389575</v>
      </c>
      <c r="AI35" s="30">
        <f>'TR TUSD'!$AI$35*'TR TUSD'!$AI$60</f>
        <v>0</v>
      </c>
      <c r="AJ35" s="30">
        <f ca="1">'TR TUSD'!$AJ$35*'TR TUSD'!$AJ$60</f>
        <v>47.779277546989434</v>
      </c>
      <c r="AK35" s="30">
        <f ca="1">'TR TUSD'!$AK$35*'TR TUSD'!$AK$60</f>
        <v>4.7359993079200056</v>
      </c>
      <c r="AL35" s="30">
        <f ca="1">SUM($AH$35:$AK$35)</f>
        <v>88.59200193029902</v>
      </c>
      <c r="AM35" s="30">
        <f ca="1">SUMIF($L$4:$AL$4,"SUBTOTAL",$L$35:$AL$35)</f>
        <v>621.82818860036457</v>
      </c>
      <c r="AP35" s="30">
        <f>IF((1 - CUSTOS!$M$29)&lt;&gt;0,1/(1 - CUSTOS!$M$29),1)</f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>
        <f>'TR TUSD'!$L$36*'TR TUSD'!$L$60</f>
        <v>22.208421485765623</v>
      </c>
      <c r="M36" s="30">
        <f>'TR TUSD'!$M$36*'TR TUSD'!$M$60</f>
        <v>0.9910054635855563</v>
      </c>
      <c r="N36" s="30">
        <f ca="1">'TR TUSD'!$N$36*'TR TUSD'!$N$60</f>
        <v>2.851619770363663</v>
      </c>
      <c r="O36" s="30">
        <f>'TR TUSD'!$O$36*'TR TUSD'!$O$60</f>
        <v>0</v>
      </c>
      <c r="P36" s="30">
        <f>'TR TUSD'!$P$36*'TR TUSD'!$P$60</f>
        <v>0</v>
      </c>
      <c r="Q36" s="30">
        <f>'TR TUSD'!$Q$36*'TR TUSD'!$Q$60</f>
        <v>34.748098460403376</v>
      </c>
      <c r="R36" s="30">
        <f>'TR TUSD'!$R$36*'TR TUSD'!$R$60</f>
        <v>0</v>
      </c>
      <c r="S36" s="30">
        <f>'TR TUSD'!$S$36*'TR TUSD'!$S$60</f>
        <v>0</v>
      </c>
      <c r="T36" s="30">
        <f ca="1">SUM($L$36:$S$36)</f>
        <v>60.799145180118217</v>
      </c>
      <c r="U36" s="30">
        <f>'TR TUSD'!$U$36*'TR TUSD'!$U$60</f>
        <v>0</v>
      </c>
      <c r="V36" s="30">
        <f>'TR TUSD'!$V$36*'TR TUSD'!$V$60</f>
        <v>0</v>
      </c>
      <c r="W36" s="30">
        <f>'TR TUSD'!$W$36*'TR TUSD'!$W$60</f>
        <v>1.4507911278646859</v>
      </c>
      <c r="X36" s="30">
        <f>'TR TUSD'!$X$36*'TR TUSD'!$X$60</f>
        <v>0</v>
      </c>
      <c r="Y36" s="30">
        <f>'TR TUSD'!$Y$36*'TR TUSD'!$Y$60</f>
        <v>0</v>
      </c>
      <c r="Z36" s="30">
        <f>'TR TUSD'!$Z$36</f>
        <v>0</v>
      </c>
      <c r="AA36" s="30">
        <f>'TR TUSD'!$AA$36</f>
        <v>0</v>
      </c>
      <c r="AB36" s="30">
        <f>SUM($U$36:$AA$36)</f>
        <v>1.4507911278646859</v>
      </c>
      <c r="AC36" s="30">
        <f>'TR TUSD'!$AC$36*'TR TUSD'!$AC$60</f>
        <v>155.14168254194254</v>
      </c>
      <c r="AD36" s="30">
        <f>SUM($AC$36:$AC$36)</f>
        <v>155.14168254194254</v>
      </c>
      <c r="AE36" s="30">
        <v>0</v>
      </c>
      <c r="AF36" s="30">
        <v>0</v>
      </c>
      <c r="AG36" s="30">
        <f>SUM($AE$36:$AF$36)</f>
        <v>0</v>
      </c>
      <c r="AH36" s="30">
        <f>'TR TUSD'!$AH$36*'TR TUSD'!$AH$60</f>
        <v>36.076725075389575</v>
      </c>
      <c r="AI36" s="30">
        <f>'TR TUSD'!$AI$36*'TR TUSD'!$AI$60</f>
        <v>0</v>
      </c>
      <c r="AJ36" s="30">
        <f ca="1">'TR TUSD'!$AJ$36*'TR TUSD'!$AJ$60</f>
        <v>47.779277546989434</v>
      </c>
      <c r="AK36" s="30">
        <f ca="1">'TR TUSD'!$AK$36*'TR TUSD'!$AK$60</f>
        <v>4.7359993079200056</v>
      </c>
      <c r="AL36" s="30">
        <f ca="1">SUM($AH$36:$AK$36)</f>
        <v>88.59200193029902</v>
      </c>
      <c r="AM36" s="30">
        <f ca="1">SUMIF($L$4:$AL$4,"SUBTOTAL",$L$36:$AL$36)</f>
        <v>305.98362078022444</v>
      </c>
      <c r="AP36" s="30">
        <f>IF((1 - CUSTOS!$M$29)&lt;&gt;0,1/(1 - CUSTOS!$M$29),1)</f>
        <v>1</v>
      </c>
    </row>
    <row r="37" spans="1:42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>
        <f>'TR TUSD'!$L$37*'TR TUSD'!$L$60</f>
        <v>22.208421485765623</v>
      </c>
      <c r="M37" s="30">
        <f>'TR TUSD'!$M$37*'TR TUSD'!$M$60</f>
        <v>0.9910054635855563</v>
      </c>
      <c r="N37" s="30">
        <f ca="1">'TR TUSD'!$N$37*'TR TUSD'!$N$60</f>
        <v>3.5996379040584783</v>
      </c>
      <c r="O37" s="30">
        <f>'TR TUSD'!$O$37*'TR TUSD'!$O$60</f>
        <v>0</v>
      </c>
      <c r="P37" s="30">
        <f>'TR TUSD'!$P$37*'TR TUSD'!$P$60</f>
        <v>0</v>
      </c>
      <c r="Q37" s="30">
        <f>'TR TUSD'!$Q$37*'TR TUSD'!$Q$60</f>
        <v>34.748098460403376</v>
      </c>
      <c r="R37" s="30">
        <f>'TR TUSD'!$R$37*'TR TUSD'!$R$60</f>
        <v>0</v>
      </c>
      <c r="S37" s="30">
        <f>'TR TUSD'!$S$37*'TR TUSD'!$S$60</f>
        <v>0</v>
      </c>
      <c r="T37" s="30">
        <f ca="1">SUM($L$37:$S$37)</f>
        <v>61.54716331381303</v>
      </c>
      <c r="U37" s="30">
        <f>'TR TUSD'!$U$37*'TR TUSD'!$U$60</f>
        <v>0</v>
      </c>
      <c r="V37" s="30">
        <f>'TR TUSD'!$V$37*'TR TUSD'!$V$60</f>
        <v>0</v>
      </c>
      <c r="W37" s="30">
        <f>'TR TUSD'!$W$37*'TR TUSD'!$W$60</f>
        <v>2.2681382421546501</v>
      </c>
      <c r="X37" s="30">
        <f>'TR TUSD'!$X$37*'TR TUSD'!$X$60</f>
        <v>0</v>
      </c>
      <c r="Y37" s="30">
        <f>'TR TUSD'!$Y$37*'TR TUSD'!$Y$60</f>
        <v>0</v>
      </c>
      <c r="Z37" s="30">
        <f>'TR TUSD'!$Z$37</f>
        <v>0</v>
      </c>
      <c r="AA37" s="30">
        <f>'TR TUSD'!$AA$37</f>
        <v>0</v>
      </c>
      <c r="AB37" s="30">
        <f>SUM($U$37:$AA$37)</f>
        <v>2.2681382421546501</v>
      </c>
      <c r="AC37" s="30">
        <f>'TR TUSD'!$AC$37*'TR TUSD'!$AC$60</f>
        <v>242.4088568417184</v>
      </c>
      <c r="AD37" s="30">
        <f>SUM($AC$37:$AC$37)</f>
        <v>242.4088568417184</v>
      </c>
      <c r="AE37" s="30">
        <v>0</v>
      </c>
      <c r="AF37" s="30">
        <v>0</v>
      </c>
      <c r="AG37" s="30">
        <f>SUM($AE$37:$AF$37)</f>
        <v>0</v>
      </c>
      <c r="AH37" s="30">
        <f>'TR TUSD'!$AH$37*'TR TUSD'!$AH$60</f>
        <v>36.076725075389575</v>
      </c>
      <c r="AI37" s="30">
        <f>'TR TUSD'!$AI$37*'TR TUSD'!$AI$60</f>
        <v>0</v>
      </c>
      <c r="AJ37" s="30">
        <f ca="1">'TR TUSD'!$AJ$37*'TR TUSD'!$AJ$60</f>
        <v>47.779277546989434</v>
      </c>
      <c r="AK37" s="30">
        <f ca="1">'TR TUSD'!$AK$37*'TR TUSD'!$AK$60</f>
        <v>4.7359993079200056</v>
      </c>
      <c r="AL37" s="30">
        <f ca="1">SUM($AH$37:$AK$37)</f>
        <v>88.59200193029902</v>
      </c>
      <c r="AM37" s="30">
        <f ca="1">SUMIF($L$4:$AL$4,"SUBTOTAL",$L$37:$AL$37)</f>
        <v>394.81616032798513</v>
      </c>
      <c r="AP37" s="30">
        <f>IF((1 - CUSTOS!$M$29)&lt;&gt;0,1/(1 - CUSTOS!$M$29),1)</f>
        <v>1</v>
      </c>
    </row>
    <row r="38" spans="1:42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>
        <f>'TR TUSD'!$L$38*'TR TUSD'!$L$60</f>
        <v>22.208421485765623</v>
      </c>
      <c r="M38" s="30">
        <f>'TR TUSD'!$M$38*'TR TUSD'!$M$60</f>
        <v>0.9910054635855563</v>
      </c>
      <c r="N38" s="30">
        <f ca="1">'TR TUSD'!$N$38*'TR TUSD'!$N$60</f>
        <v>8.1708607314148871</v>
      </c>
      <c r="O38" s="30">
        <f>'TR TUSD'!$O$38*'TR TUSD'!$O$60</f>
        <v>0</v>
      </c>
      <c r="P38" s="30">
        <f>'TR TUSD'!$P$38*'TR TUSD'!$P$60</f>
        <v>0</v>
      </c>
      <c r="Q38" s="30">
        <f>'TR TUSD'!$Q$38*'TR TUSD'!$Q$60</f>
        <v>34.748098460403376</v>
      </c>
      <c r="R38" s="30">
        <f>'TR TUSD'!$R$38*'TR TUSD'!$R$60</f>
        <v>0</v>
      </c>
      <c r="S38" s="30">
        <f>'TR TUSD'!$S$38*'TR TUSD'!$S$60</f>
        <v>0</v>
      </c>
      <c r="T38" s="30">
        <f ca="1">SUM($L$38:$S$38)</f>
        <v>66.118386141169438</v>
      </c>
      <c r="U38" s="30">
        <f>'TR TUSD'!$U$38*'TR TUSD'!$U$60</f>
        <v>0</v>
      </c>
      <c r="V38" s="30">
        <f>'TR TUSD'!$V$38*'TR TUSD'!$V$60</f>
        <v>0</v>
      </c>
      <c r="W38" s="30">
        <f>'TR TUSD'!$W$38*'TR TUSD'!$W$60</f>
        <v>7.2539556393234292</v>
      </c>
      <c r="X38" s="30">
        <f>'TR TUSD'!$X$38*'TR TUSD'!$X$60</f>
        <v>0</v>
      </c>
      <c r="Y38" s="30">
        <f>'TR TUSD'!$Y$38*'TR TUSD'!$Y$60</f>
        <v>0</v>
      </c>
      <c r="Z38" s="30">
        <f>'TR TUSD'!$Z$38</f>
        <v>0</v>
      </c>
      <c r="AA38" s="30">
        <f>'TR TUSD'!$AA$38</f>
        <v>0</v>
      </c>
      <c r="AB38" s="30">
        <f>SUM($U$38:$AA$38)</f>
        <v>7.2539556393234292</v>
      </c>
      <c r="AC38" s="30">
        <f>'TR TUSD'!$AC$38*'TR TUSD'!$AC$60</f>
        <v>775.70841270971277</v>
      </c>
      <c r="AD38" s="30">
        <f>SUM($AC$38:$AC$38)</f>
        <v>775.70841270971277</v>
      </c>
      <c r="AE38" s="30">
        <v>0</v>
      </c>
      <c r="AF38" s="30">
        <v>0</v>
      </c>
      <c r="AG38" s="30">
        <f>SUM($AE$38:$AF$38)</f>
        <v>0</v>
      </c>
      <c r="AH38" s="30">
        <f>'TR TUSD'!$AH$38*'TR TUSD'!$AH$60</f>
        <v>36.076725075389575</v>
      </c>
      <c r="AI38" s="30">
        <f>'TR TUSD'!$AI$38*'TR TUSD'!$AI$60</f>
        <v>0</v>
      </c>
      <c r="AJ38" s="30">
        <f ca="1">'TR TUSD'!$AJ$38*'TR TUSD'!$AJ$60</f>
        <v>47.779277546989434</v>
      </c>
      <c r="AK38" s="30">
        <f ca="1">'TR TUSD'!$AK$38*'TR TUSD'!$AK$60</f>
        <v>4.7359993079200056</v>
      </c>
      <c r="AL38" s="30">
        <f ca="1">SUM($AH$38:$AK$38)</f>
        <v>88.59200193029902</v>
      </c>
      <c r="AM38" s="30">
        <f ca="1">SUMIF($L$4:$AL$4,"SUBTOTAL",$L$38:$AL$38)</f>
        <v>937.6727564205047</v>
      </c>
      <c r="AP38" s="30">
        <f>IF((1 - CUSTOS!$M$30)&lt;&gt;0,1/(1 - CUSTOS!$M$30),1)</f>
        <v>1</v>
      </c>
    </row>
    <row r="39" spans="1:42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>
        <f>'TR TUSD'!$L$39*'TR TUSD'!$L$60</f>
        <v>22.208421485765623</v>
      </c>
      <c r="M39" s="30">
        <f>'TR TUSD'!$M$39*'TR TUSD'!$M$60</f>
        <v>0.9910054635855563</v>
      </c>
      <c r="N39" s="30">
        <f ca="1">'TR TUSD'!$N$39*'TR TUSD'!$N$60</f>
        <v>5.5112402508892755</v>
      </c>
      <c r="O39" s="30">
        <f>'TR TUSD'!$O$39*'TR TUSD'!$O$60</f>
        <v>0</v>
      </c>
      <c r="P39" s="30">
        <f>'TR TUSD'!$P$39*'TR TUSD'!$P$60</f>
        <v>0</v>
      </c>
      <c r="Q39" s="30">
        <f>'TR TUSD'!$Q$39*'TR TUSD'!$Q$60</f>
        <v>34.748098460403376</v>
      </c>
      <c r="R39" s="30">
        <f>'TR TUSD'!$R$39*'TR TUSD'!$R$60</f>
        <v>0</v>
      </c>
      <c r="S39" s="30">
        <f>'TR TUSD'!$S$39*'TR TUSD'!$S$60</f>
        <v>0</v>
      </c>
      <c r="T39" s="30">
        <f ca="1">SUM($L$39:$S$39)</f>
        <v>63.458765660643834</v>
      </c>
      <c r="U39" s="30">
        <f>'TR TUSD'!$U$39*'TR TUSD'!$U$60</f>
        <v>0</v>
      </c>
      <c r="V39" s="30">
        <f>'TR TUSD'!$V$39*'TR TUSD'!$V$60</f>
        <v>0</v>
      </c>
      <c r="W39" s="30">
        <f>'TR TUSD'!$W$39*'TR TUSD'!$W$60</f>
        <v>4.3523733835940579</v>
      </c>
      <c r="X39" s="30">
        <f>'TR TUSD'!$X$39*'TR TUSD'!$X$60</f>
        <v>0</v>
      </c>
      <c r="Y39" s="30">
        <f>'TR TUSD'!$Y$39*'TR TUSD'!$Y$60</f>
        <v>0</v>
      </c>
      <c r="Z39" s="30">
        <f>'TR TUSD'!$Z$39</f>
        <v>0</v>
      </c>
      <c r="AA39" s="30">
        <f>'TR TUSD'!$AA$39</f>
        <v>0</v>
      </c>
      <c r="AB39" s="30">
        <f>SUM($U$39:$AA$39)</f>
        <v>4.3523733835940579</v>
      </c>
      <c r="AC39" s="30">
        <f>'TR TUSD'!$AC$39*'TR TUSD'!$AC$60</f>
        <v>465.42504762582763</v>
      </c>
      <c r="AD39" s="30">
        <f>SUM($AC$39:$AC$39)</f>
        <v>465.42504762582763</v>
      </c>
      <c r="AE39" s="30">
        <v>0</v>
      </c>
      <c r="AF39" s="30">
        <v>0</v>
      </c>
      <c r="AG39" s="30">
        <f>SUM($AE$39:$AF$39)</f>
        <v>0</v>
      </c>
      <c r="AH39" s="30">
        <f>'TR TUSD'!$AH$39*'TR TUSD'!$AH$60</f>
        <v>36.076725075389575</v>
      </c>
      <c r="AI39" s="30">
        <f>'TR TUSD'!$AI$39*'TR TUSD'!$AI$60</f>
        <v>0</v>
      </c>
      <c r="AJ39" s="30">
        <f ca="1">'TR TUSD'!$AJ$39*'TR TUSD'!$AJ$60</f>
        <v>47.779277546989434</v>
      </c>
      <c r="AK39" s="30">
        <f ca="1">'TR TUSD'!$AK$39*'TR TUSD'!$AK$60</f>
        <v>4.7359993079200056</v>
      </c>
      <c r="AL39" s="30">
        <f ca="1">SUM($AH$39:$AK$39)</f>
        <v>88.59200193029902</v>
      </c>
      <c r="AM39" s="30">
        <f ca="1">SUMIF($L$4:$AL$4,"SUBTOTAL",$L$39:$AL$39)</f>
        <v>621.82818860036457</v>
      </c>
      <c r="AP39" s="30">
        <f>IF((1 - CUSTOS!$M$30)&lt;&gt;0,1/(1 - CUSTOS!$M$30),1)</f>
        <v>1</v>
      </c>
    </row>
    <row r="40" spans="1:42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>
        <f>'TR TUSD'!$L$40*'TR TUSD'!$L$60</f>
        <v>22.208421485765623</v>
      </c>
      <c r="M40" s="30">
        <f>'TR TUSD'!$M$40*'TR TUSD'!$M$60</f>
        <v>0.9910054635855563</v>
      </c>
      <c r="N40" s="30">
        <f ca="1">'TR TUSD'!$N$40*'TR TUSD'!$N$60</f>
        <v>2.851619770363663</v>
      </c>
      <c r="O40" s="30">
        <f>'TR TUSD'!$O$40*'TR TUSD'!$O$60</f>
        <v>0</v>
      </c>
      <c r="P40" s="30">
        <f>'TR TUSD'!$P$40*'TR TUSD'!$P$60</f>
        <v>0</v>
      </c>
      <c r="Q40" s="30">
        <f>'TR TUSD'!$Q$40*'TR TUSD'!$Q$60</f>
        <v>34.748098460403376</v>
      </c>
      <c r="R40" s="30">
        <f>'TR TUSD'!$R$40*'TR TUSD'!$R$60</f>
        <v>0</v>
      </c>
      <c r="S40" s="30">
        <f>'TR TUSD'!$S$40*'TR TUSD'!$S$60</f>
        <v>0</v>
      </c>
      <c r="T40" s="30">
        <f ca="1">SUM($L$40:$S$40)</f>
        <v>60.799145180118217</v>
      </c>
      <c r="U40" s="30">
        <f>'TR TUSD'!$U$40*'TR TUSD'!$U$60</f>
        <v>0</v>
      </c>
      <c r="V40" s="30">
        <f>'TR TUSD'!$V$40*'TR TUSD'!$V$60</f>
        <v>0</v>
      </c>
      <c r="W40" s="30">
        <f>'TR TUSD'!$W$40*'TR TUSD'!$W$60</f>
        <v>1.4507911278646859</v>
      </c>
      <c r="X40" s="30">
        <f>'TR TUSD'!$X$40*'TR TUSD'!$X$60</f>
        <v>0</v>
      </c>
      <c r="Y40" s="30">
        <f>'TR TUSD'!$Y$40*'TR TUSD'!$Y$60</f>
        <v>0</v>
      </c>
      <c r="Z40" s="30">
        <f>'TR TUSD'!$Z$40</f>
        <v>0</v>
      </c>
      <c r="AA40" s="30">
        <f>'TR TUSD'!$AA$40</f>
        <v>0</v>
      </c>
      <c r="AB40" s="30">
        <f>SUM($U$40:$AA$40)</f>
        <v>1.4507911278646859</v>
      </c>
      <c r="AC40" s="30">
        <f>'TR TUSD'!$AC$40*'TR TUSD'!$AC$60</f>
        <v>155.14168254194254</v>
      </c>
      <c r="AD40" s="30">
        <f>SUM($AC$40:$AC$40)</f>
        <v>155.14168254194254</v>
      </c>
      <c r="AE40" s="30">
        <v>0</v>
      </c>
      <c r="AF40" s="30">
        <v>0</v>
      </c>
      <c r="AG40" s="30">
        <f>SUM($AE$40:$AF$40)</f>
        <v>0</v>
      </c>
      <c r="AH40" s="30">
        <f>'TR TUSD'!$AH$40*'TR TUSD'!$AH$60</f>
        <v>36.076725075389575</v>
      </c>
      <c r="AI40" s="30">
        <f>'TR TUSD'!$AI$40*'TR TUSD'!$AI$60</f>
        <v>0</v>
      </c>
      <c r="AJ40" s="30">
        <f ca="1">'TR TUSD'!$AJ$40*'TR TUSD'!$AJ$60</f>
        <v>47.779277546989434</v>
      </c>
      <c r="AK40" s="30">
        <f ca="1">'TR TUSD'!$AK$40*'TR TUSD'!$AK$60</f>
        <v>4.7359993079200056</v>
      </c>
      <c r="AL40" s="30">
        <f ca="1">SUM($AH$40:$AK$40)</f>
        <v>88.59200193029902</v>
      </c>
      <c r="AM40" s="30">
        <f ca="1">SUMIF($L$4:$AL$4,"SUBTOTAL",$L$40:$AL$40)</f>
        <v>305.98362078022444</v>
      </c>
      <c r="AP40" s="30">
        <f>IF((1 - CUSTOS!$M$30)&lt;&gt;0,1/(1 - CUSTOS!$M$30),1)</f>
        <v>1</v>
      </c>
    </row>
    <row r="41" spans="1:42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>
        <f>'TR TUSD'!$L$41*'TR TUSD'!$L$60</f>
        <v>22.208421485765623</v>
      </c>
      <c r="M41" s="30">
        <f>'TR TUSD'!$M$41*'TR TUSD'!$M$60</f>
        <v>0.9910054635855563</v>
      </c>
      <c r="N41" s="30">
        <f ca="1">'TR TUSD'!$N$41*'TR TUSD'!$N$60</f>
        <v>3.5996379040584783</v>
      </c>
      <c r="O41" s="30">
        <f>'TR TUSD'!$O$41*'TR TUSD'!$O$60</f>
        <v>0</v>
      </c>
      <c r="P41" s="30">
        <f>'TR TUSD'!$P$41*'TR TUSD'!$P$60</f>
        <v>0</v>
      </c>
      <c r="Q41" s="30">
        <f>'TR TUSD'!$Q$41*'TR TUSD'!$Q$60</f>
        <v>34.748098460403376</v>
      </c>
      <c r="R41" s="30">
        <f>'TR TUSD'!$R$41*'TR TUSD'!$R$60</f>
        <v>0</v>
      </c>
      <c r="S41" s="30">
        <f>'TR TUSD'!$S$41*'TR TUSD'!$S$60</f>
        <v>0</v>
      </c>
      <c r="T41" s="30">
        <f ca="1">SUM($L$41:$S$41)</f>
        <v>61.54716331381303</v>
      </c>
      <c r="U41" s="30">
        <f>'TR TUSD'!$U$41*'TR TUSD'!$U$60</f>
        <v>0</v>
      </c>
      <c r="V41" s="30">
        <f>'TR TUSD'!$V$41*'TR TUSD'!$V$60</f>
        <v>0</v>
      </c>
      <c r="W41" s="30">
        <f>'TR TUSD'!$W$41*'TR TUSD'!$W$60</f>
        <v>2.2681382421546501</v>
      </c>
      <c r="X41" s="30">
        <f>'TR TUSD'!$X$41*'TR TUSD'!$X$60</f>
        <v>0</v>
      </c>
      <c r="Y41" s="30">
        <f>'TR TUSD'!$Y$41*'TR TUSD'!$Y$60</f>
        <v>0</v>
      </c>
      <c r="Z41" s="30">
        <f>'TR TUSD'!$Z$41</f>
        <v>0</v>
      </c>
      <c r="AA41" s="30">
        <f>'TR TUSD'!$AA$41</f>
        <v>0</v>
      </c>
      <c r="AB41" s="30">
        <f>SUM($U$41:$AA$41)</f>
        <v>2.2681382421546501</v>
      </c>
      <c r="AC41" s="30">
        <f>'TR TUSD'!$AC$41*'TR TUSD'!$AC$60</f>
        <v>242.4088568417184</v>
      </c>
      <c r="AD41" s="30">
        <f>SUM($AC$41:$AC$41)</f>
        <v>242.4088568417184</v>
      </c>
      <c r="AE41" s="30">
        <v>0</v>
      </c>
      <c r="AF41" s="30">
        <v>0</v>
      </c>
      <c r="AG41" s="30">
        <f>SUM($AE$41:$AF$41)</f>
        <v>0</v>
      </c>
      <c r="AH41" s="30">
        <f>'TR TUSD'!$AH$41*'TR TUSD'!$AH$60</f>
        <v>36.076725075389575</v>
      </c>
      <c r="AI41" s="30">
        <f>'TR TUSD'!$AI$41*'TR TUSD'!$AI$60</f>
        <v>0</v>
      </c>
      <c r="AJ41" s="30">
        <f ca="1">'TR TUSD'!$AJ$41*'TR TUSD'!$AJ$60</f>
        <v>47.779277546989434</v>
      </c>
      <c r="AK41" s="30">
        <f ca="1">'TR TUSD'!$AK$41*'TR TUSD'!$AK$60</f>
        <v>4.7359993079200056</v>
      </c>
      <c r="AL41" s="30">
        <f ca="1">SUM($AH$41:$AK$41)</f>
        <v>88.59200193029902</v>
      </c>
      <c r="AM41" s="30">
        <f ca="1">SUMIF($L$4:$AL$4,"SUBTOTAL",$L$41:$AL$41)</f>
        <v>394.81616032798513</v>
      </c>
      <c r="AP41" s="30">
        <f>IF((1 - CUSTOS!$M$30)&lt;&gt;0,1/(1 - CUSTOS!$M$30),1)</f>
        <v>1</v>
      </c>
    </row>
    <row r="42" spans="1:42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>
        <f>'TR TUSD'!$L$42*'TR TUSD'!$L$60</f>
        <v>22.208421485765623</v>
      </c>
      <c r="M42" s="30">
        <f>'TR TUSD'!$M$42*'TR TUSD'!$M$60</f>
        <v>0.9910054635855563</v>
      </c>
      <c r="N42" s="30">
        <f ca="1">'TR TUSD'!$N$42*'TR TUSD'!$N$60</f>
        <v>3.5996379040584783</v>
      </c>
      <c r="O42" s="30">
        <f>'TR TUSD'!$O$42*'TR TUSD'!$O$60</f>
        <v>0</v>
      </c>
      <c r="P42" s="30">
        <f>'TR TUSD'!$P$42*'TR TUSD'!$P$60</f>
        <v>0</v>
      </c>
      <c r="Q42" s="30">
        <f>'TR TUSD'!$Q$42*'TR TUSD'!$Q$60</f>
        <v>34.748098460403376</v>
      </c>
      <c r="R42" s="30">
        <f>'TR TUSD'!$R$42*'TR TUSD'!$R$60</f>
        <v>0</v>
      </c>
      <c r="S42" s="30">
        <f>'TR TUSD'!$S$42*'TR TUSD'!$S$60</f>
        <v>0</v>
      </c>
      <c r="T42" s="30">
        <f ca="1">SUM($L$42:$S$42)</f>
        <v>61.54716331381303</v>
      </c>
      <c r="U42" s="30">
        <f>'TR TUSD'!$U$42*'TR TUSD'!$U$60</f>
        <v>0</v>
      </c>
      <c r="V42" s="30">
        <f>'TR TUSD'!$V$42*'TR TUSD'!$V$60</f>
        <v>0</v>
      </c>
      <c r="W42" s="30">
        <f>'TR TUSD'!$W$42*'TR TUSD'!$W$60</f>
        <v>2.2681382421546501</v>
      </c>
      <c r="X42" s="30">
        <f>'TR TUSD'!$X$42*'TR TUSD'!$X$60</f>
        <v>0</v>
      </c>
      <c r="Y42" s="30">
        <f>'TR TUSD'!$Y$42*'TR TUSD'!$Y$60</f>
        <v>0</v>
      </c>
      <c r="Z42" s="30">
        <f>'TR TUSD'!$Z$42</f>
        <v>0</v>
      </c>
      <c r="AA42" s="30">
        <f>'TR TUSD'!$AA$42</f>
        <v>0</v>
      </c>
      <c r="AB42" s="30">
        <f>SUM($U$42:$AA$42)</f>
        <v>2.2681382421546501</v>
      </c>
      <c r="AC42" s="30">
        <f>'TR TUSD'!$AC$42*'TR TUSD'!$AC$60</f>
        <v>242.4088568417184</v>
      </c>
      <c r="AD42" s="30">
        <f>SUM($AC$42:$AC$42)</f>
        <v>242.4088568417184</v>
      </c>
      <c r="AE42" s="30">
        <v>0</v>
      </c>
      <c r="AF42" s="30">
        <v>0</v>
      </c>
      <c r="AG42" s="30">
        <f>SUM($AE$42:$AF$42)</f>
        <v>0</v>
      </c>
      <c r="AH42" s="30">
        <f>'TR TUSD'!$AH$42*'TR TUSD'!$AH$60</f>
        <v>36.076725075389575</v>
      </c>
      <c r="AI42" s="30">
        <f>'TR TUSD'!$AI$42*'TR TUSD'!$AI$60</f>
        <v>0</v>
      </c>
      <c r="AJ42" s="30">
        <f ca="1">'TR TUSD'!$AJ$42*'TR TUSD'!$AJ$60</f>
        <v>47.779277546989434</v>
      </c>
      <c r="AK42" s="30">
        <f ca="1">'TR TUSD'!$AK$42*'TR TUSD'!$AK$60</f>
        <v>4.7359993079200056</v>
      </c>
      <c r="AL42" s="30">
        <f ca="1">SUM($AH$42:$AK$42)</f>
        <v>88.59200193029902</v>
      </c>
      <c r="AM42" s="30">
        <f ca="1">SUMIF($L$4:$AL$4,"SUBTOTAL",$L$42:$AL$42)</f>
        <v>394.81616032798513</v>
      </c>
      <c r="AP42" s="30">
        <f>IF((1 - CUSTOS!$M$28)&lt;&gt;0,1/(1 - CUSTOS!$M$28),1)</f>
        <v>1</v>
      </c>
    </row>
    <row r="43" spans="1:42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>
        <f>'TR TUSD'!$L$43*'TR TUSD'!$L$60</f>
        <v>22.208421485765623</v>
      </c>
      <c r="M43" s="30">
        <f>'TR TUSD'!$M$43*'TR TUSD'!$M$60</f>
        <v>0.9910054635855563</v>
      </c>
      <c r="N43" s="30">
        <f ca="1">'TR TUSD'!$N$43*'TR TUSD'!$N$60</f>
        <v>3.5996379040584783</v>
      </c>
      <c r="O43" s="30">
        <f>'TR TUSD'!$O$43*'TR TUSD'!$O$60</f>
        <v>0</v>
      </c>
      <c r="P43" s="30">
        <f>'TR TUSD'!$P$43*'TR TUSD'!$P$60</f>
        <v>0</v>
      </c>
      <c r="Q43" s="30">
        <f>'TR TUSD'!$Q$43*'TR TUSD'!$Q$60</f>
        <v>34.748098460403376</v>
      </c>
      <c r="R43" s="30">
        <f>'TR TUSD'!$R$43*'TR TUSD'!$R$60</f>
        <v>0</v>
      </c>
      <c r="S43" s="30">
        <f>'TR TUSD'!$S$43*'TR TUSD'!$S$60</f>
        <v>0</v>
      </c>
      <c r="T43" s="30">
        <f ca="1">SUM($L$43:$S$43)</f>
        <v>61.54716331381303</v>
      </c>
      <c r="U43" s="30">
        <f>'TR TUSD'!$U$43*'TR TUSD'!$U$60</f>
        <v>0</v>
      </c>
      <c r="V43" s="30">
        <f>'TR TUSD'!$V$43*'TR TUSD'!$V$60</f>
        <v>0</v>
      </c>
      <c r="W43" s="30">
        <f>'TR TUSD'!$W$43*'TR TUSD'!$W$60</f>
        <v>2.2681382421546501</v>
      </c>
      <c r="X43" s="30">
        <f>'TR TUSD'!$X$43*'TR TUSD'!$X$60</f>
        <v>0</v>
      </c>
      <c r="Y43" s="30">
        <f>'TR TUSD'!$Y$43*'TR TUSD'!$Y$60</f>
        <v>0</v>
      </c>
      <c r="Z43" s="30">
        <f>'TR TUSD'!$Z$43</f>
        <v>0</v>
      </c>
      <c r="AA43" s="30">
        <f>'TR TUSD'!$AA$43</f>
        <v>0</v>
      </c>
      <c r="AB43" s="30">
        <f>SUM($U$43:$AA$43)</f>
        <v>2.2681382421546501</v>
      </c>
      <c r="AC43" s="30">
        <f>'TR TUSD'!$AC$43*'TR TUSD'!$AC$60</f>
        <v>242.4088568417184</v>
      </c>
      <c r="AD43" s="30">
        <f>SUM($AC$43:$AC$43)</f>
        <v>242.4088568417184</v>
      </c>
      <c r="AE43" s="30">
        <v>0</v>
      </c>
      <c r="AF43" s="30">
        <v>0</v>
      </c>
      <c r="AG43" s="30">
        <f>SUM($AE$43:$AF$43)</f>
        <v>0</v>
      </c>
      <c r="AH43" s="30">
        <f>'TR TUSD'!$AH$43*'TR TUSD'!$AH$60</f>
        <v>36.076725075389575</v>
      </c>
      <c r="AI43" s="30">
        <f>'TR TUSD'!$AI$43*'TR TUSD'!$AI$60</f>
        <v>0</v>
      </c>
      <c r="AJ43" s="30">
        <f ca="1">'TR TUSD'!$AJ$43*'TR TUSD'!$AJ$60</f>
        <v>47.779277546989434</v>
      </c>
      <c r="AK43" s="30">
        <f ca="1">'TR TUSD'!$AK$43*'TR TUSD'!$AK$60</f>
        <v>4.7359993079200056</v>
      </c>
      <c r="AL43" s="30">
        <f ca="1">SUM($AH$43:$AK$43)</f>
        <v>88.59200193029902</v>
      </c>
      <c r="AM43" s="30">
        <f ca="1">SUMIF($L$4:$AL$4,"SUBTOTAL",$L$43:$AL$43)</f>
        <v>394.81616032798513</v>
      </c>
      <c r="AP43" s="30">
        <f>IF((1 - CUSTOS!$M$29)&lt;&gt;0,1/(1 - CUSTOS!$M$29),1)</f>
        <v>1</v>
      </c>
    </row>
    <row r="44" spans="1:42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>
        <f>'TR TUSD'!$L$44*'TR TUSD'!$L$60</f>
        <v>22.208421485765623</v>
      </c>
      <c r="M44" s="30">
        <f>'TR TUSD'!$M$44*'TR TUSD'!$M$60</f>
        <v>0.9910054635855563</v>
      </c>
      <c r="N44" s="30">
        <f ca="1">'TR TUSD'!$N$44*'TR TUSD'!$N$60</f>
        <v>3.5996379040584783</v>
      </c>
      <c r="O44" s="30">
        <f>'TR TUSD'!$O$44*'TR TUSD'!$O$60</f>
        <v>0</v>
      </c>
      <c r="P44" s="30">
        <f>'TR TUSD'!$P$44*'TR TUSD'!$P$60</f>
        <v>0</v>
      </c>
      <c r="Q44" s="30">
        <f>'TR TUSD'!$Q$44*'TR TUSD'!$Q$60</f>
        <v>34.748098460403376</v>
      </c>
      <c r="R44" s="30">
        <f>'TR TUSD'!$R$44*'TR TUSD'!$R$60</f>
        <v>0</v>
      </c>
      <c r="S44" s="30">
        <f>'TR TUSD'!$S$44*'TR TUSD'!$S$60</f>
        <v>0</v>
      </c>
      <c r="T44" s="30">
        <f ca="1">SUM($L$44:$S$44)</f>
        <v>61.54716331381303</v>
      </c>
      <c r="U44" s="30">
        <f>'TR TUSD'!$U$44*'TR TUSD'!$U$60</f>
        <v>0</v>
      </c>
      <c r="V44" s="30">
        <f>'TR TUSD'!$V$44*'TR TUSD'!$V$60</f>
        <v>0</v>
      </c>
      <c r="W44" s="30">
        <f>'TR TUSD'!$W$44*'TR TUSD'!$W$60</f>
        <v>2.2681382421546501</v>
      </c>
      <c r="X44" s="30">
        <f>'TR TUSD'!$X$44*'TR TUSD'!$X$60</f>
        <v>0</v>
      </c>
      <c r="Y44" s="30">
        <f>'TR TUSD'!$Y$44*'TR TUSD'!$Y$60</f>
        <v>0</v>
      </c>
      <c r="Z44" s="30">
        <f>'TR TUSD'!$Z$44</f>
        <v>0</v>
      </c>
      <c r="AA44" s="30">
        <f>'TR TUSD'!$AA$44</f>
        <v>0</v>
      </c>
      <c r="AB44" s="30">
        <f>SUM($U$44:$AA$44)</f>
        <v>2.2681382421546501</v>
      </c>
      <c r="AC44" s="30">
        <f>'TR TUSD'!$AC$44*'TR TUSD'!$AC$60</f>
        <v>242.4088568417184</v>
      </c>
      <c r="AD44" s="30">
        <f>SUM($AC$44:$AC$44)</f>
        <v>242.4088568417184</v>
      </c>
      <c r="AE44" s="30">
        <v>0</v>
      </c>
      <c r="AF44" s="30">
        <v>0</v>
      </c>
      <c r="AG44" s="30">
        <f>SUM($AE$44:$AF$44)</f>
        <v>0</v>
      </c>
      <c r="AH44" s="30">
        <f>'TR TUSD'!$AH$44*'TR TUSD'!$AH$60</f>
        <v>36.076725075389575</v>
      </c>
      <c r="AI44" s="30">
        <f>'TR TUSD'!$AI$44*'TR TUSD'!$AI$60</f>
        <v>0</v>
      </c>
      <c r="AJ44" s="30">
        <f ca="1">'TR TUSD'!$AJ$44*'TR TUSD'!$AJ$60</f>
        <v>47.779277546989434</v>
      </c>
      <c r="AK44" s="30">
        <f ca="1">'TR TUSD'!$AK$44*'TR TUSD'!$AK$60</f>
        <v>4.7359993079200056</v>
      </c>
      <c r="AL44" s="30">
        <f ca="1">SUM($AH$44:$AK$44)</f>
        <v>88.59200193029902</v>
      </c>
      <c r="AM44" s="30">
        <f ca="1">SUMIF($L$4:$AL$4,"SUBTOTAL",$L$44:$AL$44)</f>
        <v>394.81616032798513</v>
      </c>
      <c r="AP44" s="30">
        <f>IF((1 - CUSTOS!$M$30)&lt;&gt;0,1/(1 - CUSTOS!$M$30),1)</f>
        <v>1</v>
      </c>
    </row>
    <row r="45" spans="1:42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>
        <f>'TR TUSD'!$L$45*'TR TUSD'!$L$60</f>
        <v>22.208421485765623</v>
      </c>
      <c r="M45" s="30">
        <f>'TR TUSD'!$M$45*'TR TUSD'!$M$60</f>
        <v>0.9910054635855563</v>
      </c>
      <c r="N45" s="30">
        <f ca="1">'TR TUSD'!$N$45*'TR TUSD'!$N$60</f>
        <v>9.3136661853479623</v>
      </c>
      <c r="O45" s="30">
        <f>'TR TUSD'!$O$45*'TR TUSD'!$O$60</f>
        <v>0</v>
      </c>
      <c r="P45" s="30">
        <f>'TR TUSD'!$P$45*'TR TUSD'!$P$60</f>
        <v>0</v>
      </c>
      <c r="Q45" s="30">
        <f>'TR TUSD'!$Q$45*'TR TUSD'!$Q$60</f>
        <v>34.748098460403376</v>
      </c>
      <c r="R45" s="30">
        <f>'TR TUSD'!$R$45*'TR TUSD'!$R$60</f>
        <v>0</v>
      </c>
      <c r="S45" s="30">
        <f>'TR TUSD'!$S$45*'TR TUSD'!$S$60</f>
        <v>0</v>
      </c>
      <c r="T45" s="30">
        <f ca="1">SUM($L$45:$S$45)</f>
        <v>67.261191595102517</v>
      </c>
      <c r="U45" s="30">
        <f>'TR TUSD'!$U$45*'TR TUSD'!$U$60</f>
        <v>0</v>
      </c>
      <c r="V45" s="30">
        <f>'TR TUSD'!$V$45*'TR TUSD'!$V$60</f>
        <v>0</v>
      </c>
      <c r="W45" s="30">
        <f>'TR TUSD'!$W$45*'TR TUSD'!$W$60</f>
        <v>8.5004099886156244</v>
      </c>
      <c r="X45" s="30">
        <f>'TR TUSD'!$X$45*'TR TUSD'!$X$60</f>
        <v>0</v>
      </c>
      <c r="Y45" s="30">
        <f>'TR TUSD'!$Y$45*'TR TUSD'!$Y$60</f>
        <v>0</v>
      </c>
      <c r="Z45" s="30">
        <f>'TR TUSD'!$Z$45</f>
        <v>0</v>
      </c>
      <c r="AA45" s="30">
        <f>'TR TUSD'!$AA$45</f>
        <v>0</v>
      </c>
      <c r="AB45" s="30">
        <f>SUM($U$45:$AA$45)</f>
        <v>8.5004099886156244</v>
      </c>
      <c r="AC45" s="30">
        <f>'TR TUSD'!$AC$45*'TR TUSD'!$AC$60</f>
        <v>909.03327216995547</v>
      </c>
      <c r="AD45" s="30">
        <f>SUM($AC$45:$AC$45)</f>
        <v>909.03327216995547</v>
      </c>
      <c r="AE45" s="30">
        <v>0</v>
      </c>
      <c r="AF45" s="30">
        <v>0</v>
      </c>
      <c r="AG45" s="30">
        <f>SUM($AE$45:$AF$45)</f>
        <v>0</v>
      </c>
      <c r="AH45" s="30">
        <f>'TR TUSD'!$AH$45*'TR TUSD'!$AH$60</f>
        <v>36.076725075389575</v>
      </c>
      <c r="AI45" s="30">
        <f>'TR TUSD'!$AI$45*'TR TUSD'!$AI$60</f>
        <v>0</v>
      </c>
      <c r="AJ45" s="30">
        <f ca="1">'TR TUSD'!$AJ$45*'TR TUSD'!$AJ$60</f>
        <v>47.779277546989434</v>
      </c>
      <c r="AK45" s="30">
        <f ca="1">'TR TUSD'!$AK$45*'TR TUSD'!$AK$60</f>
        <v>4.7359993079200056</v>
      </c>
      <c r="AL45" s="30">
        <f ca="1">SUM($AH$45:$AK$45)</f>
        <v>88.59200193029902</v>
      </c>
      <c r="AM45" s="30">
        <f ca="1">SUMIF($L$4:$AL$4,"SUBTOTAL",$L$45:$AL$45)</f>
        <v>1073.3868756839727</v>
      </c>
      <c r="AP45" s="30">
        <f>IF((1 - CUSTOS!$M$31)&lt;&gt;0,1/(1 - CUSTOS!$M$31),1)</f>
        <v>1</v>
      </c>
    </row>
    <row r="46" spans="1:42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>
        <f>'TR TUSD'!$L$46*'TR TUSD'!$L$60</f>
        <v>22.208421485765623</v>
      </c>
      <c r="M46" s="30">
        <f>'TR TUSD'!$M$46*'TR TUSD'!$M$60</f>
        <v>0.9910054635855563</v>
      </c>
      <c r="N46" s="30">
        <f ca="1">'TR TUSD'!$N$46*'TR TUSD'!$N$60</f>
        <v>6.1969241302235867</v>
      </c>
      <c r="O46" s="30">
        <f>'TR TUSD'!$O$46*'TR TUSD'!$O$60</f>
        <v>0</v>
      </c>
      <c r="P46" s="30">
        <f>'TR TUSD'!$P$46*'TR TUSD'!$P$60</f>
        <v>0</v>
      </c>
      <c r="Q46" s="30">
        <f>'TR TUSD'!$Q$46*'TR TUSD'!$Q$60</f>
        <v>34.748098460403376</v>
      </c>
      <c r="R46" s="30">
        <f>'TR TUSD'!$R$46*'TR TUSD'!$R$60</f>
        <v>0</v>
      </c>
      <c r="S46" s="30">
        <f>'TR TUSD'!$S$46*'TR TUSD'!$S$60</f>
        <v>0</v>
      </c>
      <c r="T46" s="30">
        <f ca="1">SUM($L$46:$S$46)</f>
        <v>64.14444953997814</v>
      </c>
      <c r="U46" s="30">
        <f>'TR TUSD'!$U$46*'TR TUSD'!$U$60</f>
        <v>0</v>
      </c>
      <c r="V46" s="30">
        <f>'TR TUSD'!$V$46*'TR TUSD'!$V$60</f>
        <v>0</v>
      </c>
      <c r="W46" s="30">
        <f>'TR TUSD'!$W$46*'TR TUSD'!$W$60</f>
        <v>5.1084194643122744</v>
      </c>
      <c r="X46" s="30">
        <f>'TR TUSD'!$X$46*'TR TUSD'!$X$60</f>
        <v>0</v>
      </c>
      <c r="Y46" s="30">
        <f>'TR TUSD'!$Y$46*'TR TUSD'!$Y$60</f>
        <v>0</v>
      </c>
      <c r="Z46" s="30">
        <f>'TR TUSD'!$Z$46</f>
        <v>0</v>
      </c>
      <c r="AA46" s="30">
        <f>'TR TUSD'!$AA$46</f>
        <v>0</v>
      </c>
      <c r="AB46" s="30">
        <f>SUM($U$46:$AA$46)</f>
        <v>5.1084194643122744</v>
      </c>
      <c r="AC46" s="30">
        <f>'TR TUSD'!$AC$46*'TR TUSD'!$AC$60</f>
        <v>545.41998690737796</v>
      </c>
      <c r="AD46" s="30">
        <f>SUM($AC$46:$AC$46)</f>
        <v>545.41998690737796</v>
      </c>
      <c r="AE46" s="30">
        <v>0</v>
      </c>
      <c r="AF46" s="30">
        <v>0</v>
      </c>
      <c r="AG46" s="30">
        <f>SUM($AE$46:$AF$46)</f>
        <v>0</v>
      </c>
      <c r="AH46" s="30">
        <f>'TR TUSD'!$AH$46*'TR TUSD'!$AH$60</f>
        <v>36.076725075389575</v>
      </c>
      <c r="AI46" s="30">
        <f>'TR TUSD'!$AI$46*'TR TUSD'!$AI$60</f>
        <v>0</v>
      </c>
      <c r="AJ46" s="30">
        <f ca="1">'TR TUSD'!$AJ$46*'TR TUSD'!$AJ$60</f>
        <v>47.779277546989434</v>
      </c>
      <c r="AK46" s="30">
        <f ca="1">'TR TUSD'!$AK$46*'TR TUSD'!$AK$60</f>
        <v>4.7359993079200056</v>
      </c>
      <c r="AL46" s="30">
        <f ca="1">SUM($AH$46:$AK$46)</f>
        <v>88.59200193029902</v>
      </c>
      <c r="AM46" s="30">
        <f ca="1">SUMIF($L$4:$AL$4,"SUBTOTAL",$L$46:$AL$46)</f>
        <v>703.26485784196745</v>
      </c>
      <c r="AP46" s="30">
        <f>IF((1 - CUSTOS!$M$31)&lt;&gt;0,1/(1 - CUSTOS!$M$31),1)</f>
        <v>1</v>
      </c>
    </row>
    <row r="47" spans="1:42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>
        <f>'TR TUSD'!$L$47*'TR TUSD'!$L$60</f>
        <v>22.208421485765623</v>
      </c>
      <c r="M47" s="30">
        <f>'TR TUSD'!$M$47*'TR TUSD'!$M$60</f>
        <v>0.9910054635855563</v>
      </c>
      <c r="N47" s="30">
        <f ca="1">'TR TUSD'!$N$47*'TR TUSD'!$N$60</f>
        <v>3.0801810634750999</v>
      </c>
      <c r="O47" s="30">
        <f>'TR TUSD'!$O$47*'TR TUSD'!$O$60</f>
        <v>0</v>
      </c>
      <c r="P47" s="30">
        <f>'TR TUSD'!$P$47*'TR TUSD'!$P$60</f>
        <v>0</v>
      </c>
      <c r="Q47" s="30">
        <f>'TR TUSD'!$Q$47*'TR TUSD'!$Q$60</f>
        <v>34.748098460403376</v>
      </c>
      <c r="R47" s="30">
        <f>'TR TUSD'!$R$47*'TR TUSD'!$R$60</f>
        <v>0</v>
      </c>
      <c r="S47" s="30">
        <f>'TR TUSD'!$S$47*'TR TUSD'!$S$60</f>
        <v>0</v>
      </c>
      <c r="T47" s="30">
        <f ca="1">SUM($L$47:$S$47)</f>
        <v>61.027706473229657</v>
      </c>
      <c r="U47" s="30">
        <f>'TR TUSD'!$U$47*'TR TUSD'!$U$60</f>
        <v>0</v>
      </c>
      <c r="V47" s="30">
        <f>'TR TUSD'!$V$47*'TR TUSD'!$V$60</f>
        <v>0</v>
      </c>
      <c r="W47" s="30">
        <f>'TR TUSD'!$W$47*'TR TUSD'!$W$60</f>
        <v>1.6959952621516752</v>
      </c>
      <c r="X47" s="30">
        <f>'TR TUSD'!$X$47*'TR TUSD'!$X$60</f>
        <v>0</v>
      </c>
      <c r="Y47" s="30">
        <f>'TR TUSD'!$Y$47*'TR TUSD'!$Y$60</f>
        <v>0</v>
      </c>
      <c r="Z47" s="30">
        <f>'TR TUSD'!$Z$47</f>
        <v>0</v>
      </c>
      <c r="AA47" s="30">
        <f>'TR TUSD'!$AA$47</f>
        <v>0</v>
      </c>
      <c r="AB47" s="30">
        <f>SUM($U$47:$AA$47)</f>
        <v>1.6959952621516752</v>
      </c>
      <c r="AC47" s="30">
        <f>'TR TUSD'!$AC$47*'TR TUSD'!$AC$60</f>
        <v>181.80670164480028</v>
      </c>
      <c r="AD47" s="30">
        <f>SUM($AC$47:$AC$47)</f>
        <v>181.80670164480028</v>
      </c>
      <c r="AE47" s="30">
        <v>0</v>
      </c>
      <c r="AF47" s="30">
        <v>0</v>
      </c>
      <c r="AG47" s="30">
        <f>SUM($AE$47:$AF$47)</f>
        <v>0</v>
      </c>
      <c r="AH47" s="30">
        <f>'TR TUSD'!$AH$47*'TR TUSD'!$AH$60</f>
        <v>36.076725075389575</v>
      </c>
      <c r="AI47" s="30">
        <f>'TR TUSD'!$AI$47*'TR TUSD'!$AI$60</f>
        <v>0</v>
      </c>
      <c r="AJ47" s="30">
        <f ca="1">'TR TUSD'!$AJ$47*'TR TUSD'!$AJ$60</f>
        <v>47.779277546989434</v>
      </c>
      <c r="AK47" s="30">
        <f ca="1">'TR TUSD'!$AK$47*'TR TUSD'!$AK$60</f>
        <v>4.7359993079200056</v>
      </c>
      <c r="AL47" s="30">
        <f ca="1">SUM($AH$47:$AK$47)</f>
        <v>88.59200193029902</v>
      </c>
      <c r="AM47" s="30">
        <f ca="1">SUMIF($L$4:$AL$4,"SUBTOTAL",$L$47:$AL$47)</f>
        <v>333.12240531048064</v>
      </c>
      <c r="AP47" s="30">
        <f>IF((1 - CUSTOS!$M$31)&lt;&gt;0,1/(1 - CUSTOS!$M$31),1)</f>
        <v>1</v>
      </c>
    </row>
    <row r="48" spans="1:42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>
        <f>'TR TUSD'!$L$48*'TR TUSD'!$L$60</f>
        <v>22.208421485765623</v>
      </c>
      <c r="M48" s="30">
        <f>'TR TUSD'!$M$48*'TR TUSD'!$M$60</f>
        <v>0.9910054635855563</v>
      </c>
      <c r="N48" s="30">
        <f ca="1">'TR TUSD'!$N$48*'TR TUSD'!$N$60</f>
        <v>3.5996379040584783</v>
      </c>
      <c r="O48" s="30">
        <f>'TR TUSD'!$O$48*'TR TUSD'!$O$60</f>
        <v>0</v>
      </c>
      <c r="P48" s="30">
        <f>'TR TUSD'!$P$48*'TR TUSD'!$P$60</f>
        <v>0</v>
      </c>
      <c r="Q48" s="30">
        <f>'TR TUSD'!$Q$48*'TR TUSD'!$Q$60</f>
        <v>34.748098460403376</v>
      </c>
      <c r="R48" s="30">
        <f>'TR TUSD'!$R$48*'TR TUSD'!$R$60</f>
        <v>0</v>
      </c>
      <c r="S48" s="30">
        <f>'TR TUSD'!$S$48*'TR TUSD'!$S$60</f>
        <v>0</v>
      </c>
      <c r="T48" s="30">
        <f ca="1">SUM($L$48:$S$48)</f>
        <v>61.54716331381303</v>
      </c>
      <c r="U48" s="30">
        <f>'TR TUSD'!$U$48*'TR TUSD'!$U$60</f>
        <v>0</v>
      </c>
      <c r="V48" s="30">
        <f>'TR TUSD'!$V$48*'TR TUSD'!$V$60</f>
        <v>0</v>
      </c>
      <c r="W48" s="30">
        <f>'TR TUSD'!$W$48*'TR TUSD'!$W$60</f>
        <v>2.2681382421546501</v>
      </c>
      <c r="X48" s="30">
        <f>'TR TUSD'!$X$48*'TR TUSD'!$X$60</f>
        <v>0</v>
      </c>
      <c r="Y48" s="30">
        <f>'TR TUSD'!$Y$48*'TR TUSD'!$Y$60</f>
        <v>0</v>
      </c>
      <c r="Z48" s="30">
        <f>'TR TUSD'!$Z$48</f>
        <v>0</v>
      </c>
      <c r="AA48" s="30">
        <f>'TR TUSD'!$AA$48</f>
        <v>0</v>
      </c>
      <c r="AB48" s="30">
        <f>SUM($U$48:$AA$48)</f>
        <v>2.2681382421546501</v>
      </c>
      <c r="AC48" s="30">
        <f>'TR TUSD'!$AC$48*'TR TUSD'!$AC$60</f>
        <v>242.4088568417184</v>
      </c>
      <c r="AD48" s="30">
        <f>SUM($AC$48:$AC$48)</f>
        <v>242.4088568417184</v>
      </c>
      <c r="AE48" s="30">
        <v>0</v>
      </c>
      <c r="AF48" s="30">
        <v>0</v>
      </c>
      <c r="AG48" s="30">
        <f>SUM($AE$48:$AF$48)</f>
        <v>0</v>
      </c>
      <c r="AH48" s="30">
        <f>'TR TUSD'!$AH$48*'TR TUSD'!$AH$60</f>
        <v>36.076725075389575</v>
      </c>
      <c r="AI48" s="30">
        <f>'TR TUSD'!$AI$48*'TR TUSD'!$AI$60</f>
        <v>0</v>
      </c>
      <c r="AJ48" s="30">
        <f ca="1">'TR TUSD'!$AJ$48*'TR TUSD'!$AJ$60</f>
        <v>47.779277546989434</v>
      </c>
      <c r="AK48" s="30">
        <f ca="1">'TR TUSD'!$AK$48*'TR TUSD'!$AK$60</f>
        <v>4.7359993079200056</v>
      </c>
      <c r="AL48" s="30">
        <f ca="1">SUM($AH$48:$AK$48)</f>
        <v>88.59200193029902</v>
      </c>
      <c r="AM48" s="30">
        <f ca="1">SUMIF($L$4:$AL$4,"SUBTOTAL",$L$48:$AL$48)</f>
        <v>394.81616032798513</v>
      </c>
      <c r="AP48" s="30">
        <f>IF((1 - CUSTOS!$M$31)&lt;&gt;0,1/(1 - CUSTOS!$M$31),1)</f>
        <v>1</v>
      </c>
    </row>
    <row r="49" spans="1:42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>
        <f>'TR TUSD'!$L$49*'TR TUSD'!$L$60</f>
        <v>22.208421485765623</v>
      </c>
      <c r="M49" s="30">
        <f>'TR TUSD'!$M$49*'TR TUSD'!$M$60</f>
        <v>0.9910054635855563</v>
      </c>
      <c r="N49" s="30">
        <f ca="1">'TR TUSD'!$N$49*'TR TUSD'!$N$60</f>
        <v>3.5996379040584783</v>
      </c>
      <c r="O49" s="30">
        <f>'TR TUSD'!$O$49*'TR TUSD'!$O$60</f>
        <v>0</v>
      </c>
      <c r="P49" s="30">
        <f>'TR TUSD'!$P$49*'TR TUSD'!$P$60</f>
        <v>0</v>
      </c>
      <c r="Q49" s="30">
        <f>'TR TUSD'!$Q$49*'TR TUSD'!$Q$60</f>
        <v>34.748098460403376</v>
      </c>
      <c r="R49" s="30">
        <f>'TR TUSD'!$R$49*'TR TUSD'!$R$60</f>
        <v>0</v>
      </c>
      <c r="S49" s="30">
        <f>'TR TUSD'!$S$49*'TR TUSD'!$S$60</f>
        <v>0</v>
      </c>
      <c r="T49" s="30">
        <f ca="1">SUM($L$49:$S$49)</f>
        <v>61.54716331381303</v>
      </c>
      <c r="U49" s="30">
        <f>'TR TUSD'!$U$49*'TR TUSD'!$U$60</f>
        <v>0</v>
      </c>
      <c r="V49" s="30">
        <f>'TR TUSD'!$V$49*'TR TUSD'!$V$60</f>
        <v>0</v>
      </c>
      <c r="W49" s="30">
        <f>'TR TUSD'!$W$49*'TR TUSD'!$W$60</f>
        <v>2.2681382421546501</v>
      </c>
      <c r="X49" s="30">
        <f>'TR TUSD'!$X$49*'TR TUSD'!$X$60</f>
        <v>0</v>
      </c>
      <c r="Y49" s="30">
        <f>'TR TUSD'!$Y$49*'TR TUSD'!$Y$60</f>
        <v>0</v>
      </c>
      <c r="Z49" s="30">
        <f>'TR TUSD'!$Z$49</f>
        <v>0</v>
      </c>
      <c r="AA49" s="30">
        <f>'TR TUSD'!$AA$49</f>
        <v>0</v>
      </c>
      <c r="AB49" s="30">
        <f>SUM($U$49:$AA$49)</f>
        <v>2.2681382421546501</v>
      </c>
      <c r="AC49" s="30">
        <f>'TR TUSD'!$AC$49*'TR TUSD'!$AC$60</f>
        <v>242.4088568417184</v>
      </c>
      <c r="AD49" s="30">
        <f>SUM($AC$49:$AC$49)</f>
        <v>242.4088568417184</v>
      </c>
      <c r="AE49" s="30">
        <v>0</v>
      </c>
      <c r="AF49" s="30">
        <v>0</v>
      </c>
      <c r="AG49" s="30">
        <f>SUM($AE$49:$AF$49)</f>
        <v>0</v>
      </c>
      <c r="AH49" s="30">
        <f>'TR TUSD'!$AH$49*'TR TUSD'!$AH$60</f>
        <v>36.076725075389575</v>
      </c>
      <c r="AI49" s="30">
        <f>'TR TUSD'!$AI$49*'TR TUSD'!$AI$60</f>
        <v>0</v>
      </c>
      <c r="AJ49" s="30">
        <f ca="1">'TR TUSD'!$AJ$49*'TR TUSD'!$AJ$60</f>
        <v>47.779277546989434</v>
      </c>
      <c r="AK49" s="30">
        <f ca="1">'TR TUSD'!$AK$49*'TR TUSD'!$AK$60</f>
        <v>4.7359993079200056</v>
      </c>
      <c r="AL49" s="30">
        <f ca="1">SUM($AH$49:$AK$49)</f>
        <v>88.59200193029902</v>
      </c>
      <c r="AM49" s="30">
        <f ca="1">SUMIF($L$4:$AL$4,"SUBTOTAL",$L$49:$AL$49)</f>
        <v>394.81616032798513</v>
      </c>
      <c r="AP49" s="30">
        <f>IF((1 - CUSTOS!$M$31)&lt;&gt;0,1/(1 - CUSTOS!$M$31),1)</f>
        <v>1</v>
      </c>
    </row>
    <row r="50" spans="1:42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>
        <f>'TR TUSD'!$L$50*'TR TUSD'!$L$60</f>
        <v>12.214631817171094</v>
      </c>
      <c r="M50" s="30">
        <f>'TR TUSD'!$M$50*'TR TUSD'!$M$60</f>
        <v>0.545053004972056</v>
      </c>
      <c r="N50" s="30">
        <f ca="1">'TR TUSD'!$N$50*'TR TUSD'!$N$60</f>
        <v>1.9798008472321635</v>
      </c>
      <c r="O50" s="30">
        <f>'TR TUSD'!$O$50*'TR TUSD'!$O$60</f>
        <v>0</v>
      </c>
      <c r="P50" s="30">
        <f>'TR TUSD'!$P$50*'TR TUSD'!$P$60</f>
        <v>0</v>
      </c>
      <c r="Q50" s="30">
        <f>'TR TUSD'!$Q$50*'TR TUSD'!$Q$60</f>
        <v>19.11145415322186</v>
      </c>
      <c r="R50" s="30">
        <f>'TR TUSD'!$R$50*'TR TUSD'!$R$60</f>
        <v>0</v>
      </c>
      <c r="S50" s="30">
        <f>'TR TUSD'!$S$50*'TR TUSD'!$S$60</f>
        <v>0</v>
      </c>
      <c r="T50" s="30">
        <f ca="1">SUM($L$50:$S$50)</f>
        <v>33.850939822597169</v>
      </c>
      <c r="U50" s="30">
        <f>'TR TUSD'!$U$50*'TR TUSD'!$U$60</f>
        <v>0</v>
      </c>
      <c r="V50" s="30">
        <f>'TR TUSD'!$V$50*'TR TUSD'!$V$60</f>
        <v>0</v>
      </c>
      <c r="W50" s="30">
        <f>'TR TUSD'!$W$50*'TR TUSD'!$W$60</f>
        <v>1.2474760331850576</v>
      </c>
      <c r="X50" s="30">
        <f>'TR TUSD'!$X$50*'TR TUSD'!$X$60</f>
        <v>0</v>
      </c>
      <c r="Y50" s="30">
        <f>'TR TUSD'!$Y$50*'TR TUSD'!$Y$60</f>
        <v>0</v>
      </c>
      <c r="Z50" s="30">
        <f>'TR TUSD'!$Z$50</f>
        <v>0</v>
      </c>
      <c r="AA50" s="30">
        <f>'TR TUSD'!$AA$50</f>
        <v>0</v>
      </c>
      <c r="AB50" s="30">
        <f>SUM($U$50:$AA$50)</f>
        <v>1.2474760331850576</v>
      </c>
      <c r="AC50" s="30">
        <f>'TR TUSD'!$AC$50*'TR TUSD'!$AC$60</f>
        <v>133.32487126294515</v>
      </c>
      <c r="AD50" s="30">
        <f>SUM($AC$50:$AC$50)</f>
        <v>133.32487126294515</v>
      </c>
      <c r="AE50" s="30">
        <v>0</v>
      </c>
      <c r="AF50" s="30">
        <v>0</v>
      </c>
      <c r="AG50" s="30">
        <f>SUM($AE$50:$AF$50)</f>
        <v>0</v>
      </c>
      <c r="AH50" s="30">
        <f>'TR TUSD'!$AH$50*'TR TUSD'!$AH$60</f>
        <v>19.84219879146427</v>
      </c>
      <c r="AI50" s="30">
        <f>'TR TUSD'!$AI$50*'TR TUSD'!$AI$60</f>
        <v>0</v>
      </c>
      <c r="AJ50" s="30">
        <f ca="1">'TR TUSD'!$AJ$50*'TR TUSD'!$AJ$60</f>
        <v>26.278602650844189</v>
      </c>
      <c r="AK50" s="30">
        <f ca="1">'TR TUSD'!$AK$50*'TR TUSD'!$AK$60</f>
        <v>2.6047996193560032</v>
      </c>
      <c r="AL50" s="30">
        <f ca="1">SUM($AH$50:$AK$50)</f>
        <v>48.725601061664463</v>
      </c>
      <c r="AM50" s="30">
        <f ca="1">SUMIF($L$4:$AL$4,"SUBTOTAL",$L$50:$AL$50)</f>
        <v>217.14888818039185</v>
      </c>
      <c r="AP50" s="30">
        <f>IF((1 - CUSTOS!$M$32)&lt;&gt;0,1/(1 - CUSTOS!$M$32),1)</f>
        <v>1.8181818181818181</v>
      </c>
    </row>
    <row r="51" spans="1:42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>
        <f>'TR TUSD'!$L$51*'TR TUSD'!$L$60</f>
        <v>13.325052891459373</v>
      </c>
      <c r="M51" s="30">
        <f>'TR TUSD'!$M$51*'TR TUSD'!$M$60</f>
        <v>0.59460327815133374</v>
      </c>
      <c r="N51" s="30">
        <f ca="1">'TR TUSD'!$N$51*'TR TUSD'!$N$60</f>
        <v>2.1597827424350862</v>
      </c>
      <c r="O51" s="30">
        <f>'TR TUSD'!$O$51*'TR TUSD'!$O$60</f>
        <v>0</v>
      </c>
      <c r="P51" s="30">
        <f>'TR TUSD'!$P$51*'TR TUSD'!$P$60</f>
        <v>0</v>
      </c>
      <c r="Q51" s="30">
        <f>'TR TUSD'!$Q$51*'TR TUSD'!$Q$60</f>
        <v>20.848859076242025</v>
      </c>
      <c r="R51" s="30">
        <f>'TR TUSD'!$R$51*'TR TUSD'!$R$60</f>
        <v>0</v>
      </c>
      <c r="S51" s="30">
        <f>'TR TUSD'!$S$51*'TR TUSD'!$S$60</f>
        <v>0</v>
      </c>
      <c r="T51" s="30">
        <f ca="1">SUM($L$51:$S$51)</f>
        <v>36.928297988287824</v>
      </c>
      <c r="U51" s="30">
        <f>'TR TUSD'!$U$51*'TR TUSD'!$U$60</f>
        <v>0</v>
      </c>
      <c r="V51" s="30">
        <f>'TR TUSD'!$V$51*'TR TUSD'!$V$60</f>
        <v>0</v>
      </c>
      <c r="W51" s="30">
        <f>'TR TUSD'!$W$51*'TR TUSD'!$W$60</f>
        <v>1.36088294529279</v>
      </c>
      <c r="X51" s="30">
        <f>'TR TUSD'!$X$51*'TR TUSD'!$X$60</f>
        <v>0</v>
      </c>
      <c r="Y51" s="30">
        <f>'TR TUSD'!$Y$51*'TR TUSD'!$Y$60</f>
        <v>0</v>
      </c>
      <c r="Z51" s="30">
        <f>'TR TUSD'!$Z$51</f>
        <v>0</v>
      </c>
      <c r="AA51" s="30">
        <f>'TR TUSD'!$AA$51</f>
        <v>0</v>
      </c>
      <c r="AB51" s="30">
        <f>SUM($U$51:$AA$51)</f>
        <v>1.36088294529279</v>
      </c>
      <c r="AC51" s="30">
        <f>'TR TUSD'!$AC$51*'TR TUSD'!$AC$60</f>
        <v>145.44531410503103</v>
      </c>
      <c r="AD51" s="30">
        <f>SUM($AC$51:$AC$51)</f>
        <v>145.44531410503103</v>
      </c>
      <c r="AE51" s="30">
        <v>0</v>
      </c>
      <c r="AF51" s="30">
        <v>0</v>
      </c>
      <c r="AG51" s="30">
        <f>SUM($AE$51:$AF$51)</f>
        <v>0</v>
      </c>
      <c r="AH51" s="30">
        <f>'TR TUSD'!$AH$51*'TR TUSD'!$AH$60</f>
        <v>21.646035045233745</v>
      </c>
      <c r="AI51" s="30">
        <f>'TR TUSD'!$AI$51*'TR TUSD'!$AI$60</f>
        <v>0</v>
      </c>
      <c r="AJ51" s="30">
        <f ca="1">'TR TUSD'!$AJ$51*'TR TUSD'!$AJ$60</f>
        <v>28.667566528193657</v>
      </c>
      <c r="AK51" s="30">
        <f ca="1">'TR TUSD'!$AK$51*'TR TUSD'!$AK$60</f>
        <v>2.8415995847520028</v>
      </c>
      <c r="AL51" s="30">
        <f ca="1">SUM($AH$51:$AK$51)</f>
        <v>53.155201158179409</v>
      </c>
      <c r="AM51" s="30">
        <f ca="1">SUMIF($L$4:$AL$4,"SUBTOTAL",$L$51:$AL$51)</f>
        <v>236.88969619679105</v>
      </c>
      <c r="AP51" s="30">
        <f>IF((1 - CUSTOS!$M$33)&lt;&gt;0,1/(1 - CUSTOS!$M$33),1)</f>
        <v>1.6666666666666667</v>
      </c>
    </row>
    <row r="53" spans="1:42" ht="11.25" customHeight="1" x14ac:dyDescent="0.25">
      <c r="K53" s="35" t="s">
        <v>670</v>
      </c>
      <c r="L53" s="30">
        <f>SUMPRODUCT($I$5:$I51,$L$5:$L51)</f>
        <v>22459678.417030092</v>
      </c>
      <c r="M53" s="30">
        <f>SUMPRODUCT($I$5:$I51,$M$5:$M51)</f>
        <v>1082207.9690302883</v>
      </c>
      <c r="N53" s="30">
        <f ca="1">SUMPRODUCT($I$5:$I51,$N$5:$N51)</f>
        <v>3600614.9623489506</v>
      </c>
      <c r="O53" s="30">
        <f>SUMPRODUCT($I$5:$I51,$O$5:$O51)</f>
        <v>0</v>
      </c>
      <c r="P53" s="30">
        <f>SUMPRODUCT($I$5:$I51,$P$5:$P51)</f>
        <v>0</v>
      </c>
      <c r="Q53" s="30">
        <f>SUMPRODUCT($I$5:$I51,$Q$5:$Q51)</f>
        <v>35141224.130862772</v>
      </c>
      <c r="R53" s="30">
        <f>SUMPRODUCT($I$5:$I51,$R$5:$R51)</f>
        <v>0</v>
      </c>
      <c r="S53" s="30">
        <f>SUMPRODUCT($I$5:$I51,$S$5:$S51)</f>
        <v>0</v>
      </c>
      <c r="T53" s="30">
        <f ca="1">SUMPRODUCT($I$5:$I51,$T$5:$T51)</f>
        <v>62283725.47927209</v>
      </c>
      <c r="U53" s="30">
        <f>SUMPRODUCT($I$5:$I51,$U$5:$U51)</f>
        <v>0</v>
      </c>
      <c r="V53" s="30">
        <f>SUMPRODUCT($I$5:$I51,$V$5:$V51)</f>
        <v>0</v>
      </c>
      <c r="W53" s="30">
        <f>SUMPRODUCT($I$5:$I51,$W$5:$W51)</f>
        <v>2411724.7064356306</v>
      </c>
      <c r="X53" s="30">
        <f>SUMPRODUCT($I$5:$I51,$X$5:$X51)</f>
        <v>0</v>
      </c>
      <c r="Y53" s="30">
        <f>SUMPRODUCT($I$5:$I51,$Y$5:$Y51)</f>
        <v>0</v>
      </c>
      <c r="Z53" s="30">
        <f>SUMPRODUCT($I$5:$I51,$Z$5:$Z51)</f>
        <v>0</v>
      </c>
      <c r="AA53" s="30">
        <f>SUMPRODUCT($I$5:$I51,$AA$5:$AA51)</f>
        <v>0</v>
      </c>
      <c r="AB53" s="30">
        <f>SUMPRODUCT($I$5:$I51,$AB$5:$AB51)</f>
        <v>2411724.7064356306</v>
      </c>
      <c r="AC53" s="30">
        <f>SUMPRODUCT($I$5:$I51,$AC$5:$AC51)</f>
        <v>264654952.64166871</v>
      </c>
      <c r="AD53" s="30">
        <f>SUMPRODUCT($I$5:$I51,$AD$5:$AD51)</f>
        <v>264654952.64166871</v>
      </c>
      <c r="AE53" s="30">
        <f>SUMPRODUCT($I$5:$I51,$AE$5:$AE51)</f>
        <v>0</v>
      </c>
      <c r="AF53" s="30">
        <f>SUMPRODUCT($I$5:$I51,$AF$5:$AF51)</f>
        <v>0</v>
      </c>
      <c r="AG53" s="30">
        <f>SUMPRODUCT($I$5:$I51,$AG$5:$AG51)</f>
        <v>0</v>
      </c>
      <c r="AH53" s="30">
        <f>SUMPRODUCT($I$5:$I51,$AH$5:$AH51)</f>
        <v>36346542.141049072</v>
      </c>
      <c r="AI53" s="30">
        <f>SUMPRODUCT($I$5:$I51,$AI$5:$AI51)</f>
        <v>0</v>
      </c>
      <c r="AJ53" s="30">
        <f ca="1">SUMPRODUCT($I$5:$I51,$AJ$5:$AJ51)</f>
        <v>52085959.576217748</v>
      </c>
      <c r="AK53" s="30">
        <f ca="1">SUMPRODUCT($I$5:$I51,$AK$5:$AK51)</f>
        <v>5162888.2053043908</v>
      </c>
      <c r="AL53" s="30">
        <f ca="1">SUMPRODUCT($I$5:$I51,$AL$5:$AL51)</f>
        <v>93595389.922571212</v>
      </c>
      <c r="AM53" s="30">
        <f ca="1">SUMPRODUCT($I$5:$I51,$AM$5:$AM51)</f>
        <v>422945792.74994761</v>
      </c>
    </row>
    <row r="54" spans="1:42" ht="11.25" customHeight="1" x14ac:dyDescent="0.25">
      <c r="K54" s="35" t="s">
        <v>602</v>
      </c>
      <c r="L54" s="30">
        <f>'TR TUSD'!$L$56</f>
        <v>22459678.417030092</v>
      </c>
      <c r="M54" s="30">
        <f>'TR TUSD'!$M$56</f>
        <v>1082207.9690302885</v>
      </c>
      <c r="N54" s="30">
        <f>'TR TUSD'!$N$56</f>
        <v>3600614.9623489506</v>
      </c>
      <c r="O54" s="30">
        <f>'TR TUSD'!$O$56</f>
        <v>0</v>
      </c>
      <c r="P54" s="30">
        <f>'TR TUSD'!$P$56</f>
        <v>0</v>
      </c>
      <c r="Q54" s="30">
        <f>'TR TUSD'!$Q$56</f>
        <v>35141224.13086278</v>
      </c>
      <c r="R54" s="30">
        <f>'TR TUSD'!$R$56</f>
        <v>0</v>
      </c>
      <c r="S54" s="30">
        <f>'TR TUSD'!$S$56</f>
        <v>0</v>
      </c>
      <c r="T54" s="30">
        <f>'TR TUSD'!$T$56</f>
        <v>62283725.479272112</v>
      </c>
      <c r="U54" s="30">
        <f>'TR TUSD'!$U$56</f>
        <v>0</v>
      </c>
      <c r="V54" s="30">
        <f>'TR TUSD'!$V$56</f>
        <v>0</v>
      </c>
      <c r="W54" s="30">
        <f>'TR TUSD'!$W$56</f>
        <v>2411724.7064356301</v>
      </c>
      <c r="X54" s="30">
        <f>'TR TUSD'!$X$56</f>
        <v>0</v>
      </c>
      <c r="Y54" s="30">
        <f>'TR TUSD'!$Y$56</f>
        <v>0</v>
      </c>
      <c r="Z54" s="30">
        <f>'TR TUSD'!$Z$56</f>
        <v>0</v>
      </c>
      <c r="AA54" s="30">
        <f>'TR TUSD'!$AA$56</f>
        <v>0</v>
      </c>
      <c r="AB54" s="30">
        <f>'TR TUSD'!$AB$56</f>
        <v>2411724.7064356301</v>
      </c>
      <c r="AC54" s="30">
        <f>'TR TUSD'!$AC$56</f>
        <v>264654952.64166877</v>
      </c>
      <c r="AD54" s="30">
        <f>'TR TUSD'!$AD$56</f>
        <v>264654952.64166877</v>
      </c>
      <c r="AE54" s="30">
        <f>'TR TUSD'!$AE$56</f>
        <v>0</v>
      </c>
      <c r="AF54" s="30">
        <f>'TR TUSD'!$AF$56</f>
        <v>0</v>
      </c>
      <c r="AG54" s="30">
        <f>'TR TUSD'!$AG$56</f>
        <v>0</v>
      </c>
      <c r="AH54" s="30">
        <f>'TR TUSD'!$AH$56</f>
        <v>36346542.14104908</v>
      </c>
      <c r="AI54" s="30">
        <f>'TR TUSD'!$AI$56</f>
        <v>0</v>
      </c>
      <c r="AJ54" s="30">
        <f>'TR TUSD'!$AJ$56</f>
        <v>52085959.576217741</v>
      </c>
      <c r="AK54" s="30">
        <f>'TR TUSD'!$AK$56</f>
        <v>5162888.2053043898</v>
      </c>
      <c r="AL54" s="30">
        <f>'TR TUSD'!$AL$56</f>
        <v>93595389.922571212</v>
      </c>
      <c r="AM54" s="30">
        <f>CUSTOS!$D$29</f>
        <v>422945792.74994767</v>
      </c>
    </row>
    <row r="55" spans="1:42" ht="11.25" customHeight="1" x14ac:dyDescent="0.25">
      <c r="K55" s="35" t="s">
        <v>603</v>
      </c>
      <c r="L55" s="30">
        <f>CUSTOS!$E$2</f>
        <v>-8179987.3096862873</v>
      </c>
      <c r="M55" s="30">
        <f>CUSTOS!$E$3</f>
        <v>-203151.11492290522</v>
      </c>
      <c r="N55" s="30">
        <f>CUSTOS!$E$4</f>
        <v>8.3422194394368088</v>
      </c>
      <c r="O55" s="30">
        <f>CUSTOS!$E$5</f>
        <v>0</v>
      </c>
      <c r="P55" s="30">
        <f>CUSTOS!$E$6</f>
        <v>0</v>
      </c>
      <c r="Q55" s="30">
        <f>CUSTOS!$E$7</f>
        <v>-1377720.5683361534</v>
      </c>
      <c r="R55" s="30">
        <f>CUSTOS!$E$8</f>
        <v>0</v>
      </c>
      <c r="S55" s="30">
        <f>CUSTOS!$E$9</f>
        <v>0</v>
      </c>
      <c r="T55" s="30">
        <f>CUSTOS!$E$10</f>
        <v>-9760850.6507259067</v>
      </c>
      <c r="U55" s="30">
        <f>CUSTOS!$E$11</f>
        <v>0</v>
      </c>
      <c r="V55" s="30">
        <f>CUSTOS!$E$12</f>
        <v>0</v>
      </c>
      <c r="W55" s="30">
        <f>CUSTOS!$E$13</f>
        <v>-498592.4753131317</v>
      </c>
      <c r="X55" s="30">
        <f>CUSTOS!$E$14</f>
        <v>0</v>
      </c>
      <c r="Y55" s="30">
        <f>CUSTOS!$E$15</f>
        <v>0</v>
      </c>
      <c r="Z55" s="30">
        <f>CUSTOS!$E$16</f>
        <v>0</v>
      </c>
      <c r="AA55" s="30">
        <f>CUSTOS!$E$17</f>
        <v>0</v>
      </c>
      <c r="AB55" s="30">
        <f>CUSTOS!$E$18</f>
        <v>-498592.4753131317</v>
      </c>
      <c r="AC55" s="30">
        <f>CUSTOS!$E$19</f>
        <v>5817275.3211929277</v>
      </c>
      <c r="AD55" s="30">
        <f>CUSTOS!$E$20</f>
        <v>5817275.3211929277</v>
      </c>
      <c r="AE55" s="30">
        <f>CUSTOS!$E$21</f>
        <v>0</v>
      </c>
      <c r="AF55" s="30">
        <f>CUSTOS!$E$22</f>
        <v>0</v>
      </c>
      <c r="AG55" s="30">
        <f>CUSTOS!$E$23</f>
        <v>0</v>
      </c>
      <c r="AH55" s="30">
        <f>CUSTOS!$E$24</f>
        <v>-996543.58327583992</v>
      </c>
      <c r="AI55" s="30">
        <f>CUSTOS!$E$25</f>
        <v>0</v>
      </c>
      <c r="AJ55" s="30">
        <f>CUSTOS!$E$26</f>
        <v>-1428084.371630583</v>
      </c>
      <c r="AK55" s="30">
        <f>CUSTOS!$E$27</f>
        <v>-54417.442338082838</v>
      </c>
      <c r="AL55" s="30">
        <f>CUSTOS!$E$28</f>
        <v>-2479045.3972445056</v>
      </c>
      <c r="AM55" s="30">
        <f>CUSTOS!$E$29</f>
        <v>-6921213.2020906173</v>
      </c>
    </row>
    <row r="56" spans="1:42" ht="11.25" customHeight="1" x14ac:dyDescent="0.25">
      <c r="K56" s="35" t="s">
        <v>604</v>
      </c>
      <c r="L56" s="30">
        <f>CUSTOS!$F$2</f>
        <v>0</v>
      </c>
      <c r="M56" s="30">
        <f>CUSTOS!$F$3</f>
        <v>0</v>
      </c>
      <c r="N56" s="30">
        <f>CUSTOS!$F$4</f>
        <v>0</v>
      </c>
      <c r="O56" s="30">
        <f>CUSTOS!$F$5</f>
        <v>0</v>
      </c>
      <c r="P56" s="30">
        <f>CUSTOS!$F$6</f>
        <v>0</v>
      </c>
      <c r="Q56" s="30">
        <f>CUSTOS!$F$7</f>
        <v>11722199.327785593</v>
      </c>
      <c r="R56" s="30">
        <f>CUSTOS!$F$8</f>
        <v>0</v>
      </c>
      <c r="S56" s="30">
        <f>CUSTOS!$F$9</f>
        <v>0</v>
      </c>
      <c r="T56" s="30">
        <f>CUSTOS!$F$10</f>
        <v>11722199.327785593</v>
      </c>
      <c r="U56" s="30">
        <f>CUSTOS!$F$11</f>
        <v>0</v>
      </c>
      <c r="V56" s="30">
        <f>CUSTOS!$F$12</f>
        <v>0</v>
      </c>
      <c r="W56" s="30">
        <f>CUSTOS!$F$13</f>
        <v>0</v>
      </c>
      <c r="X56" s="30">
        <f>CUSTOS!$F$14</f>
        <v>0</v>
      </c>
      <c r="Y56" s="30">
        <f>CUSTOS!$F$15</f>
        <v>0</v>
      </c>
      <c r="Z56" s="30">
        <f>CUSTOS!$F$16</f>
        <v>0</v>
      </c>
      <c r="AA56" s="30">
        <f>CUSTOS!$F$17</f>
        <v>0</v>
      </c>
      <c r="AB56" s="30">
        <f>CUSTOS!$F$18</f>
        <v>0</v>
      </c>
      <c r="AC56" s="30">
        <f>CUSTOS!$F$19</f>
        <v>0</v>
      </c>
      <c r="AD56" s="30">
        <f>CUSTOS!$F$20</f>
        <v>0</v>
      </c>
      <c r="AE56" s="30">
        <f>CUSTOS!$F$21</f>
        <v>0</v>
      </c>
      <c r="AF56" s="30">
        <f>CUSTOS!$F$22</f>
        <v>0</v>
      </c>
      <c r="AG56" s="30">
        <f>CUSTOS!$F$23</f>
        <v>0</v>
      </c>
      <c r="AH56" s="30">
        <f>CUSTOS!$F$24</f>
        <v>-141628.23497802331</v>
      </c>
      <c r="AI56" s="30">
        <f>CUSTOS!$F$25</f>
        <v>0</v>
      </c>
      <c r="AJ56" s="30">
        <f>CUSTOS!$F$26</f>
        <v>-202958.57837835769</v>
      </c>
      <c r="AK56" s="30">
        <f>CUSTOS!$F$27</f>
        <v>0</v>
      </c>
      <c r="AL56" s="30">
        <f>CUSTOS!$F$28</f>
        <v>-344586.81335638103</v>
      </c>
      <c r="AM56" s="30">
        <f>CUSTOS!$F$29</f>
        <v>11377612.514429212</v>
      </c>
    </row>
    <row r="57" spans="1:42" ht="11.25" customHeight="1" x14ac:dyDescent="0.25">
      <c r="K57" s="35" t="s">
        <v>667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f>SUM($L$57:$S$57)</f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f>SUM($U$57:$AA$57)</f>
        <v>0</v>
      </c>
      <c r="AC57" s="30">
        <v>0</v>
      </c>
      <c r="AD57" s="30">
        <f>SUM($AC$57:$AC$57)</f>
        <v>0</v>
      </c>
      <c r="AE57" s="30">
        <v>0</v>
      </c>
      <c r="AF57" s="30">
        <v>0</v>
      </c>
      <c r="AG57" s="30">
        <f>SUM($AE$57:$AF$57)</f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f>SUM($AH$57:$AK$57)</f>
        <v>0</v>
      </c>
      <c r="AM57" s="30">
        <f>SUMIF($L$4:$AL$4,"SUBTOTAL",$L$57:$AL$57)</f>
        <v>0</v>
      </c>
    </row>
    <row r="58" spans="1:42" ht="11.25" customHeight="1" x14ac:dyDescent="0.25">
      <c r="K58" s="35" t="s">
        <v>671</v>
      </c>
      <c r="L58" s="30">
        <f t="shared" ref="L58:R58" si="0">IF((L53-(0))&lt;&gt;0,(L55)/(L53-(0)),0)</f>
        <v>-0.36420767732292181</v>
      </c>
      <c r="M58" s="30">
        <f t="shared" si="0"/>
        <v>-0.1877191082827995</v>
      </c>
      <c r="N58" s="30">
        <f t="shared" ca="1" si="0"/>
        <v>2.3168874002552481E-6</v>
      </c>
      <c r="O58" s="30">
        <f t="shared" si="0"/>
        <v>0</v>
      </c>
      <c r="P58" s="30">
        <f t="shared" si="0"/>
        <v>0</v>
      </c>
      <c r="Q58" s="30">
        <f t="shared" si="0"/>
        <v>-3.9205252588972013E-2</v>
      </c>
      <c r="R58" s="30">
        <f t="shared" si="0"/>
        <v>0</v>
      </c>
      <c r="S58" s="30">
        <f>IF((R53-(0)&lt;&gt;0),(S55)/(R53-(0)),0)</f>
        <v>0</v>
      </c>
      <c r="T58" s="30"/>
      <c r="U58" s="30">
        <f t="shared" ref="U58:AA58" si="1">IF((U53-(0))&lt;&gt;0,(U55)/(U53-(0)),0)</f>
        <v>0</v>
      </c>
      <c r="V58" s="30">
        <f t="shared" si="1"/>
        <v>0</v>
      </c>
      <c r="W58" s="30">
        <f t="shared" si="1"/>
        <v>-0.20673689413333513</v>
      </c>
      <c r="X58" s="30">
        <f t="shared" si="1"/>
        <v>0</v>
      </c>
      <c r="Y58" s="30">
        <f t="shared" si="1"/>
        <v>0</v>
      </c>
      <c r="Z58" s="30">
        <f t="shared" si="1"/>
        <v>0</v>
      </c>
      <c r="AA58" s="30">
        <f t="shared" si="1"/>
        <v>0</v>
      </c>
      <c r="AB58" s="30"/>
      <c r="AC58" s="30">
        <f>IF((AC53-(0))&lt;&gt;0,(AC55)/(AC53-(0)),0)</f>
        <v>2.1980602528414668E-2</v>
      </c>
      <c r="AD58" s="30"/>
      <c r="AE58" s="30">
        <f ca="1">IF(($AM53-(0))&lt;&gt;0,(AE55)/($AM53-(0)),0)</f>
        <v>0</v>
      </c>
      <c r="AF58" s="30">
        <f ca="1">IF(($AM53-(0))&lt;&gt;0,(AF55)/($AM53-(0)),0)</f>
        <v>0</v>
      </c>
      <c r="AG58" s="30"/>
      <c r="AH58" s="30">
        <f>IF((AH53-(0))&lt;&gt;0,(AH55)/(AH53-(0)),0)</f>
        <v>-2.7417837422018837E-2</v>
      </c>
      <c r="AI58" s="30">
        <f>IF((AI53-(0))&lt;&gt;0,(AI55)/(AI53-(0)),0)</f>
        <v>0</v>
      </c>
      <c r="AJ58" s="30">
        <f ca="1">IF((AJ53-(0))&lt;&gt;0,(AJ55)/(AJ53-(0)),0)</f>
        <v>-2.741783742201883E-2</v>
      </c>
      <c r="AK58" s="30">
        <f ca="1">IF((AK53-(0))&lt;&gt;0,(AK55)/(AK53-(0)),0)</f>
        <v>-1.054011634072842E-2</v>
      </c>
      <c r="AL58" s="30"/>
      <c r="AM58" s="30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2" priority="56" operator="notEqual">
      <formula>$L$54-$L$57</formula>
    </cfRule>
    <cfRule type="cellIs" dxfId="111" priority="57" operator="equal">
      <formula>$L$54-$L$57</formula>
    </cfRule>
  </conditionalFormatting>
  <conditionalFormatting sqref="M53">
    <cfRule type="cellIs" dxfId="110" priority="54" operator="notEqual">
      <formula>$M$54-$M$57</formula>
    </cfRule>
    <cfRule type="cellIs" dxfId="109" priority="55" operator="equal">
      <formula>$M$54-$M$57</formula>
    </cfRule>
  </conditionalFormatting>
  <conditionalFormatting sqref="N53">
    <cfRule type="cellIs" dxfId="108" priority="52" operator="notEqual">
      <formula>$N$54-$N$57</formula>
    </cfRule>
    <cfRule type="cellIs" dxfId="107" priority="53" operator="equal">
      <formula>$N$54-$N$57</formula>
    </cfRule>
  </conditionalFormatting>
  <conditionalFormatting sqref="O53">
    <cfRule type="cellIs" dxfId="106" priority="50" operator="notEqual">
      <formula>$O$54-$O$57</formula>
    </cfRule>
    <cfRule type="cellIs" dxfId="105" priority="51" operator="equal">
      <formula>$O$54-$O$57</formula>
    </cfRule>
  </conditionalFormatting>
  <conditionalFormatting sqref="P53">
    <cfRule type="cellIs" dxfId="104" priority="48" operator="notEqual">
      <formula>$P$54-$P$57</formula>
    </cfRule>
    <cfRule type="cellIs" dxfId="103" priority="49" operator="equal">
      <formula>$P$54-$P$57</formula>
    </cfRule>
  </conditionalFormatting>
  <conditionalFormatting sqref="Q53">
    <cfRule type="cellIs" dxfId="102" priority="46" operator="notEqual">
      <formula>$Q$54-$Q$57</formula>
    </cfRule>
    <cfRule type="cellIs" dxfId="101" priority="47" operator="equal">
      <formula>$Q$54-$Q$57</formula>
    </cfRule>
  </conditionalFormatting>
  <conditionalFormatting sqref="R53">
    <cfRule type="cellIs" dxfId="100" priority="44" operator="notEqual">
      <formula>$R$54-$R$57</formula>
    </cfRule>
    <cfRule type="cellIs" dxfId="99" priority="45" operator="equal">
      <formula>$R$54-$R$57</formula>
    </cfRule>
  </conditionalFormatting>
  <conditionalFormatting sqref="S53">
    <cfRule type="cellIs" dxfId="98" priority="42" operator="notEqual">
      <formula>$S$54-$S$57</formula>
    </cfRule>
    <cfRule type="cellIs" dxfId="97" priority="43" operator="equal">
      <formula>$S$54-$S$57</formula>
    </cfRule>
  </conditionalFormatting>
  <conditionalFormatting sqref="T53">
    <cfRule type="cellIs" dxfId="96" priority="40" operator="notEqual">
      <formula>$T$54-$T$57</formula>
    </cfRule>
    <cfRule type="cellIs" dxfId="95" priority="41" operator="equal">
      <formula>$T$54-$T$57</formula>
    </cfRule>
  </conditionalFormatting>
  <conditionalFormatting sqref="U53">
    <cfRule type="cellIs" dxfId="94" priority="38" operator="notEqual">
      <formula>$U$54-$U$57</formula>
    </cfRule>
    <cfRule type="cellIs" dxfId="93" priority="39" operator="equal">
      <formula>$U$54-$U$57</formula>
    </cfRule>
  </conditionalFormatting>
  <conditionalFormatting sqref="V53">
    <cfRule type="cellIs" dxfId="92" priority="36" operator="notEqual">
      <formula>$V$54-$V$57</formula>
    </cfRule>
    <cfRule type="cellIs" dxfId="91" priority="37" operator="equal">
      <formula>$V$54-$V$57</formula>
    </cfRule>
  </conditionalFormatting>
  <conditionalFormatting sqref="W53">
    <cfRule type="cellIs" dxfId="90" priority="34" operator="notEqual">
      <formula>$W$54-$W$57</formula>
    </cfRule>
    <cfRule type="cellIs" dxfId="89" priority="35" operator="equal">
      <formula>$W$54-$W$57</formula>
    </cfRule>
  </conditionalFormatting>
  <conditionalFormatting sqref="X53">
    <cfRule type="cellIs" dxfId="88" priority="32" operator="notEqual">
      <formula>$X$54-$X$57</formula>
    </cfRule>
    <cfRule type="cellIs" dxfId="87" priority="33" operator="equal">
      <formula>$X$54-$X$57</formula>
    </cfRule>
  </conditionalFormatting>
  <conditionalFormatting sqref="Y53">
    <cfRule type="cellIs" dxfId="86" priority="30" operator="notEqual">
      <formula>$Y$54-$Y$57</formula>
    </cfRule>
    <cfRule type="cellIs" dxfId="85" priority="31" operator="equal">
      <formula>$Y$54-$Y$57</formula>
    </cfRule>
  </conditionalFormatting>
  <conditionalFormatting sqref="Z53">
    <cfRule type="cellIs" dxfId="84" priority="28" operator="notEqual">
      <formula>$Z$54-$Z$57</formula>
    </cfRule>
    <cfRule type="cellIs" dxfId="83" priority="29" operator="equal">
      <formula>$Z$54-$Z$57</formula>
    </cfRule>
  </conditionalFormatting>
  <conditionalFormatting sqref="AA53">
    <cfRule type="cellIs" dxfId="82" priority="26" operator="notEqual">
      <formula>$AA$54-$AA$57</formula>
    </cfRule>
    <cfRule type="cellIs" dxfId="81" priority="27" operator="equal">
      <formula>$AA$54-$AA$57</formula>
    </cfRule>
  </conditionalFormatting>
  <conditionalFormatting sqref="AB53">
    <cfRule type="cellIs" dxfId="80" priority="24" operator="notEqual">
      <formula>$AB$54-$AB$57</formula>
    </cfRule>
    <cfRule type="cellIs" dxfId="79" priority="25" operator="equal">
      <formula>$AB$54-$AB$57</formula>
    </cfRule>
  </conditionalFormatting>
  <conditionalFormatting sqref="AC53">
    <cfRule type="cellIs" dxfId="78" priority="22" operator="notEqual">
      <formula>$AC$54-$AC$57</formula>
    </cfRule>
    <cfRule type="cellIs" dxfId="77" priority="23" operator="equal">
      <formula>$AC$54-$AC$57</formula>
    </cfRule>
  </conditionalFormatting>
  <conditionalFormatting sqref="AD53">
    <cfRule type="cellIs" dxfId="76" priority="20" operator="notEqual">
      <formula>$AD$54-$AD$57</formula>
    </cfRule>
    <cfRule type="cellIs" dxfId="75" priority="21" operator="equal">
      <formula>$AD$54-$AD$57</formula>
    </cfRule>
  </conditionalFormatting>
  <conditionalFormatting sqref="AE53">
    <cfRule type="cellIs" dxfId="74" priority="18" operator="notEqual">
      <formula>$AE$54-$AE$57</formula>
    </cfRule>
    <cfRule type="cellIs" dxfId="73" priority="19" operator="equal">
      <formula>$AE$54-$AE$57</formula>
    </cfRule>
  </conditionalFormatting>
  <conditionalFormatting sqref="AF53">
    <cfRule type="cellIs" dxfId="72" priority="17" operator="equal">
      <formula>$AF$54-$AF$57</formula>
    </cfRule>
  </conditionalFormatting>
  <conditionalFormatting sqref="AF53">
    <cfRule type="cellIs" dxfId="71" priority="16" operator="notEqual">
      <formula>$AF$54-$AF$57</formula>
    </cfRule>
  </conditionalFormatting>
  <conditionalFormatting sqref="AG53">
    <cfRule type="cellIs" dxfId="70" priority="15" operator="equal">
      <formula>$AG$54-$AG$57</formula>
    </cfRule>
  </conditionalFormatting>
  <conditionalFormatting sqref="AG53">
    <cfRule type="cellIs" dxfId="69" priority="14" operator="notEqual">
      <formula>$AG$54-$AG$57</formula>
    </cfRule>
  </conditionalFormatting>
  <conditionalFormatting sqref="AH53">
    <cfRule type="cellIs" dxfId="68" priority="13" operator="equal">
      <formula>$AH$54-$AH$57</formula>
    </cfRule>
  </conditionalFormatting>
  <conditionalFormatting sqref="AH53">
    <cfRule type="cellIs" dxfId="67" priority="12" operator="notEqual">
      <formula>$AH$54-$AH$57</formula>
    </cfRule>
  </conditionalFormatting>
  <conditionalFormatting sqref="AI53">
    <cfRule type="cellIs" dxfId="66" priority="11" operator="equal">
      <formula>$AI$54-$AI$57</formula>
    </cfRule>
  </conditionalFormatting>
  <conditionalFormatting sqref="AI53">
    <cfRule type="cellIs" dxfId="65" priority="10" operator="notEqual">
      <formula>$AI$54-$AI$57</formula>
    </cfRule>
  </conditionalFormatting>
  <conditionalFormatting sqref="AJ53">
    <cfRule type="cellIs" dxfId="64" priority="9" operator="equal">
      <formula>$AJ$54-$AJ$57</formula>
    </cfRule>
  </conditionalFormatting>
  <conditionalFormatting sqref="AJ53">
    <cfRule type="cellIs" dxfId="63" priority="8" operator="notEqual">
      <formula>$AJ$54-$AJ$57</formula>
    </cfRule>
  </conditionalFormatting>
  <conditionalFormatting sqref="AK53">
    <cfRule type="cellIs" dxfId="62" priority="7" operator="equal">
      <formula>$AK$54-$AK$57</formula>
    </cfRule>
  </conditionalFormatting>
  <conditionalFormatting sqref="AK53">
    <cfRule type="cellIs" dxfId="61" priority="6" operator="notEqual">
      <formula>$AK$54-$AK$57</formula>
    </cfRule>
  </conditionalFormatting>
  <conditionalFormatting sqref="AL53">
    <cfRule type="cellIs" dxfId="60" priority="5" operator="equal">
      <formula>$AL$54-$AL$57</formula>
    </cfRule>
  </conditionalFormatting>
  <conditionalFormatting sqref="AL53">
    <cfRule type="cellIs" dxfId="59" priority="4" operator="notEqual">
      <formula>$AL$54-$AL$57</formula>
    </cfRule>
  </conditionalFormatting>
  <conditionalFormatting sqref="AM53">
    <cfRule type="cellIs" dxfId="58" priority="3" operator="equal">
      <formula>$AM$54-$AM$57</formula>
    </cfRule>
  </conditionalFormatting>
  <conditionalFormatting sqref="AM53">
    <cfRule type="cellIs" dxfId="57" priority="2" operator="notEqual">
      <formula>$AM$54-$AM$57</formula>
    </cfRule>
  </conditionalFormatting>
  <conditionalFormatting sqref="AM5:AM51">
    <cfRule type="cellIs" dxfId="0" priority="1" operator="equal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1E230-CDFD-4C25-969B-BB98E2D2FA91}">
  <dimension ref="A1:AP58"/>
  <sheetViews>
    <sheetView showGridLines="0" topLeftCell="Z39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672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O1" s="42"/>
      <c r="AP1" s="112" t="s">
        <v>663</v>
      </c>
    </row>
    <row r="2" spans="1:42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O2" s="42"/>
      <c r="AP2" s="113"/>
    </row>
    <row r="3" spans="1:42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/>
      <c r="U3" s="109" t="s">
        <v>570</v>
      </c>
      <c r="V3" s="109"/>
      <c r="W3" s="109"/>
      <c r="X3" s="109"/>
      <c r="Y3" s="109"/>
      <c r="Z3" s="109"/>
      <c r="AA3" s="109"/>
      <c r="AB3" s="109"/>
      <c r="AC3" s="109" t="s">
        <v>578</v>
      </c>
      <c r="AD3" s="109"/>
      <c r="AE3" s="109" t="s">
        <v>580</v>
      </c>
      <c r="AF3" s="109"/>
      <c r="AG3" s="109"/>
      <c r="AH3" s="109" t="s">
        <v>583</v>
      </c>
      <c r="AI3" s="109"/>
      <c r="AJ3" s="109"/>
      <c r="AK3" s="109"/>
      <c r="AL3" s="109"/>
      <c r="AM3" s="109" t="s">
        <v>569</v>
      </c>
      <c r="AO3" s="42"/>
      <c r="AP3" s="113"/>
    </row>
    <row r="4" spans="1:42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569</v>
      </c>
      <c r="U4" s="32" t="s">
        <v>571</v>
      </c>
      <c r="V4" s="32" t="s">
        <v>572</v>
      </c>
      <c r="W4" s="32" t="s">
        <v>573</v>
      </c>
      <c r="X4" s="32" t="s">
        <v>574</v>
      </c>
      <c r="Y4" s="32" t="s">
        <v>575</v>
      </c>
      <c r="Z4" s="32" t="s">
        <v>576</v>
      </c>
      <c r="AA4" s="32" t="s">
        <v>577</v>
      </c>
      <c r="AB4" s="32" t="s">
        <v>569</v>
      </c>
      <c r="AC4" s="32" t="s">
        <v>579</v>
      </c>
      <c r="AD4" s="32" t="s">
        <v>569</v>
      </c>
      <c r="AE4" s="32" t="s">
        <v>581</v>
      </c>
      <c r="AF4" s="32" t="s">
        <v>582</v>
      </c>
      <c r="AG4" s="32" t="s">
        <v>569</v>
      </c>
      <c r="AH4" s="32" t="s">
        <v>584</v>
      </c>
      <c r="AI4" s="32" t="s">
        <v>585</v>
      </c>
      <c r="AJ4" s="32" t="s">
        <v>586</v>
      </c>
      <c r="AK4" s="32" t="s">
        <v>587</v>
      </c>
      <c r="AL4" s="32" t="s">
        <v>569</v>
      </c>
      <c r="AM4" s="111"/>
      <c r="AO4" s="43" t="s">
        <v>674</v>
      </c>
      <c r="AP4" s="114"/>
    </row>
    <row r="5" spans="1:42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>
        <f>'TUSD BE'!$L$5*'TUSD BE'!$L$58</f>
        <v>0</v>
      </c>
      <c r="M5" s="30">
        <f>'TUSD BE'!$M$5*'TUSD BE'!$M$58</f>
        <v>0</v>
      </c>
      <c r="N5" s="30">
        <f ca="1">'TUSD BE'!$N$5*'TUSD BE'!$N$58</f>
        <v>0</v>
      </c>
      <c r="O5" s="30">
        <f>'TUSD BE'!$O$5*'TUSD BE'!$O$58</f>
        <v>0</v>
      </c>
      <c r="P5" s="30">
        <f>'TUSD BE'!$P$5*'TUSD BE'!$P$58</f>
        <v>0</v>
      </c>
      <c r="Q5" s="30">
        <f>'TUSD BE'!$Q$5*'TUSD BE'!$Q$58</f>
        <v>0</v>
      </c>
      <c r="R5" s="30">
        <f>'TUSD BE'!$R$5*'TUSD BE'!$R$58</f>
        <v>0</v>
      </c>
      <c r="S5" s="30">
        <f>'TUSD BE'!$R$5*'TUSD BE'!$S$58</f>
        <v>0</v>
      </c>
      <c r="T5" s="30">
        <f ca="1">SUM($L$5:$S$5)</f>
        <v>0</v>
      </c>
      <c r="U5" s="30">
        <f>'TUSD BE'!$U$5*'TUSD BE'!$U$58</f>
        <v>0</v>
      </c>
      <c r="V5" s="30">
        <f>'TUSD BE'!$V$5*'TUSD BE'!$V$58</f>
        <v>0</v>
      </c>
      <c r="W5" s="30">
        <f>'TUSD BE'!$W$5*'TUSD BE'!$W$58</f>
        <v>-9.7161087206361949E-2</v>
      </c>
      <c r="X5" s="30">
        <f>'TUSD BE'!$X$5*'TUSD BE'!$X$58</f>
        <v>0</v>
      </c>
      <c r="Y5" s="30">
        <f>'TUSD BE'!$Y$5*'TUSD BE'!$Y$58</f>
        <v>0</v>
      </c>
      <c r="Z5" s="30">
        <f>'TUSD BE'!$Z$5*'TUSD BE'!$Z$58</f>
        <v>0</v>
      </c>
      <c r="AA5" s="30">
        <f>'TUSD BE'!$AA$5*'TUSD BE'!$AA$58</f>
        <v>0</v>
      </c>
      <c r="AB5" s="30">
        <f>SUM($U$5:$AA$5)</f>
        <v>-9.7161087206361949E-2</v>
      </c>
      <c r="AC5" s="30">
        <f>'TUSD BE'!$AC$5*'TUSD BE'!$AC$58</f>
        <v>1.2198915398373678</v>
      </c>
      <c r="AD5" s="30">
        <f>SUM($AC$5:$AC$5)</f>
        <v>1.2198915398373678</v>
      </c>
      <c r="AE5" s="30">
        <f ca="1">$AO$5*$AO$55</f>
        <v>0</v>
      </c>
      <c r="AF5" s="30">
        <f ca="1">$AP$5*$AP$55</f>
        <v>0</v>
      </c>
      <c r="AG5" s="30">
        <f ca="1">SUM($AE$5:$AF$5)</f>
        <v>0</v>
      </c>
      <c r="AH5" s="30">
        <f>'TUSD BE'!$AH$5*'TUSD BE'!$AH$58</f>
        <v>0</v>
      </c>
      <c r="AI5" s="30">
        <f>'TUSD BE'!$AI$5*'TUSD BE'!$AI$58</f>
        <v>0</v>
      </c>
      <c r="AJ5" s="30">
        <f ca="1">'TUSD BE'!$AJ$5*'TUSD BE'!$AJ$58</f>
        <v>0</v>
      </c>
      <c r="AK5" s="30">
        <f ca="1">'TUSD BE'!$AK$5*'TUSD BE'!$AK$58</f>
        <v>0</v>
      </c>
      <c r="AL5" s="30">
        <f ca="1">SUM($AH$5:$AK$5)</f>
        <v>0</v>
      </c>
      <c r="AM5" s="30">
        <f ca="1">SUMIF($L$4:$AL$4,"SUBTOTAL",$L$5:$AL$5)</f>
        <v>1.1227304526310058</v>
      </c>
      <c r="AO5" s="42">
        <f ca="1">+'TUSD BE'!$T$5+'TUSD BE'!$AB$5+'TUSD BE'!$AD$5+'TUSD BE'!$AL$5</f>
        <v>55.968523288842491</v>
      </c>
      <c r="AP5" s="42">
        <f ca="1">+'TUSD BE'!$T$5+'TUSD BE'!$AB$5+'TUSD BE'!$AD$5+'TUSD BE'!$AL$5</f>
        <v>55.968523288842491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>
        <f>'TUSD BE'!$L$6*'TUSD BE'!$L$58</f>
        <v>0</v>
      </c>
      <c r="M6" s="30">
        <f>'TUSD BE'!$M$6*'TUSD BE'!$M$58</f>
        <v>0</v>
      </c>
      <c r="N6" s="30">
        <f ca="1">'TUSD BE'!$N$6*'TUSD BE'!$N$58</f>
        <v>0</v>
      </c>
      <c r="O6" s="30">
        <f>'TUSD BE'!$O$6*'TUSD BE'!$O$58</f>
        <v>0</v>
      </c>
      <c r="P6" s="30">
        <f>'TUSD BE'!$P$6*'TUSD BE'!$P$58</f>
        <v>0</v>
      </c>
      <c r="Q6" s="30">
        <f>'TUSD BE'!$Q$6*'TUSD BE'!$Q$58</f>
        <v>0</v>
      </c>
      <c r="R6" s="30">
        <f>'TUSD BE'!$R$6*'TUSD BE'!$R$58</f>
        <v>0</v>
      </c>
      <c r="S6" s="30">
        <f>'TUSD BE'!$R$6*'TUSD BE'!$S$58</f>
        <v>0</v>
      </c>
      <c r="T6" s="30">
        <f ca="1">SUM($L$6:$S$6)</f>
        <v>0</v>
      </c>
      <c r="U6" s="30">
        <f>'TUSD BE'!$U$6*'TUSD BE'!$U$58</f>
        <v>0</v>
      </c>
      <c r="V6" s="30">
        <f>'TUSD BE'!$V$6*'TUSD BE'!$V$58</f>
        <v>0</v>
      </c>
      <c r="W6" s="30">
        <f>'TUSD BE'!$W$6*'TUSD BE'!$W$58</f>
        <v>-2.9570765671501464E-2</v>
      </c>
      <c r="X6" s="30">
        <f>'TUSD BE'!$X$6*'TUSD BE'!$X$58</f>
        <v>0</v>
      </c>
      <c r="Y6" s="30">
        <f>'TUSD BE'!$Y$6*'TUSD BE'!$Y$58</f>
        <v>0</v>
      </c>
      <c r="Z6" s="30">
        <f>'TUSD BE'!$Z$6*'TUSD BE'!$Z$58</f>
        <v>0</v>
      </c>
      <c r="AA6" s="30">
        <f>'TUSD BE'!$AA$6*'TUSD BE'!$AA$58</f>
        <v>0</v>
      </c>
      <c r="AB6" s="30">
        <f>SUM($U$6:$AA$6)</f>
        <v>-2.9570765671501464E-2</v>
      </c>
      <c r="AC6" s="30">
        <f>'TUSD BE'!$AC$6*'TUSD BE'!$AC$58</f>
        <v>0.40673515025063317</v>
      </c>
      <c r="AD6" s="30">
        <f>SUM($AC$6:$AC$6)</f>
        <v>0.40673515025063317</v>
      </c>
      <c r="AE6" s="30">
        <f ca="1">$AO$6*$AO$55</f>
        <v>0</v>
      </c>
      <c r="AF6" s="30">
        <f ca="1">$AP$6*$AP$55</f>
        <v>0</v>
      </c>
      <c r="AG6" s="30">
        <f ca="1">SUM($AE$6:$AF$6)</f>
        <v>0</v>
      </c>
      <c r="AH6" s="30">
        <f>'TUSD BE'!$AH$6*'TUSD BE'!$AH$58</f>
        <v>0</v>
      </c>
      <c r="AI6" s="30">
        <f>'TUSD BE'!$AI$6*'TUSD BE'!$AI$58</f>
        <v>0</v>
      </c>
      <c r="AJ6" s="30">
        <f ca="1">'TUSD BE'!$AJ$6*'TUSD BE'!$AJ$58</f>
        <v>0</v>
      </c>
      <c r="AK6" s="30">
        <f ca="1">'TUSD BE'!$AK$6*'TUSD BE'!$AK$58</f>
        <v>0</v>
      </c>
      <c r="AL6" s="30">
        <f ca="1">SUM($AH$6:$AK$6)</f>
        <v>0</v>
      </c>
      <c r="AM6" s="30">
        <f ca="1">SUMIF($L$4:$AL$4,"SUBTOTAL",$L$6:$AL$6)</f>
        <v>0.37716438457913171</v>
      </c>
      <c r="AO6" s="42">
        <f ca="1">+'TUSD BE'!$T$6+'TUSD BE'!$AB$6+'TUSD BE'!$AD$6+'TUSD BE'!$AL$6</f>
        <v>18.647312400967763</v>
      </c>
      <c r="AP6" s="42">
        <f ca="1">+'TUSD BE'!$T$6+'TUSD BE'!$AB$6+'TUSD BE'!$AD$6+'TUSD BE'!$AL$6</f>
        <v>18.647312400967763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>
        <f>'TUSD BE'!$L$7*'TUSD BE'!$L$58</f>
        <v>-6.7943211893249025</v>
      </c>
      <c r="M7" s="30">
        <f>'TUSD BE'!$M$7*'TUSD BE'!$M$58</f>
        <v>-0.15256588277254129</v>
      </c>
      <c r="N7" s="30">
        <f ca="1">'TUSD BE'!$N$7*'TUSD BE'!$N$58</f>
        <v>2.4526206422259627E-6</v>
      </c>
      <c r="O7" s="30">
        <f>'TUSD BE'!$O$7*'TUSD BE'!$O$58</f>
        <v>0</v>
      </c>
      <c r="P7" s="30">
        <f>'TUSD BE'!$P$7*'TUSD BE'!$P$58</f>
        <v>0</v>
      </c>
      <c r="Q7" s="30">
        <f>'TUSD BE'!$Q$7*'TUSD BE'!$Q$58</f>
        <v>-1.1443387007863304</v>
      </c>
      <c r="R7" s="30">
        <f>'TUSD BE'!$R$7*'TUSD BE'!$R$58</f>
        <v>0</v>
      </c>
      <c r="S7" s="30">
        <f>'TUSD BE'!$R$7*'TUSD BE'!$S$58</f>
        <v>0</v>
      </c>
      <c r="T7" s="30">
        <f ca="1">SUM($L$7:$S$7)</f>
        <v>-8.091223320263131</v>
      </c>
      <c r="U7" s="30">
        <f>'TUSD BE'!$U$7*'TUSD BE'!$U$58</f>
        <v>0</v>
      </c>
      <c r="V7" s="30">
        <f>'TUSD BE'!$V$7*'TUSD BE'!$V$58</f>
        <v>0</v>
      </c>
      <c r="W7" s="30">
        <f>'TUSD BE'!$W$7*'TUSD BE'!$W$58</f>
        <v>0</v>
      </c>
      <c r="X7" s="30">
        <f>'TUSD BE'!$X$7*'TUSD BE'!$X$58</f>
        <v>0</v>
      </c>
      <c r="Y7" s="30">
        <f>'TUSD BE'!$Y$7*'TUSD BE'!$Y$58</f>
        <v>0</v>
      </c>
      <c r="Z7" s="30">
        <f>'TUSD BE'!$Z$7*'TUSD BE'!$Z$58</f>
        <v>0</v>
      </c>
      <c r="AA7" s="30">
        <f>'TUSD BE'!$AA$7*'TUSD BE'!$AA$58</f>
        <v>0</v>
      </c>
      <c r="AB7" s="30">
        <f>SUM($U$7:$AA$7)</f>
        <v>0</v>
      </c>
      <c r="AC7" s="30">
        <f>'TUSD BE'!$AC$7*'TUSD BE'!$AC$58</f>
        <v>0</v>
      </c>
      <c r="AD7" s="30">
        <f>SUM($AC$7:$AC$7)</f>
        <v>0</v>
      </c>
      <c r="AE7" s="30">
        <f ca="1">$AO$7*$AO$55</f>
        <v>0</v>
      </c>
      <c r="AF7" s="30">
        <f ca="1">$AP$7*$AP$55</f>
        <v>0</v>
      </c>
      <c r="AG7" s="30">
        <f ca="1">SUM($AE$7:$AF$7)</f>
        <v>0</v>
      </c>
      <c r="AH7" s="30">
        <f>'TUSD BE'!$AH$7*'TUSD BE'!$AH$58</f>
        <v>-0.47191463445537363</v>
      </c>
      <c r="AI7" s="30">
        <f>'TUSD BE'!$AI$7*'TUSD BE'!$AI$58</f>
        <v>0</v>
      </c>
      <c r="AJ7" s="30">
        <f ca="1">'TUSD BE'!$AJ$7*'TUSD BE'!$AJ$58</f>
        <v>-1.0642878682109063</v>
      </c>
      <c r="AK7" s="30">
        <f ca="1">'TUSD BE'!$AK$7*'TUSD BE'!$AK$58</f>
        <v>-4.0554903372662751E-2</v>
      </c>
      <c r="AL7" s="30">
        <f ca="1">SUM($AH$7:$AK$7)</f>
        <v>-1.5767574060389427</v>
      </c>
      <c r="AM7" s="30">
        <f ca="1">SUMIF($L$4:$AL$4,"SUBTOTAL",$L$7:$AL$7)</f>
        <v>-9.6679807263020727</v>
      </c>
      <c r="AO7" s="42">
        <f ca="1">+'TUSD BE'!$T$7+'TUSD BE'!$AB$7+'TUSD BE'!$AD$7+'TUSD BE'!$AL$7</f>
        <v>109.59177699080988</v>
      </c>
      <c r="AP7" s="42">
        <f ca="1">+'TUSD BE'!$T$7+'TUSD BE'!$AB$7+'TUSD BE'!$AD$7+'TUSD BE'!$AL$7</f>
        <v>109.59177699080988</v>
      </c>
    </row>
    <row r="8" spans="1:42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>
        <f>'TUSD BE'!$L$8*'TUSD BE'!$L$58</f>
        <v>0</v>
      </c>
      <c r="M8" s="30">
        <f>'TUSD BE'!$M$8*'TUSD BE'!$M$58</f>
        <v>-0.15256588277254129</v>
      </c>
      <c r="N8" s="30">
        <f ca="1">'TUSD BE'!$N$8*'TUSD BE'!$N$58</f>
        <v>2.4291824507020315E-6</v>
      </c>
      <c r="O8" s="30">
        <f>'TUSD BE'!$O$8*'TUSD BE'!$O$58</f>
        <v>0</v>
      </c>
      <c r="P8" s="30">
        <f>'TUSD BE'!$P$8*'TUSD BE'!$P$58</f>
        <v>0</v>
      </c>
      <c r="Q8" s="30">
        <f>'TUSD BE'!$Q$8*'TUSD BE'!$Q$58</f>
        <v>0</v>
      </c>
      <c r="R8" s="30">
        <f>'TUSD BE'!$R$8*'TUSD BE'!$R$58</f>
        <v>0</v>
      </c>
      <c r="S8" s="30">
        <f>'TUSD BE'!$R$8*'TUSD BE'!$S$58</f>
        <v>0</v>
      </c>
      <c r="T8" s="30">
        <f ca="1">SUM($L$8:$S$8)</f>
        <v>-0.1525634535900906</v>
      </c>
      <c r="U8" s="30">
        <f>'TUSD BE'!$U$8*'TUSD BE'!$U$58</f>
        <v>0</v>
      </c>
      <c r="V8" s="30">
        <f>'TUSD BE'!$V$8*'TUSD BE'!$V$58</f>
        <v>0</v>
      </c>
      <c r="W8" s="30">
        <f>'TUSD BE'!$W$8*'TUSD BE'!$W$58</f>
        <v>0</v>
      </c>
      <c r="X8" s="30">
        <f>'TUSD BE'!$X$8*'TUSD BE'!$X$58</f>
        <v>0</v>
      </c>
      <c r="Y8" s="30">
        <f>'TUSD BE'!$Y$8*'TUSD BE'!$Y$58</f>
        <v>0</v>
      </c>
      <c r="Z8" s="30">
        <f>'TUSD BE'!$Z$8*'TUSD BE'!$Z$58</f>
        <v>0</v>
      </c>
      <c r="AA8" s="30">
        <f>'TUSD BE'!$AA$8*'TUSD BE'!$AA$58</f>
        <v>0</v>
      </c>
      <c r="AB8" s="30">
        <f>SUM($U$8:$AA$8)</f>
        <v>0</v>
      </c>
      <c r="AC8" s="30">
        <f>'TUSD BE'!$AC$8*'TUSD BE'!$AC$58</f>
        <v>0</v>
      </c>
      <c r="AD8" s="30">
        <f>SUM($AC$8:$AC$8)</f>
        <v>0</v>
      </c>
      <c r="AE8" s="30">
        <f ca="1">$AO$8*$AO$55</f>
        <v>0</v>
      </c>
      <c r="AF8" s="30">
        <f ca="1">$AP$8*$AP$55</f>
        <v>0</v>
      </c>
      <c r="AG8" s="30">
        <f ca="1">SUM($AE$8:$AF$8)</f>
        <v>0</v>
      </c>
      <c r="AH8" s="30">
        <f>'TUSD BE'!$AH$8*'TUSD BE'!$AH$58</f>
        <v>-0.47191463445537363</v>
      </c>
      <c r="AI8" s="30">
        <f>'TUSD BE'!$AI$8*'TUSD BE'!$AI$58</f>
        <v>0</v>
      </c>
      <c r="AJ8" s="30">
        <f ca="1">'TUSD BE'!$AJ$8*'TUSD BE'!$AJ$58</f>
        <v>-1.0642878682109063</v>
      </c>
      <c r="AK8" s="30">
        <f ca="1">'TUSD BE'!$AK$8*'TUSD BE'!$AK$58</f>
        <v>-4.0554903372662751E-2</v>
      </c>
      <c r="AL8" s="30">
        <f ca="1">SUM($AH$8:$AK$8)</f>
        <v>-1.5767574060389427</v>
      </c>
      <c r="AM8" s="30">
        <f ca="1">SUMIF($L$4:$AL$4,"SUBTOTAL",$L$8:$AL$8)</f>
        <v>-1.7293208596290333</v>
      </c>
      <c r="AO8" s="42">
        <f ca="1">+'TUSD BE'!$T$8+'TUSD BE'!$AB$8+'TUSD BE'!$AD$8+'TUSD BE'!$AL$8</f>
        <v>61.738183994935952</v>
      </c>
      <c r="AP8" s="42">
        <f ca="1">+'TUSD BE'!$T$8+'TUSD BE'!$AB$8+'TUSD BE'!$AD$8+'TUSD BE'!$AL$8</f>
        <v>61.738183994935952</v>
      </c>
    </row>
    <row r="9" spans="1:42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>
        <f>'TUSD BE'!$L$9*'TUSD BE'!$L$58</f>
        <v>0</v>
      </c>
      <c r="M9" s="30">
        <f>'TUSD BE'!$M$9*'TUSD BE'!$M$58</f>
        <v>-9.3784130658761608E-3</v>
      </c>
      <c r="N9" s="30">
        <f ca="1">'TUSD BE'!$N$9*'TUSD BE'!$N$58</f>
        <v>2.88992901490069E-7</v>
      </c>
      <c r="O9" s="30">
        <f>'TUSD BE'!$O$9*'TUSD BE'!$O$58</f>
        <v>0</v>
      </c>
      <c r="P9" s="30">
        <f>'TUSD BE'!$P$9*'TUSD BE'!$P$58</f>
        <v>0</v>
      </c>
      <c r="Q9" s="30">
        <f>'TUSD BE'!$Q$9*'TUSD BE'!$Q$58</f>
        <v>0</v>
      </c>
      <c r="R9" s="30">
        <f>'TUSD BE'!$R$9*'TUSD BE'!$R$58</f>
        <v>0</v>
      </c>
      <c r="S9" s="30">
        <f>'TUSD BE'!$R$9*'TUSD BE'!$S$58</f>
        <v>0</v>
      </c>
      <c r="T9" s="30">
        <f ca="1">SUM($L$9:$S$9)</f>
        <v>-9.3781240729746713E-3</v>
      </c>
      <c r="U9" s="30">
        <f>'TUSD BE'!$U$9*'TUSD BE'!$U$58</f>
        <v>0</v>
      </c>
      <c r="V9" s="30">
        <f>'TUSD BE'!$V$9*'TUSD BE'!$V$58</f>
        <v>0</v>
      </c>
      <c r="W9" s="30">
        <f>'TUSD BE'!$W$9*'TUSD BE'!$W$58</f>
        <v>0</v>
      </c>
      <c r="X9" s="30">
        <f>'TUSD BE'!$X$9*'TUSD BE'!$X$58</f>
        <v>0</v>
      </c>
      <c r="Y9" s="30">
        <f>'TUSD BE'!$Y$9*'TUSD BE'!$Y$58</f>
        <v>0</v>
      </c>
      <c r="Z9" s="30">
        <f>'TUSD BE'!$Z$9*'TUSD BE'!$Z$58</f>
        <v>0</v>
      </c>
      <c r="AA9" s="30">
        <f>'TUSD BE'!$AA$9*'TUSD BE'!$AA$58</f>
        <v>0</v>
      </c>
      <c r="AB9" s="30">
        <f>SUM($U$9:$AA$9)</f>
        <v>0</v>
      </c>
      <c r="AC9" s="30">
        <f>'TUSD BE'!$AC$9*'TUSD BE'!$AC$58</f>
        <v>0.31872075614805007</v>
      </c>
      <c r="AD9" s="30">
        <f>SUM($AC$9:$AC$9)</f>
        <v>0.31872075614805007</v>
      </c>
      <c r="AE9" s="30">
        <f ca="1">$AO$9*$AO$55</f>
        <v>0</v>
      </c>
      <c r="AF9" s="30">
        <f ca="1">$AP$9*$AP$55</f>
        <v>0</v>
      </c>
      <c r="AG9" s="30">
        <f ca="1">SUM($AE$9:$AF$9)</f>
        <v>0</v>
      </c>
      <c r="AH9" s="30">
        <f>'TUSD BE'!$AH$9*'TUSD BE'!$AH$58</f>
        <v>0</v>
      </c>
      <c r="AI9" s="30">
        <f>'TUSD BE'!$AI$9*'TUSD BE'!$AI$58</f>
        <v>0</v>
      </c>
      <c r="AJ9" s="30">
        <f ca="1">'TUSD BE'!$AJ$9*'TUSD BE'!$AJ$58</f>
        <v>0</v>
      </c>
      <c r="AK9" s="30">
        <f ca="1">'TUSD BE'!$AK$9*'TUSD BE'!$AK$58</f>
        <v>0</v>
      </c>
      <c r="AL9" s="30">
        <f ca="1">SUM($AH$9:$AK$9)</f>
        <v>0</v>
      </c>
      <c r="AM9" s="30">
        <f ca="1">SUMIF($L$4:$AL$4,"SUBTOTAL",$L$9:$AL$9)</f>
        <v>0.3093426320750754</v>
      </c>
      <c r="AO9" s="42">
        <f ca="1">+'TUSD BE'!$T$9+'TUSD BE'!$AB$9+'TUSD BE'!$AD$9+'TUSD BE'!$AL$9</f>
        <v>14.674784949585851</v>
      </c>
      <c r="AP9" s="42">
        <f ca="1">+'TUSD BE'!$T$9+'TUSD BE'!$AB$9+'TUSD BE'!$AD$9+'TUSD BE'!$AL$9</f>
        <v>14.674784949585851</v>
      </c>
    </row>
    <row r="10" spans="1:42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>
        <f>'TUSD BE'!$L$10*'TUSD BE'!$L$58</f>
        <v>0</v>
      </c>
      <c r="M10" s="30">
        <f>'TUSD BE'!$M$10*'TUSD BE'!$M$58</f>
        <v>0</v>
      </c>
      <c r="N10" s="30">
        <f ca="1">'TUSD BE'!$N$10*'TUSD BE'!$N$58</f>
        <v>0</v>
      </c>
      <c r="O10" s="30">
        <f>'TUSD BE'!$O$10*'TUSD BE'!$O$58</f>
        <v>0</v>
      </c>
      <c r="P10" s="30">
        <f>'TUSD BE'!$P$10*'TUSD BE'!$P$58</f>
        <v>0</v>
      </c>
      <c r="Q10" s="30">
        <f>'TUSD BE'!$Q$10*'TUSD BE'!$Q$58</f>
        <v>0</v>
      </c>
      <c r="R10" s="30">
        <f>'TUSD BE'!$R$10*'TUSD BE'!$R$58</f>
        <v>0</v>
      </c>
      <c r="S10" s="30">
        <f>'TUSD BE'!$R$10*'TUSD BE'!$S$58</f>
        <v>0</v>
      </c>
      <c r="T10" s="30">
        <f ca="1">SUM($L$10:$S$10)</f>
        <v>0</v>
      </c>
      <c r="U10" s="30">
        <f>'TUSD BE'!$U$10*'TUSD BE'!$U$58</f>
        <v>0</v>
      </c>
      <c r="V10" s="30">
        <f>'TUSD BE'!$V$10*'TUSD BE'!$V$58</f>
        <v>0</v>
      </c>
      <c r="W10" s="30">
        <f>'TUSD BE'!$W$10*'TUSD BE'!$W$58</f>
        <v>-2.9570765671501464E-2</v>
      </c>
      <c r="X10" s="30">
        <f>'TUSD BE'!$X$10*'TUSD BE'!$X$58</f>
        <v>0</v>
      </c>
      <c r="Y10" s="30">
        <f>'TUSD BE'!$Y$10*'TUSD BE'!$Y$58</f>
        <v>0</v>
      </c>
      <c r="Z10" s="30">
        <f>'TUSD BE'!$Z$10*'TUSD BE'!$Z$58</f>
        <v>0</v>
      </c>
      <c r="AA10" s="30">
        <f>'TUSD BE'!$AA$10*'TUSD BE'!$AA$58</f>
        <v>0</v>
      </c>
      <c r="AB10" s="30">
        <f>SUM($U$10:$AA$10)</f>
        <v>-2.9570765671501464E-2</v>
      </c>
      <c r="AC10" s="30">
        <f>'TUSD BE'!$AC$10*'TUSD BE'!$AC$58</f>
        <v>0.40673515025063317</v>
      </c>
      <c r="AD10" s="30">
        <f>SUM($AC$10:$AC$10)</f>
        <v>0.40673515025063317</v>
      </c>
      <c r="AE10" s="30">
        <f ca="1">$AO$10*$AO$55</f>
        <v>0</v>
      </c>
      <c r="AF10" s="30">
        <f ca="1">$AP$10*$AP$55</f>
        <v>0</v>
      </c>
      <c r="AG10" s="30">
        <f ca="1">SUM($AE$10:$AF$10)</f>
        <v>0</v>
      </c>
      <c r="AH10" s="30">
        <f>'TUSD BE'!$AH$10*'TUSD BE'!$AH$58</f>
        <v>0</v>
      </c>
      <c r="AI10" s="30">
        <f>'TUSD BE'!$AI$10*'TUSD BE'!$AI$58</f>
        <v>0</v>
      </c>
      <c r="AJ10" s="30">
        <f ca="1">'TUSD BE'!$AJ$10*'TUSD BE'!$AJ$58</f>
        <v>0</v>
      </c>
      <c r="AK10" s="30">
        <f ca="1">'TUSD BE'!$AK$10*'TUSD BE'!$AK$58</f>
        <v>0</v>
      </c>
      <c r="AL10" s="30">
        <f ca="1">SUM($AH$10:$AK$10)</f>
        <v>0</v>
      </c>
      <c r="AM10" s="30">
        <f ca="1">SUMIF($L$4:$AL$4,"SUBTOTAL",$L$10:$AL$10)</f>
        <v>0.37716438457913171</v>
      </c>
      <c r="AO10" s="42">
        <f ca="1">+'TUSD BE'!$T$10+'TUSD BE'!$AB$10+'TUSD BE'!$AD$10+'TUSD BE'!$AL$10</f>
        <v>18.647312400967763</v>
      </c>
      <c r="AP10" s="42">
        <f ca="1">+'TUSD BE'!$T$10+'TUSD BE'!$AB$10+'TUSD BE'!$AD$10+'TUSD BE'!$AL$10</f>
        <v>18.647312400967763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>
        <f>'TUSD BE'!$L$11*'TUSD BE'!$L$58</f>
        <v>-6.7943211893249025</v>
      </c>
      <c r="M11" s="30">
        <f>'TUSD BE'!$M$11*'TUSD BE'!$M$58</f>
        <v>-0.15256588277254129</v>
      </c>
      <c r="N11" s="30">
        <f ca="1">'TUSD BE'!$N$11*'TUSD BE'!$N$58</f>
        <v>2.8959651928417254E-5</v>
      </c>
      <c r="O11" s="30">
        <f>'TUSD BE'!$O$11*'TUSD BE'!$O$58</f>
        <v>0</v>
      </c>
      <c r="P11" s="30">
        <f>'TUSD BE'!$P$11*'TUSD BE'!$P$58</f>
        <v>0</v>
      </c>
      <c r="Q11" s="30">
        <f>'TUSD BE'!$Q$11*'TUSD BE'!$Q$58</f>
        <v>-1.1443387007863304</v>
      </c>
      <c r="R11" s="30">
        <f>'TUSD BE'!$R$11*'TUSD BE'!$R$58</f>
        <v>0</v>
      </c>
      <c r="S11" s="30">
        <f>'TUSD BE'!$R$11*'TUSD BE'!$S$58</f>
        <v>0</v>
      </c>
      <c r="T11" s="30">
        <f ca="1">SUM($L$11:$S$11)</f>
        <v>-8.0911968132318464</v>
      </c>
      <c r="U11" s="30">
        <f>'TUSD BE'!$U$11*'TUSD BE'!$U$58</f>
        <v>0</v>
      </c>
      <c r="V11" s="30">
        <f>'TUSD BE'!$V$11*'TUSD BE'!$V$58</f>
        <v>0</v>
      </c>
      <c r="W11" s="30">
        <f>'TUSD BE'!$W$11*'TUSD BE'!$W$58</f>
        <v>-2.2980709321852566</v>
      </c>
      <c r="X11" s="30">
        <f>'TUSD BE'!$X$11*'TUSD BE'!$X$58</f>
        <v>0</v>
      </c>
      <c r="Y11" s="30">
        <f>'TUSD BE'!$Y$11*'TUSD BE'!$Y$58</f>
        <v>0</v>
      </c>
      <c r="Z11" s="30">
        <f>'TUSD BE'!$Z$11*'TUSD BE'!$Z$58</f>
        <v>0</v>
      </c>
      <c r="AA11" s="30">
        <f>'TUSD BE'!$AA$11*'TUSD BE'!$AA$58</f>
        <v>0</v>
      </c>
      <c r="AB11" s="30">
        <f>SUM($U$11:$AA$11)</f>
        <v>-2.2980709321852566</v>
      </c>
      <c r="AC11" s="30">
        <f>'TUSD BE'!$AC$11*'TUSD BE'!$AC$58</f>
        <v>29.338448737515677</v>
      </c>
      <c r="AD11" s="30">
        <f>SUM($AC$11:$AC$11)</f>
        <v>29.338448737515677</v>
      </c>
      <c r="AE11" s="30">
        <f ca="1">$AO$11*$AO$55</f>
        <v>0</v>
      </c>
      <c r="AF11" s="30">
        <f ca="1">$AP$11*$AP$55</f>
        <v>0</v>
      </c>
      <c r="AG11" s="30">
        <f ca="1">SUM($AE$11:$AF$11)</f>
        <v>0</v>
      </c>
      <c r="AH11" s="30">
        <f>'TUSD BE'!$AH$11*'TUSD BE'!$AH$58</f>
        <v>-0.47191463445537363</v>
      </c>
      <c r="AI11" s="30">
        <f>'TUSD BE'!$AI$11*'TUSD BE'!$AI$58</f>
        <v>0</v>
      </c>
      <c r="AJ11" s="30">
        <f ca="1">'TUSD BE'!$AJ$11*'TUSD BE'!$AJ$58</f>
        <v>-1.0642878682109063</v>
      </c>
      <c r="AK11" s="30">
        <f ca="1">'TUSD BE'!$AK$11*'TUSD BE'!$AK$58</f>
        <v>-4.0554903372662751E-2</v>
      </c>
      <c r="AL11" s="30">
        <f ca="1">SUM($AH$11:$AK$11)</f>
        <v>-1.5767574060389427</v>
      </c>
      <c r="AM11" s="30">
        <f ca="1">SUMIF($L$4:$AL$4,"SUBTOTAL",$L$11:$AL$11)</f>
        <v>17.372423586059632</v>
      </c>
      <c r="AO11" s="42">
        <f ca="1">+'TUSD BE'!$T$11+'TUSD BE'!$AB$11+'TUSD BE'!$AD$11+'TUSD BE'!$AL$11</f>
        <v>1466.8911903526714</v>
      </c>
      <c r="AP11" s="42">
        <f ca="1">+'TUSD BE'!$T$11+'TUSD BE'!$AB$11+'TUSD BE'!$AD$11+'TUSD BE'!$AL$11</f>
        <v>1466.8911903526714</v>
      </c>
    </row>
    <row r="12" spans="1:42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>
        <f>'TUSD BE'!$L$12*'TUSD BE'!$L$58</f>
        <v>-6.7943211893249025</v>
      </c>
      <c r="M12" s="30">
        <f>'TUSD BE'!$M$12*'TUSD BE'!$M$58</f>
        <v>-0.15256588277254129</v>
      </c>
      <c r="N12" s="30">
        <f ca="1">'TUSD BE'!$N$12*'TUSD BE'!$N$58</f>
        <v>2.4526206422259627E-6</v>
      </c>
      <c r="O12" s="30">
        <f>'TUSD BE'!$O$12*'TUSD BE'!$O$58</f>
        <v>0</v>
      </c>
      <c r="P12" s="30">
        <f>'TUSD BE'!$P$12*'TUSD BE'!$P$58</f>
        <v>0</v>
      </c>
      <c r="Q12" s="30">
        <f>'TUSD BE'!$Q$12*'TUSD BE'!$Q$58</f>
        <v>-1.1443387007863304</v>
      </c>
      <c r="R12" s="30">
        <f>'TUSD BE'!$R$12*'TUSD BE'!$R$58</f>
        <v>0</v>
      </c>
      <c r="S12" s="30">
        <f>'TUSD BE'!$R$12*'TUSD BE'!$S$58</f>
        <v>0</v>
      </c>
      <c r="T12" s="30">
        <f ca="1">SUM($L$12:$S$12)</f>
        <v>-8.091223320263131</v>
      </c>
      <c r="U12" s="30">
        <f>'TUSD BE'!$U$12*'TUSD BE'!$U$58</f>
        <v>0</v>
      </c>
      <c r="V12" s="30">
        <f>'TUSD BE'!$V$12*'TUSD BE'!$V$58</f>
        <v>0</v>
      </c>
      <c r="W12" s="30">
        <f>'TUSD BE'!$W$12*'TUSD BE'!$W$58</f>
        <v>0</v>
      </c>
      <c r="X12" s="30">
        <f>'TUSD BE'!$X$12*'TUSD BE'!$X$58</f>
        <v>0</v>
      </c>
      <c r="Y12" s="30">
        <f>'TUSD BE'!$Y$12*'TUSD BE'!$Y$58</f>
        <v>0</v>
      </c>
      <c r="Z12" s="30">
        <f>'TUSD BE'!$Z$12*'TUSD BE'!$Z$58</f>
        <v>0</v>
      </c>
      <c r="AA12" s="30">
        <f>'TUSD BE'!$AA$12*'TUSD BE'!$AA$58</f>
        <v>0</v>
      </c>
      <c r="AB12" s="30">
        <f>SUM($U$12:$AA$12)</f>
        <v>0</v>
      </c>
      <c r="AC12" s="30">
        <f>'TUSD BE'!$AC$12*'TUSD BE'!$AC$58</f>
        <v>0</v>
      </c>
      <c r="AD12" s="30">
        <f>SUM($AC$12:$AC$12)</f>
        <v>0</v>
      </c>
      <c r="AE12" s="30">
        <f ca="1">$AO$12*$AO$55</f>
        <v>0</v>
      </c>
      <c r="AF12" s="30">
        <f ca="1">$AP$12*$AP$55</f>
        <v>0</v>
      </c>
      <c r="AG12" s="30">
        <f ca="1">SUM($AE$12:$AF$12)</f>
        <v>0</v>
      </c>
      <c r="AH12" s="30">
        <f>'TUSD BE'!$AH$12*'TUSD BE'!$AH$58</f>
        <v>-0.47191463445537363</v>
      </c>
      <c r="AI12" s="30">
        <f>'TUSD BE'!$AI$12*'TUSD BE'!$AI$58</f>
        <v>0</v>
      </c>
      <c r="AJ12" s="30">
        <f ca="1">'TUSD BE'!$AJ$12*'TUSD BE'!$AJ$58</f>
        <v>-1.0642878682109063</v>
      </c>
      <c r="AK12" s="30">
        <f ca="1">'TUSD BE'!$AK$12*'TUSD BE'!$AK$58</f>
        <v>-4.0554903372662751E-2</v>
      </c>
      <c r="AL12" s="30">
        <f ca="1">SUM($AH$12:$AK$12)</f>
        <v>-1.5767574060389427</v>
      </c>
      <c r="AM12" s="30">
        <f ca="1">SUMIF($L$4:$AL$4,"SUBTOTAL",$L$12:$AL$12)</f>
        <v>-9.6679807263020727</v>
      </c>
      <c r="AO12" s="42">
        <f ca="1">+'TUSD BE'!$T$12+'TUSD BE'!$AB$12+'TUSD BE'!$AD$12+'TUSD BE'!$AL$12</f>
        <v>109.59177699080988</v>
      </c>
      <c r="AP12" s="42">
        <f ca="1">+'TUSD BE'!$T$12+'TUSD BE'!$AB$12+'TUSD BE'!$AD$12+'TUSD BE'!$AL$12</f>
        <v>109.59177699080988</v>
      </c>
    </row>
    <row r="13" spans="1:42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>
        <f>'TUSD BE'!$L$13*'TUSD BE'!$L$58</f>
        <v>0</v>
      </c>
      <c r="M13" s="30">
        <f>'TUSD BE'!$M$13*'TUSD BE'!$M$58</f>
        <v>-0.15256588277254129</v>
      </c>
      <c r="N13" s="30">
        <f ca="1">'TUSD BE'!$N$13*'TUSD BE'!$N$58</f>
        <v>2.8936213736893326E-5</v>
      </c>
      <c r="O13" s="30">
        <f>'TUSD BE'!$O$13*'TUSD BE'!$O$58</f>
        <v>0</v>
      </c>
      <c r="P13" s="30">
        <f>'TUSD BE'!$P$13*'TUSD BE'!$P$58</f>
        <v>0</v>
      </c>
      <c r="Q13" s="30">
        <f>'TUSD BE'!$Q$13*'TUSD BE'!$Q$58</f>
        <v>0</v>
      </c>
      <c r="R13" s="30">
        <f>'TUSD BE'!$R$13*'TUSD BE'!$R$58</f>
        <v>0</v>
      </c>
      <c r="S13" s="30">
        <f>'TUSD BE'!$R$13*'TUSD BE'!$S$58</f>
        <v>0</v>
      </c>
      <c r="T13" s="30">
        <f ca="1">SUM($L$13:$S$13)</f>
        <v>-0.1525369465588044</v>
      </c>
      <c r="U13" s="30">
        <f>'TUSD BE'!$U$13*'TUSD BE'!$U$58</f>
        <v>0</v>
      </c>
      <c r="V13" s="30">
        <f>'TUSD BE'!$V$13*'TUSD BE'!$V$58</f>
        <v>0</v>
      </c>
      <c r="W13" s="30">
        <f>'TUSD BE'!$W$13*'TUSD BE'!$W$58</f>
        <v>-2.2980709321852566</v>
      </c>
      <c r="X13" s="30">
        <f>'TUSD BE'!$X$13*'TUSD BE'!$X$58</f>
        <v>0</v>
      </c>
      <c r="Y13" s="30">
        <f>'TUSD BE'!$Y$13*'TUSD BE'!$Y$58</f>
        <v>0</v>
      </c>
      <c r="Z13" s="30">
        <f>'TUSD BE'!$Z$13*'TUSD BE'!$Z$58</f>
        <v>0</v>
      </c>
      <c r="AA13" s="30">
        <f>'TUSD BE'!$AA$13*'TUSD BE'!$AA$58</f>
        <v>0</v>
      </c>
      <c r="AB13" s="30">
        <f>SUM($U$13:$AA$13)</f>
        <v>-2.2980709321852566</v>
      </c>
      <c r="AC13" s="30">
        <f>'TUSD BE'!$AC$13*'TUSD BE'!$AC$58</f>
        <v>29.338448737515677</v>
      </c>
      <c r="AD13" s="30">
        <f>SUM($AC$13:$AC$13)</f>
        <v>29.338448737515677</v>
      </c>
      <c r="AE13" s="30">
        <f ca="1">$AO$13*$AO$55</f>
        <v>0</v>
      </c>
      <c r="AF13" s="30">
        <f ca="1">$AP$13*$AP$55</f>
        <v>0</v>
      </c>
      <c r="AG13" s="30">
        <f ca="1">SUM($AE$13:$AF$13)</f>
        <v>0</v>
      </c>
      <c r="AH13" s="30">
        <f>'TUSD BE'!$AH$13*'TUSD BE'!$AH$58</f>
        <v>-0.47191463445537363</v>
      </c>
      <c r="AI13" s="30">
        <f>'TUSD BE'!$AI$13*'TUSD BE'!$AI$58</f>
        <v>0</v>
      </c>
      <c r="AJ13" s="30">
        <f ca="1">'TUSD BE'!$AJ$13*'TUSD BE'!$AJ$58</f>
        <v>-1.0642878682109063</v>
      </c>
      <c r="AK13" s="30">
        <f ca="1">'TUSD BE'!$AK$13*'TUSD BE'!$AK$58</f>
        <v>-4.0554903372662751E-2</v>
      </c>
      <c r="AL13" s="30">
        <f ca="1">SUM($AH$13:$AK$13)</f>
        <v>-1.5767574060389427</v>
      </c>
      <c r="AM13" s="30">
        <f ca="1">SUMIF($L$4:$AL$4,"SUBTOTAL",$L$13:$AL$13)</f>
        <v>25.311083452732671</v>
      </c>
      <c r="AO13" s="42">
        <f ca="1">+'TUSD BE'!$T$13+'TUSD BE'!$AB$13+'TUSD BE'!$AD$13+'TUSD BE'!$AL$13</f>
        <v>1419.0375973567975</v>
      </c>
      <c r="AP13" s="42">
        <f ca="1">+'TUSD BE'!$T$13+'TUSD BE'!$AB$13+'TUSD BE'!$AD$13+'TUSD BE'!$AL$13</f>
        <v>1419.0375973567975</v>
      </c>
    </row>
    <row r="14" spans="1:42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>
        <f>'TUSD BE'!$L$14*'TUSD BE'!$L$58</f>
        <v>0</v>
      </c>
      <c r="M14" s="30">
        <f>'TUSD BE'!$M$14*'TUSD BE'!$M$58</f>
        <v>-0.15256588277254129</v>
      </c>
      <c r="N14" s="30">
        <f ca="1">'TUSD BE'!$N$14*'TUSD BE'!$N$58</f>
        <v>2.4291824507020315E-6</v>
      </c>
      <c r="O14" s="30">
        <f>'TUSD BE'!$O$14*'TUSD BE'!$O$58</f>
        <v>0</v>
      </c>
      <c r="P14" s="30">
        <f>'TUSD BE'!$P$14*'TUSD BE'!$P$58</f>
        <v>0</v>
      </c>
      <c r="Q14" s="30">
        <f>'TUSD BE'!$Q$14*'TUSD BE'!$Q$58</f>
        <v>0</v>
      </c>
      <c r="R14" s="30">
        <f>'TUSD BE'!$R$14*'TUSD BE'!$R$58</f>
        <v>0</v>
      </c>
      <c r="S14" s="30">
        <f>'TUSD BE'!$R$14*'TUSD BE'!$S$58</f>
        <v>0</v>
      </c>
      <c r="T14" s="30">
        <f ca="1">SUM($L$14:$S$14)</f>
        <v>-0.1525634535900906</v>
      </c>
      <c r="U14" s="30">
        <f>'TUSD BE'!$U$14*'TUSD BE'!$U$58</f>
        <v>0</v>
      </c>
      <c r="V14" s="30">
        <f>'TUSD BE'!$V$14*'TUSD BE'!$V$58</f>
        <v>0</v>
      </c>
      <c r="W14" s="30">
        <f>'TUSD BE'!$W$14*'TUSD BE'!$W$58</f>
        <v>0</v>
      </c>
      <c r="X14" s="30">
        <f>'TUSD BE'!$X$14*'TUSD BE'!$X$58</f>
        <v>0</v>
      </c>
      <c r="Y14" s="30">
        <f>'TUSD BE'!$Y$14*'TUSD BE'!$Y$58</f>
        <v>0</v>
      </c>
      <c r="Z14" s="30">
        <f>'TUSD BE'!$Z$14*'TUSD BE'!$Z$58</f>
        <v>0</v>
      </c>
      <c r="AA14" s="30">
        <f>'TUSD BE'!$AA$14*'TUSD BE'!$AA$58</f>
        <v>0</v>
      </c>
      <c r="AB14" s="30">
        <f>SUM($U$14:$AA$14)</f>
        <v>0</v>
      </c>
      <c r="AC14" s="30">
        <f>'TUSD BE'!$AC$14*'TUSD BE'!$AC$58</f>
        <v>0</v>
      </c>
      <c r="AD14" s="30">
        <f>SUM($AC$14:$AC$14)</f>
        <v>0</v>
      </c>
      <c r="AE14" s="30">
        <f ca="1">$AO$14*$AO$55</f>
        <v>0</v>
      </c>
      <c r="AF14" s="30">
        <f ca="1">$AP$14*$AP$55</f>
        <v>0</v>
      </c>
      <c r="AG14" s="30">
        <f ca="1">SUM($AE$14:$AF$14)</f>
        <v>0</v>
      </c>
      <c r="AH14" s="30">
        <f>'TUSD BE'!$AH$14*'TUSD BE'!$AH$58</f>
        <v>-0.47191463445537363</v>
      </c>
      <c r="AI14" s="30">
        <f>'TUSD BE'!$AI$14*'TUSD BE'!$AI$58</f>
        <v>0</v>
      </c>
      <c r="AJ14" s="30">
        <f ca="1">'TUSD BE'!$AJ$14*'TUSD BE'!$AJ$58</f>
        <v>-1.0642878682109063</v>
      </c>
      <c r="AK14" s="30">
        <f ca="1">'TUSD BE'!$AK$14*'TUSD BE'!$AK$58</f>
        <v>-4.0554903372662751E-2</v>
      </c>
      <c r="AL14" s="30">
        <f ca="1">SUM($AH$14:$AK$14)</f>
        <v>-1.5767574060389427</v>
      </c>
      <c r="AM14" s="30">
        <f ca="1">SUMIF($L$4:$AL$4,"SUBTOTAL",$L$14:$AL$14)</f>
        <v>-1.7293208596290333</v>
      </c>
      <c r="AO14" s="42">
        <f ca="1">+'TUSD BE'!$T$14+'TUSD BE'!$AB$14+'TUSD BE'!$AD$14+'TUSD BE'!$AL$14</f>
        <v>61.738183994935952</v>
      </c>
      <c r="AP14" s="42">
        <f ca="1">+'TUSD BE'!$T$14+'TUSD BE'!$AB$14+'TUSD BE'!$AD$14+'TUSD BE'!$AL$14</f>
        <v>61.738183994935952</v>
      </c>
    </row>
    <row r="15" spans="1:42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>
        <f>'TUSD BE'!$L$15*'TUSD BE'!$L$58</f>
        <v>0</v>
      </c>
      <c r="M15" s="30">
        <f>'TUSD BE'!$M$15*'TUSD BE'!$M$58</f>
        <v>-2.7313911780453993E-3</v>
      </c>
      <c r="N15" s="30">
        <f ca="1">'TUSD BE'!$N$15*'TUSD BE'!$N$58</f>
        <v>8.39087256556729E-8</v>
      </c>
      <c r="O15" s="30">
        <f>'TUSD BE'!$O$15*'TUSD BE'!$O$58</f>
        <v>0</v>
      </c>
      <c r="P15" s="30">
        <f>'TUSD BE'!$P$15*'TUSD BE'!$P$58</f>
        <v>0</v>
      </c>
      <c r="Q15" s="30">
        <f>'TUSD BE'!$Q$15*'TUSD BE'!$Q$58</f>
        <v>0</v>
      </c>
      <c r="R15" s="30">
        <f>'TUSD BE'!$R$15*'TUSD BE'!$R$58</f>
        <v>0</v>
      </c>
      <c r="S15" s="30">
        <f>'TUSD BE'!$R$15*'TUSD BE'!$S$58</f>
        <v>0</v>
      </c>
      <c r="T15" s="30">
        <f ca="1">SUM($L$15:$S$15)</f>
        <v>-2.7313072693197437E-3</v>
      </c>
      <c r="U15" s="30">
        <f>'TUSD BE'!$U$15*'TUSD BE'!$U$58</f>
        <v>0</v>
      </c>
      <c r="V15" s="30">
        <f>'TUSD BE'!$V$15*'TUSD BE'!$V$58</f>
        <v>0</v>
      </c>
      <c r="W15" s="30">
        <f>'TUSD BE'!$W$15*'TUSD BE'!$W$58</f>
        <v>0</v>
      </c>
      <c r="X15" s="30">
        <f>'TUSD BE'!$X$15*'TUSD BE'!$X$58</f>
        <v>0</v>
      </c>
      <c r="Y15" s="30">
        <f>'TUSD BE'!$Y$15*'TUSD BE'!$Y$58</f>
        <v>0</v>
      </c>
      <c r="Z15" s="30">
        <f>'TUSD BE'!$Z$15*'TUSD BE'!$Z$58</f>
        <v>0</v>
      </c>
      <c r="AA15" s="30">
        <f>'TUSD BE'!$AA$15*'TUSD BE'!$AA$58</f>
        <v>0</v>
      </c>
      <c r="AB15" s="30">
        <f>SUM($U$15:$AA$15)</f>
        <v>0</v>
      </c>
      <c r="AC15" s="30">
        <f>'TUSD BE'!$AC$15*'TUSD BE'!$AC$58</f>
        <v>9.2569993820915242E-2</v>
      </c>
      <c r="AD15" s="30">
        <f>SUM($AC$15:$AC$15)</f>
        <v>9.2569993820915242E-2</v>
      </c>
      <c r="AE15" s="30">
        <f ca="1">$AO$15*$AO$55</f>
        <v>0</v>
      </c>
      <c r="AF15" s="30">
        <f ca="1">$AP$15*$AP$55</f>
        <v>0</v>
      </c>
      <c r="AG15" s="30">
        <f ca="1">SUM($AE$15:$AF$15)</f>
        <v>0</v>
      </c>
      <c r="AH15" s="30">
        <f>'TUSD BE'!$AH$15*'TUSD BE'!$AH$58</f>
        <v>0</v>
      </c>
      <c r="AI15" s="30">
        <f>'TUSD BE'!$AI$15*'TUSD BE'!$AI$58</f>
        <v>0</v>
      </c>
      <c r="AJ15" s="30">
        <f ca="1">'TUSD BE'!$AJ$15*'TUSD BE'!$AJ$58</f>
        <v>0</v>
      </c>
      <c r="AK15" s="30">
        <f ca="1">'TUSD BE'!$AK$15*'TUSD BE'!$AK$58</f>
        <v>0</v>
      </c>
      <c r="AL15" s="30">
        <f ca="1">SUM($AH$15:$AK$15)</f>
        <v>0</v>
      </c>
      <c r="AM15" s="30">
        <f ca="1">SUMIF($L$4:$AL$4,"SUBTOTAL",$L$15:$AL$15)</f>
        <v>8.9838686551595492E-2</v>
      </c>
      <c r="AO15" s="42">
        <f ca="1">+'TUSD BE'!$T$15+'TUSD BE'!$AB$15+'TUSD BE'!$AD$15+'TUSD BE'!$AL$15</f>
        <v>4.2622067918524618</v>
      </c>
      <c r="AP15" s="42">
        <f ca="1">+'TUSD BE'!$T$15+'TUSD BE'!$AB$15+'TUSD BE'!$AD$15+'TUSD BE'!$AL$15</f>
        <v>4.2622067918524618</v>
      </c>
    </row>
    <row r="16" spans="1:42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>
        <f>'TUSD BE'!$L$16*'TUSD BE'!$L$58</f>
        <v>0</v>
      </c>
      <c r="M16" s="30">
        <f>'TUSD BE'!$M$16*'TUSD BE'!$M$58</f>
        <v>-2.7313911780453993E-3</v>
      </c>
      <c r="N16" s="30">
        <f ca="1">'TUSD BE'!$N$16*'TUSD BE'!$N$58</f>
        <v>8.39087256556729E-8</v>
      </c>
      <c r="O16" s="30">
        <f>'TUSD BE'!$O$16*'TUSD BE'!$O$58</f>
        <v>0</v>
      </c>
      <c r="P16" s="30">
        <f>'TUSD BE'!$P$16*'TUSD BE'!$P$58</f>
        <v>0</v>
      </c>
      <c r="Q16" s="30">
        <f>'TUSD BE'!$Q$16*'TUSD BE'!$Q$58</f>
        <v>0</v>
      </c>
      <c r="R16" s="30">
        <f>'TUSD BE'!$R$16*'TUSD BE'!$R$58</f>
        <v>0</v>
      </c>
      <c r="S16" s="30">
        <f>'TUSD BE'!$R$16*'TUSD BE'!$S$58</f>
        <v>0</v>
      </c>
      <c r="T16" s="30">
        <f ca="1">SUM($L$16:$S$16)</f>
        <v>-2.7313072693197437E-3</v>
      </c>
      <c r="U16" s="30">
        <f>'TUSD BE'!$U$16*'TUSD BE'!$U$58</f>
        <v>0</v>
      </c>
      <c r="V16" s="30">
        <f>'TUSD BE'!$V$16*'TUSD BE'!$V$58</f>
        <v>0</v>
      </c>
      <c r="W16" s="30">
        <f>'TUSD BE'!$W$16*'TUSD BE'!$W$58</f>
        <v>0</v>
      </c>
      <c r="X16" s="30">
        <f>'TUSD BE'!$X$16*'TUSD BE'!$X$58</f>
        <v>0</v>
      </c>
      <c r="Y16" s="30">
        <f>'TUSD BE'!$Y$16*'TUSD BE'!$Y$58</f>
        <v>0</v>
      </c>
      <c r="Z16" s="30">
        <f>'TUSD BE'!$Z$16*'TUSD BE'!$Z$58</f>
        <v>0</v>
      </c>
      <c r="AA16" s="30">
        <f>'TUSD BE'!$AA$16*'TUSD BE'!$AA$58</f>
        <v>0</v>
      </c>
      <c r="AB16" s="30">
        <f>SUM($U$16:$AA$16)</f>
        <v>0</v>
      </c>
      <c r="AC16" s="30">
        <f>'TUSD BE'!$AC$16*'TUSD BE'!$AC$58</f>
        <v>0.46021674944961777</v>
      </c>
      <c r="AD16" s="30">
        <f>SUM($AC$16:$AC$16)</f>
        <v>0.46021674944961777</v>
      </c>
      <c r="AE16" s="30">
        <f ca="1">$AO$16*$AO$55</f>
        <v>0</v>
      </c>
      <c r="AF16" s="30">
        <f ca="1">$AP$16*$AP$55</f>
        <v>0</v>
      </c>
      <c r="AG16" s="30">
        <f ca="1">SUM($AE$16:$AF$16)</f>
        <v>0</v>
      </c>
      <c r="AH16" s="30">
        <f>'TUSD BE'!$AH$16*'TUSD BE'!$AH$58</f>
        <v>0</v>
      </c>
      <c r="AI16" s="30">
        <f>'TUSD BE'!$AI$16*'TUSD BE'!$AI$58</f>
        <v>0</v>
      </c>
      <c r="AJ16" s="30">
        <f ca="1">'TUSD BE'!$AJ$16*'TUSD BE'!$AJ$58</f>
        <v>0</v>
      </c>
      <c r="AK16" s="30">
        <f ca="1">'TUSD BE'!$AK$16*'TUSD BE'!$AK$58</f>
        <v>0</v>
      </c>
      <c r="AL16" s="30">
        <f ca="1">SUM($AH$16:$AK$16)</f>
        <v>0</v>
      </c>
      <c r="AM16" s="30">
        <f ca="1">SUMIF($L$4:$AL$4,"SUBTOTAL",$L$16:$AL$16)</f>
        <v>0.45748544218029802</v>
      </c>
      <c r="AO16" s="42">
        <f ca="1">+'TUSD BE'!$T$16+'TUSD BE'!$AB$16+'TUSD BE'!$AD$16+'TUSD BE'!$AL$16</f>
        <v>20.988170293236912</v>
      </c>
      <c r="AP16" s="42">
        <f ca="1">+'TUSD BE'!$T$16+'TUSD BE'!$AB$16+'TUSD BE'!$AD$16+'TUSD BE'!$AL$16</f>
        <v>20.988170293236912</v>
      </c>
    </row>
    <row r="17" spans="1:42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>
        <f>'TUSD BE'!$L$17*'TUSD BE'!$L$58</f>
        <v>-8.0884776063391701</v>
      </c>
      <c r="M17" s="30">
        <f>'TUSD BE'!$M$17*'TUSD BE'!$M$58</f>
        <v>-0.18603066192766296</v>
      </c>
      <c r="N17" s="30">
        <f ca="1">'TUSD BE'!$N$17*'TUSD BE'!$N$58</f>
        <v>1.8208852347556439E-5</v>
      </c>
      <c r="O17" s="30">
        <f>'TUSD BE'!$O$17*'TUSD BE'!$O$58</f>
        <v>0</v>
      </c>
      <c r="P17" s="30">
        <f>'TUSD BE'!$P$17*'TUSD BE'!$P$58</f>
        <v>0</v>
      </c>
      <c r="Q17" s="30">
        <f>'TUSD BE'!$Q$17*'TUSD BE'!$Q$58</f>
        <v>-1.3623079771265838</v>
      </c>
      <c r="R17" s="30">
        <f>'TUSD BE'!$R$17*'TUSD BE'!$R$58</f>
        <v>0</v>
      </c>
      <c r="S17" s="30">
        <f>'TUSD BE'!$R$17*'TUSD BE'!$S$58</f>
        <v>0</v>
      </c>
      <c r="T17" s="30">
        <f ca="1">SUM($L$17:$S$17)</f>
        <v>-9.6367980365410695</v>
      </c>
      <c r="U17" s="30">
        <f>'TUSD BE'!$U$17*'TUSD BE'!$U$58</f>
        <v>0</v>
      </c>
      <c r="V17" s="30">
        <f>'TUSD BE'!$V$17*'TUSD BE'!$V$58</f>
        <v>0</v>
      </c>
      <c r="W17" s="30">
        <f>'TUSD BE'!$W$17*'TUSD BE'!$W$58</f>
        <v>-1.4320699375198567</v>
      </c>
      <c r="X17" s="30">
        <f>'TUSD BE'!$X$17*'TUSD BE'!$X$58</f>
        <v>0</v>
      </c>
      <c r="Y17" s="30">
        <f>'TUSD BE'!$Y$17*'TUSD BE'!$Y$58</f>
        <v>0</v>
      </c>
      <c r="Z17" s="30">
        <f>'TUSD BE'!$Z$17*'TUSD BE'!$Z$58</f>
        <v>0</v>
      </c>
      <c r="AA17" s="30">
        <f>'TUSD BE'!$AA$17*'TUSD BE'!$AA$58</f>
        <v>0</v>
      </c>
      <c r="AB17" s="30">
        <f>SUM($U$17:$AA$17)</f>
        <v>-1.4320699375198567</v>
      </c>
      <c r="AC17" s="30">
        <f>'TUSD BE'!$AC$17*'TUSD BE'!$AC$58</f>
        <v>16.251295166270388</v>
      </c>
      <c r="AD17" s="30">
        <f>SUM($AC$17:$AC$17)</f>
        <v>16.251295166270388</v>
      </c>
      <c r="AE17" s="30">
        <f ca="1">$AO$17*$AO$55</f>
        <v>0</v>
      </c>
      <c r="AF17" s="30">
        <f ca="1">$AP$17*$AP$55</f>
        <v>0</v>
      </c>
      <c r="AG17" s="30">
        <f ca="1">SUM($AE$17:$AF$17)</f>
        <v>0</v>
      </c>
      <c r="AH17" s="30">
        <f>'TUSD BE'!$AH$17*'TUSD BE'!$AH$58</f>
        <v>-0.9891457828359016</v>
      </c>
      <c r="AI17" s="30">
        <f>'TUSD BE'!$AI$17*'TUSD BE'!$AI$58</f>
        <v>0</v>
      </c>
      <c r="AJ17" s="30">
        <f ca="1">'TUSD BE'!$AJ$17*'TUSD BE'!$AJ$58</f>
        <v>-1.3100044639248709</v>
      </c>
      <c r="AK17" s="30">
        <f ca="1">'TUSD BE'!$AK$17*'TUSD BE'!$AK$58</f>
        <v>-4.9917983695086141E-2</v>
      </c>
      <c r="AL17" s="30">
        <f ca="1">SUM($AH$17:$AK$17)</f>
        <v>-2.3490682304558588</v>
      </c>
      <c r="AM17" s="30">
        <f ca="1">SUMIF($L$4:$AL$4,"SUBTOTAL",$L$17:$AL$17)</f>
        <v>2.8333589617536044</v>
      </c>
      <c r="AO17" s="42">
        <f ca="1">+'TUSD BE'!$T$17+'TUSD BE'!$AB$17+'TUSD BE'!$AD$17+'TUSD BE'!$AL$17</f>
        <v>900.672851161587</v>
      </c>
      <c r="AP17" s="42">
        <f ca="1">+'TUSD BE'!$T$17+'TUSD BE'!$AB$17+'TUSD BE'!$AD$17+'TUSD BE'!$AL$17</f>
        <v>900.672851161587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>
        <f>'TUSD BE'!$L$18*'TUSD BE'!$L$58</f>
        <v>-8.0884776063391701</v>
      </c>
      <c r="M18" s="30">
        <f>'TUSD BE'!$M$18*'TUSD BE'!$M$58</f>
        <v>-0.18603066192766296</v>
      </c>
      <c r="N18" s="30">
        <f ca="1">'TUSD BE'!$N$18*'TUSD BE'!$N$58</f>
        <v>1.2335654063830154E-5</v>
      </c>
      <c r="O18" s="30">
        <f>'TUSD BE'!$O$18*'TUSD BE'!$O$58</f>
        <v>0</v>
      </c>
      <c r="P18" s="30">
        <f>'TUSD BE'!$P$18*'TUSD BE'!$P$58</f>
        <v>0</v>
      </c>
      <c r="Q18" s="30">
        <f>'TUSD BE'!$Q$18*'TUSD BE'!$Q$58</f>
        <v>-1.3623079771265838</v>
      </c>
      <c r="R18" s="30">
        <f>'TUSD BE'!$R$18*'TUSD BE'!$R$58</f>
        <v>0</v>
      </c>
      <c r="S18" s="30">
        <f>'TUSD BE'!$R$18*'TUSD BE'!$S$58</f>
        <v>0</v>
      </c>
      <c r="T18" s="30">
        <f ca="1">SUM($L$18:$S$18)</f>
        <v>-9.6368039097393527</v>
      </c>
      <c r="U18" s="30">
        <f>'TUSD BE'!$U$18*'TUSD BE'!$U$58</f>
        <v>0</v>
      </c>
      <c r="V18" s="30">
        <f>'TUSD BE'!$V$18*'TUSD BE'!$V$58</f>
        <v>0</v>
      </c>
      <c r="W18" s="30">
        <f>'TUSD BE'!$W$18*'TUSD BE'!$W$58</f>
        <v>-0.85755220447354241</v>
      </c>
      <c r="X18" s="30">
        <f>'TUSD BE'!$X$18*'TUSD BE'!$X$58</f>
        <v>0</v>
      </c>
      <c r="Y18" s="30">
        <f>'TUSD BE'!$Y$18*'TUSD BE'!$Y$58</f>
        <v>0</v>
      </c>
      <c r="Z18" s="30">
        <f>'TUSD BE'!$Z$18*'TUSD BE'!$Z$58</f>
        <v>0</v>
      </c>
      <c r="AA18" s="30">
        <f>'TUSD BE'!$AA$18*'TUSD BE'!$AA$58</f>
        <v>0</v>
      </c>
      <c r="AB18" s="30">
        <f>SUM($U$18:$AA$18)</f>
        <v>-0.85755220447354241</v>
      </c>
      <c r="AC18" s="30">
        <f>'TUSD BE'!$AC$18*'TUSD BE'!$AC$58</f>
        <v>9.7507760620401989</v>
      </c>
      <c r="AD18" s="30">
        <f>SUM($AC$18:$AC$18)</f>
        <v>9.7507760620401989</v>
      </c>
      <c r="AE18" s="30">
        <f ca="1">$AO$18*$AO$55</f>
        <v>0</v>
      </c>
      <c r="AF18" s="30">
        <f ca="1">$AP$18*$AP$55</f>
        <v>0</v>
      </c>
      <c r="AG18" s="30">
        <f ca="1">SUM($AE$18:$AF$18)</f>
        <v>0</v>
      </c>
      <c r="AH18" s="30">
        <f>'TUSD BE'!$AH$18*'TUSD BE'!$AH$58</f>
        <v>-0.9891457828359016</v>
      </c>
      <c r="AI18" s="30">
        <f>'TUSD BE'!$AI$18*'TUSD BE'!$AI$58</f>
        <v>0</v>
      </c>
      <c r="AJ18" s="30">
        <f ca="1">'TUSD BE'!$AJ$18*'TUSD BE'!$AJ$58</f>
        <v>-1.3100044639248709</v>
      </c>
      <c r="AK18" s="30">
        <f ca="1">'TUSD BE'!$AK$18*'TUSD BE'!$AK$58</f>
        <v>-4.9917983695086141E-2</v>
      </c>
      <c r="AL18" s="30">
        <f ca="1">SUM($AH$18:$AK$18)</f>
        <v>-2.3490682304558588</v>
      </c>
      <c r="AM18" s="30">
        <f ca="1">SUMIF($L$4:$AL$4,"SUBTOTAL",$L$18:$AL$18)</f>
        <v>-3.0926482826285548</v>
      </c>
      <c r="AO18" s="42">
        <f ca="1">+'TUSD BE'!$T$18+'TUSD BE'!$AB$18+'TUSD BE'!$AD$18+'TUSD BE'!$AL$18</f>
        <v>599.6200239537626</v>
      </c>
      <c r="AP18" s="42">
        <f ca="1">+'TUSD BE'!$T$18+'TUSD BE'!$AB$18+'TUSD BE'!$AD$18+'TUSD BE'!$AL$18</f>
        <v>599.6200239537626</v>
      </c>
    </row>
    <row r="19" spans="1:42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>
        <f>'TUSD BE'!$L$19*'TUSD BE'!$L$58</f>
        <v>-8.0884776063391701</v>
      </c>
      <c r="M19" s="30">
        <f>'TUSD BE'!$M$19*'TUSD BE'!$M$58</f>
        <v>-0.18603066192766296</v>
      </c>
      <c r="N19" s="30">
        <f ca="1">'TUSD BE'!$N$19*'TUSD BE'!$N$58</f>
        <v>6.4624604677421781E-6</v>
      </c>
      <c r="O19" s="30">
        <f>'TUSD BE'!$O$19*'TUSD BE'!$O$58</f>
        <v>0</v>
      </c>
      <c r="P19" s="30">
        <f>'TUSD BE'!$P$19*'TUSD BE'!$P$58</f>
        <v>0</v>
      </c>
      <c r="Q19" s="30">
        <f>'TUSD BE'!$Q$19*'TUSD BE'!$Q$58</f>
        <v>-1.3623079771265838</v>
      </c>
      <c r="R19" s="30">
        <f>'TUSD BE'!$R$19*'TUSD BE'!$R$58</f>
        <v>0</v>
      </c>
      <c r="S19" s="30">
        <f>'TUSD BE'!$R$19*'TUSD BE'!$S$58</f>
        <v>0</v>
      </c>
      <c r="T19" s="30">
        <f ca="1">SUM($L$19:$S$19)</f>
        <v>-9.63680978293295</v>
      </c>
      <c r="U19" s="30">
        <f>'TUSD BE'!$U$19*'TUSD BE'!$U$58</f>
        <v>0</v>
      </c>
      <c r="V19" s="30">
        <f>'TUSD BE'!$V$19*'TUSD BE'!$V$58</f>
        <v>0</v>
      </c>
      <c r="W19" s="30">
        <f>'TUSD BE'!$W$19*'TUSD BE'!$W$58</f>
        <v>-0.28725886652315707</v>
      </c>
      <c r="X19" s="30">
        <f>'TUSD BE'!$X$19*'TUSD BE'!$X$58</f>
        <v>0</v>
      </c>
      <c r="Y19" s="30">
        <f>'TUSD BE'!$Y$19*'TUSD BE'!$Y$58</f>
        <v>0</v>
      </c>
      <c r="Z19" s="30">
        <f>'TUSD BE'!$Z$19*'TUSD BE'!$Z$58</f>
        <v>0</v>
      </c>
      <c r="AA19" s="30">
        <f>'TUSD BE'!$AA$19*'TUSD BE'!$AA$58</f>
        <v>0</v>
      </c>
      <c r="AB19" s="30">
        <f>SUM($U$19:$AA$19)</f>
        <v>-0.28725886652315707</v>
      </c>
      <c r="AC19" s="30">
        <f>'TUSD BE'!$AC$19*'TUSD BE'!$AC$58</f>
        <v>3.250259552115093</v>
      </c>
      <c r="AD19" s="30">
        <f>SUM($AC$19:$AC$19)</f>
        <v>3.250259552115093</v>
      </c>
      <c r="AE19" s="30">
        <f ca="1">$AO$19*$AO$55</f>
        <v>0</v>
      </c>
      <c r="AF19" s="30">
        <f ca="1">$AP$19*$AP$55</f>
        <v>0</v>
      </c>
      <c r="AG19" s="30">
        <f ca="1">SUM($AE$19:$AF$19)</f>
        <v>0</v>
      </c>
      <c r="AH19" s="30">
        <f>'TUSD BE'!$AH$19*'TUSD BE'!$AH$58</f>
        <v>-0.9891457828359016</v>
      </c>
      <c r="AI19" s="30">
        <f>'TUSD BE'!$AI$19*'TUSD BE'!$AI$58</f>
        <v>0</v>
      </c>
      <c r="AJ19" s="30">
        <f ca="1">'TUSD BE'!$AJ$19*'TUSD BE'!$AJ$58</f>
        <v>-1.3100044639248709</v>
      </c>
      <c r="AK19" s="30">
        <f ca="1">'TUSD BE'!$AK$19*'TUSD BE'!$AK$58</f>
        <v>-4.9917983695086141E-2</v>
      </c>
      <c r="AL19" s="30">
        <f ca="1">SUM($AH$19:$AK$19)</f>
        <v>-2.3490682304558588</v>
      </c>
      <c r="AM19" s="30">
        <f ca="1">SUMIF($L$4:$AL$4,"SUBTOTAL",$L$19:$AL$19)</f>
        <v>-9.0228773277968735</v>
      </c>
      <c r="AO19" s="42">
        <f ca="1">+'TUSD BE'!$T$19+'TUSD BE'!$AB$19+'TUSD BE'!$AD$19+'TUSD BE'!$AL$19</f>
        <v>298.58775047406664</v>
      </c>
      <c r="AP19" s="42">
        <f ca="1">+'TUSD BE'!$T$19+'TUSD BE'!$AB$19+'TUSD BE'!$AD$19+'TUSD BE'!$AL$19</f>
        <v>298.58775047406664</v>
      </c>
    </row>
    <row r="20" spans="1:42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>
        <f>'TUSD BE'!$L$20*'TUSD BE'!$L$58</f>
        <v>-8.0884776063391701</v>
      </c>
      <c r="M20" s="30">
        <f>'TUSD BE'!$M$20*'TUSD BE'!$M$58</f>
        <v>-0.18603066192766296</v>
      </c>
      <c r="N20" s="30">
        <f ca="1">'TUSD BE'!$N$20*'TUSD BE'!$N$58</f>
        <v>8.3399557053942984E-6</v>
      </c>
      <c r="O20" s="30">
        <f>'TUSD BE'!$O$20*'TUSD BE'!$O$58</f>
        <v>0</v>
      </c>
      <c r="P20" s="30">
        <f>'TUSD BE'!$P$20*'TUSD BE'!$P$58</f>
        <v>0</v>
      </c>
      <c r="Q20" s="30">
        <f>'TUSD BE'!$Q$20*'TUSD BE'!$Q$58</f>
        <v>-1.3623079771265838</v>
      </c>
      <c r="R20" s="30">
        <f>'TUSD BE'!$R$20*'TUSD BE'!$R$58</f>
        <v>0</v>
      </c>
      <c r="S20" s="30">
        <f>'TUSD BE'!$R$20*'TUSD BE'!$S$58</f>
        <v>0</v>
      </c>
      <c r="T20" s="30">
        <f ca="1">SUM($L$20:$S$20)</f>
        <v>-9.6368079054377116</v>
      </c>
      <c r="U20" s="30">
        <f>'TUSD BE'!$U$20*'TUSD BE'!$U$58</f>
        <v>0</v>
      </c>
      <c r="V20" s="30">
        <f>'TUSD BE'!$V$20*'TUSD BE'!$V$58</f>
        <v>0</v>
      </c>
      <c r="W20" s="30">
        <f>'TUSD BE'!$W$20*'TUSD BE'!$W$58</f>
        <v>-0.46890785564809473</v>
      </c>
      <c r="X20" s="30">
        <f>'TUSD BE'!$X$20*'TUSD BE'!$X$58</f>
        <v>0</v>
      </c>
      <c r="Y20" s="30">
        <f>'TUSD BE'!$Y$20*'TUSD BE'!$Y$58</f>
        <v>0</v>
      </c>
      <c r="Z20" s="30">
        <f>'TUSD BE'!$Z$20*'TUSD BE'!$Z$58</f>
        <v>0</v>
      </c>
      <c r="AA20" s="30">
        <f>'TUSD BE'!$AA$20*'TUSD BE'!$AA$58</f>
        <v>0</v>
      </c>
      <c r="AB20" s="30">
        <f>SUM($U$20:$AA$20)</f>
        <v>-0.46890785564809473</v>
      </c>
      <c r="AC20" s="30">
        <f>'TUSD BE'!$AC$20*'TUSD BE'!$AC$58</f>
        <v>5.3282927316051847</v>
      </c>
      <c r="AD20" s="30">
        <f>SUM($AC$20:$AC$20)</f>
        <v>5.3282927316051847</v>
      </c>
      <c r="AE20" s="30">
        <f ca="1">$AO$20*$AO$55</f>
        <v>0</v>
      </c>
      <c r="AF20" s="30">
        <f ca="1">$AP$20*$AP$55</f>
        <v>0</v>
      </c>
      <c r="AG20" s="30">
        <f ca="1">SUM($AE$20:$AF$20)</f>
        <v>0</v>
      </c>
      <c r="AH20" s="30">
        <f>'TUSD BE'!$AH$20*'TUSD BE'!$AH$58</f>
        <v>-0.9891457828359016</v>
      </c>
      <c r="AI20" s="30">
        <f>'TUSD BE'!$AI$20*'TUSD BE'!$AI$58</f>
        <v>0</v>
      </c>
      <c r="AJ20" s="30">
        <f ca="1">'TUSD BE'!$AJ$20*'TUSD BE'!$AJ$58</f>
        <v>-1.3100044639248709</v>
      </c>
      <c r="AK20" s="30">
        <f ca="1">'TUSD BE'!$AK$20*'TUSD BE'!$AK$58</f>
        <v>-4.9917983695086141E-2</v>
      </c>
      <c r="AL20" s="30">
        <f ca="1">SUM($AH$20:$AK$20)</f>
        <v>-2.3490682304558588</v>
      </c>
      <c r="AM20" s="30">
        <f ca="1">SUMIF($L$4:$AL$4,"SUBTOTAL",$L$20:$AL$20)</f>
        <v>-7.12649125993648</v>
      </c>
      <c r="AO20" s="42">
        <f ca="1">+'TUSD BE'!$T$20+'TUSD BE'!$AB$20+'TUSD BE'!$AD$20+'TUSD BE'!$AL$20</f>
        <v>394.81616032798513</v>
      </c>
      <c r="AP20" s="42">
        <f ca="1">+'TUSD BE'!$T$20+'TUSD BE'!$AB$20+'TUSD BE'!$AD$20+'TUSD BE'!$AL$20</f>
        <v>394.81616032798513</v>
      </c>
    </row>
    <row r="21" spans="1:42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>
        <f>'TUSD BE'!$L$21*'TUSD BE'!$L$58</f>
        <v>0</v>
      </c>
      <c r="M21" s="30">
        <f>'TUSD BE'!$M$21*'TUSD BE'!$M$58</f>
        <v>-0.18603066192766296</v>
      </c>
      <c r="N21" s="30">
        <f ca="1">'TUSD BE'!$N$21*'TUSD BE'!$N$58</f>
        <v>8.3165175138703681E-6</v>
      </c>
      <c r="O21" s="30">
        <f>'TUSD BE'!$O$21*'TUSD BE'!$O$58</f>
        <v>0</v>
      </c>
      <c r="P21" s="30">
        <f>'TUSD BE'!$P$21*'TUSD BE'!$P$58</f>
        <v>0</v>
      </c>
      <c r="Q21" s="30">
        <f>'TUSD BE'!$Q$21*'TUSD BE'!$Q$58</f>
        <v>0</v>
      </c>
      <c r="R21" s="30">
        <f>'TUSD BE'!$R$21*'TUSD BE'!$R$58</f>
        <v>0</v>
      </c>
      <c r="S21" s="30">
        <f>'TUSD BE'!$R$21*'TUSD BE'!$S$58</f>
        <v>0</v>
      </c>
      <c r="T21" s="30">
        <f ca="1">SUM($L$21:$S$21)</f>
        <v>-0.18602234541014909</v>
      </c>
      <c r="U21" s="30">
        <f>'TUSD BE'!$U$21*'TUSD BE'!$U$58</f>
        <v>0</v>
      </c>
      <c r="V21" s="30">
        <f>'TUSD BE'!$V$21*'TUSD BE'!$V$58</f>
        <v>0</v>
      </c>
      <c r="W21" s="30">
        <f>'TUSD BE'!$W$21*'TUSD BE'!$W$58</f>
        <v>-0.46890785564809473</v>
      </c>
      <c r="X21" s="30">
        <f>'TUSD BE'!$X$21*'TUSD BE'!$X$58</f>
        <v>0</v>
      </c>
      <c r="Y21" s="30">
        <f>'TUSD BE'!$Y$21*'TUSD BE'!$Y$58</f>
        <v>0</v>
      </c>
      <c r="Z21" s="30">
        <f>'TUSD BE'!$Z$21*'TUSD BE'!$Z$58</f>
        <v>0</v>
      </c>
      <c r="AA21" s="30">
        <f>'TUSD BE'!$AA$21*'TUSD BE'!$AA$58</f>
        <v>0</v>
      </c>
      <c r="AB21" s="30">
        <f>SUM($U$21:$AA$21)</f>
        <v>-0.46890785564809473</v>
      </c>
      <c r="AC21" s="30">
        <f>'TUSD BE'!$AC$21*'TUSD BE'!$AC$58</f>
        <v>5.3282927316051847</v>
      </c>
      <c r="AD21" s="30">
        <f>SUM($AC$21:$AC$21)</f>
        <v>5.3282927316051847</v>
      </c>
      <c r="AE21" s="30">
        <f ca="1">$AO$21*$AO$55</f>
        <v>0</v>
      </c>
      <c r="AF21" s="30">
        <f ca="1">$AP$21*$AP$55</f>
        <v>0</v>
      </c>
      <c r="AG21" s="30">
        <f ca="1">SUM($AE$21:$AF$21)</f>
        <v>0</v>
      </c>
      <c r="AH21" s="30">
        <f>'TUSD BE'!$AH$21*'TUSD BE'!$AH$58</f>
        <v>-0.9891457828359016</v>
      </c>
      <c r="AI21" s="30">
        <f>'TUSD BE'!$AI$21*'TUSD BE'!$AI$58</f>
        <v>0</v>
      </c>
      <c r="AJ21" s="30">
        <f ca="1">'TUSD BE'!$AJ$21*'TUSD BE'!$AJ$58</f>
        <v>-1.3100044639248709</v>
      </c>
      <c r="AK21" s="30">
        <f ca="1">'TUSD BE'!$AK$21*'TUSD BE'!$AK$58</f>
        <v>-4.9917983695086141E-2</v>
      </c>
      <c r="AL21" s="30">
        <f ca="1">SUM($AH$21:$AK$21)</f>
        <v>-2.3490682304558588</v>
      </c>
      <c r="AM21" s="30">
        <f ca="1">SUMIF($L$4:$AL$4,"SUBTOTAL",$L$21:$AL$21)</f>
        <v>2.3242943000910818</v>
      </c>
      <c r="AO21" s="42">
        <f ca="1">+'TUSD BE'!$T$21+'TUSD BE'!$AB$21+'TUSD BE'!$AD$21+'TUSD BE'!$AL$21</f>
        <v>337.84952414072416</v>
      </c>
      <c r="AP21" s="42">
        <f ca="1">+'TUSD BE'!$T$21+'TUSD BE'!$AB$21+'TUSD BE'!$AD$21+'TUSD BE'!$AL$21</f>
        <v>337.84952414072416</v>
      </c>
    </row>
    <row r="22" spans="1:42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>
        <f>'TUSD BE'!$L$22*'TUSD BE'!$L$58</f>
        <v>0</v>
      </c>
      <c r="M22" s="30">
        <f>'TUSD BE'!$M$22*'TUSD BE'!$M$58</f>
        <v>-0.18603066192766296</v>
      </c>
      <c r="N22" s="30">
        <f ca="1">'TUSD BE'!$N$22*'TUSD BE'!$N$58</f>
        <v>8.3165175138703681E-6</v>
      </c>
      <c r="O22" s="30">
        <f>'TUSD BE'!$O$22*'TUSD BE'!$O$58</f>
        <v>0</v>
      </c>
      <c r="P22" s="30">
        <f>'TUSD BE'!$P$22*'TUSD BE'!$P$58</f>
        <v>0</v>
      </c>
      <c r="Q22" s="30">
        <f>'TUSD BE'!$Q$22*'TUSD BE'!$Q$58</f>
        <v>0</v>
      </c>
      <c r="R22" s="30">
        <f>'TUSD BE'!$R$22*'TUSD BE'!$R$58</f>
        <v>0</v>
      </c>
      <c r="S22" s="30">
        <f>'TUSD BE'!$R$22*'TUSD BE'!$S$58</f>
        <v>0</v>
      </c>
      <c r="T22" s="30">
        <f ca="1">SUM($L$22:$S$22)</f>
        <v>-0.18602234541014909</v>
      </c>
      <c r="U22" s="30">
        <f>'TUSD BE'!$U$22*'TUSD BE'!$U$58</f>
        <v>0</v>
      </c>
      <c r="V22" s="30">
        <f>'TUSD BE'!$V$22*'TUSD BE'!$V$58</f>
        <v>0</v>
      </c>
      <c r="W22" s="30">
        <f>'TUSD BE'!$W$22*'TUSD BE'!$W$58</f>
        <v>-0.46890785564809473</v>
      </c>
      <c r="X22" s="30">
        <f>'TUSD BE'!$X$22*'TUSD BE'!$X$58</f>
        <v>0</v>
      </c>
      <c r="Y22" s="30">
        <f>'TUSD BE'!$Y$22*'TUSD BE'!$Y$58</f>
        <v>0</v>
      </c>
      <c r="Z22" s="30">
        <f>'TUSD BE'!$Z$22*'TUSD BE'!$Z$58</f>
        <v>0</v>
      </c>
      <c r="AA22" s="30">
        <f>'TUSD BE'!$AA$22*'TUSD BE'!$AA$58</f>
        <v>0</v>
      </c>
      <c r="AB22" s="30">
        <f>SUM($U$22:$AA$22)</f>
        <v>-0.46890785564809473</v>
      </c>
      <c r="AC22" s="30">
        <f>'TUSD BE'!$AC$22*'TUSD BE'!$AC$58</f>
        <v>5.3282927316051847</v>
      </c>
      <c r="AD22" s="30">
        <f>SUM($AC$22:$AC$22)</f>
        <v>5.3282927316051847</v>
      </c>
      <c r="AE22" s="30">
        <f ca="1">$AO$22*$AO$55</f>
        <v>0</v>
      </c>
      <c r="AF22" s="30">
        <f ca="1">$AP$22*$AP$55</f>
        <v>0</v>
      </c>
      <c r="AG22" s="30">
        <f ca="1">SUM($AE$22:$AF$22)</f>
        <v>0</v>
      </c>
      <c r="AH22" s="30">
        <f>'TUSD BE'!$AH$22*'TUSD BE'!$AH$58</f>
        <v>-0.9891457828359016</v>
      </c>
      <c r="AI22" s="30">
        <f>'TUSD BE'!$AI$22*'TUSD BE'!$AI$58</f>
        <v>0</v>
      </c>
      <c r="AJ22" s="30">
        <f ca="1">'TUSD BE'!$AJ$22*'TUSD BE'!$AJ$58</f>
        <v>-1.3100044639248709</v>
      </c>
      <c r="AK22" s="30">
        <f ca="1">'TUSD BE'!$AK$22*'TUSD BE'!$AK$58</f>
        <v>-4.9917983695086141E-2</v>
      </c>
      <c r="AL22" s="30">
        <f ca="1">SUM($AH$22:$AK$22)</f>
        <v>-2.3490682304558588</v>
      </c>
      <c r="AM22" s="30">
        <f ca="1">SUMIF($L$4:$AL$4,"SUBTOTAL",$L$22:$AL$22)</f>
        <v>2.3242943000910818</v>
      </c>
      <c r="AO22" s="42">
        <f ca="1">+'TUSD BE'!$T$22+'TUSD BE'!$AB$22+'TUSD BE'!$AD$22+'TUSD BE'!$AL$22</f>
        <v>337.84952414072416</v>
      </c>
      <c r="AP22" s="42">
        <f ca="1">+'TUSD BE'!$T$22+'TUSD BE'!$AB$22+'TUSD BE'!$AD$22+'TUSD BE'!$AL$22</f>
        <v>337.84952414072416</v>
      </c>
    </row>
    <row r="23" spans="1:42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>
        <f>'TUSD BE'!$L$23*'TUSD BE'!$L$58</f>
        <v>0</v>
      </c>
      <c r="M23" s="30">
        <f>'TUSD BE'!$M$23*'TUSD BE'!$M$58</f>
        <v>-0.18603066192766296</v>
      </c>
      <c r="N23" s="30">
        <f ca="1">'TUSD BE'!$N$23*'TUSD BE'!$N$58</f>
        <v>8.3165175138703681E-6</v>
      </c>
      <c r="O23" s="30">
        <f>'TUSD BE'!$O$23*'TUSD BE'!$O$58</f>
        <v>0</v>
      </c>
      <c r="P23" s="30">
        <f>'TUSD BE'!$P$23*'TUSD BE'!$P$58</f>
        <v>0</v>
      </c>
      <c r="Q23" s="30">
        <f>'TUSD BE'!$Q$23*'TUSD BE'!$Q$58</f>
        <v>0</v>
      </c>
      <c r="R23" s="30">
        <f>'TUSD BE'!$R$23*'TUSD BE'!$R$58</f>
        <v>0</v>
      </c>
      <c r="S23" s="30">
        <f>'TUSD BE'!$R$23*'TUSD BE'!$S$58</f>
        <v>0</v>
      </c>
      <c r="T23" s="30">
        <f ca="1">SUM($L$23:$S$23)</f>
        <v>-0.18602234541014909</v>
      </c>
      <c r="U23" s="30">
        <f>'TUSD BE'!$U$23*'TUSD BE'!$U$58</f>
        <v>0</v>
      </c>
      <c r="V23" s="30">
        <f>'TUSD BE'!$V$23*'TUSD BE'!$V$58</f>
        <v>0</v>
      </c>
      <c r="W23" s="30">
        <f>'TUSD BE'!$W$23*'TUSD BE'!$W$58</f>
        <v>-0.46890785564809473</v>
      </c>
      <c r="X23" s="30">
        <f>'TUSD BE'!$X$23*'TUSD BE'!$X$58</f>
        <v>0</v>
      </c>
      <c r="Y23" s="30">
        <f>'TUSD BE'!$Y$23*'TUSD BE'!$Y$58</f>
        <v>0</v>
      </c>
      <c r="Z23" s="30">
        <f>'TUSD BE'!$Z$23*'TUSD BE'!$Z$58</f>
        <v>0</v>
      </c>
      <c r="AA23" s="30">
        <f>'TUSD BE'!$AA$23*'TUSD BE'!$AA$58</f>
        <v>0</v>
      </c>
      <c r="AB23" s="30">
        <f>SUM($U$23:$AA$23)</f>
        <v>-0.46890785564809473</v>
      </c>
      <c r="AC23" s="30">
        <f>'TUSD BE'!$AC$23*'TUSD BE'!$AC$58</f>
        <v>5.3282927316051847</v>
      </c>
      <c r="AD23" s="30">
        <f>SUM($AC$23:$AC$23)</f>
        <v>5.3282927316051847</v>
      </c>
      <c r="AE23" s="30">
        <f ca="1">$AO$23*$AO$55</f>
        <v>0</v>
      </c>
      <c r="AF23" s="30">
        <f ca="1">$AP$23*$AP$55</f>
        <v>0</v>
      </c>
      <c r="AG23" s="30">
        <f ca="1">SUM($AE$23:$AF$23)</f>
        <v>0</v>
      </c>
      <c r="AH23" s="30">
        <f>'TUSD BE'!$AH$23*'TUSD BE'!$AH$58</f>
        <v>-0.9891457828359016</v>
      </c>
      <c r="AI23" s="30">
        <f>'TUSD BE'!$AI$23*'TUSD BE'!$AI$58</f>
        <v>0</v>
      </c>
      <c r="AJ23" s="30">
        <f ca="1">'TUSD BE'!$AJ$23*'TUSD BE'!$AJ$58</f>
        <v>-1.3100044639248709</v>
      </c>
      <c r="AK23" s="30">
        <f ca="1">'TUSD BE'!$AK$23*'TUSD BE'!$AK$58</f>
        <v>-4.9917983695086141E-2</v>
      </c>
      <c r="AL23" s="30">
        <f ca="1">SUM($AH$23:$AK$23)</f>
        <v>-2.3490682304558588</v>
      </c>
      <c r="AM23" s="30">
        <f ca="1">SUMIF($L$4:$AL$4,"SUBTOTAL",$L$23:$AL$23)</f>
        <v>2.3242943000910818</v>
      </c>
      <c r="AO23" s="42">
        <f ca="1">+'TUSD BE'!$T$23+'TUSD BE'!$AB$23+'TUSD BE'!$AD$23+'TUSD BE'!$AL$23</f>
        <v>337.84952414072416</v>
      </c>
      <c r="AP23" s="42">
        <f ca="1">+'TUSD BE'!$T$23+'TUSD BE'!$AB$23+'TUSD BE'!$AD$23+'TUSD BE'!$AL$23</f>
        <v>337.84952414072416</v>
      </c>
    </row>
    <row r="24" spans="1:42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>
        <f>'TUSD BE'!$L$24*'TUSD BE'!$L$58</f>
        <v>0</v>
      </c>
      <c r="M24" s="30">
        <f>'TUSD BE'!$M$24*'TUSD BE'!$M$58</f>
        <v>-0.18603066192766296</v>
      </c>
      <c r="N24" s="30">
        <f ca="1">'TUSD BE'!$N$24*'TUSD BE'!$N$58</f>
        <v>8.3165175138703681E-6</v>
      </c>
      <c r="O24" s="30">
        <f>'TUSD BE'!$O$24*'TUSD BE'!$O$58</f>
        <v>0</v>
      </c>
      <c r="P24" s="30">
        <f>'TUSD BE'!$P$24*'TUSD BE'!$P$58</f>
        <v>0</v>
      </c>
      <c r="Q24" s="30">
        <f>'TUSD BE'!$Q$24*'TUSD BE'!$Q$58</f>
        <v>0</v>
      </c>
      <c r="R24" s="30">
        <f>'TUSD BE'!$R$24*'TUSD BE'!$R$58</f>
        <v>0</v>
      </c>
      <c r="S24" s="30">
        <f>'TUSD BE'!$R$24*'TUSD BE'!$S$58</f>
        <v>0</v>
      </c>
      <c r="T24" s="30">
        <f ca="1">SUM($L$24:$S$24)</f>
        <v>-0.18602234541014909</v>
      </c>
      <c r="U24" s="30">
        <f>'TUSD BE'!$U$24*'TUSD BE'!$U$58</f>
        <v>0</v>
      </c>
      <c r="V24" s="30">
        <f>'TUSD BE'!$V$24*'TUSD BE'!$V$58</f>
        <v>0</v>
      </c>
      <c r="W24" s="30">
        <f>'TUSD BE'!$W$24*'TUSD BE'!$W$58</f>
        <v>-0.46890785564809473</v>
      </c>
      <c r="X24" s="30">
        <f>'TUSD BE'!$X$24*'TUSD BE'!$X$58</f>
        <v>0</v>
      </c>
      <c r="Y24" s="30">
        <f>'TUSD BE'!$Y$24*'TUSD BE'!$Y$58</f>
        <v>0</v>
      </c>
      <c r="Z24" s="30">
        <f>'TUSD BE'!$Z$24*'TUSD BE'!$Z$58</f>
        <v>0</v>
      </c>
      <c r="AA24" s="30">
        <f>'TUSD BE'!$AA$24*'TUSD BE'!$AA$58</f>
        <v>0</v>
      </c>
      <c r="AB24" s="30">
        <f>SUM($U$24:$AA$24)</f>
        <v>-0.46890785564809473</v>
      </c>
      <c r="AC24" s="30">
        <f>'TUSD BE'!$AC$24*'TUSD BE'!$AC$58</f>
        <v>5.3282927316051847</v>
      </c>
      <c r="AD24" s="30">
        <f>SUM($AC$24:$AC$24)</f>
        <v>5.3282927316051847</v>
      </c>
      <c r="AE24" s="30">
        <f ca="1">$AO$24*$AO$55</f>
        <v>0</v>
      </c>
      <c r="AF24" s="30">
        <f ca="1">$AP$24*$AP$55</f>
        <v>0</v>
      </c>
      <c r="AG24" s="30">
        <f ca="1">SUM($AE$24:$AF$24)</f>
        <v>0</v>
      </c>
      <c r="AH24" s="30">
        <f>'TUSD BE'!$AH$24*'TUSD BE'!$AH$58</f>
        <v>-0.9891457828359016</v>
      </c>
      <c r="AI24" s="30">
        <f>'TUSD BE'!$AI$24*'TUSD BE'!$AI$58</f>
        <v>0</v>
      </c>
      <c r="AJ24" s="30">
        <f ca="1">'TUSD BE'!$AJ$24*'TUSD BE'!$AJ$58</f>
        <v>-1.3100044639248709</v>
      </c>
      <c r="AK24" s="30">
        <f ca="1">'TUSD BE'!$AK$24*'TUSD BE'!$AK$58</f>
        <v>-4.9917983695086141E-2</v>
      </c>
      <c r="AL24" s="30">
        <f ca="1">SUM($AH$24:$AK$24)</f>
        <v>-2.3490682304558588</v>
      </c>
      <c r="AM24" s="30">
        <f ca="1">SUMIF($L$4:$AL$4,"SUBTOTAL",$L$24:$AL$24)</f>
        <v>2.3242943000910818</v>
      </c>
      <c r="AO24" s="42">
        <f ca="1">+'TUSD BE'!$T$24+'TUSD BE'!$AB$24+'TUSD BE'!$AD$24+'TUSD BE'!$AL$24</f>
        <v>337.84952414072416</v>
      </c>
      <c r="AP24" s="42">
        <f ca="1">+'TUSD BE'!$T$24+'TUSD BE'!$AB$24+'TUSD BE'!$AD$24+'TUSD BE'!$AL$24</f>
        <v>337.84952414072416</v>
      </c>
    </row>
    <row r="25" spans="1:42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>
        <f>'TUSD BE'!$L$25*'TUSD BE'!$L$58</f>
        <v>-8.0884776063391701</v>
      </c>
      <c r="M25" s="30">
        <f>'TUSD BE'!$M$25*'TUSD BE'!$M$58</f>
        <v>-0.18603066192766296</v>
      </c>
      <c r="N25" s="30">
        <f ca="1">'TUSD BE'!$N$25*'TUSD BE'!$N$58</f>
        <v>8.3399557053942984E-6</v>
      </c>
      <c r="O25" s="30">
        <f>'TUSD BE'!$O$25*'TUSD BE'!$O$58</f>
        <v>0</v>
      </c>
      <c r="P25" s="30">
        <f>'TUSD BE'!$P$25*'TUSD BE'!$P$58</f>
        <v>0</v>
      </c>
      <c r="Q25" s="30">
        <f>'TUSD BE'!$Q$25*'TUSD BE'!$Q$58</f>
        <v>-1.3623079771265838</v>
      </c>
      <c r="R25" s="30">
        <f>'TUSD BE'!$R$25*'TUSD BE'!$R$58</f>
        <v>0</v>
      </c>
      <c r="S25" s="30">
        <f>'TUSD BE'!$R$25*'TUSD BE'!$S$58</f>
        <v>0</v>
      </c>
      <c r="T25" s="30">
        <f ca="1">SUM($L$25:$S$25)</f>
        <v>-9.6368079054377116</v>
      </c>
      <c r="U25" s="30">
        <f>'TUSD BE'!$U$25*'TUSD BE'!$U$58</f>
        <v>0</v>
      </c>
      <c r="V25" s="30">
        <f>'TUSD BE'!$V$25*'TUSD BE'!$V$58</f>
        <v>0</v>
      </c>
      <c r="W25" s="30">
        <f>'TUSD BE'!$W$25*'TUSD BE'!$W$58</f>
        <v>-0.46890785564809473</v>
      </c>
      <c r="X25" s="30">
        <f>'TUSD BE'!$X$25*'TUSD BE'!$X$58</f>
        <v>0</v>
      </c>
      <c r="Y25" s="30">
        <f>'TUSD BE'!$Y$25*'TUSD BE'!$Y$58</f>
        <v>0</v>
      </c>
      <c r="Z25" s="30">
        <f>'TUSD BE'!$Z$25*'TUSD BE'!$Z$58</f>
        <v>0</v>
      </c>
      <c r="AA25" s="30">
        <f>'TUSD BE'!$AA$25*'TUSD BE'!$AA$58</f>
        <v>0</v>
      </c>
      <c r="AB25" s="30">
        <f>SUM($U$25:$AA$25)</f>
        <v>-0.46890785564809473</v>
      </c>
      <c r="AC25" s="30">
        <f>'TUSD BE'!$AC$25*'TUSD BE'!$AC$58</f>
        <v>5.3282927316051847</v>
      </c>
      <c r="AD25" s="30">
        <f>SUM($AC$25:$AC$25)</f>
        <v>5.3282927316051847</v>
      </c>
      <c r="AE25" s="30">
        <f ca="1">$AO$25*$AO$55</f>
        <v>0</v>
      </c>
      <c r="AF25" s="30">
        <f ca="1">$AP$25*$AP$55</f>
        <v>0</v>
      </c>
      <c r="AG25" s="30">
        <f ca="1">SUM($AE$25:$AF$25)</f>
        <v>0</v>
      </c>
      <c r="AH25" s="30">
        <f>'TUSD BE'!$AH$25*'TUSD BE'!$AH$58</f>
        <v>-0.9891457828359016</v>
      </c>
      <c r="AI25" s="30">
        <f>'TUSD BE'!$AI$25*'TUSD BE'!$AI$58</f>
        <v>0</v>
      </c>
      <c r="AJ25" s="30">
        <f ca="1">'TUSD BE'!$AJ$25*'TUSD BE'!$AJ$58</f>
        <v>-1.3100044639248709</v>
      </c>
      <c r="AK25" s="30">
        <f ca="1">'TUSD BE'!$AK$25*'TUSD BE'!$AK$58</f>
        <v>-4.9917983695086141E-2</v>
      </c>
      <c r="AL25" s="30">
        <f ca="1">SUM($AH$25:$AK$25)</f>
        <v>-2.3490682304558588</v>
      </c>
      <c r="AM25" s="30">
        <f ca="1">SUMIF($L$4:$AL$4,"SUBTOTAL",$L$25:$AL$25)</f>
        <v>-7.12649125993648</v>
      </c>
      <c r="AO25" s="42">
        <f ca="1">+'TUSD BE'!$T$25+'TUSD BE'!$AB$25+'TUSD BE'!$AD$25+'TUSD BE'!$AL$25</f>
        <v>394.81616032798513</v>
      </c>
      <c r="AP25" s="42">
        <f ca="1">+'TUSD BE'!$T$25+'TUSD BE'!$AB$25+'TUSD BE'!$AD$25+'TUSD BE'!$AL$25</f>
        <v>394.81616032798513</v>
      </c>
    </row>
    <row r="26" spans="1:42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>
        <f>'TUSD BE'!$L$26*'TUSD BE'!$L$58</f>
        <v>0</v>
      </c>
      <c r="M26" s="30">
        <f>'TUSD BE'!$M$26*'TUSD BE'!$M$58</f>
        <v>-0.18603066192766296</v>
      </c>
      <c r="N26" s="30">
        <f ca="1">'TUSD BE'!$N$26*'TUSD BE'!$N$58</f>
        <v>8.3165175138703681E-6</v>
      </c>
      <c r="O26" s="30">
        <f>'TUSD BE'!$O$26*'TUSD BE'!$O$58</f>
        <v>0</v>
      </c>
      <c r="P26" s="30">
        <f>'TUSD BE'!$P$26*'TUSD BE'!$P$58</f>
        <v>0</v>
      </c>
      <c r="Q26" s="30">
        <f>'TUSD BE'!$Q$26*'TUSD BE'!$Q$58</f>
        <v>0</v>
      </c>
      <c r="R26" s="30">
        <f>'TUSD BE'!$R$26*'TUSD BE'!$R$58</f>
        <v>0</v>
      </c>
      <c r="S26" s="30">
        <f>'TUSD BE'!$R$26*'TUSD BE'!$S$58</f>
        <v>0</v>
      </c>
      <c r="T26" s="30">
        <f ca="1">SUM($L$26:$S$26)</f>
        <v>-0.18602234541014909</v>
      </c>
      <c r="U26" s="30">
        <f>'TUSD BE'!$U$26*'TUSD BE'!$U$58</f>
        <v>0</v>
      </c>
      <c r="V26" s="30">
        <f>'TUSD BE'!$V$26*'TUSD BE'!$V$58</f>
        <v>0</v>
      </c>
      <c r="W26" s="30">
        <f>'TUSD BE'!$W$26*'TUSD BE'!$W$58</f>
        <v>-0.46890785564809473</v>
      </c>
      <c r="X26" s="30">
        <f>'TUSD BE'!$X$26*'TUSD BE'!$X$58</f>
        <v>0</v>
      </c>
      <c r="Y26" s="30">
        <f>'TUSD BE'!$Y$26*'TUSD BE'!$Y$58</f>
        <v>0</v>
      </c>
      <c r="Z26" s="30">
        <f>'TUSD BE'!$Z$26*'TUSD BE'!$Z$58</f>
        <v>0</v>
      </c>
      <c r="AA26" s="30">
        <f>'TUSD BE'!$AA$26*'TUSD BE'!$AA$58</f>
        <v>0</v>
      </c>
      <c r="AB26" s="30">
        <f>SUM($U$26:$AA$26)</f>
        <v>-0.46890785564809473</v>
      </c>
      <c r="AC26" s="30">
        <f>'TUSD BE'!$AC$26*'TUSD BE'!$AC$58</f>
        <v>5.3282927316051847</v>
      </c>
      <c r="AD26" s="30">
        <f>SUM($AC$26:$AC$26)</f>
        <v>5.3282927316051847</v>
      </c>
      <c r="AE26" s="30">
        <f ca="1">$AO$26*$AO$55</f>
        <v>0</v>
      </c>
      <c r="AF26" s="30">
        <f ca="1">$AP$26*$AP$55</f>
        <v>0</v>
      </c>
      <c r="AG26" s="30">
        <f ca="1">SUM($AE$26:$AF$26)</f>
        <v>0</v>
      </c>
      <c r="AH26" s="30">
        <f>'TUSD BE'!$AH$26*'TUSD BE'!$AH$58</f>
        <v>-0.9891457828359016</v>
      </c>
      <c r="AI26" s="30">
        <f>'TUSD BE'!$AI$26*'TUSD BE'!$AI$58</f>
        <v>0</v>
      </c>
      <c r="AJ26" s="30">
        <f ca="1">'TUSD BE'!$AJ$26*'TUSD BE'!$AJ$58</f>
        <v>-1.3100044639248709</v>
      </c>
      <c r="AK26" s="30">
        <f ca="1">'TUSD BE'!$AK$26*'TUSD BE'!$AK$58</f>
        <v>-4.9917983695086141E-2</v>
      </c>
      <c r="AL26" s="30">
        <f ca="1">SUM($AH$26:$AK$26)</f>
        <v>-2.3490682304558588</v>
      </c>
      <c r="AM26" s="30">
        <f ca="1">SUMIF($L$4:$AL$4,"SUBTOTAL",$L$26:$AL$26)</f>
        <v>2.3242943000910818</v>
      </c>
      <c r="AO26" s="42">
        <f ca="1">+'TUSD BE'!$T$26+'TUSD BE'!$AB$26+'TUSD BE'!$AD$26+'TUSD BE'!$AL$26</f>
        <v>337.84952414072416</v>
      </c>
      <c r="AP26" s="42">
        <f ca="1">+'TUSD BE'!$T$26+'TUSD BE'!$AB$26+'TUSD BE'!$AD$26+'TUSD BE'!$AL$26</f>
        <v>337.84952414072416</v>
      </c>
    </row>
    <row r="27" spans="1:42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>
        <f>'TUSD BE'!$L$27*'TUSD BE'!$L$58</f>
        <v>0</v>
      </c>
      <c r="M27" s="30">
        <f>'TUSD BE'!$M$27*'TUSD BE'!$M$58</f>
        <v>-0.18603066192766296</v>
      </c>
      <c r="N27" s="30">
        <f ca="1">'TUSD BE'!$N$27*'TUSD BE'!$N$58</f>
        <v>8.3165175138703681E-6</v>
      </c>
      <c r="O27" s="30">
        <f>'TUSD BE'!$O$27*'TUSD BE'!$O$58</f>
        <v>0</v>
      </c>
      <c r="P27" s="30">
        <f>'TUSD BE'!$P$27*'TUSD BE'!$P$58</f>
        <v>0</v>
      </c>
      <c r="Q27" s="30">
        <f>'TUSD BE'!$Q$27*'TUSD BE'!$Q$58</f>
        <v>0</v>
      </c>
      <c r="R27" s="30">
        <f>'TUSD BE'!$R$27*'TUSD BE'!$R$58</f>
        <v>0</v>
      </c>
      <c r="S27" s="30">
        <f>'TUSD BE'!$R$27*'TUSD BE'!$S$58</f>
        <v>0</v>
      </c>
      <c r="T27" s="30">
        <f ca="1">SUM($L$27:$S$27)</f>
        <v>-0.18602234541014909</v>
      </c>
      <c r="U27" s="30">
        <f>'TUSD BE'!$U$27*'TUSD BE'!$U$58</f>
        <v>0</v>
      </c>
      <c r="V27" s="30">
        <f>'TUSD BE'!$V$27*'TUSD BE'!$V$58</f>
        <v>0</v>
      </c>
      <c r="W27" s="30">
        <f>'TUSD BE'!$W$27*'TUSD BE'!$W$58</f>
        <v>-0.46890785564809473</v>
      </c>
      <c r="X27" s="30">
        <f>'TUSD BE'!$X$27*'TUSD BE'!$X$58</f>
        <v>0</v>
      </c>
      <c r="Y27" s="30">
        <f>'TUSD BE'!$Y$27*'TUSD BE'!$Y$58</f>
        <v>0</v>
      </c>
      <c r="Z27" s="30">
        <f>'TUSD BE'!$Z$27*'TUSD BE'!$Z$58</f>
        <v>0</v>
      </c>
      <c r="AA27" s="30">
        <f>'TUSD BE'!$AA$27*'TUSD BE'!$AA$58</f>
        <v>0</v>
      </c>
      <c r="AB27" s="30">
        <f>SUM($U$27:$AA$27)</f>
        <v>-0.46890785564809473</v>
      </c>
      <c r="AC27" s="30">
        <f>'TUSD BE'!$AC$27*'TUSD BE'!$AC$58</f>
        <v>5.3282927316051847</v>
      </c>
      <c r="AD27" s="30">
        <f>SUM($AC$27:$AC$27)</f>
        <v>5.3282927316051847</v>
      </c>
      <c r="AE27" s="30">
        <f ca="1">$AO$27*$AO$55</f>
        <v>0</v>
      </c>
      <c r="AF27" s="30">
        <f ca="1">$AP$27*$AP$55</f>
        <v>0</v>
      </c>
      <c r="AG27" s="30">
        <f ca="1">SUM($AE$27:$AF$27)</f>
        <v>0</v>
      </c>
      <c r="AH27" s="30">
        <f>'TUSD BE'!$AH$27*'TUSD BE'!$AH$58</f>
        <v>-0.9891457828359016</v>
      </c>
      <c r="AI27" s="30">
        <f>'TUSD BE'!$AI$27*'TUSD BE'!$AI$58</f>
        <v>0</v>
      </c>
      <c r="AJ27" s="30">
        <f ca="1">'TUSD BE'!$AJ$27*'TUSD BE'!$AJ$58</f>
        <v>-1.3100044639248709</v>
      </c>
      <c r="AK27" s="30">
        <f ca="1">'TUSD BE'!$AK$27*'TUSD BE'!$AK$58</f>
        <v>-4.9917983695086141E-2</v>
      </c>
      <c r="AL27" s="30">
        <f ca="1">SUM($AH$27:$AK$27)</f>
        <v>-2.3490682304558588</v>
      </c>
      <c r="AM27" s="30">
        <f ca="1">SUMIF($L$4:$AL$4,"SUBTOTAL",$L$27:$AL$27)</f>
        <v>2.3242943000910818</v>
      </c>
      <c r="AO27" s="42">
        <f ca="1">+'TUSD BE'!$T$27+'TUSD BE'!$AB$27+'TUSD BE'!$AD$27+'TUSD BE'!$AL$27</f>
        <v>337.84952414072416</v>
      </c>
      <c r="AP27" s="42">
        <f ca="1">+'TUSD BE'!$T$27+'TUSD BE'!$AB$27+'TUSD BE'!$AD$27+'TUSD BE'!$AL$27</f>
        <v>337.84952414072416</v>
      </c>
    </row>
    <row r="28" spans="1:42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>
        <f>'TUSD BE'!$L$28*'TUSD BE'!$L$58</f>
        <v>0</v>
      </c>
      <c r="M28" s="30">
        <f>'TUSD BE'!$M$28*'TUSD BE'!$M$58</f>
        <v>-0.18603066192766296</v>
      </c>
      <c r="N28" s="30">
        <f ca="1">'TUSD BE'!$N$28*'TUSD BE'!$N$58</f>
        <v>8.3165175138703681E-6</v>
      </c>
      <c r="O28" s="30">
        <f>'TUSD BE'!$O$28*'TUSD BE'!$O$58</f>
        <v>0</v>
      </c>
      <c r="P28" s="30">
        <f>'TUSD BE'!$P$28*'TUSD BE'!$P$58</f>
        <v>0</v>
      </c>
      <c r="Q28" s="30">
        <f>'TUSD BE'!$Q$28*'TUSD BE'!$Q$58</f>
        <v>0</v>
      </c>
      <c r="R28" s="30">
        <f>'TUSD BE'!$R$28*'TUSD BE'!$R$58</f>
        <v>0</v>
      </c>
      <c r="S28" s="30">
        <f>'TUSD BE'!$R$28*'TUSD BE'!$S$58</f>
        <v>0</v>
      </c>
      <c r="T28" s="30">
        <f ca="1">SUM($L$28:$S$28)</f>
        <v>-0.18602234541014909</v>
      </c>
      <c r="U28" s="30">
        <f>'TUSD BE'!$U$28*'TUSD BE'!$U$58</f>
        <v>0</v>
      </c>
      <c r="V28" s="30">
        <f>'TUSD BE'!$V$28*'TUSD BE'!$V$58</f>
        <v>0</v>
      </c>
      <c r="W28" s="30">
        <f>'TUSD BE'!$W$28*'TUSD BE'!$W$58</f>
        <v>-0.46890785564809473</v>
      </c>
      <c r="X28" s="30">
        <f>'TUSD BE'!$X$28*'TUSD BE'!$X$58</f>
        <v>0</v>
      </c>
      <c r="Y28" s="30">
        <f>'TUSD BE'!$Y$28*'TUSD BE'!$Y$58</f>
        <v>0</v>
      </c>
      <c r="Z28" s="30">
        <f>'TUSD BE'!$Z$28*'TUSD BE'!$Z$58</f>
        <v>0</v>
      </c>
      <c r="AA28" s="30">
        <f>'TUSD BE'!$AA$28*'TUSD BE'!$AA$58</f>
        <v>0</v>
      </c>
      <c r="AB28" s="30">
        <f>SUM($U$28:$AA$28)</f>
        <v>-0.46890785564809473</v>
      </c>
      <c r="AC28" s="30">
        <f>'TUSD BE'!$AC$28*'TUSD BE'!$AC$58</f>
        <v>5.3282927316051847</v>
      </c>
      <c r="AD28" s="30">
        <f>SUM($AC$28:$AC$28)</f>
        <v>5.3282927316051847</v>
      </c>
      <c r="AE28" s="30">
        <f ca="1">$AO$28*$AO$55</f>
        <v>0</v>
      </c>
      <c r="AF28" s="30">
        <f ca="1">$AP$28*$AP$55</f>
        <v>0</v>
      </c>
      <c r="AG28" s="30">
        <f ca="1">SUM($AE$28:$AF$28)</f>
        <v>0</v>
      </c>
      <c r="AH28" s="30">
        <f>'TUSD BE'!$AH$28*'TUSD BE'!$AH$58</f>
        <v>-0.9891457828359016</v>
      </c>
      <c r="AI28" s="30">
        <f>'TUSD BE'!$AI$28*'TUSD BE'!$AI$58</f>
        <v>0</v>
      </c>
      <c r="AJ28" s="30">
        <f ca="1">'TUSD BE'!$AJ$28*'TUSD BE'!$AJ$58</f>
        <v>-1.3100044639248709</v>
      </c>
      <c r="AK28" s="30">
        <f ca="1">'TUSD BE'!$AK$28*'TUSD BE'!$AK$58</f>
        <v>-4.9917983695086141E-2</v>
      </c>
      <c r="AL28" s="30">
        <f ca="1">SUM($AH$28:$AK$28)</f>
        <v>-2.3490682304558588</v>
      </c>
      <c r="AM28" s="30">
        <f ca="1">SUMIF($L$4:$AL$4,"SUBTOTAL",$L$28:$AL$28)</f>
        <v>2.3242943000910818</v>
      </c>
      <c r="AO28" s="42">
        <f ca="1">+'TUSD BE'!$T$28+'TUSD BE'!$AB$28+'TUSD BE'!$AD$28+'TUSD BE'!$AL$28</f>
        <v>337.84952414072416</v>
      </c>
      <c r="AP28" s="42">
        <f ca="1">+'TUSD BE'!$T$28+'TUSD BE'!$AB$28+'TUSD BE'!$AD$28+'TUSD BE'!$AL$28</f>
        <v>337.84952414072416</v>
      </c>
    </row>
    <row r="29" spans="1:42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>
        <f>'TUSD BE'!$L$29*'TUSD BE'!$L$58</f>
        <v>0</v>
      </c>
      <c r="M29" s="30">
        <f>'TUSD BE'!$M$29*'TUSD BE'!$M$58</f>
        <v>-0.18603066192766296</v>
      </c>
      <c r="N29" s="30">
        <f ca="1">'TUSD BE'!$N$29*'TUSD BE'!$N$58</f>
        <v>8.3165175138703681E-6</v>
      </c>
      <c r="O29" s="30">
        <f>'TUSD BE'!$O$29*'TUSD BE'!$O$58</f>
        <v>0</v>
      </c>
      <c r="P29" s="30">
        <f>'TUSD BE'!$P$29*'TUSD BE'!$P$58</f>
        <v>0</v>
      </c>
      <c r="Q29" s="30">
        <f>'TUSD BE'!$Q$29*'TUSD BE'!$Q$58</f>
        <v>0</v>
      </c>
      <c r="R29" s="30">
        <f>'TUSD BE'!$R$29*'TUSD BE'!$R$58</f>
        <v>0</v>
      </c>
      <c r="S29" s="30">
        <f>'TUSD BE'!$R$29*'TUSD BE'!$S$58</f>
        <v>0</v>
      </c>
      <c r="T29" s="30">
        <f ca="1">SUM($L$29:$S$29)</f>
        <v>-0.18602234541014909</v>
      </c>
      <c r="U29" s="30">
        <f>'TUSD BE'!$U$29*'TUSD BE'!$U$58</f>
        <v>0</v>
      </c>
      <c r="V29" s="30">
        <f>'TUSD BE'!$V$29*'TUSD BE'!$V$58</f>
        <v>0</v>
      </c>
      <c r="W29" s="30">
        <f>'TUSD BE'!$W$29*'TUSD BE'!$W$58</f>
        <v>-0.46890785564809473</v>
      </c>
      <c r="X29" s="30">
        <f>'TUSD BE'!$X$29*'TUSD BE'!$X$58</f>
        <v>0</v>
      </c>
      <c r="Y29" s="30">
        <f>'TUSD BE'!$Y$29*'TUSD BE'!$Y$58</f>
        <v>0</v>
      </c>
      <c r="Z29" s="30">
        <f>'TUSD BE'!$Z$29*'TUSD BE'!$Z$58</f>
        <v>0</v>
      </c>
      <c r="AA29" s="30">
        <f>'TUSD BE'!$AA$29*'TUSD BE'!$AA$58</f>
        <v>0</v>
      </c>
      <c r="AB29" s="30">
        <f>SUM($U$29:$AA$29)</f>
        <v>-0.46890785564809473</v>
      </c>
      <c r="AC29" s="30">
        <f>'TUSD BE'!$AC$29*'TUSD BE'!$AC$58</f>
        <v>5.3282927316051847</v>
      </c>
      <c r="AD29" s="30">
        <f>SUM($AC$29:$AC$29)</f>
        <v>5.3282927316051847</v>
      </c>
      <c r="AE29" s="30">
        <f ca="1">$AO$29*$AO$55</f>
        <v>0</v>
      </c>
      <c r="AF29" s="30">
        <f ca="1">$AP$29*$AP$55</f>
        <v>0</v>
      </c>
      <c r="AG29" s="30">
        <f ca="1">SUM($AE$29:$AF$29)</f>
        <v>0</v>
      </c>
      <c r="AH29" s="30">
        <f>'TUSD BE'!$AH$29*'TUSD BE'!$AH$58</f>
        <v>-0.9891457828359016</v>
      </c>
      <c r="AI29" s="30">
        <f>'TUSD BE'!$AI$29*'TUSD BE'!$AI$58</f>
        <v>0</v>
      </c>
      <c r="AJ29" s="30">
        <f ca="1">'TUSD BE'!$AJ$29*'TUSD BE'!$AJ$58</f>
        <v>-1.3100044639248709</v>
      </c>
      <c r="AK29" s="30">
        <f ca="1">'TUSD BE'!$AK$29*'TUSD BE'!$AK$58</f>
        <v>-4.9917983695086141E-2</v>
      </c>
      <c r="AL29" s="30">
        <f ca="1">SUM($AH$29:$AK$29)</f>
        <v>-2.3490682304558588</v>
      </c>
      <c r="AM29" s="30">
        <f ca="1">SUMIF($L$4:$AL$4,"SUBTOTAL",$L$29:$AL$29)</f>
        <v>2.3242943000910818</v>
      </c>
      <c r="AO29" s="42">
        <f ca="1">+'TUSD BE'!$T$29+'TUSD BE'!$AB$29+'TUSD BE'!$AD$29+'TUSD BE'!$AL$29</f>
        <v>337.84952414072416</v>
      </c>
      <c r="AP29" s="42">
        <f ca="1">+'TUSD BE'!$T$29+'TUSD BE'!$AB$29+'TUSD BE'!$AD$29+'TUSD BE'!$AL$29</f>
        <v>337.84952414072416</v>
      </c>
    </row>
    <row r="30" spans="1:42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>
        <f>'TUSD BE'!$L$30*'TUSD BE'!$L$58</f>
        <v>-8.0884776063391701</v>
      </c>
      <c r="M30" s="30">
        <f>'TUSD BE'!$M$30*'TUSD BE'!$M$58</f>
        <v>-0.18603066192766296</v>
      </c>
      <c r="N30" s="30">
        <f ca="1">'TUSD BE'!$N$30*'TUSD BE'!$N$58</f>
        <v>1.8930964277855532E-5</v>
      </c>
      <c r="O30" s="30">
        <f>'TUSD BE'!$O$30*'TUSD BE'!$O$58</f>
        <v>0</v>
      </c>
      <c r="P30" s="30">
        <f>'TUSD BE'!$P$30*'TUSD BE'!$P$58</f>
        <v>0</v>
      </c>
      <c r="Q30" s="30">
        <f>'TUSD BE'!$Q$30*'TUSD BE'!$Q$58</f>
        <v>-1.3623079771265838</v>
      </c>
      <c r="R30" s="30">
        <f>'TUSD BE'!$R$30*'TUSD BE'!$R$58</f>
        <v>0</v>
      </c>
      <c r="S30" s="30">
        <f>'TUSD BE'!$R$30*'TUSD BE'!$S$58</f>
        <v>0</v>
      </c>
      <c r="T30" s="30">
        <f ca="1">SUM($L$30:$S$30)</f>
        <v>-9.6367973144291401</v>
      </c>
      <c r="U30" s="30">
        <f>'TUSD BE'!$U$30*'TUSD BE'!$U$58</f>
        <v>0</v>
      </c>
      <c r="V30" s="30">
        <f>'TUSD BE'!$V$30*'TUSD BE'!$V$58</f>
        <v>0</v>
      </c>
      <c r="W30" s="30">
        <f>'TUSD BE'!$W$30*'TUSD BE'!$W$58</f>
        <v>-1.499660259054717</v>
      </c>
      <c r="X30" s="30">
        <f>'TUSD BE'!$X$30*'TUSD BE'!$X$58</f>
        <v>0</v>
      </c>
      <c r="Y30" s="30">
        <f>'TUSD BE'!$Y$30*'TUSD BE'!$Y$58</f>
        <v>0</v>
      </c>
      <c r="Z30" s="30">
        <f>'TUSD BE'!$Z$30*'TUSD BE'!$Z$58</f>
        <v>0</v>
      </c>
      <c r="AA30" s="30">
        <f>'TUSD BE'!$AA$30*'TUSD BE'!$AA$58</f>
        <v>0</v>
      </c>
      <c r="AB30" s="30">
        <f>SUM($U$30:$AA$30)</f>
        <v>-1.499660259054717</v>
      </c>
      <c r="AC30" s="30">
        <f>'TUSD BE'!$AC$30*'TUSD BE'!$AC$58</f>
        <v>17.05053829771964</v>
      </c>
      <c r="AD30" s="30">
        <f>SUM($AC$30:$AC$30)</f>
        <v>17.05053829771964</v>
      </c>
      <c r="AE30" s="30">
        <f ca="1">$AO$30*$AO$55</f>
        <v>0</v>
      </c>
      <c r="AF30" s="30">
        <f ca="1">$AP$30*$AP$55</f>
        <v>0</v>
      </c>
      <c r="AG30" s="30">
        <f ca="1">SUM($AE$30:$AF$30)</f>
        <v>0</v>
      </c>
      <c r="AH30" s="30">
        <f>'TUSD BE'!$AH$30*'TUSD BE'!$AH$58</f>
        <v>-0.9891457828359016</v>
      </c>
      <c r="AI30" s="30">
        <f>'TUSD BE'!$AI$30*'TUSD BE'!$AI$58</f>
        <v>0</v>
      </c>
      <c r="AJ30" s="30">
        <f ca="1">'TUSD BE'!$AJ$30*'TUSD BE'!$AJ$58</f>
        <v>-1.3100044639248709</v>
      </c>
      <c r="AK30" s="30">
        <f ca="1">'TUSD BE'!$AK$30*'TUSD BE'!$AK$58</f>
        <v>-4.9917983695086141E-2</v>
      </c>
      <c r="AL30" s="30">
        <f ca="1">SUM($AH$30:$AK$30)</f>
        <v>-2.3490682304558588</v>
      </c>
      <c r="AM30" s="30">
        <f ca="1">SUMIF($L$4:$AL$4,"SUBTOTAL",$L$30:$AL$30)</f>
        <v>3.5650124937799239</v>
      </c>
      <c r="AO30" s="42">
        <f ca="1">+'TUSD BE'!$T$30+'TUSD BE'!$AB$30+'TUSD BE'!$AD$30+'TUSD BE'!$AL$30</f>
        <v>937.6727564205047</v>
      </c>
      <c r="AP30" s="42">
        <f ca="1">+'TUSD BE'!$T$30+'TUSD BE'!$AB$30+'TUSD BE'!$AD$30+'TUSD BE'!$AL$30</f>
        <v>937.6727564205047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>
        <f>'TUSD BE'!$L$31*'TUSD BE'!$L$58</f>
        <v>-8.0884776063391701</v>
      </c>
      <c r="M31" s="30">
        <f>'TUSD BE'!$M$31*'TUSD BE'!$M$58</f>
        <v>-0.18603066192766296</v>
      </c>
      <c r="N31" s="30">
        <f ca="1">'TUSD BE'!$N$31*'TUSD BE'!$N$58</f>
        <v>1.2768923097064934E-5</v>
      </c>
      <c r="O31" s="30">
        <f>'TUSD BE'!$O$31*'TUSD BE'!$O$58</f>
        <v>0</v>
      </c>
      <c r="P31" s="30">
        <f>'TUSD BE'!$P$31*'TUSD BE'!$P$58</f>
        <v>0</v>
      </c>
      <c r="Q31" s="30">
        <f>'TUSD BE'!$Q$31*'TUSD BE'!$Q$58</f>
        <v>-1.3623079771265838</v>
      </c>
      <c r="R31" s="30">
        <f>'TUSD BE'!$R$31*'TUSD BE'!$R$58</f>
        <v>0</v>
      </c>
      <c r="S31" s="30">
        <f>'TUSD BE'!$R$31*'TUSD BE'!$S$58</f>
        <v>0</v>
      </c>
      <c r="T31" s="30">
        <f ca="1">SUM($L$31:$S$31)</f>
        <v>-9.6368034764703197</v>
      </c>
      <c r="U31" s="30">
        <f>'TUSD BE'!$U$31*'TUSD BE'!$U$58</f>
        <v>0</v>
      </c>
      <c r="V31" s="30">
        <f>'TUSD BE'!$V$31*'TUSD BE'!$V$58</f>
        <v>0</v>
      </c>
      <c r="W31" s="30">
        <f>'TUSD BE'!$W$31*'TUSD BE'!$W$58</f>
        <v>-0.89979615543283031</v>
      </c>
      <c r="X31" s="30">
        <f>'TUSD BE'!$X$31*'TUSD BE'!$X$58</f>
        <v>0</v>
      </c>
      <c r="Y31" s="30">
        <f>'TUSD BE'!$Y$31*'TUSD BE'!$Y$58</f>
        <v>0</v>
      </c>
      <c r="Z31" s="30">
        <f>'TUSD BE'!$Z$31*'TUSD BE'!$Z$58</f>
        <v>0</v>
      </c>
      <c r="AA31" s="30">
        <f>'TUSD BE'!$AA$31*'TUSD BE'!$AA$58</f>
        <v>0</v>
      </c>
      <c r="AB31" s="30">
        <f>SUM($U$31:$AA$31)</f>
        <v>-0.89979615543283031</v>
      </c>
      <c r="AC31" s="30">
        <f>'TUSD BE'!$AC$31*'TUSD BE'!$AC$58</f>
        <v>10.230322978631785</v>
      </c>
      <c r="AD31" s="30">
        <f>SUM($AC$31:$AC$31)</f>
        <v>10.230322978631785</v>
      </c>
      <c r="AE31" s="30">
        <f ca="1">$AO$31*$AO$55</f>
        <v>0</v>
      </c>
      <c r="AF31" s="30">
        <f ca="1">$AP$31*$AP$55</f>
        <v>0</v>
      </c>
      <c r="AG31" s="30">
        <f ca="1">SUM($AE$31:$AF$31)</f>
        <v>0</v>
      </c>
      <c r="AH31" s="30">
        <f>'TUSD BE'!$AH$31*'TUSD BE'!$AH$58</f>
        <v>-0.9891457828359016</v>
      </c>
      <c r="AI31" s="30">
        <f>'TUSD BE'!$AI$31*'TUSD BE'!$AI$58</f>
        <v>0</v>
      </c>
      <c r="AJ31" s="30">
        <f ca="1">'TUSD BE'!$AJ$31*'TUSD BE'!$AJ$58</f>
        <v>-1.3100044639248709</v>
      </c>
      <c r="AK31" s="30">
        <f ca="1">'TUSD BE'!$AK$31*'TUSD BE'!$AK$58</f>
        <v>-4.9917983695086141E-2</v>
      </c>
      <c r="AL31" s="30">
        <f ca="1">SUM($AH$31:$AK$31)</f>
        <v>-2.3490682304558588</v>
      </c>
      <c r="AM31" s="30">
        <f ca="1">SUMIF($L$4:$AL$4,"SUBTOTAL",$L$31:$AL$31)</f>
        <v>-2.6553448837272233</v>
      </c>
      <c r="AO31" s="42">
        <f ca="1">+'TUSD BE'!$T$31+'TUSD BE'!$AB$31+'TUSD BE'!$AD$31+'TUSD BE'!$AL$31</f>
        <v>621.82818860036457</v>
      </c>
      <c r="AP31" s="42">
        <f ca="1">+'TUSD BE'!$T$31+'TUSD BE'!$AB$31+'TUSD BE'!$AD$31+'TUSD BE'!$AL$31</f>
        <v>621.82818860036457</v>
      </c>
    </row>
    <row r="32" spans="1:42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>
        <f>'TUSD BE'!$L$32*'TUSD BE'!$L$58</f>
        <v>-8.0884776063391701</v>
      </c>
      <c r="M32" s="30">
        <f>'TUSD BE'!$M$32*'TUSD BE'!$M$58</f>
        <v>-0.18603066192766296</v>
      </c>
      <c r="N32" s="30">
        <f ca="1">'TUSD BE'!$N$32*'TUSD BE'!$N$58</f>
        <v>6.6068819162743348E-6</v>
      </c>
      <c r="O32" s="30">
        <f>'TUSD BE'!$O$32*'TUSD BE'!$O$58</f>
        <v>0</v>
      </c>
      <c r="P32" s="30">
        <f>'TUSD BE'!$P$32*'TUSD BE'!$P$58</f>
        <v>0</v>
      </c>
      <c r="Q32" s="30">
        <f>'TUSD BE'!$Q$32*'TUSD BE'!$Q$58</f>
        <v>-1.3623079771265838</v>
      </c>
      <c r="R32" s="30">
        <f>'TUSD BE'!$R$32*'TUSD BE'!$R$58</f>
        <v>0</v>
      </c>
      <c r="S32" s="30">
        <f>'TUSD BE'!$R$32*'TUSD BE'!$S$58</f>
        <v>0</v>
      </c>
      <c r="T32" s="30">
        <f ca="1">SUM($L$32:$S$32)</f>
        <v>-9.636809638511501</v>
      </c>
      <c r="U32" s="30">
        <f>'TUSD BE'!$U$32*'TUSD BE'!$U$58</f>
        <v>0</v>
      </c>
      <c r="V32" s="30">
        <f>'TUSD BE'!$V$32*'TUSD BE'!$V$58</f>
        <v>0</v>
      </c>
      <c r="W32" s="30">
        <f>'TUSD BE'!$W$32*'TUSD BE'!$W$58</f>
        <v>-0.29993205181094346</v>
      </c>
      <c r="X32" s="30">
        <f>'TUSD BE'!$X$32*'TUSD BE'!$X$58</f>
        <v>0</v>
      </c>
      <c r="Y32" s="30">
        <f>'TUSD BE'!$Y$32*'TUSD BE'!$Y$58</f>
        <v>0</v>
      </c>
      <c r="Z32" s="30">
        <f>'TUSD BE'!$Z$32*'TUSD BE'!$Z$58</f>
        <v>0</v>
      </c>
      <c r="AA32" s="30">
        <f>'TUSD BE'!$AA$32*'TUSD BE'!$AA$58</f>
        <v>0</v>
      </c>
      <c r="AB32" s="30">
        <f>SUM($U$32:$AA$32)</f>
        <v>-0.29993205181094346</v>
      </c>
      <c r="AC32" s="30">
        <f>'TUSD BE'!$AC$32*'TUSD BE'!$AC$58</f>
        <v>3.4101076595439279</v>
      </c>
      <c r="AD32" s="30">
        <f>SUM($AC$32:$AC$32)</f>
        <v>3.4101076595439279</v>
      </c>
      <c r="AE32" s="30">
        <f ca="1">$AO$32*$AO$55</f>
        <v>0</v>
      </c>
      <c r="AF32" s="30">
        <f ca="1">$AP$32*$AP$55</f>
        <v>0</v>
      </c>
      <c r="AG32" s="30">
        <f ca="1">SUM($AE$32:$AF$32)</f>
        <v>0</v>
      </c>
      <c r="AH32" s="30">
        <f>'TUSD BE'!$AH$32*'TUSD BE'!$AH$58</f>
        <v>-0.9891457828359016</v>
      </c>
      <c r="AI32" s="30">
        <f>'TUSD BE'!$AI$32*'TUSD BE'!$AI$58</f>
        <v>0</v>
      </c>
      <c r="AJ32" s="30">
        <f ca="1">'TUSD BE'!$AJ$32*'TUSD BE'!$AJ$58</f>
        <v>-1.3100044639248709</v>
      </c>
      <c r="AK32" s="30">
        <f ca="1">'TUSD BE'!$AK$32*'TUSD BE'!$AK$58</f>
        <v>-4.9917983695086141E-2</v>
      </c>
      <c r="AL32" s="30">
        <f ca="1">SUM($AH$32:$AK$32)</f>
        <v>-2.3490682304558588</v>
      </c>
      <c r="AM32" s="30">
        <f ca="1">SUMIF($L$4:$AL$4,"SUBTOTAL",$L$32:$AL$32)</f>
        <v>-8.875702261234375</v>
      </c>
      <c r="AO32" s="42">
        <f ca="1">+'TUSD BE'!$T$32+'TUSD BE'!$AB$32+'TUSD BE'!$AD$32+'TUSD BE'!$AL$32</f>
        <v>305.98362078022444</v>
      </c>
      <c r="AP32" s="42">
        <f ca="1">+'TUSD BE'!$T$32+'TUSD BE'!$AB$32+'TUSD BE'!$AD$32+'TUSD BE'!$AL$32</f>
        <v>305.98362078022444</v>
      </c>
    </row>
    <row r="33" spans="1:42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>
        <f>'TUSD BE'!$L$33*'TUSD BE'!$L$58</f>
        <v>-8.0884776063391701</v>
      </c>
      <c r="M33" s="30">
        <f>'TUSD BE'!$M$33*'TUSD BE'!$M$58</f>
        <v>-0.18603066192766296</v>
      </c>
      <c r="N33" s="30">
        <f ca="1">'TUSD BE'!$N$33*'TUSD BE'!$N$58</f>
        <v>8.3399557053942984E-6</v>
      </c>
      <c r="O33" s="30">
        <f>'TUSD BE'!$O$33*'TUSD BE'!$O$58</f>
        <v>0</v>
      </c>
      <c r="P33" s="30">
        <f>'TUSD BE'!$P$33*'TUSD BE'!$P$58</f>
        <v>0</v>
      </c>
      <c r="Q33" s="30">
        <f>'TUSD BE'!$Q$33*'TUSD BE'!$Q$58</f>
        <v>-1.3623079771265838</v>
      </c>
      <c r="R33" s="30">
        <f>'TUSD BE'!$R$33*'TUSD BE'!$R$58</f>
        <v>0</v>
      </c>
      <c r="S33" s="30">
        <f>'TUSD BE'!$R$33*'TUSD BE'!$S$58</f>
        <v>0</v>
      </c>
      <c r="T33" s="30">
        <f ca="1">SUM($L$33:$S$33)</f>
        <v>-9.6368079054377116</v>
      </c>
      <c r="U33" s="30">
        <f>'TUSD BE'!$U$33*'TUSD BE'!$U$58</f>
        <v>0</v>
      </c>
      <c r="V33" s="30">
        <f>'TUSD BE'!$V$33*'TUSD BE'!$V$58</f>
        <v>0</v>
      </c>
      <c r="W33" s="30">
        <f>'TUSD BE'!$W$33*'TUSD BE'!$W$58</f>
        <v>-0.46890785564809473</v>
      </c>
      <c r="X33" s="30">
        <f>'TUSD BE'!$X$33*'TUSD BE'!$X$58</f>
        <v>0</v>
      </c>
      <c r="Y33" s="30">
        <f>'TUSD BE'!$Y$33*'TUSD BE'!$Y$58</f>
        <v>0</v>
      </c>
      <c r="Z33" s="30">
        <f>'TUSD BE'!$Z$33*'TUSD BE'!$Z$58</f>
        <v>0</v>
      </c>
      <c r="AA33" s="30">
        <f>'TUSD BE'!$AA$33*'TUSD BE'!$AA$58</f>
        <v>0</v>
      </c>
      <c r="AB33" s="30">
        <f>SUM($U$33:$AA$33)</f>
        <v>-0.46890785564809473</v>
      </c>
      <c r="AC33" s="30">
        <f>'TUSD BE'!$AC$33*'TUSD BE'!$AC$58</f>
        <v>5.3282927316051847</v>
      </c>
      <c r="AD33" s="30">
        <f>SUM($AC$33:$AC$33)</f>
        <v>5.3282927316051847</v>
      </c>
      <c r="AE33" s="30">
        <f ca="1">$AO$33*$AO$55</f>
        <v>0</v>
      </c>
      <c r="AF33" s="30">
        <f ca="1">$AP$33*$AP$55</f>
        <v>0</v>
      </c>
      <c r="AG33" s="30">
        <f ca="1">SUM($AE$33:$AF$33)</f>
        <v>0</v>
      </c>
      <c r="AH33" s="30">
        <f>'TUSD BE'!$AH$33*'TUSD BE'!$AH$58</f>
        <v>-0.9891457828359016</v>
      </c>
      <c r="AI33" s="30">
        <f>'TUSD BE'!$AI$33*'TUSD BE'!$AI$58</f>
        <v>0</v>
      </c>
      <c r="AJ33" s="30">
        <f ca="1">'TUSD BE'!$AJ$33*'TUSD BE'!$AJ$58</f>
        <v>-1.3100044639248709</v>
      </c>
      <c r="AK33" s="30">
        <f ca="1">'TUSD BE'!$AK$33*'TUSD BE'!$AK$58</f>
        <v>-4.9917983695086141E-2</v>
      </c>
      <c r="AL33" s="30">
        <f ca="1">SUM($AH$33:$AK$33)</f>
        <v>-2.3490682304558588</v>
      </c>
      <c r="AM33" s="30">
        <f ca="1">SUMIF($L$4:$AL$4,"SUBTOTAL",$L$33:$AL$33)</f>
        <v>-7.12649125993648</v>
      </c>
      <c r="AO33" s="42">
        <f ca="1">+'TUSD BE'!$T$33+'TUSD BE'!$AB$33+'TUSD BE'!$AD$33+'TUSD BE'!$AL$33</f>
        <v>394.81616032798513</v>
      </c>
      <c r="AP33" s="42">
        <f ca="1">+'TUSD BE'!$T$33+'TUSD BE'!$AB$33+'TUSD BE'!$AD$33+'TUSD BE'!$AL$33</f>
        <v>394.81616032798513</v>
      </c>
    </row>
    <row r="34" spans="1:42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>
        <f>'TUSD BE'!$L$34*'TUSD BE'!$L$58</f>
        <v>-8.0884776063391701</v>
      </c>
      <c r="M34" s="30">
        <f>'TUSD BE'!$M$34*'TUSD BE'!$M$58</f>
        <v>-0.18603066192766296</v>
      </c>
      <c r="N34" s="30">
        <f ca="1">'TUSD BE'!$N$34*'TUSD BE'!$N$58</f>
        <v>1.8930964277855532E-5</v>
      </c>
      <c r="O34" s="30">
        <f>'TUSD BE'!$O$34*'TUSD BE'!$O$58</f>
        <v>0</v>
      </c>
      <c r="P34" s="30">
        <f>'TUSD BE'!$P$34*'TUSD BE'!$P$58</f>
        <v>0</v>
      </c>
      <c r="Q34" s="30">
        <f>'TUSD BE'!$Q$34*'TUSD BE'!$Q$58</f>
        <v>-1.3623079771265838</v>
      </c>
      <c r="R34" s="30">
        <f>'TUSD BE'!$R$34*'TUSD BE'!$R$58</f>
        <v>0</v>
      </c>
      <c r="S34" s="30">
        <f>'TUSD BE'!$R$34*'TUSD BE'!$S$58</f>
        <v>0</v>
      </c>
      <c r="T34" s="30">
        <f ca="1">SUM($L$34:$S$34)</f>
        <v>-9.6367973144291401</v>
      </c>
      <c r="U34" s="30">
        <f>'TUSD BE'!$U$34*'TUSD BE'!$U$58</f>
        <v>0</v>
      </c>
      <c r="V34" s="30">
        <f>'TUSD BE'!$V$34*'TUSD BE'!$V$58</f>
        <v>0</v>
      </c>
      <c r="W34" s="30">
        <f>'TUSD BE'!$W$34*'TUSD BE'!$W$58</f>
        <v>-1.499660259054717</v>
      </c>
      <c r="X34" s="30">
        <f>'TUSD BE'!$X$34*'TUSD BE'!$X$58</f>
        <v>0</v>
      </c>
      <c r="Y34" s="30">
        <f>'TUSD BE'!$Y$34*'TUSD BE'!$Y$58</f>
        <v>0</v>
      </c>
      <c r="Z34" s="30">
        <f>'TUSD BE'!$Z$34*'TUSD BE'!$Z$58</f>
        <v>0</v>
      </c>
      <c r="AA34" s="30">
        <f>'TUSD BE'!$AA$34*'TUSD BE'!$AA$58</f>
        <v>0</v>
      </c>
      <c r="AB34" s="30">
        <f>SUM($U$34:$AA$34)</f>
        <v>-1.499660259054717</v>
      </c>
      <c r="AC34" s="30">
        <f>'TUSD BE'!$AC$34*'TUSD BE'!$AC$58</f>
        <v>17.05053829771964</v>
      </c>
      <c r="AD34" s="30">
        <f>SUM($AC$34:$AC$34)</f>
        <v>17.05053829771964</v>
      </c>
      <c r="AE34" s="30">
        <f ca="1">$AO$34*$AO$55</f>
        <v>0</v>
      </c>
      <c r="AF34" s="30">
        <f ca="1">$AP$34*$AP$55</f>
        <v>0</v>
      </c>
      <c r="AG34" s="30">
        <f ca="1">SUM($AE$34:$AF$34)</f>
        <v>0</v>
      </c>
      <c r="AH34" s="30">
        <f>'TUSD BE'!$AH$34*'TUSD BE'!$AH$58</f>
        <v>-0.9891457828359016</v>
      </c>
      <c r="AI34" s="30">
        <f>'TUSD BE'!$AI$34*'TUSD BE'!$AI$58</f>
        <v>0</v>
      </c>
      <c r="AJ34" s="30">
        <f ca="1">'TUSD BE'!$AJ$34*'TUSD BE'!$AJ$58</f>
        <v>-1.3100044639248709</v>
      </c>
      <c r="AK34" s="30">
        <f ca="1">'TUSD BE'!$AK$34*'TUSD BE'!$AK$58</f>
        <v>-4.9917983695086141E-2</v>
      </c>
      <c r="AL34" s="30">
        <f ca="1">SUM($AH$34:$AK$34)</f>
        <v>-2.3490682304558588</v>
      </c>
      <c r="AM34" s="30">
        <f ca="1">SUMIF($L$4:$AL$4,"SUBTOTAL",$L$34:$AL$34)</f>
        <v>3.5650124937799239</v>
      </c>
      <c r="AO34" s="42">
        <f ca="1">+'TUSD BE'!$T$34+'TUSD BE'!$AB$34+'TUSD BE'!$AD$34+'TUSD BE'!$AL$34</f>
        <v>937.6727564205047</v>
      </c>
      <c r="AP34" s="42">
        <f ca="1">+'TUSD BE'!$T$34+'TUSD BE'!$AB$34+'TUSD BE'!$AD$34+'TUSD BE'!$AL$34</f>
        <v>937.6727564205047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>
        <f>'TUSD BE'!$L$35*'TUSD BE'!$L$58</f>
        <v>-8.0884776063391701</v>
      </c>
      <c r="M35" s="30">
        <f>'TUSD BE'!$M$35*'TUSD BE'!$M$58</f>
        <v>-0.18603066192766296</v>
      </c>
      <c r="N35" s="30">
        <f ca="1">'TUSD BE'!$N$35*'TUSD BE'!$N$58</f>
        <v>1.2768923097064934E-5</v>
      </c>
      <c r="O35" s="30">
        <f>'TUSD BE'!$O$35*'TUSD BE'!$O$58</f>
        <v>0</v>
      </c>
      <c r="P35" s="30">
        <f>'TUSD BE'!$P$35*'TUSD BE'!$P$58</f>
        <v>0</v>
      </c>
      <c r="Q35" s="30">
        <f>'TUSD BE'!$Q$35*'TUSD BE'!$Q$58</f>
        <v>-1.3623079771265838</v>
      </c>
      <c r="R35" s="30">
        <f>'TUSD BE'!$R$35*'TUSD BE'!$R$58</f>
        <v>0</v>
      </c>
      <c r="S35" s="30">
        <f>'TUSD BE'!$R$35*'TUSD BE'!$S$58</f>
        <v>0</v>
      </c>
      <c r="T35" s="30">
        <f ca="1">SUM($L$35:$S$35)</f>
        <v>-9.6368034764703197</v>
      </c>
      <c r="U35" s="30">
        <f>'TUSD BE'!$U$35*'TUSD BE'!$U$58</f>
        <v>0</v>
      </c>
      <c r="V35" s="30">
        <f>'TUSD BE'!$V$35*'TUSD BE'!$V$58</f>
        <v>0</v>
      </c>
      <c r="W35" s="30">
        <f>'TUSD BE'!$W$35*'TUSD BE'!$W$58</f>
        <v>-0.89979615543283031</v>
      </c>
      <c r="X35" s="30">
        <f>'TUSD BE'!$X$35*'TUSD BE'!$X$58</f>
        <v>0</v>
      </c>
      <c r="Y35" s="30">
        <f>'TUSD BE'!$Y$35*'TUSD BE'!$Y$58</f>
        <v>0</v>
      </c>
      <c r="Z35" s="30">
        <f>'TUSD BE'!$Z$35*'TUSD BE'!$Z$58</f>
        <v>0</v>
      </c>
      <c r="AA35" s="30">
        <f>'TUSD BE'!$AA$35*'TUSD BE'!$AA$58</f>
        <v>0</v>
      </c>
      <c r="AB35" s="30">
        <f>SUM($U$35:$AA$35)</f>
        <v>-0.89979615543283031</v>
      </c>
      <c r="AC35" s="30">
        <f>'TUSD BE'!$AC$35*'TUSD BE'!$AC$58</f>
        <v>10.230322978631785</v>
      </c>
      <c r="AD35" s="30">
        <f>SUM($AC$35:$AC$35)</f>
        <v>10.230322978631785</v>
      </c>
      <c r="AE35" s="30">
        <f ca="1">$AO$35*$AO$55</f>
        <v>0</v>
      </c>
      <c r="AF35" s="30">
        <f ca="1">$AP$35*$AP$55</f>
        <v>0</v>
      </c>
      <c r="AG35" s="30">
        <f ca="1">SUM($AE$35:$AF$35)</f>
        <v>0</v>
      </c>
      <c r="AH35" s="30">
        <f>'TUSD BE'!$AH$35*'TUSD BE'!$AH$58</f>
        <v>-0.9891457828359016</v>
      </c>
      <c r="AI35" s="30">
        <f>'TUSD BE'!$AI$35*'TUSD BE'!$AI$58</f>
        <v>0</v>
      </c>
      <c r="AJ35" s="30">
        <f ca="1">'TUSD BE'!$AJ$35*'TUSD BE'!$AJ$58</f>
        <v>-1.3100044639248709</v>
      </c>
      <c r="AK35" s="30">
        <f ca="1">'TUSD BE'!$AK$35*'TUSD BE'!$AK$58</f>
        <v>-4.9917983695086141E-2</v>
      </c>
      <c r="AL35" s="30">
        <f ca="1">SUM($AH$35:$AK$35)</f>
        <v>-2.3490682304558588</v>
      </c>
      <c r="AM35" s="30">
        <f ca="1">SUMIF($L$4:$AL$4,"SUBTOTAL",$L$35:$AL$35)</f>
        <v>-2.6553448837272233</v>
      </c>
      <c r="AO35" s="42">
        <f ca="1">+'TUSD BE'!$T$35+'TUSD BE'!$AB$35+'TUSD BE'!$AD$35+'TUSD BE'!$AL$35</f>
        <v>621.82818860036457</v>
      </c>
      <c r="AP35" s="42">
        <f ca="1">+'TUSD BE'!$T$35+'TUSD BE'!$AB$35+'TUSD BE'!$AD$35+'TUSD BE'!$AL$35</f>
        <v>621.82818860036457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>
        <f>'TUSD BE'!$L$36*'TUSD BE'!$L$58</f>
        <v>-8.0884776063391701</v>
      </c>
      <c r="M36" s="30">
        <f>'TUSD BE'!$M$36*'TUSD BE'!$M$58</f>
        <v>-0.18603066192766296</v>
      </c>
      <c r="N36" s="30">
        <f ca="1">'TUSD BE'!$N$36*'TUSD BE'!$N$58</f>
        <v>6.6068819162743348E-6</v>
      </c>
      <c r="O36" s="30">
        <f>'TUSD BE'!$O$36*'TUSD BE'!$O$58</f>
        <v>0</v>
      </c>
      <c r="P36" s="30">
        <f>'TUSD BE'!$P$36*'TUSD BE'!$P$58</f>
        <v>0</v>
      </c>
      <c r="Q36" s="30">
        <f>'TUSD BE'!$Q$36*'TUSD BE'!$Q$58</f>
        <v>-1.3623079771265838</v>
      </c>
      <c r="R36" s="30">
        <f>'TUSD BE'!$R$36*'TUSD BE'!$R$58</f>
        <v>0</v>
      </c>
      <c r="S36" s="30">
        <f>'TUSD BE'!$R$36*'TUSD BE'!$S$58</f>
        <v>0</v>
      </c>
      <c r="T36" s="30">
        <f ca="1">SUM($L$36:$S$36)</f>
        <v>-9.636809638511501</v>
      </c>
      <c r="U36" s="30">
        <f>'TUSD BE'!$U$36*'TUSD BE'!$U$58</f>
        <v>0</v>
      </c>
      <c r="V36" s="30">
        <f>'TUSD BE'!$V$36*'TUSD BE'!$V$58</f>
        <v>0</v>
      </c>
      <c r="W36" s="30">
        <f>'TUSD BE'!$W$36*'TUSD BE'!$W$58</f>
        <v>-0.29993205181094346</v>
      </c>
      <c r="X36" s="30">
        <f>'TUSD BE'!$X$36*'TUSD BE'!$X$58</f>
        <v>0</v>
      </c>
      <c r="Y36" s="30">
        <f>'TUSD BE'!$Y$36*'TUSD BE'!$Y$58</f>
        <v>0</v>
      </c>
      <c r="Z36" s="30">
        <f>'TUSD BE'!$Z$36*'TUSD BE'!$Z$58</f>
        <v>0</v>
      </c>
      <c r="AA36" s="30">
        <f>'TUSD BE'!$AA$36*'TUSD BE'!$AA$58</f>
        <v>0</v>
      </c>
      <c r="AB36" s="30">
        <f>SUM($U$36:$AA$36)</f>
        <v>-0.29993205181094346</v>
      </c>
      <c r="AC36" s="30">
        <f>'TUSD BE'!$AC$36*'TUSD BE'!$AC$58</f>
        <v>3.4101076595439279</v>
      </c>
      <c r="AD36" s="30">
        <f>SUM($AC$36:$AC$36)</f>
        <v>3.4101076595439279</v>
      </c>
      <c r="AE36" s="30">
        <f ca="1">$AO$36*$AO$55</f>
        <v>0</v>
      </c>
      <c r="AF36" s="30">
        <f ca="1">$AP$36*$AP$55</f>
        <v>0</v>
      </c>
      <c r="AG36" s="30">
        <f ca="1">SUM($AE$36:$AF$36)</f>
        <v>0</v>
      </c>
      <c r="AH36" s="30">
        <f>'TUSD BE'!$AH$36*'TUSD BE'!$AH$58</f>
        <v>-0.9891457828359016</v>
      </c>
      <c r="AI36" s="30">
        <f>'TUSD BE'!$AI$36*'TUSD BE'!$AI$58</f>
        <v>0</v>
      </c>
      <c r="AJ36" s="30">
        <f ca="1">'TUSD BE'!$AJ$36*'TUSD BE'!$AJ$58</f>
        <v>-1.3100044639248709</v>
      </c>
      <c r="AK36" s="30">
        <f ca="1">'TUSD BE'!$AK$36*'TUSD BE'!$AK$58</f>
        <v>-4.9917983695086141E-2</v>
      </c>
      <c r="AL36" s="30">
        <f ca="1">SUM($AH$36:$AK$36)</f>
        <v>-2.3490682304558588</v>
      </c>
      <c r="AM36" s="30">
        <f ca="1">SUMIF($L$4:$AL$4,"SUBTOTAL",$L$36:$AL$36)</f>
        <v>-8.875702261234375</v>
      </c>
      <c r="AO36" s="42">
        <f ca="1">+'TUSD BE'!$T$36+'TUSD BE'!$AB$36+'TUSD BE'!$AD$36+'TUSD BE'!$AL$36</f>
        <v>305.98362078022444</v>
      </c>
      <c r="AP36" s="42">
        <f ca="1">+'TUSD BE'!$T$36+'TUSD BE'!$AB$36+'TUSD BE'!$AD$36+'TUSD BE'!$AL$36</f>
        <v>305.98362078022444</v>
      </c>
    </row>
    <row r="37" spans="1:42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>
        <f>'TUSD BE'!$L$37*'TUSD BE'!$L$58</f>
        <v>-8.0884776063391701</v>
      </c>
      <c r="M37" s="30">
        <f>'TUSD BE'!$M$37*'TUSD BE'!$M$58</f>
        <v>-0.18603066192766296</v>
      </c>
      <c r="N37" s="30">
        <f ca="1">'TUSD BE'!$N$37*'TUSD BE'!$N$58</f>
        <v>8.3399557053942984E-6</v>
      </c>
      <c r="O37" s="30">
        <f>'TUSD BE'!$O$37*'TUSD BE'!$O$58</f>
        <v>0</v>
      </c>
      <c r="P37" s="30">
        <f>'TUSD BE'!$P$37*'TUSD BE'!$P$58</f>
        <v>0</v>
      </c>
      <c r="Q37" s="30">
        <f>'TUSD BE'!$Q$37*'TUSD BE'!$Q$58</f>
        <v>-1.3623079771265838</v>
      </c>
      <c r="R37" s="30">
        <f>'TUSD BE'!$R$37*'TUSD BE'!$R$58</f>
        <v>0</v>
      </c>
      <c r="S37" s="30">
        <f>'TUSD BE'!$R$37*'TUSD BE'!$S$58</f>
        <v>0</v>
      </c>
      <c r="T37" s="30">
        <f ca="1">SUM($L$37:$S$37)</f>
        <v>-9.6368079054377116</v>
      </c>
      <c r="U37" s="30">
        <f>'TUSD BE'!$U$37*'TUSD BE'!$U$58</f>
        <v>0</v>
      </c>
      <c r="V37" s="30">
        <f>'TUSD BE'!$V$37*'TUSD BE'!$V$58</f>
        <v>0</v>
      </c>
      <c r="W37" s="30">
        <f>'TUSD BE'!$W$37*'TUSD BE'!$W$58</f>
        <v>-0.46890785564809473</v>
      </c>
      <c r="X37" s="30">
        <f>'TUSD BE'!$X$37*'TUSD BE'!$X$58</f>
        <v>0</v>
      </c>
      <c r="Y37" s="30">
        <f>'TUSD BE'!$Y$37*'TUSD BE'!$Y$58</f>
        <v>0</v>
      </c>
      <c r="Z37" s="30">
        <f>'TUSD BE'!$Z$37*'TUSD BE'!$Z$58</f>
        <v>0</v>
      </c>
      <c r="AA37" s="30">
        <f>'TUSD BE'!$AA$37*'TUSD BE'!$AA$58</f>
        <v>0</v>
      </c>
      <c r="AB37" s="30">
        <f>SUM($U$37:$AA$37)</f>
        <v>-0.46890785564809473</v>
      </c>
      <c r="AC37" s="30">
        <f>'TUSD BE'!$AC$37*'TUSD BE'!$AC$58</f>
        <v>5.3282927316051847</v>
      </c>
      <c r="AD37" s="30">
        <f>SUM($AC$37:$AC$37)</f>
        <v>5.3282927316051847</v>
      </c>
      <c r="AE37" s="30">
        <f ca="1">$AO$37*$AO$55</f>
        <v>0</v>
      </c>
      <c r="AF37" s="30">
        <f ca="1">$AP$37*$AP$55</f>
        <v>0</v>
      </c>
      <c r="AG37" s="30">
        <f ca="1">SUM($AE$37:$AF$37)</f>
        <v>0</v>
      </c>
      <c r="AH37" s="30">
        <f>'TUSD BE'!$AH$37*'TUSD BE'!$AH$58</f>
        <v>-0.9891457828359016</v>
      </c>
      <c r="AI37" s="30">
        <f>'TUSD BE'!$AI$37*'TUSD BE'!$AI$58</f>
        <v>0</v>
      </c>
      <c r="AJ37" s="30">
        <f ca="1">'TUSD BE'!$AJ$37*'TUSD BE'!$AJ$58</f>
        <v>-1.3100044639248709</v>
      </c>
      <c r="AK37" s="30">
        <f ca="1">'TUSD BE'!$AK$37*'TUSD BE'!$AK$58</f>
        <v>-4.9917983695086141E-2</v>
      </c>
      <c r="AL37" s="30">
        <f ca="1">SUM($AH$37:$AK$37)</f>
        <v>-2.3490682304558588</v>
      </c>
      <c r="AM37" s="30">
        <f ca="1">SUMIF($L$4:$AL$4,"SUBTOTAL",$L$37:$AL$37)</f>
        <v>-7.12649125993648</v>
      </c>
      <c r="AO37" s="42">
        <f ca="1">+'TUSD BE'!$T$37+'TUSD BE'!$AB$37+'TUSD BE'!$AD$37+'TUSD BE'!$AL$37</f>
        <v>394.81616032798513</v>
      </c>
      <c r="AP37" s="42">
        <f ca="1">+'TUSD BE'!$T$37+'TUSD BE'!$AB$37+'TUSD BE'!$AD$37+'TUSD BE'!$AL$37</f>
        <v>394.81616032798513</v>
      </c>
    </row>
    <row r="38" spans="1:42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>
        <f>'TUSD BE'!$L$38*'TUSD BE'!$L$58</f>
        <v>-8.0884776063391701</v>
      </c>
      <c r="M38" s="30">
        <f>'TUSD BE'!$M$38*'TUSD BE'!$M$58</f>
        <v>-0.18603066192766296</v>
      </c>
      <c r="N38" s="30">
        <f ca="1">'TUSD BE'!$N$38*'TUSD BE'!$N$58</f>
        <v>1.8930964277855532E-5</v>
      </c>
      <c r="O38" s="30">
        <f>'TUSD BE'!$O$38*'TUSD BE'!$O$58</f>
        <v>0</v>
      </c>
      <c r="P38" s="30">
        <f>'TUSD BE'!$P$38*'TUSD BE'!$P$58</f>
        <v>0</v>
      </c>
      <c r="Q38" s="30">
        <f>'TUSD BE'!$Q$38*'TUSD BE'!$Q$58</f>
        <v>-1.3623079771265838</v>
      </c>
      <c r="R38" s="30">
        <f>'TUSD BE'!$R$38*'TUSD BE'!$R$58</f>
        <v>0</v>
      </c>
      <c r="S38" s="30">
        <f>'TUSD BE'!$R$38*'TUSD BE'!$S$58</f>
        <v>0</v>
      </c>
      <c r="T38" s="30">
        <f ca="1">SUM($L$38:$S$38)</f>
        <v>-9.6367973144291401</v>
      </c>
      <c r="U38" s="30">
        <f>'TUSD BE'!$U$38*'TUSD BE'!$U$58</f>
        <v>0</v>
      </c>
      <c r="V38" s="30">
        <f>'TUSD BE'!$V$38*'TUSD BE'!$V$58</f>
        <v>0</v>
      </c>
      <c r="W38" s="30">
        <f>'TUSD BE'!$W$38*'TUSD BE'!$W$58</f>
        <v>-1.499660259054717</v>
      </c>
      <c r="X38" s="30">
        <f>'TUSD BE'!$X$38*'TUSD BE'!$X$58</f>
        <v>0</v>
      </c>
      <c r="Y38" s="30">
        <f>'TUSD BE'!$Y$38*'TUSD BE'!$Y$58</f>
        <v>0</v>
      </c>
      <c r="Z38" s="30">
        <f>'TUSD BE'!$Z$38*'TUSD BE'!$Z$58</f>
        <v>0</v>
      </c>
      <c r="AA38" s="30">
        <f>'TUSD BE'!$AA$38*'TUSD BE'!$AA$58</f>
        <v>0</v>
      </c>
      <c r="AB38" s="30">
        <f>SUM($U$38:$AA$38)</f>
        <v>-1.499660259054717</v>
      </c>
      <c r="AC38" s="30">
        <f>'TUSD BE'!$AC$38*'TUSD BE'!$AC$58</f>
        <v>17.05053829771964</v>
      </c>
      <c r="AD38" s="30">
        <f>SUM($AC$38:$AC$38)</f>
        <v>17.05053829771964</v>
      </c>
      <c r="AE38" s="30">
        <f ca="1">$AO$38*$AO$55</f>
        <v>0</v>
      </c>
      <c r="AF38" s="30">
        <f ca="1">$AP$38*$AP$55</f>
        <v>0</v>
      </c>
      <c r="AG38" s="30">
        <f ca="1">SUM($AE$38:$AF$38)</f>
        <v>0</v>
      </c>
      <c r="AH38" s="30">
        <f>'TUSD BE'!$AH$38*'TUSD BE'!$AH$58</f>
        <v>-0.9891457828359016</v>
      </c>
      <c r="AI38" s="30">
        <f>'TUSD BE'!$AI$38*'TUSD BE'!$AI$58</f>
        <v>0</v>
      </c>
      <c r="AJ38" s="30">
        <f ca="1">'TUSD BE'!$AJ$38*'TUSD BE'!$AJ$58</f>
        <v>-1.3100044639248709</v>
      </c>
      <c r="AK38" s="30">
        <f ca="1">'TUSD BE'!$AK$38*'TUSD BE'!$AK$58</f>
        <v>-4.9917983695086141E-2</v>
      </c>
      <c r="AL38" s="30">
        <f ca="1">SUM($AH$38:$AK$38)</f>
        <v>-2.3490682304558588</v>
      </c>
      <c r="AM38" s="30">
        <f ca="1">SUMIF($L$4:$AL$4,"SUBTOTAL",$L$38:$AL$38)</f>
        <v>3.5650124937799239</v>
      </c>
      <c r="AO38" s="42">
        <f ca="1">+'TUSD BE'!$T$38+'TUSD BE'!$AB$38+'TUSD BE'!$AD$38+'TUSD BE'!$AL$38</f>
        <v>937.6727564205047</v>
      </c>
      <c r="AP38" s="42">
        <f ca="1">+'TUSD BE'!$T$38+'TUSD BE'!$AB$38+'TUSD BE'!$AD$38+'TUSD BE'!$AL$38</f>
        <v>937.6727564205047</v>
      </c>
    </row>
    <row r="39" spans="1:42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>
        <f>'TUSD BE'!$L$39*'TUSD BE'!$L$58</f>
        <v>-8.0884776063391701</v>
      </c>
      <c r="M39" s="30">
        <f>'TUSD BE'!$M$39*'TUSD BE'!$M$58</f>
        <v>-0.18603066192766296</v>
      </c>
      <c r="N39" s="30">
        <f ca="1">'TUSD BE'!$N$39*'TUSD BE'!$N$58</f>
        <v>1.2768923097064934E-5</v>
      </c>
      <c r="O39" s="30">
        <f>'TUSD BE'!$O$39*'TUSD BE'!$O$58</f>
        <v>0</v>
      </c>
      <c r="P39" s="30">
        <f>'TUSD BE'!$P$39*'TUSD BE'!$P$58</f>
        <v>0</v>
      </c>
      <c r="Q39" s="30">
        <f>'TUSD BE'!$Q$39*'TUSD BE'!$Q$58</f>
        <v>-1.3623079771265838</v>
      </c>
      <c r="R39" s="30">
        <f>'TUSD BE'!$R$39*'TUSD BE'!$R$58</f>
        <v>0</v>
      </c>
      <c r="S39" s="30">
        <f>'TUSD BE'!$R$39*'TUSD BE'!$S$58</f>
        <v>0</v>
      </c>
      <c r="T39" s="30">
        <f ca="1">SUM($L$39:$S$39)</f>
        <v>-9.6368034764703197</v>
      </c>
      <c r="U39" s="30">
        <f>'TUSD BE'!$U$39*'TUSD BE'!$U$58</f>
        <v>0</v>
      </c>
      <c r="V39" s="30">
        <f>'TUSD BE'!$V$39*'TUSD BE'!$V$58</f>
        <v>0</v>
      </c>
      <c r="W39" s="30">
        <f>'TUSD BE'!$W$39*'TUSD BE'!$W$58</f>
        <v>-0.89979615543283031</v>
      </c>
      <c r="X39" s="30">
        <f>'TUSD BE'!$X$39*'TUSD BE'!$X$58</f>
        <v>0</v>
      </c>
      <c r="Y39" s="30">
        <f>'TUSD BE'!$Y$39*'TUSD BE'!$Y$58</f>
        <v>0</v>
      </c>
      <c r="Z39" s="30">
        <f>'TUSD BE'!$Z$39*'TUSD BE'!$Z$58</f>
        <v>0</v>
      </c>
      <c r="AA39" s="30">
        <f>'TUSD BE'!$AA$39*'TUSD BE'!$AA$58</f>
        <v>0</v>
      </c>
      <c r="AB39" s="30">
        <f>SUM($U$39:$AA$39)</f>
        <v>-0.89979615543283031</v>
      </c>
      <c r="AC39" s="30">
        <f>'TUSD BE'!$AC$39*'TUSD BE'!$AC$58</f>
        <v>10.230322978631785</v>
      </c>
      <c r="AD39" s="30">
        <f>SUM($AC$39:$AC$39)</f>
        <v>10.230322978631785</v>
      </c>
      <c r="AE39" s="30">
        <f ca="1">$AO$39*$AO$55</f>
        <v>0</v>
      </c>
      <c r="AF39" s="30">
        <f ca="1">$AP$39*$AP$55</f>
        <v>0</v>
      </c>
      <c r="AG39" s="30">
        <f ca="1">SUM($AE$39:$AF$39)</f>
        <v>0</v>
      </c>
      <c r="AH39" s="30">
        <f>'TUSD BE'!$AH$39*'TUSD BE'!$AH$58</f>
        <v>-0.9891457828359016</v>
      </c>
      <c r="AI39" s="30">
        <f>'TUSD BE'!$AI$39*'TUSD BE'!$AI$58</f>
        <v>0</v>
      </c>
      <c r="AJ39" s="30">
        <f ca="1">'TUSD BE'!$AJ$39*'TUSD BE'!$AJ$58</f>
        <v>-1.3100044639248709</v>
      </c>
      <c r="AK39" s="30">
        <f ca="1">'TUSD BE'!$AK$39*'TUSD BE'!$AK$58</f>
        <v>-4.9917983695086141E-2</v>
      </c>
      <c r="AL39" s="30">
        <f ca="1">SUM($AH$39:$AK$39)</f>
        <v>-2.3490682304558588</v>
      </c>
      <c r="AM39" s="30">
        <f ca="1">SUMIF($L$4:$AL$4,"SUBTOTAL",$L$39:$AL$39)</f>
        <v>-2.6553448837272233</v>
      </c>
      <c r="AO39" s="42">
        <f ca="1">+'TUSD BE'!$T$39+'TUSD BE'!$AB$39+'TUSD BE'!$AD$39+'TUSD BE'!$AL$39</f>
        <v>621.82818860036457</v>
      </c>
      <c r="AP39" s="42">
        <f ca="1">+'TUSD BE'!$T$39+'TUSD BE'!$AB$39+'TUSD BE'!$AD$39+'TUSD BE'!$AL$39</f>
        <v>621.82818860036457</v>
      </c>
    </row>
    <row r="40" spans="1:42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>
        <f>'TUSD BE'!$L$40*'TUSD BE'!$L$58</f>
        <v>-8.0884776063391701</v>
      </c>
      <c r="M40" s="30">
        <f>'TUSD BE'!$M$40*'TUSD BE'!$M$58</f>
        <v>-0.18603066192766296</v>
      </c>
      <c r="N40" s="30">
        <f ca="1">'TUSD BE'!$N$40*'TUSD BE'!$N$58</f>
        <v>6.6068819162743348E-6</v>
      </c>
      <c r="O40" s="30">
        <f>'TUSD BE'!$O$40*'TUSD BE'!$O$58</f>
        <v>0</v>
      </c>
      <c r="P40" s="30">
        <f>'TUSD BE'!$P$40*'TUSD BE'!$P$58</f>
        <v>0</v>
      </c>
      <c r="Q40" s="30">
        <f>'TUSD BE'!$Q$40*'TUSD BE'!$Q$58</f>
        <v>-1.3623079771265838</v>
      </c>
      <c r="R40" s="30">
        <f>'TUSD BE'!$R$40*'TUSD BE'!$R$58</f>
        <v>0</v>
      </c>
      <c r="S40" s="30">
        <f>'TUSD BE'!$R$40*'TUSD BE'!$S$58</f>
        <v>0</v>
      </c>
      <c r="T40" s="30">
        <f ca="1">SUM($L$40:$S$40)</f>
        <v>-9.636809638511501</v>
      </c>
      <c r="U40" s="30">
        <f>'TUSD BE'!$U$40*'TUSD BE'!$U$58</f>
        <v>0</v>
      </c>
      <c r="V40" s="30">
        <f>'TUSD BE'!$V$40*'TUSD BE'!$V$58</f>
        <v>0</v>
      </c>
      <c r="W40" s="30">
        <f>'TUSD BE'!$W$40*'TUSD BE'!$W$58</f>
        <v>-0.29993205181094346</v>
      </c>
      <c r="X40" s="30">
        <f>'TUSD BE'!$X$40*'TUSD BE'!$X$58</f>
        <v>0</v>
      </c>
      <c r="Y40" s="30">
        <f>'TUSD BE'!$Y$40*'TUSD BE'!$Y$58</f>
        <v>0</v>
      </c>
      <c r="Z40" s="30">
        <f>'TUSD BE'!$Z$40*'TUSD BE'!$Z$58</f>
        <v>0</v>
      </c>
      <c r="AA40" s="30">
        <f>'TUSD BE'!$AA$40*'TUSD BE'!$AA$58</f>
        <v>0</v>
      </c>
      <c r="AB40" s="30">
        <f>SUM($U$40:$AA$40)</f>
        <v>-0.29993205181094346</v>
      </c>
      <c r="AC40" s="30">
        <f>'TUSD BE'!$AC$40*'TUSD BE'!$AC$58</f>
        <v>3.4101076595439279</v>
      </c>
      <c r="AD40" s="30">
        <f>SUM($AC$40:$AC$40)</f>
        <v>3.4101076595439279</v>
      </c>
      <c r="AE40" s="30">
        <f ca="1">$AO$40*$AO$55</f>
        <v>0</v>
      </c>
      <c r="AF40" s="30">
        <f ca="1">$AP$40*$AP$55</f>
        <v>0</v>
      </c>
      <c r="AG40" s="30">
        <f ca="1">SUM($AE$40:$AF$40)</f>
        <v>0</v>
      </c>
      <c r="AH40" s="30">
        <f>'TUSD BE'!$AH$40*'TUSD BE'!$AH$58</f>
        <v>-0.9891457828359016</v>
      </c>
      <c r="AI40" s="30">
        <f>'TUSD BE'!$AI$40*'TUSD BE'!$AI$58</f>
        <v>0</v>
      </c>
      <c r="AJ40" s="30">
        <f ca="1">'TUSD BE'!$AJ$40*'TUSD BE'!$AJ$58</f>
        <v>-1.3100044639248709</v>
      </c>
      <c r="AK40" s="30">
        <f ca="1">'TUSD BE'!$AK$40*'TUSD BE'!$AK$58</f>
        <v>-4.9917983695086141E-2</v>
      </c>
      <c r="AL40" s="30">
        <f ca="1">SUM($AH$40:$AK$40)</f>
        <v>-2.3490682304558588</v>
      </c>
      <c r="AM40" s="30">
        <f ca="1">SUMIF($L$4:$AL$4,"SUBTOTAL",$L$40:$AL$40)</f>
        <v>-8.875702261234375</v>
      </c>
      <c r="AO40" s="42">
        <f ca="1">+'TUSD BE'!$T$40+'TUSD BE'!$AB$40+'TUSD BE'!$AD$40+'TUSD BE'!$AL$40</f>
        <v>305.98362078022444</v>
      </c>
      <c r="AP40" s="42">
        <f ca="1">+'TUSD BE'!$T$40+'TUSD BE'!$AB$40+'TUSD BE'!$AD$40+'TUSD BE'!$AL$40</f>
        <v>305.98362078022444</v>
      </c>
    </row>
    <row r="41" spans="1:42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>
        <f>'TUSD BE'!$L$41*'TUSD BE'!$L$58</f>
        <v>-8.0884776063391701</v>
      </c>
      <c r="M41" s="30">
        <f>'TUSD BE'!$M$41*'TUSD BE'!$M$58</f>
        <v>-0.18603066192766296</v>
      </c>
      <c r="N41" s="30">
        <f ca="1">'TUSD BE'!$N$41*'TUSD BE'!$N$58</f>
        <v>8.3399557053942984E-6</v>
      </c>
      <c r="O41" s="30">
        <f>'TUSD BE'!$O$41*'TUSD BE'!$O$58</f>
        <v>0</v>
      </c>
      <c r="P41" s="30">
        <f>'TUSD BE'!$P$41*'TUSD BE'!$P$58</f>
        <v>0</v>
      </c>
      <c r="Q41" s="30">
        <f>'TUSD BE'!$Q$41*'TUSD BE'!$Q$58</f>
        <v>-1.3623079771265838</v>
      </c>
      <c r="R41" s="30">
        <f>'TUSD BE'!$R$41*'TUSD BE'!$R$58</f>
        <v>0</v>
      </c>
      <c r="S41" s="30">
        <f>'TUSD BE'!$R$41*'TUSD BE'!$S$58</f>
        <v>0</v>
      </c>
      <c r="T41" s="30">
        <f ca="1">SUM($L$41:$S$41)</f>
        <v>-9.6368079054377116</v>
      </c>
      <c r="U41" s="30">
        <f>'TUSD BE'!$U$41*'TUSD BE'!$U$58</f>
        <v>0</v>
      </c>
      <c r="V41" s="30">
        <f>'TUSD BE'!$V$41*'TUSD BE'!$V$58</f>
        <v>0</v>
      </c>
      <c r="W41" s="30">
        <f>'TUSD BE'!$W$41*'TUSD BE'!$W$58</f>
        <v>-0.46890785564809473</v>
      </c>
      <c r="X41" s="30">
        <f>'TUSD BE'!$X$41*'TUSD BE'!$X$58</f>
        <v>0</v>
      </c>
      <c r="Y41" s="30">
        <f>'TUSD BE'!$Y$41*'TUSD BE'!$Y$58</f>
        <v>0</v>
      </c>
      <c r="Z41" s="30">
        <f>'TUSD BE'!$Z$41*'TUSD BE'!$Z$58</f>
        <v>0</v>
      </c>
      <c r="AA41" s="30">
        <f>'TUSD BE'!$AA$41*'TUSD BE'!$AA$58</f>
        <v>0</v>
      </c>
      <c r="AB41" s="30">
        <f>SUM($U$41:$AA$41)</f>
        <v>-0.46890785564809473</v>
      </c>
      <c r="AC41" s="30">
        <f>'TUSD BE'!$AC$41*'TUSD BE'!$AC$58</f>
        <v>5.3282927316051847</v>
      </c>
      <c r="AD41" s="30">
        <f>SUM($AC$41:$AC$41)</f>
        <v>5.3282927316051847</v>
      </c>
      <c r="AE41" s="30">
        <f ca="1">$AO$41*$AO$55</f>
        <v>0</v>
      </c>
      <c r="AF41" s="30">
        <f ca="1">$AP$41*$AP$55</f>
        <v>0</v>
      </c>
      <c r="AG41" s="30">
        <f ca="1">SUM($AE$41:$AF$41)</f>
        <v>0</v>
      </c>
      <c r="AH41" s="30">
        <f>'TUSD BE'!$AH$41*'TUSD BE'!$AH$58</f>
        <v>-0.9891457828359016</v>
      </c>
      <c r="AI41" s="30">
        <f>'TUSD BE'!$AI$41*'TUSD BE'!$AI$58</f>
        <v>0</v>
      </c>
      <c r="AJ41" s="30">
        <f ca="1">'TUSD BE'!$AJ$41*'TUSD BE'!$AJ$58</f>
        <v>-1.3100044639248709</v>
      </c>
      <c r="AK41" s="30">
        <f ca="1">'TUSD BE'!$AK$41*'TUSD BE'!$AK$58</f>
        <v>-4.9917983695086141E-2</v>
      </c>
      <c r="AL41" s="30">
        <f ca="1">SUM($AH$41:$AK$41)</f>
        <v>-2.3490682304558588</v>
      </c>
      <c r="AM41" s="30">
        <f ca="1">SUMIF($L$4:$AL$4,"SUBTOTAL",$L$41:$AL$41)</f>
        <v>-7.12649125993648</v>
      </c>
      <c r="AO41" s="42">
        <f ca="1">+'TUSD BE'!$T$41+'TUSD BE'!$AB$41+'TUSD BE'!$AD$41+'TUSD BE'!$AL$41</f>
        <v>394.81616032798513</v>
      </c>
      <c r="AP41" s="42">
        <f ca="1">+'TUSD BE'!$T$41+'TUSD BE'!$AB$41+'TUSD BE'!$AD$41+'TUSD BE'!$AL$41</f>
        <v>394.81616032798513</v>
      </c>
    </row>
    <row r="42" spans="1:42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>
        <f>'TUSD BE'!$L$42*'TUSD BE'!$L$58</f>
        <v>-8.0884776063391701</v>
      </c>
      <c r="M42" s="30">
        <f>'TUSD BE'!$M$42*'TUSD BE'!$M$58</f>
        <v>-0.18603066192766296</v>
      </c>
      <c r="N42" s="30">
        <f ca="1">'TUSD BE'!$N$42*'TUSD BE'!$N$58</f>
        <v>8.3399557053942984E-6</v>
      </c>
      <c r="O42" s="30">
        <f>'TUSD BE'!$O$42*'TUSD BE'!$O$58</f>
        <v>0</v>
      </c>
      <c r="P42" s="30">
        <f>'TUSD BE'!$P$42*'TUSD BE'!$P$58</f>
        <v>0</v>
      </c>
      <c r="Q42" s="30">
        <f>'TUSD BE'!$Q$42*'TUSD BE'!$Q$58</f>
        <v>-1.3623079771265838</v>
      </c>
      <c r="R42" s="30">
        <f>'TUSD BE'!$R$42*'TUSD BE'!$R$58</f>
        <v>0</v>
      </c>
      <c r="S42" s="30">
        <f>'TUSD BE'!$R$42*'TUSD BE'!$S$58</f>
        <v>0</v>
      </c>
      <c r="T42" s="30">
        <f ca="1">SUM($L$42:$S$42)</f>
        <v>-9.6368079054377116</v>
      </c>
      <c r="U42" s="30">
        <f>'TUSD BE'!$U$42*'TUSD BE'!$U$58</f>
        <v>0</v>
      </c>
      <c r="V42" s="30">
        <f>'TUSD BE'!$V$42*'TUSD BE'!$V$58</f>
        <v>0</v>
      </c>
      <c r="W42" s="30">
        <f>'TUSD BE'!$W$42*'TUSD BE'!$W$58</f>
        <v>-0.46890785564809473</v>
      </c>
      <c r="X42" s="30">
        <f>'TUSD BE'!$X$42*'TUSD BE'!$X$58</f>
        <v>0</v>
      </c>
      <c r="Y42" s="30">
        <f>'TUSD BE'!$Y$42*'TUSD BE'!$Y$58</f>
        <v>0</v>
      </c>
      <c r="Z42" s="30">
        <f>'TUSD BE'!$Z$42*'TUSD BE'!$Z$58</f>
        <v>0</v>
      </c>
      <c r="AA42" s="30">
        <f>'TUSD BE'!$AA$42*'TUSD BE'!$AA$58</f>
        <v>0</v>
      </c>
      <c r="AB42" s="30">
        <f>SUM($U$42:$AA$42)</f>
        <v>-0.46890785564809473</v>
      </c>
      <c r="AC42" s="30">
        <f>'TUSD BE'!$AC$42*'TUSD BE'!$AC$58</f>
        <v>5.3282927316051847</v>
      </c>
      <c r="AD42" s="30">
        <f>SUM($AC$42:$AC$42)</f>
        <v>5.3282927316051847</v>
      </c>
      <c r="AE42" s="30">
        <f ca="1">$AO$42*$AO$55</f>
        <v>0</v>
      </c>
      <c r="AF42" s="30">
        <f ca="1">$AP$42*$AP$55</f>
        <v>0</v>
      </c>
      <c r="AG42" s="30">
        <f ca="1">SUM($AE$42:$AF$42)</f>
        <v>0</v>
      </c>
      <c r="AH42" s="30">
        <f>'TUSD BE'!$AH$42*'TUSD BE'!$AH$58</f>
        <v>-0.9891457828359016</v>
      </c>
      <c r="AI42" s="30">
        <f>'TUSD BE'!$AI$42*'TUSD BE'!$AI$58</f>
        <v>0</v>
      </c>
      <c r="AJ42" s="30">
        <f ca="1">'TUSD BE'!$AJ$42*'TUSD BE'!$AJ$58</f>
        <v>-1.3100044639248709</v>
      </c>
      <c r="AK42" s="30">
        <f ca="1">'TUSD BE'!$AK$42*'TUSD BE'!$AK$58</f>
        <v>-4.9917983695086141E-2</v>
      </c>
      <c r="AL42" s="30">
        <f ca="1">SUM($AH$42:$AK$42)</f>
        <v>-2.3490682304558588</v>
      </c>
      <c r="AM42" s="30">
        <f ca="1">SUMIF($L$4:$AL$4,"SUBTOTAL",$L$42:$AL$42)</f>
        <v>-7.12649125993648</v>
      </c>
      <c r="AO42" s="42">
        <f ca="1">+'TUSD BE'!$T$42+'TUSD BE'!$AB$42+'TUSD BE'!$AD$42+'TUSD BE'!$AL$42</f>
        <v>394.81616032798513</v>
      </c>
      <c r="AP42" s="42">
        <f ca="1">+'TUSD BE'!$T$42+'TUSD BE'!$AB$42+'TUSD BE'!$AD$42+'TUSD BE'!$AL$42</f>
        <v>394.81616032798513</v>
      </c>
    </row>
    <row r="43" spans="1:42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>
        <f>'TUSD BE'!$L$43*'TUSD BE'!$L$58</f>
        <v>-8.0884776063391701</v>
      </c>
      <c r="M43" s="30">
        <f>'TUSD BE'!$M$43*'TUSD BE'!$M$58</f>
        <v>-0.18603066192766296</v>
      </c>
      <c r="N43" s="30">
        <f ca="1">'TUSD BE'!$N$43*'TUSD BE'!$N$58</f>
        <v>8.3399557053942984E-6</v>
      </c>
      <c r="O43" s="30">
        <f>'TUSD BE'!$O$43*'TUSD BE'!$O$58</f>
        <v>0</v>
      </c>
      <c r="P43" s="30">
        <f>'TUSD BE'!$P$43*'TUSD BE'!$P$58</f>
        <v>0</v>
      </c>
      <c r="Q43" s="30">
        <f>'TUSD BE'!$Q$43*'TUSD BE'!$Q$58</f>
        <v>-1.3623079771265838</v>
      </c>
      <c r="R43" s="30">
        <f>'TUSD BE'!$R$43*'TUSD BE'!$R$58</f>
        <v>0</v>
      </c>
      <c r="S43" s="30">
        <f>'TUSD BE'!$R$43*'TUSD BE'!$S$58</f>
        <v>0</v>
      </c>
      <c r="T43" s="30">
        <f ca="1">SUM($L$43:$S$43)</f>
        <v>-9.6368079054377116</v>
      </c>
      <c r="U43" s="30">
        <f>'TUSD BE'!$U$43*'TUSD BE'!$U$58</f>
        <v>0</v>
      </c>
      <c r="V43" s="30">
        <f>'TUSD BE'!$V$43*'TUSD BE'!$V$58</f>
        <v>0</v>
      </c>
      <c r="W43" s="30">
        <f>'TUSD BE'!$W$43*'TUSD BE'!$W$58</f>
        <v>-0.46890785564809473</v>
      </c>
      <c r="X43" s="30">
        <f>'TUSD BE'!$X$43*'TUSD BE'!$X$58</f>
        <v>0</v>
      </c>
      <c r="Y43" s="30">
        <f>'TUSD BE'!$Y$43*'TUSD BE'!$Y$58</f>
        <v>0</v>
      </c>
      <c r="Z43" s="30">
        <f>'TUSD BE'!$Z$43*'TUSD BE'!$Z$58</f>
        <v>0</v>
      </c>
      <c r="AA43" s="30">
        <f>'TUSD BE'!$AA$43*'TUSD BE'!$AA$58</f>
        <v>0</v>
      </c>
      <c r="AB43" s="30">
        <f>SUM($U$43:$AA$43)</f>
        <v>-0.46890785564809473</v>
      </c>
      <c r="AC43" s="30">
        <f>'TUSD BE'!$AC$43*'TUSD BE'!$AC$58</f>
        <v>5.3282927316051847</v>
      </c>
      <c r="AD43" s="30">
        <f>SUM($AC$43:$AC$43)</f>
        <v>5.3282927316051847</v>
      </c>
      <c r="AE43" s="30">
        <f ca="1">$AO$43*$AO$55</f>
        <v>0</v>
      </c>
      <c r="AF43" s="30">
        <f ca="1">$AP$43*$AP$55</f>
        <v>0</v>
      </c>
      <c r="AG43" s="30">
        <f ca="1">SUM($AE$43:$AF$43)</f>
        <v>0</v>
      </c>
      <c r="AH43" s="30">
        <f>'TUSD BE'!$AH$43*'TUSD BE'!$AH$58</f>
        <v>-0.9891457828359016</v>
      </c>
      <c r="AI43" s="30">
        <f>'TUSD BE'!$AI$43*'TUSD BE'!$AI$58</f>
        <v>0</v>
      </c>
      <c r="AJ43" s="30">
        <f ca="1">'TUSD BE'!$AJ$43*'TUSD BE'!$AJ$58</f>
        <v>-1.3100044639248709</v>
      </c>
      <c r="AK43" s="30">
        <f ca="1">'TUSD BE'!$AK$43*'TUSD BE'!$AK$58</f>
        <v>-4.9917983695086141E-2</v>
      </c>
      <c r="AL43" s="30">
        <f ca="1">SUM($AH$43:$AK$43)</f>
        <v>-2.3490682304558588</v>
      </c>
      <c r="AM43" s="30">
        <f ca="1">SUMIF($L$4:$AL$4,"SUBTOTAL",$L$43:$AL$43)</f>
        <v>-7.12649125993648</v>
      </c>
      <c r="AO43" s="42">
        <f ca="1">+'TUSD BE'!$T$43+'TUSD BE'!$AB$43+'TUSD BE'!$AD$43+'TUSD BE'!$AL$43</f>
        <v>394.81616032798513</v>
      </c>
      <c r="AP43" s="42">
        <f ca="1">+'TUSD BE'!$T$43+'TUSD BE'!$AB$43+'TUSD BE'!$AD$43+'TUSD BE'!$AL$43</f>
        <v>394.81616032798513</v>
      </c>
    </row>
    <row r="44" spans="1:42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>
        <f>'TUSD BE'!$L$44*'TUSD BE'!$L$58</f>
        <v>-8.0884776063391701</v>
      </c>
      <c r="M44" s="30">
        <f>'TUSD BE'!$M$44*'TUSD BE'!$M$58</f>
        <v>-0.18603066192766296</v>
      </c>
      <c r="N44" s="30">
        <f ca="1">'TUSD BE'!$N$44*'TUSD BE'!$N$58</f>
        <v>8.3399557053942984E-6</v>
      </c>
      <c r="O44" s="30">
        <f>'TUSD BE'!$O$44*'TUSD BE'!$O$58</f>
        <v>0</v>
      </c>
      <c r="P44" s="30">
        <f>'TUSD BE'!$P$44*'TUSD BE'!$P$58</f>
        <v>0</v>
      </c>
      <c r="Q44" s="30">
        <f>'TUSD BE'!$Q$44*'TUSD BE'!$Q$58</f>
        <v>-1.3623079771265838</v>
      </c>
      <c r="R44" s="30">
        <f>'TUSD BE'!$R$44*'TUSD BE'!$R$58</f>
        <v>0</v>
      </c>
      <c r="S44" s="30">
        <f>'TUSD BE'!$R$44*'TUSD BE'!$S$58</f>
        <v>0</v>
      </c>
      <c r="T44" s="30">
        <f ca="1">SUM($L$44:$S$44)</f>
        <v>-9.6368079054377116</v>
      </c>
      <c r="U44" s="30">
        <f>'TUSD BE'!$U$44*'TUSD BE'!$U$58</f>
        <v>0</v>
      </c>
      <c r="V44" s="30">
        <f>'TUSD BE'!$V$44*'TUSD BE'!$V$58</f>
        <v>0</v>
      </c>
      <c r="W44" s="30">
        <f>'TUSD BE'!$W$44*'TUSD BE'!$W$58</f>
        <v>-0.46890785564809473</v>
      </c>
      <c r="X44" s="30">
        <f>'TUSD BE'!$X$44*'TUSD BE'!$X$58</f>
        <v>0</v>
      </c>
      <c r="Y44" s="30">
        <f>'TUSD BE'!$Y$44*'TUSD BE'!$Y$58</f>
        <v>0</v>
      </c>
      <c r="Z44" s="30">
        <f>'TUSD BE'!$Z$44*'TUSD BE'!$Z$58</f>
        <v>0</v>
      </c>
      <c r="AA44" s="30">
        <f>'TUSD BE'!$AA$44*'TUSD BE'!$AA$58</f>
        <v>0</v>
      </c>
      <c r="AB44" s="30">
        <f>SUM($U$44:$AA$44)</f>
        <v>-0.46890785564809473</v>
      </c>
      <c r="AC44" s="30">
        <f>'TUSD BE'!$AC$44*'TUSD BE'!$AC$58</f>
        <v>5.3282927316051847</v>
      </c>
      <c r="AD44" s="30">
        <f>SUM($AC$44:$AC$44)</f>
        <v>5.3282927316051847</v>
      </c>
      <c r="AE44" s="30">
        <f ca="1">$AO$44*$AO$55</f>
        <v>0</v>
      </c>
      <c r="AF44" s="30">
        <f ca="1">$AP$44*$AP$55</f>
        <v>0</v>
      </c>
      <c r="AG44" s="30">
        <f ca="1">SUM($AE$44:$AF$44)</f>
        <v>0</v>
      </c>
      <c r="AH44" s="30">
        <f>'TUSD BE'!$AH$44*'TUSD BE'!$AH$58</f>
        <v>-0.9891457828359016</v>
      </c>
      <c r="AI44" s="30">
        <f>'TUSD BE'!$AI$44*'TUSD BE'!$AI$58</f>
        <v>0</v>
      </c>
      <c r="AJ44" s="30">
        <f ca="1">'TUSD BE'!$AJ$44*'TUSD BE'!$AJ$58</f>
        <v>-1.3100044639248709</v>
      </c>
      <c r="AK44" s="30">
        <f ca="1">'TUSD BE'!$AK$44*'TUSD BE'!$AK$58</f>
        <v>-4.9917983695086141E-2</v>
      </c>
      <c r="AL44" s="30">
        <f ca="1">SUM($AH$44:$AK$44)</f>
        <v>-2.3490682304558588</v>
      </c>
      <c r="AM44" s="30">
        <f ca="1">SUMIF($L$4:$AL$4,"SUBTOTAL",$L$44:$AL$44)</f>
        <v>-7.12649125993648</v>
      </c>
      <c r="AO44" s="42">
        <f ca="1">+'TUSD BE'!$T$44+'TUSD BE'!$AB$44+'TUSD BE'!$AD$44+'TUSD BE'!$AL$44</f>
        <v>394.81616032798513</v>
      </c>
      <c r="AP44" s="42">
        <f ca="1">+'TUSD BE'!$T$44+'TUSD BE'!$AB$44+'TUSD BE'!$AD$44+'TUSD BE'!$AL$44</f>
        <v>394.81616032798513</v>
      </c>
    </row>
    <row r="45" spans="1:42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>
        <f>'TUSD BE'!$L$45*'TUSD BE'!$L$58</f>
        <v>-8.0884776063391701</v>
      </c>
      <c r="M45" s="30">
        <f>'TUSD BE'!$M$45*'TUSD BE'!$M$58</f>
        <v>-0.18603066192766296</v>
      </c>
      <c r="N45" s="30">
        <f ca="1">'TUSD BE'!$N$45*'TUSD BE'!$N$58</f>
        <v>2.1578715835016055E-5</v>
      </c>
      <c r="O45" s="30">
        <f>'TUSD BE'!$O$45*'TUSD BE'!$O$58</f>
        <v>0</v>
      </c>
      <c r="P45" s="30">
        <f>'TUSD BE'!$P$45*'TUSD BE'!$P$58</f>
        <v>0</v>
      </c>
      <c r="Q45" s="30">
        <f>'TUSD BE'!$Q$45*'TUSD BE'!$Q$58</f>
        <v>-1.3623079771265838</v>
      </c>
      <c r="R45" s="30">
        <f>'TUSD BE'!$R$45*'TUSD BE'!$R$58</f>
        <v>0</v>
      </c>
      <c r="S45" s="30">
        <f>'TUSD BE'!$R$45*'TUSD BE'!$S$58</f>
        <v>0</v>
      </c>
      <c r="T45" s="30">
        <f ca="1">SUM($L$45:$S$45)</f>
        <v>-9.6367946666775826</v>
      </c>
      <c r="U45" s="30">
        <f>'TUSD BE'!$U$45*'TUSD BE'!$U$58</f>
        <v>0</v>
      </c>
      <c r="V45" s="30">
        <f>'TUSD BE'!$V$45*'TUSD BE'!$V$58</f>
        <v>0</v>
      </c>
      <c r="W45" s="30">
        <f>'TUSD BE'!$W$45*'TUSD BE'!$W$58</f>
        <v>-1.7573483599063728</v>
      </c>
      <c r="X45" s="30">
        <f>'TUSD BE'!$X$45*'TUSD BE'!$X$58</f>
        <v>0</v>
      </c>
      <c r="Y45" s="30">
        <f>'TUSD BE'!$Y$45*'TUSD BE'!$Y$58</f>
        <v>0</v>
      </c>
      <c r="Z45" s="30">
        <f>'TUSD BE'!$Z$45*'TUSD BE'!$Z$58</f>
        <v>0</v>
      </c>
      <c r="AA45" s="30">
        <f>'TUSD BE'!$AA$45*'TUSD BE'!$AA$58</f>
        <v>0</v>
      </c>
      <c r="AB45" s="30">
        <f>SUM($U$45:$AA$45)</f>
        <v>-1.7573483599063728</v>
      </c>
      <c r="AC45" s="30">
        <f>'TUSD BE'!$AC$45*'TUSD BE'!$AC$58</f>
        <v>19.981099040671982</v>
      </c>
      <c r="AD45" s="30">
        <f>SUM($AC$45:$AC$45)</f>
        <v>19.981099040671982</v>
      </c>
      <c r="AE45" s="30">
        <f ca="1">$AO$45*$AO$55</f>
        <v>0</v>
      </c>
      <c r="AF45" s="30">
        <f ca="1">$AP$45*$AP$55</f>
        <v>0</v>
      </c>
      <c r="AG45" s="30">
        <f ca="1">SUM($AE$45:$AF$45)</f>
        <v>0</v>
      </c>
      <c r="AH45" s="30">
        <f>'TUSD BE'!$AH$45*'TUSD BE'!$AH$58</f>
        <v>-0.9891457828359016</v>
      </c>
      <c r="AI45" s="30">
        <f>'TUSD BE'!$AI$45*'TUSD BE'!$AI$58</f>
        <v>0</v>
      </c>
      <c r="AJ45" s="30">
        <f ca="1">'TUSD BE'!$AJ$45*'TUSD BE'!$AJ$58</f>
        <v>-1.3100044639248709</v>
      </c>
      <c r="AK45" s="30">
        <f ca="1">'TUSD BE'!$AK$45*'TUSD BE'!$AK$58</f>
        <v>-4.9917983695086141E-2</v>
      </c>
      <c r="AL45" s="30">
        <f ca="1">SUM($AH$45:$AK$45)</f>
        <v>-2.3490682304558588</v>
      </c>
      <c r="AM45" s="30">
        <f ca="1">SUMIF($L$4:$AL$4,"SUBTOTAL",$L$45:$AL$45)</f>
        <v>6.2378877836321669</v>
      </c>
      <c r="AO45" s="42">
        <f ca="1">+'TUSD BE'!$T$45+'TUSD BE'!$AB$45+'TUSD BE'!$AD$45+'TUSD BE'!$AL$45</f>
        <v>1073.3868756839727</v>
      </c>
      <c r="AP45" s="42">
        <f ca="1">+'TUSD BE'!$T$45+'TUSD BE'!$AB$45+'TUSD BE'!$AD$45+'TUSD BE'!$AL$45</f>
        <v>1073.3868756839727</v>
      </c>
    </row>
    <row r="46" spans="1:42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>
        <f>'TUSD BE'!$L$46*'TUSD BE'!$L$58</f>
        <v>-8.0884776063391701</v>
      </c>
      <c r="M46" s="30">
        <f>'TUSD BE'!$M$46*'TUSD BE'!$M$58</f>
        <v>-0.18603066192766296</v>
      </c>
      <c r="N46" s="30">
        <f ca="1">'TUSD BE'!$N$46*'TUSD BE'!$N$58</f>
        <v>1.435757543765274E-5</v>
      </c>
      <c r="O46" s="30">
        <f>'TUSD BE'!$O$46*'TUSD BE'!$O$58</f>
        <v>0</v>
      </c>
      <c r="P46" s="30">
        <f>'TUSD BE'!$P$46*'TUSD BE'!$P$58</f>
        <v>0</v>
      </c>
      <c r="Q46" s="30">
        <f>'TUSD BE'!$Q$46*'TUSD BE'!$Q$58</f>
        <v>-1.3623079771265838</v>
      </c>
      <c r="R46" s="30">
        <f>'TUSD BE'!$R$46*'TUSD BE'!$R$58</f>
        <v>0</v>
      </c>
      <c r="S46" s="30">
        <f>'TUSD BE'!$R$46*'TUSD BE'!$S$58</f>
        <v>0</v>
      </c>
      <c r="T46" s="30">
        <f ca="1">SUM($L$46:$S$46)</f>
        <v>-9.6368018878179793</v>
      </c>
      <c r="U46" s="30">
        <f>'TUSD BE'!$U$46*'TUSD BE'!$U$58</f>
        <v>0</v>
      </c>
      <c r="V46" s="30">
        <f>'TUSD BE'!$V$46*'TUSD BE'!$V$58</f>
        <v>0</v>
      </c>
      <c r="W46" s="30">
        <f>'TUSD BE'!$W$46*'TUSD BE'!$W$58</f>
        <v>-1.0560987739821952</v>
      </c>
      <c r="X46" s="30">
        <f>'TUSD BE'!$X$46*'TUSD BE'!$X$58</f>
        <v>0</v>
      </c>
      <c r="Y46" s="30">
        <f>'TUSD BE'!$Y$46*'TUSD BE'!$Y$58</f>
        <v>0</v>
      </c>
      <c r="Z46" s="30">
        <f>'TUSD BE'!$Z$46*'TUSD BE'!$Z$58</f>
        <v>0</v>
      </c>
      <c r="AA46" s="30">
        <f>'TUSD BE'!$AA$46*'TUSD BE'!$AA$58</f>
        <v>0</v>
      </c>
      <c r="AB46" s="30">
        <f>SUM($U$46:$AA$46)</f>
        <v>-1.0560987739821952</v>
      </c>
      <c r="AC46" s="30">
        <f>'TUSD BE'!$AC$46*'TUSD BE'!$AC$58</f>
        <v>11.988659943264206</v>
      </c>
      <c r="AD46" s="30">
        <f>SUM($AC$46:$AC$46)</f>
        <v>11.988659943264206</v>
      </c>
      <c r="AE46" s="30">
        <f ca="1">$AO$46*$AO$55</f>
        <v>0</v>
      </c>
      <c r="AF46" s="30">
        <f ca="1">$AP$46*$AP$55</f>
        <v>0</v>
      </c>
      <c r="AG46" s="30">
        <f ca="1">SUM($AE$46:$AF$46)</f>
        <v>0</v>
      </c>
      <c r="AH46" s="30">
        <f>'TUSD BE'!$AH$46*'TUSD BE'!$AH$58</f>
        <v>-0.9891457828359016</v>
      </c>
      <c r="AI46" s="30">
        <f>'TUSD BE'!$AI$46*'TUSD BE'!$AI$58</f>
        <v>0</v>
      </c>
      <c r="AJ46" s="30">
        <f ca="1">'TUSD BE'!$AJ$46*'TUSD BE'!$AJ$58</f>
        <v>-1.3100044639248709</v>
      </c>
      <c r="AK46" s="30">
        <f ca="1">'TUSD BE'!$AK$46*'TUSD BE'!$AK$58</f>
        <v>-4.9917983695086141E-2</v>
      </c>
      <c r="AL46" s="30">
        <f ca="1">SUM($AH$46:$AK$46)</f>
        <v>-2.3490682304558588</v>
      </c>
      <c r="AM46" s="30">
        <f ca="1">SUMIF($L$4:$AL$4,"SUBTOTAL",$L$46:$AL$46)</f>
        <v>-1.0533089489918259</v>
      </c>
      <c r="AO46" s="42">
        <f ca="1">+'TUSD BE'!$T$46+'TUSD BE'!$AB$46+'TUSD BE'!$AD$46+'TUSD BE'!$AL$46</f>
        <v>703.26485784196745</v>
      </c>
      <c r="AP46" s="42">
        <f ca="1">+'TUSD BE'!$T$46+'TUSD BE'!$AB$46+'TUSD BE'!$AD$46+'TUSD BE'!$AL$46</f>
        <v>703.26485784196745</v>
      </c>
    </row>
    <row r="47" spans="1:42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>
        <f>'TUSD BE'!$L$47*'TUSD BE'!$L$58</f>
        <v>-8.0884776063391701</v>
      </c>
      <c r="M47" s="30">
        <f>'TUSD BE'!$M$47*'TUSD BE'!$M$58</f>
        <v>-0.18603066192766296</v>
      </c>
      <c r="N47" s="30">
        <f ca="1">'TUSD BE'!$N$47*'TUSD BE'!$N$58</f>
        <v>7.1364326964702693E-6</v>
      </c>
      <c r="O47" s="30">
        <f>'TUSD BE'!$O$47*'TUSD BE'!$O$58</f>
        <v>0</v>
      </c>
      <c r="P47" s="30">
        <f>'TUSD BE'!$P$47*'TUSD BE'!$P$58</f>
        <v>0</v>
      </c>
      <c r="Q47" s="30">
        <f>'TUSD BE'!$Q$47*'TUSD BE'!$Q$58</f>
        <v>-1.3623079771265838</v>
      </c>
      <c r="R47" s="30">
        <f>'TUSD BE'!$R$47*'TUSD BE'!$R$58</f>
        <v>0</v>
      </c>
      <c r="S47" s="30">
        <f>'TUSD BE'!$R$47*'TUSD BE'!$S$58</f>
        <v>0</v>
      </c>
      <c r="T47" s="30">
        <f ca="1">SUM($L$47:$S$47)</f>
        <v>-9.6368091089607208</v>
      </c>
      <c r="U47" s="30">
        <f>'TUSD BE'!$U$47*'TUSD BE'!$U$58</f>
        <v>0</v>
      </c>
      <c r="V47" s="30">
        <f>'TUSD BE'!$V$47*'TUSD BE'!$V$58</f>
        <v>0</v>
      </c>
      <c r="W47" s="30">
        <f>'TUSD BE'!$W$47*'TUSD BE'!$W$58</f>
        <v>-0.35062479296208882</v>
      </c>
      <c r="X47" s="30">
        <f>'TUSD BE'!$X$47*'TUSD BE'!$X$58</f>
        <v>0</v>
      </c>
      <c r="Y47" s="30">
        <f>'TUSD BE'!$Y$47*'TUSD BE'!$Y$58</f>
        <v>0</v>
      </c>
      <c r="Z47" s="30">
        <f>'TUSD BE'!$Z$47*'TUSD BE'!$Z$58</f>
        <v>0</v>
      </c>
      <c r="AA47" s="30">
        <f>'TUSD BE'!$AA$47*'TUSD BE'!$AA$58</f>
        <v>0</v>
      </c>
      <c r="AB47" s="30">
        <f>SUM($U$47:$AA$47)</f>
        <v>-0.35062479296208882</v>
      </c>
      <c r="AC47" s="30">
        <f>'TUSD BE'!$AC$47*'TUSD BE'!$AC$58</f>
        <v>3.9962208458564281</v>
      </c>
      <c r="AD47" s="30">
        <f>SUM($AC$47:$AC$47)</f>
        <v>3.9962208458564281</v>
      </c>
      <c r="AE47" s="30">
        <f ca="1">$AO$47*$AO$55</f>
        <v>0</v>
      </c>
      <c r="AF47" s="30">
        <f ca="1">$AP$47*$AP$55</f>
        <v>0</v>
      </c>
      <c r="AG47" s="30">
        <f ca="1">SUM($AE$47:$AF$47)</f>
        <v>0</v>
      </c>
      <c r="AH47" s="30">
        <f>'TUSD BE'!$AH$47*'TUSD BE'!$AH$58</f>
        <v>-0.9891457828359016</v>
      </c>
      <c r="AI47" s="30">
        <f>'TUSD BE'!$AI$47*'TUSD BE'!$AI$58</f>
        <v>0</v>
      </c>
      <c r="AJ47" s="30">
        <f ca="1">'TUSD BE'!$AJ$47*'TUSD BE'!$AJ$58</f>
        <v>-1.3100044639248709</v>
      </c>
      <c r="AK47" s="30">
        <f ca="1">'TUSD BE'!$AK$47*'TUSD BE'!$AK$58</f>
        <v>-4.9917983695086141E-2</v>
      </c>
      <c r="AL47" s="30">
        <f ca="1">SUM($AH$47:$AK$47)</f>
        <v>-2.3490682304558588</v>
      </c>
      <c r="AM47" s="30">
        <f ca="1">SUMIF($L$4:$AL$4,"SUBTOTAL",$L$47:$AL$47)</f>
        <v>-8.3402812865222415</v>
      </c>
      <c r="AO47" s="42">
        <f ca="1">+'TUSD BE'!$T$47+'TUSD BE'!$AB$47+'TUSD BE'!$AD$47+'TUSD BE'!$AL$47</f>
        <v>333.12240531048064</v>
      </c>
      <c r="AP47" s="42">
        <f ca="1">+'TUSD BE'!$T$47+'TUSD BE'!$AB$47+'TUSD BE'!$AD$47+'TUSD BE'!$AL$47</f>
        <v>333.12240531048064</v>
      </c>
    </row>
    <row r="48" spans="1:42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>
        <f>'TUSD BE'!$L$48*'TUSD BE'!$L$58</f>
        <v>-8.0884776063391701</v>
      </c>
      <c r="M48" s="30">
        <f>'TUSD BE'!$M$48*'TUSD BE'!$M$58</f>
        <v>-0.18603066192766296</v>
      </c>
      <c r="N48" s="30">
        <f ca="1">'TUSD BE'!$N$48*'TUSD BE'!$N$58</f>
        <v>8.3399557053942984E-6</v>
      </c>
      <c r="O48" s="30">
        <f>'TUSD BE'!$O$48*'TUSD BE'!$O$58</f>
        <v>0</v>
      </c>
      <c r="P48" s="30">
        <f>'TUSD BE'!$P$48*'TUSD BE'!$P$58</f>
        <v>0</v>
      </c>
      <c r="Q48" s="30">
        <f>'TUSD BE'!$Q$48*'TUSD BE'!$Q$58</f>
        <v>-1.3623079771265838</v>
      </c>
      <c r="R48" s="30">
        <f>'TUSD BE'!$R$48*'TUSD BE'!$R$58</f>
        <v>0</v>
      </c>
      <c r="S48" s="30">
        <f>'TUSD BE'!$R$48*'TUSD BE'!$S$58</f>
        <v>0</v>
      </c>
      <c r="T48" s="30">
        <f ca="1">SUM($L$48:$S$48)</f>
        <v>-9.6368079054377116</v>
      </c>
      <c r="U48" s="30">
        <f>'TUSD BE'!$U$48*'TUSD BE'!$U$58</f>
        <v>0</v>
      </c>
      <c r="V48" s="30">
        <f>'TUSD BE'!$V$48*'TUSD BE'!$V$58</f>
        <v>0</v>
      </c>
      <c r="W48" s="30">
        <f>'TUSD BE'!$W$48*'TUSD BE'!$W$58</f>
        <v>-0.46890785564809473</v>
      </c>
      <c r="X48" s="30">
        <f>'TUSD BE'!$X$48*'TUSD BE'!$X$58</f>
        <v>0</v>
      </c>
      <c r="Y48" s="30">
        <f>'TUSD BE'!$Y$48*'TUSD BE'!$Y$58</f>
        <v>0</v>
      </c>
      <c r="Z48" s="30">
        <f>'TUSD BE'!$Z$48*'TUSD BE'!$Z$58</f>
        <v>0</v>
      </c>
      <c r="AA48" s="30">
        <f>'TUSD BE'!$AA$48*'TUSD BE'!$AA$58</f>
        <v>0</v>
      </c>
      <c r="AB48" s="30">
        <f>SUM($U$48:$AA$48)</f>
        <v>-0.46890785564809473</v>
      </c>
      <c r="AC48" s="30">
        <f>'TUSD BE'!$AC$48*'TUSD BE'!$AC$58</f>
        <v>5.3282927316051847</v>
      </c>
      <c r="AD48" s="30">
        <f>SUM($AC$48:$AC$48)</f>
        <v>5.3282927316051847</v>
      </c>
      <c r="AE48" s="30">
        <f ca="1">$AO$48*$AO$55</f>
        <v>0</v>
      </c>
      <c r="AF48" s="30">
        <f ca="1">$AP$48*$AP$55</f>
        <v>0</v>
      </c>
      <c r="AG48" s="30">
        <f ca="1">SUM($AE$48:$AF$48)</f>
        <v>0</v>
      </c>
      <c r="AH48" s="30">
        <f>'TUSD BE'!$AH$48*'TUSD BE'!$AH$58</f>
        <v>-0.9891457828359016</v>
      </c>
      <c r="AI48" s="30">
        <f>'TUSD BE'!$AI$48*'TUSD BE'!$AI$58</f>
        <v>0</v>
      </c>
      <c r="AJ48" s="30">
        <f ca="1">'TUSD BE'!$AJ$48*'TUSD BE'!$AJ$58</f>
        <v>-1.3100044639248709</v>
      </c>
      <c r="AK48" s="30">
        <f ca="1">'TUSD BE'!$AK$48*'TUSD BE'!$AK$58</f>
        <v>-4.9917983695086141E-2</v>
      </c>
      <c r="AL48" s="30">
        <f ca="1">SUM($AH$48:$AK$48)</f>
        <v>-2.3490682304558588</v>
      </c>
      <c r="AM48" s="30">
        <f ca="1">SUMIF($L$4:$AL$4,"SUBTOTAL",$L$48:$AL$48)</f>
        <v>-7.12649125993648</v>
      </c>
      <c r="AO48" s="42">
        <f ca="1">+'TUSD BE'!$T$48+'TUSD BE'!$AB$48+'TUSD BE'!$AD$48+'TUSD BE'!$AL$48</f>
        <v>394.81616032798513</v>
      </c>
      <c r="AP48" s="42">
        <f ca="1">+'TUSD BE'!$T$48+'TUSD BE'!$AB$48+'TUSD BE'!$AD$48+'TUSD BE'!$AL$48</f>
        <v>394.81616032798513</v>
      </c>
    </row>
    <row r="49" spans="1:42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>
        <f>'TUSD BE'!$L$49*'TUSD BE'!$L$58</f>
        <v>-8.0884776063391701</v>
      </c>
      <c r="M49" s="30">
        <f>'TUSD BE'!$M$49*'TUSD BE'!$M$58</f>
        <v>-0.18603066192766296</v>
      </c>
      <c r="N49" s="30">
        <f ca="1">'TUSD BE'!$N$49*'TUSD BE'!$N$58</f>
        <v>8.3399557053942984E-6</v>
      </c>
      <c r="O49" s="30">
        <f>'TUSD BE'!$O$49*'TUSD BE'!$O$58</f>
        <v>0</v>
      </c>
      <c r="P49" s="30">
        <f>'TUSD BE'!$P$49*'TUSD BE'!$P$58</f>
        <v>0</v>
      </c>
      <c r="Q49" s="30">
        <f>'TUSD BE'!$Q$49*'TUSD BE'!$Q$58</f>
        <v>-1.3623079771265838</v>
      </c>
      <c r="R49" s="30">
        <f>'TUSD BE'!$R$49*'TUSD BE'!$R$58</f>
        <v>0</v>
      </c>
      <c r="S49" s="30">
        <f>'TUSD BE'!$R$49*'TUSD BE'!$S$58</f>
        <v>0</v>
      </c>
      <c r="T49" s="30">
        <f ca="1">SUM($L$49:$S$49)</f>
        <v>-9.6368079054377116</v>
      </c>
      <c r="U49" s="30">
        <f>'TUSD BE'!$U$49*'TUSD BE'!$U$58</f>
        <v>0</v>
      </c>
      <c r="V49" s="30">
        <f>'TUSD BE'!$V$49*'TUSD BE'!$V$58</f>
        <v>0</v>
      </c>
      <c r="W49" s="30">
        <f>'TUSD BE'!$W$49*'TUSD BE'!$W$58</f>
        <v>-0.46890785564809473</v>
      </c>
      <c r="X49" s="30">
        <f>'TUSD BE'!$X$49*'TUSD BE'!$X$58</f>
        <v>0</v>
      </c>
      <c r="Y49" s="30">
        <f>'TUSD BE'!$Y$49*'TUSD BE'!$Y$58</f>
        <v>0</v>
      </c>
      <c r="Z49" s="30">
        <f>'TUSD BE'!$Z$49*'TUSD BE'!$Z$58</f>
        <v>0</v>
      </c>
      <c r="AA49" s="30">
        <f>'TUSD BE'!$AA$49*'TUSD BE'!$AA$58</f>
        <v>0</v>
      </c>
      <c r="AB49" s="30">
        <f>SUM($U$49:$AA$49)</f>
        <v>-0.46890785564809473</v>
      </c>
      <c r="AC49" s="30">
        <f>'TUSD BE'!$AC$49*'TUSD BE'!$AC$58</f>
        <v>5.3282927316051847</v>
      </c>
      <c r="AD49" s="30">
        <f>SUM($AC$49:$AC$49)</f>
        <v>5.3282927316051847</v>
      </c>
      <c r="AE49" s="30">
        <f ca="1">$AO$49*$AO$55</f>
        <v>0</v>
      </c>
      <c r="AF49" s="30">
        <f ca="1">$AP$49*$AP$55</f>
        <v>0</v>
      </c>
      <c r="AG49" s="30">
        <f ca="1">SUM($AE$49:$AF$49)</f>
        <v>0</v>
      </c>
      <c r="AH49" s="30">
        <f>'TUSD BE'!$AH$49*'TUSD BE'!$AH$58</f>
        <v>-0.9891457828359016</v>
      </c>
      <c r="AI49" s="30">
        <f>'TUSD BE'!$AI$49*'TUSD BE'!$AI$58</f>
        <v>0</v>
      </c>
      <c r="AJ49" s="30">
        <f ca="1">'TUSD BE'!$AJ$49*'TUSD BE'!$AJ$58</f>
        <v>-1.3100044639248709</v>
      </c>
      <c r="AK49" s="30">
        <f ca="1">'TUSD BE'!$AK$49*'TUSD BE'!$AK$58</f>
        <v>-4.9917983695086141E-2</v>
      </c>
      <c r="AL49" s="30">
        <f ca="1">SUM($AH$49:$AK$49)</f>
        <v>-2.3490682304558588</v>
      </c>
      <c r="AM49" s="30">
        <f ca="1">SUMIF($L$4:$AL$4,"SUBTOTAL",$L$49:$AL$49)</f>
        <v>-7.12649125993648</v>
      </c>
      <c r="AO49" s="42">
        <f ca="1">+'TUSD BE'!$T$49+'TUSD BE'!$AB$49+'TUSD BE'!$AD$49+'TUSD BE'!$AL$49</f>
        <v>394.81616032798513</v>
      </c>
      <c r="AP49" s="42">
        <f ca="1">+'TUSD BE'!$T$49+'TUSD BE'!$AB$49+'TUSD BE'!$AD$49+'TUSD BE'!$AL$49</f>
        <v>394.81616032798513</v>
      </c>
    </row>
    <row r="50" spans="1:42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>
        <f>'TUSD BE'!$L$50*'TUSD BE'!$L$58</f>
        <v>-4.4486626834865435</v>
      </c>
      <c r="M50" s="30">
        <f>'TUSD BE'!$M$50*'TUSD BE'!$M$58</f>
        <v>-0.10231686406021463</v>
      </c>
      <c r="N50" s="30">
        <f ca="1">'TUSD BE'!$N$50*'TUSD BE'!$N$58</f>
        <v>4.5869756379668651E-6</v>
      </c>
      <c r="O50" s="30">
        <f>'TUSD BE'!$O$50*'TUSD BE'!$O$58</f>
        <v>0</v>
      </c>
      <c r="P50" s="30">
        <f>'TUSD BE'!$P$50*'TUSD BE'!$P$58</f>
        <v>0</v>
      </c>
      <c r="Q50" s="30">
        <f>'TUSD BE'!$Q$50*'TUSD BE'!$Q$58</f>
        <v>-0.74926938741962124</v>
      </c>
      <c r="R50" s="30">
        <f>'TUSD BE'!$R$50*'TUSD BE'!$R$58</f>
        <v>0</v>
      </c>
      <c r="S50" s="30">
        <f>'TUSD BE'!$R$50*'TUSD BE'!$S$58</f>
        <v>0</v>
      </c>
      <c r="T50" s="30">
        <f ca="1">SUM($L$50:$S$50)</f>
        <v>-5.3002443479907413</v>
      </c>
      <c r="U50" s="30">
        <f>'TUSD BE'!$U$50*'TUSD BE'!$U$58</f>
        <v>0</v>
      </c>
      <c r="V50" s="30">
        <f>'TUSD BE'!$V$50*'TUSD BE'!$V$58</f>
        <v>0</v>
      </c>
      <c r="W50" s="30">
        <f>'TUSD BE'!$W$50*'TUSD BE'!$W$58</f>
        <v>-0.2578993206064521</v>
      </c>
      <c r="X50" s="30">
        <f>'TUSD BE'!$X$50*'TUSD BE'!$X$58</f>
        <v>0</v>
      </c>
      <c r="Y50" s="30">
        <f>'TUSD BE'!$Y$50*'TUSD BE'!$Y$58</f>
        <v>0</v>
      </c>
      <c r="Z50" s="30">
        <f>'TUSD BE'!$Z$50*'TUSD BE'!$Z$58</f>
        <v>0</v>
      </c>
      <c r="AA50" s="30">
        <f>'TUSD BE'!$AA$50*'TUSD BE'!$AA$58</f>
        <v>0</v>
      </c>
      <c r="AB50" s="30">
        <f>SUM($U$50:$AA$50)</f>
        <v>-0.2578993206064521</v>
      </c>
      <c r="AC50" s="30">
        <f>'TUSD BE'!$AC$50*'TUSD BE'!$AC$58</f>
        <v>2.9305610023828521</v>
      </c>
      <c r="AD50" s="30">
        <f>SUM($AC$50:$AC$50)</f>
        <v>2.9305610023828521</v>
      </c>
      <c r="AE50" s="30">
        <f ca="1">$AO$50*$AO$55</f>
        <v>0</v>
      </c>
      <c r="AF50" s="30">
        <f ca="1">$AP$50*$AP$55</f>
        <v>0</v>
      </c>
      <c r="AG50" s="30">
        <f ca="1">SUM($AE$50:$AF$50)</f>
        <v>0</v>
      </c>
      <c r="AH50" s="30">
        <f>'TUSD BE'!$AH$50*'TUSD BE'!$AH$58</f>
        <v>-0.54403018055974595</v>
      </c>
      <c r="AI50" s="30">
        <f>'TUSD BE'!$AI$50*'TUSD BE'!$AI$58</f>
        <v>0</v>
      </c>
      <c r="AJ50" s="30">
        <f ca="1">'TUSD BE'!$AJ$50*'TUSD BE'!$AJ$58</f>
        <v>-0.72050245515867906</v>
      </c>
      <c r="AK50" s="30">
        <f ca="1">'TUSD BE'!$AK$50*'TUSD BE'!$AK$58</f>
        <v>-2.7454891032297379E-2</v>
      </c>
      <c r="AL50" s="30">
        <f ca="1">SUM($AH$50:$AK$50)</f>
        <v>-1.2919875267507224</v>
      </c>
      <c r="AM50" s="30">
        <f ca="1">SUMIF($L$4:$AL$4,"SUBTOTAL",$L$50:$AL$50)</f>
        <v>-3.9195701929650633</v>
      </c>
      <c r="AO50" s="42">
        <f ca="1">+'TUSD BE'!$T$50+'TUSD BE'!$AB$50+'TUSD BE'!$AD$50+'TUSD BE'!$AL$50</f>
        <v>217.14888818039185</v>
      </c>
      <c r="AP50" s="42">
        <f ca="1">+'TUSD BE'!$T$50+'TUSD BE'!$AB$50+'TUSD BE'!$AD$50+'TUSD BE'!$AL$50</f>
        <v>217.14888818039185</v>
      </c>
    </row>
    <row r="51" spans="1:42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>
        <f>'TUSD BE'!$L$51*'TUSD BE'!$L$58</f>
        <v>-4.8530865638035019</v>
      </c>
      <c r="M51" s="30">
        <f>'TUSD BE'!$M$51*'TUSD BE'!$M$58</f>
        <v>-0.11161839715659777</v>
      </c>
      <c r="N51" s="30">
        <f ca="1">'TUSD BE'!$N$51*'TUSD BE'!$N$58</f>
        <v>5.0039734232365768E-6</v>
      </c>
      <c r="O51" s="30">
        <f>'TUSD BE'!$O$51*'TUSD BE'!$O$58</f>
        <v>0</v>
      </c>
      <c r="P51" s="30">
        <f>'TUSD BE'!$P$51*'TUSD BE'!$P$58</f>
        <v>0</v>
      </c>
      <c r="Q51" s="30">
        <f>'TUSD BE'!$Q$51*'TUSD BE'!$Q$58</f>
        <v>-0.81738478627595035</v>
      </c>
      <c r="R51" s="30">
        <f>'TUSD BE'!$R$51*'TUSD BE'!$R$58</f>
        <v>0</v>
      </c>
      <c r="S51" s="30">
        <f>'TUSD BE'!$R$51*'TUSD BE'!$S$58</f>
        <v>0</v>
      </c>
      <c r="T51" s="30">
        <f ca="1">SUM($L$51:$S$51)</f>
        <v>-5.7820847432626268</v>
      </c>
      <c r="U51" s="30">
        <f>'TUSD BE'!$U$51*'TUSD BE'!$U$58</f>
        <v>0</v>
      </c>
      <c r="V51" s="30">
        <f>'TUSD BE'!$V$51*'TUSD BE'!$V$58</f>
        <v>0</v>
      </c>
      <c r="W51" s="30">
        <f>'TUSD BE'!$W$51*'TUSD BE'!$W$58</f>
        <v>-0.2813447133888568</v>
      </c>
      <c r="X51" s="30">
        <f>'TUSD BE'!$X$51*'TUSD BE'!$X$58</f>
        <v>0</v>
      </c>
      <c r="Y51" s="30">
        <f>'TUSD BE'!$Y$51*'TUSD BE'!$Y$58</f>
        <v>0</v>
      </c>
      <c r="Z51" s="30">
        <f>'TUSD BE'!$Z$51*'TUSD BE'!$Z$58</f>
        <v>0</v>
      </c>
      <c r="AA51" s="30">
        <f>'TUSD BE'!$AA$51*'TUSD BE'!$AA$58</f>
        <v>0</v>
      </c>
      <c r="AB51" s="30">
        <f>SUM($U$51:$AA$51)</f>
        <v>-0.2813447133888568</v>
      </c>
      <c r="AC51" s="30">
        <f>'TUSD BE'!$AC$51*'TUSD BE'!$AC$58</f>
        <v>3.1969756389631105</v>
      </c>
      <c r="AD51" s="30">
        <f>SUM($AC$51:$AC$51)</f>
        <v>3.1969756389631105</v>
      </c>
      <c r="AE51" s="30">
        <f ca="1">$AO$51*$AO$55</f>
        <v>0</v>
      </c>
      <c r="AF51" s="30">
        <f ca="1">$AP$51*$AP$55</f>
        <v>0</v>
      </c>
      <c r="AG51" s="30">
        <f ca="1">SUM($AE$51:$AF$51)</f>
        <v>0</v>
      </c>
      <c r="AH51" s="30">
        <f>'TUSD BE'!$AH$51*'TUSD BE'!$AH$58</f>
        <v>-0.59348746970154098</v>
      </c>
      <c r="AI51" s="30">
        <f>'TUSD BE'!$AI$51*'TUSD BE'!$AI$58</f>
        <v>0</v>
      </c>
      <c r="AJ51" s="30">
        <f ca="1">'TUSD BE'!$AJ$51*'TUSD BE'!$AJ$58</f>
        <v>-0.78600267835492243</v>
      </c>
      <c r="AK51" s="30">
        <f ca="1">'TUSD BE'!$AK$51*'TUSD BE'!$AK$58</f>
        <v>-2.9950790217051677E-2</v>
      </c>
      <c r="AL51" s="30">
        <f ca="1">SUM($AH$51:$AK$51)</f>
        <v>-1.4094409382735151</v>
      </c>
      <c r="AM51" s="30">
        <f ca="1">SUMIF($L$4:$AL$4,"SUBTOTAL",$L$51:$AL$51)</f>
        <v>-4.2758947559618887</v>
      </c>
      <c r="AO51" s="42">
        <f ca="1">+'TUSD BE'!$T$51+'TUSD BE'!$AB$51+'TUSD BE'!$AD$51+'TUSD BE'!$AL$51</f>
        <v>236.88969619679105</v>
      </c>
      <c r="AP51" s="42">
        <f ca="1">+'TUSD BE'!$T$51+'TUSD BE'!$AB$51+'TUSD BE'!$AD$51+'TUSD BE'!$AL$51</f>
        <v>236.88969619679105</v>
      </c>
    </row>
    <row r="53" spans="1:42" ht="11.25" customHeight="1" x14ac:dyDescent="0.25">
      <c r="K53" s="35" t="s">
        <v>670</v>
      </c>
      <c r="L53" s="30">
        <f>SUMPRODUCT($I$5:$I51,$L$5:$L51)</f>
        <v>-8179987.3096862864</v>
      </c>
      <c r="M53" s="30">
        <f>SUMPRODUCT($I$5:$I51,$M$5:$M51)</f>
        <v>-203151.11492290522</v>
      </c>
      <c r="N53" s="30">
        <f ca="1">SUMPRODUCT($I$5:$I51,$N$5:$N51)</f>
        <v>8.3422194394368105</v>
      </c>
      <c r="O53" s="30">
        <f>SUMPRODUCT($I$5:$I51,$O$5:$O51)</f>
        <v>0</v>
      </c>
      <c r="P53" s="30">
        <f>SUMPRODUCT($I$5:$I51,$P$5:$P51)</f>
        <v>0</v>
      </c>
      <c r="Q53" s="30">
        <f>SUMPRODUCT($I$5:$I51,$Q$5:$Q51)</f>
        <v>-1377720.5683361534</v>
      </c>
      <c r="R53" s="30">
        <f>SUMPRODUCT($I$5:$I51,$R$5:$R51)</f>
        <v>0</v>
      </c>
      <c r="S53" s="30">
        <f>SUMPRODUCT($I$5:$I51,$S$5:$S51)</f>
        <v>0</v>
      </c>
      <c r="T53" s="30">
        <f ca="1">SUMPRODUCT($I$5:$I51,$T$5:$T51)</f>
        <v>-9760850.6507259067</v>
      </c>
      <c r="U53" s="30">
        <f>SUMPRODUCT($I$5:$I51,$U$5:$U51)</f>
        <v>0</v>
      </c>
      <c r="V53" s="30">
        <f>SUMPRODUCT($I$5:$I51,$V$5:$V51)</f>
        <v>0</v>
      </c>
      <c r="W53" s="30">
        <f>SUMPRODUCT($I$5:$I51,$W$5:$W51)</f>
        <v>-498592.47531313164</v>
      </c>
      <c r="X53" s="30">
        <f>SUMPRODUCT($I$5:$I51,$X$5:$X51)</f>
        <v>0</v>
      </c>
      <c r="Y53" s="30">
        <f>SUMPRODUCT($I$5:$I51,$Y$5:$Y51)</f>
        <v>0</v>
      </c>
      <c r="Z53" s="30">
        <f>SUMPRODUCT($I$5:$I51,$Z$5:$Z51)</f>
        <v>0</v>
      </c>
      <c r="AA53" s="30">
        <f>SUMPRODUCT($I$5:$I51,$AA$5:$AA51)</f>
        <v>0</v>
      </c>
      <c r="AB53" s="30">
        <f>SUMPRODUCT($I$5:$I51,$AB$5:$AB51)</f>
        <v>-498592.47531313164</v>
      </c>
      <c r="AC53" s="30">
        <f>SUMPRODUCT($I$5:$I51,$AC$5:$AC51)</f>
        <v>5817275.3211929277</v>
      </c>
      <c r="AD53" s="30">
        <f>SUMPRODUCT($I$5:$I51,$AD$5:$AD51)</f>
        <v>5817275.3211929277</v>
      </c>
      <c r="AE53" s="30">
        <f ca="1">SUMPRODUCT($I$5:$I51,$AE$5:$AE51)</f>
        <v>0</v>
      </c>
      <c r="AF53" s="30">
        <f ca="1">SUMPRODUCT($I$5:$I51,$AF$5:$AF51)</f>
        <v>0</v>
      </c>
      <c r="AG53" s="30">
        <f ca="1">SUMPRODUCT($I$5:$I51,$AG$5:$AG51)</f>
        <v>0</v>
      </c>
      <c r="AH53" s="30">
        <f>SUMPRODUCT($I$5:$I51,$AH$5:$AH51)</f>
        <v>-996543.58327583992</v>
      </c>
      <c r="AI53" s="30">
        <f>SUMPRODUCT($I$5:$I51,$AI$5:$AI51)</f>
        <v>0</v>
      </c>
      <c r="AJ53" s="30">
        <f ca="1">SUMPRODUCT($I$5:$I51,$AJ$5:$AJ51)</f>
        <v>-1428084.3716305827</v>
      </c>
      <c r="AK53" s="30">
        <f ca="1">SUMPRODUCT($I$5:$I51,$AK$5:$AK51)</f>
        <v>-54417.442338082852</v>
      </c>
      <c r="AL53" s="30">
        <f ca="1">SUMPRODUCT($I$5:$I51,$AL$5:$AL51)</f>
        <v>-2479045.3972445056</v>
      </c>
      <c r="AM53" s="30">
        <f ca="1">SUMPRODUCT($I$5:$I51,$AM$5:$AM51)</f>
        <v>-6921213.2020906145</v>
      </c>
      <c r="AO53" s="40">
        <f ca="1">SUMPRODUCT($I$5:$I51,$AO$5:$AO51)</f>
        <v>422945792.74994761</v>
      </c>
      <c r="AP53" s="40">
        <f ca="1">SUMPRODUCT($I$5:$I51,$AP$5:$AP51)</f>
        <v>422945792.74994761</v>
      </c>
    </row>
    <row r="54" spans="1:42" ht="11.25" customHeight="1" x14ac:dyDescent="0.25">
      <c r="K54" s="35" t="s">
        <v>602</v>
      </c>
      <c r="L54" s="30">
        <f>'TR TUSD'!$L$56</f>
        <v>22459678.417030092</v>
      </c>
      <c r="M54" s="30">
        <f>'TR TUSD'!$M$56</f>
        <v>1082207.9690302885</v>
      </c>
      <c r="N54" s="30">
        <f>'TR TUSD'!$N$56</f>
        <v>3600614.9623489506</v>
      </c>
      <c r="O54" s="30">
        <f>'TR TUSD'!$O$56</f>
        <v>0</v>
      </c>
      <c r="P54" s="30">
        <f>'TR TUSD'!$P$56</f>
        <v>0</v>
      </c>
      <c r="Q54" s="30">
        <f>'TR TUSD'!$Q$56</f>
        <v>35141224.13086278</v>
      </c>
      <c r="R54" s="30">
        <f>'TR TUSD'!$R$56</f>
        <v>0</v>
      </c>
      <c r="S54" s="30">
        <f>'TR TUSD'!$S$56</f>
        <v>0</v>
      </c>
      <c r="T54" s="30">
        <f>'TR TUSD'!$T$56</f>
        <v>62283725.479272112</v>
      </c>
      <c r="U54" s="30">
        <f>'TR TUSD'!$U$56</f>
        <v>0</v>
      </c>
      <c r="V54" s="30">
        <f>'TR TUSD'!$V$56</f>
        <v>0</v>
      </c>
      <c r="W54" s="30">
        <f>'TR TUSD'!$W$56</f>
        <v>2411724.7064356301</v>
      </c>
      <c r="X54" s="30">
        <f>'TR TUSD'!$X$56</f>
        <v>0</v>
      </c>
      <c r="Y54" s="30">
        <f>'TR TUSD'!$Y$56</f>
        <v>0</v>
      </c>
      <c r="Z54" s="30">
        <f>'TR TUSD'!$Z$56</f>
        <v>0</v>
      </c>
      <c r="AA54" s="30">
        <f>'TR TUSD'!$AA$56</f>
        <v>0</v>
      </c>
      <c r="AB54" s="30">
        <f>'TR TUSD'!$AB$56</f>
        <v>2411724.7064356301</v>
      </c>
      <c r="AC54" s="30">
        <f>'TR TUSD'!$AC$56</f>
        <v>264654952.64166877</v>
      </c>
      <c r="AD54" s="30">
        <f>'TR TUSD'!$AD$56</f>
        <v>264654952.64166877</v>
      </c>
      <c r="AE54" s="30">
        <f>'TR TUSD'!$AE$56</f>
        <v>0</v>
      </c>
      <c r="AF54" s="30">
        <f>'TR TUSD'!$AF$56</f>
        <v>0</v>
      </c>
      <c r="AG54" s="30">
        <f>'TR TUSD'!$AG$56</f>
        <v>0</v>
      </c>
      <c r="AH54" s="30">
        <f>'TR TUSD'!$AH$56</f>
        <v>36346542.14104908</v>
      </c>
      <c r="AI54" s="30">
        <f>'TR TUSD'!$AI$56</f>
        <v>0</v>
      </c>
      <c r="AJ54" s="30">
        <f>'TR TUSD'!$AJ$56</f>
        <v>52085959.576217741</v>
      </c>
      <c r="AK54" s="30">
        <f>'TR TUSD'!$AK$56</f>
        <v>5162888.2053043898</v>
      </c>
      <c r="AL54" s="30">
        <f>'TR TUSD'!$AL$56</f>
        <v>93595389.922571212</v>
      </c>
      <c r="AM54" s="30">
        <f>'TUSD BE'!$AM$54</f>
        <v>422945792.74994767</v>
      </c>
      <c r="AO54" s="40">
        <f>$AE$55</f>
        <v>0</v>
      </c>
      <c r="AP54" s="40">
        <f>$AF$55</f>
        <v>0</v>
      </c>
    </row>
    <row r="55" spans="1:42" ht="11.25" customHeight="1" x14ac:dyDescent="0.25">
      <c r="K55" s="35" t="s">
        <v>603</v>
      </c>
      <c r="L55" s="30">
        <f>CUSTOS!$E$2</f>
        <v>-8179987.3096862873</v>
      </c>
      <c r="M55" s="30">
        <f>CUSTOS!$E$3</f>
        <v>-203151.11492290522</v>
      </c>
      <c r="N55" s="30">
        <f>CUSTOS!$E$4</f>
        <v>8.3422194394368088</v>
      </c>
      <c r="O55" s="30">
        <f>CUSTOS!$E$5</f>
        <v>0</v>
      </c>
      <c r="P55" s="30">
        <f>CUSTOS!$E$6</f>
        <v>0</v>
      </c>
      <c r="Q55" s="30">
        <f>CUSTOS!$E$7</f>
        <v>-1377720.5683361534</v>
      </c>
      <c r="R55" s="30">
        <f>CUSTOS!$E$8</f>
        <v>0</v>
      </c>
      <c r="S55" s="30">
        <f>CUSTOS!$E$9</f>
        <v>0</v>
      </c>
      <c r="T55" s="30">
        <f>CUSTOS!$E$10</f>
        <v>-9760850.6507259067</v>
      </c>
      <c r="U55" s="30">
        <f>CUSTOS!$E$11</f>
        <v>0</v>
      </c>
      <c r="V55" s="30">
        <f>CUSTOS!$E$12</f>
        <v>0</v>
      </c>
      <c r="W55" s="30">
        <f>CUSTOS!$E$13</f>
        <v>-498592.4753131317</v>
      </c>
      <c r="X55" s="30">
        <f>CUSTOS!$E$14</f>
        <v>0</v>
      </c>
      <c r="Y55" s="30">
        <f>CUSTOS!$E$15</f>
        <v>0</v>
      </c>
      <c r="Z55" s="30">
        <f>CUSTOS!$E$16</f>
        <v>0</v>
      </c>
      <c r="AA55" s="30">
        <f>CUSTOS!$E$17</f>
        <v>0</v>
      </c>
      <c r="AB55" s="30">
        <f>CUSTOS!$E$18</f>
        <v>-498592.4753131317</v>
      </c>
      <c r="AC55" s="30">
        <f>CUSTOS!$E$19</f>
        <v>5817275.3211929277</v>
      </c>
      <c r="AD55" s="30">
        <f>CUSTOS!$E$20</f>
        <v>5817275.3211929277</v>
      </c>
      <c r="AE55" s="30">
        <f>CUSTOS!$E$21</f>
        <v>0</v>
      </c>
      <c r="AF55" s="30">
        <f>CUSTOS!$E$22</f>
        <v>0</v>
      </c>
      <c r="AG55" s="30">
        <f>CUSTOS!$E$23</f>
        <v>0</v>
      </c>
      <c r="AH55" s="30">
        <f>CUSTOS!$E$24</f>
        <v>-996543.58327583992</v>
      </c>
      <c r="AI55" s="30">
        <f>CUSTOS!$E$25</f>
        <v>0</v>
      </c>
      <c r="AJ55" s="30">
        <f>CUSTOS!$E$26</f>
        <v>-1428084.371630583</v>
      </c>
      <c r="AK55" s="30">
        <f>CUSTOS!$E$27</f>
        <v>-54417.442338082838</v>
      </c>
      <c r="AL55" s="30">
        <f>CUSTOS!$E$28</f>
        <v>-2479045.3972445056</v>
      </c>
      <c r="AM55" s="30">
        <f>CUSTOS!$E$29</f>
        <v>-6921213.2020906173</v>
      </c>
      <c r="AO55" s="40">
        <f ca="1">IF(AO53&lt;&gt;0,AO54/AO53,0)</f>
        <v>0</v>
      </c>
      <c r="AP55" s="40">
        <f ca="1">IF(AP53&lt;&gt;0,AP54/AP53,0)</f>
        <v>0</v>
      </c>
    </row>
    <row r="56" spans="1:42" ht="11.25" customHeight="1" x14ac:dyDescent="0.25">
      <c r="K56" s="35" t="s">
        <v>604</v>
      </c>
      <c r="L56" s="30">
        <f>CUSTOS!$F$2</f>
        <v>0</v>
      </c>
      <c r="M56" s="30">
        <f>CUSTOS!$F$3</f>
        <v>0</v>
      </c>
      <c r="N56" s="30">
        <f>CUSTOS!$F$4</f>
        <v>0</v>
      </c>
      <c r="O56" s="30">
        <f>CUSTOS!$F$5</f>
        <v>0</v>
      </c>
      <c r="P56" s="30">
        <f>CUSTOS!$F$6</f>
        <v>0</v>
      </c>
      <c r="Q56" s="30">
        <f>CUSTOS!$F$7</f>
        <v>11722199.327785593</v>
      </c>
      <c r="R56" s="30">
        <f>CUSTOS!$F$8</f>
        <v>0</v>
      </c>
      <c r="S56" s="30">
        <f>CUSTOS!$F$9</f>
        <v>0</v>
      </c>
      <c r="T56" s="30">
        <f>CUSTOS!$F$10</f>
        <v>11722199.327785593</v>
      </c>
      <c r="U56" s="30">
        <f>CUSTOS!$F$11</f>
        <v>0</v>
      </c>
      <c r="V56" s="30">
        <f>CUSTOS!$F$12</f>
        <v>0</v>
      </c>
      <c r="W56" s="30">
        <f>CUSTOS!$F$13</f>
        <v>0</v>
      </c>
      <c r="X56" s="30">
        <f>CUSTOS!$F$14</f>
        <v>0</v>
      </c>
      <c r="Y56" s="30">
        <f>CUSTOS!$F$15</f>
        <v>0</v>
      </c>
      <c r="Z56" s="30">
        <f>CUSTOS!$F$16</f>
        <v>0</v>
      </c>
      <c r="AA56" s="30">
        <f>CUSTOS!$F$17</f>
        <v>0</v>
      </c>
      <c r="AB56" s="30">
        <f>CUSTOS!$F$18</f>
        <v>0</v>
      </c>
      <c r="AC56" s="30">
        <f>CUSTOS!$F$19</f>
        <v>0</v>
      </c>
      <c r="AD56" s="30">
        <f>CUSTOS!$F$20</f>
        <v>0</v>
      </c>
      <c r="AE56" s="30">
        <f>CUSTOS!$F$21</f>
        <v>0</v>
      </c>
      <c r="AF56" s="30">
        <f>CUSTOS!$F$22</f>
        <v>0</v>
      </c>
      <c r="AG56" s="30">
        <f>CUSTOS!$F$23</f>
        <v>0</v>
      </c>
      <c r="AH56" s="30">
        <f>CUSTOS!$F$24</f>
        <v>-141628.23497802331</v>
      </c>
      <c r="AI56" s="30">
        <f>CUSTOS!$F$25</f>
        <v>0</v>
      </c>
      <c r="AJ56" s="30">
        <f>CUSTOS!$F$26</f>
        <v>-202958.57837835769</v>
      </c>
      <c r="AK56" s="30">
        <f>CUSTOS!$F$27</f>
        <v>0</v>
      </c>
      <c r="AL56" s="30">
        <f>CUSTOS!$F$28</f>
        <v>-344586.81335638103</v>
      </c>
      <c r="AM56" s="30">
        <f>CUSTOS!$F$29</f>
        <v>11377612.514429212</v>
      </c>
    </row>
    <row r="57" spans="1:42" ht="11.25" customHeight="1" x14ac:dyDescent="0.25">
      <c r="K57" s="35" t="s">
        <v>667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f>SUM($L$57:$S$57)</f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f>SUM($U$57:$AA$57)</f>
        <v>0</v>
      </c>
      <c r="AC57" s="30">
        <v>0</v>
      </c>
      <c r="AD57" s="30">
        <f>SUM($AC$57:$AC$57)</f>
        <v>0</v>
      </c>
      <c r="AE57" s="30">
        <v>0</v>
      </c>
      <c r="AF57" s="30">
        <v>0</v>
      </c>
      <c r="AG57" s="30">
        <f>SUM($AE$57:$AF$57)</f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f>SUM($AH$57:$AK$57)</f>
        <v>0</v>
      </c>
      <c r="AM57" s="30"/>
    </row>
    <row r="58" spans="1:42" ht="11.25" customHeight="1" x14ac:dyDescent="0.25">
      <c r="K58" s="35" t="s">
        <v>673</v>
      </c>
      <c r="L58" s="30">
        <f t="shared" ref="L58:R58" si="0">IF((L54-(0))&lt;&gt;0,(L56)/(L54-(0)),0)</f>
        <v>0</v>
      </c>
      <c r="M58" s="30">
        <f t="shared" si="0"/>
        <v>0</v>
      </c>
      <c r="N58" s="30">
        <f t="shared" si="0"/>
        <v>0</v>
      </c>
      <c r="O58" s="30">
        <f t="shared" si="0"/>
        <v>0</v>
      </c>
      <c r="P58" s="30">
        <f t="shared" si="0"/>
        <v>0</v>
      </c>
      <c r="Q58" s="30">
        <f t="shared" si="0"/>
        <v>0.33357401791506092</v>
      </c>
      <c r="R58" s="30">
        <f t="shared" si="0"/>
        <v>0</v>
      </c>
      <c r="S58" s="30">
        <f>IF((R53-(0)&lt;&gt;0),(S55)/(R53-(0)),0)</f>
        <v>0</v>
      </c>
      <c r="T58" s="30"/>
      <c r="U58" s="30">
        <f t="shared" ref="U58:AA58" si="1">IF((U54-(0))&lt;&gt;0,(U56)/(U54-(0)),0)</f>
        <v>0</v>
      </c>
      <c r="V58" s="30">
        <f t="shared" si="1"/>
        <v>0</v>
      </c>
      <c r="W58" s="30">
        <f t="shared" si="1"/>
        <v>0</v>
      </c>
      <c r="X58" s="30">
        <f t="shared" si="1"/>
        <v>0</v>
      </c>
      <c r="Y58" s="30">
        <f t="shared" si="1"/>
        <v>0</v>
      </c>
      <c r="Z58" s="30">
        <f t="shared" si="1"/>
        <v>0</v>
      </c>
      <c r="AA58" s="30">
        <f t="shared" si="1"/>
        <v>0</v>
      </c>
      <c r="AB58" s="30"/>
      <c r="AC58" s="30">
        <f>IF((AC54-(0))&lt;&gt;0,(AC56)/(AC54-(0)),0)</f>
        <v>0</v>
      </c>
      <c r="AD58" s="30"/>
      <c r="AE58" s="30">
        <f ca="1">IF(($AM53-(0))&lt;&gt;0,(AE55)/($AM53-(0)),0)</f>
        <v>0</v>
      </c>
      <c r="AF58" s="30">
        <f ca="1">IF(($AM53-(0))&lt;&gt;0,(AF55)/($AM53-(0)),0)</f>
        <v>0</v>
      </c>
      <c r="AG58" s="30"/>
      <c r="AH58" s="30">
        <f>IF((AH54-(0))&lt;&gt;0,(AH56)/(AH54-(0)),0)</f>
        <v>-3.8966082228237917E-3</v>
      </c>
      <c r="AI58" s="30">
        <f>IF((AI54-(0))&lt;&gt;0,(AI56)/(AI54-(0)),0)</f>
        <v>0</v>
      </c>
      <c r="AJ58" s="30">
        <f>IF((AJ54-(0))&lt;&gt;0,(AJ56)/(AJ54-(0)),0)</f>
        <v>-3.8966082228237922E-3</v>
      </c>
      <c r="AK58" s="30">
        <f>IF((AK54-(0))&lt;&gt;0,(AK56)/(AK54-(0)),0)</f>
        <v>0</v>
      </c>
      <c r="AL58" s="30"/>
      <c r="AM58" s="30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135" priority="55" operator="notEqual">
      <formula>$L$55</formula>
    </cfRule>
    <cfRule type="cellIs" dxfId="1134" priority="56" operator="equal">
      <formula>$L$55</formula>
    </cfRule>
  </conditionalFormatting>
  <conditionalFormatting sqref="M53">
    <cfRule type="cellIs" dxfId="1133" priority="53" operator="notEqual">
      <formula>$M$55</formula>
    </cfRule>
    <cfRule type="cellIs" dxfId="1132" priority="54" operator="equal">
      <formula>$M$55</formula>
    </cfRule>
  </conditionalFormatting>
  <conditionalFormatting sqref="N53">
    <cfRule type="cellIs" dxfId="1131" priority="51" operator="notEqual">
      <formula>$N$55</formula>
    </cfRule>
    <cfRule type="cellIs" dxfId="1130" priority="52" operator="equal">
      <formula>$N$55</formula>
    </cfRule>
  </conditionalFormatting>
  <conditionalFormatting sqref="O53">
    <cfRule type="cellIs" dxfId="1129" priority="49" operator="notEqual">
      <formula>$O$55</formula>
    </cfRule>
    <cfRule type="cellIs" dxfId="1128" priority="50" operator="equal">
      <formula>$O$55</formula>
    </cfRule>
  </conditionalFormatting>
  <conditionalFormatting sqref="P53">
    <cfRule type="cellIs" dxfId="1127" priority="47" operator="notEqual">
      <formula>$P$55</formula>
    </cfRule>
    <cfRule type="cellIs" dxfId="1126" priority="48" operator="equal">
      <formula>$P$55</formula>
    </cfRule>
  </conditionalFormatting>
  <conditionalFormatting sqref="Q53">
    <cfRule type="cellIs" dxfId="1125" priority="45" operator="notEqual">
      <formula>$Q$55</formula>
    </cfRule>
    <cfRule type="cellIs" dxfId="1124" priority="46" operator="equal">
      <formula>$Q$55</formula>
    </cfRule>
  </conditionalFormatting>
  <conditionalFormatting sqref="R53">
    <cfRule type="cellIs" dxfId="1123" priority="43" operator="notEqual">
      <formula>$R$55</formula>
    </cfRule>
    <cfRule type="cellIs" dxfId="1122" priority="44" operator="equal">
      <formula>$R$55</formula>
    </cfRule>
  </conditionalFormatting>
  <conditionalFormatting sqref="S53">
    <cfRule type="cellIs" dxfId="1121" priority="41" operator="notEqual">
      <formula>$S$55</formula>
    </cfRule>
    <cfRule type="cellIs" dxfId="1120" priority="42" operator="equal">
      <formula>$S$55</formula>
    </cfRule>
  </conditionalFormatting>
  <conditionalFormatting sqref="T53">
    <cfRule type="cellIs" dxfId="1119" priority="39" operator="notEqual">
      <formula>$T$55</formula>
    </cfRule>
    <cfRule type="cellIs" dxfId="1118" priority="40" operator="equal">
      <formula>$T$55</formula>
    </cfRule>
  </conditionalFormatting>
  <conditionalFormatting sqref="U53">
    <cfRule type="cellIs" dxfId="1117" priority="37" operator="notEqual">
      <formula>$U$55</formula>
    </cfRule>
    <cfRule type="cellIs" dxfId="1116" priority="38" operator="equal">
      <formula>$U$55</formula>
    </cfRule>
  </conditionalFormatting>
  <conditionalFormatting sqref="V53">
    <cfRule type="cellIs" dxfId="1115" priority="35" operator="notEqual">
      <formula>$V$55</formula>
    </cfRule>
    <cfRule type="cellIs" dxfId="1114" priority="36" operator="equal">
      <formula>$V$55</formula>
    </cfRule>
  </conditionalFormatting>
  <conditionalFormatting sqref="W53">
    <cfRule type="cellIs" dxfId="1113" priority="33" operator="notEqual">
      <formula>$W$55</formula>
    </cfRule>
    <cfRule type="cellIs" dxfId="1112" priority="34" operator="equal">
      <formula>$W$55</formula>
    </cfRule>
  </conditionalFormatting>
  <conditionalFormatting sqref="X53">
    <cfRule type="cellIs" dxfId="1111" priority="31" operator="notEqual">
      <formula>$X$55</formula>
    </cfRule>
    <cfRule type="cellIs" dxfId="1110" priority="32" operator="equal">
      <formula>$X$55</formula>
    </cfRule>
  </conditionalFormatting>
  <conditionalFormatting sqref="Y53">
    <cfRule type="cellIs" dxfId="1109" priority="29" operator="notEqual">
      <formula>$Y$55</formula>
    </cfRule>
    <cfRule type="cellIs" dxfId="1108" priority="30" operator="equal">
      <formula>$Y$55</formula>
    </cfRule>
  </conditionalFormatting>
  <conditionalFormatting sqref="Z53">
    <cfRule type="cellIs" dxfId="1107" priority="27" operator="notEqual">
      <formula>$Z$55</formula>
    </cfRule>
    <cfRule type="cellIs" dxfId="1106" priority="28" operator="equal">
      <formula>$Z$55</formula>
    </cfRule>
  </conditionalFormatting>
  <conditionalFormatting sqref="AA53">
    <cfRule type="cellIs" dxfId="1105" priority="25" operator="notEqual">
      <formula>$AA$55</formula>
    </cfRule>
    <cfRule type="cellIs" dxfId="1104" priority="26" operator="equal">
      <formula>$AA$55</formula>
    </cfRule>
  </conditionalFormatting>
  <conditionalFormatting sqref="AB53">
    <cfRule type="cellIs" dxfId="1103" priority="23" operator="notEqual">
      <formula>$AB$55</formula>
    </cfRule>
    <cfRule type="cellIs" dxfId="1102" priority="24" operator="equal">
      <formula>$AB$55</formula>
    </cfRule>
  </conditionalFormatting>
  <conditionalFormatting sqref="AC53">
    <cfRule type="cellIs" dxfId="1101" priority="21" operator="notEqual">
      <formula>$AC$55</formula>
    </cfRule>
    <cfRule type="cellIs" dxfId="1100" priority="22" operator="equal">
      <formula>$AC$55</formula>
    </cfRule>
  </conditionalFormatting>
  <conditionalFormatting sqref="AD53">
    <cfRule type="cellIs" dxfId="1099" priority="19" operator="notEqual">
      <formula>$AD$55</formula>
    </cfRule>
    <cfRule type="cellIs" dxfId="1098" priority="20" operator="equal">
      <formula>$AD$55</formula>
    </cfRule>
  </conditionalFormatting>
  <conditionalFormatting sqref="AE53">
    <cfRule type="cellIs" dxfId="1097" priority="17" operator="notEqual">
      <formula>$AE$55</formula>
    </cfRule>
    <cfRule type="cellIs" dxfId="1096" priority="18" operator="equal">
      <formula>$AE$55</formula>
    </cfRule>
  </conditionalFormatting>
  <conditionalFormatting sqref="AF53">
    <cfRule type="cellIs" dxfId="1095" priority="16" operator="equal">
      <formula>$AF$55</formula>
    </cfRule>
  </conditionalFormatting>
  <conditionalFormatting sqref="AF53">
    <cfRule type="cellIs" dxfId="1094" priority="15" operator="notEqual">
      <formula>$AF$55</formula>
    </cfRule>
  </conditionalFormatting>
  <conditionalFormatting sqref="AG53">
    <cfRule type="cellIs" dxfId="1093" priority="14" operator="equal">
      <formula>$AG$55</formula>
    </cfRule>
  </conditionalFormatting>
  <conditionalFormatting sqref="AG53">
    <cfRule type="cellIs" dxfId="1092" priority="13" operator="notEqual">
      <formula>$AG$55</formula>
    </cfRule>
  </conditionalFormatting>
  <conditionalFormatting sqref="AH53">
    <cfRule type="cellIs" dxfId="1091" priority="12" operator="equal">
      <formula>$AH$55</formula>
    </cfRule>
  </conditionalFormatting>
  <conditionalFormatting sqref="AH53">
    <cfRule type="cellIs" dxfId="1090" priority="11" operator="notEqual">
      <formula>$AH$55</formula>
    </cfRule>
  </conditionalFormatting>
  <conditionalFormatting sqref="AI53">
    <cfRule type="cellIs" dxfId="1089" priority="10" operator="equal">
      <formula>$AI$55</formula>
    </cfRule>
  </conditionalFormatting>
  <conditionalFormatting sqref="AI53">
    <cfRule type="cellIs" dxfId="1088" priority="9" operator="notEqual">
      <formula>$AI$55</formula>
    </cfRule>
  </conditionalFormatting>
  <conditionalFormatting sqref="AJ53">
    <cfRule type="cellIs" dxfId="1087" priority="8" operator="equal">
      <formula>$AJ$55</formula>
    </cfRule>
  </conditionalFormatting>
  <conditionalFormatting sqref="AJ53">
    <cfRule type="cellIs" dxfId="1086" priority="7" operator="notEqual">
      <formula>$AJ$55</formula>
    </cfRule>
  </conditionalFormatting>
  <conditionalFormatting sqref="AK53">
    <cfRule type="cellIs" dxfId="1085" priority="6" operator="equal">
      <formula>$AK$55</formula>
    </cfRule>
  </conditionalFormatting>
  <conditionalFormatting sqref="AK53">
    <cfRule type="cellIs" dxfId="1084" priority="5" operator="notEqual">
      <formula>$AK$55</formula>
    </cfRule>
  </conditionalFormatting>
  <conditionalFormatting sqref="AL53">
    <cfRule type="cellIs" dxfId="1083" priority="4" operator="equal">
      <formula>$AL$55</formula>
    </cfRule>
  </conditionalFormatting>
  <conditionalFormatting sqref="AL53">
    <cfRule type="cellIs" dxfId="1082" priority="3" operator="notEqual">
      <formula>$AL$55</formula>
    </cfRule>
  </conditionalFormatting>
  <conditionalFormatting sqref="AM53">
    <cfRule type="cellIs" dxfId="1081" priority="2" operator="equal">
      <formula>$AM$55</formula>
    </cfRule>
  </conditionalFormatting>
  <conditionalFormatting sqref="AM53">
    <cfRule type="cellIs" dxfId="1080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8A1AF-53CB-46BF-A751-806841AB8FAE}">
  <dimension ref="A1:AP57"/>
  <sheetViews>
    <sheetView showGridLines="0" topLeftCell="X39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6" width="4.8554687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675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O1" s="42"/>
      <c r="AP1" s="112" t="s">
        <v>663</v>
      </c>
    </row>
    <row r="2" spans="1:42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O2" s="42"/>
      <c r="AP2" s="113"/>
    </row>
    <row r="3" spans="1:42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/>
      <c r="U3" s="109" t="s">
        <v>570</v>
      </c>
      <c r="V3" s="109"/>
      <c r="W3" s="109"/>
      <c r="X3" s="109"/>
      <c r="Y3" s="109"/>
      <c r="Z3" s="109"/>
      <c r="AA3" s="109"/>
      <c r="AB3" s="109"/>
      <c r="AC3" s="109" t="s">
        <v>578</v>
      </c>
      <c r="AD3" s="109"/>
      <c r="AE3" s="109" t="s">
        <v>580</v>
      </c>
      <c r="AF3" s="109"/>
      <c r="AG3" s="109"/>
      <c r="AH3" s="109" t="s">
        <v>583</v>
      </c>
      <c r="AI3" s="109"/>
      <c r="AJ3" s="109"/>
      <c r="AK3" s="109"/>
      <c r="AL3" s="109"/>
      <c r="AM3" s="109" t="s">
        <v>569</v>
      </c>
      <c r="AO3" s="42"/>
      <c r="AP3" s="113"/>
    </row>
    <row r="4" spans="1:42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569</v>
      </c>
      <c r="U4" s="32" t="s">
        <v>571</v>
      </c>
      <c r="V4" s="32" t="s">
        <v>572</v>
      </c>
      <c r="W4" s="32" t="s">
        <v>573</v>
      </c>
      <c r="X4" s="32" t="s">
        <v>574</v>
      </c>
      <c r="Y4" s="32" t="s">
        <v>575</v>
      </c>
      <c r="Z4" s="32" t="s">
        <v>576</v>
      </c>
      <c r="AA4" s="32" t="s">
        <v>577</v>
      </c>
      <c r="AB4" s="32" t="s">
        <v>569</v>
      </c>
      <c r="AC4" s="32" t="s">
        <v>579</v>
      </c>
      <c r="AD4" s="32" t="s">
        <v>569</v>
      </c>
      <c r="AE4" s="32" t="s">
        <v>581</v>
      </c>
      <c r="AF4" s="32" t="s">
        <v>582</v>
      </c>
      <c r="AG4" s="32" t="s">
        <v>569</v>
      </c>
      <c r="AH4" s="32" t="s">
        <v>584</v>
      </c>
      <c r="AI4" s="32" t="s">
        <v>585</v>
      </c>
      <c r="AJ4" s="32" t="s">
        <v>586</v>
      </c>
      <c r="AK4" s="32" t="s">
        <v>587</v>
      </c>
      <c r="AL4" s="32" t="s">
        <v>569</v>
      </c>
      <c r="AM4" s="111"/>
      <c r="AO4" s="43" t="s">
        <v>674</v>
      </c>
      <c r="AP4" s="114"/>
    </row>
    <row r="5" spans="1:42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>
        <f>'TUSD BE'!$L$5*'TUSD BF'!$L$58</f>
        <v>0</v>
      </c>
      <c r="M5" s="30">
        <f>'TUSD BE'!$M$5*'TUSD BF'!$M$58</f>
        <v>0</v>
      </c>
      <c r="N5" s="30">
        <f ca="1">'TUSD BE'!$N$5*'TUSD BF'!$N$58</f>
        <v>0</v>
      </c>
      <c r="O5" s="30">
        <f>'TUSD BE'!$O$5*'TUSD BF'!$O$58</f>
        <v>0</v>
      </c>
      <c r="P5" s="30">
        <f>'TUSD BE'!$P$5*'TUSD BF'!$P$58</f>
        <v>0</v>
      </c>
      <c r="Q5" s="30">
        <f>'TUSD BE'!$Q$5*'TUSD BF'!$Q$58</f>
        <v>0</v>
      </c>
      <c r="R5" s="30">
        <f>'TUSD BE'!$R$5*'TUSD BF'!$R$58</f>
        <v>0</v>
      </c>
      <c r="S5" s="30">
        <f>'TUSD BE'!$R$5*'TUSD BF'!$S$58</f>
        <v>0</v>
      </c>
      <c r="T5" s="30">
        <f ca="1">SUM($L$5:$S$5)</f>
        <v>0</v>
      </c>
      <c r="U5" s="30">
        <f>'TUSD BE'!$U$5*'TUSD BF'!$U$58</f>
        <v>0</v>
      </c>
      <c r="V5" s="30">
        <f>'TUSD BE'!$V$5*'TUSD BF'!$V$58</f>
        <v>0</v>
      </c>
      <c r="W5" s="30">
        <f>'TUSD BE'!$W$5*'TUSD BF'!$W$58</f>
        <v>0</v>
      </c>
      <c r="X5" s="30">
        <f>'TUSD BE'!$X$5*'TUSD BF'!$X$58</f>
        <v>0</v>
      </c>
      <c r="Y5" s="30">
        <f>'TUSD BE'!$Y$5*'TUSD BF'!$Y$58</f>
        <v>0</v>
      </c>
      <c r="Z5" s="30">
        <f>'TUSD BE'!$Z$5*'TUSD BF'!$Z$58</f>
        <v>0</v>
      </c>
      <c r="AA5" s="30">
        <f>'TUSD BE'!$AA$5*'TUSD BF'!$AA$58</f>
        <v>0</v>
      </c>
      <c r="AB5" s="30">
        <f>SUM($U$5:$AA$5)</f>
        <v>0</v>
      </c>
      <c r="AC5" s="30">
        <f>'TUSD BE'!$AC$5*'TUSD BF'!$AC$58</f>
        <v>0</v>
      </c>
      <c r="AD5" s="30">
        <f>SUM($AC$5:$AC$5)</f>
        <v>0</v>
      </c>
      <c r="AE5" s="30">
        <f ca="1">$AO$5*$AO$55</f>
        <v>0</v>
      </c>
      <c r="AF5" s="30">
        <f ca="1">$AP$5*$AP$55</f>
        <v>0</v>
      </c>
      <c r="AG5" s="30">
        <f ca="1">SUM($AE$5:$AF$5)</f>
        <v>0</v>
      </c>
      <c r="AH5" s="30">
        <f>'TUSD BE'!$AH$5*'TUSD BF'!$AH$58</f>
        <v>0</v>
      </c>
      <c r="AI5" s="30">
        <f>'TUSD BE'!$AI$5*'TUSD BF'!$AI$58</f>
        <v>0</v>
      </c>
      <c r="AJ5" s="30">
        <f ca="1">'TUSD BE'!$AJ$5*'TUSD BF'!$AJ$58</f>
        <v>0</v>
      </c>
      <c r="AK5" s="30">
        <f ca="1">'TUSD BE'!$AK$5*'TUSD BF'!$AK$58</f>
        <v>0</v>
      </c>
      <c r="AL5" s="30">
        <f ca="1">SUM($AH$5:$AK$5)</f>
        <v>0</v>
      </c>
      <c r="AM5" s="30">
        <f ca="1">SUMIF($L$4:$AL$4,"SUBTOTAL",$L$5:$AL$5)</f>
        <v>0</v>
      </c>
      <c r="AO5" s="42">
        <f ca="1">+'TUSD BE'!$T$5+'TUSD BE'!$AB$5+'TUSD BE'!$AD$5+'TUSD BE'!$AL$5</f>
        <v>55.968523288842491</v>
      </c>
      <c r="AP5" s="42">
        <f ca="1">+'TUSD BE'!$T$5+'TUSD BE'!$AB$5+'TUSD BE'!$AD$5+'TUSD BE'!$AL$5</f>
        <v>55.968523288842491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>
        <f>'TUSD BE'!$L$6*'TUSD BF'!$L$58</f>
        <v>0</v>
      </c>
      <c r="M6" s="30">
        <f>'TUSD BE'!$M$6*'TUSD BF'!$M$58</f>
        <v>0</v>
      </c>
      <c r="N6" s="30">
        <f ca="1">'TUSD BE'!$N$6*'TUSD BF'!$N$58</f>
        <v>0</v>
      </c>
      <c r="O6" s="30">
        <f>'TUSD BE'!$O$6*'TUSD BF'!$O$58</f>
        <v>0</v>
      </c>
      <c r="P6" s="30">
        <f>'TUSD BE'!$P$6*'TUSD BF'!$P$58</f>
        <v>0</v>
      </c>
      <c r="Q6" s="30">
        <f>'TUSD BE'!$Q$6*'TUSD BF'!$Q$58</f>
        <v>0</v>
      </c>
      <c r="R6" s="30">
        <f>'TUSD BE'!$R$6*'TUSD BF'!$R$58</f>
        <v>0</v>
      </c>
      <c r="S6" s="30">
        <f>'TUSD BE'!$R$6*'TUSD BF'!$S$58</f>
        <v>0</v>
      </c>
      <c r="T6" s="30">
        <f ca="1">SUM($L$6:$S$6)</f>
        <v>0</v>
      </c>
      <c r="U6" s="30">
        <f>'TUSD BE'!$U$6*'TUSD BF'!$U$58</f>
        <v>0</v>
      </c>
      <c r="V6" s="30">
        <f>'TUSD BE'!$V$6*'TUSD BF'!$V$58</f>
        <v>0</v>
      </c>
      <c r="W6" s="30">
        <f>'TUSD BE'!$W$6*'TUSD BF'!$W$58</f>
        <v>0</v>
      </c>
      <c r="X6" s="30">
        <f>'TUSD BE'!$X$6*'TUSD BF'!$X$58</f>
        <v>0</v>
      </c>
      <c r="Y6" s="30">
        <f>'TUSD BE'!$Y$6*'TUSD BF'!$Y$58</f>
        <v>0</v>
      </c>
      <c r="Z6" s="30">
        <f>'TUSD BE'!$Z$6*'TUSD BF'!$Z$58</f>
        <v>0</v>
      </c>
      <c r="AA6" s="30">
        <f>'TUSD BE'!$AA$6*'TUSD BF'!$AA$58</f>
        <v>0</v>
      </c>
      <c r="AB6" s="30">
        <f>SUM($U$6:$AA$6)</f>
        <v>0</v>
      </c>
      <c r="AC6" s="30">
        <f>'TUSD BE'!$AC$6*'TUSD BF'!$AC$58</f>
        <v>0</v>
      </c>
      <c r="AD6" s="30">
        <f>SUM($AC$6:$AC$6)</f>
        <v>0</v>
      </c>
      <c r="AE6" s="30">
        <f ca="1">$AO$6*$AO$55</f>
        <v>0</v>
      </c>
      <c r="AF6" s="30">
        <f ca="1">$AP$6*$AP$55</f>
        <v>0</v>
      </c>
      <c r="AG6" s="30">
        <f ca="1">SUM($AE$6:$AF$6)</f>
        <v>0</v>
      </c>
      <c r="AH6" s="30">
        <f>'TUSD BE'!$AH$6*'TUSD BF'!$AH$58</f>
        <v>0</v>
      </c>
      <c r="AI6" s="30">
        <f>'TUSD BE'!$AI$6*'TUSD BF'!$AI$58</f>
        <v>0</v>
      </c>
      <c r="AJ6" s="30">
        <f ca="1">'TUSD BE'!$AJ$6*'TUSD BF'!$AJ$58</f>
        <v>0</v>
      </c>
      <c r="AK6" s="30">
        <f ca="1">'TUSD BE'!$AK$6*'TUSD BF'!$AK$58</f>
        <v>0</v>
      </c>
      <c r="AL6" s="30">
        <f ca="1">SUM($AH$6:$AK$6)</f>
        <v>0</v>
      </c>
      <c r="AM6" s="30">
        <f ca="1">SUMIF($L$4:$AL$4,"SUBTOTAL",$L$6:$AL$6)</f>
        <v>0</v>
      </c>
      <c r="AO6" s="42">
        <f ca="1">+'TUSD BE'!$T$6+'TUSD BE'!$AB$6+'TUSD BE'!$AD$6+'TUSD BE'!$AL$6</f>
        <v>18.647312400967763</v>
      </c>
      <c r="AP6" s="42">
        <f ca="1">+'TUSD BE'!$T$6+'TUSD BE'!$AB$6+'TUSD BE'!$AD$6+'TUSD BE'!$AL$6</f>
        <v>18.647312400967763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>
        <f>'TUSD BE'!$L$7*'TUSD BF'!$L$58</f>
        <v>0</v>
      </c>
      <c r="M7" s="30">
        <f>'TUSD BE'!$M$7*'TUSD BF'!$M$58</f>
        <v>0</v>
      </c>
      <c r="N7" s="30">
        <f ca="1">'TUSD BE'!$N$7*'TUSD BF'!$N$58</f>
        <v>0</v>
      </c>
      <c r="O7" s="30">
        <f>'TUSD BE'!$O$7*'TUSD BF'!$O$58</f>
        <v>0</v>
      </c>
      <c r="P7" s="30">
        <f>'TUSD BE'!$P$7*'TUSD BF'!$P$58</f>
        <v>0</v>
      </c>
      <c r="Q7" s="30">
        <f>'TUSD BE'!$Q$7*'TUSD BF'!$Q$58</f>
        <v>9.7364927674097128</v>
      </c>
      <c r="R7" s="30">
        <f>'TUSD BE'!$R$7*'TUSD BF'!$R$58</f>
        <v>0</v>
      </c>
      <c r="S7" s="30">
        <f>'TUSD BE'!$R$7*'TUSD BF'!$S$58</f>
        <v>0</v>
      </c>
      <c r="T7" s="30">
        <f ca="1">SUM($L$7:$S$7)</f>
        <v>9.7364927674097128</v>
      </c>
      <c r="U7" s="30">
        <f>'TUSD BE'!$U$7*'TUSD BF'!$U$58</f>
        <v>0</v>
      </c>
      <c r="V7" s="30">
        <f>'TUSD BE'!$V$7*'TUSD BF'!$V$58</f>
        <v>0</v>
      </c>
      <c r="W7" s="30">
        <f>'TUSD BE'!$W$7*'TUSD BF'!$W$58</f>
        <v>0</v>
      </c>
      <c r="X7" s="30">
        <f>'TUSD BE'!$X$7*'TUSD BF'!$X$58</f>
        <v>0</v>
      </c>
      <c r="Y7" s="30">
        <f>'TUSD BE'!$Y$7*'TUSD BF'!$Y$58</f>
        <v>0</v>
      </c>
      <c r="Z7" s="30">
        <f>'TUSD BE'!$Z$7*'TUSD BF'!$Z$58</f>
        <v>0</v>
      </c>
      <c r="AA7" s="30">
        <f>'TUSD BE'!$AA$7*'TUSD BF'!$AA$58</f>
        <v>0</v>
      </c>
      <c r="AB7" s="30">
        <f>SUM($U$7:$AA$7)</f>
        <v>0</v>
      </c>
      <c r="AC7" s="30">
        <f>'TUSD BE'!$AC$7*'TUSD BF'!$AC$58</f>
        <v>0</v>
      </c>
      <c r="AD7" s="30">
        <f>SUM($AC$7:$AC$7)</f>
        <v>0</v>
      </c>
      <c r="AE7" s="30">
        <f ca="1">$AO$7*$AO$55</f>
        <v>0</v>
      </c>
      <c r="AF7" s="30">
        <f ca="1">$AP$7*$AP$55</f>
        <v>0</v>
      </c>
      <c r="AG7" s="30">
        <f ca="1">SUM($AE$7:$AF$7)</f>
        <v>0</v>
      </c>
      <c r="AH7" s="30">
        <f>'TUSD BE'!$AH$7*'TUSD BF'!$AH$58</f>
        <v>-6.7068252568050019E-2</v>
      </c>
      <c r="AI7" s="30">
        <f>'TUSD BE'!$AI$7*'TUSD BF'!$AI$58</f>
        <v>0</v>
      </c>
      <c r="AJ7" s="30">
        <f ca="1">'TUSD BE'!$AJ$7*'TUSD BF'!$AJ$58</f>
        <v>-0.15125601610693559</v>
      </c>
      <c r="AK7" s="30">
        <f ca="1">'TUSD BE'!$AK$7*'TUSD BF'!$AK$58</f>
        <v>0</v>
      </c>
      <c r="AL7" s="30">
        <f ca="1">SUM($AH$7:$AK$7)</f>
        <v>-0.21832426867498561</v>
      </c>
      <c r="AM7" s="30">
        <f ca="1">SUMIF($L$4:$AL$4,"SUBTOTAL",$L$7:$AL$7)</f>
        <v>9.5181684987347275</v>
      </c>
      <c r="AO7" s="42">
        <f ca="1">+'TUSD BE'!$T$7+'TUSD BE'!$AB$7+'TUSD BE'!$AD$7+'TUSD BE'!$AL$7</f>
        <v>109.59177699080988</v>
      </c>
      <c r="AP7" s="42">
        <f ca="1">+'TUSD BE'!$T$7+'TUSD BE'!$AB$7+'TUSD BE'!$AD$7+'TUSD BE'!$AL$7</f>
        <v>109.59177699080988</v>
      </c>
    </row>
    <row r="8" spans="1:42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>
        <f>'TUSD BE'!$L$8*'TUSD BF'!$L$58</f>
        <v>0</v>
      </c>
      <c r="M8" s="30">
        <f>'TUSD BE'!$M$8*'TUSD BF'!$M$58</f>
        <v>0</v>
      </c>
      <c r="N8" s="30">
        <f ca="1">'TUSD BE'!$N$8*'TUSD BF'!$N$58</f>
        <v>0</v>
      </c>
      <c r="O8" s="30">
        <f>'TUSD BE'!$O$8*'TUSD BF'!$O$58</f>
        <v>0</v>
      </c>
      <c r="P8" s="30">
        <f>'TUSD BE'!$P$8*'TUSD BF'!$P$58</f>
        <v>0</v>
      </c>
      <c r="Q8" s="30">
        <f>'TUSD BE'!$Q$8*'TUSD BF'!$Q$58</f>
        <v>0</v>
      </c>
      <c r="R8" s="30">
        <f>'TUSD BE'!$R$8*'TUSD BF'!$R$58</f>
        <v>0</v>
      </c>
      <c r="S8" s="30">
        <f>'TUSD BE'!$R$8*'TUSD BF'!$S$58</f>
        <v>0</v>
      </c>
      <c r="T8" s="30">
        <f ca="1">SUM($L$8:$S$8)</f>
        <v>0</v>
      </c>
      <c r="U8" s="30">
        <f>'TUSD BE'!$U$8*'TUSD BF'!$U$58</f>
        <v>0</v>
      </c>
      <c r="V8" s="30">
        <f>'TUSD BE'!$V$8*'TUSD BF'!$V$58</f>
        <v>0</v>
      </c>
      <c r="W8" s="30">
        <f>'TUSD BE'!$W$8*'TUSD BF'!$W$58</f>
        <v>0</v>
      </c>
      <c r="X8" s="30">
        <f>'TUSD BE'!$X$8*'TUSD BF'!$X$58</f>
        <v>0</v>
      </c>
      <c r="Y8" s="30">
        <f>'TUSD BE'!$Y$8*'TUSD BF'!$Y$58</f>
        <v>0</v>
      </c>
      <c r="Z8" s="30">
        <f>'TUSD BE'!$Z$8*'TUSD BF'!$Z$58</f>
        <v>0</v>
      </c>
      <c r="AA8" s="30">
        <f>'TUSD BE'!$AA$8*'TUSD BF'!$AA$58</f>
        <v>0</v>
      </c>
      <c r="AB8" s="30">
        <f>SUM($U$8:$AA$8)</f>
        <v>0</v>
      </c>
      <c r="AC8" s="30">
        <f>'TUSD BE'!$AC$8*'TUSD BF'!$AC$58</f>
        <v>0</v>
      </c>
      <c r="AD8" s="30">
        <f>SUM($AC$8:$AC$8)</f>
        <v>0</v>
      </c>
      <c r="AE8" s="30">
        <f ca="1">$AO$8*$AO$55</f>
        <v>0</v>
      </c>
      <c r="AF8" s="30">
        <f ca="1">$AP$8*$AP$55</f>
        <v>0</v>
      </c>
      <c r="AG8" s="30">
        <f ca="1">SUM($AE$8:$AF$8)</f>
        <v>0</v>
      </c>
      <c r="AH8" s="30">
        <f>'TUSD BE'!$AH$8*'TUSD BF'!$AH$58</f>
        <v>-6.7068252568050019E-2</v>
      </c>
      <c r="AI8" s="30">
        <f>'TUSD BE'!$AI$8*'TUSD BF'!$AI$58</f>
        <v>0</v>
      </c>
      <c r="AJ8" s="30">
        <f ca="1">'TUSD BE'!$AJ$8*'TUSD BF'!$AJ$58</f>
        <v>-0.15125601610693559</v>
      </c>
      <c r="AK8" s="30">
        <f ca="1">'TUSD BE'!$AK$8*'TUSD BF'!$AK$58</f>
        <v>0</v>
      </c>
      <c r="AL8" s="30">
        <f ca="1">SUM($AH$8:$AK$8)</f>
        <v>-0.21832426867498561</v>
      </c>
      <c r="AM8" s="30">
        <f ca="1">SUMIF($L$4:$AL$4,"SUBTOTAL",$L$8:$AL$8)</f>
        <v>-0.21832426867498561</v>
      </c>
      <c r="AO8" s="42">
        <f ca="1">+'TUSD BE'!$T$8+'TUSD BE'!$AB$8+'TUSD BE'!$AD$8+'TUSD BE'!$AL$8</f>
        <v>61.738183994935952</v>
      </c>
      <c r="AP8" s="42">
        <f ca="1">+'TUSD BE'!$T$8+'TUSD BE'!$AB$8+'TUSD BE'!$AD$8+'TUSD BE'!$AL$8</f>
        <v>61.738183994935952</v>
      </c>
    </row>
    <row r="9" spans="1:42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>
        <f>'TUSD BE'!$L$9*'TUSD BF'!$L$58</f>
        <v>0</v>
      </c>
      <c r="M9" s="30">
        <f>'TUSD BE'!$M$9*'TUSD BF'!$M$58</f>
        <v>0</v>
      </c>
      <c r="N9" s="30">
        <f ca="1">'TUSD BE'!$N$9*'TUSD BF'!$N$58</f>
        <v>0</v>
      </c>
      <c r="O9" s="30">
        <f>'TUSD BE'!$O$9*'TUSD BF'!$O$58</f>
        <v>0</v>
      </c>
      <c r="P9" s="30">
        <f>'TUSD BE'!$P$9*'TUSD BF'!$P$58</f>
        <v>0</v>
      </c>
      <c r="Q9" s="30">
        <f>'TUSD BE'!$Q$9*'TUSD BF'!$Q$58</f>
        <v>0</v>
      </c>
      <c r="R9" s="30">
        <f>'TUSD BE'!$R$9*'TUSD BF'!$R$58</f>
        <v>0</v>
      </c>
      <c r="S9" s="30">
        <f>'TUSD BE'!$R$9*'TUSD BF'!$S$58</f>
        <v>0</v>
      </c>
      <c r="T9" s="30">
        <f ca="1">SUM($L$9:$S$9)</f>
        <v>0</v>
      </c>
      <c r="U9" s="30">
        <f>'TUSD BE'!$U$9*'TUSD BF'!$U$58</f>
        <v>0</v>
      </c>
      <c r="V9" s="30">
        <f>'TUSD BE'!$V$9*'TUSD BF'!$V$58</f>
        <v>0</v>
      </c>
      <c r="W9" s="30">
        <f>'TUSD BE'!$W$9*'TUSD BF'!$W$58</f>
        <v>0</v>
      </c>
      <c r="X9" s="30">
        <f>'TUSD BE'!$X$9*'TUSD BF'!$X$58</f>
        <v>0</v>
      </c>
      <c r="Y9" s="30">
        <f>'TUSD BE'!$Y$9*'TUSD BF'!$Y$58</f>
        <v>0</v>
      </c>
      <c r="Z9" s="30">
        <f>'TUSD BE'!$Z$9*'TUSD BF'!$Z$58</f>
        <v>0</v>
      </c>
      <c r="AA9" s="30">
        <f>'TUSD BE'!$AA$9*'TUSD BF'!$AA$58</f>
        <v>0</v>
      </c>
      <c r="AB9" s="30">
        <f>SUM($U$9:$AA$9)</f>
        <v>0</v>
      </c>
      <c r="AC9" s="30">
        <f>'TUSD BE'!$AC$9*'TUSD BF'!$AC$58</f>
        <v>0</v>
      </c>
      <c r="AD9" s="30">
        <f>SUM($AC$9:$AC$9)</f>
        <v>0</v>
      </c>
      <c r="AE9" s="30">
        <f ca="1">$AO$9*$AO$55</f>
        <v>0</v>
      </c>
      <c r="AF9" s="30">
        <f ca="1">$AP$9*$AP$55</f>
        <v>0</v>
      </c>
      <c r="AG9" s="30">
        <f ca="1">SUM($AE$9:$AF$9)</f>
        <v>0</v>
      </c>
      <c r="AH9" s="30">
        <f>'TUSD BE'!$AH$9*'TUSD BF'!$AH$58</f>
        <v>0</v>
      </c>
      <c r="AI9" s="30">
        <f>'TUSD BE'!$AI$9*'TUSD BF'!$AI$58</f>
        <v>0</v>
      </c>
      <c r="AJ9" s="30">
        <f ca="1">'TUSD BE'!$AJ$9*'TUSD BF'!$AJ$58</f>
        <v>0</v>
      </c>
      <c r="AK9" s="30">
        <f ca="1">'TUSD BE'!$AK$9*'TUSD BF'!$AK$58</f>
        <v>0</v>
      </c>
      <c r="AL9" s="30">
        <f ca="1">SUM($AH$9:$AK$9)</f>
        <v>0</v>
      </c>
      <c r="AM9" s="30">
        <f ca="1">SUMIF($L$4:$AL$4,"SUBTOTAL",$L$9:$AL$9)</f>
        <v>0</v>
      </c>
      <c r="AO9" s="42">
        <f ca="1">+'TUSD BE'!$T$9+'TUSD BE'!$AB$9+'TUSD BE'!$AD$9+'TUSD BE'!$AL$9</f>
        <v>14.674784949585851</v>
      </c>
      <c r="AP9" s="42">
        <f ca="1">+'TUSD BE'!$T$9+'TUSD BE'!$AB$9+'TUSD BE'!$AD$9+'TUSD BE'!$AL$9</f>
        <v>14.674784949585851</v>
      </c>
    </row>
    <row r="10" spans="1:42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>
        <f>'TUSD BE'!$L$10*'TUSD BF'!$L$58</f>
        <v>0</v>
      </c>
      <c r="M10" s="30">
        <f>'TUSD BE'!$M$10*'TUSD BF'!$M$58</f>
        <v>0</v>
      </c>
      <c r="N10" s="30">
        <f ca="1">'TUSD BE'!$N$10*'TUSD BF'!$N$58</f>
        <v>0</v>
      </c>
      <c r="O10" s="30">
        <f>'TUSD BE'!$O$10*'TUSD BF'!$O$58</f>
        <v>0</v>
      </c>
      <c r="P10" s="30">
        <f>'TUSD BE'!$P$10*'TUSD BF'!$P$58</f>
        <v>0</v>
      </c>
      <c r="Q10" s="30">
        <f>'TUSD BE'!$Q$10*'TUSD BF'!$Q$58</f>
        <v>0</v>
      </c>
      <c r="R10" s="30">
        <f>'TUSD BE'!$R$10*'TUSD BF'!$R$58</f>
        <v>0</v>
      </c>
      <c r="S10" s="30">
        <f>'TUSD BE'!$R$10*'TUSD BF'!$S$58</f>
        <v>0</v>
      </c>
      <c r="T10" s="30">
        <f ca="1">SUM($L$10:$S$10)</f>
        <v>0</v>
      </c>
      <c r="U10" s="30">
        <f>'TUSD BE'!$U$10*'TUSD BF'!$U$58</f>
        <v>0</v>
      </c>
      <c r="V10" s="30">
        <f>'TUSD BE'!$V$10*'TUSD BF'!$V$58</f>
        <v>0</v>
      </c>
      <c r="W10" s="30">
        <f>'TUSD BE'!$W$10*'TUSD BF'!$W$58</f>
        <v>0</v>
      </c>
      <c r="X10" s="30">
        <f>'TUSD BE'!$X$10*'TUSD BF'!$X$58</f>
        <v>0</v>
      </c>
      <c r="Y10" s="30">
        <f>'TUSD BE'!$Y$10*'TUSD BF'!$Y$58</f>
        <v>0</v>
      </c>
      <c r="Z10" s="30">
        <f>'TUSD BE'!$Z$10*'TUSD BF'!$Z$58</f>
        <v>0</v>
      </c>
      <c r="AA10" s="30">
        <f>'TUSD BE'!$AA$10*'TUSD BF'!$AA$58</f>
        <v>0</v>
      </c>
      <c r="AB10" s="30">
        <f>SUM($U$10:$AA$10)</f>
        <v>0</v>
      </c>
      <c r="AC10" s="30">
        <f>'TUSD BE'!$AC$10*'TUSD BF'!$AC$58</f>
        <v>0</v>
      </c>
      <c r="AD10" s="30">
        <f>SUM($AC$10:$AC$10)</f>
        <v>0</v>
      </c>
      <c r="AE10" s="30">
        <f ca="1">$AO$10*$AO$55</f>
        <v>0</v>
      </c>
      <c r="AF10" s="30">
        <f ca="1">$AP$10*$AP$55</f>
        <v>0</v>
      </c>
      <c r="AG10" s="30">
        <f ca="1">SUM($AE$10:$AF$10)</f>
        <v>0</v>
      </c>
      <c r="AH10" s="30">
        <f>'TUSD BE'!$AH$10*'TUSD BF'!$AH$58</f>
        <v>0</v>
      </c>
      <c r="AI10" s="30">
        <f>'TUSD BE'!$AI$10*'TUSD BF'!$AI$58</f>
        <v>0</v>
      </c>
      <c r="AJ10" s="30">
        <f ca="1">'TUSD BE'!$AJ$10*'TUSD BF'!$AJ$58</f>
        <v>0</v>
      </c>
      <c r="AK10" s="30">
        <f ca="1">'TUSD BE'!$AK$10*'TUSD BF'!$AK$58</f>
        <v>0</v>
      </c>
      <c r="AL10" s="30">
        <f ca="1">SUM($AH$10:$AK$10)</f>
        <v>0</v>
      </c>
      <c r="AM10" s="30">
        <f ca="1">SUMIF($L$4:$AL$4,"SUBTOTAL",$L$10:$AL$10)</f>
        <v>0</v>
      </c>
      <c r="AO10" s="42">
        <f ca="1">+'TUSD BE'!$T$10+'TUSD BE'!$AB$10+'TUSD BE'!$AD$10+'TUSD BE'!$AL$10</f>
        <v>18.647312400967763</v>
      </c>
      <c r="AP10" s="42">
        <f ca="1">+'TUSD BE'!$T$10+'TUSD BE'!$AB$10+'TUSD BE'!$AD$10+'TUSD BE'!$AL$10</f>
        <v>18.647312400967763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>
        <f>'TUSD BE'!$L$11*'TUSD BF'!$L$58</f>
        <v>0</v>
      </c>
      <c r="M11" s="30">
        <f>'TUSD BE'!$M$11*'TUSD BF'!$M$58</f>
        <v>0</v>
      </c>
      <c r="N11" s="30">
        <f ca="1">'TUSD BE'!$N$11*'TUSD BF'!$N$58</f>
        <v>0</v>
      </c>
      <c r="O11" s="30">
        <f>'TUSD BE'!$O$11*'TUSD BF'!$O$58</f>
        <v>0</v>
      </c>
      <c r="P11" s="30">
        <f>'TUSD BE'!$P$11*'TUSD BF'!$P$58</f>
        <v>0</v>
      </c>
      <c r="Q11" s="30">
        <f>'TUSD BE'!$Q$11*'TUSD BF'!$Q$58</f>
        <v>9.7364927674097128</v>
      </c>
      <c r="R11" s="30">
        <f>'TUSD BE'!$R$11*'TUSD BF'!$R$58</f>
        <v>0</v>
      </c>
      <c r="S11" s="30">
        <f>'TUSD BE'!$R$11*'TUSD BF'!$S$58</f>
        <v>0</v>
      </c>
      <c r="T11" s="30">
        <f ca="1">SUM($L$11:$S$11)</f>
        <v>9.7364927674097128</v>
      </c>
      <c r="U11" s="30">
        <f>'TUSD BE'!$U$11*'TUSD BF'!$U$58</f>
        <v>0</v>
      </c>
      <c r="V11" s="30">
        <f>'TUSD BE'!$V$11*'TUSD BF'!$V$58</f>
        <v>0</v>
      </c>
      <c r="W11" s="30">
        <f>'TUSD BE'!$W$11*'TUSD BF'!$W$58</f>
        <v>0</v>
      </c>
      <c r="X11" s="30">
        <f>'TUSD BE'!$X$11*'TUSD BF'!$X$58</f>
        <v>0</v>
      </c>
      <c r="Y11" s="30">
        <f>'TUSD BE'!$Y$11*'TUSD BF'!$Y$58</f>
        <v>0</v>
      </c>
      <c r="Z11" s="30">
        <f>'TUSD BE'!$Z$11*'TUSD BF'!$Z$58</f>
        <v>0</v>
      </c>
      <c r="AA11" s="30">
        <f>'TUSD BE'!$AA$11*'TUSD BF'!$AA$58</f>
        <v>0</v>
      </c>
      <c r="AB11" s="30">
        <f>SUM($U$11:$AA$11)</f>
        <v>0</v>
      </c>
      <c r="AC11" s="30">
        <f>'TUSD BE'!$AC$11*'TUSD BF'!$AC$58</f>
        <v>0</v>
      </c>
      <c r="AD11" s="30">
        <f>SUM($AC$11:$AC$11)</f>
        <v>0</v>
      </c>
      <c r="AE11" s="30">
        <f ca="1">$AO$11*$AO$55</f>
        <v>0</v>
      </c>
      <c r="AF11" s="30">
        <f ca="1">$AP$11*$AP$55</f>
        <v>0</v>
      </c>
      <c r="AG11" s="30">
        <f ca="1">SUM($AE$11:$AF$11)</f>
        <v>0</v>
      </c>
      <c r="AH11" s="30">
        <f>'TUSD BE'!$AH$11*'TUSD BF'!$AH$58</f>
        <v>-6.7068252568050019E-2</v>
      </c>
      <c r="AI11" s="30">
        <f>'TUSD BE'!$AI$11*'TUSD BF'!$AI$58</f>
        <v>0</v>
      </c>
      <c r="AJ11" s="30">
        <f ca="1">'TUSD BE'!$AJ$11*'TUSD BF'!$AJ$58</f>
        <v>-0.15125601610693559</v>
      </c>
      <c r="AK11" s="30">
        <f ca="1">'TUSD BE'!$AK$11*'TUSD BF'!$AK$58</f>
        <v>0</v>
      </c>
      <c r="AL11" s="30">
        <f ca="1">SUM($AH$11:$AK$11)</f>
        <v>-0.21832426867498561</v>
      </c>
      <c r="AM11" s="30">
        <f ca="1">SUMIF($L$4:$AL$4,"SUBTOTAL",$L$11:$AL$11)</f>
        <v>9.5181684987347275</v>
      </c>
      <c r="AO11" s="42">
        <f ca="1">+'TUSD BE'!$T$11+'TUSD BE'!$AB$11+'TUSD BE'!$AD$11+'TUSD BE'!$AL$11</f>
        <v>1466.8911903526714</v>
      </c>
      <c r="AP11" s="42">
        <f ca="1">+'TUSD BE'!$T$11+'TUSD BE'!$AB$11+'TUSD BE'!$AD$11+'TUSD BE'!$AL$11</f>
        <v>1466.8911903526714</v>
      </c>
    </row>
    <row r="12" spans="1:42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>
        <f>'TUSD BE'!$L$12*'TUSD BF'!$L$58</f>
        <v>0</v>
      </c>
      <c r="M12" s="30">
        <f>'TUSD BE'!$M$12*'TUSD BF'!$M$58</f>
        <v>0</v>
      </c>
      <c r="N12" s="30">
        <f ca="1">'TUSD BE'!$N$12*'TUSD BF'!$N$58</f>
        <v>0</v>
      </c>
      <c r="O12" s="30">
        <f>'TUSD BE'!$O$12*'TUSD BF'!$O$58</f>
        <v>0</v>
      </c>
      <c r="P12" s="30">
        <f>'TUSD BE'!$P$12*'TUSD BF'!$P$58</f>
        <v>0</v>
      </c>
      <c r="Q12" s="30">
        <f>'TUSD BE'!$Q$12*'TUSD BF'!$Q$58</f>
        <v>9.7364927674097128</v>
      </c>
      <c r="R12" s="30">
        <f>'TUSD BE'!$R$12*'TUSD BF'!$R$58</f>
        <v>0</v>
      </c>
      <c r="S12" s="30">
        <f>'TUSD BE'!$R$12*'TUSD BF'!$S$58</f>
        <v>0</v>
      </c>
      <c r="T12" s="30">
        <f ca="1">SUM($L$12:$S$12)</f>
        <v>9.7364927674097128</v>
      </c>
      <c r="U12" s="30">
        <f>'TUSD BE'!$U$12*'TUSD BF'!$U$58</f>
        <v>0</v>
      </c>
      <c r="V12" s="30">
        <f>'TUSD BE'!$V$12*'TUSD BF'!$V$58</f>
        <v>0</v>
      </c>
      <c r="W12" s="30">
        <f>'TUSD BE'!$W$12*'TUSD BF'!$W$58</f>
        <v>0</v>
      </c>
      <c r="X12" s="30">
        <f>'TUSD BE'!$X$12*'TUSD BF'!$X$58</f>
        <v>0</v>
      </c>
      <c r="Y12" s="30">
        <f>'TUSD BE'!$Y$12*'TUSD BF'!$Y$58</f>
        <v>0</v>
      </c>
      <c r="Z12" s="30">
        <f>'TUSD BE'!$Z$12*'TUSD BF'!$Z$58</f>
        <v>0</v>
      </c>
      <c r="AA12" s="30">
        <f>'TUSD BE'!$AA$12*'TUSD BF'!$AA$58</f>
        <v>0</v>
      </c>
      <c r="AB12" s="30">
        <f>SUM($U$12:$AA$12)</f>
        <v>0</v>
      </c>
      <c r="AC12" s="30">
        <f>'TUSD BE'!$AC$12*'TUSD BF'!$AC$58</f>
        <v>0</v>
      </c>
      <c r="AD12" s="30">
        <f>SUM($AC$12:$AC$12)</f>
        <v>0</v>
      </c>
      <c r="AE12" s="30">
        <f ca="1">$AO$12*$AO$55</f>
        <v>0</v>
      </c>
      <c r="AF12" s="30">
        <f ca="1">$AP$12*$AP$55</f>
        <v>0</v>
      </c>
      <c r="AG12" s="30">
        <f ca="1">SUM($AE$12:$AF$12)</f>
        <v>0</v>
      </c>
      <c r="AH12" s="30">
        <f>'TUSD BE'!$AH$12*'TUSD BF'!$AH$58</f>
        <v>-6.7068252568050019E-2</v>
      </c>
      <c r="AI12" s="30">
        <f>'TUSD BE'!$AI$12*'TUSD BF'!$AI$58</f>
        <v>0</v>
      </c>
      <c r="AJ12" s="30">
        <f ca="1">'TUSD BE'!$AJ$12*'TUSD BF'!$AJ$58</f>
        <v>-0.15125601610693559</v>
      </c>
      <c r="AK12" s="30">
        <f ca="1">'TUSD BE'!$AK$12*'TUSD BF'!$AK$58</f>
        <v>0</v>
      </c>
      <c r="AL12" s="30">
        <f ca="1">SUM($AH$12:$AK$12)</f>
        <v>-0.21832426867498561</v>
      </c>
      <c r="AM12" s="30">
        <f ca="1">SUMIF($L$4:$AL$4,"SUBTOTAL",$L$12:$AL$12)</f>
        <v>9.5181684987347275</v>
      </c>
      <c r="AO12" s="42">
        <f ca="1">+'TUSD BE'!$T$12+'TUSD BE'!$AB$12+'TUSD BE'!$AD$12+'TUSD BE'!$AL$12</f>
        <v>109.59177699080988</v>
      </c>
      <c r="AP12" s="42">
        <f ca="1">+'TUSD BE'!$T$12+'TUSD BE'!$AB$12+'TUSD BE'!$AD$12+'TUSD BE'!$AL$12</f>
        <v>109.59177699080988</v>
      </c>
    </row>
    <row r="13" spans="1:42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>
        <f>'TUSD BE'!$L$13*'TUSD BF'!$L$58</f>
        <v>0</v>
      </c>
      <c r="M13" s="30">
        <f>'TUSD BE'!$M$13*'TUSD BF'!$M$58</f>
        <v>0</v>
      </c>
      <c r="N13" s="30">
        <f ca="1">'TUSD BE'!$N$13*'TUSD BF'!$N$58</f>
        <v>0</v>
      </c>
      <c r="O13" s="30">
        <f>'TUSD BE'!$O$13*'TUSD BF'!$O$58</f>
        <v>0</v>
      </c>
      <c r="P13" s="30">
        <f>'TUSD BE'!$P$13*'TUSD BF'!$P$58</f>
        <v>0</v>
      </c>
      <c r="Q13" s="30">
        <f>'TUSD BE'!$Q$13*'TUSD BF'!$Q$58</f>
        <v>0</v>
      </c>
      <c r="R13" s="30">
        <f>'TUSD BE'!$R$13*'TUSD BF'!$R$58</f>
        <v>0</v>
      </c>
      <c r="S13" s="30">
        <f>'TUSD BE'!$R$13*'TUSD BF'!$S$58</f>
        <v>0</v>
      </c>
      <c r="T13" s="30">
        <f ca="1">SUM($L$13:$S$13)</f>
        <v>0</v>
      </c>
      <c r="U13" s="30">
        <f>'TUSD BE'!$U$13*'TUSD BF'!$U$58</f>
        <v>0</v>
      </c>
      <c r="V13" s="30">
        <f>'TUSD BE'!$V$13*'TUSD BF'!$V$58</f>
        <v>0</v>
      </c>
      <c r="W13" s="30">
        <f>'TUSD BE'!$W$13*'TUSD BF'!$W$58</f>
        <v>0</v>
      </c>
      <c r="X13" s="30">
        <f>'TUSD BE'!$X$13*'TUSD BF'!$X$58</f>
        <v>0</v>
      </c>
      <c r="Y13" s="30">
        <f>'TUSD BE'!$Y$13*'TUSD BF'!$Y$58</f>
        <v>0</v>
      </c>
      <c r="Z13" s="30">
        <f>'TUSD BE'!$Z$13*'TUSD BF'!$Z$58</f>
        <v>0</v>
      </c>
      <c r="AA13" s="30">
        <f>'TUSD BE'!$AA$13*'TUSD BF'!$AA$58</f>
        <v>0</v>
      </c>
      <c r="AB13" s="30">
        <f>SUM($U$13:$AA$13)</f>
        <v>0</v>
      </c>
      <c r="AC13" s="30">
        <f>'TUSD BE'!$AC$13*'TUSD BF'!$AC$58</f>
        <v>0</v>
      </c>
      <c r="AD13" s="30">
        <f>SUM($AC$13:$AC$13)</f>
        <v>0</v>
      </c>
      <c r="AE13" s="30">
        <f ca="1">$AO$13*$AO$55</f>
        <v>0</v>
      </c>
      <c r="AF13" s="30">
        <f ca="1">$AP$13*$AP$55</f>
        <v>0</v>
      </c>
      <c r="AG13" s="30">
        <f ca="1">SUM($AE$13:$AF$13)</f>
        <v>0</v>
      </c>
      <c r="AH13" s="30">
        <f>'TUSD BE'!$AH$13*'TUSD BF'!$AH$58</f>
        <v>-6.7068252568050019E-2</v>
      </c>
      <c r="AI13" s="30">
        <f>'TUSD BE'!$AI$13*'TUSD BF'!$AI$58</f>
        <v>0</v>
      </c>
      <c r="AJ13" s="30">
        <f ca="1">'TUSD BE'!$AJ$13*'TUSD BF'!$AJ$58</f>
        <v>-0.15125601610693559</v>
      </c>
      <c r="AK13" s="30">
        <f ca="1">'TUSD BE'!$AK$13*'TUSD BF'!$AK$58</f>
        <v>0</v>
      </c>
      <c r="AL13" s="30">
        <f ca="1">SUM($AH$13:$AK$13)</f>
        <v>-0.21832426867498561</v>
      </c>
      <c r="AM13" s="30">
        <f ca="1">SUMIF($L$4:$AL$4,"SUBTOTAL",$L$13:$AL$13)</f>
        <v>-0.21832426867498561</v>
      </c>
      <c r="AO13" s="42">
        <f ca="1">+'TUSD BE'!$T$13+'TUSD BE'!$AB$13+'TUSD BE'!$AD$13+'TUSD BE'!$AL$13</f>
        <v>1419.0375973567975</v>
      </c>
      <c r="AP13" s="42">
        <f ca="1">+'TUSD BE'!$T$13+'TUSD BE'!$AB$13+'TUSD BE'!$AD$13+'TUSD BE'!$AL$13</f>
        <v>1419.0375973567975</v>
      </c>
    </row>
    <row r="14" spans="1:42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>
        <f>'TUSD BE'!$L$14*'TUSD BF'!$L$58</f>
        <v>0</v>
      </c>
      <c r="M14" s="30">
        <f>'TUSD BE'!$M$14*'TUSD BF'!$M$58</f>
        <v>0</v>
      </c>
      <c r="N14" s="30">
        <f ca="1">'TUSD BE'!$N$14*'TUSD BF'!$N$58</f>
        <v>0</v>
      </c>
      <c r="O14" s="30">
        <f>'TUSD BE'!$O$14*'TUSD BF'!$O$58</f>
        <v>0</v>
      </c>
      <c r="P14" s="30">
        <f>'TUSD BE'!$P$14*'TUSD BF'!$P$58</f>
        <v>0</v>
      </c>
      <c r="Q14" s="30">
        <f>'TUSD BE'!$Q$14*'TUSD BF'!$Q$58</f>
        <v>0</v>
      </c>
      <c r="R14" s="30">
        <f>'TUSD BE'!$R$14*'TUSD BF'!$R$58</f>
        <v>0</v>
      </c>
      <c r="S14" s="30">
        <f>'TUSD BE'!$R$14*'TUSD BF'!$S$58</f>
        <v>0</v>
      </c>
      <c r="T14" s="30">
        <f ca="1">SUM($L$14:$S$14)</f>
        <v>0</v>
      </c>
      <c r="U14" s="30">
        <f>'TUSD BE'!$U$14*'TUSD BF'!$U$58</f>
        <v>0</v>
      </c>
      <c r="V14" s="30">
        <f>'TUSD BE'!$V$14*'TUSD BF'!$V$58</f>
        <v>0</v>
      </c>
      <c r="W14" s="30">
        <f>'TUSD BE'!$W$14*'TUSD BF'!$W$58</f>
        <v>0</v>
      </c>
      <c r="X14" s="30">
        <f>'TUSD BE'!$X$14*'TUSD BF'!$X$58</f>
        <v>0</v>
      </c>
      <c r="Y14" s="30">
        <f>'TUSD BE'!$Y$14*'TUSD BF'!$Y$58</f>
        <v>0</v>
      </c>
      <c r="Z14" s="30">
        <f>'TUSD BE'!$Z$14*'TUSD BF'!$Z$58</f>
        <v>0</v>
      </c>
      <c r="AA14" s="30">
        <f>'TUSD BE'!$AA$14*'TUSD BF'!$AA$58</f>
        <v>0</v>
      </c>
      <c r="AB14" s="30">
        <f>SUM($U$14:$AA$14)</f>
        <v>0</v>
      </c>
      <c r="AC14" s="30">
        <f>'TUSD BE'!$AC$14*'TUSD BF'!$AC$58</f>
        <v>0</v>
      </c>
      <c r="AD14" s="30">
        <f>SUM($AC$14:$AC$14)</f>
        <v>0</v>
      </c>
      <c r="AE14" s="30">
        <f ca="1">$AO$14*$AO$55</f>
        <v>0</v>
      </c>
      <c r="AF14" s="30">
        <f ca="1">$AP$14*$AP$55</f>
        <v>0</v>
      </c>
      <c r="AG14" s="30">
        <f ca="1">SUM($AE$14:$AF$14)</f>
        <v>0</v>
      </c>
      <c r="AH14" s="30">
        <f>'TUSD BE'!$AH$14*'TUSD BF'!$AH$58</f>
        <v>-6.7068252568050019E-2</v>
      </c>
      <c r="AI14" s="30">
        <f>'TUSD BE'!$AI$14*'TUSD BF'!$AI$58</f>
        <v>0</v>
      </c>
      <c r="AJ14" s="30">
        <f ca="1">'TUSD BE'!$AJ$14*'TUSD BF'!$AJ$58</f>
        <v>-0.15125601610693559</v>
      </c>
      <c r="AK14" s="30">
        <f ca="1">'TUSD BE'!$AK$14*'TUSD BF'!$AK$58</f>
        <v>0</v>
      </c>
      <c r="AL14" s="30">
        <f ca="1">SUM($AH$14:$AK$14)</f>
        <v>-0.21832426867498561</v>
      </c>
      <c r="AM14" s="30">
        <f ca="1">SUMIF($L$4:$AL$4,"SUBTOTAL",$L$14:$AL$14)</f>
        <v>-0.21832426867498561</v>
      </c>
      <c r="AO14" s="42">
        <f ca="1">+'TUSD BE'!$T$14+'TUSD BE'!$AB$14+'TUSD BE'!$AD$14+'TUSD BE'!$AL$14</f>
        <v>61.738183994935952</v>
      </c>
      <c r="AP14" s="42">
        <f ca="1">+'TUSD BE'!$T$14+'TUSD BE'!$AB$14+'TUSD BE'!$AD$14+'TUSD BE'!$AL$14</f>
        <v>61.738183994935952</v>
      </c>
    </row>
    <row r="15" spans="1:42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>
        <f>'TUSD BE'!$L$15*'TUSD BF'!$L$58</f>
        <v>0</v>
      </c>
      <c r="M15" s="30">
        <f>'TUSD BE'!$M$15*'TUSD BF'!$M$58</f>
        <v>0</v>
      </c>
      <c r="N15" s="30">
        <f ca="1">'TUSD BE'!$N$15*'TUSD BF'!$N$58</f>
        <v>0</v>
      </c>
      <c r="O15" s="30">
        <f>'TUSD BE'!$O$15*'TUSD BF'!$O$58</f>
        <v>0</v>
      </c>
      <c r="P15" s="30">
        <f>'TUSD BE'!$P$15*'TUSD BF'!$P$58</f>
        <v>0</v>
      </c>
      <c r="Q15" s="30">
        <f>'TUSD BE'!$Q$15*'TUSD BF'!$Q$58</f>
        <v>0</v>
      </c>
      <c r="R15" s="30">
        <f>'TUSD BE'!$R$15*'TUSD BF'!$R$58</f>
        <v>0</v>
      </c>
      <c r="S15" s="30">
        <f>'TUSD BE'!$R$15*'TUSD BF'!$S$58</f>
        <v>0</v>
      </c>
      <c r="T15" s="30">
        <f ca="1">SUM($L$15:$S$15)</f>
        <v>0</v>
      </c>
      <c r="U15" s="30">
        <f>'TUSD BE'!$U$15*'TUSD BF'!$U$58</f>
        <v>0</v>
      </c>
      <c r="V15" s="30">
        <f>'TUSD BE'!$V$15*'TUSD BF'!$V$58</f>
        <v>0</v>
      </c>
      <c r="W15" s="30">
        <f>'TUSD BE'!$W$15*'TUSD BF'!$W$58</f>
        <v>0</v>
      </c>
      <c r="X15" s="30">
        <f>'TUSD BE'!$X$15*'TUSD BF'!$X$58</f>
        <v>0</v>
      </c>
      <c r="Y15" s="30">
        <f>'TUSD BE'!$Y$15*'TUSD BF'!$Y$58</f>
        <v>0</v>
      </c>
      <c r="Z15" s="30">
        <f>'TUSD BE'!$Z$15*'TUSD BF'!$Z$58</f>
        <v>0</v>
      </c>
      <c r="AA15" s="30">
        <f>'TUSD BE'!$AA$15*'TUSD BF'!$AA$58</f>
        <v>0</v>
      </c>
      <c r="AB15" s="30">
        <f>SUM($U$15:$AA$15)</f>
        <v>0</v>
      </c>
      <c r="AC15" s="30">
        <f>'TUSD BE'!$AC$15*'TUSD BF'!$AC$58</f>
        <v>0</v>
      </c>
      <c r="AD15" s="30">
        <f>SUM($AC$15:$AC$15)</f>
        <v>0</v>
      </c>
      <c r="AE15" s="30">
        <f ca="1">$AO$15*$AO$55</f>
        <v>0</v>
      </c>
      <c r="AF15" s="30">
        <f ca="1">$AP$15*$AP$55</f>
        <v>0</v>
      </c>
      <c r="AG15" s="30">
        <f ca="1">SUM($AE$15:$AF$15)</f>
        <v>0</v>
      </c>
      <c r="AH15" s="30">
        <f>'TUSD BE'!$AH$15*'TUSD BF'!$AH$58</f>
        <v>0</v>
      </c>
      <c r="AI15" s="30">
        <f>'TUSD BE'!$AI$15*'TUSD BF'!$AI$58</f>
        <v>0</v>
      </c>
      <c r="AJ15" s="30">
        <f ca="1">'TUSD BE'!$AJ$15*'TUSD BF'!$AJ$58</f>
        <v>0</v>
      </c>
      <c r="AK15" s="30">
        <f ca="1">'TUSD BE'!$AK$15*'TUSD BF'!$AK$58</f>
        <v>0</v>
      </c>
      <c r="AL15" s="30">
        <f ca="1">SUM($AH$15:$AK$15)</f>
        <v>0</v>
      </c>
      <c r="AM15" s="30">
        <f ca="1">SUMIF($L$4:$AL$4,"SUBTOTAL",$L$15:$AL$15)</f>
        <v>0</v>
      </c>
      <c r="AO15" s="42">
        <f ca="1">+'TUSD BE'!$T$15+'TUSD BE'!$AB$15+'TUSD BE'!$AD$15+'TUSD BE'!$AL$15</f>
        <v>4.2622067918524618</v>
      </c>
      <c r="AP15" s="42">
        <f ca="1">+'TUSD BE'!$T$15+'TUSD BE'!$AB$15+'TUSD BE'!$AD$15+'TUSD BE'!$AL$15</f>
        <v>4.2622067918524618</v>
      </c>
    </row>
    <row r="16" spans="1:42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>
        <f>'TUSD BE'!$L$16*'TUSD BF'!$L$58</f>
        <v>0</v>
      </c>
      <c r="M16" s="30">
        <f>'TUSD BE'!$M$16*'TUSD BF'!$M$58</f>
        <v>0</v>
      </c>
      <c r="N16" s="30">
        <f ca="1">'TUSD BE'!$N$16*'TUSD BF'!$N$58</f>
        <v>0</v>
      </c>
      <c r="O16" s="30">
        <f>'TUSD BE'!$O$16*'TUSD BF'!$O$58</f>
        <v>0</v>
      </c>
      <c r="P16" s="30">
        <f>'TUSD BE'!$P$16*'TUSD BF'!$P$58</f>
        <v>0</v>
      </c>
      <c r="Q16" s="30">
        <f>'TUSD BE'!$Q$16*'TUSD BF'!$Q$58</f>
        <v>0</v>
      </c>
      <c r="R16" s="30">
        <f>'TUSD BE'!$R$16*'TUSD BF'!$R$58</f>
        <v>0</v>
      </c>
      <c r="S16" s="30">
        <f>'TUSD BE'!$R$16*'TUSD BF'!$S$58</f>
        <v>0</v>
      </c>
      <c r="T16" s="30">
        <f ca="1">SUM($L$16:$S$16)</f>
        <v>0</v>
      </c>
      <c r="U16" s="30">
        <f>'TUSD BE'!$U$16*'TUSD BF'!$U$58</f>
        <v>0</v>
      </c>
      <c r="V16" s="30">
        <f>'TUSD BE'!$V$16*'TUSD BF'!$V$58</f>
        <v>0</v>
      </c>
      <c r="W16" s="30">
        <f>'TUSD BE'!$W$16*'TUSD BF'!$W$58</f>
        <v>0</v>
      </c>
      <c r="X16" s="30">
        <f>'TUSD BE'!$X$16*'TUSD BF'!$X$58</f>
        <v>0</v>
      </c>
      <c r="Y16" s="30">
        <f>'TUSD BE'!$Y$16*'TUSD BF'!$Y$58</f>
        <v>0</v>
      </c>
      <c r="Z16" s="30">
        <f>'TUSD BE'!$Z$16*'TUSD BF'!$Z$58</f>
        <v>0</v>
      </c>
      <c r="AA16" s="30">
        <f>'TUSD BE'!$AA$16*'TUSD BF'!$AA$58</f>
        <v>0</v>
      </c>
      <c r="AB16" s="30">
        <f>SUM($U$16:$AA$16)</f>
        <v>0</v>
      </c>
      <c r="AC16" s="30">
        <f>'TUSD BE'!$AC$16*'TUSD BF'!$AC$58</f>
        <v>0</v>
      </c>
      <c r="AD16" s="30">
        <f>SUM($AC$16:$AC$16)</f>
        <v>0</v>
      </c>
      <c r="AE16" s="30">
        <f ca="1">$AO$16*$AO$55</f>
        <v>0</v>
      </c>
      <c r="AF16" s="30">
        <f ca="1">$AP$16*$AP$55</f>
        <v>0</v>
      </c>
      <c r="AG16" s="30">
        <f ca="1">SUM($AE$16:$AF$16)</f>
        <v>0</v>
      </c>
      <c r="AH16" s="30">
        <f>'TUSD BE'!$AH$16*'TUSD BF'!$AH$58</f>
        <v>0</v>
      </c>
      <c r="AI16" s="30">
        <f>'TUSD BE'!$AI$16*'TUSD BF'!$AI$58</f>
        <v>0</v>
      </c>
      <c r="AJ16" s="30">
        <f ca="1">'TUSD BE'!$AJ$16*'TUSD BF'!$AJ$58</f>
        <v>0</v>
      </c>
      <c r="AK16" s="30">
        <f ca="1">'TUSD BE'!$AK$16*'TUSD BF'!$AK$58</f>
        <v>0</v>
      </c>
      <c r="AL16" s="30">
        <f ca="1">SUM($AH$16:$AK$16)</f>
        <v>0</v>
      </c>
      <c r="AM16" s="30">
        <f ca="1">SUMIF($L$4:$AL$4,"SUBTOTAL",$L$16:$AL$16)</f>
        <v>0</v>
      </c>
      <c r="AO16" s="42">
        <f ca="1">+'TUSD BE'!$T$16+'TUSD BE'!$AB$16+'TUSD BE'!$AD$16+'TUSD BE'!$AL$16</f>
        <v>20.988170293236912</v>
      </c>
      <c r="AP16" s="42">
        <f ca="1">+'TUSD BE'!$T$16+'TUSD BE'!$AB$16+'TUSD BE'!$AD$16+'TUSD BE'!$AL$16</f>
        <v>20.988170293236912</v>
      </c>
    </row>
    <row r="17" spans="1:42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>
        <f>'TUSD BE'!$L$17*'TUSD BF'!$L$58</f>
        <v>0</v>
      </c>
      <c r="M17" s="30">
        <f>'TUSD BE'!$M$17*'TUSD BF'!$M$58</f>
        <v>0</v>
      </c>
      <c r="N17" s="30">
        <f ca="1">'TUSD BE'!$N$17*'TUSD BF'!$N$58</f>
        <v>0</v>
      </c>
      <c r="O17" s="30">
        <f>'TUSD BE'!$O$17*'TUSD BF'!$O$58</f>
        <v>0</v>
      </c>
      <c r="P17" s="30">
        <f>'TUSD BE'!$P$17*'TUSD BF'!$P$58</f>
        <v>0</v>
      </c>
      <c r="Q17" s="30">
        <f>'TUSD BE'!$Q$17*'TUSD BF'!$Q$58</f>
        <v>11.591062818344897</v>
      </c>
      <c r="R17" s="30">
        <f>'TUSD BE'!$R$17*'TUSD BF'!$R$58</f>
        <v>0</v>
      </c>
      <c r="S17" s="30">
        <f>'TUSD BE'!$R$17*'TUSD BF'!$S$58</f>
        <v>0</v>
      </c>
      <c r="T17" s="30">
        <f ca="1">SUM($L$17:$S$17)</f>
        <v>11.591062818344897</v>
      </c>
      <c r="U17" s="30">
        <f>'TUSD BE'!$U$17*'TUSD BF'!$U$58</f>
        <v>0</v>
      </c>
      <c r="V17" s="30">
        <f>'TUSD BE'!$V$17*'TUSD BF'!$V$58</f>
        <v>0</v>
      </c>
      <c r="W17" s="30">
        <f>'TUSD BE'!$W$17*'TUSD BF'!$W$58</f>
        <v>0</v>
      </c>
      <c r="X17" s="30">
        <f>'TUSD BE'!$X$17*'TUSD BF'!$X$58</f>
        <v>0</v>
      </c>
      <c r="Y17" s="30">
        <f>'TUSD BE'!$Y$17*'TUSD BF'!$Y$58</f>
        <v>0</v>
      </c>
      <c r="Z17" s="30">
        <f>'TUSD BE'!$Z$17*'TUSD BF'!$Z$58</f>
        <v>0</v>
      </c>
      <c r="AA17" s="30">
        <f>'TUSD BE'!$AA$17*'TUSD BF'!$AA$58</f>
        <v>0</v>
      </c>
      <c r="AB17" s="30">
        <f>SUM($U$17:$AA$17)</f>
        <v>0</v>
      </c>
      <c r="AC17" s="30">
        <f>'TUSD BE'!$AC$17*'TUSD BF'!$AC$58</f>
        <v>0</v>
      </c>
      <c r="AD17" s="30">
        <f>SUM($AC$17:$AC$17)</f>
        <v>0</v>
      </c>
      <c r="AE17" s="30">
        <f ca="1">$AO$17*$AO$55</f>
        <v>0</v>
      </c>
      <c r="AF17" s="30">
        <f ca="1">$AP$17*$AP$55</f>
        <v>0</v>
      </c>
      <c r="AG17" s="30">
        <f ca="1">SUM($AE$17:$AF$17)</f>
        <v>0</v>
      </c>
      <c r="AH17" s="30">
        <f>'TUSD BE'!$AH$17*'TUSD BF'!$AH$58</f>
        <v>-0.1405768635813163</v>
      </c>
      <c r="AI17" s="30">
        <f>'TUSD BE'!$AI$17*'TUSD BF'!$AI$58</f>
        <v>0</v>
      </c>
      <c r="AJ17" s="30">
        <f ca="1">'TUSD BE'!$AJ$17*'TUSD BF'!$AJ$58</f>
        <v>-0.18617712577017922</v>
      </c>
      <c r="AK17" s="30">
        <f ca="1">'TUSD BE'!$AK$17*'TUSD BF'!$AK$58</f>
        <v>0</v>
      </c>
      <c r="AL17" s="30">
        <f ca="1">SUM($AH$17:$AK$17)</f>
        <v>-0.32675398935149552</v>
      </c>
      <c r="AM17" s="30">
        <f ca="1">SUMIF($L$4:$AL$4,"SUBTOTAL",$L$17:$AL$17)</f>
        <v>11.264308828993402</v>
      </c>
      <c r="AO17" s="42">
        <f ca="1">+'TUSD BE'!$T$17+'TUSD BE'!$AB$17+'TUSD BE'!$AD$17+'TUSD BE'!$AL$17</f>
        <v>900.672851161587</v>
      </c>
      <c r="AP17" s="42">
        <f ca="1">+'TUSD BE'!$T$17+'TUSD BE'!$AB$17+'TUSD BE'!$AD$17+'TUSD BE'!$AL$17</f>
        <v>900.672851161587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>
        <f>'TUSD BE'!$L$18*'TUSD BF'!$L$58</f>
        <v>0</v>
      </c>
      <c r="M18" s="30">
        <f>'TUSD BE'!$M$18*'TUSD BF'!$M$58</f>
        <v>0</v>
      </c>
      <c r="N18" s="30">
        <f ca="1">'TUSD BE'!$N$18*'TUSD BF'!$N$58</f>
        <v>0</v>
      </c>
      <c r="O18" s="30">
        <f>'TUSD BE'!$O$18*'TUSD BF'!$O$58</f>
        <v>0</v>
      </c>
      <c r="P18" s="30">
        <f>'TUSD BE'!$P$18*'TUSD BF'!$P$58</f>
        <v>0</v>
      </c>
      <c r="Q18" s="30">
        <f>'TUSD BE'!$Q$18*'TUSD BF'!$Q$58</f>
        <v>11.591062818344897</v>
      </c>
      <c r="R18" s="30">
        <f>'TUSD BE'!$R$18*'TUSD BF'!$R$58</f>
        <v>0</v>
      </c>
      <c r="S18" s="30">
        <f>'TUSD BE'!$R$18*'TUSD BF'!$S$58</f>
        <v>0</v>
      </c>
      <c r="T18" s="30">
        <f ca="1">SUM($L$18:$S$18)</f>
        <v>11.591062818344897</v>
      </c>
      <c r="U18" s="30">
        <f>'TUSD BE'!$U$18*'TUSD BF'!$U$58</f>
        <v>0</v>
      </c>
      <c r="V18" s="30">
        <f>'TUSD BE'!$V$18*'TUSD BF'!$V$58</f>
        <v>0</v>
      </c>
      <c r="W18" s="30">
        <f>'TUSD BE'!$W$18*'TUSD BF'!$W$58</f>
        <v>0</v>
      </c>
      <c r="X18" s="30">
        <f>'TUSD BE'!$X$18*'TUSD BF'!$X$58</f>
        <v>0</v>
      </c>
      <c r="Y18" s="30">
        <f>'TUSD BE'!$Y$18*'TUSD BF'!$Y$58</f>
        <v>0</v>
      </c>
      <c r="Z18" s="30">
        <f>'TUSD BE'!$Z$18*'TUSD BF'!$Z$58</f>
        <v>0</v>
      </c>
      <c r="AA18" s="30">
        <f>'TUSD BE'!$AA$18*'TUSD BF'!$AA$58</f>
        <v>0</v>
      </c>
      <c r="AB18" s="30">
        <f>SUM($U$18:$AA$18)</f>
        <v>0</v>
      </c>
      <c r="AC18" s="30">
        <f>'TUSD BE'!$AC$18*'TUSD BF'!$AC$58</f>
        <v>0</v>
      </c>
      <c r="AD18" s="30">
        <f>SUM($AC$18:$AC$18)</f>
        <v>0</v>
      </c>
      <c r="AE18" s="30">
        <f ca="1">$AO$18*$AO$55</f>
        <v>0</v>
      </c>
      <c r="AF18" s="30">
        <f ca="1">$AP$18*$AP$55</f>
        <v>0</v>
      </c>
      <c r="AG18" s="30">
        <f ca="1">SUM($AE$18:$AF$18)</f>
        <v>0</v>
      </c>
      <c r="AH18" s="30">
        <f>'TUSD BE'!$AH$18*'TUSD BF'!$AH$58</f>
        <v>-0.1405768635813163</v>
      </c>
      <c r="AI18" s="30">
        <f>'TUSD BE'!$AI$18*'TUSD BF'!$AI$58</f>
        <v>0</v>
      </c>
      <c r="AJ18" s="30">
        <f ca="1">'TUSD BE'!$AJ$18*'TUSD BF'!$AJ$58</f>
        <v>-0.18617712577017922</v>
      </c>
      <c r="AK18" s="30">
        <f ca="1">'TUSD BE'!$AK$18*'TUSD BF'!$AK$58</f>
        <v>0</v>
      </c>
      <c r="AL18" s="30">
        <f ca="1">SUM($AH$18:$AK$18)</f>
        <v>-0.32675398935149552</v>
      </c>
      <c r="AM18" s="30">
        <f ca="1">SUMIF($L$4:$AL$4,"SUBTOTAL",$L$18:$AL$18)</f>
        <v>11.264308828993402</v>
      </c>
      <c r="AO18" s="42">
        <f ca="1">+'TUSD BE'!$T$18+'TUSD BE'!$AB$18+'TUSD BE'!$AD$18+'TUSD BE'!$AL$18</f>
        <v>599.6200239537626</v>
      </c>
      <c r="AP18" s="42">
        <f ca="1">+'TUSD BE'!$T$18+'TUSD BE'!$AB$18+'TUSD BE'!$AD$18+'TUSD BE'!$AL$18</f>
        <v>599.6200239537626</v>
      </c>
    </row>
    <row r="19" spans="1:42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>
        <f>'TUSD BE'!$L$19*'TUSD BF'!$L$58</f>
        <v>0</v>
      </c>
      <c r="M19" s="30">
        <f>'TUSD BE'!$M$19*'TUSD BF'!$M$58</f>
        <v>0</v>
      </c>
      <c r="N19" s="30">
        <f ca="1">'TUSD BE'!$N$19*'TUSD BF'!$N$58</f>
        <v>0</v>
      </c>
      <c r="O19" s="30">
        <f>'TUSD BE'!$O$19*'TUSD BF'!$O$58</f>
        <v>0</v>
      </c>
      <c r="P19" s="30">
        <f>'TUSD BE'!$P$19*'TUSD BF'!$P$58</f>
        <v>0</v>
      </c>
      <c r="Q19" s="30">
        <f>'TUSD BE'!$Q$19*'TUSD BF'!$Q$58</f>
        <v>11.591062818344897</v>
      </c>
      <c r="R19" s="30">
        <f>'TUSD BE'!$R$19*'TUSD BF'!$R$58</f>
        <v>0</v>
      </c>
      <c r="S19" s="30">
        <f>'TUSD BE'!$R$19*'TUSD BF'!$S$58</f>
        <v>0</v>
      </c>
      <c r="T19" s="30">
        <f ca="1">SUM($L$19:$S$19)</f>
        <v>11.591062818344897</v>
      </c>
      <c r="U19" s="30">
        <f>'TUSD BE'!$U$19*'TUSD BF'!$U$58</f>
        <v>0</v>
      </c>
      <c r="V19" s="30">
        <f>'TUSD BE'!$V$19*'TUSD BF'!$V$58</f>
        <v>0</v>
      </c>
      <c r="W19" s="30">
        <f>'TUSD BE'!$W$19*'TUSD BF'!$W$58</f>
        <v>0</v>
      </c>
      <c r="X19" s="30">
        <f>'TUSD BE'!$X$19*'TUSD BF'!$X$58</f>
        <v>0</v>
      </c>
      <c r="Y19" s="30">
        <f>'TUSD BE'!$Y$19*'TUSD BF'!$Y$58</f>
        <v>0</v>
      </c>
      <c r="Z19" s="30">
        <f>'TUSD BE'!$Z$19*'TUSD BF'!$Z$58</f>
        <v>0</v>
      </c>
      <c r="AA19" s="30">
        <f>'TUSD BE'!$AA$19*'TUSD BF'!$AA$58</f>
        <v>0</v>
      </c>
      <c r="AB19" s="30">
        <f>SUM($U$19:$AA$19)</f>
        <v>0</v>
      </c>
      <c r="AC19" s="30">
        <f>'TUSD BE'!$AC$19*'TUSD BF'!$AC$58</f>
        <v>0</v>
      </c>
      <c r="AD19" s="30">
        <f>SUM($AC$19:$AC$19)</f>
        <v>0</v>
      </c>
      <c r="AE19" s="30">
        <f ca="1">$AO$19*$AO$55</f>
        <v>0</v>
      </c>
      <c r="AF19" s="30">
        <f ca="1">$AP$19*$AP$55</f>
        <v>0</v>
      </c>
      <c r="AG19" s="30">
        <f ca="1">SUM($AE$19:$AF$19)</f>
        <v>0</v>
      </c>
      <c r="AH19" s="30">
        <f>'TUSD BE'!$AH$19*'TUSD BF'!$AH$58</f>
        <v>-0.1405768635813163</v>
      </c>
      <c r="AI19" s="30">
        <f>'TUSD BE'!$AI$19*'TUSD BF'!$AI$58</f>
        <v>0</v>
      </c>
      <c r="AJ19" s="30">
        <f ca="1">'TUSD BE'!$AJ$19*'TUSD BF'!$AJ$58</f>
        <v>-0.18617712577017922</v>
      </c>
      <c r="AK19" s="30">
        <f ca="1">'TUSD BE'!$AK$19*'TUSD BF'!$AK$58</f>
        <v>0</v>
      </c>
      <c r="AL19" s="30">
        <f ca="1">SUM($AH$19:$AK$19)</f>
        <v>-0.32675398935149552</v>
      </c>
      <c r="AM19" s="30">
        <f ca="1">SUMIF($L$4:$AL$4,"SUBTOTAL",$L$19:$AL$19)</f>
        <v>11.264308828993402</v>
      </c>
      <c r="AO19" s="42">
        <f ca="1">+'TUSD BE'!$T$19+'TUSD BE'!$AB$19+'TUSD BE'!$AD$19+'TUSD BE'!$AL$19</f>
        <v>298.58775047406664</v>
      </c>
      <c r="AP19" s="42">
        <f ca="1">+'TUSD BE'!$T$19+'TUSD BE'!$AB$19+'TUSD BE'!$AD$19+'TUSD BE'!$AL$19</f>
        <v>298.58775047406664</v>
      </c>
    </row>
    <row r="20" spans="1:42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>
        <f>'TUSD BE'!$L$20*'TUSD BF'!$L$58</f>
        <v>0</v>
      </c>
      <c r="M20" s="30">
        <f>'TUSD BE'!$M$20*'TUSD BF'!$M$58</f>
        <v>0</v>
      </c>
      <c r="N20" s="30">
        <f ca="1">'TUSD BE'!$N$20*'TUSD BF'!$N$58</f>
        <v>0</v>
      </c>
      <c r="O20" s="30">
        <f>'TUSD BE'!$O$20*'TUSD BF'!$O$58</f>
        <v>0</v>
      </c>
      <c r="P20" s="30">
        <f>'TUSD BE'!$P$20*'TUSD BF'!$P$58</f>
        <v>0</v>
      </c>
      <c r="Q20" s="30">
        <f>'TUSD BE'!$Q$20*'TUSD BF'!$Q$58</f>
        <v>11.591062818344897</v>
      </c>
      <c r="R20" s="30">
        <f>'TUSD BE'!$R$20*'TUSD BF'!$R$58</f>
        <v>0</v>
      </c>
      <c r="S20" s="30">
        <f>'TUSD BE'!$R$20*'TUSD BF'!$S$58</f>
        <v>0</v>
      </c>
      <c r="T20" s="30">
        <f ca="1">SUM($L$20:$S$20)</f>
        <v>11.591062818344897</v>
      </c>
      <c r="U20" s="30">
        <f>'TUSD BE'!$U$20*'TUSD BF'!$U$58</f>
        <v>0</v>
      </c>
      <c r="V20" s="30">
        <f>'TUSD BE'!$V$20*'TUSD BF'!$V$58</f>
        <v>0</v>
      </c>
      <c r="W20" s="30">
        <f>'TUSD BE'!$W$20*'TUSD BF'!$W$58</f>
        <v>0</v>
      </c>
      <c r="X20" s="30">
        <f>'TUSD BE'!$X$20*'TUSD BF'!$X$58</f>
        <v>0</v>
      </c>
      <c r="Y20" s="30">
        <f>'TUSD BE'!$Y$20*'TUSD BF'!$Y$58</f>
        <v>0</v>
      </c>
      <c r="Z20" s="30">
        <f>'TUSD BE'!$Z$20*'TUSD BF'!$Z$58</f>
        <v>0</v>
      </c>
      <c r="AA20" s="30">
        <f>'TUSD BE'!$AA$20*'TUSD BF'!$AA$58</f>
        <v>0</v>
      </c>
      <c r="AB20" s="30">
        <f>SUM($U$20:$AA$20)</f>
        <v>0</v>
      </c>
      <c r="AC20" s="30">
        <f>'TUSD BE'!$AC$20*'TUSD BF'!$AC$58</f>
        <v>0</v>
      </c>
      <c r="AD20" s="30">
        <f>SUM($AC$20:$AC$20)</f>
        <v>0</v>
      </c>
      <c r="AE20" s="30">
        <f ca="1">$AO$20*$AO$55</f>
        <v>0</v>
      </c>
      <c r="AF20" s="30">
        <f ca="1">$AP$20*$AP$55</f>
        <v>0</v>
      </c>
      <c r="AG20" s="30">
        <f ca="1">SUM($AE$20:$AF$20)</f>
        <v>0</v>
      </c>
      <c r="AH20" s="30">
        <f>'TUSD BE'!$AH$20*'TUSD BF'!$AH$58</f>
        <v>-0.1405768635813163</v>
      </c>
      <c r="AI20" s="30">
        <f>'TUSD BE'!$AI$20*'TUSD BF'!$AI$58</f>
        <v>0</v>
      </c>
      <c r="AJ20" s="30">
        <f ca="1">'TUSD BE'!$AJ$20*'TUSD BF'!$AJ$58</f>
        <v>-0.18617712577017922</v>
      </c>
      <c r="AK20" s="30">
        <f ca="1">'TUSD BE'!$AK$20*'TUSD BF'!$AK$58</f>
        <v>0</v>
      </c>
      <c r="AL20" s="30">
        <f ca="1">SUM($AH$20:$AK$20)</f>
        <v>-0.32675398935149552</v>
      </c>
      <c r="AM20" s="30">
        <f ca="1">SUMIF($L$4:$AL$4,"SUBTOTAL",$L$20:$AL$20)</f>
        <v>11.264308828993402</v>
      </c>
      <c r="AO20" s="42">
        <f ca="1">+'TUSD BE'!$T$20+'TUSD BE'!$AB$20+'TUSD BE'!$AD$20+'TUSD BE'!$AL$20</f>
        <v>394.81616032798513</v>
      </c>
      <c r="AP20" s="42">
        <f ca="1">+'TUSD BE'!$T$20+'TUSD BE'!$AB$20+'TUSD BE'!$AD$20+'TUSD BE'!$AL$20</f>
        <v>394.81616032798513</v>
      </c>
    </row>
    <row r="21" spans="1:42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>
        <f>'TUSD BE'!$L$21*'TUSD BF'!$L$58</f>
        <v>0</v>
      </c>
      <c r="M21" s="30">
        <f>'TUSD BE'!$M$21*'TUSD BF'!$M$58</f>
        <v>0</v>
      </c>
      <c r="N21" s="30">
        <f ca="1">'TUSD BE'!$N$21*'TUSD BF'!$N$58</f>
        <v>0</v>
      </c>
      <c r="O21" s="30">
        <f>'TUSD BE'!$O$21*'TUSD BF'!$O$58</f>
        <v>0</v>
      </c>
      <c r="P21" s="30">
        <f>'TUSD BE'!$P$21*'TUSD BF'!$P$58</f>
        <v>0</v>
      </c>
      <c r="Q21" s="30">
        <f>'TUSD BE'!$Q$21*'TUSD BF'!$Q$58</f>
        <v>0</v>
      </c>
      <c r="R21" s="30">
        <f>'TUSD BE'!$R$21*'TUSD BF'!$R$58</f>
        <v>0</v>
      </c>
      <c r="S21" s="30">
        <f>'TUSD BE'!$R$21*'TUSD BF'!$S$58</f>
        <v>0</v>
      </c>
      <c r="T21" s="30">
        <f ca="1">SUM($L$21:$S$21)</f>
        <v>0</v>
      </c>
      <c r="U21" s="30">
        <f>'TUSD BE'!$U$21*'TUSD BF'!$U$58</f>
        <v>0</v>
      </c>
      <c r="V21" s="30">
        <f>'TUSD BE'!$V$21*'TUSD BF'!$V$58</f>
        <v>0</v>
      </c>
      <c r="W21" s="30">
        <f>'TUSD BE'!$W$21*'TUSD BF'!$W$58</f>
        <v>0</v>
      </c>
      <c r="X21" s="30">
        <f>'TUSD BE'!$X$21*'TUSD BF'!$X$58</f>
        <v>0</v>
      </c>
      <c r="Y21" s="30">
        <f>'TUSD BE'!$Y$21*'TUSD BF'!$Y$58</f>
        <v>0</v>
      </c>
      <c r="Z21" s="30">
        <f>'TUSD BE'!$Z$21*'TUSD BF'!$Z$58</f>
        <v>0</v>
      </c>
      <c r="AA21" s="30">
        <f>'TUSD BE'!$AA$21*'TUSD BF'!$AA$58</f>
        <v>0</v>
      </c>
      <c r="AB21" s="30">
        <f>SUM($U$21:$AA$21)</f>
        <v>0</v>
      </c>
      <c r="AC21" s="30">
        <f>'TUSD BE'!$AC$21*'TUSD BF'!$AC$58</f>
        <v>0</v>
      </c>
      <c r="AD21" s="30">
        <f>SUM($AC$21:$AC$21)</f>
        <v>0</v>
      </c>
      <c r="AE21" s="30">
        <f ca="1">$AO$21*$AO$55</f>
        <v>0</v>
      </c>
      <c r="AF21" s="30">
        <f ca="1">$AP$21*$AP$55</f>
        <v>0</v>
      </c>
      <c r="AG21" s="30">
        <f ca="1">SUM($AE$21:$AF$21)</f>
        <v>0</v>
      </c>
      <c r="AH21" s="30">
        <f>'TUSD BE'!$AH$21*'TUSD BF'!$AH$58</f>
        <v>-0.1405768635813163</v>
      </c>
      <c r="AI21" s="30">
        <f>'TUSD BE'!$AI$21*'TUSD BF'!$AI$58</f>
        <v>0</v>
      </c>
      <c r="AJ21" s="30">
        <f ca="1">'TUSD BE'!$AJ$21*'TUSD BF'!$AJ$58</f>
        <v>-0.18617712577017922</v>
      </c>
      <c r="AK21" s="30">
        <f ca="1">'TUSD BE'!$AK$21*'TUSD BF'!$AK$58</f>
        <v>0</v>
      </c>
      <c r="AL21" s="30">
        <f ca="1">SUM($AH$21:$AK$21)</f>
        <v>-0.32675398935149552</v>
      </c>
      <c r="AM21" s="30">
        <f ca="1">SUMIF($L$4:$AL$4,"SUBTOTAL",$L$21:$AL$21)</f>
        <v>-0.32675398935149552</v>
      </c>
      <c r="AO21" s="42">
        <f ca="1">+'TUSD BE'!$T$21+'TUSD BE'!$AB$21+'TUSD BE'!$AD$21+'TUSD BE'!$AL$21</f>
        <v>337.84952414072416</v>
      </c>
      <c r="AP21" s="42">
        <f ca="1">+'TUSD BE'!$T$21+'TUSD BE'!$AB$21+'TUSD BE'!$AD$21+'TUSD BE'!$AL$21</f>
        <v>337.84952414072416</v>
      </c>
    </row>
    <row r="22" spans="1:42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>
        <f>'TUSD BE'!$L$22*'TUSD BF'!$L$58</f>
        <v>0</v>
      </c>
      <c r="M22" s="30">
        <f>'TUSD BE'!$M$22*'TUSD BF'!$M$58</f>
        <v>0</v>
      </c>
      <c r="N22" s="30">
        <f ca="1">'TUSD BE'!$N$22*'TUSD BF'!$N$58</f>
        <v>0</v>
      </c>
      <c r="O22" s="30">
        <f>'TUSD BE'!$O$22*'TUSD BF'!$O$58</f>
        <v>0</v>
      </c>
      <c r="P22" s="30">
        <f>'TUSD BE'!$P$22*'TUSD BF'!$P$58</f>
        <v>0</v>
      </c>
      <c r="Q22" s="30">
        <f>'TUSD BE'!$Q$22*'TUSD BF'!$Q$58</f>
        <v>0</v>
      </c>
      <c r="R22" s="30">
        <f>'TUSD BE'!$R$22*'TUSD BF'!$R$58</f>
        <v>0</v>
      </c>
      <c r="S22" s="30">
        <f>'TUSD BE'!$R$22*'TUSD BF'!$S$58</f>
        <v>0</v>
      </c>
      <c r="T22" s="30">
        <f ca="1">SUM($L$22:$S$22)</f>
        <v>0</v>
      </c>
      <c r="U22" s="30">
        <f>'TUSD BE'!$U$22*'TUSD BF'!$U$58</f>
        <v>0</v>
      </c>
      <c r="V22" s="30">
        <f>'TUSD BE'!$V$22*'TUSD BF'!$V$58</f>
        <v>0</v>
      </c>
      <c r="W22" s="30">
        <f>'TUSD BE'!$W$22*'TUSD BF'!$W$58</f>
        <v>0</v>
      </c>
      <c r="X22" s="30">
        <f>'TUSD BE'!$X$22*'TUSD BF'!$X$58</f>
        <v>0</v>
      </c>
      <c r="Y22" s="30">
        <f>'TUSD BE'!$Y$22*'TUSD BF'!$Y$58</f>
        <v>0</v>
      </c>
      <c r="Z22" s="30">
        <f>'TUSD BE'!$Z$22*'TUSD BF'!$Z$58</f>
        <v>0</v>
      </c>
      <c r="AA22" s="30">
        <f>'TUSD BE'!$AA$22*'TUSD BF'!$AA$58</f>
        <v>0</v>
      </c>
      <c r="AB22" s="30">
        <f>SUM($U$22:$AA$22)</f>
        <v>0</v>
      </c>
      <c r="AC22" s="30">
        <f>'TUSD BE'!$AC$22*'TUSD BF'!$AC$58</f>
        <v>0</v>
      </c>
      <c r="AD22" s="30">
        <f>SUM($AC$22:$AC$22)</f>
        <v>0</v>
      </c>
      <c r="AE22" s="30">
        <f ca="1">$AO$22*$AO$55</f>
        <v>0</v>
      </c>
      <c r="AF22" s="30">
        <f ca="1">$AP$22*$AP$55</f>
        <v>0</v>
      </c>
      <c r="AG22" s="30">
        <f ca="1">SUM($AE$22:$AF$22)</f>
        <v>0</v>
      </c>
      <c r="AH22" s="30">
        <f>'TUSD BE'!$AH$22*'TUSD BF'!$AH$58</f>
        <v>-0.1405768635813163</v>
      </c>
      <c r="AI22" s="30">
        <f>'TUSD BE'!$AI$22*'TUSD BF'!$AI$58</f>
        <v>0</v>
      </c>
      <c r="AJ22" s="30">
        <f ca="1">'TUSD BE'!$AJ$22*'TUSD BF'!$AJ$58</f>
        <v>-0.18617712577017922</v>
      </c>
      <c r="AK22" s="30">
        <f ca="1">'TUSD BE'!$AK$22*'TUSD BF'!$AK$58</f>
        <v>0</v>
      </c>
      <c r="AL22" s="30">
        <f ca="1">SUM($AH$22:$AK$22)</f>
        <v>-0.32675398935149552</v>
      </c>
      <c r="AM22" s="30">
        <f ca="1">SUMIF($L$4:$AL$4,"SUBTOTAL",$L$22:$AL$22)</f>
        <v>-0.32675398935149552</v>
      </c>
      <c r="AO22" s="42">
        <f ca="1">+'TUSD BE'!$T$22+'TUSD BE'!$AB$22+'TUSD BE'!$AD$22+'TUSD BE'!$AL$22</f>
        <v>337.84952414072416</v>
      </c>
      <c r="AP22" s="42">
        <f ca="1">+'TUSD BE'!$T$22+'TUSD BE'!$AB$22+'TUSD BE'!$AD$22+'TUSD BE'!$AL$22</f>
        <v>337.84952414072416</v>
      </c>
    </row>
    <row r="23" spans="1:42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>
        <f>'TUSD BE'!$L$23*'TUSD BF'!$L$58</f>
        <v>0</v>
      </c>
      <c r="M23" s="30">
        <f>'TUSD BE'!$M$23*'TUSD BF'!$M$58</f>
        <v>0</v>
      </c>
      <c r="N23" s="30">
        <f ca="1">'TUSD BE'!$N$23*'TUSD BF'!$N$58</f>
        <v>0</v>
      </c>
      <c r="O23" s="30">
        <f>'TUSD BE'!$O$23*'TUSD BF'!$O$58</f>
        <v>0</v>
      </c>
      <c r="P23" s="30">
        <f>'TUSD BE'!$P$23*'TUSD BF'!$P$58</f>
        <v>0</v>
      </c>
      <c r="Q23" s="30">
        <f>'TUSD BE'!$Q$23*'TUSD BF'!$Q$58</f>
        <v>0</v>
      </c>
      <c r="R23" s="30">
        <f>'TUSD BE'!$R$23*'TUSD BF'!$R$58</f>
        <v>0</v>
      </c>
      <c r="S23" s="30">
        <f>'TUSD BE'!$R$23*'TUSD BF'!$S$58</f>
        <v>0</v>
      </c>
      <c r="T23" s="30">
        <f ca="1">SUM($L$23:$S$23)</f>
        <v>0</v>
      </c>
      <c r="U23" s="30">
        <f>'TUSD BE'!$U$23*'TUSD BF'!$U$58</f>
        <v>0</v>
      </c>
      <c r="V23" s="30">
        <f>'TUSD BE'!$V$23*'TUSD BF'!$V$58</f>
        <v>0</v>
      </c>
      <c r="W23" s="30">
        <f>'TUSD BE'!$W$23*'TUSD BF'!$W$58</f>
        <v>0</v>
      </c>
      <c r="X23" s="30">
        <f>'TUSD BE'!$X$23*'TUSD BF'!$X$58</f>
        <v>0</v>
      </c>
      <c r="Y23" s="30">
        <f>'TUSD BE'!$Y$23*'TUSD BF'!$Y$58</f>
        <v>0</v>
      </c>
      <c r="Z23" s="30">
        <f>'TUSD BE'!$Z$23*'TUSD BF'!$Z$58</f>
        <v>0</v>
      </c>
      <c r="AA23" s="30">
        <f>'TUSD BE'!$AA$23*'TUSD BF'!$AA$58</f>
        <v>0</v>
      </c>
      <c r="AB23" s="30">
        <f>SUM($U$23:$AA$23)</f>
        <v>0</v>
      </c>
      <c r="AC23" s="30">
        <f>'TUSD BE'!$AC$23*'TUSD BF'!$AC$58</f>
        <v>0</v>
      </c>
      <c r="AD23" s="30">
        <f>SUM($AC$23:$AC$23)</f>
        <v>0</v>
      </c>
      <c r="AE23" s="30">
        <f ca="1">$AO$23*$AO$55</f>
        <v>0</v>
      </c>
      <c r="AF23" s="30">
        <f ca="1">$AP$23*$AP$55</f>
        <v>0</v>
      </c>
      <c r="AG23" s="30">
        <f ca="1">SUM($AE$23:$AF$23)</f>
        <v>0</v>
      </c>
      <c r="AH23" s="30">
        <f>'TUSD BE'!$AH$23*'TUSD BF'!$AH$58</f>
        <v>-0.1405768635813163</v>
      </c>
      <c r="AI23" s="30">
        <f>'TUSD BE'!$AI$23*'TUSD BF'!$AI$58</f>
        <v>0</v>
      </c>
      <c r="AJ23" s="30">
        <f ca="1">'TUSD BE'!$AJ$23*'TUSD BF'!$AJ$58</f>
        <v>-0.18617712577017922</v>
      </c>
      <c r="AK23" s="30">
        <f ca="1">'TUSD BE'!$AK$23*'TUSD BF'!$AK$58</f>
        <v>0</v>
      </c>
      <c r="AL23" s="30">
        <f ca="1">SUM($AH$23:$AK$23)</f>
        <v>-0.32675398935149552</v>
      </c>
      <c r="AM23" s="30">
        <f ca="1">SUMIF($L$4:$AL$4,"SUBTOTAL",$L$23:$AL$23)</f>
        <v>-0.32675398935149552</v>
      </c>
      <c r="AO23" s="42">
        <f ca="1">+'TUSD BE'!$T$23+'TUSD BE'!$AB$23+'TUSD BE'!$AD$23+'TUSD BE'!$AL$23</f>
        <v>337.84952414072416</v>
      </c>
      <c r="AP23" s="42">
        <f ca="1">+'TUSD BE'!$T$23+'TUSD BE'!$AB$23+'TUSD BE'!$AD$23+'TUSD BE'!$AL$23</f>
        <v>337.84952414072416</v>
      </c>
    </row>
    <row r="24" spans="1:42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>
        <f>'TUSD BE'!$L$24*'TUSD BF'!$L$58</f>
        <v>0</v>
      </c>
      <c r="M24" s="30">
        <f>'TUSD BE'!$M$24*'TUSD BF'!$M$58</f>
        <v>0</v>
      </c>
      <c r="N24" s="30">
        <f ca="1">'TUSD BE'!$N$24*'TUSD BF'!$N$58</f>
        <v>0</v>
      </c>
      <c r="O24" s="30">
        <f>'TUSD BE'!$O$24*'TUSD BF'!$O$58</f>
        <v>0</v>
      </c>
      <c r="P24" s="30">
        <f>'TUSD BE'!$P$24*'TUSD BF'!$P$58</f>
        <v>0</v>
      </c>
      <c r="Q24" s="30">
        <f>'TUSD BE'!$Q$24*'TUSD BF'!$Q$58</f>
        <v>0</v>
      </c>
      <c r="R24" s="30">
        <f>'TUSD BE'!$R$24*'TUSD BF'!$R$58</f>
        <v>0</v>
      </c>
      <c r="S24" s="30">
        <f>'TUSD BE'!$R$24*'TUSD BF'!$S$58</f>
        <v>0</v>
      </c>
      <c r="T24" s="30">
        <f ca="1">SUM($L$24:$S$24)</f>
        <v>0</v>
      </c>
      <c r="U24" s="30">
        <f>'TUSD BE'!$U$24*'TUSD BF'!$U$58</f>
        <v>0</v>
      </c>
      <c r="V24" s="30">
        <f>'TUSD BE'!$V$24*'TUSD BF'!$V$58</f>
        <v>0</v>
      </c>
      <c r="W24" s="30">
        <f>'TUSD BE'!$W$24*'TUSD BF'!$W$58</f>
        <v>0</v>
      </c>
      <c r="X24" s="30">
        <f>'TUSD BE'!$X$24*'TUSD BF'!$X$58</f>
        <v>0</v>
      </c>
      <c r="Y24" s="30">
        <f>'TUSD BE'!$Y$24*'TUSD BF'!$Y$58</f>
        <v>0</v>
      </c>
      <c r="Z24" s="30">
        <f>'TUSD BE'!$Z$24*'TUSD BF'!$Z$58</f>
        <v>0</v>
      </c>
      <c r="AA24" s="30">
        <f>'TUSD BE'!$AA$24*'TUSD BF'!$AA$58</f>
        <v>0</v>
      </c>
      <c r="AB24" s="30">
        <f>SUM($U$24:$AA$24)</f>
        <v>0</v>
      </c>
      <c r="AC24" s="30">
        <f>'TUSD BE'!$AC$24*'TUSD BF'!$AC$58</f>
        <v>0</v>
      </c>
      <c r="AD24" s="30">
        <f>SUM($AC$24:$AC$24)</f>
        <v>0</v>
      </c>
      <c r="AE24" s="30">
        <f ca="1">$AO$24*$AO$55</f>
        <v>0</v>
      </c>
      <c r="AF24" s="30">
        <f ca="1">$AP$24*$AP$55</f>
        <v>0</v>
      </c>
      <c r="AG24" s="30">
        <f ca="1">SUM($AE$24:$AF$24)</f>
        <v>0</v>
      </c>
      <c r="AH24" s="30">
        <f>'TUSD BE'!$AH$24*'TUSD BF'!$AH$58</f>
        <v>-0.1405768635813163</v>
      </c>
      <c r="AI24" s="30">
        <f>'TUSD BE'!$AI$24*'TUSD BF'!$AI$58</f>
        <v>0</v>
      </c>
      <c r="AJ24" s="30">
        <f ca="1">'TUSD BE'!$AJ$24*'TUSD BF'!$AJ$58</f>
        <v>-0.18617712577017922</v>
      </c>
      <c r="AK24" s="30">
        <f ca="1">'TUSD BE'!$AK$24*'TUSD BF'!$AK$58</f>
        <v>0</v>
      </c>
      <c r="AL24" s="30">
        <f ca="1">SUM($AH$24:$AK$24)</f>
        <v>-0.32675398935149552</v>
      </c>
      <c r="AM24" s="30">
        <f ca="1">SUMIF($L$4:$AL$4,"SUBTOTAL",$L$24:$AL$24)</f>
        <v>-0.32675398935149552</v>
      </c>
      <c r="AO24" s="42">
        <f ca="1">+'TUSD BE'!$T$24+'TUSD BE'!$AB$24+'TUSD BE'!$AD$24+'TUSD BE'!$AL$24</f>
        <v>337.84952414072416</v>
      </c>
      <c r="AP24" s="42">
        <f ca="1">+'TUSD BE'!$T$24+'TUSD BE'!$AB$24+'TUSD BE'!$AD$24+'TUSD BE'!$AL$24</f>
        <v>337.84952414072416</v>
      </c>
    </row>
    <row r="25" spans="1:42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>
        <f>'TUSD BE'!$L$25*'TUSD BF'!$L$58</f>
        <v>0</v>
      </c>
      <c r="M25" s="30">
        <f>'TUSD BE'!$M$25*'TUSD BF'!$M$58</f>
        <v>0</v>
      </c>
      <c r="N25" s="30">
        <f ca="1">'TUSD BE'!$N$25*'TUSD BF'!$N$58</f>
        <v>0</v>
      </c>
      <c r="O25" s="30">
        <f>'TUSD BE'!$O$25*'TUSD BF'!$O$58</f>
        <v>0</v>
      </c>
      <c r="P25" s="30">
        <f>'TUSD BE'!$P$25*'TUSD BF'!$P$58</f>
        <v>0</v>
      </c>
      <c r="Q25" s="30">
        <f>'TUSD BE'!$Q$25*'TUSD BF'!$Q$58</f>
        <v>11.591062818344897</v>
      </c>
      <c r="R25" s="30">
        <f>'TUSD BE'!$R$25*'TUSD BF'!$R$58</f>
        <v>0</v>
      </c>
      <c r="S25" s="30">
        <f>'TUSD BE'!$R$25*'TUSD BF'!$S$58</f>
        <v>0</v>
      </c>
      <c r="T25" s="30">
        <f ca="1">SUM($L$25:$S$25)</f>
        <v>11.591062818344897</v>
      </c>
      <c r="U25" s="30">
        <f>'TUSD BE'!$U$25*'TUSD BF'!$U$58</f>
        <v>0</v>
      </c>
      <c r="V25" s="30">
        <f>'TUSD BE'!$V$25*'TUSD BF'!$V$58</f>
        <v>0</v>
      </c>
      <c r="W25" s="30">
        <f>'TUSD BE'!$W$25*'TUSD BF'!$W$58</f>
        <v>0</v>
      </c>
      <c r="X25" s="30">
        <f>'TUSD BE'!$X$25*'TUSD BF'!$X$58</f>
        <v>0</v>
      </c>
      <c r="Y25" s="30">
        <f>'TUSD BE'!$Y$25*'TUSD BF'!$Y$58</f>
        <v>0</v>
      </c>
      <c r="Z25" s="30">
        <f>'TUSD BE'!$Z$25*'TUSD BF'!$Z$58</f>
        <v>0</v>
      </c>
      <c r="AA25" s="30">
        <f>'TUSD BE'!$AA$25*'TUSD BF'!$AA$58</f>
        <v>0</v>
      </c>
      <c r="AB25" s="30">
        <f>SUM($U$25:$AA$25)</f>
        <v>0</v>
      </c>
      <c r="AC25" s="30">
        <f>'TUSD BE'!$AC$25*'TUSD BF'!$AC$58</f>
        <v>0</v>
      </c>
      <c r="AD25" s="30">
        <f>SUM($AC$25:$AC$25)</f>
        <v>0</v>
      </c>
      <c r="AE25" s="30">
        <f ca="1">$AO$25*$AO$55</f>
        <v>0</v>
      </c>
      <c r="AF25" s="30">
        <f ca="1">$AP$25*$AP$55</f>
        <v>0</v>
      </c>
      <c r="AG25" s="30">
        <f ca="1">SUM($AE$25:$AF$25)</f>
        <v>0</v>
      </c>
      <c r="AH25" s="30">
        <f>'TUSD BE'!$AH$25*'TUSD BF'!$AH$58</f>
        <v>-0.1405768635813163</v>
      </c>
      <c r="AI25" s="30">
        <f>'TUSD BE'!$AI$25*'TUSD BF'!$AI$58</f>
        <v>0</v>
      </c>
      <c r="AJ25" s="30">
        <f ca="1">'TUSD BE'!$AJ$25*'TUSD BF'!$AJ$58</f>
        <v>-0.18617712577017922</v>
      </c>
      <c r="AK25" s="30">
        <f ca="1">'TUSD BE'!$AK$25*'TUSD BF'!$AK$58</f>
        <v>0</v>
      </c>
      <c r="AL25" s="30">
        <f ca="1">SUM($AH$25:$AK$25)</f>
        <v>-0.32675398935149552</v>
      </c>
      <c r="AM25" s="30">
        <f ca="1">SUMIF($L$4:$AL$4,"SUBTOTAL",$L$25:$AL$25)</f>
        <v>11.264308828993402</v>
      </c>
      <c r="AO25" s="42">
        <f ca="1">+'TUSD BE'!$T$25+'TUSD BE'!$AB$25+'TUSD BE'!$AD$25+'TUSD BE'!$AL$25</f>
        <v>394.81616032798513</v>
      </c>
      <c r="AP25" s="42">
        <f ca="1">+'TUSD BE'!$T$25+'TUSD BE'!$AB$25+'TUSD BE'!$AD$25+'TUSD BE'!$AL$25</f>
        <v>394.81616032798513</v>
      </c>
    </row>
    <row r="26" spans="1:42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>
        <f>'TUSD BE'!$L$26*'TUSD BF'!$L$58</f>
        <v>0</v>
      </c>
      <c r="M26" s="30">
        <f>'TUSD BE'!$M$26*'TUSD BF'!$M$58</f>
        <v>0</v>
      </c>
      <c r="N26" s="30">
        <f ca="1">'TUSD BE'!$N$26*'TUSD BF'!$N$58</f>
        <v>0</v>
      </c>
      <c r="O26" s="30">
        <f>'TUSD BE'!$O$26*'TUSD BF'!$O$58</f>
        <v>0</v>
      </c>
      <c r="P26" s="30">
        <f>'TUSD BE'!$P$26*'TUSD BF'!$P$58</f>
        <v>0</v>
      </c>
      <c r="Q26" s="30">
        <f>'TUSD BE'!$Q$26*'TUSD BF'!$Q$58</f>
        <v>0</v>
      </c>
      <c r="R26" s="30">
        <f>'TUSD BE'!$R$26*'TUSD BF'!$R$58</f>
        <v>0</v>
      </c>
      <c r="S26" s="30">
        <f>'TUSD BE'!$R$26*'TUSD BF'!$S$58</f>
        <v>0</v>
      </c>
      <c r="T26" s="30">
        <f ca="1">SUM($L$26:$S$26)</f>
        <v>0</v>
      </c>
      <c r="U26" s="30">
        <f>'TUSD BE'!$U$26*'TUSD BF'!$U$58</f>
        <v>0</v>
      </c>
      <c r="V26" s="30">
        <f>'TUSD BE'!$V$26*'TUSD BF'!$V$58</f>
        <v>0</v>
      </c>
      <c r="W26" s="30">
        <f>'TUSD BE'!$W$26*'TUSD BF'!$W$58</f>
        <v>0</v>
      </c>
      <c r="X26" s="30">
        <f>'TUSD BE'!$X$26*'TUSD BF'!$X$58</f>
        <v>0</v>
      </c>
      <c r="Y26" s="30">
        <f>'TUSD BE'!$Y$26*'TUSD BF'!$Y$58</f>
        <v>0</v>
      </c>
      <c r="Z26" s="30">
        <f>'TUSD BE'!$Z$26*'TUSD BF'!$Z$58</f>
        <v>0</v>
      </c>
      <c r="AA26" s="30">
        <f>'TUSD BE'!$AA$26*'TUSD BF'!$AA$58</f>
        <v>0</v>
      </c>
      <c r="AB26" s="30">
        <f>SUM($U$26:$AA$26)</f>
        <v>0</v>
      </c>
      <c r="AC26" s="30">
        <f>'TUSD BE'!$AC$26*'TUSD BF'!$AC$58</f>
        <v>0</v>
      </c>
      <c r="AD26" s="30">
        <f>SUM($AC$26:$AC$26)</f>
        <v>0</v>
      </c>
      <c r="AE26" s="30">
        <f ca="1">$AO$26*$AO$55</f>
        <v>0</v>
      </c>
      <c r="AF26" s="30">
        <f ca="1">$AP$26*$AP$55</f>
        <v>0</v>
      </c>
      <c r="AG26" s="30">
        <f ca="1">SUM($AE$26:$AF$26)</f>
        <v>0</v>
      </c>
      <c r="AH26" s="30">
        <f>'TUSD BE'!$AH$26*'TUSD BF'!$AH$58</f>
        <v>-0.1405768635813163</v>
      </c>
      <c r="AI26" s="30">
        <f>'TUSD BE'!$AI$26*'TUSD BF'!$AI$58</f>
        <v>0</v>
      </c>
      <c r="AJ26" s="30">
        <f ca="1">'TUSD BE'!$AJ$26*'TUSD BF'!$AJ$58</f>
        <v>-0.18617712577017922</v>
      </c>
      <c r="AK26" s="30">
        <f ca="1">'TUSD BE'!$AK$26*'TUSD BF'!$AK$58</f>
        <v>0</v>
      </c>
      <c r="AL26" s="30">
        <f ca="1">SUM($AH$26:$AK$26)</f>
        <v>-0.32675398935149552</v>
      </c>
      <c r="AM26" s="30">
        <f ca="1">SUMIF($L$4:$AL$4,"SUBTOTAL",$L$26:$AL$26)</f>
        <v>-0.32675398935149552</v>
      </c>
      <c r="AO26" s="42">
        <f ca="1">+'TUSD BE'!$T$26+'TUSD BE'!$AB$26+'TUSD BE'!$AD$26+'TUSD BE'!$AL$26</f>
        <v>337.84952414072416</v>
      </c>
      <c r="AP26" s="42">
        <f ca="1">+'TUSD BE'!$T$26+'TUSD BE'!$AB$26+'TUSD BE'!$AD$26+'TUSD BE'!$AL$26</f>
        <v>337.84952414072416</v>
      </c>
    </row>
    <row r="27" spans="1:42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>
        <f>'TUSD BE'!$L$27*'TUSD BF'!$L$58</f>
        <v>0</v>
      </c>
      <c r="M27" s="30">
        <f>'TUSD BE'!$M$27*'TUSD BF'!$M$58</f>
        <v>0</v>
      </c>
      <c r="N27" s="30">
        <f ca="1">'TUSD BE'!$N$27*'TUSD BF'!$N$58</f>
        <v>0</v>
      </c>
      <c r="O27" s="30">
        <f>'TUSD BE'!$O$27*'TUSD BF'!$O$58</f>
        <v>0</v>
      </c>
      <c r="P27" s="30">
        <f>'TUSD BE'!$P$27*'TUSD BF'!$P$58</f>
        <v>0</v>
      </c>
      <c r="Q27" s="30">
        <f>'TUSD BE'!$Q$27*'TUSD BF'!$Q$58</f>
        <v>0</v>
      </c>
      <c r="R27" s="30">
        <f>'TUSD BE'!$R$27*'TUSD BF'!$R$58</f>
        <v>0</v>
      </c>
      <c r="S27" s="30">
        <f>'TUSD BE'!$R$27*'TUSD BF'!$S$58</f>
        <v>0</v>
      </c>
      <c r="T27" s="30">
        <f ca="1">SUM($L$27:$S$27)</f>
        <v>0</v>
      </c>
      <c r="U27" s="30">
        <f>'TUSD BE'!$U$27*'TUSD BF'!$U$58</f>
        <v>0</v>
      </c>
      <c r="V27" s="30">
        <f>'TUSD BE'!$V$27*'TUSD BF'!$V$58</f>
        <v>0</v>
      </c>
      <c r="W27" s="30">
        <f>'TUSD BE'!$W$27*'TUSD BF'!$W$58</f>
        <v>0</v>
      </c>
      <c r="X27" s="30">
        <f>'TUSD BE'!$X$27*'TUSD BF'!$X$58</f>
        <v>0</v>
      </c>
      <c r="Y27" s="30">
        <f>'TUSD BE'!$Y$27*'TUSD BF'!$Y$58</f>
        <v>0</v>
      </c>
      <c r="Z27" s="30">
        <f>'TUSD BE'!$Z$27*'TUSD BF'!$Z$58</f>
        <v>0</v>
      </c>
      <c r="AA27" s="30">
        <f>'TUSD BE'!$AA$27*'TUSD BF'!$AA$58</f>
        <v>0</v>
      </c>
      <c r="AB27" s="30">
        <f>SUM($U$27:$AA$27)</f>
        <v>0</v>
      </c>
      <c r="AC27" s="30">
        <f>'TUSD BE'!$AC$27*'TUSD BF'!$AC$58</f>
        <v>0</v>
      </c>
      <c r="AD27" s="30">
        <f>SUM($AC$27:$AC$27)</f>
        <v>0</v>
      </c>
      <c r="AE27" s="30">
        <f ca="1">$AO$27*$AO$55</f>
        <v>0</v>
      </c>
      <c r="AF27" s="30">
        <f ca="1">$AP$27*$AP$55</f>
        <v>0</v>
      </c>
      <c r="AG27" s="30">
        <f ca="1">SUM($AE$27:$AF$27)</f>
        <v>0</v>
      </c>
      <c r="AH27" s="30">
        <f>'TUSD BE'!$AH$27*'TUSD BF'!$AH$58</f>
        <v>-0.1405768635813163</v>
      </c>
      <c r="AI27" s="30">
        <f>'TUSD BE'!$AI$27*'TUSD BF'!$AI$58</f>
        <v>0</v>
      </c>
      <c r="AJ27" s="30">
        <f ca="1">'TUSD BE'!$AJ$27*'TUSD BF'!$AJ$58</f>
        <v>-0.18617712577017922</v>
      </c>
      <c r="AK27" s="30">
        <f ca="1">'TUSD BE'!$AK$27*'TUSD BF'!$AK$58</f>
        <v>0</v>
      </c>
      <c r="AL27" s="30">
        <f ca="1">SUM($AH$27:$AK$27)</f>
        <v>-0.32675398935149552</v>
      </c>
      <c r="AM27" s="30">
        <f ca="1">SUMIF($L$4:$AL$4,"SUBTOTAL",$L$27:$AL$27)</f>
        <v>-0.32675398935149552</v>
      </c>
      <c r="AO27" s="42">
        <f ca="1">+'TUSD BE'!$T$27+'TUSD BE'!$AB$27+'TUSD BE'!$AD$27+'TUSD BE'!$AL$27</f>
        <v>337.84952414072416</v>
      </c>
      <c r="AP27" s="42">
        <f ca="1">+'TUSD BE'!$T$27+'TUSD BE'!$AB$27+'TUSD BE'!$AD$27+'TUSD BE'!$AL$27</f>
        <v>337.84952414072416</v>
      </c>
    </row>
    <row r="28" spans="1:42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>
        <f>'TUSD BE'!$L$28*'TUSD BF'!$L$58</f>
        <v>0</v>
      </c>
      <c r="M28" s="30">
        <f>'TUSD BE'!$M$28*'TUSD BF'!$M$58</f>
        <v>0</v>
      </c>
      <c r="N28" s="30">
        <f ca="1">'TUSD BE'!$N$28*'TUSD BF'!$N$58</f>
        <v>0</v>
      </c>
      <c r="O28" s="30">
        <f>'TUSD BE'!$O$28*'TUSD BF'!$O$58</f>
        <v>0</v>
      </c>
      <c r="P28" s="30">
        <f>'TUSD BE'!$P$28*'TUSD BF'!$P$58</f>
        <v>0</v>
      </c>
      <c r="Q28" s="30">
        <f>'TUSD BE'!$Q$28*'TUSD BF'!$Q$58</f>
        <v>0</v>
      </c>
      <c r="R28" s="30">
        <f>'TUSD BE'!$R$28*'TUSD BF'!$R$58</f>
        <v>0</v>
      </c>
      <c r="S28" s="30">
        <f>'TUSD BE'!$R$28*'TUSD BF'!$S$58</f>
        <v>0</v>
      </c>
      <c r="T28" s="30">
        <f ca="1">SUM($L$28:$S$28)</f>
        <v>0</v>
      </c>
      <c r="U28" s="30">
        <f>'TUSD BE'!$U$28*'TUSD BF'!$U$58</f>
        <v>0</v>
      </c>
      <c r="V28" s="30">
        <f>'TUSD BE'!$V$28*'TUSD BF'!$V$58</f>
        <v>0</v>
      </c>
      <c r="W28" s="30">
        <f>'TUSD BE'!$W$28*'TUSD BF'!$W$58</f>
        <v>0</v>
      </c>
      <c r="X28" s="30">
        <f>'TUSD BE'!$X$28*'TUSD BF'!$X$58</f>
        <v>0</v>
      </c>
      <c r="Y28" s="30">
        <f>'TUSD BE'!$Y$28*'TUSD BF'!$Y$58</f>
        <v>0</v>
      </c>
      <c r="Z28" s="30">
        <f>'TUSD BE'!$Z$28*'TUSD BF'!$Z$58</f>
        <v>0</v>
      </c>
      <c r="AA28" s="30">
        <f>'TUSD BE'!$AA$28*'TUSD BF'!$AA$58</f>
        <v>0</v>
      </c>
      <c r="AB28" s="30">
        <f>SUM($U$28:$AA$28)</f>
        <v>0</v>
      </c>
      <c r="AC28" s="30">
        <f>'TUSD BE'!$AC$28*'TUSD BF'!$AC$58</f>
        <v>0</v>
      </c>
      <c r="AD28" s="30">
        <f>SUM($AC$28:$AC$28)</f>
        <v>0</v>
      </c>
      <c r="AE28" s="30">
        <f ca="1">$AO$28*$AO$55</f>
        <v>0</v>
      </c>
      <c r="AF28" s="30">
        <f ca="1">$AP$28*$AP$55</f>
        <v>0</v>
      </c>
      <c r="AG28" s="30">
        <f ca="1">SUM($AE$28:$AF$28)</f>
        <v>0</v>
      </c>
      <c r="AH28" s="30">
        <f>'TUSD BE'!$AH$28*'TUSD BF'!$AH$58</f>
        <v>-0.1405768635813163</v>
      </c>
      <c r="AI28" s="30">
        <f>'TUSD BE'!$AI$28*'TUSD BF'!$AI$58</f>
        <v>0</v>
      </c>
      <c r="AJ28" s="30">
        <f ca="1">'TUSD BE'!$AJ$28*'TUSD BF'!$AJ$58</f>
        <v>-0.18617712577017922</v>
      </c>
      <c r="AK28" s="30">
        <f ca="1">'TUSD BE'!$AK$28*'TUSD BF'!$AK$58</f>
        <v>0</v>
      </c>
      <c r="AL28" s="30">
        <f ca="1">SUM($AH$28:$AK$28)</f>
        <v>-0.32675398935149552</v>
      </c>
      <c r="AM28" s="30">
        <f ca="1">SUMIF($L$4:$AL$4,"SUBTOTAL",$L$28:$AL$28)</f>
        <v>-0.32675398935149552</v>
      </c>
      <c r="AO28" s="42">
        <f ca="1">+'TUSD BE'!$T$28+'TUSD BE'!$AB$28+'TUSD BE'!$AD$28+'TUSD BE'!$AL$28</f>
        <v>337.84952414072416</v>
      </c>
      <c r="AP28" s="42">
        <f ca="1">+'TUSD BE'!$T$28+'TUSD BE'!$AB$28+'TUSD BE'!$AD$28+'TUSD BE'!$AL$28</f>
        <v>337.84952414072416</v>
      </c>
    </row>
    <row r="29" spans="1:42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>
        <f>'TUSD BE'!$L$29*'TUSD BF'!$L$58</f>
        <v>0</v>
      </c>
      <c r="M29" s="30">
        <f>'TUSD BE'!$M$29*'TUSD BF'!$M$58</f>
        <v>0</v>
      </c>
      <c r="N29" s="30">
        <f ca="1">'TUSD BE'!$N$29*'TUSD BF'!$N$58</f>
        <v>0</v>
      </c>
      <c r="O29" s="30">
        <f>'TUSD BE'!$O$29*'TUSD BF'!$O$58</f>
        <v>0</v>
      </c>
      <c r="P29" s="30">
        <f>'TUSD BE'!$P$29*'TUSD BF'!$P$58</f>
        <v>0</v>
      </c>
      <c r="Q29" s="30">
        <f>'TUSD BE'!$Q$29*'TUSD BF'!$Q$58</f>
        <v>0</v>
      </c>
      <c r="R29" s="30">
        <f>'TUSD BE'!$R$29*'TUSD BF'!$R$58</f>
        <v>0</v>
      </c>
      <c r="S29" s="30">
        <f>'TUSD BE'!$R$29*'TUSD BF'!$S$58</f>
        <v>0</v>
      </c>
      <c r="T29" s="30">
        <f ca="1">SUM($L$29:$S$29)</f>
        <v>0</v>
      </c>
      <c r="U29" s="30">
        <f>'TUSD BE'!$U$29*'TUSD BF'!$U$58</f>
        <v>0</v>
      </c>
      <c r="V29" s="30">
        <f>'TUSD BE'!$V$29*'TUSD BF'!$V$58</f>
        <v>0</v>
      </c>
      <c r="W29" s="30">
        <f>'TUSD BE'!$W$29*'TUSD BF'!$W$58</f>
        <v>0</v>
      </c>
      <c r="X29" s="30">
        <f>'TUSD BE'!$X$29*'TUSD BF'!$X$58</f>
        <v>0</v>
      </c>
      <c r="Y29" s="30">
        <f>'TUSD BE'!$Y$29*'TUSD BF'!$Y$58</f>
        <v>0</v>
      </c>
      <c r="Z29" s="30">
        <f>'TUSD BE'!$Z$29*'TUSD BF'!$Z$58</f>
        <v>0</v>
      </c>
      <c r="AA29" s="30">
        <f>'TUSD BE'!$AA$29*'TUSD BF'!$AA$58</f>
        <v>0</v>
      </c>
      <c r="AB29" s="30">
        <f>SUM($U$29:$AA$29)</f>
        <v>0</v>
      </c>
      <c r="AC29" s="30">
        <f>'TUSD BE'!$AC$29*'TUSD BF'!$AC$58</f>
        <v>0</v>
      </c>
      <c r="AD29" s="30">
        <f>SUM($AC$29:$AC$29)</f>
        <v>0</v>
      </c>
      <c r="AE29" s="30">
        <f ca="1">$AO$29*$AO$55</f>
        <v>0</v>
      </c>
      <c r="AF29" s="30">
        <f ca="1">$AP$29*$AP$55</f>
        <v>0</v>
      </c>
      <c r="AG29" s="30">
        <f ca="1">SUM($AE$29:$AF$29)</f>
        <v>0</v>
      </c>
      <c r="AH29" s="30">
        <f>'TUSD BE'!$AH$29*'TUSD BF'!$AH$58</f>
        <v>-0.1405768635813163</v>
      </c>
      <c r="AI29" s="30">
        <f>'TUSD BE'!$AI$29*'TUSD BF'!$AI$58</f>
        <v>0</v>
      </c>
      <c r="AJ29" s="30">
        <f ca="1">'TUSD BE'!$AJ$29*'TUSD BF'!$AJ$58</f>
        <v>-0.18617712577017922</v>
      </c>
      <c r="AK29" s="30">
        <f ca="1">'TUSD BE'!$AK$29*'TUSD BF'!$AK$58</f>
        <v>0</v>
      </c>
      <c r="AL29" s="30">
        <f ca="1">SUM($AH$29:$AK$29)</f>
        <v>-0.32675398935149552</v>
      </c>
      <c r="AM29" s="30">
        <f ca="1">SUMIF($L$4:$AL$4,"SUBTOTAL",$L$29:$AL$29)</f>
        <v>-0.32675398935149552</v>
      </c>
      <c r="AO29" s="42">
        <f ca="1">+'TUSD BE'!$T$29+'TUSD BE'!$AB$29+'TUSD BE'!$AD$29+'TUSD BE'!$AL$29</f>
        <v>337.84952414072416</v>
      </c>
      <c r="AP29" s="42">
        <f ca="1">+'TUSD BE'!$T$29+'TUSD BE'!$AB$29+'TUSD BE'!$AD$29+'TUSD BE'!$AL$29</f>
        <v>337.84952414072416</v>
      </c>
    </row>
    <row r="30" spans="1:42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>
        <f>'TUSD BE'!$L$30*'TUSD BF'!$L$58</f>
        <v>0</v>
      </c>
      <c r="M30" s="30">
        <f>'TUSD BE'!$M$30*'TUSD BF'!$M$58</f>
        <v>0</v>
      </c>
      <c r="N30" s="30">
        <f ca="1">'TUSD BE'!$N$30*'TUSD BF'!$N$58</f>
        <v>0</v>
      </c>
      <c r="O30" s="30">
        <f>'TUSD BE'!$O$30*'TUSD BF'!$O$58</f>
        <v>0</v>
      </c>
      <c r="P30" s="30">
        <f>'TUSD BE'!$P$30*'TUSD BF'!$P$58</f>
        <v>0</v>
      </c>
      <c r="Q30" s="30">
        <f>'TUSD BE'!$Q$30*'TUSD BF'!$Q$58</f>
        <v>11.591062818344897</v>
      </c>
      <c r="R30" s="30">
        <f>'TUSD BE'!$R$30*'TUSD BF'!$R$58</f>
        <v>0</v>
      </c>
      <c r="S30" s="30">
        <f>'TUSD BE'!$R$30*'TUSD BF'!$S$58</f>
        <v>0</v>
      </c>
      <c r="T30" s="30">
        <f ca="1">SUM($L$30:$S$30)</f>
        <v>11.591062818344897</v>
      </c>
      <c r="U30" s="30">
        <f>'TUSD BE'!$U$30*'TUSD BF'!$U$58</f>
        <v>0</v>
      </c>
      <c r="V30" s="30">
        <f>'TUSD BE'!$V$30*'TUSD BF'!$V$58</f>
        <v>0</v>
      </c>
      <c r="W30" s="30">
        <f>'TUSD BE'!$W$30*'TUSD BF'!$W$58</f>
        <v>0</v>
      </c>
      <c r="X30" s="30">
        <f>'TUSD BE'!$X$30*'TUSD BF'!$X$58</f>
        <v>0</v>
      </c>
      <c r="Y30" s="30">
        <f>'TUSD BE'!$Y$30*'TUSD BF'!$Y$58</f>
        <v>0</v>
      </c>
      <c r="Z30" s="30">
        <f>'TUSD BE'!$Z$30*'TUSD BF'!$Z$58</f>
        <v>0</v>
      </c>
      <c r="AA30" s="30">
        <f>'TUSD BE'!$AA$30*'TUSD BF'!$AA$58</f>
        <v>0</v>
      </c>
      <c r="AB30" s="30">
        <f>SUM($U$30:$AA$30)</f>
        <v>0</v>
      </c>
      <c r="AC30" s="30">
        <f>'TUSD BE'!$AC$30*'TUSD BF'!$AC$58</f>
        <v>0</v>
      </c>
      <c r="AD30" s="30">
        <f>SUM($AC$30:$AC$30)</f>
        <v>0</v>
      </c>
      <c r="AE30" s="30">
        <f ca="1">$AO$30*$AO$55</f>
        <v>0</v>
      </c>
      <c r="AF30" s="30">
        <f ca="1">$AP$30*$AP$55</f>
        <v>0</v>
      </c>
      <c r="AG30" s="30">
        <f ca="1">SUM($AE$30:$AF$30)</f>
        <v>0</v>
      </c>
      <c r="AH30" s="30">
        <f>'TUSD BE'!$AH$30*'TUSD BF'!$AH$58</f>
        <v>-0.1405768635813163</v>
      </c>
      <c r="AI30" s="30">
        <f>'TUSD BE'!$AI$30*'TUSD BF'!$AI$58</f>
        <v>0</v>
      </c>
      <c r="AJ30" s="30">
        <f ca="1">'TUSD BE'!$AJ$30*'TUSD BF'!$AJ$58</f>
        <v>-0.18617712577017922</v>
      </c>
      <c r="AK30" s="30">
        <f ca="1">'TUSD BE'!$AK$30*'TUSD BF'!$AK$58</f>
        <v>0</v>
      </c>
      <c r="AL30" s="30">
        <f ca="1">SUM($AH$30:$AK$30)</f>
        <v>-0.32675398935149552</v>
      </c>
      <c r="AM30" s="30">
        <f ca="1">SUMIF($L$4:$AL$4,"SUBTOTAL",$L$30:$AL$30)</f>
        <v>11.264308828993402</v>
      </c>
      <c r="AO30" s="42">
        <f ca="1">+'TUSD BE'!$T$30+'TUSD BE'!$AB$30+'TUSD BE'!$AD$30+'TUSD BE'!$AL$30</f>
        <v>937.6727564205047</v>
      </c>
      <c r="AP30" s="42">
        <f ca="1">+'TUSD BE'!$T$30+'TUSD BE'!$AB$30+'TUSD BE'!$AD$30+'TUSD BE'!$AL$30</f>
        <v>937.6727564205047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>
        <f>'TUSD BE'!$L$31*'TUSD BF'!$L$58</f>
        <v>0</v>
      </c>
      <c r="M31" s="30">
        <f>'TUSD BE'!$M$31*'TUSD BF'!$M$58</f>
        <v>0</v>
      </c>
      <c r="N31" s="30">
        <f ca="1">'TUSD BE'!$N$31*'TUSD BF'!$N$58</f>
        <v>0</v>
      </c>
      <c r="O31" s="30">
        <f>'TUSD BE'!$O$31*'TUSD BF'!$O$58</f>
        <v>0</v>
      </c>
      <c r="P31" s="30">
        <f>'TUSD BE'!$P$31*'TUSD BF'!$P$58</f>
        <v>0</v>
      </c>
      <c r="Q31" s="30">
        <f>'TUSD BE'!$Q$31*'TUSD BF'!$Q$58</f>
        <v>11.591062818344897</v>
      </c>
      <c r="R31" s="30">
        <f>'TUSD BE'!$R$31*'TUSD BF'!$R$58</f>
        <v>0</v>
      </c>
      <c r="S31" s="30">
        <f>'TUSD BE'!$R$31*'TUSD BF'!$S$58</f>
        <v>0</v>
      </c>
      <c r="T31" s="30">
        <f ca="1">SUM($L$31:$S$31)</f>
        <v>11.591062818344897</v>
      </c>
      <c r="U31" s="30">
        <f>'TUSD BE'!$U$31*'TUSD BF'!$U$58</f>
        <v>0</v>
      </c>
      <c r="V31" s="30">
        <f>'TUSD BE'!$V$31*'TUSD BF'!$V$58</f>
        <v>0</v>
      </c>
      <c r="W31" s="30">
        <f>'TUSD BE'!$W$31*'TUSD BF'!$W$58</f>
        <v>0</v>
      </c>
      <c r="X31" s="30">
        <f>'TUSD BE'!$X$31*'TUSD BF'!$X$58</f>
        <v>0</v>
      </c>
      <c r="Y31" s="30">
        <f>'TUSD BE'!$Y$31*'TUSD BF'!$Y$58</f>
        <v>0</v>
      </c>
      <c r="Z31" s="30">
        <f>'TUSD BE'!$Z$31*'TUSD BF'!$Z$58</f>
        <v>0</v>
      </c>
      <c r="AA31" s="30">
        <f>'TUSD BE'!$AA$31*'TUSD BF'!$AA$58</f>
        <v>0</v>
      </c>
      <c r="AB31" s="30">
        <f>SUM($U$31:$AA$31)</f>
        <v>0</v>
      </c>
      <c r="AC31" s="30">
        <f>'TUSD BE'!$AC$31*'TUSD BF'!$AC$58</f>
        <v>0</v>
      </c>
      <c r="AD31" s="30">
        <f>SUM($AC$31:$AC$31)</f>
        <v>0</v>
      </c>
      <c r="AE31" s="30">
        <f ca="1">$AO$31*$AO$55</f>
        <v>0</v>
      </c>
      <c r="AF31" s="30">
        <f ca="1">$AP$31*$AP$55</f>
        <v>0</v>
      </c>
      <c r="AG31" s="30">
        <f ca="1">SUM($AE$31:$AF$31)</f>
        <v>0</v>
      </c>
      <c r="AH31" s="30">
        <f>'TUSD BE'!$AH$31*'TUSD BF'!$AH$58</f>
        <v>-0.1405768635813163</v>
      </c>
      <c r="AI31" s="30">
        <f>'TUSD BE'!$AI$31*'TUSD BF'!$AI$58</f>
        <v>0</v>
      </c>
      <c r="AJ31" s="30">
        <f ca="1">'TUSD BE'!$AJ$31*'TUSD BF'!$AJ$58</f>
        <v>-0.18617712577017922</v>
      </c>
      <c r="AK31" s="30">
        <f ca="1">'TUSD BE'!$AK$31*'TUSD BF'!$AK$58</f>
        <v>0</v>
      </c>
      <c r="AL31" s="30">
        <f ca="1">SUM($AH$31:$AK$31)</f>
        <v>-0.32675398935149552</v>
      </c>
      <c r="AM31" s="30">
        <f ca="1">SUMIF($L$4:$AL$4,"SUBTOTAL",$L$31:$AL$31)</f>
        <v>11.264308828993402</v>
      </c>
      <c r="AO31" s="42">
        <f ca="1">+'TUSD BE'!$T$31+'TUSD BE'!$AB$31+'TUSD BE'!$AD$31+'TUSD BE'!$AL$31</f>
        <v>621.82818860036457</v>
      </c>
      <c r="AP31" s="42">
        <f ca="1">+'TUSD BE'!$T$31+'TUSD BE'!$AB$31+'TUSD BE'!$AD$31+'TUSD BE'!$AL$31</f>
        <v>621.82818860036457</v>
      </c>
    </row>
    <row r="32" spans="1:42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>
        <f>'TUSD BE'!$L$32*'TUSD BF'!$L$58</f>
        <v>0</v>
      </c>
      <c r="M32" s="30">
        <f>'TUSD BE'!$M$32*'TUSD BF'!$M$58</f>
        <v>0</v>
      </c>
      <c r="N32" s="30">
        <f ca="1">'TUSD BE'!$N$32*'TUSD BF'!$N$58</f>
        <v>0</v>
      </c>
      <c r="O32" s="30">
        <f>'TUSD BE'!$O$32*'TUSD BF'!$O$58</f>
        <v>0</v>
      </c>
      <c r="P32" s="30">
        <f>'TUSD BE'!$P$32*'TUSD BF'!$P$58</f>
        <v>0</v>
      </c>
      <c r="Q32" s="30">
        <f>'TUSD BE'!$Q$32*'TUSD BF'!$Q$58</f>
        <v>11.591062818344897</v>
      </c>
      <c r="R32" s="30">
        <f>'TUSD BE'!$R$32*'TUSD BF'!$R$58</f>
        <v>0</v>
      </c>
      <c r="S32" s="30">
        <f>'TUSD BE'!$R$32*'TUSD BF'!$S$58</f>
        <v>0</v>
      </c>
      <c r="T32" s="30">
        <f ca="1">SUM($L$32:$S$32)</f>
        <v>11.591062818344897</v>
      </c>
      <c r="U32" s="30">
        <f>'TUSD BE'!$U$32*'TUSD BF'!$U$58</f>
        <v>0</v>
      </c>
      <c r="V32" s="30">
        <f>'TUSD BE'!$V$32*'TUSD BF'!$V$58</f>
        <v>0</v>
      </c>
      <c r="W32" s="30">
        <f>'TUSD BE'!$W$32*'TUSD BF'!$W$58</f>
        <v>0</v>
      </c>
      <c r="X32" s="30">
        <f>'TUSD BE'!$X$32*'TUSD BF'!$X$58</f>
        <v>0</v>
      </c>
      <c r="Y32" s="30">
        <f>'TUSD BE'!$Y$32*'TUSD BF'!$Y$58</f>
        <v>0</v>
      </c>
      <c r="Z32" s="30">
        <f>'TUSD BE'!$Z$32*'TUSD BF'!$Z$58</f>
        <v>0</v>
      </c>
      <c r="AA32" s="30">
        <f>'TUSD BE'!$AA$32*'TUSD BF'!$AA$58</f>
        <v>0</v>
      </c>
      <c r="AB32" s="30">
        <f>SUM($U$32:$AA$32)</f>
        <v>0</v>
      </c>
      <c r="AC32" s="30">
        <f>'TUSD BE'!$AC$32*'TUSD BF'!$AC$58</f>
        <v>0</v>
      </c>
      <c r="AD32" s="30">
        <f>SUM($AC$32:$AC$32)</f>
        <v>0</v>
      </c>
      <c r="AE32" s="30">
        <f ca="1">$AO$32*$AO$55</f>
        <v>0</v>
      </c>
      <c r="AF32" s="30">
        <f ca="1">$AP$32*$AP$55</f>
        <v>0</v>
      </c>
      <c r="AG32" s="30">
        <f ca="1">SUM($AE$32:$AF$32)</f>
        <v>0</v>
      </c>
      <c r="AH32" s="30">
        <f>'TUSD BE'!$AH$32*'TUSD BF'!$AH$58</f>
        <v>-0.1405768635813163</v>
      </c>
      <c r="AI32" s="30">
        <f>'TUSD BE'!$AI$32*'TUSD BF'!$AI$58</f>
        <v>0</v>
      </c>
      <c r="AJ32" s="30">
        <f ca="1">'TUSD BE'!$AJ$32*'TUSD BF'!$AJ$58</f>
        <v>-0.18617712577017922</v>
      </c>
      <c r="AK32" s="30">
        <f ca="1">'TUSD BE'!$AK$32*'TUSD BF'!$AK$58</f>
        <v>0</v>
      </c>
      <c r="AL32" s="30">
        <f ca="1">SUM($AH$32:$AK$32)</f>
        <v>-0.32675398935149552</v>
      </c>
      <c r="AM32" s="30">
        <f ca="1">SUMIF($L$4:$AL$4,"SUBTOTAL",$L$32:$AL$32)</f>
        <v>11.264308828993402</v>
      </c>
      <c r="AO32" s="42">
        <f ca="1">+'TUSD BE'!$T$32+'TUSD BE'!$AB$32+'TUSD BE'!$AD$32+'TUSD BE'!$AL$32</f>
        <v>305.98362078022444</v>
      </c>
      <c r="AP32" s="42">
        <f ca="1">+'TUSD BE'!$T$32+'TUSD BE'!$AB$32+'TUSD BE'!$AD$32+'TUSD BE'!$AL$32</f>
        <v>305.98362078022444</v>
      </c>
    </row>
    <row r="33" spans="1:42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>
        <f>'TUSD BE'!$L$33*'TUSD BF'!$L$58</f>
        <v>0</v>
      </c>
      <c r="M33" s="30">
        <f>'TUSD BE'!$M$33*'TUSD BF'!$M$58</f>
        <v>0</v>
      </c>
      <c r="N33" s="30">
        <f ca="1">'TUSD BE'!$N$33*'TUSD BF'!$N$58</f>
        <v>0</v>
      </c>
      <c r="O33" s="30">
        <f>'TUSD BE'!$O$33*'TUSD BF'!$O$58</f>
        <v>0</v>
      </c>
      <c r="P33" s="30">
        <f>'TUSD BE'!$P$33*'TUSD BF'!$P$58</f>
        <v>0</v>
      </c>
      <c r="Q33" s="30">
        <f>'TUSD BE'!$Q$33*'TUSD BF'!$Q$58</f>
        <v>11.591062818344897</v>
      </c>
      <c r="R33" s="30">
        <f>'TUSD BE'!$R$33*'TUSD BF'!$R$58</f>
        <v>0</v>
      </c>
      <c r="S33" s="30">
        <f>'TUSD BE'!$R$33*'TUSD BF'!$S$58</f>
        <v>0</v>
      </c>
      <c r="T33" s="30">
        <f ca="1">SUM($L$33:$S$33)</f>
        <v>11.591062818344897</v>
      </c>
      <c r="U33" s="30">
        <f>'TUSD BE'!$U$33*'TUSD BF'!$U$58</f>
        <v>0</v>
      </c>
      <c r="V33" s="30">
        <f>'TUSD BE'!$V$33*'TUSD BF'!$V$58</f>
        <v>0</v>
      </c>
      <c r="W33" s="30">
        <f>'TUSD BE'!$W$33*'TUSD BF'!$W$58</f>
        <v>0</v>
      </c>
      <c r="X33" s="30">
        <f>'TUSD BE'!$X$33*'TUSD BF'!$X$58</f>
        <v>0</v>
      </c>
      <c r="Y33" s="30">
        <f>'TUSD BE'!$Y$33*'TUSD BF'!$Y$58</f>
        <v>0</v>
      </c>
      <c r="Z33" s="30">
        <f>'TUSD BE'!$Z$33*'TUSD BF'!$Z$58</f>
        <v>0</v>
      </c>
      <c r="AA33" s="30">
        <f>'TUSD BE'!$AA$33*'TUSD BF'!$AA$58</f>
        <v>0</v>
      </c>
      <c r="AB33" s="30">
        <f>SUM($U$33:$AA$33)</f>
        <v>0</v>
      </c>
      <c r="AC33" s="30">
        <f>'TUSD BE'!$AC$33*'TUSD BF'!$AC$58</f>
        <v>0</v>
      </c>
      <c r="AD33" s="30">
        <f>SUM($AC$33:$AC$33)</f>
        <v>0</v>
      </c>
      <c r="AE33" s="30">
        <f ca="1">$AO$33*$AO$55</f>
        <v>0</v>
      </c>
      <c r="AF33" s="30">
        <f ca="1">$AP$33*$AP$55</f>
        <v>0</v>
      </c>
      <c r="AG33" s="30">
        <f ca="1">SUM($AE$33:$AF$33)</f>
        <v>0</v>
      </c>
      <c r="AH33" s="30">
        <f>'TUSD BE'!$AH$33*'TUSD BF'!$AH$58</f>
        <v>-0.1405768635813163</v>
      </c>
      <c r="AI33" s="30">
        <f>'TUSD BE'!$AI$33*'TUSD BF'!$AI$58</f>
        <v>0</v>
      </c>
      <c r="AJ33" s="30">
        <f ca="1">'TUSD BE'!$AJ$33*'TUSD BF'!$AJ$58</f>
        <v>-0.18617712577017922</v>
      </c>
      <c r="AK33" s="30">
        <f ca="1">'TUSD BE'!$AK$33*'TUSD BF'!$AK$58</f>
        <v>0</v>
      </c>
      <c r="AL33" s="30">
        <f ca="1">SUM($AH$33:$AK$33)</f>
        <v>-0.32675398935149552</v>
      </c>
      <c r="AM33" s="30">
        <f ca="1">SUMIF($L$4:$AL$4,"SUBTOTAL",$L$33:$AL$33)</f>
        <v>11.264308828993402</v>
      </c>
      <c r="AO33" s="42">
        <f ca="1">+'TUSD BE'!$T$33+'TUSD BE'!$AB$33+'TUSD BE'!$AD$33+'TUSD BE'!$AL$33</f>
        <v>394.81616032798513</v>
      </c>
      <c r="AP33" s="42">
        <f ca="1">+'TUSD BE'!$T$33+'TUSD BE'!$AB$33+'TUSD BE'!$AD$33+'TUSD BE'!$AL$33</f>
        <v>394.81616032798513</v>
      </c>
    </row>
    <row r="34" spans="1:42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>
        <f>'TUSD BE'!$L$34*'TUSD BF'!$L$58</f>
        <v>0</v>
      </c>
      <c r="M34" s="30">
        <f>'TUSD BE'!$M$34*'TUSD BF'!$M$58</f>
        <v>0</v>
      </c>
      <c r="N34" s="30">
        <f ca="1">'TUSD BE'!$N$34*'TUSD BF'!$N$58</f>
        <v>0</v>
      </c>
      <c r="O34" s="30">
        <f>'TUSD BE'!$O$34*'TUSD BF'!$O$58</f>
        <v>0</v>
      </c>
      <c r="P34" s="30">
        <f>'TUSD BE'!$P$34*'TUSD BF'!$P$58</f>
        <v>0</v>
      </c>
      <c r="Q34" s="30">
        <f>'TUSD BE'!$Q$34*'TUSD BF'!$Q$58</f>
        <v>11.591062818344897</v>
      </c>
      <c r="R34" s="30">
        <f>'TUSD BE'!$R$34*'TUSD BF'!$R$58</f>
        <v>0</v>
      </c>
      <c r="S34" s="30">
        <f>'TUSD BE'!$R$34*'TUSD BF'!$S$58</f>
        <v>0</v>
      </c>
      <c r="T34" s="30">
        <f ca="1">SUM($L$34:$S$34)</f>
        <v>11.591062818344897</v>
      </c>
      <c r="U34" s="30">
        <f>'TUSD BE'!$U$34*'TUSD BF'!$U$58</f>
        <v>0</v>
      </c>
      <c r="V34" s="30">
        <f>'TUSD BE'!$V$34*'TUSD BF'!$V$58</f>
        <v>0</v>
      </c>
      <c r="W34" s="30">
        <f>'TUSD BE'!$W$34*'TUSD BF'!$W$58</f>
        <v>0</v>
      </c>
      <c r="X34" s="30">
        <f>'TUSD BE'!$X$34*'TUSD BF'!$X$58</f>
        <v>0</v>
      </c>
      <c r="Y34" s="30">
        <f>'TUSD BE'!$Y$34*'TUSD BF'!$Y$58</f>
        <v>0</v>
      </c>
      <c r="Z34" s="30">
        <f>'TUSD BE'!$Z$34*'TUSD BF'!$Z$58</f>
        <v>0</v>
      </c>
      <c r="AA34" s="30">
        <f>'TUSD BE'!$AA$34*'TUSD BF'!$AA$58</f>
        <v>0</v>
      </c>
      <c r="AB34" s="30">
        <f>SUM($U$34:$AA$34)</f>
        <v>0</v>
      </c>
      <c r="AC34" s="30">
        <f>'TUSD BE'!$AC$34*'TUSD BF'!$AC$58</f>
        <v>0</v>
      </c>
      <c r="AD34" s="30">
        <f>SUM($AC$34:$AC$34)</f>
        <v>0</v>
      </c>
      <c r="AE34" s="30">
        <f ca="1">$AO$34*$AO$55</f>
        <v>0</v>
      </c>
      <c r="AF34" s="30">
        <f ca="1">$AP$34*$AP$55</f>
        <v>0</v>
      </c>
      <c r="AG34" s="30">
        <f ca="1">SUM($AE$34:$AF$34)</f>
        <v>0</v>
      </c>
      <c r="AH34" s="30">
        <f>'TUSD BE'!$AH$34*'TUSD BF'!$AH$58</f>
        <v>-0.1405768635813163</v>
      </c>
      <c r="AI34" s="30">
        <f>'TUSD BE'!$AI$34*'TUSD BF'!$AI$58</f>
        <v>0</v>
      </c>
      <c r="AJ34" s="30">
        <f ca="1">'TUSD BE'!$AJ$34*'TUSD BF'!$AJ$58</f>
        <v>-0.18617712577017922</v>
      </c>
      <c r="AK34" s="30">
        <f ca="1">'TUSD BE'!$AK$34*'TUSD BF'!$AK$58</f>
        <v>0</v>
      </c>
      <c r="AL34" s="30">
        <f ca="1">SUM($AH$34:$AK$34)</f>
        <v>-0.32675398935149552</v>
      </c>
      <c r="AM34" s="30">
        <f ca="1">SUMIF($L$4:$AL$4,"SUBTOTAL",$L$34:$AL$34)</f>
        <v>11.264308828993402</v>
      </c>
      <c r="AO34" s="42">
        <f ca="1">+'TUSD BE'!$T$34+'TUSD BE'!$AB$34+'TUSD BE'!$AD$34+'TUSD BE'!$AL$34</f>
        <v>937.6727564205047</v>
      </c>
      <c r="AP34" s="42">
        <f ca="1">+'TUSD BE'!$T$34+'TUSD BE'!$AB$34+'TUSD BE'!$AD$34+'TUSD BE'!$AL$34</f>
        <v>937.6727564205047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>
        <f>'TUSD BE'!$L$35*'TUSD BF'!$L$58</f>
        <v>0</v>
      </c>
      <c r="M35" s="30">
        <f>'TUSD BE'!$M$35*'TUSD BF'!$M$58</f>
        <v>0</v>
      </c>
      <c r="N35" s="30">
        <f ca="1">'TUSD BE'!$N$35*'TUSD BF'!$N$58</f>
        <v>0</v>
      </c>
      <c r="O35" s="30">
        <f>'TUSD BE'!$O$35*'TUSD BF'!$O$58</f>
        <v>0</v>
      </c>
      <c r="P35" s="30">
        <f>'TUSD BE'!$P$35*'TUSD BF'!$P$58</f>
        <v>0</v>
      </c>
      <c r="Q35" s="30">
        <f>'TUSD BE'!$Q$35*'TUSD BF'!$Q$58</f>
        <v>11.591062818344897</v>
      </c>
      <c r="R35" s="30">
        <f>'TUSD BE'!$R$35*'TUSD BF'!$R$58</f>
        <v>0</v>
      </c>
      <c r="S35" s="30">
        <f>'TUSD BE'!$R$35*'TUSD BF'!$S$58</f>
        <v>0</v>
      </c>
      <c r="T35" s="30">
        <f ca="1">SUM($L$35:$S$35)</f>
        <v>11.591062818344897</v>
      </c>
      <c r="U35" s="30">
        <f>'TUSD BE'!$U$35*'TUSD BF'!$U$58</f>
        <v>0</v>
      </c>
      <c r="V35" s="30">
        <f>'TUSD BE'!$V$35*'TUSD BF'!$V$58</f>
        <v>0</v>
      </c>
      <c r="W35" s="30">
        <f>'TUSD BE'!$W$35*'TUSD BF'!$W$58</f>
        <v>0</v>
      </c>
      <c r="X35" s="30">
        <f>'TUSD BE'!$X$35*'TUSD BF'!$X$58</f>
        <v>0</v>
      </c>
      <c r="Y35" s="30">
        <f>'TUSD BE'!$Y$35*'TUSD BF'!$Y$58</f>
        <v>0</v>
      </c>
      <c r="Z35" s="30">
        <f>'TUSD BE'!$Z$35*'TUSD BF'!$Z$58</f>
        <v>0</v>
      </c>
      <c r="AA35" s="30">
        <f>'TUSD BE'!$AA$35*'TUSD BF'!$AA$58</f>
        <v>0</v>
      </c>
      <c r="AB35" s="30">
        <f>SUM($U$35:$AA$35)</f>
        <v>0</v>
      </c>
      <c r="AC35" s="30">
        <f>'TUSD BE'!$AC$35*'TUSD BF'!$AC$58</f>
        <v>0</v>
      </c>
      <c r="AD35" s="30">
        <f>SUM($AC$35:$AC$35)</f>
        <v>0</v>
      </c>
      <c r="AE35" s="30">
        <f ca="1">$AO$35*$AO$55</f>
        <v>0</v>
      </c>
      <c r="AF35" s="30">
        <f ca="1">$AP$35*$AP$55</f>
        <v>0</v>
      </c>
      <c r="AG35" s="30">
        <f ca="1">SUM($AE$35:$AF$35)</f>
        <v>0</v>
      </c>
      <c r="AH35" s="30">
        <f>'TUSD BE'!$AH$35*'TUSD BF'!$AH$58</f>
        <v>-0.1405768635813163</v>
      </c>
      <c r="AI35" s="30">
        <f>'TUSD BE'!$AI$35*'TUSD BF'!$AI$58</f>
        <v>0</v>
      </c>
      <c r="AJ35" s="30">
        <f ca="1">'TUSD BE'!$AJ$35*'TUSD BF'!$AJ$58</f>
        <v>-0.18617712577017922</v>
      </c>
      <c r="AK35" s="30">
        <f ca="1">'TUSD BE'!$AK$35*'TUSD BF'!$AK$58</f>
        <v>0</v>
      </c>
      <c r="AL35" s="30">
        <f ca="1">SUM($AH$35:$AK$35)</f>
        <v>-0.32675398935149552</v>
      </c>
      <c r="AM35" s="30">
        <f ca="1">SUMIF($L$4:$AL$4,"SUBTOTAL",$L$35:$AL$35)</f>
        <v>11.264308828993402</v>
      </c>
      <c r="AO35" s="42">
        <f ca="1">+'TUSD BE'!$T$35+'TUSD BE'!$AB$35+'TUSD BE'!$AD$35+'TUSD BE'!$AL$35</f>
        <v>621.82818860036457</v>
      </c>
      <c r="AP35" s="42">
        <f ca="1">+'TUSD BE'!$T$35+'TUSD BE'!$AB$35+'TUSD BE'!$AD$35+'TUSD BE'!$AL$35</f>
        <v>621.82818860036457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>
        <f>'TUSD BE'!$L$36*'TUSD BF'!$L$58</f>
        <v>0</v>
      </c>
      <c r="M36" s="30">
        <f>'TUSD BE'!$M$36*'TUSD BF'!$M$58</f>
        <v>0</v>
      </c>
      <c r="N36" s="30">
        <f ca="1">'TUSD BE'!$N$36*'TUSD BF'!$N$58</f>
        <v>0</v>
      </c>
      <c r="O36" s="30">
        <f>'TUSD BE'!$O$36*'TUSD BF'!$O$58</f>
        <v>0</v>
      </c>
      <c r="P36" s="30">
        <f>'TUSD BE'!$P$36*'TUSD BF'!$P$58</f>
        <v>0</v>
      </c>
      <c r="Q36" s="30">
        <f>'TUSD BE'!$Q$36*'TUSD BF'!$Q$58</f>
        <v>11.591062818344897</v>
      </c>
      <c r="R36" s="30">
        <f>'TUSD BE'!$R$36*'TUSD BF'!$R$58</f>
        <v>0</v>
      </c>
      <c r="S36" s="30">
        <f>'TUSD BE'!$R$36*'TUSD BF'!$S$58</f>
        <v>0</v>
      </c>
      <c r="T36" s="30">
        <f ca="1">SUM($L$36:$S$36)</f>
        <v>11.591062818344897</v>
      </c>
      <c r="U36" s="30">
        <f>'TUSD BE'!$U$36*'TUSD BF'!$U$58</f>
        <v>0</v>
      </c>
      <c r="V36" s="30">
        <f>'TUSD BE'!$V$36*'TUSD BF'!$V$58</f>
        <v>0</v>
      </c>
      <c r="W36" s="30">
        <f>'TUSD BE'!$W$36*'TUSD BF'!$W$58</f>
        <v>0</v>
      </c>
      <c r="X36" s="30">
        <f>'TUSD BE'!$X$36*'TUSD BF'!$X$58</f>
        <v>0</v>
      </c>
      <c r="Y36" s="30">
        <f>'TUSD BE'!$Y$36*'TUSD BF'!$Y$58</f>
        <v>0</v>
      </c>
      <c r="Z36" s="30">
        <f>'TUSD BE'!$Z$36*'TUSD BF'!$Z$58</f>
        <v>0</v>
      </c>
      <c r="AA36" s="30">
        <f>'TUSD BE'!$AA$36*'TUSD BF'!$AA$58</f>
        <v>0</v>
      </c>
      <c r="AB36" s="30">
        <f>SUM($U$36:$AA$36)</f>
        <v>0</v>
      </c>
      <c r="AC36" s="30">
        <f>'TUSD BE'!$AC$36*'TUSD BF'!$AC$58</f>
        <v>0</v>
      </c>
      <c r="AD36" s="30">
        <f>SUM($AC$36:$AC$36)</f>
        <v>0</v>
      </c>
      <c r="AE36" s="30">
        <f ca="1">$AO$36*$AO$55</f>
        <v>0</v>
      </c>
      <c r="AF36" s="30">
        <f ca="1">$AP$36*$AP$55</f>
        <v>0</v>
      </c>
      <c r="AG36" s="30">
        <f ca="1">SUM($AE$36:$AF$36)</f>
        <v>0</v>
      </c>
      <c r="AH36" s="30">
        <f>'TUSD BE'!$AH$36*'TUSD BF'!$AH$58</f>
        <v>-0.1405768635813163</v>
      </c>
      <c r="AI36" s="30">
        <f>'TUSD BE'!$AI$36*'TUSD BF'!$AI$58</f>
        <v>0</v>
      </c>
      <c r="AJ36" s="30">
        <f ca="1">'TUSD BE'!$AJ$36*'TUSD BF'!$AJ$58</f>
        <v>-0.18617712577017922</v>
      </c>
      <c r="AK36" s="30">
        <f ca="1">'TUSD BE'!$AK$36*'TUSD BF'!$AK$58</f>
        <v>0</v>
      </c>
      <c r="AL36" s="30">
        <f ca="1">SUM($AH$36:$AK$36)</f>
        <v>-0.32675398935149552</v>
      </c>
      <c r="AM36" s="30">
        <f ca="1">SUMIF($L$4:$AL$4,"SUBTOTAL",$L$36:$AL$36)</f>
        <v>11.264308828993402</v>
      </c>
      <c r="AO36" s="42">
        <f ca="1">+'TUSD BE'!$T$36+'TUSD BE'!$AB$36+'TUSD BE'!$AD$36+'TUSD BE'!$AL$36</f>
        <v>305.98362078022444</v>
      </c>
      <c r="AP36" s="42">
        <f ca="1">+'TUSD BE'!$T$36+'TUSD BE'!$AB$36+'TUSD BE'!$AD$36+'TUSD BE'!$AL$36</f>
        <v>305.98362078022444</v>
      </c>
    </row>
    <row r="37" spans="1:42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>
        <f>'TUSD BE'!$L$37*'TUSD BF'!$L$58</f>
        <v>0</v>
      </c>
      <c r="M37" s="30">
        <f>'TUSD BE'!$M$37*'TUSD BF'!$M$58</f>
        <v>0</v>
      </c>
      <c r="N37" s="30">
        <f ca="1">'TUSD BE'!$N$37*'TUSD BF'!$N$58</f>
        <v>0</v>
      </c>
      <c r="O37" s="30">
        <f>'TUSD BE'!$O$37*'TUSD BF'!$O$58</f>
        <v>0</v>
      </c>
      <c r="P37" s="30">
        <f>'TUSD BE'!$P$37*'TUSD BF'!$P$58</f>
        <v>0</v>
      </c>
      <c r="Q37" s="30">
        <f>'TUSD BE'!$Q$37*'TUSD BF'!$Q$58</f>
        <v>11.591062818344897</v>
      </c>
      <c r="R37" s="30">
        <f>'TUSD BE'!$R$37*'TUSD BF'!$R$58</f>
        <v>0</v>
      </c>
      <c r="S37" s="30">
        <f>'TUSD BE'!$R$37*'TUSD BF'!$S$58</f>
        <v>0</v>
      </c>
      <c r="T37" s="30">
        <f ca="1">SUM($L$37:$S$37)</f>
        <v>11.591062818344897</v>
      </c>
      <c r="U37" s="30">
        <f>'TUSD BE'!$U$37*'TUSD BF'!$U$58</f>
        <v>0</v>
      </c>
      <c r="V37" s="30">
        <f>'TUSD BE'!$V$37*'TUSD BF'!$V$58</f>
        <v>0</v>
      </c>
      <c r="W37" s="30">
        <f>'TUSD BE'!$W$37*'TUSD BF'!$W$58</f>
        <v>0</v>
      </c>
      <c r="X37" s="30">
        <f>'TUSD BE'!$X$37*'TUSD BF'!$X$58</f>
        <v>0</v>
      </c>
      <c r="Y37" s="30">
        <f>'TUSD BE'!$Y$37*'TUSD BF'!$Y$58</f>
        <v>0</v>
      </c>
      <c r="Z37" s="30">
        <f>'TUSD BE'!$Z$37*'TUSD BF'!$Z$58</f>
        <v>0</v>
      </c>
      <c r="AA37" s="30">
        <f>'TUSD BE'!$AA$37*'TUSD BF'!$AA$58</f>
        <v>0</v>
      </c>
      <c r="AB37" s="30">
        <f>SUM($U$37:$AA$37)</f>
        <v>0</v>
      </c>
      <c r="AC37" s="30">
        <f>'TUSD BE'!$AC$37*'TUSD BF'!$AC$58</f>
        <v>0</v>
      </c>
      <c r="AD37" s="30">
        <f>SUM($AC$37:$AC$37)</f>
        <v>0</v>
      </c>
      <c r="AE37" s="30">
        <f ca="1">$AO$37*$AO$55</f>
        <v>0</v>
      </c>
      <c r="AF37" s="30">
        <f ca="1">$AP$37*$AP$55</f>
        <v>0</v>
      </c>
      <c r="AG37" s="30">
        <f ca="1">SUM($AE$37:$AF$37)</f>
        <v>0</v>
      </c>
      <c r="AH37" s="30">
        <f>'TUSD BE'!$AH$37*'TUSD BF'!$AH$58</f>
        <v>-0.1405768635813163</v>
      </c>
      <c r="AI37" s="30">
        <f>'TUSD BE'!$AI$37*'TUSD BF'!$AI$58</f>
        <v>0</v>
      </c>
      <c r="AJ37" s="30">
        <f ca="1">'TUSD BE'!$AJ$37*'TUSD BF'!$AJ$58</f>
        <v>-0.18617712577017922</v>
      </c>
      <c r="AK37" s="30">
        <f ca="1">'TUSD BE'!$AK$37*'TUSD BF'!$AK$58</f>
        <v>0</v>
      </c>
      <c r="AL37" s="30">
        <f ca="1">SUM($AH$37:$AK$37)</f>
        <v>-0.32675398935149552</v>
      </c>
      <c r="AM37" s="30">
        <f ca="1">SUMIF($L$4:$AL$4,"SUBTOTAL",$L$37:$AL$37)</f>
        <v>11.264308828993402</v>
      </c>
      <c r="AO37" s="42">
        <f ca="1">+'TUSD BE'!$T$37+'TUSD BE'!$AB$37+'TUSD BE'!$AD$37+'TUSD BE'!$AL$37</f>
        <v>394.81616032798513</v>
      </c>
      <c r="AP37" s="42">
        <f ca="1">+'TUSD BE'!$T$37+'TUSD BE'!$AB$37+'TUSD BE'!$AD$37+'TUSD BE'!$AL$37</f>
        <v>394.81616032798513</v>
      </c>
    </row>
    <row r="38" spans="1:42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>
        <f>'TUSD BE'!$L$38*'TUSD BF'!$L$58</f>
        <v>0</v>
      </c>
      <c r="M38" s="30">
        <f>'TUSD BE'!$M$38*'TUSD BF'!$M$58</f>
        <v>0</v>
      </c>
      <c r="N38" s="30">
        <f ca="1">'TUSD BE'!$N$38*'TUSD BF'!$N$58</f>
        <v>0</v>
      </c>
      <c r="O38" s="30">
        <f>'TUSD BE'!$O$38*'TUSD BF'!$O$58</f>
        <v>0</v>
      </c>
      <c r="P38" s="30">
        <f>'TUSD BE'!$P$38*'TUSD BF'!$P$58</f>
        <v>0</v>
      </c>
      <c r="Q38" s="30">
        <f>'TUSD BE'!$Q$38*'TUSD BF'!$Q$58</f>
        <v>11.591062818344897</v>
      </c>
      <c r="R38" s="30">
        <f>'TUSD BE'!$R$38*'TUSD BF'!$R$58</f>
        <v>0</v>
      </c>
      <c r="S38" s="30">
        <f>'TUSD BE'!$R$38*'TUSD BF'!$S$58</f>
        <v>0</v>
      </c>
      <c r="T38" s="30">
        <f ca="1">SUM($L$38:$S$38)</f>
        <v>11.591062818344897</v>
      </c>
      <c r="U38" s="30">
        <f>'TUSD BE'!$U$38*'TUSD BF'!$U$58</f>
        <v>0</v>
      </c>
      <c r="V38" s="30">
        <f>'TUSD BE'!$V$38*'TUSD BF'!$V$58</f>
        <v>0</v>
      </c>
      <c r="W38" s="30">
        <f>'TUSD BE'!$W$38*'TUSD BF'!$W$58</f>
        <v>0</v>
      </c>
      <c r="X38" s="30">
        <f>'TUSD BE'!$X$38*'TUSD BF'!$X$58</f>
        <v>0</v>
      </c>
      <c r="Y38" s="30">
        <f>'TUSD BE'!$Y$38*'TUSD BF'!$Y$58</f>
        <v>0</v>
      </c>
      <c r="Z38" s="30">
        <f>'TUSD BE'!$Z$38*'TUSD BF'!$Z$58</f>
        <v>0</v>
      </c>
      <c r="AA38" s="30">
        <f>'TUSD BE'!$AA$38*'TUSD BF'!$AA$58</f>
        <v>0</v>
      </c>
      <c r="AB38" s="30">
        <f>SUM($U$38:$AA$38)</f>
        <v>0</v>
      </c>
      <c r="AC38" s="30">
        <f>'TUSD BE'!$AC$38*'TUSD BF'!$AC$58</f>
        <v>0</v>
      </c>
      <c r="AD38" s="30">
        <f>SUM($AC$38:$AC$38)</f>
        <v>0</v>
      </c>
      <c r="AE38" s="30">
        <f ca="1">$AO$38*$AO$55</f>
        <v>0</v>
      </c>
      <c r="AF38" s="30">
        <f ca="1">$AP$38*$AP$55</f>
        <v>0</v>
      </c>
      <c r="AG38" s="30">
        <f ca="1">SUM($AE$38:$AF$38)</f>
        <v>0</v>
      </c>
      <c r="AH38" s="30">
        <f>'TUSD BE'!$AH$38*'TUSD BF'!$AH$58</f>
        <v>-0.1405768635813163</v>
      </c>
      <c r="AI38" s="30">
        <f>'TUSD BE'!$AI$38*'TUSD BF'!$AI$58</f>
        <v>0</v>
      </c>
      <c r="AJ38" s="30">
        <f ca="1">'TUSD BE'!$AJ$38*'TUSD BF'!$AJ$58</f>
        <v>-0.18617712577017922</v>
      </c>
      <c r="AK38" s="30">
        <f ca="1">'TUSD BE'!$AK$38*'TUSD BF'!$AK$58</f>
        <v>0</v>
      </c>
      <c r="AL38" s="30">
        <f ca="1">SUM($AH$38:$AK$38)</f>
        <v>-0.32675398935149552</v>
      </c>
      <c r="AM38" s="30">
        <f ca="1">SUMIF($L$4:$AL$4,"SUBTOTAL",$L$38:$AL$38)</f>
        <v>11.264308828993402</v>
      </c>
      <c r="AO38" s="42">
        <f ca="1">+'TUSD BE'!$T$38+'TUSD BE'!$AB$38+'TUSD BE'!$AD$38+'TUSD BE'!$AL$38</f>
        <v>937.6727564205047</v>
      </c>
      <c r="AP38" s="42">
        <f ca="1">+'TUSD BE'!$T$38+'TUSD BE'!$AB$38+'TUSD BE'!$AD$38+'TUSD BE'!$AL$38</f>
        <v>937.6727564205047</v>
      </c>
    </row>
    <row r="39" spans="1:42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>
        <f>'TUSD BE'!$L$39*'TUSD BF'!$L$58</f>
        <v>0</v>
      </c>
      <c r="M39" s="30">
        <f>'TUSD BE'!$M$39*'TUSD BF'!$M$58</f>
        <v>0</v>
      </c>
      <c r="N39" s="30">
        <f ca="1">'TUSD BE'!$N$39*'TUSD BF'!$N$58</f>
        <v>0</v>
      </c>
      <c r="O39" s="30">
        <f>'TUSD BE'!$O$39*'TUSD BF'!$O$58</f>
        <v>0</v>
      </c>
      <c r="P39" s="30">
        <f>'TUSD BE'!$P$39*'TUSD BF'!$P$58</f>
        <v>0</v>
      </c>
      <c r="Q39" s="30">
        <f>'TUSD BE'!$Q$39*'TUSD BF'!$Q$58</f>
        <v>11.591062818344897</v>
      </c>
      <c r="R39" s="30">
        <f>'TUSD BE'!$R$39*'TUSD BF'!$R$58</f>
        <v>0</v>
      </c>
      <c r="S39" s="30">
        <f>'TUSD BE'!$R$39*'TUSD BF'!$S$58</f>
        <v>0</v>
      </c>
      <c r="T39" s="30">
        <f ca="1">SUM($L$39:$S$39)</f>
        <v>11.591062818344897</v>
      </c>
      <c r="U39" s="30">
        <f>'TUSD BE'!$U$39*'TUSD BF'!$U$58</f>
        <v>0</v>
      </c>
      <c r="V39" s="30">
        <f>'TUSD BE'!$V$39*'TUSD BF'!$V$58</f>
        <v>0</v>
      </c>
      <c r="W39" s="30">
        <f>'TUSD BE'!$W$39*'TUSD BF'!$W$58</f>
        <v>0</v>
      </c>
      <c r="X39" s="30">
        <f>'TUSD BE'!$X$39*'TUSD BF'!$X$58</f>
        <v>0</v>
      </c>
      <c r="Y39" s="30">
        <f>'TUSD BE'!$Y$39*'TUSD BF'!$Y$58</f>
        <v>0</v>
      </c>
      <c r="Z39" s="30">
        <f>'TUSD BE'!$Z$39*'TUSD BF'!$Z$58</f>
        <v>0</v>
      </c>
      <c r="AA39" s="30">
        <f>'TUSD BE'!$AA$39*'TUSD BF'!$AA$58</f>
        <v>0</v>
      </c>
      <c r="AB39" s="30">
        <f>SUM($U$39:$AA$39)</f>
        <v>0</v>
      </c>
      <c r="AC39" s="30">
        <f>'TUSD BE'!$AC$39*'TUSD BF'!$AC$58</f>
        <v>0</v>
      </c>
      <c r="AD39" s="30">
        <f>SUM($AC$39:$AC$39)</f>
        <v>0</v>
      </c>
      <c r="AE39" s="30">
        <f ca="1">$AO$39*$AO$55</f>
        <v>0</v>
      </c>
      <c r="AF39" s="30">
        <f ca="1">$AP$39*$AP$55</f>
        <v>0</v>
      </c>
      <c r="AG39" s="30">
        <f ca="1">SUM($AE$39:$AF$39)</f>
        <v>0</v>
      </c>
      <c r="AH39" s="30">
        <f>'TUSD BE'!$AH$39*'TUSD BF'!$AH$58</f>
        <v>-0.1405768635813163</v>
      </c>
      <c r="AI39" s="30">
        <f>'TUSD BE'!$AI$39*'TUSD BF'!$AI$58</f>
        <v>0</v>
      </c>
      <c r="AJ39" s="30">
        <f ca="1">'TUSD BE'!$AJ$39*'TUSD BF'!$AJ$58</f>
        <v>-0.18617712577017922</v>
      </c>
      <c r="AK39" s="30">
        <f ca="1">'TUSD BE'!$AK$39*'TUSD BF'!$AK$58</f>
        <v>0</v>
      </c>
      <c r="AL39" s="30">
        <f ca="1">SUM($AH$39:$AK$39)</f>
        <v>-0.32675398935149552</v>
      </c>
      <c r="AM39" s="30">
        <f ca="1">SUMIF($L$4:$AL$4,"SUBTOTAL",$L$39:$AL$39)</f>
        <v>11.264308828993402</v>
      </c>
      <c r="AO39" s="42">
        <f ca="1">+'TUSD BE'!$T$39+'TUSD BE'!$AB$39+'TUSD BE'!$AD$39+'TUSD BE'!$AL$39</f>
        <v>621.82818860036457</v>
      </c>
      <c r="AP39" s="42">
        <f ca="1">+'TUSD BE'!$T$39+'TUSD BE'!$AB$39+'TUSD BE'!$AD$39+'TUSD BE'!$AL$39</f>
        <v>621.82818860036457</v>
      </c>
    </row>
    <row r="40" spans="1:42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>
        <f>'TUSD BE'!$L$40*'TUSD BF'!$L$58</f>
        <v>0</v>
      </c>
      <c r="M40" s="30">
        <f>'TUSD BE'!$M$40*'TUSD BF'!$M$58</f>
        <v>0</v>
      </c>
      <c r="N40" s="30">
        <f ca="1">'TUSD BE'!$N$40*'TUSD BF'!$N$58</f>
        <v>0</v>
      </c>
      <c r="O40" s="30">
        <f>'TUSD BE'!$O$40*'TUSD BF'!$O$58</f>
        <v>0</v>
      </c>
      <c r="P40" s="30">
        <f>'TUSD BE'!$P$40*'TUSD BF'!$P$58</f>
        <v>0</v>
      </c>
      <c r="Q40" s="30">
        <f>'TUSD BE'!$Q$40*'TUSD BF'!$Q$58</f>
        <v>11.591062818344897</v>
      </c>
      <c r="R40" s="30">
        <f>'TUSD BE'!$R$40*'TUSD BF'!$R$58</f>
        <v>0</v>
      </c>
      <c r="S40" s="30">
        <f>'TUSD BE'!$R$40*'TUSD BF'!$S$58</f>
        <v>0</v>
      </c>
      <c r="T40" s="30">
        <f ca="1">SUM($L$40:$S$40)</f>
        <v>11.591062818344897</v>
      </c>
      <c r="U40" s="30">
        <f>'TUSD BE'!$U$40*'TUSD BF'!$U$58</f>
        <v>0</v>
      </c>
      <c r="V40" s="30">
        <f>'TUSD BE'!$V$40*'TUSD BF'!$V$58</f>
        <v>0</v>
      </c>
      <c r="W40" s="30">
        <f>'TUSD BE'!$W$40*'TUSD BF'!$W$58</f>
        <v>0</v>
      </c>
      <c r="X40" s="30">
        <f>'TUSD BE'!$X$40*'TUSD BF'!$X$58</f>
        <v>0</v>
      </c>
      <c r="Y40" s="30">
        <f>'TUSD BE'!$Y$40*'TUSD BF'!$Y$58</f>
        <v>0</v>
      </c>
      <c r="Z40" s="30">
        <f>'TUSD BE'!$Z$40*'TUSD BF'!$Z$58</f>
        <v>0</v>
      </c>
      <c r="AA40" s="30">
        <f>'TUSD BE'!$AA$40*'TUSD BF'!$AA$58</f>
        <v>0</v>
      </c>
      <c r="AB40" s="30">
        <f>SUM($U$40:$AA$40)</f>
        <v>0</v>
      </c>
      <c r="AC40" s="30">
        <f>'TUSD BE'!$AC$40*'TUSD BF'!$AC$58</f>
        <v>0</v>
      </c>
      <c r="AD40" s="30">
        <f>SUM($AC$40:$AC$40)</f>
        <v>0</v>
      </c>
      <c r="AE40" s="30">
        <f ca="1">$AO$40*$AO$55</f>
        <v>0</v>
      </c>
      <c r="AF40" s="30">
        <f ca="1">$AP$40*$AP$55</f>
        <v>0</v>
      </c>
      <c r="AG40" s="30">
        <f ca="1">SUM($AE$40:$AF$40)</f>
        <v>0</v>
      </c>
      <c r="AH40" s="30">
        <f>'TUSD BE'!$AH$40*'TUSD BF'!$AH$58</f>
        <v>-0.1405768635813163</v>
      </c>
      <c r="AI40" s="30">
        <f>'TUSD BE'!$AI$40*'TUSD BF'!$AI$58</f>
        <v>0</v>
      </c>
      <c r="AJ40" s="30">
        <f ca="1">'TUSD BE'!$AJ$40*'TUSD BF'!$AJ$58</f>
        <v>-0.18617712577017922</v>
      </c>
      <c r="AK40" s="30">
        <f ca="1">'TUSD BE'!$AK$40*'TUSD BF'!$AK$58</f>
        <v>0</v>
      </c>
      <c r="AL40" s="30">
        <f ca="1">SUM($AH$40:$AK$40)</f>
        <v>-0.32675398935149552</v>
      </c>
      <c r="AM40" s="30">
        <f ca="1">SUMIF($L$4:$AL$4,"SUBTOTAL",$L$40:$AL$40)</f>
        <v>11.264308828993402</v>
      </c>
      <c r="AO40" s="42">
        <f ca="1">+'TUSD BE'!$T$40+'TUSD BE'!$AB$40+'TUSD BE'!$AD$40+'TUSD BE'!$AL$40</f>
        <v>305.98362078022444</v>
      </c>
      <c r="AP40" s="42">
        <f ca="1">+'TUSD BE'!$T$40+'TUSD BE'!$AB$40+'TUSD BE'!$AD$40+'TUSD BE'!$AL$40</f>
        <v>305.98362078022444</v>
      </c>
    </row>
    <row r="41" spans="1:42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>
        <f>'TUSD BE'!$L$41*'TUSD BF'!$L$58</f>
        <v>0</v>
      </c>
      <c r="M41" s="30">
        <f>'TUSD BE'!$M$41*'TUSD BF'!$M$58</f>
        <v>0</v>
      </c>
      <c r="N41" s="30">
        <f ca="1">'TUSD BE'!$N$41*'TUSD BF'!$N$58</f>
        <v>0</v>
      </c>
      <c r="O41" s="30">
        <f>'TUSD BE'!$O$41*'TUSD BF'!$O$58</f>
        <v>0</v>
      </c>
      <c r="P41" s="30">
        <f>'TUSD BE'!$P$41*'TUSD BF'!$P$58</f>
        <v>0</v>
      </c>
      <c r="Q41" s="30">
        <f>'TUSD BE'!$Q$41*'TUSD BF'!$Q$58</f>
        <v>11.591062818344897</v>
      </c>
      <c r="R41" s="30">
        <f>'TUSD BE'!$R$41*'TUSD BF'!$R$58</f>
        <v>0</v>
      </c>
      <c r="S41" s="30">
        <f>'TUSD BE'!$R$41*'TUSD BF'!$S$58</f>
        <v>0</v>
      </c>
      <c r="T41" s="30">
        <f ca="1">SUM($L$41:$S$41)</f>
        <v>11.591062818344897</v>
      </c>
      <c r="U41" s="30">
        <f>'TUSD BE'!$U$41*'TUSD BF'!$U$58</f>
        <v>0</v>
      </c>
      <c r="V41" s="30">
        <f>'TUSD BE'!$V$41*'TUSD BF'!$V$58</f>
        <v>0</v>
      </c>
      <c r="W41" s="30">
        <f>'TUSD BE'!$W$41*'TUSD BF'!$W$58</f>
        <v>0</v>
      </c>
      <c r="X41" s="30">
        <f>'TUSD BE'!$X$41*'TUSD BF'!$X$58</f>
        <v>0</v>
      </c>
      <c r="Y41" s="30">
        <f>'TUSD BE'!$Y$41*'TUSD BF'!$Y$58</f>
        <v>0</v>
      </c>
      <c r="Z41" s="30">
        <f>'TUSD BE'!$Z$41*'TUSD BF'!$Z$58</f>
        <v>0</v>
      </c>
      <c r="AA41" s="30">
        <f>'TUSD BE'!$AA$41*'TUSD BF'!$AA$58</f>
        <v>0</v>
      </c>
      <c r="AB41" s="30">
        <f>SUM($U$41:$AA$41)</f>
        <v>0</v>
      </c>
      <c r="AC41" s="30">
        <f>'TUSD BE'!$AC$41*'TUSD BF'!$AC$58</f>
        <v>0</v>
      </c>
      <c r="AD41" s="30">
        <f>SUM($AC$41:$AC$41)</f>
        <v>0</v>
      </c>
      <c r="AE41" s="30">
        <f ca="1">$AO$41*$AO$55</f>
        <v>0</v>
      </c>
      <c r="AF41" s="30">
        <f ca="1">$AP$41*$AP$55</f>
        <v>0</v>
      </c>
      <c r="AG41" s="30">
        <f ca="1">SUM($AE$41:$AF$41)</f>
        <v>0</v>
      </c>
      <c r="AH41" s="30">
        <f>'TUSD BE'!$AH$41*'TUSD BF'!$AH$58</f>
        <v>-0.1405768635813163</v>
      </c>
      <c r="AI41" s="30">
        <f>'TUSD BE'!$AI$41*'TUSD BF'!$AI$58</f>
        <v>0</v>
      </c>
      <c r="AJ41" s="30">
        <f ca="1">'TUSD BE'!$AJ$41*'TUSD BF'!$AJ$58</f>
        <v>-0.18617712577017922</v>
      </c>
      <c r="AK41" s="30">
        <f ca="1">'TUSD BE'!$AK$41*'TUSD BF'!$AK$58</f>
        <v>0</v>
      </c>
      <c r="AL41" s="30">
        <f ca="1">SUM($AH$41:$AK$41)</f>
        <v>-0.32675398935149552</v>
      </c>
      <c r="AM41" s="30">
        <f ca="1">SUMIF($L$4:$AL$4,"SUBTOTAL",$L$41:$AL$41)</f>
        <v>11.264308828993402</v>
      </c>
      <c r="AO41" s="42">
        <f ca="1">+'TUSD BE'!$T$41+'TUSD BE'!$AB$41+'TUSD BE'!$AD$41+'TUSD BE'!$AL$41</f>
        <v>394.81616032798513</v>
      </c>
      <c r="AP41" s="42">
        <f ca="1">+'TUSD BE'!$T$41+'TUSD BE'!$AB$41+'TUSD BE'!$AD$41+'TUSD BE'!$AL$41</f>
        <v>394.81616032798513</v>
      </c>
    </row>
    <row r="42" spans="1:42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>
        <f>'TUSD BE'!$L$42*'TUSD BF'!$L$58</f>
        <v>0</v>
      </c>
      <c r="M42" s="30">
        <f>'TUSD BE'!$M$42*'TUSD BF'!$M$58</f>
        <v>0</v>
      </c>
      <c r="N42" s="30">
        <f ca="1">'TUSD BE'!$N$42*'TUSD BF'!$N$58</f>
        <v>0</v>
      </c>
      <c r="O42" s="30">
        <f>'TUSD BE'!$O$42*'TUSD BF'!$O$58</f>
        <v>0</v>
      </c>
      <c r="P42" s="30">
        <f>'TUSD BE'!$P$42*'TUSD BF'!$P$58</f>
        <v>0</v>
      </c>
      <c r="Q42" s="30">
        <f>'TUSD BE'!$Q$42*'TUSD BF'!$Q$58</f>
        <v>11.591062818344897</v>
      </c>
      <c r="R42" s="30">
        <f>'TUSD BE'!$R$42*'TUSD BF'!$R$58</f>
        <v>0</v>
      </c>
      <c r="S42" s="30">
        <f>'TUSD BE'!$R$42*'TUSD BF'!$S$58</f>
        <v>0</v>
      </c>
      <c r="T42" s="30">
        <f ca="1">SUM($L$42:$S$42)</f>
        <v>11.591062818344897</v>
      </c>
      <c r="U42" s="30">
        <f>'TUSD BE'!$U$42*'TUSD BF'!$U$58</f>
        <v>0</v>
      </c>
      <c r="V42" s="30">
        <f>'TUSD BE'!$V$42*'TUSD BF'!$V$58</f>
        <v>0</v>
      </c>
      <c r="W42" s="30">
        <f>'TUSD BE'!$W$42*'TUSD BF'!$W$58</f>
        <v>0</v>
      </c>
      <c r="X42" s="30">
        <f>'TUSD BE'!$X$42*'TUSD BF'!$X$58</f>
        <v>0</v>
      </c>
      <c r="Y42" s="30">
        <f>'TUSD BE'!$Y$42*'TUSD BF'!$Y$58</f>
        <v>0</v>
      </c>
      <c r="Z42" s="30">
        <f>'TUSD BE'!$Z$42*'TUSD BF'!$Z$58</f>
        <v>0</v>
      </c>
      <c r="AA42" s="30">
        <f>'TUSD BE'!$AA$42*'TUSD BF'!$AA$58</f>
        <v>0</v>
      </c>
      <c r="AB42" s="30">
        <f>SUM($U$42:$AA$42)</f>
        <v>0</v>
      </c>
      <c r="AC42" s="30">
        <f>'TUSD BE'!$AC$42*'TUSD BF'!$AC$58</f>
        <v>0</v>
      </c>
      <c r="AD42" s="30">
        <f>SUM($AC$42:$AC$42)</f>
        <v>0</v>
      </c>
      <c r="AE42" s="30">
        <f ca="1">$AO$42*$AO$55</f>
        <v>0</v>
      </c>
      <c r="AF42" s="30">
        <f ca="1">$AP$42*$AP$55</f>
        <v>0</v>
      </c>
      <c r="AG42" s="30">
        <f ca="1">SUM($AE$42:$AF$42)</f>
        <v>0</v>
      </c>
      <c r="AH42" s="30">
        <f>'TUSD BE'!$AH$42*'TUSD BF'!$AH$58</f>
        <v>-0.1405768635813163</v>
      </c>
      <c r="AI42" s="30">
        <f>'TUSD BE'!$AI$42*'TUSD BF'!$AI$58</f>
        <v>0</v>
      </c>
      <c r="AJ42" s="30">
        <f ca="1">'TUSD BE'!$AJ$42*'TUSD BF'!$AJ$58</f>
        <v>-0.18617712577017922</v>
      </c>
      <c r="AK42" s="30">
        <f ca="1">'TUSD BE'!$AK$42*'TUSD BF'!$AK$58</f>
        <v>0</v>
      </c>
      <c r="AL42" s="30">
        <f ca="1">SUM($AH$42:$AK$42)</f>
        <v>-0.32675398935149552</v>
      </c>
      <c r="AM42" s="30">
        <f ca="1">SUMIF($L$4:$AL$4,"SUBTOTAL",$L$42:$AL$42)</f>
        <v>11.264308828993402</v>
      </c>
      <c r="AO42" s="42">
        <f ca="1">+'TUSD BE'!$T$42+'TUSD BE'!$AB$42+'TUSD BE'!$AD$42+'TUSD BE'!$AL$42</f>
        <v>394.81616032798513</v>
      </c>
      <c r="AP42" s="42">
        <f ca="1">+'TUSD BE'!$T$42+'TUSD BE'!$AB$42+'TUSD BE'!$AD$42+'TUSD BE'!$AL$42</f>
        <v>394.81616032798513</v>
      </c>
    </row>
    <row r="43" spans="1:42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>
        <f>'TUSD BE'!$L$43*'TUSD BF'!$L$58</f>
        <v>0</v>
      </c>
      <c r="M43" s="30">
        <f>'TUSD BE'!$M$43*'TUSD BF'!$M$58</f>
        <v>0</v>
      </c>
      <c r="N43" s="30">
        <f ca="1">'TUSD BE'!$N$43*'TUSD BF'!$N$58</f>
        <v>0</v>
      </c>
      <c r="O43" s="30">
        <f>'TUSD BE'!$O$43*'TUSD BF'!$O$58</f>
        <v>0</v>
      </c>
      <c r="P43" s="30">
        <f>'TUSD BE'!$P$43*'TUSD BF'!$P$58</f>
        <v>0</v>
      </c>
      <c r="Q43" s="30">
        <f>'TUSD BE'!$Q$43*'TUSD BF'!$Q$58</f>
        <v>11.591062818344897</v>
      </c>
      <c r="R43" s="30">
        <f>'TUSD BE'!$R$43*'TUSD BF'!$R$58</f>
        <v>0</v>
      </c>
      <c r="S43" s="30">
        <f>'TUSD BE'!$R$43*'TUSD BF'!$S$58</f>
        <v>0</v>
      </c>
      <c r="T43" s="30">
        <f ca="1">SUM($L$43:$S$43)</f>
        <v>11.591062818344897</v>
      </c>
      <c r="U43" s="30">
        <f>'TUSD BE'!$U$43*'TUSD BF'!$U$58</f>
        <v>0</v>
      </c>
      <c r="V43" s="30">
        <f>'TUSD BE'!$V$43*'TUSD BF'!$V$58</f>
        <v>0</v>
      </c>
      <c r="W43" s="30">
        <f>'TUSD BE'!$W$43*'TUSD BF'!$W$58</f>
        <v>0</v>
      </c>
      <c r="X43" s="30">
        <f>'TUSD BE'!$X$43*'TUSD BF'!$X$58</f>
        <v>0</v>
      </c>
      <c r="Y43" s="30">
        <f>'TUSD BE'!$Y$43*'TUSD BF'!$Y$58</f>
        <v>0</v>
      </c>
      <c r="Z43" s="30">
        <f>'TUSD BE'!$Z$43*'TUSD BF'!$Z$58</f>
        <v>0</v>
      </c>
      <c r="AA43" s="30">
        <f>'TUSD BE'!$AA$43*'TUSD BF'!$AA$58</f>
        <v>0</v>
      </c>
      <c r="AB43" s="30">
        <f>SUM($U$43:$AA$43)</f>
        <v>0</v>
      </c>
      <c r="AC43" s="30">
        <f>'TUSD BE'!$AC$43*'TUSD BF'!$AC$58</f>
        <v>0</v>
      </c>
      <c r="AD43" s="30">
        <f>SUM($AC$43:$AC$43)</f>
        <v>0</v>
      </c>
      <c r="AE43" s="30">
        <f ca="1">$AO$43*$AO$55</f>
        <v>0</v>
      </c>
      <c r="AF43" s="30">
        <f ca="1">$AP$43*$AP$55</f>
        <v>0</v>
      </c>
      <c r="AG43" s="30">
        <f ca="1">SUM($AE$43:$AF$43)</f>
        <v>0</v>
      </c>
      <c r="AH43" s="30">
        <f>'TUSD BE'!$AH$43*'TUSD BF'!$AH$58</f>
        <v>-0.1405768635813163</v>
      </c>
      <c r="AI43" s="30">
        <f>'TUSD BE'!$AI$43*'TUSD BF'!$AI$58</f>
        <v>0</v>
      </c>
      <c r="AJ43" s="30">
        <f ca="1">'TUSD BE'!$AJ$43*'TUSD BF'!$AJ$58</f>
        <v>-0.18617712577017922</v>
      </c>
      <c r="AK43" s="30">
        <f ca="1">'TUSD BE'!$AK$43*'TUSD BF'!$AK$58</f>
        <v>0</v>
      </c>
      <c r="AL43" s="30">
        <f ca="1">SUM($AH$43:$AK$43)</f>
        <v>-0.32675398935149552</v>
      </c>
      <c r="AM43" s="30">
        <f ca="1">SUMIF($L$4:$AL$4,"SUBTOTAL",$L$43:$AL$43)</f>
        <v>11.264308828993402</v>
      </c>
      <c r="AO43" s="42">
        <f ca="1">+'TUSD BE'!$T$43+'TUSD BE'!$AB$43+'TUSD BE'!$AD$43+'TUSD BE'!$AL$43</f>
        <v>394.81616032798513</v>
      </c>
      <c r="AP43" s="42">
        <f ca="1">+'TUSD BE'!$T$43+'TUSD BE'!$AB$43+'TUSD BE'!$AD$43+'TUSD BE'!$AL$43</f>
        <v>394.81616032798513</v>
      </c>
    </row>
    <row r="44" spans="1:42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>
        <f>'TUSD BE'!$L$44*'TUSD BF'!$L$58</f>
        <v>0</v>
      </c>
      <c r="M44" s="30">
        <f>'TUSD BE'!$M$44*'TUSD BF'!$M$58</f>
        <v>0</v>
      </c>
      <c r="N44" s="30">
        <f ca="1">'TUSD BE'!$N$44*'TUSD BF'!$N$58</f>
        <v>0</v>
      </c>
      <c r="O44" s="30">
        <f>'TUSD BE'!$O$44*'TUSD BF'!$O$58</f>
        <v>0</v>
      </c>
      <c r="P44" s="30">
        <f>'TUSD BE'!$P$44*'TUSD BF'!$P$58</f>
        <v>0</v>
      </c>
      <c r="Q44" s="30">
        <f>'TUSD BE'!$Q$44*'TUSD BF'!$Q$58</f>
        <v>11.591062818344897</v>
      </c>
      <c r="R44" s="30">
        <f>'TUSD BE'!$R$44*'TUSD BF'!$R$58</f>
        <v>0</v>
      </c>
      <c r="S44" s="30">
        <f>'TUSD BE'!$R$44*'TUSD BF'!$S$58</f>
        <v>0</v>
      </c>
      <c r="T44" s="30">
        <f ca="1">SUM($L$44:$S$44)</f>
        <v>11.591062818344897</v>
      </c>
      <c r="U44" s="30">
        <f>'TUSD BE'!$U$44*'TUSD BF'!$U$58</f>
        <v>0</v>
      </c>
      <c r="V44" s="30">
        <f>'TUSD BE'!$V$44*'TUSD BF'!$V$58</f>
        <v>0</v>
      </c>
      <c r="W44" s="30">
        <f>'TUSD BE'!$W$44*'TUSD BF'!$W$58</f>
        <v>0</v>
      </c>
      <c r="X44" s="30">
        <f>'TUSD BE'!$X$44*'TUSD BF'!$X$58</f>
        <v>0</v>
      </c>
      <c r="Y44" s="30">
        <f>'TUSD BE'!$Y$44*'TUSD BF'!$Y$58</f>
        <v>0</v>
      </c>
      <c r="Z44" s="30">
        <f>'TUSD BE'!$Z$44*'TUSD BF'!$Z$58</f>
        <v>0</v>
      </c>
      <c r="AA44" s="30">
        <f>'TUSD BE'!$AA$44*'TUSD BF'!$AA$58</f>
        <v>0</v>
      </c>
      <c r="AB44" s="30">
        <f>SUM($U$44:$AA$44)</f>
        <v>0</v>
      </c>
      <c r="AC44" s="30">
        <f>'TUSD BE'!$AC$44*'TUSD BF'!$AC$58</f>
        <v>0</v>
      </c>
      <c r="AD44" s="30">
        <f>SUM($AC$44:$AC$44)</f>
        <v>0</v>
      </c>
      <c r="AE44" s="30">
        <f ca="1">$AO$44*$AO$55</f>
        <v>0</v>
      </c>
      <c r="AF44" s="30">
        <f ca="1">$AP$44*$AP$55</f>
        <v>0</v>
      </c>
      <c r="AG44" s="30">
        <f ca="1">SUM($AE$44:$AF$44)</f>
        <v>0</v>
      </c>
      <c r="AH44" s="30">
        <f>'TUSD BE'!$AH$44*'TUSD BF'!$AH$58</f>
        <v>-0.1405768635813163</v>
      </c>
      <c r="AI44" s="30">
        <f>'TUSD BE'!$AI$44*'TUSD BF'!$AI$58</f>
        <v>0</v>
      </c>
      <c r="AJ44" s="30">
        <f ca="1">'TUSD BE'!$AJ$44*'TUSD BF'!$AJ$58</f>
        <v>-0.18617712577017922</v>
      </c>
      <c r="AK44" s="30">
        <f ca="1">'TUSD BE'!$AK$44*'TUSD BF'!$AK$58</f>
        <v>0</v>
      </c>
      <c r="AL44" s="30">
        <f ca="1">SUM($AH$44:$AK$44)</f>
        <v>-0.32675398935149552</v>
      </c>
      <c r="AM44" s="30">
        <f ca="1">SUMIF($L$4:$AL$4,"SUBTOTAL",$L$44:$AL$44)</f>
        <v>11.264308828993402</v>
      </c>
      <c r="AO44" s="42">
        <f ca="1">+'TUSD BE'!$T$44+'TUSD BE'!$AB$44+'TUSD BE'!$AD$44+'TUSD BE'!$AL$44</f>
        <v>394.81616032798513</v>
      </c>
      <c r="AP44" s="42">
        <f ca="1">+'TUSD BE'!$T$44+'TUSD BE'!$AB$44+'TUSD BE'!$AD$44+'TUSD BE'!$AL$44</f>
        <v>394.81616032798513</v>
      </c>
    </row>
    <row r="45" spans="1:42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>
        <f>'TUSD BE'!$L$45*'TUSD BF'!$L$58</f>
        <v>0</v>
      </c>
      <c r="M45" s="30">
        <f>'TUSD BE'!$M$45*'TUSD BF'!$M$58</f>
        <v>0</v>
      </c>
      <c r="N45" s="30">
        <f ca="1">'TUSD BE'!$N$45*'TUSD BF'!$N$58</f>
        <v>0</v>
      </c>
      <c r="O45" s="30">
        <f>'TUSD BE'!$O$45*'TUSD BF'!$O$58</f>
        <v>0</v>
      </c>
      <c r="P45" s="30">
        <f>'TUSD BE'!$P$45*'TUSD BF'!$P$58</f>
        <v>0</v>
      </c>
      <c r="Q45" s="30">
        <f>'TUSD BE'!$Q$45*'TUSD BF'!$Q$58</f>
        <v>11.591062818344897</v>
      </c>
      <c r="R45" s="30">
        <f>'TUSD BE'!$R$45*'TUSD BF'!$R$58</f>
        <v>0</v>
      </c>
      <c r="S45" s="30">
        <f>'TUSD BE'!$R$45*'TUSD BF'!$S$58</f>
        <v>0</v>
      </c>
      <c r="T45" s="30">
        <f ca="1">SUM($L$45:$S$45)</f>
        <v>11.591062818344897</v>
      </c>
      <c r="U45" s="30">
        <f>'TUSD BE'!$U$45*'TUSD BF'!$U$58</f>
        <v>0</v>
      </c>
      <c r="V45" s="30">
        <f>'TUSD BE'!$V$45*'TUSD BF'!$V$58</f>
        <v>0</v>
      </c>
      <c r="W45" s="30">
        <f>'TUSD BE'!$W$45*'TUSD BF'!$W$58</f>
        <v>0</v>
      </c>
      <c r="X45" s="30">
        <f>'TUSD BE'!$X$45*'TUSD BF'!$X$58</f>
        <v>0</v>
      </c>
      <c r="Y45" s="30">
        <f>'TUSD BE'!$Y$45*'TUSD BF'!$Y$58</f>
        <v>0</v>
      </c>
      <c r="Z45" s="30">
        <f>'TUSD BE'!$Z$45*'TUSD BF'!$Z$58</f>
        <v>0</v>
      </c>
      <c r="AA45" s="30">
        <f>'TUSD BE'!$AA$45*'TUSD BF'!$AA$58</f>
        <v>0</v>
      </c>
      <c r="AB45" s="30">
        <f>SUM($U$45:$AA$45)</f>
        <v>0</v>
      </c>
      <c r="AC45" s="30">
        <f>'TUSD BE'!$AC$45*'TUSD BF'!$AC$58</f>
        <v>0</v>
      </c>
      <c r="AD45" s="30">
        <f>SUM($AC$45:$AC$45)</f>
        <v>0</v>
      </c>
      <c r="AE45" s="30">
        <f ca="1">$AO$45*$AO$55</f>
        <v>0</v>
      </c>
      <c r="AF45" s="30">
        <f ca="1">$AP$45*$AP$55</f>
        <v>0</v>
      </c>
      <c r="AG45" s="30">
        <f ca="1">SUM($AE$45:$AF$45)</f>
        <v>0</v>
      </c>
      <c r="AH45" s="30">
        <f>'TUSD BE'!$AH$45*'TUSD BF'!$AH$58</f>
        <v>-0.1405768635813163</v>
      </c>
      <c r="AI45" s="30">
        <f>'TUSD BE'!$AI$45*'TUSD BF'!$AI$58</f>
        <v>0</v>
      </c>
      <c r="AJ45" s="30">
        <f ca="1">'TUSD BE'!$AJ$45*'TUSD BF'!$AJ$58</f>
        <v>-0.18617712577017922</v>
      </c>
      <c r="AK45" s="30">
        <f ca="1">'TUSD BE'!$AK$45*'TUSD BF'!$AK$58</f>
        <v>0</v>
      </c>
      <c r="AL45" s="30">
        <f ca="1">SUM($AH$45:$AK$45)</f>
        <v>-0.32675398935149552</v>
      </c>
      <c r="AM45" s="30">
        <f ca="1">SUMIF($L$4:$AL$4,"SUBTOTAL",$L$45:$AL$45)</f>
        <v>11.264308828993402</v>
      </c>
      <c r="AO45" s="42">
        <f ca="1">+'TUSD BE'!$T$45+'TUSD BE'!$AB$45+'TUSD BE'!$AD$45+'TUSD BE'!$AL$45</f>
        <v>1073.3868756839727</v>
      </c>
      <c r="AP45" s="42">
        <f ca="1">+'TUSD BE'!$T$45+'TUSD BE'!$AB$45+'TUSD BE'!$AD$45+'TUSD BE'!$AL$45</f>
        <v>1073.3868756839727</v>
      </c>
    </row>
    <row r="46" spans="1:42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>
        <f>'TUSD BE'!$L$46*'TUSD BF'!$L$58</f>
        <v>0</v>
      </c>
      <c r="M46" s="30">
        <f>'TUSD BE'!$M$46*'TUSD BF'!$M$58</f>
        <v>0</v>
      </c>
      <c r="N46" s="30">
        <f ca="1">'TUSD BE'!$N$46*'TUSD BF'!$N$58</f>
        <v>0</v>
      </c>
      <c r="O46" s="30">
        <f>'TUSD BE'!$O$46*'TUSD BF'!$O$58</f>
        <v>0</v>
      </c>
      <c r="P46" s="30">
        <f>'TUSD BE'!$P$46*'TUSD BF'!$P$58</f>
        <v>0</v>
      </c>
      <c r="Q46" s="30">
        <f>'TUSD BE'!$Q$46*'TUSD BF'!$Q$58</f>
        <v>11.591062818344897</v>
      </c>
      <c r="R46" s="30">
        <f>'TUSD BE'!$R$46*'TUSD BF'!$R$58</f>
        <v>0</v>
      </c>
      <c r="S46" s="30">
        <f>'TUSD BE'!$R$46*'TUSD BF'!$S$58</f>
        <v>0</v>
      </c>
      <c r="T46" s="30">
        <f ca="1">SUM($L$46:$S$46)</f>
        <v>11.591062818344897</v>
      </c>
      <c r="U46" s="30">
        <f>'TUSD BE'!$U$46*'TUSD BF'!$U$58</f>
        <v>0</v>
      </c>
      <c r="V46" s="30">
        <f>'TUSD BE'!$V$46*'TUSD BF'!$V$58</f>
        <v>0</v>
      </c>
      <c r="W46" s="30">
        <f>'TUSD BE'!$W$46*'TUSD BF'!$W$58</f>
        <v>0</v>
      </c>
      <c r="X46" s="30">
        <f>'TUSD BE'!$X$46*'TUSD BF'!$X$58</f>
        <v>0</v>
      </c>
      <c r="Y46" s="30">
        <f>'TUSD BE'!$Y$46*'TUSD BF'!$Y$58</f>
        <v>0</v>
      </c>
      <c r="Z46" s="30">
        <f>'TUSD BE'!$Z$46*'TUSD BF'!$Z$58</f>
        <v>0</v>
      </c>
      <c r="AA46" s="30">
        <f>'TUSD BE'!$AA$46*'TUSD BF'!$AA$58</f>
        <v>0</v>
      </c>
      <c r="AB46" s="30">
        <f>SUM($U$46:$AA$46)</f>
        <v>0</v>
      </c>
      <c r="AC46" s="30">
        <f>'TUSD BE'!$AC$46*'TUSD BF'!$AC$58</f>
        <v>0</v>
      </c>
      <c r="AD46" s="30">
        <f>SUM($AC$46:$AC$46)</f>
        <v>0</v>
      </c>
      <c r="AE46" s="30">
        <f ca="1">$AO$46*$AO$55</f>
        <v>0</v>
      </c>
      <c r="AF46" s="30">
        <f ca="1">$AP$46*$AP$55</f>
        <v>0</v>
      </c>
      <c r="AG46" s="30">
        <f ca="1">SUM($AE$46:$AF$46)</f>
        <v>0</v>
      </c>
      <c r="AH46" s="30">
        <f>'TUSD BE'!$AH$46*'TUSD BF'!$AH$58</f>
        <v>-0.1405768635813163</v>
      </c>
      <c r="AI46" s="30">
        <f>'TUSD BE'!$AI$46*'TUSD BF'!$AI$58</f>
        <v>0</v>
      </c>
      <c r="AJ46" s="30">
        <f ca="1">'TUSD BE'!$AJ$46*'TUSD BF'!$AJ$58</f>
        <v>-0.18617712577017922</v>
      </c>
      <c r="AK46" s="30">
        <f ca="1">'TUSD BE'!$AK$46*'TUSD BF'!$AK$58</f>
        <v>0</v>
      </c>
      <c r="AL46" s="30">
        <f ca="1">SUM($AH$46:$AK$46)</f>
        <v>-0.32675398935149552</v>
      </c>
      <c r="AM46" s="30">
        <f ca="1">SUMIF($L$4:$AL$4,"SUBTOTAL",$L$46:$AL$46)</f>
        <v>11.264308828993402</v>
      </c>
      <c r="AO46" s="42">
        <f ca="1">+'TUSD BE'!$T$46+'TUSD BE'!$AB$46+'TUSD BE'!$AD$46+'TUSD BE'!$AL$46</f>
        <v>703.26485784196745</v>
      </c>
      <c r="AP46" s="42">
        <f ca="1">+'TUSD BE'!$T$46+'TUSD BE'!$AB$46+'TUSD BE'!$AD$46+'TUSD BE'!$AL$46</f>
        <v>703.26485784196745</v>
      </c>
    </row>
    <row r="47" spans="1:42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>
        <f>'TUSD BE'!$L$47*'TUSD BF'!$L$58</f>
        <v>0</v>
      </c>
      <c r="M47" s="30">
        <f>'TUSD BE'!$M$47*'TUSD BF'!$M$58</f>
        <v>0</v>
      </c>
      <c r="N47" s="30">
        <f ca="1">'TUSD BE'!$N$47*'TUSD BF'!$N$58</f>
        <v>0</v>
      </c>
      <c r="O47" s="30">
        <f>'TUSD BE'!$O$47*'TUSD BF'!$O$58</f>
        <v>0</v>
      </c>
      <c r="P47" s="30">
        <f>'TUSD BE'!$P$47*'TUSD BF'!$P$58</f>
        <v>0</v>
      </c>
      <c r="Q47" s="30">
        <f>'TUSD BE'!$Q$47*'TUSD BF'!$Q$58</f>
        <v>11.591062818344897</v>
      </c>
      <c r="R47" s="30">
        <f>'TUSD BE'!$R$47*'TUSD BF'!$R$58</f>
        <v>0</v>
      </c>
      <c r="S47" s="30">
        <f>'TUSD BE'!$R$47*'TUSD BF'!$S$58</f>
        <v>0</v>
      </c>
      <c r="T47" s="30">
        <f ca="1">SUM($L$47:$S$47)</f>
        <v>11.591062818344897</v>
      </c>
      <c r="U47" s="30">
        <f>'TUSD BE'!$U$47*'TUSD BF'!$U$58</f>
        <v>0</v>
      </c>
      <c r="V47" s="30">
        <f>'TUSD BE'!$V$47*'TUSD BF'!$V$58</f>
        <v>0</v>
      </c>
      <c r="W47" s="30">
        <f>'TUSD BE'!$W$47*'TUSD BF'!$W$58</f>
        <v>0</v>
      </c>
      <c r="X47" s="30">
        <f>'TUSD BE'!$X$47*'TUSD BF'!$X$58</f>
        <v>0</v>
      </c>
      <c r="Y47" s="30">
        <f>'TUSD BE'!$Y$47*'TUSD BF'!$Y$58</f>
        <v>0</v>
      </c>
      <c r="Z47" s="30">
        <f>'TUSD BE'!$Z$47*'TUSD BF'!$Z$58</f>
        <v>0</v>
      </c>
      <c r="AA47" s="30">
        <f>'TUSD BE'!$AA$47*'TUSD BF'!$AA$58</f>
        <v>0</v>
      </c>
      <c r="AB47" s="30">
        <f>SUM($U$47:$AA$47)</f>
        <v>0</v>
      </c>
      <c r="AC47" s="30">
        <f>'TUSD BE'!$AC$47*'TUSD BF'!$AC$58</f>
        <v>0</v>
      </c>
      <c r="AD47" s="30">
        <f>SUM($AC$47:$AC$47)</f>
        <v>0</v>
      </c>
      <c r="AE47" s="30">
        <f ca="1">$AO$47*$AO$55</f>
        <v>0</v>
      </c>
      <c r="AF47" s="30">
        <f ca="1">$AP$47*$AP$55</f>
        <v>0</v>
      </c>
      <c r="AG47" s="30">
        <f ca="1">SUM($AE$47:$AF$47)</f>
        <v>0</v>
      </c>
      <c r="AH47" s="30">
        <f>'TUSD BE'!$AH$47*'TUSD BF'!$AH$58</f>
        <v>-0.1405768635813163</v>
      </c>
      <c r="AI47" s="30">
        <f>'TUSD BE'!$AI$47*'TUSD BF'!$AI$58</f>
        <v>0</v>
      </c>
      <c r="AJ47" s="30">
        <f ca="1">'TUSD BE'!$AJ$47*'TUSD BF'!$AJ$58</f>
        <v>-0.18617712577017922</v>
      </c>
      <c r="AK47" s="30">
        <f ca="1">'TUSD BE'!$AK$47*'TUSD BF'!$AK$58</f>
        <v>0</v>
      </c>
      <c r="AL47" s="30">
        <f ca="1">SUM($AH$47:$AK$47)</f>
        <v>-0.32675398935149552</v>
      </c>
      <c r="AM47" s="30">
        <f ca="1">SUMIF($L$4:$AL$4,"SUBTOTAL",$L$47:$AL$47)</f>
        <v>11.264308828993402</v>
      </c>
      <c r="AO47" s="42">
        <f ca="1">+'TUSD BE'!$T$47+'TUSD BE'!$AB$47+'TUSD BE'!$AD$47+'TUSD BE'!$AL$47</f>
        <v>333.12240531048064</v>
      </c>
      <c r="AP47" s="42">
        <f ca="1">+'TUSD BE'!$T$47+'TUSD BE'!$AB$47+'TUSD BE'!$AD$47+'TUSD BE'!$AL$47</f>
        <v>333.12240531048064</v>
      </c>
    </row>
    <row r="48" spans="1:42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>
        <f>'TUSD BE'!$L$48*'TUSD BF'!$L$58</f>
        <v>0</v>
      </c>
      <c r="M48" s="30">
        <f>'TUSD BE'!$M$48*'TUSD BF'!$M$58</f>
        <v>0</v>
      </c>
      <c r="N48" s="30">
        <f ca="1">'TUSD BE'!$N$48*'TUSD BF'!$N$58</f>
        <v>0</v>
      </c>
      <c r="O48" s="30">
        <f>'TUSD BE'!$O$48*'TUSD BF'!$O$58</f>
        <v>0</v>
      </c>
      <c r="P48" s="30">
        <f>'TUSD BE'!$P$48*'TUSD BF'!$P$58</f>
        <v>0</v>
      </c>
      <c r="Q48" s="30">
        <f>'TUSD BE'!$Q$48*'TUSD BF'!$Q$58</f>
        <v>11.591062818344897</v>
      </c>
      <c r="R48" s="30">
        <f>'TUSD BE'!$R$48*'TUSD BF'!$R$58</f>
        <v>0</v>
      </c>
      <c r="S48" s="30">
        <f>'TUSD BE'!$R$48*'TUSD BF'!$S$58</f>
        <v>0</v>
      </c>
      <c r="T48" s="30">
        <f ca="1">SUM($L$48:$S$48)</f>
        <v>11.591062818344897</v>
      </c>
      <c r="U48" s="30">
        <f>'TUSD BE'!$U$48*'TUSD BF'!$U$58</f>
        <v>0</v>
      </c>
      <c r="V48" s="30">
        <f>'TUSD BE'!$V$48*'TUSD BF'!$V$58</f>
        <v>0</v>
      </c>
      <c r="W48" s="30">
        <f>'TUSD BE'!$W$48*'TUSD BF'!$W$58</f>
        <v>0</v>
      </c>
      <c r="X48" s="30">
        <f>'TUSD BE'!$X$48*'TUSD BF'!$X$58</f>
        <v>0</v>
      </c>
      <c r="Y48" s="30">
        <f>'TUSD BE'!$Y$48*'TUSD BF'!$Y$58</f>
        <v>0</v>
      </c>
      <c r="Z48" s="30">
        <f>'TUSD BE'!$Z$48*'TUSD BF'!$Z$58</f>
        <v>0</v>
      </c>
      <c r="AA48" s="30">
        <f>'TUSD BE'!$AA$48*'TUSD BF'!$AA$58</f>
        <v>0</v>
      </c>
      <c r="AB48" s="30">
        <f>SUM($U$48:$AA$48)</f>
        <v>0</v>
      </c>
      <c r="AC48" s="30">
        <f>'TUSD BE'!$AC$48*'TUSD BF'!$AC$58</f>
        <v>0</v>
      </c>
      <c r="AD48" s="30">
        <f>SUM($AC$48:$AC$48)</f>
        <v>0</v>
      </c>
      <c r="AE48" s="30">
        <f ca="1">$AO$48*$AO$55</f>
        <v>0</v>
      </c>
      <c r="AF48" s="30">
        <f ca="1">$AP$48*$AP$55</f>
        <v>0</v>
      </c>
      <c r="AG48" s="30">
        <f ca="1">SUM($AE$48:$AF$48)</f>
        <v>0</v>
      </c>
      <c r="AH48" s="30">
        <f>'TUSD BE'!$AH$48*'TUSD BF'!$AH$58</f>
        <v>-0.1405768635813163</v>
      </c>
      <c r="AI48" s="30">
        <f>'TUSD BE'!$AI$48*'TUSD BF'!$AI$58</f>
        <v>0</v>
      </c>
      <c r="AJ48" s="30">
        <f ca="1">'TUSD BE'!$AJ$48*'TUSD BF'!$AJ$58</f>
        <v>-0.18617712577017922</v>
      </c>
      <c r="AK48" s="30">
        <f ca="1">'TUSD BE'!$AK$48*'TUSD BF'!$AK$58</f>
        <v>0</v>
      </c>
      <c r="AL48" s="30">
        <f ca="1">SUM($AH$48:$AK$48)</f>
        <v>-0.32675398935149552</v>
      </c>
      <c r="AM48" s="30">
        <f ca="1">SUMIF($L$4:$AL$4,"SUBTOTAL",$L$48:$AL$48)</f>
        <v>11.264308828993402</v>
      </c>
      <c r="AO48" s="42">
        <f ca="1">+'TUSD BE'!$T$48+'TUSD BE'!$AB$48+'TUSD BE'!$AD$48+'TUSD BE'!$AL$48</f>
        <v>394.81616032798513</v>
      </c>
      <c r="AP48" s="42">
        <f ca="1">+'TUSD BE'!$T$48+'TUSD BE'!$AB$48+'TUSD BE'!$AD$48+'TUSD BE'!$AL$48</f>
        <v>394.81616032798513</v>
      </c>
    </row>
    <row r="49" spans="1:42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>
        <f>'TUSD BE'!$L$49*'TUSD BF'!$L$58</f>
        <v>0</v>
      </c>
      <c r="M49" s="30">
        <f>'TUSD BE'!$M$49*'TUSD BF'!$M$58</f>
        <v>0</v>
      </c>
      <c r="N49" s="30">
        <f ca="1">'TUSD BE'!$N$49*'TUSD BF'!$N$58</f>
        <v>0</v>
      </c>
      <c r="O49" s="30">
        <f>'TUSD BE'!$O$49*'TUSD BF'!$O$58</f>
        <v>0</v>
      </c>
      <c r="P49" s="30">
        <f>'TUSD BE'!$P$49*'TUSD BF'!$P$58</f>
        <v>0</v>
      </c>
      <c r="Q49" s="30">
        <f>'TUSD BE'!$Q$49*'TUSD BF'!$Q$58</f>
        <v>11.591062818344897</v>
      </c>
      <c r="R49" s="30">
        <f>'TUSD BE'!$R$49*'TUSD BF'!$R$58</f>
        <v>0</v>
      </c>
      <c r="S49" s="30">
        <f>'TUSD BE'!$R$49*'TUSD BF'!$S$58</f>
        <v>0</v>
      </c>
      <c r="T49" s="30">
        <f ca="1">SUM($L$49:$S$49)</f>
        <v>11.591062818344897</v>
      </c>
      <c r="U49" s="30">
        <f>'TUSD BE'!$U$49*'TUSD BF'!$U$58</f>
        <v>0</v>
      </c>
      <c r="V49" s="30">
        <f>'TUSD BE'!$V$49*'TUSD BF'!$V$58</f>
        <v>0</v>
      </c>
      <c r="W49" s="30">
        <f>'TUSD BE'!$W$49*'TUSD BF'!$W$58</f>
        <v>0</v>
      </c>
      <c r="X49" s="30">
        <f>'TUSD BE'!$X$49*'TUSD BF'!$X$58</f>
        <v>0</v>
      </c>
      <c r="Y49" s="30">
        <f>'TUSD BE'!$Y$49*'TUSD BF'!$Y$58</f>
        <v>0</v>
      </c>
      <c r="Z49" s="30">
        <f>'TUSD BE'!$Z$49*'TUSD BF'!$Z$58</f>
        <v>0</v>
      </c>
      <c r="AA49" s="30">
        <f>'TUSD BE'!$AA$49*'TUSD BF'!$AA$58</f>
        <v>0</v>
      </c>
      <c r="AB49" s="30">
        <f>SUM($U$49:$AA$49)</f>
        <v>0</v>
      </c>
      <c r="AC49" s="30">
        <f>'TUSD BE'!$AC$49*'TUSD BF'!$AC$58</f>
        <v>0</v>
      </c>
      <c r="AD49" s="30">
        <f>SUM($AC$49:$AC$49)</f>
        <v>0</v>
      </c>
      <c r="AE49" s="30">
        <f ca="1">$AO$49*$AO$55</f>
        <v>0</v>
      </c>
      <c r="AF49" s="30">
        <f ca="1">$AP$49*$AP$55</f>
        <v>0</v>
      </c>
      <c r="AG49" s="30">
        <f ca="1">SUM($AE$49:$AF$49)</f>
        <v>0</v>
      </c>
      <c r="AH49" s="30">
        <f>'TUSD BE'!$AH$49*'TUSD BF'!$AH$58</f>
        <v>-0.1405768635813163</v>
      </c>
      <c r="AI49" s="30">
        <f>'TUSD BE'!$AI$49*'TUSD BF'!$AI$58</f>
        <v>0</v>
      </c>
      <c r="AJ49" s="30">
        <f ca="1">'TUSD BE'!$AJ$49*'TUSD BF'!$AJ$58</f>
        <v>-0.18617712577017922</v>
      </c>
      <c r="AK49" s="30">
        <f ca="1">'TUSD BE'!$AK$49*'TUSD BF'!$AK$58</f>
        <v>0</v>
      </c>
      <c r="AL49" s="30">
        <f ca="1">SUM($AH$49:$AK$49)</f>
        <v>-0.32675398935149552</v>
      </c>
      <c r="AM49" s="30">
        <f ca="1">SUMIF($L$4:$AL$4,"SUBTOTAL",$L$49:$AL$49)</f>
        <v>11.264308828993402</v>
      </c>
      <c r="AO49" s="42">
        <f ca="1">+'TUSD BE'!$T$49+'TUSD BE'!$AB$49+'TUSD BE'!$AD$49+'TUSD BE'!$AL$49</f>
        <v>394.81616032798513</v>
      </c>
      <c r="AP49" s="42">
        <f ca="1">+'TUSD BE'!$T$49+'TUSD BE'!$AB$49+'TUSD BE'!$AD$49+'TUSD BE'!$AL$49</f>
        <v>394.81616032798513</v>
      </c>
    </row>
    <row r="50" spans="1:42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>
        <f>'TUSD BE'!$L$50*'TUSD BF'!$L$58</f>
        <v>0</v>
      </c>
      <c r="M50" s="30">
        <f>'TUSD BE'!$M$50*'TUSD BF'!$M$58</f>
        <v>0</v>
      </c>
      <c r="N50" s="30">
        <f ca="1">'TUSD BE'!$N$50*'TUSD BF'!$N$58</f>
        <v>0</v>
      </c>
      <c r="O50" s="30">
        <f>'TUSD BE'!$O$50*'TUSD BF'!$O$58</f>
        <v>0</v>
      </c>
      <c r="P50" s="30">
        <f>'TUSD BE'!$P$50*'TUSD BF'!$P$58</f>
        <v>0</v>
      </c>
      <c r="Q50" s="30">
        <f>'TUSD BE'!$Q$50*'TUSD BF'!$Q$58</f>
        <v>6.375084550089694</v>
      </c>
      <c r="R50" s="30">
        <f>'TUSD BE'!$R$50*'TUSD BF'!$R$58</f>
        <v>0</v>
      </c>
      <c r="S50" s="30">
        <f>'TUSD BE'!$R$50*'TUSD BF'!$S$58</f>
        <v>0</v>
      </c>
      <c r="T50" s="30">
        <f ca="1">SUM($L$50:$S$50)</f>
        <v>6.375084550089694</v>
      </c>
      <c r="U50" s="30">
        <f>'TUSD BE'!$U$50*'TUSD BF'!$U$58</f>
        <v>0</v>
      </c>
      <c r="V50" s="30">
        <f>'TUSD BE'!$V$50*'TUSD BF'!$V$58</f>
        <v>0</v>
      </c>
      <c r="W50" s="30">
        <f>'TUSD BE'!$W$50*'TUSD BF'!$W$58</f>
        <v>0</v>
      </c>
      <c r="X50" s="30">
        <f>'TUSD BE'!$X$50*'TUSD BF'!$X$58</f>
        <v>0</v>
      </c>
      <c r="Y50" s="30">
        <f>'TUSD BE'!$Y$50*'TUSD BF'!$Y$58</f>
        <v>0</v>
      </c>
      <c r="Z50" s="30">
        <f>'TUSD BE'!$Z$50*'TUSD BF'!$Z$58</f>
        <v>0</v>
      </c>
      <c r="AA50" s="30">
        <f>'TUSD BE'!$AA$50*'TUSD BF'!$AA$58</f>
        <v>0</v>
      </c>
      <c r="AB50" s="30">
        <f>SUM($U$50:$AA$50)</f>
        <v>0</v>
      </c>
      <c r="AC50" s="30">
        <f>'TUSD BE'!$AC$50*'TUSD BF'!$AC$58</f>
        <v>0</v>
      </c>
      <c r="AD50" s="30">
        <f>SUM($AC$50:$AC$50)</f>
        <v>0</v>
      </c>
      <c r="AE50" s="30">
        <f ca="1">$AO$50*$AO$55</f>
        <v>0</v>
      </c>
      <c r="AF50" s="30">
        <f ca="1">$AP$50*$AP$55</f>
        <v>0</v>
      </c>
      <c r="AG50" s="30">
        <f ca="1">SUM($AE$50:$AF$50)</f>
        <v>0</v>
      </c>
      <c r="AH50" s="30">
        <f>'TUSD BE'!$AH$50*'TUSD BF'!$AH$58</f>
        <v>-7.7317274969723973E-2</v>
      </c>
      <c r="AI50" s="30">
        <f>'TUSD BE'!$AI$50*'TUSD BF'!$AI$58</f>
        <v>0</v>
      </c>
      <c r="AJ50" s="30">
        <f ca="1">'TUSD BE'!$AJ$50*'TUSD BF'!$AJ$58</f>
        <v>-0.10239741917359857</v>
      </c>
      <c r="AK50" s="30">
        <f ca="1">'TUSD BE'!$AK$50*'TUSD BF'!$AK$58</f>
        <v>0</v>
      </c>
      <c r="AL50" s="30">
        <f ca="1">SUM($AH$50:$AK$50)</f>
        <v>-0.17971469414332253</v>
      </c>
      <c r="AM50" s="30">
        <f ca="1">SUMIF($L$4:$AL$4,"SUBTOTAL",$L$50:$AL$50)</f>
        <v>6.195369855946371</v>
      </c>
      <c r="AO50" s="42">
        <f ca="1">+'TUSD BE'!$T$50+'TUSD BE'!$AB$50+'TUSD BE'!$AD$50+'TUSD BE'!$AL$50</f>
        <v>217.14888818039185</v>
      </c>
      <c r="AP50" s="42">
        <f ca="1">+'TUSD BE'!$T$50+'TUSD BE'!$AB$50+'TUSD BE'!$AD$50+'TUSD BE'!$AL$50</f>
        <v>217.14888818039185</v>
      </c>
    </row>
    <row r="51" spans="1:42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>
        <f>'TUSD BE'!$L$51*'TUSD BF'!$L$58</f>
        <v>0</v>
      </c>
      <c r="M51" s="30">
        <f>'TUSD BE'!$M$51*'TUSD BF'!$M$58</f>
        <v>0</v>
      </c>
      <c r="N51" s="30">
        <f ca="1">'TUSD BE'!$N$51*'TUSD BF'!$N$58</f>
        <v>0</v>
      </c>
      <c r="O51" s="30">
        <f>'TUSD BE'!$O$51*'TUSD BF'!$O$58</f>
        <v>0</v>
      </c>
      <c r="P51" s="30">
        <f>'TUSD BE'!$P$51*'TUSD BF'!$P$58</f>
        <v>0</v>
      </c>
      <c r="Q51" s="30">
        <f>'TUSD BE'!$Q$51*'TUSD BF'!$Q$58</f>
        <v>6.9546376910069378</v>
      </c>
      <c r="R51" s="30">
        <f>'TUSD BE'!$R$51*'TUSD BF'!$R$58</f>
        <v>0</v>
      </c>
      <c r="S51" s="30">
        <f>'TUSD BE'!$R$51*'TUSD BF'!$S$58</f>
        <v>0</v>
      </c>
      <c r="T51" s="30">
        <f ca="1">SUM($L$51:$S$51)</f>
        <v>6.9546376910069378</v>
      </c>
      <c r="U51" s="30">
        <f>'TUSD BE'!$U$51*'TUSD BF'!$U$58</f>
        <v>0</v>
      </c>
      <c r="V51" s="30">
        <f>'TUSD BE'!$V$51*'TUSD BF'!$V$58</f>
        <v>0</v>
      </c>
      <c r="W51" s="30">
        <f>'TUSD BE'!$W$51*'TUSD BF'!$W$58</f>
        <v>0</v>
      </c>
      <c r="X51" s="30">
        <f>'TUSD BE'!$X$51*'TUSD BF'!$X$58</f>
        <v>0</v>
      </c>
      <c r="Y51" s="30">
        <f>'TUSD BE'!$Y$51*'TUSD BF'!$Y$58</f>
        <v>0</v>
      </c>
      <c r="Z51" s="30">
        <f>'TUSD BE'!$Z$51*'TUSD BF'!$Z$58</f>
        <v>0</v>
      </c>
      <c r="AA51" s="30">
        <f>'TUSD BE'!$AA$51*'TUSD BF'!$AA$58</f>
        <v>0</v>
      </c>
      <c r="AB51" s="30">
        <f>SUM($U$51:$AA$51)</f>
        <v>0</v>
      </c>
      <c r="AC51" s="30">
        <f>'TUSD BE'!$AC$51*'TUSD BF'!$AC$58</f>
        <v>0</v>
      </c>
      <c r="AD51" s="30">
        <f>SUM($AC$51:$AC$51)</f>
        <v>0</v>
      </c>
      <c r="AE51" s="30">
        <f ca="1">$AO$51*$AO$55</f>
        <v>0</v>
      </c>
      <c r="AF51" s="30">
        <f ca="1">$AP$51*$AP$55</f>
        <v>0</v>
      </c>
      <c r="AG51" s="30">
        <f ca="1">SUM($AE$51:$AF$51)</f>
        <v>0</v>
      </c>
      <c r="AH51" s="30">
        <f>'TUSD BE'!$AH$51*'TUSD BF'!$AH$58</f>
        <v>-8.4346118148789784E-2</v>
      </c>
      <c r="AI51" s="30">
        <f>'TUSD BE'!$AI$51*'TUSD BF'!$AI$58</f>
        <v>0</v>
      </c>
      <c r="AJ51" s="30">
        <f ca="1">'TUSD BE'!$AJ$51*'TUSD BF'!$AJ$58</f>
        <v>-0.11170627546210751</v>
      </c>
      <c r="AK51" s="30">
        <f ca="1">'TUSD BE'!$AK$51*'TUSD BF'!$AK$58</f>
        <v>0</v>
      </c>
      <c r="AL51" s="30">
        <f ca="1">SUM($AH$51:$AK$51)</f>
        <v>-0.1960523936108973</v>
      </c>
      <c r="AM51" s="30">
        <f ca="1">SUMIF($L$4:$AL$4,"SUBTOTAL",$L$51:$AL$51)</f>
        <v>6.7585852973960403</v>
      </c>
      <c r="AO51" s="42">
        <f ca="1">+'TUSD BE'!$T$51+'TUSD BE'!$AB$51+'TUSD BE'!$AD$51+'TUSD BE'!$AL$51</f>
        <v>236.88969619679105</v>
      </c>
      <c r="AP51" s="42">
        <f ca="1">+'TUSD BE'!$T$51+'TUSD BE'!$AB$51+'TUSD BE'!$AD$51+'TUSD BE'!$AL$51</f>
        <v>236.88969619679105</v>
      </c>
    </row>
    <row r="53" spans="1:42" ht="11.25" customHeight="1" x14ac:dyDescent="0.25">
      <c r="K53" s="35" t="s">
        <v>670</v>
      </c>
      <c r="L53" s="30">
        <f>SUMPRODUCT($I$5:$I51,$L$5:$L51)</f>
        <v>0</v>
      </c>
      <c r="M53" s="30">
        <f>SUMPRODUCT($I$5:$I51,$M$5:$M51)</f>
        <v>0</v>
      </c>
      <c r="N53" s="30">
        <f ca="1">SUMPRODUCT($I$5:$I51,$N$5:$N51)</f>
        <v>0</v>
      </c>
      <c r="O53" s="30">
        <f>SUMPRODUCT($I$5:$I51,$O$5:$O51)</f>
        <v>0</v>
      </c>
      <c r="P53" s="30">
        <f>SUMPRODUCT($I$5:$I51,$P$5:$P51)</f>
        <v>0</v>
      </c>
      <c r="Q53" s="30">
        <f>SUMPRODUCT($I$5:$I51,$Q$5:$Q51)</f>
        <v>11722199.327785593</v>
      </c>
      <c r="R53" s="30">
        <f>SUMPRODUCT($I$5:$I51,$R$5:$R51)</f>
        <v>0</v>
      </c>
      <c r="S53" s="30">
        <f>SUMPRODUCT($I$5:$I51,$S$5:$S51)</f>
        <v>0</v>
      </c>
      <c r="T53" s="30">
        <f ca="1">SUMPRODUCT($I$5:$I51,$T$5:$T51)</f>
        <v>11722199.327785593</v>
      </c>
      <c r="U53" s="30">
        <f>SUMPRODUCT($I$5:$I51,$U$5:$U51)</f>
        <v>0</v>
      </c>
      <c r="V53" s="30">
        <f>SUMPRODUCT($I$5:$I51,$V$5:$V51)</f>
        <v>0</v>
      </c>
      <c r="W53" s="30">
        <f>SUMPRODUCT($I$5:$I51,$W$5:$W51)</f>
        <v>0</v>
      </c>
      <c r="X53" s="30">
        <f>SUMPRODUCT($I$5:$I51,$X$5:$X51)</f>
        <v>0</v>
      </c>
      <c r="Y53" s="30">
        <f>SUMPRODUCT($I$5:$I51,$Y$5:$Y51)</f>
        <v>0</v>
      </c>
      <c r="Z53" s="30">
        <f>SUMPRODUCT($I$5:$I51,$Z$5:$Z51)</f>
        <v>0</v>
      </c>
      <c r="AA53" s="30">
        <f>SUMPRODUCT($I$5:$I51,$AA$5:$AA51)</f>
        <v>0</v>
      </c>
      <c r="AB53" s="30">
        <f>SUMPRODUCT($I$5:$I51,$AB$5:$AB51)</f>
        <v>0</v>
      </c>
      <c r="AC53" s="30">
        <f>SUMPRODUCT($I$5:$I51,$AC$5:$AC51)</f>
        <v>0</v>
      </c>
      <c r="AD53" s="30">
        <f>SUMPRODUCT($I$5:$I51,$AD$5:$AD51)</f>
        <v>0</v>
      </c>
      <c r="AE53" s="30">
        <f ca="1">SUMPRODUCT($I$5:$I51,$AE$5:$AE51)</f>
        <v>0</v>
      </c>
      <c r="AF53" s="30">
        <f ca="1">SUMPRODUCT($I$5:$I51,$AF$5:$AF51)</f>
        <v>0</v>
      </c>
      <c r="AG53" s="30">
        <f ca="1">SUMPRODUCT($I$5:$I51,$AG$5:$AG51)</f>
        <v>0</v>
      </c>
      <c r="AH53" s="30">
        <f>SUMPRODUCT($I$5:$I51,$AH$5:$AH51)</f>
        <v>-141628.23497802328</v>
      </c>
      <c r="AI53" s="30">
        <f>SUMPRODUCT($I$5:$I51,$AI$5:$AI51)</f>
        <v>0</v>
      </c>
      <c r="AJ53" s="30">
        <f ca="1">SUMPRODUCT($I$5:$I51,$AJ$5:$AJ51)</f>
        <v>-202958.57837835775</v>
      </c>
      <c r="AK53" s="30">
        <f ca="1">SUMPRODUCT($I$5:$I51,$AK$5:$AK51)</f>
        <v>0</v>
      </c>
      <c r="AL53" s="30">
        <f ca="1">SUMPRODUCT($I$5:$I51,$AL$5:$AL51)</f>
        <v>-344586.81335638103</v>
      </c>
      <c r="AM53" s="30">
        <f ca="1">SUMPRODUCT($I$5:$I51,$AM$5:$AM51)</f>
        <v>11377612.51442921</v>
      </c>
      <c r="AO53" s="40">
        <f ca="1">SUMPRODUCT($I$5:$I51,$AO$5:$AO51)</f>
        <v>422945792.74994761</v>
      </c>
      <c r="AP53" s="40">
        <f ca="1">SUMPRODUCT($I$5:$I51,$AP$5:$AP51)</f>
        <v>422945792.74994761</v>
      </c>
    </row>
    <row r="54" spans="1:42" ht="11.25" customHeight="1" x14ac:dyDescent="0.25">
      <c r="K54" s="35" t="s">
        <v>602</v>
      </c>
      <c r="L54" s="30">
        <f>'TR TUSD'!$L$56</f>
        <v>22459678.417030092</v>
      </c>
      <c r="M54" s="30">
        <f>'TR TUSD'!$M$56</f>
        <v>1082207.9690302885</v>
      </c>
      <c r="N54" s="30">
        <f>'TR TUSD'!$N$56</f>
        <v>3600614.9623489506</v>
      </c>
      <c r="O54" s="30">
        <f>'TR TUSD'!$O$56</f>
        <v>0</v>
      </c>
      <c r="P54" s="30">
        <f>'TR TUSD'!$P$56</f>
        <v>0</v>
      </c>
      <c r="Q54" s="30">
        <f>'TR TUSD'!$Q$56</f>
        <v>35141224.13086278</v>
      </c>
      <c r="R54" s="30">
        <f>'TR TUSD'!$R$56</f>
        <v>0</v>
      </c>
      <c r="S54" s="30">
        <f>'TR TUSD'!$S$56</f>
        <v>0</v>
      </c>
      <c r="T54" s="30">
        <f>'TR TUSD'!$T$56</f>
        <v>62283725.479272112</v>
      </c>
      <c r="U54" s="30">
        <f>'TR TUSD'!$U$56</f>
        <v>0</v>
      </c>
      <c r="V54" s="30">
        <f>'TR TUSD'!$V$56</f>
        <v>0</v>
      </c>
      <c r="W54" s="30">
        <f>'TR TUSD'!$W$56</f>
        <v>2411724.7064356301</v>
      </c>
      <c r="X54" s="30">
        <f>'TR TUSD'!$X$56</f>
        <v>0</v>
      </c>
      <c r="Y54" s="30">
        <f>'TR TUSD'!$Y$56</f>
        <v>0</v>
      </c>
      <c r="Z54" s="30">
        <f>'TR TUSD'!$Z$56</f>
        <v>0</v>
      </c>
      <c r="AA54" s="30">
        <f>'TR TUSD'!$AA$56</f>
        <v>0</v>
      </c>
      <c r="AB54" s="30">
        <f>'TR TUSD'!$AB$56</f>
        <v>2411724.7064356301</v>
      </c>
      <c r="AC54" s="30">
        <f>'TR TUSD'!$AC$56</f>
        <v>264654952.64166877</v>
      </c>
      <c r="AD54" s="30">
        <f>'TR TUSD'!$AD$56</f>
        <v>264654952.64166877</v>
      </c>
      <c r="AE54" s="30">
        <f>'TR TUSD'!$AE$56</f>
        <v>0</v>
      </c>
      <c r="AF54" s="30">
        <f>'TR TUSD'!$AF$56</f>
        <v>0</v>
      </c>
      <c r="AG54" s="30">
        <f>'TR TUSD'!$AG$56</f>
        <v>0</v>
      </c>
      <c r="AH54" s="30">
        <f>'TR TUSD'!$AH$56</f>
        <v>36346542.14104908</v>
      </c>
      <c r="AI54" s="30">
        <f>'TR TUSD'!$AI$56</f>
        <v>0</v>
      </c>
      <c r="AJ54" s="30">
        <f>'TR TUSD'!$AJ$56</f>
        <v>52085959.576217741</v>
      </c>
      <c r="AK54" s="30">
        <f>'TR TUSD'!$AK$56</f>
        <v>5162888.2053043898</v>
      </c>
      <c r="AL54" s="30">
        <f>'TR TUSD'!$AL$56</f>
        <v>93595389.922571212</v>
      </c>
      <c r="AM54" s="30">
        <f>CUSTOS!$D$29</f>
        <v>422945792.74994767</v>
      </c>
      <c r="AO54" s="40">
        <f>$AE$56</f>
        <v>0</v>
      </c>
      <c r="AP54" s="40">
        <f>$AF$56</f>
        <v>0</v>
      </c>
    </row>
    <row r="55" spans="1:42" ht="11.25" customHeight="1" x14ac:dyDescent="0.25">
      <c r="K55" s="35" t="s">
        <v>603</v>
      </c>
      <c r="L55" s="30">
        <f>CUSTOS!$E$2</f>
        <v>-8179987.3096862873</v>
      </c>
      <c r="M55" s="30">
        <f>CUSTOS!$E$3</f>
        <v>-203151.11492290522</v>
      </c>
      <c r="N55" s="30">
        <f>CUSTOS!$E$4</f>
        <v>8.3422194394368088</v>
      </c>
      <c r="O55" s="30">
        <f>CUSTOS!$E$5</f>
        <v>0</v>
      </c>
      <c r="P55" s="30">
        <f>CUSTOS!$E$6</f>
        <v>0</v>
      </c>
      <c r="Q55" s="30">
        <f>CUSTOS!$E$7</f>
        <v>-1377720.5683361534</v>
      </c>
      <c r="R55" s="30">
        <f>CUSTOS!$E$8</f>
        <v>0</v>
      </c>
      <c r="S55" s="30">
        <f>CUSTOS!$E$9</f>
        <v>0</v>
      </c>
      <c r="T55" s="30">
        <f>CUSTOS!$E$10</f>
        <v>-9760850.6507259067</v>
      </c>
      <c r="U55" s="30">
        <f>CUSTOS!$E$11</f>
        <v>0</v>
      </c>
      <c r="V55" s="30">
        <f>CUSTOS!$E$12</f>
        <v>0</v>
      </c>
      <c r="W55" s="30">
        <f>CUSTOS!$E$13</f>
        <v>-498592.4753131317</v>
      </c>
      <c r="X55" s="30">
        <f>CUSTOS!$E$14</f>
        <v>0</v>
      </c>
      <c r="Y55" s="30">
        <f>CUSTOS!$E$15</f>
        <v>0</v>
      </c>
      <c r="Z55" s="30">
        <f>CUSTOS!$E$16</f>
        <v>0</v>
      </c>
      <c r="AA55" s="30">
        <f>CUSTOS!$E$17</f>
        <v>0</v>
      </c>
      <c r="AB55" s="30">
        <f>CUSTOS!$E$18</f>
        <v>-498592.4753131317</v>
      </c>
      <c r="AC55" s="30">
        <f>CUSTOS!$E$19</f>
        <v>5817275.3211929277</v>
      </c>
      <c r="AD55" s="30">
        <f>CUSTOS!$E$20</f>
        <v>5817275.3211929277</v>
      </c>
      <c r="AE55" s="30">
        <f>CUSTOS!$E$21</f>
        <v>0</v>
      </c>
      <c r="AF55" s="30">
        <f>CUSTOS!$E$22</f>
        <v>0</v>
      </c>
      <c r="AG55" s="30">
        <f>CUSTOS!$E$23</f>
        <v>0</v>
      </c>
      <c r="AH55" s="30">
        <f>CUSTOS!$E$24</f>
        <v>-996543.58327583992</v>
      </c>
      <c r="AI55" s="30">
        <f>CUSTOS!$E$25</f>
        <v>0</v>
      </c>
      <c r="AJ55" s="30">
        <f>CUSTOS!$E$26</f>
        <v>-1428084.371630583</v>
      </c>
      <c r="AK55" s="30">
        <f>CUSTOS!$E$27</f>
        <v>-54417.442338082838</v>
      </c>
      <c r="AL55" s="30">
        <f>CUSTOS!$E$28</f>
        <v>-2479045.3972445056</v>
      </c>
      <c r="AM55" s="30">
        <f>CUSTOS!$E$29</f>
        <v>-6921213.2020906173</v>
      </c>
      <c r="AO55" s="40">
        <f ca="1">IF(AO53&lt;&gt;0,AO54/AO53,0)</f>
        <v>0</v>
      </c>
      <c r="AP55" s="40">
        <f ca="1">IF(AP53&lt;&gt;0,AP54/AP53,0)</f>
        <v>0</v>
      </c>
    </row>
    <row r="56" spans="1:42" ht="11.25" customHeight="1" x14ac:dyDescent="0.25">
      <c r="K56" s="35" t="s">
        <v>604</v>
      </c>
      <c r="L56" s="30">
        <f>CUSTOS!$F$2</f>
        <v>0</v>
      </c>
      <c r="M56" s="30">
        <f>CUSTOS!$F$3</f>
        <v>0</v>
      </c>
      <c r="N56" s="30">
        <f>CUSTOS!$F$4</f>
        <v>0</v>
      </c>
      <c r="O56" s="30">
        <f>CUSTOS!$F$5</f>
        <v>0</v>
      </c>
      <c r="P56" s="30">
        <f>CUSTOS!$F$6</f>
        <v>0</v>
      </c>
      <c r="Q56" s="30">
        <f>CUSTOS!$F$7</f>
        <v>11722199.327785593</v>
      </c>
      <c r="R56" s="30">
        <f>CUSTOS!$F$8</f>
        <v>0</v>
      </c>
      <c r="S56" s="30">
        <f>CUSTOS!$F$9</f>
        <v>0</v>
      </c>
      <c r="T56" s="30">
        <f>CUSTOS!$F$10</f>
        <v>11722199.327785593</v>
      </c>
      <c r="U56" s="30">
        <f>CUSTOS!$F$11</f>
        <v>0</v>
      </c>
      <c r="V56" s="30">
        <f>CUSTOS!$F$12</f>
        <v>0</v>
      </c>
      <c r="W56" s="30">
        <f>CUSTOS!$F$13</f>
        <v>0</v>
      </c>
      <c r="X56" s="30">
        <f>CUSTOS!$F$14</f>
        <v>0</v>
      </c>
      <c r="Y56" s="30">
        <f>CUSTOS!$F$15</f>
        <v>0</v>
      </c>
      <c r="Z56" s="30">
        <f>CUSTOS!$F$16</f>
        <v>0</v>
      </c>
      <c r="AA56" s="30">
        <f>CUSTOS!$F$17</f>
        <v>0</v>
      </c>
      <c r="AB56" s="30">
        <f>CUSTOS!$F$18</f>
        <v>0</v>
      </c>
      <c r="AC56" s="30">
        <f>CUSTOS!$F$19</f>
        <v>0</v>
      </c>
      <c r="AD56" s="30">
        <f>CUSTOS!$F$20</f>
        <v>0</v>
      </c>
      <c r="AE56" s="30">
        <f>CUSTOS!$F$21</f>
        <v>0</v>
      </c>
      <c r="AF56" s="30">
        <f>CUSTOS!$F$22</f>
        <v>0</v>
      </c>
      <c r="AG56" s="30">
        <f>CUSTOS!$F$23</f>
        <v>0</v>
      </c>
      <c r="AH56" s="30">
        <f>CUSTOS!$F$24</f>
        <v>-141628.23497802331</v>
      </c>
      <c r="AI56" s="30">
        <f>CUSTOS!$F$25</f>
        <v>0</v>
      </c>
      <c r="AJ56" s="30">
        <f>CUSTOS!$F$26</f>
        <v>-202958.57837835769</v>
      </c>
      <c r="AK56" s="30">
        <f>CUSTOS!$F$27</f>
        <v>0</v>
      </c>
      <c r="AL56" s="30">
        <f>CUSTOS!$F$28</f>
        <v>-344586.81335638103</v>
      </c>
      <c r="AM56" s="30">
        <f>CUSTOS!$F$29</f>
        <v>11377612.514429212</v>
      </c>
    </row>
    <row r="57" spans="1:42" ht="11.25" customHeight="1" x14ac:dyDescent="0.25">
      <c r="K57" s="35" t="s">
        <v>667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/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/>
      <c r="AC57" s="30">
        <v>0</v>
      </c>
      <c r="AD57" s="30"/>
      <c r="AE57" s="30">
        <v>0</v>
      </c>
      <c r="AF57" s="30">
        <v>0</v>
      </c>
      <c r="AG57" s="30"/>
      <c r="AH57" s="30">
        <v>0</v>
      </c>
      <c r="AI57" s="30">
        <v>0</v>
      </c>
      <c r="AJ57" s="30">
        <v>0</v>
      </c>
      <c r="AK57" s="30">
        <v>0</v>
      </c>
      <c r="AL57" s="30"/>
      <c r="AM57" s="30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79" priority="55" operator="notEqual">
      <formula>$L$56</formula>
    </cfRule>
    <cfRule type="cellIs" dxfId="1078" priority="56" operator="equal">
      <formula>$L$56</formula>
    </cfRule>
  </conditionalFormatting>
  <conditionalFormatting sqref="M53">
    <cfRule type="cellIs" dxfId="1077" priority="53" operator="notEqual">
      <formula>$M$56</formula>
    </cfRule>
    <cfRule type="cellIs" dxfId="1076" priority="54" operator="equal">
      <formula>$M$56</formula>
    </cfRule>
  </conditionalFormatting>
  <conditionalFormatting sqref="N53">
    <cfRule type="cellIs" dxfId="1075" priority="51" operator="notEqual">
      <formula>$N$56</formula>
    </cfRule>
    <cfRule type="cellIs" dxfId="1074" priority="52" operator="equal">
      <formula>$N$56</formula>
    </cfRule>
  </conditionalFormatting>
  <conditionalFormatting sqref="O53">
    <cfRule type="cellIs" dxfId="1073" priority="49" operator="notEqual">
      <formula>$O$56</formula>
    </cfRule>
    <cfRule type="cellIs" dxfId="1072" priority="50" operator="equal">
      <formula>$O$56</formula>
    </cfRule>
  </conditionalFormatting>
  <conditionalFormatting sqref="P53">
    <cfRule type="cellIs" dxfId="1071" priority="47" operator="notEqual">
      <formula>$P$56</formula>
    </cfRule>
    <cfRule type="cellIs" dxfId="1070" priority="48" operator="equal">
      <formula>$P$56</formula>
    </cfRule>
  </conditionalFormatting>
  <conditionalFormatting sqref="Q53">
    <cfRule type="cellIs" dxfId="1069" priority="45" operator="notEqual">
      <formula>$Q$56</formula>
    </cfRule>
    <cfRule type="cellIs" dxfId="1068" priority="46" operator="equal">
      <formula>$Q$56</formula>
    </cfRule>
  </conditionalFormatting>
  <conditionalFormatting sqref="R53">
    <cfRule type="cellIs" dxfId="1067" priority="43" operator="notEqual">
      <formula>$R$56</formula>
    </cfRule>
    <cfRule type="cellIs" dxfId="1066" priority="44" operator="equal">
      <formula>$R$56</formula>
    </cfRule>
  </conditionalFormatting>
  <conditionalFormatting sqref="S53">
    <cfRule type="cellIs" dxfId="1065" priority="41" operator="notEqual">
      <formula>$S$56</formula>
    </cfRule>
    <cfRule type="cellIs" dxfId="1064" priority="42" operator="equal">
      <formula>$S$56</formula>
    </cfRule>
  </conditionalFormatting>
  <conditionalFormatting sqref="T53">
    <cfRule type="cellIs" dxfId="1063" priority="39" operator="notEqual">
      <formula>$T$56</formula>
    </cfRule>
    <cfRule type="cellIs" dxfId="1062" priority="40" operator="equal">
      <formula>$T$56</formula>
    </cfRule>
  </conditionalFormatting>
  <conditionalFormatting sqref="U53">
    <cfRule type="cellIs" dxfId="1061" priority="37" operator="notEqual">
      <formula>$U$56</formula>
    </cfRule>
    <cfRule type="cellIs" dxfId="1060" priority="38" operator="equal">
      <formula>$U$56</formula>
    </cfRule>
  </conditionalFormatting>
  <conditionalFormatting sqref="V53">
    <cfRule type="cellIs" dxfId="1059" priority="35" operator="notEqual">
      <formula>$V$56</formula>
    </cfRule>
    <cfRule type="cellIs" dxfId="1058" priority="36" operator="equal">
      <formula>$V$56</formula>
    </cfRule>
  </conditionalFormatting>
  <conditionalFormatting sqref="W53">
    <cfRule type="cellIs" dxfId="1057" priority="33" operator="notEqual">
      <formula>$W$56</formula>
    </cfRule>
    <cfRule type="cellIs" dxfId="1056" priority="34" operator="equal">
      <formula>$W$56</formula>
    </cfRule>
  </conditionalFormatting>
  <conditionalFormatting sqref="X53">
    <cfRule type="cellIs" dxfId="1055" priority="31" operator="notEqual">
      <formula>$X$56</formula>
    </cfRule>
    <cfRule type="cellIs" dxfId="1054" priority="32" operator="equal">
      <formula>$X$56</formula>
    </cfRule>
  </conditionalFormatting>
  <conditionalFormatting sqref="Y53">
    <cfRule type="cellIs" dxfId="1053" priority="29" operator="notEqual">
      <formula>$Y$56</formula>
    </cfRule>
    <cfRule type="cellIs" dxfId="1052" priority="30" operator="equal">
      <formula>$Y$56</formula>
    </cfRule>
  </conditionalFormatting>
  <conditionalFormatting sqref="Z53">
    <cfRule type="cellIs" dxfId="1051" priority="27" operator="notEqual">
      <formula>$Z$56</formula>
    </cfRule>
    <cfRule type="cellIs" dxfId="1050" priority="28" operator="equal">
      <formula>$Z$56</formula>
    </cfRule>
  </conditionalFormatting>
  <conditionalFormatting sqref="AA53">
    <cfRule type="cellIs" dxfId="1049" priority="25" operator="notEqual">
      <formula>$AA$56</formula>
    </cfRule>
    <cfRule type="cellIs" dxfId="1048" priority="26" operator="equal">
      <formula>$AA$56</formula>
    </cfRule>
  </conditionalFormatting>
  <conditionalFormatting sqref="AB53">
    <cfRule type="cellIs" dxfId="1047" priority="23" operator="notEqual">
      <formula>$AB$56</formula>
    </cfRule>
    <cfRule type="cellIs" dxfId="1046" priority="24" operator="equal">
      <formula>$AB$56</formula>
    </cfRule>
  </conditionalFormatting>
  <conditionalFormatting sqref="AC53">
    <cfRule type="cellIs" dxfId="1045" priority="21" operator="notEqual">
      <formula>$AC$56</formula>
    </cfRule>
    <cfRule type="cellIs" dxfId="1044" priority="22" operator="equal">
      <formula>$AC$56</formula>
    </cfRule>
  </conditionalFormatting>
  <conditionalFormatting sqref="AD53">
    <cfRule type="cellIs" dxfId="1043" priority="19" operator="notEqual">
      <formula>$AD$56</formula>
    </cfRule>
    <cfRule type="cellIs" dxfId="1042" priority="20" operator="equal">
      <formula>$AD$56</formula>
    </cfRule>
  </conditionalFormatting>
  <conditionalFormatting sqref="AE53">
    <cfRule type="cellIs" dxfId="1041" priority="17" operator="notEqual">
      <formula>$AE$56</formula>
    </cfRule>
    <cfRule type="cellIs" dxfId="1040" priority="18" operator="equal">
      <formula>$AE$56</formula>
    </cfRule>
  </conditionalFormatting>
  <conditionalFormatting sqref="AF53">
    <cfRule type="cellIs" dxfId="1039" priority="16" operator="equal">
      <formula>$AF$56</formula>
    </cfRule>
  </conditionalFormatting>
  <conditionalFormatting sqref="AF53">
    <cfRule type="cellIs" dxfId="1038" priority="15" operator="notEqual">
      <formula>$AF$56</formula>
    </cfRule>
  </conditionalFormatting>
  <conditionalFormatting sqref="AG53">
    <cfRule type="cellIs" dxfId="1037" priority="14" operator="equal">
      <formula>$AG$56</formula>
    </cfRule>
  </conditionalFormatting>
  <conditionalFormatting sqref="AG53">
    <cfRule type="cellIs" dxfId="1036" priority="13" operator="notEqual">
      <formula>$AG$56</formula>
    </cfRule>
  </conditionalFormatting>
  <conditionalFormatting sqref="AH53">
    <cfRule type="cellIs" dxfId="1035" priority="12" operator="equal">
      <formula>$AH$56</formula>
    </cfRule>
  </conditionalFormatting>
  <conditionalFormatting sqref="AH53">
    <cfRule type="cellIs" dxfId="1034" priority="11" operator="notEqual">
      <formula>$AH$56</formula>
    </cfRule>
  </conditionalFormatting>
  <conditionalFormatting sqref="AI53">
    <cfRule type="cellIs" dxfId="1033" priority="10" operator="equal">
      <formula>$AI$56</formula>
    </cfRule>
  </conditionalFormatting>
  <conditionalFormatting sqref="AI53">
    <cfRule type="cellIs" dxfId="1032" priority="9" operator="notEqual">
      <formula>$AI$56</formula>
    </cfRule>
  </conditionalFormatting>
  <conditionalFormatting sqref="AJ53">
    <cfRule type="cellIs" dxfId="1031" priority="8" operator="equal">
      <formula>$AJ$56</formula>
    </cfRule>
  </conditionalFormatting>
  <conditionalFormatting sqref="AJ53">
    <cfRule type="cellIs" dxfId="1030" priority="7" operator="notEqual">
      <formula>$AJ$56</formula>
    </cfRule>
  </conditionalFormatting>
  <conditionalFormatting sqref="AK53">
    <cfRule type="cellIs" dxfId="1029" priority="6" operator="equal">
      <formula>$AK$56</formula>
    </cfRule>
  </conditionalFormatting>
  <conditionalFormatting sqref="AK53">
    <cfRule type="cellIs" dxfId="1028" priority="5" operator="notEqual">
      <formula>$AK$56</formula>
    </cfRule>
  </conditionalFormatting>
  <conditionalFormatting sqref="AL53">
    <cfRule type="cellIs" dxfId="1027" priority="4" operator="equal">
      <formula>$AL$56</formula>
    </cfRule>
  </conditionalFormatting>
  <conditionalFormatting sqref="AL53">
    <cfRule type="cellIs" dxfId="1026" priority="3" operator="notEqual">
      <formula>$AL$56</formula>
    </cfRule>
  </conditionalFormatting>
  <conditionalFormatting sqref="AM53">
    <cfRule type="cellIs" dxfId="1025" priority="2" operator="equal">
      <formula>$AM$56</formula>
    </cfRule>
  </conditionalFormatting>
  <conditionalFormatting sqref="AM53">
    <cfRule type="cellIs" dxfId="1024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2511-7D0C-49BB-B9C6-68A31894698B}">
  <dimension ref="A1:AB50"/>
  <sheetViews>
    <sheetView showGridLines="0" topLeftCell="A30" workbookViewId="0">
      <selection activeCell="K44" sqref="K44:AB5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62</v>
      </c>
      <c r="B1" s="117" t="s">
        <v>63</v>
      </c>
      <c r="C1" s="117" t="s">
        <v>64</v>
      </c>
      <c r="D1" s="117" t="s">
        <v>65</v>
      </c>
      <c r="E1" s="117" t="s">
        <v>66</v>
      </c>
      <c r="F1" s="117" t="s">
        <v>15</v>
      </c>
      <c r="G1" s="117" t="s">
        <v>68</v>
      </c>
      <c r="H1" s="117" t="s">
        <v>69</v>
      </c>
      <c r="I1" s="117" t="s">
        <v>661</v>
      </c>
      <c r="J1" s="103"/>
      <c r="L1" s="115" t="s">
        <v>676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3"/>
      <c r="L2" s="115" t="s">
        <v>588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3"/>
      <c r="L3" s="115" t="s">
        <v>561</v>
      </c>
      <c r="M3" s="115"/>
      <c r="N3" s="115"/>
      <c r="O3" s="115"/>
      <c r="P3" s="115"/>
      <c r="Q3" s="115"/>
      <c r="R3" s="115" t="s">
        <v>592</v>
      </c>
      <c r="S3" s="115"/>
      <c r="T3" s="115" t="s">
        <v>570</v>
      </c>
      <c r="U3" s="115"/>
      <c r="V3" s="115"/>
      <c r="W3" s="115"/>
      <c r="X3" s="115" t="s">
        <v>580</v>
      </c>
      <c r="Y3" s="115"/>
      <c r="Z3" s="115" t="s">
        <v>583</v>
      </c>
      <c r="AA3" s="115"/>
      <c r="AB3" s="115" t="s">
        <v>569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3"/>
      <c r="L4" s="46" t="s">
        <v>563</v>
      </c>
      <c r="M4" s="46" t="s">
        <v>589</v>
      </c>
      <c r="N4" s="46" t="s">
        <v>590</v>
      </c>
      <c r="O4" s="46" t="s">
        <v>649</v>
      </c>
      <c r="P4" s="46" t="s">
        <v>591</v>
      </c>
      <c r="Q4" s="46" t="s">
        <v>569</v>
      </c>
      <c r="R4" s="46" t="s">
        <v>593</v>
      </c>
      <c r="S4" s="46" t="s">
        <v>569</v>
      </c>
      <c r="T4" s="46" t="s">
        <v>594</v>
      </c>
      <c r="U4" s="46" t="s">
        <v>595</v>
      </c>
      <c r="V4" s="46" t="s">
        <v>596</v>
      </c>
      <c r="W4" s="46" t="s">
        <v>569</v>
      </c>
      <c r="X4" s="46" t="s">
        <v>581</v>
      </c>
      <c r="Y4" s="46" t="s">
        <v>569</v>
      </c>
      <c r="Z4" s="46" t="s">
        <v>597</v>
      </c>
      <c r="AA4" s="46" t="s">
        <v>569</v>
      </c>
      <c r="AB4" s="116"/>
    </row>
    <row r="5" spans="1:28" ht="11.25" customHeight="1" x14ac:dyDescent="0.25">
      <c r="A5" s="118" t="s">
        <v>39</v>
      </c>
      <c r="B5" s="118" t="s">
        <v>71</v>
      </c>
      <c r="C5" s="118" t="s">
        <v>25</v>
      </c>
      <c r="D5" s="118" t="s">
        <v>25</v>
      </c>
      <c r="E5" s="118" t="s">
        <v>25</v>
      </c>
      <c r="F5" s="118" t="s">
        <v>25</v>
      </c>
      <c r="G5" s="45" t="s">
        <v>73</v>
      </c>
      <c r="H5" s="45" t="s">
        <v>72</v>
      </c>
      <c r="I5" s="45">
        <f>'MERCADO TE'!$U$2</f>
        <v>17056.542000000001</v>
      </c>
      <c r="J5" s="15"/>
      <c r="L5" s="42">
        <v>1</v>
      </c>
      <c r="M5" s="42">
        <v>1</v>
      </c>
      <c r="N5" s="42">
        <v>1</v>
      </c>
      <c r="O5" s="42">
        <v>1</v>
      </c>
      <c r="P5" s="42">
        <v>1</v>
      </c>
      <c r="Q5" s="42"/>
      <c r="R5" s="42">
        <v>1.72</v>
      </c>
      <c r="S5" s="42"/>
      <c r="T5" s="42">
        <v>1</v>
      </c>
      <c r="U5" s="42">
        <v>1</v>
      </c>
      <c r="V5" s="42">
        <v>1</v>
      </c>
      <c r="W5" s="42"/>
      <c r="X5" s="42"/>
      <c r="Y5" s="42"/>
      <c r="Z5" s="42">
        <v>1</v>
      </c>
      <c r="AA5" s="42"/>
      <c r="AB5" s="42"/>
    </row>
    <row r="6" spans="1:28" ht="11.25" customHeight="1" x14ac:dyDescent="0.25">
      <c r="A6" s="118"/>
      <c r="B6" s="118"/>
      <c r="C6" s="118"/>
      <c r="D6" s="118"/>
      <c r="E6" s="118"/>
      <c r="F6" s="118"/>
      <c r="G6" s="45" t="s">
        <v>74</v>
      </c>
      <c r="H6" s="45" t="s">
        <v>72</v>
      </c>
      <c r="I6" s="45">
        <f>'MERCADO TE'!$U$3</f>
        <v>229435.486</v>
      </c>
      <c r="J6" s="15"/>
      <c r="L6" s="42">
        <v>1</v>
      </c>
      <c r="M6" s="42">
        <v>1</v>
      </c>
      <c r="N6" s="42">
        <v>1</v>
      </c>
      <c r="O6" s="42">
        <v>1</v>
      </c>
      <c r="P6" s="42">
        <v>1</v>
      </c>
      <c r="Q6" s="42"/>
      <c r="R6" s="42">
        <v>1</v>
      </c>
      <c r="S6" s="42"/>
      <c r="T6" s="42">
        <v>1</v>
      </c>
      <c r="U6" s="42">
        <v>1</v>
      </c>
      <c r="V6" s="42">
        <v>1</v>
      </c>
      <c r="W6" s="42"/>
      <c r="X6" s="42"/>
      <c r="Y6" s="42"/>
      <c r="Z6" s="42">
        <v>1</v>
      </c>
      <c r="AA6" s="42"/>
      <c r="AB6" s="42"/>
    </row>
    <row r="7" spans="1:28" ht="11.25" customHeight="1" x14ac:dyDescent="0.25">
      <c r="A7" s="118"/>
      <c r="B7" s="44" t="s">
        <v>75</v>
      </c>
      <c r="C7" s="44" t="s">
        <v>25</v>
      </c>
      <c r="D7" s="44" t="s">
        <v>25</v>
      </c>
      <c r="E7" s="44" t="s">
        <v>25</v>
      </c>
      <c r="F7" s="44" t="s">
        <v>25</v>
      </c>
      <c r="G7" s="45" t="s">
        <v>76</v>
      </c>
      <c r="H7" s="45" t="s">
        <v>72</v>
      </c>
      <c r="I7" s="45">
        <f>'MERCADO TE'!$U$4</f>
        <v>0</v>
      </c>
      <c r="J7" s="15"/>
      <c r="L7" s="42">
        <v>1</v>
      </c>
      <c r="M7" s="42">
        <v>1</v>
      </c>
      <c r="N7" s="42">
        <v>1</v>
      </c>
      <c r="O7" s="42">
        <v>1</v>
      </c>
      <c r="P7" s="42">
        <v>1</v>
      </c>
      <c r="Q7" s="42"/>
      <c r="R7" s="42">
        <v>1.06</v>
      </c>
      <c r="S7" s="42"/>
      <c r="T7" s="42">
        <v>1</v>
      </c>
      <c r="U7" s="42">
        <v>1</v>
      </c>
      <c r="V7" s="42">
        <v>1</v>
      </c>
      <c r="W7" s="42"/>
      <c r="X7" s="42"/>
      <c r="Y7" s="42"/>
      <c r="Z7" s="42">
        <v>1</v>
      </c>
      <c r="AA7" s="42"/>
      <c r="AB7" s="42"/>
    </row>
    <row r="8" spans="1:28" ht="11.25" customHeight="1" x14ac:dyDescent="0.25">
      <c r="A8" s="118" t="s">
        <v>22</v>
      </c>
      <c r="B8" s="118" t="s">
        <v>71</v>
      </c>
      <c r="C8" s="118" t="s">
        <v>24</v>
      </c>
      <c r="D8" s="118" t="s">
        <v>24</v>
      </c>
      <c r="E8" s="118" t="s">
        <v>25</v>
      </c>
      <c r="F8" s="118" t="s">
        <v>25</v>
      </c>
      <c r="G8" s="45" t="s">
        <v>73</v>
      </c>
      <c r="H8" s="45" t="s">
        <v>72</v>
      </c>
      <c r="I8" s="45">
        <f>'MERCADO TE'!$U$5</f>
        <v>67.227000000000004</v>
      </c>
      <c r="J8" s="15"/>
      <c r="L8" s="42">
        <v>1</v>
      </c>
      <c r="M8" s="42">
        <v>1</v>
      </c>
      <c r="N8" s="42">
        <v>1</v>
      </c>
      <c r="O8" s="42">
        <v>1</v>
      </c>
      <c r="P8" s="42">
        <v>1</v>
      </c>
      <c r="Q8" s="42"/>
      <c r="R8" s="42">
        <v>1.72</v>
      </c>
      <c r="S8" s="42"/>
      <c r="T8" s="42">
        <v>1</v>
      </c>
      <c r="U8" s="42">
        <v>1</v>
      </c>
      <c r="V8" s="42">
        <v>1</v>
      </c>
      <c r="W8" s="42"/>
      <c r="X8" s="42"/>
      <c r="Y8" s="42"/>
      <c r="Z8" s="42">
        <v>1</v>
      </c>
      <c r="AA8" s="42"/>
      <c r="AB8" s="42"/>
    </row>
    <row r="9" spans="1:28" ht="11.25" customHeight="1" x14ac:dyDescent="0.25">
      <c r="A9" s="118"/>
      <c r="B9" s="118"/>
      <c r="C9" s="118"/>
      <c r="D9" s="118"/>
      <c r="E9" s="118"/>
      <c r="F9" s="118"/>
      <c r="G9" s="45" t="s">
        <v>85</v>
      </c>
      <c r="H9" s="45" t="s">
        <v>72</v>
      </c>
      <c r="I9" s="45">
        <f>'MERCADO TE'!$U$6</f>
        <v>42.061</v>
      </c>
      <c r="J9" s="15"/>
      <c r="L9" s="42">
        <v>1</v>
      </c>
      <c r="M9" s="42">
        <v>1</v>
      </c>
      <c r="N9" s="42">
        <v>1</v>
      </c>
      <c r="O9" s="42">
        <v>1</v>
      </c>
      <c r="P9" s="42">
        <v>1</v>
      </c>
      <c r="Q9" s="42"/>
      <c r="R9" s="42">
        <v>1</v>
      </c>
      <c r="S9" s="42"/>
      <c r="T9" s="42">
        <v>1</v>
      </c>
      <c r="U9" s="42">
        <v>1</v>
      </c>
      <c r="V9" s="42">
        <v>1</v>
      </c>
      <c r="W9" s="42"/>
      <c r="X9" s="42"/>
      <c r="Y9" s="42"/>
      <c r="Z9" s="42">
        <v>1</v>
      </c>
      <c r="AA9" s="42"/>
      <c r="AB9" s="42"/>
    </row>
    <row r="10" spans="1:28" ht="11.25" customHeight="1" x14ac:dyDescent="0.25">
      <c r="A10" s="118"/>
      <c r="B10" s="118"/>
      <c r="C10" s="118"/>
      <c r="D10" s="118"/>
      <c r="E10" s="118"/>
      <c r="F10" s="118"/>
      <c r="G10" s="45" t="s">
        <v>74</v>
      </c>
      <c r="H10" s="45" t="s">
        <v>72</v>
      </c>
      <c r="I10" s="45">
        <f>'MERCADO TE'!$U$7</f>
        <v>583.55899999999997</v>
      </c>
      <c r="J10" s="15"/>
      <c r="L10" s="42">
        <v>1</v>
      </c>
      <c r="M10" s="42">
        <v>1</v>
      </c>
      <c r="N10" s="42">
        <v>1</v>
      </c>
      <c r="O10" s="42">
        <v>1</v>
      </c>
      <c r="P10" s="42">
        <v>1</v>
      </c>
      <c r="Q10" s="42"/>
      <c r="R10" s="42">
        <v>1</v>
      </c>
      <c r="S10" s="42"/>
      <c r="T10" s="42">
        <v>1</v>
      </c>
      <c r="U10" s="42">
        <v>1</v>
      </c>
      <c r="V10" s="42">
        <v>1</v>
      </c>
      <c r="W10" s="42"/>
      <c r="X10" s="42"/>
      <c r="Y10" s="42"/>
      <c r="Z10" s="42">
        <v>1</v>
      </c>
      <c r="AA10" s="42"/>
      <c r="AB10" s="42"/>
    </row>
    <row r="11" spans="1:28" ht="11.25" customHeight="1" x14ac:dyDescent="0.25">
      <c r="A11" s="118"/>
      <c r="B11" s="118" t="s">
        <v>75</v>
      </c>
      <c r="C11" s="118" t="s">
        <v>24</v>
      </c>
      <c r="D11" s="44" t="s">
        <v>24</v>
      </c>
      <c r="E11" s="44" t="s">
        <v>25</v>
      </c>
      <c r="F11" s="44" t="s">
        <v>25</v>
      </c>
      <c r="G11" s="45" t="s">
        <v>76</v>
      </c>
      <c r="H11" s="45" t="s">
        <v>72</v>
      </c>
      <c r="I11" s="45">
        <f>'MERCADO TE'!$U$8</f>
        <v>526822.44299999997</v>
      </c>
      <c r="J11" s="15"/>
      <c r="L11" s="42">
        <v>1</v>
      </c>
      <c r="M11" s="42">
        <v>1</v>
      </c>
      <c r="N11" s="42">
        <v>1</v>
      </c>
      <c r="O11" s="42">
        <v>1</v>
      </c>
      <c r="P11" s="42">
        <v>1</v>
      </c>
      <c r="Q11" s="42"/>
      <c r="R11" s="42">
        <v>1.06</v>
      </c>
      <c r="S11" s="42"/>
      <c r="T11" s="42">
        <v>1</v>
      </c>
      <c r="U11" s="42">
        <v>1</v>
      </c>
      <c r="V11" s="42">
        <v>1</v>
      </c>
      <c r="W11" s="42"/>
      <c r="X11" s="42"/>
      <c r="Y11" s="42"/>
      <c r="Z11" s="42">
        <v>1</v>
      </c>
      <c r="AA11" s="42"/>
      <c r="AB11" s="42"/>
    </row>
    <row r="12" spans="1:28" ht="11.25" customHeight="1" x14ac:dyDescent="0.25">
      <c r="A12" s="118"/>
      <c r="B12" s="118"/>
      <c r="C12" s="118"/>
      <c r="D12" s="44" t="s">
        <v>29</v>
      </c>
      <c r="E12" s="44" t="s">
        <v>25</v>
      </c>
      <c r="F12" s="44" t="s">
        <v>25</v>
      </c>
      <c r="G12" s="45" t="s">
        <v>76</v>
      </c>
      <c r="H12" s="45" t="s">
        <v>72</v>
      </c>
      <c r="I12" s="45">
        <f>'MERCADO TE'!$U$9</f>
        <v>10401.067000000001</v>
      </c>
      <c r="J12" s="15"/>
      <c r="L12" s="42">
        <f>1 - CUSTOS!$M$24</f>
        <v>1</v>
      </c>
      <c r="M12" s="42">
        <f>1 - CUSTOS!$M$24</f>
        <v>1</v>
      </c>
      <c r="N12" s="42">
        <f>1 - CUSTOS!$M$24</f>
        <v>1</v>
      </c>
      <c r="O12" s="42">
        <f>1 - CUSTOS!$M$24</f>
        <v>1</v>
      </c>
      <c r="P12" s="42">
        <f>1 - CUSTOS!$M$24</f>
        <v>1</v>
      </c>
      <c r="Q12" s="42"/>
      <c r="R12" s="42">
        <f>(1 - CUSTOS!$M$24)*1.06</f>
        <v>1.06</v>
      </c>
      <c r="S12" s="42"/>
      <c r="T12" s="42">
        <f>1 - CUSTOS!$M$24</f>
        <v>1</v>
      </c>
      <c r="U12" s="42">
        <f>1 - CUSTOS!$M$24</f>
        <v>1</v>
      </c>
      <c r="V12" s="42">
        <f>1 - CUSTOS!$M$24</f>
        <v>1</v>
      </c>
      <c r="W12" s="42"/>
      <c r="X12" s="42"/>
      <c r="Y12" s="42"/>
      <c r="Z12" s="42">
        <f>1 - CUSTOS!$M$24</f>
        <v>1</v>
      </c>
      <c r="AA12" s="42"/>
      <c r="AB12" s="42"/>
    </row>
    <row r="13" spans="1:28" ht="11.25" customHeight="1" x14ac:dyDescent="0.25">
      <c r="A13" s="118"/>
      <c r="B13" s="118"/>
      <c r="C13" s="118"/>
      <c r="D13" s="44" t="s">
        <v>30</v>
      </c>
      <c r="E13" s="44" t="s">
        <v>25</v>
      </c>
      <c r="F13" s="44" t="s">
        <v>25</v>
      </c>
      <c r="G13" s="45" t="s">
        <v>76</v>
      </c>
      <c r="H13" s="45" t="s">
        <v>72</v>
      </c>
      <c r="I13" s="45">
        <f>'MERCADO TE'!$U$10</f>
        <v>21577.302999999996</v>
      </c>
      <c r="J13" s="15"/>
      <c r="L13" s="42">
        <f>1 - CUSTOS!$M$25</f>
        <v>1</v>
      </c>
      <c r="M13" s="42">
        <f>1 - CUSTOS!$M$25</f>
        <v>1</v>
      </c>
      <c r="N13" s="42">
        <f>1 - CUSTOS!$M$25</f>
        <v>1</v>
      </c>
      <c r="O13" s="42">
        <f>1 - CUSTOS!$M$25</f>
        <v>1</v>
      </c>
      <c r="P13" s="42">
        <f>1 - CUSTOS!$M$25</f>
        <v>1</v>
      </c>
      <c r="Q13" s="42"/>
      <c r="R13" s="42">
        <f>(1 - CUSTOS!$M$25)*1.06</f>
        <v>1.06</v>
      </c>
      <c r="S13" s="42"/>
      <c r="T13" s="42">
        <f>1 - CUSTOS!$M$25</f>
        <v>1</v>
      </c>
      <c r="U13" s="42">
        <f>1 - CUSTOS!$M$25</f>
        <v>1</v>
      </c>
      <c r="V13" s="42">
        <f>1 - CUSTOS!$M$25</f>
        <v>1</v>
      </c>
      <c r="W13" s="42"/>
      <c r="X13" s="42"/>
      <c r="Y13" s="42"/>
      <c r="Z13" s="42">
        <f>1 - CUSTOS!$M$25</f>
        <v>1</v>
      </c>
      <c r="AA13" s="42"/>
      <c r="AB13" s="42"/>
    </row>
    <row r="14" spans="1:28" ht="11.25" customHeight="1" x14ac:dyDescent="0.25">
      <c r="A14" s="118"/>
      <c r="B14" s="118"/>
      <c r="C14" s="118"/>
      <c r="D14" s="44" t="s">
        <v>31</v>
      </c>
      <c r="E14" s="44" t="s">
        <v>25</v>
      </c>
      <c r="F14" s="44" t="s">
        <v>25</v>
      </c>
      <c r="G14" s="45" t="s">
        <v>76</v>
      </c>
      <c r="H14" s="45" t="s">
        <v>72</v>
      </c>
      <c r="I14" s="45">
        <f>'MERCADO TE'!$U$11</f>
        <v>25545.413</v>
      </c>
      <c r="J14" s="15"/>
      <c r="L14" s="42">
        <f>1 - CUSTOS!$M$26</f>
        <v>1</v>
      </c>
      <c r="M14" s="42">
        <f>1 - CUSTOS!$M$26</f>
        <v>1</v>
      </c>
      <c r="N14" s="42">
        <f>1 - CUSTOS!$M$26</f>
        <v>1</v>
      </c>
      <c r="O14" s="42">
        <f>1 - CUSTOS!$M$26</f>
        <v>1</v>
      </c>
      <c r="P14" s="42">
        <f>1 - CUSTOS!$M$26</f>
        <v>1</v>
      </c>
      <c r="Q14" s="42"/>
      <c r="R14" s="42">
        <f>(1 - CUSTOS!$M$26)*1.06</f>
        <v>1.06</v>
      </c>
      <c r="S14" s="42"/>
      <c r="T14" s="42">
        <f>1 - CUSTOS!$M$26</f>
        <v>1</v>
      </c>
      <c r="U14" s="42">
        <f>1 - CUSTOS!$M$26</f>
        <v>1</v>
      </c>
      <c r="V14" s="42">
        <f>1 - CUSTOS!$M$26</f>
        <v>1</v>
      </c>
      <c r="W14" s="42"/>
      <c r="X14" s="42"/>
      <c r="Y14" s="42"/>
      <c r="Z14" s="42">
        <f>1 - CUSTOS!$M$26</f>
        <v>1</v>
      </c>
      <c r="AA14" s="42"/>
      <c r="AB14" s="42"/>
    </row>
    <row r="15" spans="1:28" ht="11.25" customHeight="1" x14ac:dyDescent="0.25">
      <c r="A15" s="118"/>
      <c r="B15" s="118"/>
      <c r="C15" s="118"/>
      <c r="D15" s="44" t="s">
        <v>32</v>
      </c>
      <c r="E15" s="44" t="s">
        <v>25</v>
      </c>
      <c r="F15" s="44" t="s">
        <v>25</v>
      </c>
      <c r="G15" s="45" t="s">
        <v>76</v>
      </c>
      <c r="H15" s="45" t="s">
        <v>72</v>
      </c>
      <c r="I15" s="45">
        <f>'MERCADO TE'!$U$12</f>
        <v>28095.264000000006</v>
      </c>
      <c r="J15" s="15"/>
      <c r="L15" s="42">
        <f>1 - CUSTOS!$M$27</f>
        <v>1</v>
      </c>
      <c r="M15" s="42">
        <f>1 - CUSTOS!$M$27</f>
        <v>1</v>
      </c>
      <c r="N15" s="42">
        <f>1 - CUSTOS!$M$27</f>
        <v>1</v>
      </c>
      <c r="O15" s="42">
        <f>1 - CUSTOS!$M$27</f>
        <v>1</v>
      </c>
      <c r="P15" s="42">
        <f>1 - CUSTOS!$M$27</f>
        <v>1</v>
      </c>
      <c r="Q15" s="42"/>
      <c r="R15" s="42">
        <f>(1 - CUSTOS!$M$27)*1.06</f>
        <v>1.06</v>
      </c>
      <c r="S15" s="42"/>
      <c r="T15" s="42">
        <f>1 - CUSTOS!$M$27</f>
        <v>1</v>
      </c>
      <c r="U15" s="42">
        <f>1 - CUSTOS!$M$27</f>
        <v>1</v>
      </c>
      <c r="V15" s="42">
        <f>1 - CUSTOS!$M$27</f>
        <v>1</v>
      </c>
      <c r="W15" s="42"/>
      <c r="X15" s="42"/>
      <c r="Y15" s="42"/>
      <c r="Z15" s="42">
        <f>1 - CUSTOS!$M$27</f>
        <v>1</v>
      </c>
      <c r="AA15" s="42"/>
      <c r="AB15" s="42"/>
    </row>
    <row r="16" spans="1:28" ht="11.25" customHeight="1" x14ac:dyDescent="0.25">
      <c r="A16" s="118"/>
      <c r="B16" s="118" t="s">
        <v>86</v>
      </c>
      <c r="C16" s="118" t="s">
        <v>24</v>
      </c>
      <c r="D16" s="44" t="s">
        <v>24</v>
      </c>
      <c r="E16" s="44" t="s">
        <v>25</v>
      </c>
      <c r="F16" s="44" t="s">
        <v>25</v>
      </c>
      <c r="G16" s="45" t="s">
        <v>76</v>
      </c>
      <c r="H16" s="45" t="s">
        <v>72</v>
      </c>
      <c r="I16" s="45">
        <f>'MERCADO TE'!$U$13</f>
        <v>0</v>
      </c>
      <c r="J16" s="15"/>
      <c r="L16" s="42">
        <v>1</v>
      </c>
      <c r="M16" s="42">
        <v>1</v>
      </c>
      <c r="N16" s="42">
        <v>1</v>
      </c>
      <c r="O16" s="42">
        <v>1</v>
      </c>
      <c r="P16" s="42">
        <v>1</v>
      </c>
      <c r="Q16" s="42"/>
      <c r="R16" s="42">
        <v>1.06</v>
      </c>
      <c r="S16" s="42"/>
      <c r="T16" s="42">
        <v>1</v>
      </c>
      <c r="U16" s="42">
        <v>1</v>
      </c>
      <c r="V16" s="42">
        <v>1</v>
      </c>
      <c r="W16" s="42"/>
      <c r="X16" s="42"/>
      <c r="Y16" s="42"/>
      <c r="Z16" s="42">
        <v>1</v>
      </c>
      <c r="AA16" s="42"/>
      <c r="AB16" s="42"/>
    </row>
    <row r="17" spans="1:28" ht="11.25" customHeight="1" x14ac:dyDescent="0.25">
      <c r="A17" s="118"/>
      <c r="B17" s="118"/>
      <c r="C17" s="118"/>
      <c r="D17" s="44" t="s">
        <v>29</v>
      </c>
      <c r="E17" s="44" t="s">
        <v>25</v>
      </c>
      <c r="F17" s="44" t="s">
        <v>25</v>
      </c>
      <c r="G17" s="45" t="s">
        <v>76</v>
      </c>
      <c r="H17" s="45" t="s">
        <v>72</v>
      </c>
      <c r="I17" s="45">
        <f>'MERCADO TE'!$U$14</f>
        <v>0</v>
      </c>
      <c r="J17" s="15"/>
      <c r="L17" s="42">
        <f>1 - CUSTOS!$M$24</f>
        <v>1</v>
      </c>
      <c r="M17" s="42">
        <f>1 - CUSTOS!$M$24</f>
        <v>1</v>
      </c>
      <c r="N17" s="42">
        <f>1 - CUSTOS!$M$24</f>
        <v>1</v>
      </c>
      <c r="O17" s="42">
        <f>1 - CUSTOS!$M$24</f>
        <v>1</v>
      </c>
      <c r="P17" s="42">
        <f>1 - CUSTOS!$M$24</f>
        <v>1</v>
      </c>
      <c r="Q17" s="42"/>
      <c r="R17" s="42">
        <f>(1 - CUSTOS!$M$24)*1.06</f>
        <v>1.06</v>
      </c>
      <c r="S17" s="42"/>
      <c r="T17" s="42">
        <f>1 - CUSTOS!$M$24</f>
        <v>1</v>
      </c>
      <c r="U17" s="42">
        <f>1 - CUSTOS!$M$24</f>
        <v>1</v>
      </c>
      <c r="V17" s="42">
        <f>1 - CUSTOS!$M$24</f>
        <v>1</v>
      </c>
      <c r="W17" s="42"/>
      <c r="X17" s="42"/>
      <c r="Y17" s="42"/>
      <c r="Z17" s="42">
        <f>1 - CUSTOS!$M$24</f>
        <v>1</v>
      </c>
      <c r="AA17" s="42"/>
      <c r="AB17" s="42"/>
    </row>
    <row r="18" spans="1:28" ht="11.25" customHeight="1" x14ac:dyDescent="0.25">
      <c r="A18" s="118"/>
      <c r="B18" s="118"/>
      <c r="C18" s="118"/>
      <c r="D18" s="44" t="s">
        <v>30</v>
      </c>
      <c r="E18" s="44" t="s">
        <v>25</v>
      </c>
      <c r="F18" s="44" t="s">
        <v>25</v>
      </c>
      <c r="G18" s="45" t="s">
        <v>76</v>
      </c>
      <c r="H18" s="45" t="s">
        <v>72</v>
      </c>
      <c r="I18" s="45">
        <f>'MERCADO TE'!$U$15</f>
        <v>0</v>
      </c>
      <c r="J18" s="15"/>
      <c r="L18" s="42">
        <f>1 - CUSTOS!$M$25</f>
        <v>1</v>
      </c>
      <c r="M18" s="42">
        <f>1 - CUSTOS!$M$25</f>
        <v>1</v>
      </c>
      <c r="N18" s="42">
        <f>1 - CUSTOS!$M$25</f>
        <v>1</v>
      </c>
      <c r="O18" s="42">
        <f>1 - CUSTOS!$M$25</f>
        <v>1</v>
      </c>
      <c r="P18" s="42">
        <f>1 - CUSTOS!$M$25</f>
        <v>1</v>
      </c>
      <c r="Q18" s="42"/>
      <c r="R18" s="42">
        <f>(1 - CUSTOS!$M$25)*1.06</f>
        <v>1.06</v>
      </c>
      <c r="S18" s="42"/>
      <c r="T18" s="42">
        <f>1 - CUSTOS!$M$25</f>
        <v>1</v>
      </c>
      <c r="U18" s="42">
        <f>1 - CUSTOS!$M$25</f>
        <v>1</v>
      </c>
      <c r="V18" s="42">
        <f>1 - CUSTOS!$M$25</f>
        <v>1</v>
      </c>
      <c r="W18" s="42"/>
      <c r="X18" s="42"/>
      <c r="Y18" s="42"/>
      <c r="Z18" s="42">
        <f>1 - CUSTOS!$M$25</f>
        <v>1</v>
      </c>
      <c r="AA18" s="42"/>
      <c r="AB18" s="42"/>
    </row>
    <row r="19" spans="1:28" ht="11.25" customHeight="1" x14ac:dyDescent="0.25">
      <c r="A19" s="118"/>
      <c r="B19" s="118"/>
      <c r="C19" s="118"/>
      <c r="D19" s="44" t="s">
        <v>31</v>
      </c>
      <c r="E19" s="44" t="s">
        <v>25</v>
      </c>
      <c r="F19" s="44" t="s">
        <v>25</v>
      </c>
      <c r="G19" s="45" t="s">
        <v>76</v>
      </c>
      <c r="H19" s="45" t="s">
        <v>72</v>
      </c>
      <c r="I19" s="45">
        <f>'MERCADO TE'!$U$16</f>
        <v>0</v>
      </c>
      <c r="J19" s="15"/>
      <c r="L19" s="42">
        <f>1 - CUSTOS!$M$26</f>
        <v>1</v>
      </c>
      <c r="M19" s="42">
        <f>1 - CUSTOS!$M$26</f>
        <v>1</v>
      </c>
      <c r="N19" s="42">
        <f>1 - CUSTOS!$M$26</f>
        <v>1</v>
      </c>
      <c r="O19" s="42">
        <f>1 - CUSTOS!$M$26</f>
        <v>1</v>
      </c>
      <c r="P19" s="42">
        <f>1 - CUSTOS!$M$26</f>
        <v>1</v>
      </c>
      <c r="Q19" s="42"/>
      <c r="R19" s="42">
        <f>(1 - CUSTOS!$M$26)*1.06</f>
        <v>1.06</v>
      </c>
      <c r="S19" s="42"/>
      <c r="T19" s="42">
        <f>1 - CUSTOS!$M$26</f>
        <v>1</v>
      </c>
      <c r="U19" s="42">
        <f>1 - CUSTOS!$M$26</f>
        <v>1</v>
      </c>
      <c r="V19" s="42">
        <f>1 - CUSTOS!$M$26</f>
        <v>1</v>
      </c>
      <c r="W19" s="42"/>
      <c r="X19" s="42"/>
      <c r="Y19" s="42"/>
      <c r="Z19" s="42">
        <f>1 - CUSTOS!$M$26</f>
        <v>1</v>
      </c>
      <c r="AA19" s="42"/>
      <c r="AB19" s="42"/>
    </row>
    <row r="20" spans="1:28" ht="11.25" customHeight="1" x14ac:dyDescent="0.25">
      <c r="A20" s="118"/>
      <c r="B20" s="118"/>
      <c r="C20" s="118"/>
      <c r="D20" s="44" t="s">
        <v>32</v>
      </c>
      <c r="E20" s="44" t="s">
        <v>25</v>
      </c>
      <c r="F20" s="44" t="s">
        <v>25</v>
      </c>
      <c r="G20" s="45" t="s">
        <v>76</v>
      </c>
      <c r="H20" s="45" t="s">
        <v>72</v>
      </c>
      <c r="I20" s="45">
        <f>'MERCADO TE'!$U$17</f>
        <v>0</v>
      </c>
      <c r="J20" s="15"/>
      <c r="L20" s="42">
        <f>1 - CUSTOS!$M$27</f>
        <v>1</v>
      </c>
      <c r="M20" s="42">
        <f>1 - CUSTOS!$M$27</f>
        <v>1</v>
      </c>
      <c r="N20" s="42">
        <f>1 - CUSTOS!$M$27</f>
        <v>1</v>
      </c>
      <c r="O20" s="42">
        <f>1 - CUSTOS!$M$27</f>
        <v>1</v>
      </c>
      <c r="P20" s="42">
        <f>1 - CUSTOS!$M$27</f>
        <v>1</v>
      </c>
      <c r="Q20" s="42"/>
      <c r="R20" s="42">
        <f>(1 - CUSTOS!$M$27)*1.06</f>
        <v>1.06</v>
      </c>
      <c r="S20" s="42"/>
      <c r="T20" s="42">
        <f>1 - CUSTOS!$M$27</f>
        <v>1</v>
      </c>
      <c r="U20" s="42">
        <f>1 - CUSTOS!$M$27</f>
        <v>1</v>
      </c>
      <c r="V20" s="42">
        <f>1 - CUSTOS!$M$27</f>
        <v>1</v>
      </c>
      <c r="W20" s="42"/>
      <c r="X20" s="42"/>
      <c r="Y20" s="42"/>
      <c r="Z20" s="42">
        <f>1 - CUSTOS!$M$27</f>
        <v>1</v>
      </c>
      <c r="AA20" s="42"/>
      <c r="AB20" s="42"/>
    </row>
    <row r="21" spans="1:28" ht="11.25" customHeight="1" x14ac:dyDescent="0.25">
      <c r="A21" s="118" t="s">
        <v>43</v>
      </c>
      <c r="B21" s="118" t="s">
        <v>71</v>
      </c>
      <c r="C21" s="118" t="s">
        <v>44</v>
      </c>
      <c r="D21" s="118" t="s">
        <v>25</v>
      </c>
      <c r="E21" s="118" t="s">
        <v>25</v>
      </c>
      <c r="F21" s="118" t="s">
        <v>25</v>
      </c>
      <c r="G21" s="45" t="s">
        <v>73</v>
      </c>
      <c r="H21" s="45" t="s">
        <v>72</v>
      </c>
      <c r="I21" s="45">
        <f>'MERCADO TE'!$U$18</f>
        <v>0.112</v>
      </c>
      <c r="J21" s="15"/>
      <c r="L21" s="42">
        <f>1 - CUSTOS!$M$28</f>
        <v>1</v>
      </c>
      <c r="M21" s="42">
        <f>1 - CUSTOS!$M$28</f>
        <v>1</v>
      </c>
      <c r="N21" s="42">
        <f>1 - CUSTOS!$M$28</f>
        <v>1</v>
      </c>
      <c r="O21" s="42">
        <f>1 - CUSTOS!$M$28</f>
        <v>1</v>
      </c>
      <c r="P21" s="42">
        <f>1 - CUSTOS!$M$28</f>
        <v>1</v>
      </c>
      <c r="Q21" s="42"/>
      <c r="R21" s="42">
        <f>(1 - CUSTOS!$M$28)*1.72</f>
        <v>1.72</v>
      </c>
      <c r="S21" s="42"/>
      <c r="T21" s="42">
        <f>1 - CUSTOS!$M$28</f>
        <v>1</v>
      </c>
      <c r="U21" s="42">
        <f>1 - CUSTOS!$M$28</f>
        <v>1</v>
      </c>
      <c r="V21" s="42">
        <f>1 - CUSTOS!$M$28</f>
        <v>1</v>
      </c>
      <c r="W21" s="42"/>
      <c r="X21" s="42"/>
      <c r="Y21" s="42"/>
      <c r="Z21" s="42">
        <f>1 - CUSTOS!$M$28</f>
        <v>1</v>
      </c>
      <c r="AA21" s="42"/>
      <c r="AB21" s="42"/>
    </row>
    <row r="22" spans="1:28" ht="11.25" customHeight="1" x14ac:dyDescent="0.25">
      <c r="A22" s="118"/>
      <c r="B22" s="118"/>
      <c r="C22" s="118"/>
      <c r="D22" s="118"/>
      <c r="E22" s="118"/>
      <c r="F22" s="118"/>
      <c r="G22" s="45" t="s">
        <v>85</v>
      </c>
      <c r="H22" s="45" t="s">
        <v>72</v>
      </c>
      <c r="I22" s="45">
        <f>'MERCADO TE'!$U$19</f>
        <v>7.4999999999999997E-2</v>
      </c>
      <c r="J22" s="15"/>
      <c r="L22" s="42">
        <f>1 - CUSTOS!$M$28</f>
        <v>1</v>
      </c>
      <c r="M22" s="42">
        <f>1 - CUSTOS!$M$28</f>
        <v>1</v>
      </c>
      <c r="N22" s="42">
        <f>1 - CUSTOS!$M$28</f>
        <v>1</v>
      </c>
      <c r="O22" s="42">
        <f>1 - CUSTOS!$M$28</f>
        <v>1</v>
      </c>
      <c r="P22" s="42">
        <f>1 - CUSTOS!$M$28</f>
        <v>1</v>
      </c>
      <c r="Q22" s="42"/>
      <c r="R22" s="42">
        <f>(1 - CUSTOS!$M$28)*1</f>
        <v>1</v>
      </c>
      <c r="S22" s="42"/>
      <c r="T22" s="42">
        <f>1 - CUSTOS!$M$28</f>
        <v>1</v>
      </c>
      <c r="U22" s="42">
        <f>1 - CUSTOS!$M$28</f>
        <v>1</v>
      </c>
      <c r="V22" s="42">
        <f>1 - CUSTOS!$M$28</f>
        <v>1</v>
      </c>
      <c r="W22" s="42"/>
      <c r="X22" s="42"/>
      <c r="Y22" s="42"/>
      <c r="Z22" s="42">
        <f>1 - CUSTOS!$M$28</f>
        <v>1</v>
      </c>
      <c r="AA22" s="42"/>
      <c r="AB22" s="42"/>
    </row>
    <row r="23" spans="1:28" ht="11.25" customHeight="1" x14ac:dyDescent="0.25">
      <c r="A23" s="118"/>
      <c r="B23" s="118"/>
      <c r="C23" s="118"/>
      <c r="D23" s="118"/>
      <c r="E23" s="118"/>
      <c r="F23" s="118"/>
      <c r="G23" s="45" t="s">
        <v>74</v>
      </c>
      <c r="H23" s="45" t="s">
        <v>72</v>
      </c>
      <c r="I23" s="45">
        <f>'MERCADO TE'!$U$20</f>
        <v>0.91599999999999993</v>
      </c>
      <c r="J23" s="15"/>
      <c r="L23" s="42">
        <f>1 - CUSTOS!$M$28</f>
        <v>1</v>
      </c>
      <c r="M23" s="42">
        <f>1 - CUSTOS!$M$28</f>
        <v>1</v>
      </c>
      <c r="N23" s="42">
        <f>1 - CUSTOS!$M$28</f>
        <v>1</v>
      </c>
      <c r="O23" s="42">
        <f>1 - CUSTOS!$M$28</f>
        <v>1</v>
      </c>
      <c r="P23" s="42">
        <f>1 - CUSTOS!$M$28</f>
        <v>1</v>
      </c>
      <c r="Q23" s="42"/>
      <c r="R23" s="42">
        <f>(1 - CUSTOS!$M$28)*1</f>
        <v>1</v>
      </c>
      <c r="S23" s="42"/>
      <c r="T23" s="42">
        <f>1 - CUSTOS!$M$28</f>
        <v>1</v>
      </c>
      <c r="U23" s="42">
        <f>1 - CUSTOS!$M$28</f>
        <v>1</v>
      </c>
      <c r="V23" s="42">
        <f>1 - CUSTOS!$M$28</f>
        <v>1</v>
      </c>
      <c r="W23" s="42"/>
      <c r="X23" s="42"/>
      <c r="Y23" s="42"/>
      <c r="Z23" s="42">
        <f>1 - CUSTOS!$M$28</f>
        <v>1</v>
      </c>
      <c r="AA23" s="42"/>
      <c r="AB23" s="42"/>
    </row>
    <row r="24" spans="1:28" ht="11.25" customHeight="1" x14ac:dyDescent="0.25">
      <c r="A24" s="118"/>
      <c r="B24" s="44" t="s">
        <v>75</v>
      </c>
      <c r="C24" s="44" t="s">
        <v>44</v>
      </c>
      <c r="D24" s="44" t="s">
        <v>25</v>
      </c>
      <c r="E24" s="44" t="s">
        <v>25</v>
      </c>
      <c r="F24" s="44" t="s">
        <v>25</v>
      </c>
      <c r="G24" s="45" t="s">
        <v>76</v>
      </c>
      <c r="H24" s="45" t="s">
        <v>72</v>
      </c>
      <c r="I24" s="45">
        <f>'MERCADO TE'!$U$21</f>
        <v>54817.448999999993</v>
      </c>
      <c r="J24" s="15"/>
      <c r="L24" s="42">
        <f>1 - CUSTOS!$M$28</f>
        <v>1</v>
      </c>
      <c r="M24" s="42">
        <f>1 - CUSTOS!$M$28</f>
        <v>1</v>
      </c>
      <c r="N24" s="42">
        <f>1 - CUSTOS!$M$28</f>
        <v>1</v>
      </c>
      <c r="O24" s="42">
        <f>1 - CUSTOS!$M$28</f>
        <v>1</v>
      </c>
      <c r="P24" s="42">
        <f>1 - CUSTOS!$M$28</f>
        <v>1</v>
      </c>
      <c r="Q24" s="42"/>
      <c r="R24" s="42">
        <f>(1 - CUSTOS!$M$28)*1.06</f>
        <v>1.06</v>
      </c>
      <c r="S24" s="42"/>
      <c r="T24" s="42">
        <f>1 - CUSTOS!$M$28</f>
        <v>1</v>
      </c>
      <c r="U24" s="42">
        <f>1 - CUSTOS!$M$28</f>
        <v>1</v>
      </c>
      <c r="V24" s="42">
        <f>1 - CUSTOS!$M$28</f>
        <v>1</v>
      </c>
      <c r="W24" s="42"/>
      <c r="X24" s="42"/>
      <c r="Y24" s="42"/>
      <c r="Z24" s="42">
        <f>1 - CUSTOS!$M$28</f>
        <v>1</v>
      </c>
      <c r="AA24" s="42"/>
      <c r="AB24" s="42"/>
    </row>
    <row r="25" spans="1:28" ht="11.25" customHeight="1" x14ac:dyDescent="0.25">
      <c r="A25" s="118"/>
      <c r="B25" s="118" t="s">
        <v>71</v>
      </c>
      <c r="C25" s="118" t="s">
        <v>44</v>
      </c>
      <c r="D25" s="118" t="s">
        <v>88</v>
      </c>
      <c r="E25" s="118" t="s">
        <v>25</v>
      </c>
      <c r="F25" s="118" t="s">
        <v>25</v>
      </c>
      <c r="G25" s="45" t="s">
        <v>73</v>
      </c>
      <c r="H25" s="45" t="s">
        <v>72</v>
      </c>
      <c r="I25" s="45">
        <f>'MERCADO TE'!$U$22</f>
        <v>0</v>
      </c>
      <c r="J25" s="15"/>
      <c r="L25" s="42">
        <f>1 - CUSTOS!$M$29</f>
        <v>1</v>
      </c>
      <c r="M25" s="42">
        <f>1 - CUSTOS!$M$29</f>
        <v>1</v>
      </c>
      <c r="N25" s="42">
        <f>1 - CUSTOS!$M$29</f>
        <v>1</v>
      </c>
      <c r="O25" s="42">
        <f>1 - CUSTOS!$M$29</f>
        <v>1</v>
      </c>
      <c r="P25" s="42">
        <f>1 - CUSTOS!$M$29</f>
        <v>1</v>
      </c>
      <c r="Q25" s="42"/>
      <c r="R25" s="42">
        <f>(1 - CUSTOS!$M$29)*1.72</f>
        <v>1.72</v>
      </c>
      <c r="S25" s="42"/>
      <c r="T25" s="42">
        <f>1 - CUSTOS!$M$29</f>
        <v>1</v>
      </c>
      <c r="U25" s="42">
        <f>1 - CUSTOS!$M$29</f>
        <v>1</v>
      </c>
      <c r="V25" s="42">
        <f>1 - CUSTOS!$M$29</f>
        <v>1</v>
      </c>
      <c r="W25" s="42"/>
      <c r="X25" s="42"/>
      <c r="Y25" s="42"/>
      <c r="Z25" s="42">
        <f>1 - CUSTOS!$M$29</f>
        <v>1</v>
      </c>
      <c r="AA25" s="42"/>
      <c r="AB25" s="42"/>
    </row>
    <row r="26" spans="1:28" ht="11.25" customHeight="1" x14ac:dyDescent="0.25">
      <c r="A26" s="118"/>
      <c r="B26" s="118"/>
      <c r="C26" s="118"/>
      <c r="D26" s="118"/>
      <c r="E26" s="118"/>
      <c r="F26" s="118"/>
      <c r="G26" s="45" t="s">
        <v>85</v>
      </c>
      <c r="H26" s="45" t="s">
        <v>72</v>
      </c>
      <c r="I26" s="45">
        <f>'MERCADO TE'!$U$23</f>
        <v>0</v>
      </c>
      <c r="J26" s="15"/>
      <c r="L26" s="42">
        <f>1 - CUSTOS!$M$29</f>
        <v>1</v>
      </c>
      <c r="M26" s="42">
        <f>1 - CUSTOS!$M$29</f>
        <v>1</v>
      </c>
      <c r="N26" s="42">
        <f>1 - CUSTOS!$M$29</f>
        <v>1</v>
      </c>
      <c r="O26" s="42">
        <f>1 - CUSTOS!$M$29</f>
        <v>1</v>
      </c>
      <c r="P26" s="42">
        <f>1 - CUSTOS!$M$29</f>
        <v>1</v>
      </c>
      <c r="Q26" s="42"/>
      <c r="R26" s="42">
        <f>(1 - CUSTOS!$M$29)*1</f>
        <v>1</v>
      </c>
      <c r="S26" s="42"/>
      <c r="T26" s="42">
        <f>1 - CUSTOS!$M$29</f>
        <v>1</v>
      </c>
      <c r="U26" s="42">
        <f>1 - CUSTOS!$M$29</f>
        <v>1</v>
      </c>
      <c r="V26" s="42">
        <f>1 - CUSTOS!$M$29</f>
        <v>1</v>
      </c>
      <c r="W26" s="42"/>
      <c r="X26" s="42"/>
      <c r="Y26" s="42"/>
      <c r="Z26" s="42">
        <f>1 - CUSTOS!$M$29</f>
        <v>1</v>
      </c>
      <c r="AA26" s="42"/>
      <c r="AB26" s="42"/>
    </row>
    <row r="27" spans="1:28" ht="11.25" customHeight="1" x14ac:dyDescent="0.25">
      <c r="A27" s="118"/>
      <c r="B27" s="118"/>
      <c r="C27" s="118"/>
      <c r="D27" s="118"/>
      <c r="E27" s="118"/>
      <c r="F27" s="118"/>
      <c r="G27" s="45" t="s">
        <v>74</v>
      </c>
      <c r="H27" s="45" t="s">
        <v>72</v>
      </c>
      <c r="I27" s="45">
        <f>'MERCADO TE'!$U$24</f>
        <v>0</v>
      </c>
      <c r="J27" s="15"/>
      <c r="L27" s="42">
        <f>1 - CUSTOS!$M$29</f>
        <v>1</v>
      </c>
      <c r="M27" s="42">
        <f>1 - CUSTOS!$M$29</f>
        <v>1</v>
      </c>
      <c r="N27" s="42">
        <f>1 - CUSTOS!$M$29</f>
        <v>1</v>
      </c>
      <c r="O27" s="42">
        <f>1 - CUSTOS!$M$29</f>
        <v>1</v>
      </c>
      <c r="P27" s="42">
        <f>1 - CUSTOS!$M$29</f>
        <v>1</v>
      </c>
      <c r="Q27" s="42"/>
      <c r="R27" s="42">
        <f>(1 - CUSTOS!$M$29)*1</f>
        <v>1</v>
      </c>
      <c r="S27" s="42"/>
      <c r="T27" s="42">
        <f>1 - CUSTOS!$M$29</f>
        <v>1</v>
      </c>
      <c r="U27" s="42">
        <f>1 - CUSTOS!$M$29</f>
        <v>1</v>
      </c>
      <c r="V27" s="42">
        <f>1 - CUSTOS!$M$29</f>
        <v>1</v>
      </c>
      <c r="W27" s="42"/>
      <c r="X27" s="42"/>
      <c r="Y27" s="42"/>
      <c r="Z27" s="42">
        <f>1 - CUSTOS!$M$29</f>
        <v>1</v>
      </c>
      <c r="AA27" s="42"/>
      <c r="AB27" s="42"/>
    </row>
    <row r="28" spans="1:28" ht="11.25" customHeight="1" x14ac:dyDescent="0.25">
      <c r="A28" s="118"/>
      <c r="B28" s="44" t="s">
        <v>75</v>
      </c>
      <c r="C28" s="44" t="s">
        <v>44</v>
      </c>
      <c r="D28" s="44" t="s">
        <v>88</v>
      </c>
      <c r="E28" s="44" t="s">
        <v>25</v>
      </c>
      <c r="F28" s="44" t="s">
        <v>25</v>
      </c>
      <c r="G28" s="45" t="s">
        <v>76</v>
      </c>
      <c r="H28" s="45" t="s">
        <v>72</v>
      </c>
      <c r="I28" s="45">
        <f>'MERCADO TE'!$U$25</f>
        <v>0</v>
      </c>
      <c r="J28" s="15"/>
      <c r="L28" s="42">
        <f>1 - CUSTOS!$M$29</f>
        <v>1</v>
      </c>
      <c r="M28" s="42">
        <f>1 - CUSTOS!$M$29</f>
        <v>1</v>
      </c>
      <c r="N28" s="42">
        <f>1 - CUSTOS!$M$29</f>
        <v>1</v>
      </c>
      <c r="O28" s="42">
        <f>1 - CUSTOS!$M$29</f>
        <v>1</v>
      </c>
      <c r="P28" s="42">
        <f>1 - CUSTOS!$M$29</f>
        <v>1</v>
      </c>
      <c r="Q28" s="42"/>
      <c r="R28" s="42">
        <f>(1 - CUSTOS!$M$29)*1.06</f>
        <v>1.06</v>
      </c>
      <c r="S28" s="42"/>
      <c r="T28" s="42">
        <f>1 - CUSTOS!$M$29</f>
        <v>1</v>
      </c>
      <c r="U28" s="42">
        <f>1 - CUSTOS!$M$29</f>
        <v>1</v>
      </c>
      <c r="V28" s="42">
        <f>1 - CUSTOS!$M$29</f>
        <v>1</v>
      </c>
      <c r="W28" s="42"/>
      <c r="X28" s="42"/>
      <c r="Y28" s="42"/>
      <c r="Z28" s="42">
        <f>1 - CUSTOS!$M$29</f>
        <v>1</v>
      </c>
      <c r="AA28" s="42"/>
      <c r="AB28" s="42"/>
    </row>
    <row r="29" spans="1:28" ht="11.25" customHeight="1" x14ac:dyDescent="0.25">
      <c r="A29" s="118"/>
      <c r="B29" s="118" t="s">
        <v>71</v>
      </c>
      <c r="C29" s="118" t="s">
        <v>44</v>
      </c>
      <c r="D29" s="118" t="s">
        <v>89</v>
      </c>
      <c r="E29" s="118" t="s">
        <v>25</v>
      </c>
      <c r="F29" s="118" t="s">
        <v>25</v>
      </c>
      <c r="G29" s="45" t="s">
        <v>73</v>
      </c>
      <c r="H29" s="45" t="s">
        <v>72</v>
      </c>
      <c r="I29" s="45">
        <f>'MERCADO TE'!$U$26</f>
        <v>0</v>
      </c>
      <c r="J29" s="15"/>
      <c r="L29" s="42">
        <f>1 - CUSTOS!$M$30</f>
        <v>1</v>
      </c>
      <c r="M29" s="42">
        <f>1 - CUSTOS!$M$30</f>
        <v>1</v>
      </c>
      <c r="N29" s="42">
        <f>1 - CUSTOS!$M$30</f>
        <v>1</v>
      </c>
      <c r="O29" s="42">
        <f>1 - CUSTOS!$M$30</f>
        <v>1</v>
      </c>
      <c r="P29" s="42">
        <f>1 - CUSTOS!$M$30</f>
        <v>1</v>
      </c>
      <c r="Q29" s="42"/>
      <c r="R29" s="42">
        <f>(1 - CUSTOS!$M$30)*1.72</f>
        <v>1.72</v>
      </c>
      <c r="S29" s="42"/>
      <c r="T29" s="42">
        <f>1 - CUSTOS!$M$30</f>
        <v>1</v>
      </c>
      <c r="U29" s="42">
        <f>1 - CUSTOS!$M$30</f>
        <v>1</v>
      </c>
      <c r="V29" s="42">
        <f>1 - CUSTOS!$M$30</f>
        <v>1</v>
      </c>
      <c r="W29" s="42"/>
      <c r="X29" s="42"/>
      <c r="Y29" s="42"/>
      <c r="Z29" s="42">
        <f>1 - CUSTOS!$M$30</f>
        <v>1</v>
      </c>
      <c r="AA29" s="42"/>
      <c r="AB29" s="42"/>
    </row>
    <row r="30" spans="1:28" ht="11.25" customHeight="1" x14ac:dyDescent="0.25">
      <c r="A30" s="118"/>
      <c r="B30" s="118"/>
      <c r="C30" s="118"/>
      <c r="D30" s="118"/>
      <c r="E30" s="118"/>
      <c r="F30" s="118"/>
      <c r="G30" s="45" t="s">
        <v>85</v>
      </c>
      <c r="H30" s="45" t="s">
        <v>72</v>
      </c>
      <c r="I30" s="45">
        <f>'MERCADO TE'!$U$27</f>
        <v>0</v>
      </c>
      <c r="J30" s="15"/>
      <c r="L30" s="42">
        <f>1 - CUSTOS!$M$30</f>
        <v>1</v>
      </c>
      <c r="M30" s="42">
        <f>1 - CUSTOS!$M$30</f>
        <v>1</v>
      </c>
      <c r="N30" s="42">
        <f>1 - CUSTOS!$M$30</f>
        <v>1</v>
      </c>
      <c r="O30" s="42">
        <f>1 - CUSTOS!$M$30</f>
        <v>1</v>
      </c>
      <c r="P30" s="42">
        <f>1 - CUSTOS!$M$30</f>
        <v>1</v>
      </c>
      <c r="Q30" s="42"/>
      <c r="R30" s="42">
        <f>(1 - CUSTOS!$M$30)*1</f>
        <v>1</v>
      </c>
      <c r="S30" s="42"/>
      <c r="T30" s="42">
        <f>1 - CUSTOS!$M$30</f>
        <v>1</v>
      </c>
      <c r="U30" s="42">
        <f>1 - CUSTOS!$M$30</f>
        <v>1</v>
      </c>
      <c r="V30" s="42">
        <f>1 - CUSTOS!$M$30</f>
        <v>1</v>
      </c>
      <c r="W30" s="42"/>
      <c r="X30" s="42"/>
      <c r="Y30" s="42"/>
      <c r="Z30" s="42">
        <f>1 - CUSTOS!$M$30</f>
        <v>1</v>
      </c>
      <c r="AA30" s="42"/>
      <c r="AB30" s="42"/>
    </row>
    <row r="31" spans="1:28" ht="11.25" customHeight="1" x14ac:dyDescent="0.25">
      <c r="A31" s="118"/>
      <c r="B31" s="118"/>
      <c r="C31" s="118"/>
      <c r="D31" s="118"/>
      <c r="E31" s="118"/>
      <c r="F31" s="118"/>
      <c r="G31" s="45" t="s">
        <v>74</v>
      </c>
      <c r="H31" s="45" t="s">
        <v>72</v>
      </c>
      <c r="I31" s="45">
        <f>'MERCADO TE'!$U$28</f>
        <v>0</v>
      </c>
      <c r="J31" s="15"/>
      <c r="L31" s="42">
        <f>1 - CUSTOS!$M$30</f>
        <v>1</v>
      </c>
      <c r="M31" s="42">
        <f>1 - CUSTOS!$M$30</f>
        <v>1</v>
      </c>
      <c r="N31" s="42">
        <f>1 - CUSTOS!$M$30</f>
        <v>1</v>
      </c>
      <c r="O31" s="42">
        <f>1 - CUSTOS!$M$30</f>
        <v>1</v>
      </c>
      <c r="P31" s="42">
        <f>1 - CUSTOS!$M$30</f>
        <v>1</v>
      </c>
      <c r="Q31" s="42"/>
      <c r="R31" s="42">
        <f>(1 - CUSTOS!$M$30)*1</f>
        <v>1</v>
      </c>
      <c r="S31" s="42"/>
      <c r="T31" s="42">
        <f>1 - CUSTOS!$M$30</f>
        <v>1</v>
      </c>
      <c r="U31" s="42">
        <f>1 - CUSTOS!$M$30</f>
        <v>1</v>
      </c>
      <c r="V31" s="42">
        <f>1 - CUSTOS!$M$30</f>
        <v>1</v>
      </c>
      <c r="W31" s="42"/>
      <c r="X31" s="42"/>
      <c r="Y31" s="42"/>
      <c r="Z31" s="42">
        <f>1 - CUSTOS!$M$30</f>
        <v>1</v>
      </c>
      <c r="AA31" s="42"/>
      <c r="AB31" s="42"/>
    </row>
    <row r="32" spans="1:28" ht="11.25" customHeight="1" x14ac:dyDescent="0.25">
      <c r="A32" s="118"/>
      <c r="B32" s="44" t="s">
        <v>75</v>
      </c>
      <c r="C32" s="44" t="s">
        <v>44</v>
      </c>
      <c r="D32" s="44" t="s">
        <v>89</v>
      </c>
      <c r="E32" s="44" t="s">
        <v>25</v>
      </c>
      <c r="F32" s="44" t="s">
        <v>25</v>
      </c>
      <c r="G32" s="45" t="s">
        <v>76</v>
      </c>
      <c r="H32" s="45" t="s">
        <v>72</v>
      </c>
      <c r="I32" s="45">
        <f>'MERCADO TE'!$U$29</f>
        <v>0</v>
      </c>
      <c r="J32" s="15"/>
      <c r="L32" s="42">
        <f>1 - CUSTOS!$M$30</f>
        <v>1</v>
      </c>
      <c r="M32" s="42">
        <f>1 - CUSTOS!$M$30</f>
        <v>1</v>
      </c>
      <c r="N32" s="42">
        <f>1 - CUSTOS!$M$30</f>
        <v>1</v>
      </c>
      <c r="O32" s="42">
        <f>1 - CUSTOS!$M$30</f>
        <v>1</v>
      </c>
      <c r="P32" s="42">
        <f>1 - CUSTOS!$M$30</f>
        <v>1</v>
      </c>
      <c r="Q32" s="42"/>
      <c r="R32" s="42">
        <f>(1 - CUSTOS!$M$30)*1.06</f>
        <v>1.06</v>
      </c>
      <c r="S32" s="42"/>
      <c r="T32" s="42">
        <f>1 - CUSTOS!$M$30</f>
        <v>1</v>
      </c>
      <c r="U32" s="42">
        <f>1 - CUSTOS!$M$30</f>
        <v>1</v>
      </c>
      <c r="V32" s="42">
        <f>1 - CUSTOS!$M$30</f>
        <v>1</v>
      </c>
      <c r="W32" s="42"/>
      <c r="X32" s="42"/>
      <c r="Y32" s="42"/>
      <c r="Z32" s="42">
        <f>1 - CUSTOS!$M$30</f>
        <v>1</v>
      </c>
      <c r="AA32" s="42"/>
      <c r="AB32" s="42"/>
    </row>
    <row r="33" spans="1:28" ht="11.25" customHeight="1" x14ac:dyDescent="0.25">
      <c r="A33" s="118"/>
      <c r="B33" s="118" t="s">
        <v>86</v>
      </c>
      <c r="C33" s="118" t="s">
        <v>44</v>
      </c>
      <c r="D33" s="44" t="s">
        <v>25</v>
      </c>
      <c r="E33" s="44" t="s">
        <v>25</v>
      </c>
      <c r="F33" s="44" t="s">
        <v>25</v>
      </c>
      <c r="G33" s="45" t="s">
        <v>76</v>
      </c>
      <c r="H33" s="45" t="s">
        <v>72</v>
      </c>
      <c r="I33" s="45">
        <f>'MERCADO TE'!$U$30</f>
        <v>0</v>
      </c>
      <c r="J33" s="15"/>
      <c r="L33" s="42">
        <f>1 - CUSTOS!$M$28</f>
        <v>1</v>
      </c>
      <c r="M33" s="42">
        <f>1 - CUSTOS!$M$28</f>
        <v>1</v>
      </c>
      <c r="N33" s="42">
        <f>1 - CUSTOS!$M$28</f>
        <v>1</v>
      </c>
      <c r="O33" s="42">
        <f>1 - CUSTOS!$M$28</f>
        <v>1</v>
      </c>
      <c r="P33" s="42">
        <f>1 - CUSTOS!$M$28</f>
        <v>1</v>
      </c>
      <c r="Q33" s="42"/>
      <c r="R33" s="42">
        <f>(1 - CUSTOS!$M$28)*1.06</f>
        <v>1.06</v>
      </c>
      <c r="S33" s="42"/>
      <c r="T33" s="42">
        <f>1 - CUSTOS!$M$28</f>
        <v>1</v>
      </c>
      <c r="U33" s="42">
        <f>1 - CUSTOS!$M$28</f>
        <v>1</v>
      </c>
      <c r="V33" s="42">
        <f>1 - CUSTOS!$M$28</f>
        <v>1</v>
      </c>
      <c r="W33" s="42"/>
      <c r="X33" s="42"/>
      <c r="Y33" s="42"/>
      <c r="Z33" s="42">
        <f>1 - CUSTOS!$M$28</f>
        <v>1</v>
      </c>
      <c r="AA33" s="42"/>
      <c r="AB33" s="42"/>
    </row>
    <row r="34" spans="1:28" ht="11.25" customHeight="1" x14ac:dyDescent="0.25">
      <c r="A34" s="118"/>
      <c r="B34" s="118"/>
      <c r="C34" s="118"/>
      <c r="D34" s="44" t="s">
        <v>88</v>
      </c>
      <c r="E34" s="44" t="s">
        <v>25</v>
      </c>
      <c r="F34" s="44" t="s">
        <v>25</v>
      </c>
      <c r="G34" s="45" t="s">
        <v>76</v>
      </c>
      <c r="H34" s="45" t="s">
        <v>72</v>
      </c>
      <c r="I34" s="45">
        <f>'MERCADO TE'!$U$31</f>
        <v>0</v>
      </c>
      <c r="J34" s="15"/>
      <c r="L34" s="42">
        <f>1 - CUSTOS!$M$29</f>
        <v>1</v>
      </c>
      <c r="M34" s="42">
        <f>1 - CUSTOS!$M$29</f>
        <v>1</v>
      </c>
      <c r="N34" s="42">
        <f>1 - CUSTOS!$M$29</f>
        <v>1</v>
      </c>
      <c r="O34" s="42">
        <f>1 - CUSTOS!$M$29</f>
        <v>1</v>
      </c>
      <c r="P34" s="42">
        <f>1 - CUSTOS!$M$29</f>
        <v>1</v>
      </c>
      <c r="Q34" s="42"/>
      <c r="R34" s="42">
        <f>(1 - CUSTOS!$M$29)*1.06</f>
        <v>1.06</v>
      </c>
      <c r="S34" s="42"/>
      <c r="T34" s="42">
        <f>1 - CUSTOS!$M$29</f>
        <v>1</v>
      </c>
      <c r="U34" s="42">
        <f>1 - CUSTOS!$M$29</f>
        <v>1</v>
      </c>
      <c r="V34" s="42">
        <f>1 - CUSTOS!$M$29</f>
        <v>1</v>
      </c>
      <c r="W34" s="42"/>
      <c r="X34" s="42"/>
      <c r="Y34" s="42"/>
      <c r="Z34" s="42">
        <f>1 - CUSTOS!$M$29</f>
        <v>1</v>
      </c>
      <c r="AA34" s="42"/>
      <c r="AB34" s="42"/>
    </row>
    <row r="35" spans="1:28" ht="11.25" customHeight="1" x14ac:dyDescent="0.25">
      <c r="A35" s="118"/>
      <c r="B35" s="118"/>
      <c r="C35" s="118"/>
      <c r="D35" s="44" t="s">
        <v>89</v>
      </c>
      <c r="E35" s="44" t="s">
        <v>25</v>
      </c>
      <c r="F35" s="44" t="s">
        <v>25</v>
      </c>
      <c r="G35" s="45" t="s">
        <v>76</v>
      </c>
      <c r="H35" s="45" t="s">
        <v>72</v>
      </c>
      <c r="I35" s="45">
        <f>'MERCADO TE'!$U$32</f>
        <v>0</v>
      </c>
      <c r="J35" s="15"/>
      <c r="L35" s="42">
        <f>1 - CUSTOS!$M$30</f>
        <v>1</v>
      </c>
      <c r="M35" s="42">
        <f>1 - CUSTOS!$M$30</f>
        <v>1</v>
      </c>
      <c r="N35" s="42">
        <f>1 - CUSTOS!$M$30</f>
        <v>1</v>
      </c>
      <c r="O35" s="42">
        <f>1 - CUSTOS!$M$30</f>
        <v>1</v>
      </c>
      <c r="P35" s="42">
        <f>1 - CUSTOS!$M$30</f>
        <v>1</v>
      </c>
      <c r="Q35" s="42"/>
      <c r="R35" s="42">
        <f>(1 - CUSTOS!$M$30)*1.06</f>
        <v>1.06</v>
      </c>
      <c r="S35" s="42"/>
      <c r="T35" s="42">
        <f>1 - CUSTOS!$M$30</f>
        <v>1</v>
      </c>
      <c r="U35" s="42">
        <f>1 - CUSTOS!$M$30</f>
        <v>1</v>
      </c>
      <c r="V35" s="42">
        <f>1 - CUSTOS!$M$30</f>
        <v>1</v>
      </c>
      <c r="W35" s="42"/>
      <c r="X35" s="42"/>
      <c r="Y35" s="42"/>
      <c r="Z35" s="42">
        <f>1 - CUSTOS!$M$30</f>
        <v>1</v>
      </c>
      <c r="AA35" s="42"/>
      <c r="AB35" s="42"/>
    </row>
    <row r="36" spans="1:28" ht="11.25" customHeight="1" x14ac:dyDescent="0.25">
      <c r="A36" s="118" t="s">
        <v>37</v>
      </c>
      <c r="B36" s="118" t="s">
        <v>71</v>
      </c>
      <c r="C36" s="118" t="s">
        <v>25</v>
      </c>
      <c r="D36" s="118" t="s">
        <v>25</v>
      </c>
      <c r="E36" s="118" t="s">
        <v>25</v>
      </c>
      <c r="F36" s="118" t="s">
        <v>25</v>
      </c>
      <c r="G36" s="45" t="s">
        <v>73</v>
      </c>
      <c r="H36" s="45" t="s">
        <v>72</v>
      </c>
      <c r="I36" s="45">
        <f>'MERCADO TE'!$U$33</f>
        <v>38.241999999999997</v>
      </c>
      <c r="J36" s="15"/>
      <c r="L36" s="42">
        <f>1 - CUSTOS!$M$31</f>
        <v>1</v>
      </c>
      <c r="M36" s="42">
        <f>1 - CUSTOS!$M$31</f>
        <v>1</v>
      </c>
      <c r="N36" s="42">
        <f>1 - CUSTOS!$M$31</f>
        <v>1</v>
      </c>
      <c r="O36" s="42">
        <f>1 - CUSTOS!$M$31</f>
        <v>1</v>
      </c>
      <c r="P36" s="42">
        <f>1 - CUSTOS!$M$31</f>
        <v>1</v>
      </c>
      <c r="Q36" s="42"/>
      <c r="R36" s="42">
        <f>(1 - CUSTOS!$M$31)*1.72</f>
        <v>1.72</v>
      </c>
      <c r="S36" s="42"/>
      <c r="T36" s="42">
        <f>1 - CUSTOS!$M$31</f>
        <v>1</v>
      </c>
      <c r="U36" s="42">
        <f>1 - CUSTOS!$M$31</f>
        <v>1</v>
      </c>
      <c r="V36" s="42">
        <f>1 - CUSTOS!$M$31</f>
        <v>1</v>
      </c>
      <c r="W36" s="42"/>
      <c r="X36" s="42"/>
      <c r="Y36" s="42"/>
      <c r="Z36" s="42">
        <f>1 - CUSTOS!$M$31</f>
        <v>1</v>
      </c>
      <c r="AA36" s="42"/>
      <c r="AB36" s="42"/>
    </row>
    <row r="37" spans="1:28" ht="11.25" customHeight="1" x14ac:dyDescent="0.25">
      <c r="A37" s="118"/>
      <c r="B37" s="118"/>
      <c r="C37" s="118"/>
      <c r="D37" s="118"/>
      <c r="E37" s="118"/>
      <c r="F37" s="118"/>
      <c r="G37" s="45" t="s">
        <v>85</v>
      </c>
      <c r="H37" s="45" t="s">
        <v>72</v>
      </c>
      <c r="I37" s="45">
        <f>'MERCADO TE'!$U$34</f>
        <v>26.390000000000004</v>
      </c>
      <c r="J37" s="15"/>
      <c r="L37" s="42">
        <f>1 - CUSTOS!$M$31</f>
        <v>1</v>
      </c>
      <c r="M37" s="42">
        <f>1 - CUSTOS!$M$31</f>
        <v>1</v>
      </c>
      <c r="N37" s="42">
        <f>1 - CUSTOS!$M$31</f>
        <v>1</v>
      </c>
      <c r="O37" s="42">
        <f>1 - CUSTOS!$M$31</f>
        <v>1</v>
      </c>
      <c r="P37" s="42">
        <f>1 - CUSTOS!$M$31</f>
        <v>1</v>
      </c>
      <c r="Q37" s="42"/>
      <c r="R37" s="42">
        <f>(1 - CUSTOS!$M$31)*1</f>
        <v>1</v>
      </c>
      <c r="S37" s="42"/>
      <c r="T37" s="42">
        <f>1 - CUSTOS!$M$31</f>
        <v>1</v>
      </c>
      <c r="U37" s="42">
        <f>1 - CUSTOS!$M$31</f>
        <v>1</v>
      </c>
      <c r="V37" s="42">
        <f>1 - CUSTOS!$M$31</f>
        <v>1</v>
      </c>
      <c r="W37" s="42"/>
      <c r="X37" s="42"/>
      <c r="Y37" s="42"/>
      <c r="Z37" s="42">
        <f>1 - CUSTOS!$M$31</f>
        <v>1</v>
      </c>
      <c r="AA37" s="42"/>
      <c r="AB37" s="42"/>
    </row>
    <row r="38" spans="1:28" ht="11.25" customHeight="1" x14ac:dyDescent="0.25">
      <c r="A38" s="118"/>
      <c r="B38" s="118"/>
      <c r="C38" s="118"/>
      <c r="D38" s="118"/>
      <c r="E38" s="118"/>
      <c r="F38" s="118"/>
      <c r="G38" s="45" t="s">
        <v>74</v>
      </c>
      <c r="H38" s="45" t="s">
        <v>72</v>
      </c>
      <c r="I38" s="45">
        <f>'MERCADO TE'!$U$35</f>
        <v>1181.6300000000001</v>
      </c>
      <c r="J38" s="15"/>
      <c r="L38" s="42">
        <f>1 - CUSTOS!$M$31</f>
        <v>1</v>
      </c>
      <c r="M38" s="42">
        <f>1 - CUSTOS!$M$31</f>
        <v>1</v>
      </c>
      <c r="N38" s="42">
        <f>1 - CUSTOS!$M$31</f>
        <v>1</v>
      </c>
      <c r="O38" s="42">
        <f>1 - CUSTOS!$M$31</f>
        <v>1</v>
      </c>
      <c r="P38" s="42">
        <f>1 - CUSTOS!$M$31</f>
        <v>1</v>
      </c>
      <c r="Q38" s="42"/>
      <c r="R38" s="42">
        <f>(1 - CUSTOS!$M$31)*1</f>
        <v>1</v>
      </c>
      <c r="S38" s="42"/>
      <c r="T38" s="42">
        <f>1 - CUSTOS!$M$31</f>
        <v>1</v>
      </c>
      <c r="U38" s="42">
        <f>1 - CUSTOS!$M$31</f>
        <v>1</v>
      </c>
      <c r="V38" s="42">
        <f>1 - CUSTOS!$M$31</f>
        <v>1</v>
      </c>
      <c r="W38" s="42"/>
      <c r="X38" s="42"/>
      <c r="Y38" s="42"/>
      <c r="Z38" s="42">
        <f>1 - CUSTOS!$M$31</f>
        <v>1</v>
      </c>
      <c r="AA38" s="42"/>
      <c r="AB38" s="42"/>
    </row>
    <row r="39" spans="1:28" ht="11.25" customHeight="1" x14ac:dyDescent="0.25">
      <c r="A39" s="118"/>
      <c r="B39" s="44" t="s">
        <v>75</v>
      </c>
      <c r="C39" s="44" t="s">
        <v>25</v>
      </c>
      <c r="D39" s="44" t="s">
        <v>25</v>
      </c>
      <c r="E39" s="44" t="s">
        <v>25</v>
      </c>
      <c r="F39" s="44" t="s">
        <v>25</v>
      </c>
      <c r="G39" s="45" t="s">
        <v>76</v>
      </c>
      <c r="H39" s="45" t="s">
        <v>72</v>
      </c>
      <c r="I39" s="45">
        <f>'MERCADO TE'!$U$36</f>
        <v>197307.342</v>
      </c>
      <c r="J39" s="15"/>
      <c r="L39" s="42">
        <f>1 - CUSTOS!$M$31</f>
        <v>1</v>
      </c>
      <c r="M39" s="42">
        <f>1 - CUSTOS!$M$31</f>
        <v>1</v>
      </c>
      <c r="N39" s="42">
        <f>1 - CUSTOS!$M$31</f>
        <v>1</v>
      </c>
      <c r="O39" s="42">
        <f>1 - CUSTOS!$M$31</f>
        <v>1</v>
      </c>
      <c r="P39" s="42">
        <f>1 - CUSTOS!$M$31</f>
        <v>1</v>
      </c>
      <c r="Q39" s="42"/>
      <c r="R39" s="42">
        <f>(1 - CUSTOS!$M$31)*1.06</f>
        <v>1.06</v>
      </c>
      <c r="S39" s="42"/>
      <c r="T39" s="42">
        <f>1 - CUSTOS!$M$31</f>
        <v>1</v>
      </c>
      <c r="U39" s="42">
        <f>1 - CUSTOS!$M$31</f>
        <v>1</v>
      </c>
      <c r="V39" s="42">
        <f>1 - CUSTOS!$M$31</f>
        <v>1</v>
      </c>
      <c r="W39" s="42"/>
      <c r="X39" s="42"/>
      <c r="Y39" s="42"/>
      <c r="Z39" s="42">
        <f>1 - CUSTOS!$M$31</f>
        <v>1</v>
      </c>
      <c r="AA39" s="42"/>
      <c r="AB39" s="42"/>
    </row>
    <row r="40" spans="1:28" ht="11.25" customHeight="1" x14ac:dyDescent="0.25">
      <c r="A40" s="118"/>
      <c r="B40" s="44" t="s">
        <v>86</v>
      </c>
      <c r="C40" s="44" t="s">
        <v>25</v>
      </c>
      <c r="D40" s="44" t="s">
        <v>25</v>
      </c>
      <c r="E40" s="44" t="s">
        <v>25</v>
      </c>
      <c r="F40" s="44" t="s">
        <v>25</v>
      </c>
      <c r="G40" s="45" t="s">
        <v>76</v>
      </c>
      <c r="H40" s="45" t="s">
        <v>72</v>
      </c>
      <c r="I40" s="45">
        <f>'MERCADO TE'!$U$37</f>
        <v>0</v>
      </c>
      <c r="J40" s="15"/>
      <c r="L40" s="42">
        <f>1 - CUSTOS!$M$31</f>
        <v>1</v>
      </c>
      <c r="M40" s="42">
        <f>1 - CUSTOS!$M$31</f>
        <v>1</v>
      </c>
      <c r="N40" s="42">
        <f>1 - CUSTOS!$M$31</f>
        <v>1</v>
      </c>
      <c r="O40" s="42">
        <f>1 - CUSTOS!$M$31</f>
        <v>1</v>
      </c>
      <c r="P40" s="42">
        <f>1 - CUSTOS!$M$31</f>
        <v>1</v>
      </c>
      <c r="Q40" s="42"/>
      <c r="R40" s="42">
        <f>(1 - CUSTOS!$M$31)*1.06</f>
        <v>1.06</v>
      </c>
      <c r="S40" s="42"/>
      <c r="T40" s="42">
        <f>1 - CUSTOS!$M$31</f>
        <v>1</v>
      </c>
      <c r="U40" s="42">
        <f>1 - CUSTOS!$M$31</f>
        <v>1</v>
      </c>
      <c r="V40" s="42">
        <f>1 - CUSTOS!$M$31</f>
        <v>1</v>
      </c>
      <c r="W40" s="42"/>
      <c r="X40" s="42"/>
      <c r="Y40" s="42"/>
      <c r="Z40" s="42">
        <f>1 - CUSTOS!$M$31</f>
        <v>1</v>
      </c>
      <c r="AA40" s="42"/>
      <c r="AB40" s="42"/>
    </row>
    <row r="41" spans="1:28" ht="11.25" customHeight="1" x14ac:dyDescent="0.25">
      <c r="A41" s="118" t="s">
        <v>46</v>
      </c>
      <c r="B41" s="118" t="s">
        <v>75</v>
      </c>
      <c r="C41" s="118" t="s">
        <v>47</v>
      </c>
      <c r="D41" s="44" t="s">
        <v>48</v>
      </c>
      <c r="E41" s="44" t="s">
        <v>25</v>
      </c>
      <c r="F41" s="44" t="s">
        <v>25</v>
      </c>
      <c r="G41" s="45" t="s">
        <v>76</v>
      </c>
      <c r="H41" s="45" t="s">
        <v>72</v>
      </c>
      <c r="I41" s="45">
        <f>'MERCADO TE'!$U$38</f>
        <v>42496.07</v>
      </c>
      <c r="J41" s="15"/>
      <c r="L41" s="42">
        <f>1 - CUSTOS!$M$32</f>
        <v>0.55000000000000004</v>
      </c>
      <c r="M41" s="42">
        <f>1 - CUSTOS!$M$32</f>
        <v>0.55000000000000004</v>
      </c>
      <c r="N41" s="42">
        <f>1 - CUSTOS!$M$32</f>
        <v>0.55000000000000004</v>
      </c>
      <c r="O41" s="42">
        <f>1 - CUSTOS!$M$32</f>
        <v>0.55000000000000004</v>
      </c>
      <c r="P41" s="42">
        <f>1 - CUSTOS!$M$32</f>
        <v>0.55000000000000004</v>
      </c>
      <c r="Q41" s="42"/>
      <c r="R41" s="42">
        <f>(1 - CUSTOS!$M$32)*1.06</f>
        <v>0.58300000000000007</v>
      </c>
      <c r="S41" s="42"/>
      <c r="T41" s="42">
        <f>1 - CUSTOS!$M$32</f>
        <v>0.55000000000000004</v>
      </c>
      <c r="U41" s="42">
        <f>1 - CUSTOS!$M$32</f>
        <v>0.55000000000000004</v>
      </c>
      <c r="V41" s="42">
        <f>1 - CUSTOS!$M$32</f>
        <v>0.55000000000000004</v>
      </c>
      <c r="W41" s="42"/>
      <c r="X41" s="42"/>
      <c r="Y41" s="42"/>
      <c r="Z41" s="42">
        <f>1 - CUSTOS!$M$32</f>
        <v>0.55000000000000004</v>
      </c>
      <c r="AA41" s="42"/>
      <c r="AB41" s="42"/>
    </row>
    <row r="42" spans="1:28" ht="11.25" customHeight="1" x14ac:dyDescent="0.25">
      <c r="A42" s="118"/>
      <c r="B42" s="118"/>
      <c r="C42" s="118"/>
      <c r="D42" s="45" t="s">
        <v>90</v>
      </c>
      <c r="E42" s="45" t="s">
        <v>25</v>
      </c>
      <c r="F42" s="45" t="s">
        <v>25</v>
      </c>
      <c r="G42" s="45" t="s">
        <v>76</v>
      </c>
      <c r="H42" s="45" t="s">
        <v>72</v>
      </c>
      <c r="I42" s="45">
        <f>'MERCADO TE'!$U$39</f>
        <v>0</v>
      </c>
      <c r="J42" s="15"/>
      <c r="L42" s="42">
        <f>1 - CUSTOS!$M$33</f>
        <v>0.6</v>
      </c>
      <c r="M42" s="42">
        <f>1 - CUSTOS!$M$33</f>
        <v>0.6</v>
      </c>
      <c r="N42" s="42">
        <f>1 - CUSTOS!$M$33</f>
        <v>0.6</v>
      </c>
      <c r="O42" s="42">
        <f>1 - CUSTOS!$M$33</f>
        <v>0.6</v>
      </c>
      <c r="P42" s="42">
        <f>1 - CUSTOS!$M$33</f>
        <v>0.6</v>
      </c>
      <c r="Q42" s="42"/>
      <c r="R42" s="42">
        <f>(1 - CUSTOS!$M$33)*1.06</f>
        <v>0.63600000000000001</v>
      </c>
      <c r="S42" s="42"/>
      <c r="T42" s="42">
        <f>1 - CUSTOS!$M$33</f>
        <v>0.6</v>
      </c>
      <c r="U42" s="42">
        <f>1 - CUSTOS!$M$33</f>
        <v>0.6</v>
      </c>
      <c r="V42" s="42">
        <f>1 - CUSTOS!$M$33</f>
        <v>0.6</v>
      </c>
      <c r="W42" s="42"/>
      <c r="X42" s="42"/>
      <c r="Y42" s="42"/>
      <c r="Z42" s="42">
        <f>1 - CUSTOS!$M$33</f>
        <v>0.6</v>
      </c>
      <c r="AA42" s="42"/>
      <c r="AB42" s="42"/>
    </row>
    <row r="44" spans="1:28" ht="11.25" customHeight="1" x14ac:dyDescent="0.25">
      <c r="K44" s="47" t="s">
        <v>677</v>
      </c>
      <c r="L44" s="42">
        <f t="shared" ref="L44:AB44" si="0">SUMPRODUCT($I$5:$I$42,L$5:L$42)</f>
        <v>1136371.3595</v>
      </c>
      <c r="M44" s="42">
        <f t="shared" si="0"/>
        <v>1136371.3595</v>
      </c>
      <c r="N44" s="42">
        <f t="shared" si="0"/>
        <v>1136371.3595</v>
      </c>
      <c r="O44" s="42">
        <f t="shared" si="0"/>
        <v>1136371.3595</v>
      </c>
      <c r="P44" s="42">
        <f t="shared" si="0"/>
        <v>1136371.3595</v>
      </c>
      <c r="Q44" s="42">
        <f t="shared" si="0"/>
        <v>0</v>
      </c>
      <c r="R44" s="42">
        <f t="shared" si="0"/>
        <v>1202004.4352300002</v>
      </c>
      <c r="S44" s="42">
        <f t="shared" si="0"/>
        <v>0</v>
      </c>
      <c r="T44" s="42">
        <f t="shared" si="0"/>
        <v>1136371.3595</v>
      </c>
      <c r="U44" s="42">
        <f t="shared" si="0"/>
        <v>1136371.3595</v>
      </c>
      <c r="V44" s="42">
        <f t="shared" si="0"/>
        <v>1136371.3595</v>
      </c>
      <c r="W44" s="42">
        <f t="shared" si="0"/>
        <v>0</v>
      </c>
      <c r="X44" s="42">
        <f t="shared" si="0"/>
        <v>0</v>
      </c>
      <c r="Y44" s="42">
        <f t="shared" si="0"/>
        <v>0</v>
      </c>
      <c r="Z44" s="42">
        <f t="shared" si="0"/>
        <v>1136371.3595</v>
      </c>
      <c r="AA44" s="42">
        <f t="shared" si="0"/>
        <v>0</v>
      </c>
      <c r="AB44" s="42">
        <f t="shared" si="0"/>
        <v>0</v>
      </c>
    </row>
    <row r="45" spans="1:28" ht="11.25" customHeight="1" x14ac:dyDescent="0.25">
      <c r="K45" s="47" t="s">
        <v>602</v>
      </c>
      <c r="L45" s="42">
        <f>CUSTOS!$D$30</f>
        <v>3803634.9554985329</v>
      </c>
      <c r="M45" s="42">
        <f>CUSTOS!$D$31</f>
        <v>0</v>
      </c>
      <c r="N45" s="42">
        <f>CUSTOS!$D$32</f>
        <v>0</v>
      </c>
      <c r="O45" s="42">
        <f>CUSTOS!$D$33</f>
        <v>1649021.7022508194</v>
      </c>
      <c r="P45" s="42">
        <f>CUSTOS!$D$34</f>
        <v>0</v>
      </c>
      <c r="Q45" s="42">
        <f>CUSTOS!$D$35</f>
        <v>5452656.657749352</v>
      </c>
      <c r="R45" s="42">
        <f>CUSTOS!$D$36</f>
        <v>388556240.29125124</v>
      </c>
      <c r="S45" s="42">
        <f>CUSTOS!$D$37</f>
        <v>388556240.29125124</v>
      </c>
      <c r="T45" s="42">
        <f>CUSTOS!$D$38</f>
        <v>0</v>
      </c>
      <c r="U45" s="42">
        <f>CUSTOS!$D$39</f>
        <v>0</v>
      </c>
      <c r="V45" s="42">
        <f>CUSTOS!$D$40</f>
        <v>0</v>
      </c>
      <c r="W45" s="42">
        <f>CUSTOS!$D$41</f>
        <v>0</v>
      </c>
      <c r="X45" s="42">
        <f>CUSTOS!$D$42</f>
        <v>0</v>
      </c>
      <c r="Y45" s="42">
        <f>CUSTOS!$D$43</f>
        <v>0</v>
      </c>
      <c r="Z45" s="42">
        <f>CUSTOS!$D$44</f>
        <v>0</v>
      </c>
      <c r="AA45" s="42">
        <f>CUSTOS!$D$45</f>
        <v>0</v>
      </c>
      <c r="AB45" s="42">
        <f>CUSTOS!$D$46</f>
        <v>394008896.9490006</v>
      </c>
    </row>
    <row r="46" spans="1:28" ht="11.25" customHeight="1" x14ac:dyDescent="0.25">
      <c r="K46" s="47" t="s">
        <v>603</v>
      </c>
      <c r="L46" s="42">
        <f>CUSTOS!$E$30</f>
        <v>8.8125939035649825</v>
      </c>
      <c r="M46" s="42">
        <f>CUSTOS!$E$31</f>
        <v>0</v>
      </c>
      <c r="N46" s="42">
        <f>CUSTOS!$E$32</f>
        <v>0</v>
      </c>
      <c r="O46" s="42">
        <f>CUSTOS!$E$33</f>
        <v>-619505.78256934951</v>
      </c>
      <c r="P46" s="42">
        <f>CUSTOS!$E$34</f>
        <v>0</v>
      </c>
      <c r="Q46" s="42">
        <f>CUSTOS!$E$35</f>
        <v>-619496.969975446</v>
      </c>
      <c r="R46" s="42">
        <f>CUSTOS!$E$36</f>
        <v>-10653371.82561641</v>
      </c>
      <c r="S46" s="42">
        <f>CUSTOS!$E$37</f>
        <v>-10653371.82561641</v>
      </c>
      <c r="T46" s="42">
        <f>CUSTOS!$E$38</f>
        <v>0</v>
      </c>
      <c r="U46" s="42">
        <f>CUSTOS!$E$39</f>
        <v>0</v>
      </c>
      <c r="V46" s="42">
        <f>CUSTOS!$E$40</f>
        <v>0</v>
      </c>
      <c r="W46" s="42">
        <f>CUSTOS!$E$41</f>
        <v>0</v>
      </c>
      <c r="X46" s="42">
        <f>CUSTOS!$E$42</f>
        <v>0</v>
      </c>
      <c r="Y46" s="42">
        <f>CUSTOS!$E$43</f>
        <v>0</v>
      </c>
      <c r="Z46" s="42">
        <f>CUSTOS!$E$44</f>
        <v>0</v>
      </c>
      <c r="AA46" s="42">
        <f>CUSTOS!$E$45</f>
        <v>0</v>
      </c>
      <c r="AB46" s="42">
        <f>CUSTOS!$E$46</f>
        <v>-11272868.795591855</v>
      </c>
    </row>
    <row r="47" spans="1:28" ht="11.25" customHeight="1" x14ac:dyDescent="0.25">
      <c r="K47" s="47" t="s">
        <v>604</v>
      </c>
      <c r="L47" s="42">
        <f>CUSTOS!$F$30</f>
        <v>0</v>
      </c>
      <c r="M47" s="42">
        <f>CUSTOS!$F$31</f>
        <v>0</v>
      </c>
      <c r="N47" s="42">
        <f>CUSTOS!$F$32</f>
        <v>0</v>
      </c>
      <c r="O47" s="42">
        <f>CUSTOS!$F$33</f>
        <v>0</v>
      </c>
      <c r="P47" s="42">
        <f>CUSTOS!$F$34</f>
        <v>0</v>
      </c>
      <c r="Q47" s="42">
        <f>CUSTOS!$F$35</f>
        <v>0</v>
      </c>
      <c r="R47" s="42">
        <f>CUSTOS!$F$36</f>
        <v>-1514051.4409483867</v>
      </c>
      <c r="S47" s="42">
        <f>CUSTOS!$F$37</f>
        <v>-1514051.4409483867</v>
      </c>
      <c r="T47" s="42">
        <f>CUSTOS!$F$38</f>
        <v>0</v>
      </c>
      <c r="U47" s="42">
        <f>CUSTOS!$F$39</f>
        <v>0</v>
      </c>
      <c r="V47" s="42">
        <f>CUSTOS!$F$40</f>
        <v>0</v>
      </c>
      <c r="W47" s="42">
        <f>CUSTOS!$F$41</f>
        <v>0</v>
      </c>
      <c r="X47" s="42">
        <f>CUSTOS!$F$42</f>
        <v>0</v>
      </c>
      <c r="Y47" s="42">
        <f>CUSTOS!$F$43</f>
        <v>0</v>
      </c>
      <c r="Z47" s="42">
        <f>CUSTOS!$F$44</f>
        <v>0</v>
      </c>
      <c r="AA47" s="42">
        <f>CUSTOS!$F$45</f>
        <v>0</v>
      </c>
      <c r="AB47" s="42">
        <f>CUSTOS!$F$46</f>
        <v>-1514051.4409483867</v>
      </c>
    </row>
    <row r="48" spans="1:28" ht="11.25" customHeight="1" x14ac:dyDescent="0.25">
      <c r="K48" s="47" t="s">
        <v>678</v>
      </c>
      <c r="L48" s="42">
        <f>IF(SUMPRODUCT($I$5:$I$42,$L$5:$L$42)&lt;&gt;0,L45/SUMPRODUCT($I$5:$I$42,$L$5:$L$42),0)</f>
        <v>3.3471760122255465</v>
      </c>
      <c r="M48" s="42">
        <f>IF(SUMPRODUCT($I$5:$I$42,$M$5:$M$42)&lt;&gt;0,M45/SUMPRODUCT($I$5:$I$42,$M$5:$M$42),0)</f>
        <v>0</v>
      </c>
      <c r="N48" s="42">
        <f>IF(SUMPRODUCT($I$5:$I$42,$N$5:$N$42)&lt;&gt;0,N45/SUMPRODUCT($I$5:$I$42,$N$5:$N$42),0)</f>
        <v>0</v>
      </c>
      <c r="O48" s="42">
        <f>IF(SUMPRODUCT($I$5:$I$42,$O$5:$O$42)&lt;&gt;0,O45/SUMPRODUCT($I$5:$I$42,$O$5:$O$42),0)</f>
        <v>1.4511292355840295</v>
      </c>
      <c r="P48" s="42">
        <f>IF(SUMPRODUCT($I$5:$I$42,$P$5:$P$42)&lt;&gt;0,P45/SUMPRODUCT($I$5:$I$42,$P$5:$P$42),0)</f>
        <v>0</v>
      </c>
      <c r="Q48" s="42"/>
      <c r="R48" s="42">
        <f>IF((CUSTOS!$M$12-CUSTOS!$M$13)&lt;&gt;0,(CUSTOS!$M$12*CUSTOS!$M$14)/(CUSTOS!$M$12-CUSTOS!$M$13),0)</f>
        <v>336.26833333333343</v>
      </c>
      <c r="S48" s="42"/>
      <c r="T48" s="42">
        <f>IF(SUMPRODUCT($I$5:$I$42,$T$5:$T$42)&lt;&gt;0,T45/SUMPRODUCT($I$5:$I$42,$T$5:$T$42),0)</f>
        <v>0</v>
      </c>
      <c r="U48" s="42">
        <f>IF(SUMPRODUCT($I$5:$I$42,$U$5:$U$42)&lt;&gt;0,U45/SUMPRODUCT($I$5:$I$42,$U$5:$U$42),0)</f>
        <v>0</v>
      </c>
      <c r="V48" s="42">
        <f>IF(SUMPRODUCT($I$5:$I$42,$V$5:$V$42)&lt;&gt;0,V45/SUMPRODUCT($I$5:$I$42,$V$5:$V$42),0)</f>
        <v>0</v>
      </c>
      <c r="W48" s="42"/>
      <c r="X48" s="42">
        <f>IF(SUMPRODUCT($I$5:$I$42,$X$5:$X$42)&lt;&gt;0,X45/SUMPRODUCT($I$5:$I$42,$X$5:$X$42),0)</f>
        <v>0</v>
      </c>
      <c r="Y48" s="42"/>
      <c r="Z48" s="42">
        <f>IF(SUMPRODUCT($I$5:$I$42,$Z$5:$Z$42)&lt;&gt;0,Z45/SUMPRODUCT($I$5:$I$42,$Z$5:$Z$42),0)</f>
        <v>0</v>
      </c>
      <c r="AA48" s="42"/>
      <c r="AB48" s="42"/>
    </row>
    <row r="49" spans="11:28" ht="11.25" customHeight="1" x14ac:dyDescent="0.25">
      <c r="K49" s="47" t="s">
        <v>679</v>
      </c>
      <c r="L49" s="42">
        <f>IF(L44&lt;&gt;0,(L45-L48*0)/(L44-0),0)</f>
        <v>3.3471760122255465</v>
      </c>
      <c r="M49" s="42">
        <f>IF(M44&lt;&gt;0,(M45-M48*0)/(M44-0),0)</f>
        <v>0</v>
      </c>
      <c r="N49" s="42">
        <f>IF(N44&lt;&gt;0,(N45-N48*0)/(N44-0),0)</f>
        <v>0</v>
      </c>
      <c r="O49" s="42">
        <f>IF(O44&lt;&gt;0,(O45-O48*0)/(O44-0),0)</f>
        <v>1.4511292355840295</v>
      </c>
      <c r="P49" s="42">
        <f>IF(P44&lt;&gt;0,(P45-P48*0)/(P44-0),0)</f>
        <v>0</v>
      </c>
      <c r="Q49" s="42"/>
      <c r="R49" s="42">
        <f>IF(R44&lt;&gt;0,(R45-R48*0)/(R44-0),0)</f>
        <v>323.25691062604284</v>
      </c>
      <c r="S49" s="42"/>
      <c r="T49" s="42">
        <f>IF(T44&lt;&gt;0,(T45-T48*0)/(T44-0),0)</f>
        <v>0</v>
      </c>
      <c r="U49" s="42">
        <f>IF(U44&lt;&gt;0,(U45-U48*0)/(U44-0),0)</f>
        <v>0</v>
      </c>
      <c r="V49" s="42">
        <f>IF(V44&lt;&gt;0,(V45-V48*0)/(V44-0),0)</f>
        <v>0</v>
      </c>
      <c r="W49" s="42"/>
      <c r="X49" s="42">
        <f>IF(X44&lt;&gt;0,(X45-X48*0)/(X44-0),0)</f>
        <v>0</v>
      </c>
      <c r="Y49" s="42"/>
      <c r="Z49" s="42">
        <f>IF(Z44&lt;&gt;0,(Z45-Z48*0)/(Z44-0),0)</f>
        <v>0</v>
      </c>
      <c r="AA49" s="42"/>
      <c r="AB49" s="42"/>
    </row>
    <row r="50" spans="11:28" ht="11.25" customHeight="1" x14ac:dyDescent="0.25">
      <c r="K50" s="47" t="s">
        <v>680</v>
      </c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</row>
  </sheetData>
  <mergeCells count="61">
    <mergeCell ref="F5:F6"/>
    <mergeCell ref="A5:A7"/>
    <mergeCell ref="B5:B6"/>
    <mergeCell ref="C5:C6"/>
    <mergeCell ref="D5:D6"/>
    <mergeCell ref="E5:E6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59F7-F114-4510-A124-C447EEB75305}">
  <dimension ref="A1:AB50"/>
  <sheetViews>
    <sheetView showGridLines="0" topLeftCell="R30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62</v>
      </c>
      <c r="B1" s="117" t="s">
        <v>63</v>
      </c>
      <c r="C1" s="117" t="s">
        <v>64</v>
      </c>
      <c r="D1" s="117" t="s">
        <v>65</v>
      </c>
      <c r="E1" s="117" t="s">
        <v>66</v>
      </c>
      <c r="F1" s="117" t="s">
        <v>15</v>
      </c>
      <c r="G1" s="117" t="s">
        <v>68</v>
      </c>
      <c r="H1" s="117" t="s">
        <v>69</v>
      </c>
      <c r="I1" s="117" t="s">
        <v>661</v>
      </c>
      <c r="J1" s="103"/>
      <c r="L1" s="115" t="s">
        <v>681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3"/>
      <c r="L2" s="115" t="s">
        <v>588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3"/>
      <c r="L3" s="115" t="s">
        <v>561</v>
      </c>
      <c r="M3" s="115"/>
      <c r="N3" s="115"/>
      <c r="O3" s="115"/>
      <c r="P3" s="115"/>
      <c r="Q3" s="115"/>
      <c r="R3" s="115" t="s">
        <v>592</v>
      </c>
      <c r="S3" s="115"/>
      <c r="T3" s="115" t="s">
        <v>570</v>
      </c>
      <c r="U3" s="115"/>
      <c r="V3" s="115"/>
      <c r="W3" s="115"/>
      <c r="X3" s="115" t="s">
        <v>580</v>
      </c>
      <c r="Y3" s="115"/>
      <c r="Z3" s="115" t="s">
        <v>583</v>
      </c>
      <c r="AA3" s="115"/>
      <c r="AB3" s="115" t="s">
        <v>569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3"/>
      <c r="L4" s="46" t="s">
        <v>563</v>
      </c>
      <c r="M4" s="46" t="s">
        <v>589</v>
      </c>
      <c r="N4" s="46" t="s">
        <v>590</v>
      </c>
      <c r="O4" s="46" t="s">
        <v>649</v>
      </c>
      <c r="P4" s="46" t="s">
        <v>591</v>
      </c>
      <c r="Q4" s="46" t="s">
        <v>569</v>
      </c>
      <c r="R4" s="46" t="s">
        <v>593</v>
      </c>
      <c r="S4" s="46" t="s">
        <v>569</v>
      </c>
      <c r="T4" s="46" t="s">
        <v>594</v>
      </c>
      <c r="U4" s="46" t="s">
        <v>595</v>
      </c>
      <c r="V4" s="46" t="s">
        <v>596</v>
      </c>
      <c r="W4" s="46" t="s">
        <v>569</v>
      </c>
      <c r="X4" s="46" t="s">
        <v>581</v>
      </c>
      <c r="Y4" s="46" t="s">
        <v>569</v>
      </c>
      <c r="Z4" s="46" t="s">
        <v>597</v>
      </c>
      <c r="AA4" s="46" t="s">
        <v>569</v>
      </c>
      <c r="AB4" s="116"/>
    </row>
    <row r="5" spans="1:28" ht="11.25" customHeight="1" x14ac:dyDescent="0.25">
      <c r="A5" s="118" t="s">
        <v>39</v>
      </c>
      <c r="B5" s="118" t="s">
        <v>71</v>
      </c>
      <c r="C5" s="118" t="s">
        <v>25</v>
      </c>
      <c r="D5" s="118" t="s">
        <v>25</v>
      </c>
      <c r="E5" s="118" t="s">
        <v>25</v>
      </c>
      <c r="F5" s="118" t="s">
        <v>25</v>
      </c>
      <c r="G5" s="45" t="s">
        <v>73</v>
      </c>
      <c r="H5" s="45" t="s">
        <v>72</v>
      </c>
      <c r="I5" s="45">
        <f>'MERCADO TE'!$U$2</f>
        <v>17056.542000000001</v>
      </c>
      <c r="J5" s="15"/>
      <c r="L5" s="42">
        <f>'TR TE'!$L$5*'TR TE'!$L$49</f>
        <v>3.3471760122255465</v>
      </c>
      <c r="M5" s="42">
        <f>'TR TE'!$M$5*'TR TE'!$M$49</f>
        <v>0</v>
      </c>
      <c r="N5" s="42">
        <f>'TR TE'!$N$5*'TR TE'!$N$49</f>
        <v>0</v>
      </c>
      <c r="O5" s="42">
        <f>'TR TE'!$O$5*'TR TE'!$O$49</f>
        <v>1.4511292355840295</v>
      </c>
      <c r="P5" s="42">
        <f>'TR TE'!$P$5*'TR TE'!$P$49</f>
        <v>0</v>
      </c>
      <c r="Q5" s="42">
        <f>SUM($L$5:$P$5)</f>
        <v>4.7983052478095765</v>
      </c>
      <c r="R5" s="42">
        <f>'TR TE'!$R$5*'TR TE'!$R$49</f>
        <v>556.0018862767937</v>
      </c>
      <c r="S5" s="42">
        <f>SUM($R$5:$R$5)</f>
        <v>556.0018862767937</v>
      </c>
      <c r="T5" s="42">
        <f>'TR TE'!$T$5*'TR TE'!$T$49</f>
        <v>0</v>
      </c>
      <c r="U5" s="42">
        <f>'TR TE'!$U$5*'TR TE'!$U$49</f>
        <v>0</v>
      </c>
      <c r="V5" s="42">
        <f>'TR TE'!$V$5*'TR TE'!$V$49</f>
        <v>0</v>
      </c>
      <c r="W5" s="42">
        <f>SUM($T$5:$V$5)</f>
        <v>0</v>
      </c>
      <c r="X5" s="42"/>
      <c r="Y5" s="42">
        <f>SUM($X$5:$X$5)</f>
        <v>0</v>
      </c>
      <c r="Z5" s="42">
        <f>'TR TE'!$Z$5*'TR TE'!$Z$49</f>
        <v>0</v>
      </c>
      <c r="AA5" s="42">
        <f>SUM($Z$5:$Z$5)</f>
        <v>0</v>
      </c>
      <c r="AB5" s="42">
        <f>SUMIF($L$4:$AA$4,"SUBTOTAL",$L$5:$AA$5)</f>
        <v>560.80019152460329</v>
      </c>
    </row>
    <row r="6" spans="1:28" ht="11.25" customHeight="1" x14ac:dyDescent="0.25">
      <c r="A6" s="118"/>
      <c r="B6" s="118"/>
      <c r="C6" s="118"/>
      <c r="D6" s="118"/>
      <c r="E6" s="118"/>
      <c r="F6" s="118"/>
      <c r="G6" s="45" t="s">
        <v>74</v>
      </c>
      <c r="H6" s="45" t="s">
        <v>72</v>
      </c>
      <c r="I6" s="45">
        <f>'MERCADO TE'!$U$3</f>
        <v>229435.486</v>
      </c>
      <c r="J6" s="15"/>
      <c r="L6" s="42">
        <f>'TR TE'!$L$6*'TR TE'!$L$49</f>
        <v>3.3471760122255465</v>
      </c>
      <c r="M6" s="42">
        <f>'TR TE'!$M$6*'TR TE'!$M$49</f>
        <v>0</v>
      </c>
      <c r="N6" s="42">
        <f>'TR TE'!$N$6*'TR TE'!$N$49</f>
        <v>0</v>
      </c>
      <c r="O6" s="42">
        <f>'TR TE'!$O$6*'TR TE'!$O$49</f>
        <v>1.4511292355840295</v>
      </c>
      <c r="P6" s="42">
        <f>'TR TE'!$P$6*'TR TE'!$P$49</f>
        <v>0</v>
      </c>
      <c r="Q6" s="42">
        <f>SUM($L$6:$P$6)</f>
        <v>4.7983052478095765</v>
      </c>
      <c r="R6" s="42">
        <f>'TR TE'!$R$6*'TR TE'!$R$49</f>
        <v>323.25691062604284</v>
      </c>
      <c r="S6" s="42">
        <f>SUM($R$6:$R$6)</f>
        <v>323.25691062604284</v>
      </c>
      <c r="T6" s="42">
        <f>'TR TE'!$T$6*'TR TE'!$T$49</f>
        <v>0</v>
      </c>
      <c r="U6" s="42">
        <f>'TR TE'!$U$6*'TR TE'!$U$49</f>
        <v>0</v>
      </c>
      <c r="V6" s="42">
        <f>'TR TE'!$V$6*'TR TE'!$V$49</f>
        <v>0</v>
      </c>
      <c r="W6" s="42">
        <f>SUM($T$6:$V$6)</f>
        <v>0</v>
      </c>
      <c r="X6" s="42"/>
      <c r="Y6" s="42">
        <f>SUM($X$6:$X$6)</f>
        <v>0</v>
      </c>
      <c r="Z6" s="42">
        <f>'TR TE'!$Z$6*'TR TE'!$Z$49</f>
        <v>0</v>
      </c>
      <c r="AA6" s="42">
        <f>SUM($Z$6:$Z$6)</f>
        <v>0</v>
      </c>
      <c r="AB6" s="42">
        <f>SUMIF($L$4:$AA$4,"SUBTOTAL",$L$6:$AA$6)</f>
        <v>328.05521587385243</v>
      </c>
    </row>
    <row r="7" spans="1:28" ht="11.25" customHeight="1" x14ac:dyDescent="0.25">
      <c r="A7" s="118"/>
      <c r="B7" s="44" t="s">
        <v>75</v>
      </c>
      <c r="C7" s="44" t="s">
        <v>25</v>
      </c>
      <c r="D7" s="44" t="s">
        <v>25</v>
      </c>
      <c r="E7" s="44" t="s">
        <v>25</v>
      </c>
      <c r="F7" s="44" t="s">
        <v>25</v>
      </c>
      <c r="G7" s="45" t="s">
        <v>76</v>
      </c>
      <c r="H7" s="45" t="s">
        <v>72</v>
      </c>
      <c r="I7" s="45">
        <f>'MERCADO TE'!$U$4</f>
        <v>0</v>
      </c>
      <c r="J7" s="15"/>
      <c r="L7" s="42">
        <f>'TR TE'!$L$7*'TR TE'!$L$49</f>
        <v>3.3471760122255465</v>
      </c>
      <c r="M7" s="42">
        <f>'TR TE'!$M$7*'TR TE'!$M$49</f>
        <v>0</v>
      </c>
      <c r="N7" s="42">
        <f>'TR TE'!$N$7*'TR TE'!$N$49</f>
        <v>0</v>
      </c>
      <c r="O7" s="42">
        <f>'TR TE'!$O$7*'TR TE'!$O$49</f>
        <v>1.4511292355840295</v>
      </c>
      <c r="P7" s="42">
        <f>'TR TE'!$P$7*'TR TE'!$P$49</f>
        <v>0</v>
      </c>
      <c r="Q7" s="42">
        <f>SUM($L$7:$P$7)</f>
        <v>4.7983052478095765</v>
      </c>
      <c r="R7" s="42">
        <f>'TR TE'!$R$7*'TR TE'!$R$49</f>
        <v>342.65232526360541</v>
      </c>
      <c r="S7" s="42">
        <f>SUM($R$7:$R$7)</f>
        <v>342.65232526360541</v>
      </c>
      <c r="T7" s="42">
        <f>'TR TE'!$T$7*'TR TE'!$T$49</f>
        <v>0</v>
      </c>
      <c r="U7" s="42">
        <f>'TR TE'!$U$7*'TR TE'!$U$49</f>
        <v>0</v>
      </c>
      <c r="V7" s="42">
        <f>'TR TE'!$V$7*'TR TE'!$V$49</f>
        <v>0</v>
      </c>
      <c r="W7" s="42">
        <f>SUM($T$7:$V$7)</f>
        <v>0</v>
      </c>
      <c r="X7" s="42"/>
      <c r="Y7" s="42">
        <f>SUM($X$7:$X$7)</f>
        <v>0</v>
      </c>
      <c r="Z7" s="42">
        <f>'TR TE'!$Z$7*'TR TE'!$Z$49</f>
        <v>0</v>
      </c>
      <c r="AA7" s="42">
        <f>SUM($Z$7:$Z$7)</f>
        <v>0</v>
      </c>
      <c r="AB7" s="42">
        <f>SUMIF($L$4:$AA$4,"SUBTOTAL",$L$7:$AA$7)</f>
        <v>347.450630511415</v>
      </c>
    </row>
    <row r="8" spans="1:28" ht="11.25" customHeight="1" x14ac:dyDescent="0.25">
      <c r="A8" s="118" t="s">
        <v>22</v>
      </c>
      <c r="B8" s="118" t="s">
        <v>71</v>
      </c>
      <c r="C8" s="118" t="s">
        <v>24</v>
      </c>
      <c r="D8" s="118" t="s">
        <v>24</v>
      </c>
      <c r="E8" s="118" t="s">
        <v>25</v>
      </c>
      <c r="F8" s="118" t="s">
        <v>25</v>
      </c>
      <c r="G8" s="45" t="s">
        <v>73</v>
      </c>
      <c r="H8" s="45" t="s">
        <v>72</v>
      </c>
      <c r="I8" s="45">
        <f>'MERCADO TE'!$U$5</f>
        <v>67.227000000000004</v>
      </c>
      <c r="J8" s="15"/>
      <c r="L8" s="42">
        <f>'TR TE'!$L$8*'TR TE'!$L$49</f>
        <v>3.3471760122255465</v>
      </c>
      <c r="M8" s="42">
        <f>'TR TE'!$M$8*'TR TE'!$M$49</f>
        <v>0</v>
      </c>
      <c r="N8" s="42">
        <f>'TR TE'!$N$8*'TR TE'!$N$49</f>
        <v>0</v>
      </c>
      <c r="O8" s="42">
        <f>'TR TE'!$O$8*'TR TE'!$O$49</f>
        <v>1.4511292355840295</v>
      </c>
      <c r="P8" s="42">
        <f>'TR TE'!$P$8*'TR TE'!$P$49</f>
        <v>0</v>
      </c>
      <c r="Q8" s="42">
        <f>SUM($L$8:$P$8)</f>
        <v>4.7983052478095765</v>
      </c>
      <c r="R8" s="42">
        <f>'TR TE'!$R$8*'TR TE'!$R$49</f>
        <v>556.0018862767937</v>
      </c>
      <c r="S8" s="42">
        <f>SUM($R$8:$R$8)</f>
        <v>556.0018862767937</v>
      </c>
      <c r="T8" s="42">
        <f>'TR TE'!$T$8*'TR TE'!$T$49</f>
        <v>0</v>
      </c>
      <c r="U8" s="42">
        <f>'TR TE'!$U$8*'TR TE'!$U$49</f>
        <v>0</v>
      </c>
      <c r="V8" s="42">
        <f>'TR TE'!$V$8*'TR TE'!$V$49</f>
        <v>0</v>
      </c>
      <c r="W8" s="42">
        <f>SUM($T$8:$V$8)</f>
        <v>0</v>
      </c>
      <c r="X8" s="42"/>
      <c r="Y8" s="42">
        <f>SUM($X$8:$X$8)</f>
        <v>0</v>
      </c>
      <c r="Z8" s="42">
        <f>'TR TE'!$Z$8*'TR TE'!$Z$49</f>
        <v>0</v>
      </c>
      <c r="AA8" s="42">
        <f>SUM($Z$8:$Z$8)</f>
        <v>0</v>
      </c>
      <c r="AB8" s="42">
        <f>SUMIF($L$4:$AA$4,"SUBTOTAL",$L$8:$AA$8)</f>
        <v>560.80019152460329</v>
      </c>
    </row>
    <row r="9" spans="1:28" ht="11.25" customHeight="1" x14ac:dyDescent="0.25">
      <c r="A9" s="118"/>
      <c r="B9" s="118"/>
      <c r="C9" s="118"/>
      <c r="D9" s="118"/>
      <c r="E9" s="118"/>
      <c r="F9" s="118"/>
      <c r="G9" s="45" t="s">
        <v>85</v>
      </c>
      <c r="H9" s="45" t="s">
        <v>72</v>
      </c>
      <c r="I9" s="45">
        <f>'MERCADO TE'!$U$6</f>
        <v>42.061</v>
      </c>
      <c r="J9" s="15"/>
      <c r="L9" s="42">
        <f>'TR TE'!$L$9*'TR TE'!$L$49</f>
        <v>3.3471760122255465</v>
      </c>
      <c r="M9" s="42">
        <f>'TR TE'!$M$9*'TR TE'!$M$49</f>
        <v>0</v>
      </c>
      <c r="N9" s="42">
        <f>'TR TE'!$N$9*'TR TE'!$N$49</f>
        <v>0</v>
      </c>
      <c r="O9" s="42">
        <f>'TR TE'!$O$9*'TR TE'!$O$49</f>
        <v>1.4511292355840295</v>
      </c>
      <c r="P9" s="42">
        <f>'TR TE'!$P$9*'TR TE'!$P$49</f>
        <v>0</v>
      </c>
      <c r="Q9" s="42">
        <f>SUM($L$9:$P$9)</f>
        <v>4.7983052478095765</v>
      </c>
      <c r="R9" s="42">
        <f>'TR TE'!$R$9*'TR TE'!$R$49</f>
        <v>323.25691062604284</v>
      </c>
      <c r="S9" s="42">
        <f>SUM($R$9:$R$9)</f>
        <v>323.25691062604284</v>
      </c>
      <c r="T9" s="42">
        <f>'TR TE'!$T$9*'TR TE'!$T$49</f>
        <v>0</v>
      </c>
      <c r="U9" s="42">
        <f>'TR TE'!$U$9*'TR TE'!$U$49</f>
        <v>0</v>
      </c>
      <c r="V9" s="42">
        <f>'TR TE'!$V$9*'TR TE'!$V$49</f>
        <v>0</v>
      </c>
      <c r="W9" s="42">
        <f>SUM($T$9:$V$9)</f>
        <v>0</v>
      </c>
      <c r="X9" s="42"/>
      <c r="Y9" s="42">
        <f>SUM($X$9:$X$9)</f>
        <v>0</v>
      </c>
      <c r="Z9" s="42">
        <f>'TR TE'!$Z$9*'TR TE'!$Z$49</f>
        <v>0</v>
      </c>
      <c r="AA9" s="42">
        <f>SUM($Z$9:$Z$9)</f>
        <v>0</v>
      </c>
      <c r="AB9" s="42">
        <f>SUMIF($L$4:$AA$4,"SUBTOTAL",$L$9:$AA$9)</f>
        <v>328.05521587385243</v>
      </c>
    </row>
    <row r="10" spans="1:28" ht="11.25" customHeight="1" x14ac:dyDescent="0.25">
      <c r="A10" s="118"/>
      <c r="B10" s="118"/>
      <c r="C10" s="118"/>
      <c r="D10" s="118"/>
      <c r="E10" s="118"/>
      <c r="F10" s="118"/>
      <c r="G10" s="45" t="s">
        <v>74</v>
      </c>
      <c r="H10" s="45" t="s">
        <v>72</v>
      </c>
      <c r="I10" s="45">
        <f>'MERCADO TE'!$U$7</f>
        <v>583.55899999999997</v>
      </c>
      <c r="J10" s="15"/>
      <c r="L10" s="42">
        <f>'TR TE'!$L$10*'TR TE'!$L$49</f>
        <v>3.3471760122255465</v>
      </c>
      <c r="M10" s="42">
        <f>'TR TE'!$M$10*'TR TE'!$M$49</f>
        <v>0</v>
      </c>
      <c r="N10" s="42">
        <f>'TR TE'!$N$10*'TR TE'!$N$49</f>
        <v>0</v>
      </c>
      <c r="O10" s="42">
        <f>'TR TE'!$O$10*'TR TE'!$O$49</f>
        <v>1.4511292355840295</v>
      </c>
      <c r="P10" s="42">
        <f>'TR TE'!$P$10*'TR TE'!$P$49</f>
        <v>0</v>
      </c>
      <c r="Q10" s="42">
        <f>SUM($L$10:$P$10)</f>
        <v>4.7983052478095765</v>
      </c>
      <c r="R10" s="42">
        <f>'TR TE'!$R$10*'TR TE'!$R$49</f>
        <v>323.25691062604284</v>
      </c>
      <c r="S10" s="42">
        <f>SUM($R$10:$R$10)</f>
        <v>323.25691062604284</v>
      </c>
      <c r="T10" s="42">
        <f>'TR TE'!$T$10*'TR TE'!$T$49</f>
        <v>0</v>
      </c>
      <c r="U10" s="42">
        <f>'TR TE'!$U$10*'TR TE'!$U$49</f>
        <v>0</v>
      </c>
      <c r="V10" s="42">
        <f>'TR TE'!$V$10*'TR TE'!$V$49</f>
        <v>0</v>
      </c>
      <c r="W10" s="42">
        <f>SUM($T$10:$V$10)</f>
        <v>0</v>
      </c>
      <c r="X10" s="42"/>
      <c r="Y10" s="42">
        <f>SUM($X$10:$X$10)</f>
        <v>0</v>
      </c>
      <c r="Z10" s="42">
        <f>'TR TE'!$Z$10*'TR TE'!$Z$49</f>
        <v>0</v>
      </c>
      <c r="AA10" s="42">
        <f>SUM($Z$10:$Z$10)</f>
        <v>0</v>
      </c>
      <c r="AB10" s="42">
        <f>SUMIF($L$4:$AA$4,"SUBTOTAL",$L$10:$AA$10)</f>
        <v>328.05521587385243</v>
      </c>
    </row>
    <row r="11" spans="1:28" ht="11.25" customHeight="1" x14ac:dyDescent="0.25">
      <c r="A11" s="118"/>
      <c r="B11" s="118" t="s">
        <v>75</v>
      </c>
      <c r="C11" s="118" t="s">
        <v>24</v>
      </c>
      <c r="D11" s="44" t="s">
        <v>24</v>
      </c>
      <c r="E11" s="44" t="s">
        <v>25</v>
      </c>
      <c r="F11" s="44" t="s">
        <v>25</v>
      </c>
      <c r="G11" s="45" t="s">
        <v>76</v>
      </c>
      <c r="H11" s="45" t="s">
        <v>72</v>
      </c>
      <c r="I11" s="45">
        <f>'MERCADO TE'!$U$8</f>
        <v>526822.44299999997</v>
      </c>
      <c r="J11" s="15"/>
      <c r="L11" s="42">
        <f>'TR TE'!$L$11*'TR TE'!$L$49</f>
        <v>3.3471760122255465</v>
      </c>
      <c r="M11" s="42">
        <f>'TR TE'!$M$11*'TR TE'!$M$49</f>
        <v>0</v>
      </c>
      <c r="N11" s="42">
        <f>'TR TE'!$N$11*'TR TE'!$N$49</f>
        <v>0</v>
      </c>
      <c r="O11" s="42">
        <f>'TR TE'!$O$11*'TR TE'!$O$49</f>
        <v>1.4511292355840295</v>
      </c>
      <c r="P11" s="42">
        <f>'TR TE'!$P$11*'TR TE'!$P$49</f>
        <v>0</v>
      </c>
      <c r="Q11" s="42">
        <f>SUM($L$11:$P$11)</f>
        <v>4.7983052478095765</v>
      </c>
      <c r="R11" s="42">
        <f>'TR TE'!$R$11*'TR TE'!$R$49</f>
        <v>342.65232526360541</v>
      </c>
      <c r="S11" s="42">
        <f>SUM($R$11:$R$11)</f>
        <v>342.65232526360541</v>
      </c>
      <c r="T11" s="42">
        <f>'TR TE'!$T$11*'TR TE'!$T$49</f>
        <v>0</v>
      </c>
      <c r="U11" s="42">
        <f>'TR TE'!$U$11*'TR TE'!$U$49</f>
        <v>0</v>
      </c>
      <c r="V11" s="42">
        <f>'TR TE'!$V$11*'TR TE'!$V$49</f>
        <v>0</v>
      </c>
      <c r="W11" s="42">
        <f>SUM($T$11:$V$11)</f>
        <v>0</v>
      </c>
      <c r="X11" s="42"/>
      <c r="Y11" s="42">
        <f>SUM($X$11:$X$11)</f>
        <v>0</v>
      </c>
      <c r="Z11" s="42">
        <f>'TR TE'!$Z$11*'TR TE'!$Z$49</f>
        <v>0</v>
      </c>
      <c r="AA11" s="42">
        <f>SUM($Z$11:$Z$11)</f>
        <v>0</v>
      </c>
      <c r="AB11" s="42">
        <f>SUMIF($L$4:$AA$4,"SUBTOTAL",$L$11:$AA$11)</f>
        <v>347.450630511415</v>
      </c>
    </row>
    <row r="12" spans="1:28" ht="11.25" customHeight="1" x14ac:dyDescent="0.25">
      <c r="A12" s="118"/>
      <c r="B12" s="118"/>
      <c r="C12" s="118"/>
      <c r="D12" s="44" t="s">
        <v>29</v>
      </c>
      <c r="E12" s="44" t="s">
        <v>25</v>
      </c>
      <c r="F12" s="44" t="s">
        <v>25</v>
      </c>
      <c r="G12" s="45" t="s">
        <v>76</v>
      </c>
      <c r="H12" s="45" t="s">
        <v>72</v>
      </c>
      <c r="I12" s="45">
        <f>'MERCADO TE'!$U$9</f>
        <v>10401.067000000001</v>
      </c>
      <c r="J12" s="15"/>
      <c r="L12" s="42">
        <f>'TR TE'!$L$12*'TR TE'!$L$49</f>
        <v>3.3471760122255465</v>
      </c>
      <c r="M12" s="42">
        <f>'TR TE'!$M$12*'TR TE'!$M$49</f>
        <v>0</v>
      </c>
      <c r="N12" s="42">
        <f>'TR TE'!$N$12*'TR TE'!$N$49</f>
        <v>0</v>
      </c>
      <c r="O12" s="42">
        <f>'TR TE'!$O$12*'TR TE'!$O$49</f>
        <v>1.4511292355840295</v>
      </c>
      <c r="P12" s="42">
        <f>'TR TE'!$P$12*'TR TE'!$P$49</f>
        <v>0</v>
      </c>
      <c r="Q12" s="42">
        <f>SUM($L$12:$P$12)</f>
        <v>4.7983052478095765</v>
      </c>
      <c r="R12" s="42">
        <f>'TR TE'!$R$12*'TR TE'!$R$49</f>
        <v>342.65232526360541</v>
      </c>
      <c r="S12" s="42">
        <f>SUM($R$12:$R$12)</f>
        <v>342.65232526360541</v>
      </c>
      <c r="T12" s="42">
        <f>'TR TE'!$T$12*'TR TE'!$T$49</f>
        <v>0</v>
      </c>
      <c r="U12" s="42">
        <f>'TR TE'!$U$12*'TR TE'!$U$49</f>
        <v>0</v>
      </c>
      <c r="V12" s="42">
        <f>'TR TE'!$V$12*'TR TE'!$V$49</f>
        <v>0</v>
      </c>
      <c r="W12" s="42">
        <f>SUM($T$12:$V$12)</f>
        <v>0</v>
      </c>
      <c r="X12" s="42"/>
      <c r="Y12" s="42">
        <f>SUM($X$12:$X$12)</f>
        <v>0</v>
      </c>
      <c r="Z12" s="42">
        <f>'TR TE'!$Z$12*'TR TE'!$Z$49</f>
        <v>0</v>
      </c>
      <c r="AA12" s="42">
        <f>SUM($Z$12:$Z$12)</f>
        <v>0</v>
      </c>
      <c r="AB12" s="42">
        <f>SUMIF($L$4:$AA$4,"SUBTOTAL",$L$12:$AA$12)</f>
        <v>347.450630511415</v>
      </c>
    </row>
    <row r="13" spans="1:28" ht="11.25" customHeight="1" x14ac:dyDescent="0.25">
      <c r="A13" s="118"/>
      <c r="B13" s="118"/>
      <c r="C13" s="118"/>
      <c r="D13" s="44" t="s">
        <v>30</v>
      </c>
      <c r="E13" s="44" t="s">
        <v>25</v>
      </c>
      <c r="F13" s="44" t="s">
        <v>25</v>
      </c>
      <c r="G13" s="45" t="s">
        <v>76</v>
      </c>
      <c r="H13" s="45" t="s">
        <v>72</v>
      </c>
      <c r="I13" s="45">
        <f>'MERCADO TE'!$U$10</f>
        <v>21577.302999999996</v>
      </c>
      <c r="J13" s="15"/>
      <c r="L13" s="42">
        <f>'TR TE'!$L$13*'TR TE'!$L$49</f>
        <v>3.3471760122255465</v>
      </c>
      <c r="M13" s="42">
        <f>'TR TE'!$M$13*'TR TE'!$M$49</f>
        <v>0</v>
      </c>
      <c r="N13" s="42">
        <f>'TR TE'!$N$13*'TR TE'!$N$49</f>
        <v>0</v>
      </c>
      <c r="O13" s="42">
        <f>'TR TE'!$O$13*'TR TE'!$O$49</f>
        <v>1.4511292355840295</v>
      </c>
      <c r="P13" s="42">
        <f>'TR TE'!$P$13*'TR TE'!$P$49</f>
        <v>0</v>
      </c>
      <c r="Q13" s="42">
        <f>SUM($L$13:$P$13)</f>
        <v>4.7983052478095765</v>
      </c>
      <c r="R13" s="42">
        <f>'TR TE'!$R$13*'TR TE'!$R$49</f>
        <v>342.65232526360541</v>
      </c>
      <c r="S13" s="42">
        <f>SUM($R$13:$R$13)</f>
        <v>342.65232526360541</v>
      </c>
      <c r="T13" s="42">
        <f>'TR TE'!$T$13*'TR TE'!$T$49</f>
        <v>0</v>
      </c>
      <c r="U13" s="42">
        <f>'TR TE'!$U$13*'TR TE'!$U$49</f>
        <v>0</v>
      </c>
      <c r="V13" s="42">
        <f>'TR TE'!$V$13*'TR TE'!$V$49</f>
        <v>0</v>
      </c>
      <c r="W13" s="42">
        <f>SUM($T$13:$V$13)</f>
        <v>0</v>
      </c>
      <c r="X13" s="42"/>
      <c r="Y13" s="42">
        <f>SUM($X$13:$X$13)</f>
        <v>0</v>
      </c>
      <c r="Z13" s="42">
        <f>'TR TE'!$Z$13*'TR TE'!$Z$49</f>
        <v>0</v>
      </c>
      <c r="AA13" s="42">
        <f>SUM($Z$13:$Z$13)</f>
        <v>0</v>
      </c>
      <c r="AB13" s="42">
        <f>SUMIF($L$4:$AA$4,"SUBTOTAL",$L$13:$AA$13)</f>
        <v>347.450630511415</v>
      </c>
    </row>
    <row r="14" spans="1:28" ht="11.25" customHeight="1" x14ac:dyDescent="0.25">
      <c r="A14" s="118"/>
      <c r="B14" s="118"/>
      <c r="C14" s="118"/>
      <c r="D14" s="44" t="s">
        <v>31</v>
      </c>
      <c r="E14" s="44" t="s">
        <v>25</v>
      </c>
      <c r="F14" s="44" t="s">
        <v>25</v>
      </c>
      <c r="G14" s="45" t="s">
        <v>76</v>
      </c>
      <c r="H14" s="45" t="s">
        <v>72</v>
      </c>
      <c r="I14" s="45">
        <f>'MERCADO TE'!$U$11</f>
        <v>25545.413</v>
      </c>
      <c r="J14" s="15"/>
      <c r="L14" s="42">
        <f>'TR TE'!$L$14*'TR TE'!$L$49</f>
        <v>3.3471760122255465</v>
      </c>
      <c r="M14" s="42">
        <f>'TR TE'!$M$14*'TR TE'!$M$49</f>
        <v>0</v>
      </c>
      <c r="N14" s="42">
        <f>'TR TE'!$N$14*'TR TE'!$N$49</f>
        <v>0</v>
      </c>
      <c r="O14" s="42">
        <f>'TR TE'!$O$14*'TR TE'!$O$49</f>
        <v>1.4511292355840295</v>
      </c>
      <c r="P14" s="42">
        <f>'TR TE'!$P$14*'TR TE'!$P$49</f>
        <v>0</v>
      </c>
      <c r="Q14" s="42">
        <f>SUM($L$14:$P$14)</f>
        <v>4.7983052478095765</v>
      </c>
      <c r="R14" s="42">
        <f>'TR TE'!$R$14*'TR TE'!$R$49</f>
        <v>342.65232526360541</v>
      </c>
      <c r="S14" s="42">
        <f>SUM($R$14:$R$14)</f>
        <v>342.65232526360541</v>
      </c>
      <c r="T14" s="42">
        <f>'TR TE'!$T$14*'TR TE'!$T$49</f>
        <v>0</v>
      </c>
      <c r="U14" s="42">
        <f>'TR TE'!$U$14*'TR TE'!$U$49</f>
        <v>0</v>
      </c>
      <c r="V14" s="42">
        <f>'TR TE'!$V$14*'TR TE'!$V$49</f>
        <v>0</v>
      </c>
      <c r="W14" s="42">
        <f>SUM($T$14:$V$14)</f>
        <v>0</v>
      </c>
      <c r="X14" s="42"/>
      <c r="Y14" s="42">
        <f>SUM($X$14:$X$14)</f>
        <v>0</v>
      </c>
      <c r="Z14" s="42">
        <f>'TR TE'!$Z$14*'TR TE'!$Z$49</f>
        <v>0</v>
      </c>
      <c r="AA14" s="42">
        <f>SUM($Z$14:$Z$14)</f>
        <v>0</v>
      </c>
      <c r="AB14" s="42">
        <f>SUMIF($L$4:$AA$4,"SUBTOTAL",$L$14:$AA$14)</f>
        <v>347.450630511415</v>
      </c>
    </row>
    <row r="15" spans="1:28" ht="11.25" customHeight="1" x14ac:dyDescent="0.25">
      <c r="A15" s="118"/>
      <c r="B15" s="118"/>
      <c r="C15" s="118"/>
      <c r="D15" s="44" t="s">
        <v>32</v>
      </c>
      <c r="E15" s="44" t="s">
        <v>25</v>
      </c>
      <c r="F15" s="44" t="s">
        <v>25</v>
      </c>
      <c r="G15" s="45" t="s">
        <v>76</v>
      </c>
      <c r="H15" s="45" t="s">
        <v>72</v>
      </c>
      <c r="I15" s="45">
        <f>'MERCADO TE'!$U$12</f>
        <v>28095.264000000006</v>
      </c>
      <c r="J15" s="15"/>
      <c r="L15" s="42">
        <f>'TR TE'!$L$15*'TR TE'!$L$49</f>
        <v>3.3471760122255465</v>
      </c>
      <c r="M15" s="42">
        <f>'TR TE'!$M$15*'TR TE'!$M$49</f>
        <v>0</v>
      </c>
      <c r="N15" s="42">
        <f>'TR TE'!$N$15*'TR TE'!$N$49</f>
        <v>0</v>
      </c>
      <c r="O15" s="42">
        <f>'TR TE'!$O$15*'TR TE'!$O$49</f>
        <v>1.4511292355840295</v>
      </c>
      <c r="P15" s="42">
        <f>'TR TE'!$P$15*'TR TE'!$P$49</f>
        <v>0</v>
      </c>
      <c r="Q15" s="42">
        <f>SUM($L$15:$P$15)</f>
        <v>4.7983052478095765</v>
      </c>
      <c r="R15" s="42">
        <f>'TR TE'!$R$15*'TR TE'!$R$49</f>
        <v>342.65232526360541</v>
      </c>
      <c r="S15" s="42">
        <f>SUM($R$15:$R$15)</f>
        <v>342.65232526360541</v>
      </c>
      <c r="T15" s="42">
        <f>'TR TE'!$T$15*'TR TE'!$T$49</f>
        <v>0</v>
      </c>
      <c r="U15" s="42">
        <f>'TR TE'!$U$15*'TR TE'!$U$49</f>
        <v>0</v>
      </c>
      <c r="V15" s="42">
        <f>'TR TE'!$V$15*'TR TE'!$V$49</f>
        <v>0</v>
      </c>
      <c r="W15" s="42">
        <f>SUM($T$15:$V$15)</f>
        <v>0</v>
      </c>
      <c r="X15" s="42"/>
      <c r="Y15" s="42">
        <f>SUM($X$15:$X$15)</f>
        <v>0</v>
      </c>
      <c r="Z15" s="42">
        <f>'TR TE'!$Z$15*'TR TE'!$Z$49</f>
        <v>0</v>
      </c>
      <c r="AA15" s="42">
        <f>SUM($Z$15:$Z$15)</f>
        <v>0</v>
      </c>
      <c r="AB15" s="42">
        <f>SUMIF($L$4:$AA$4,"SUBTOTAL",$L$15:$AA$15)</f>
        <v>347.450630511415</v>
      </c>
    </row>
    <row r="16" spans="1:28" ht="11.25" customHeight="1" x14ac:dyDescent="0.25">
      <c r="A16" s="118"/>
      <c r="B16" s="118" t="s">
        <v>86</v>
      </c>
      <c r="C16" s="118" t="s">
        <v>24</v>
      </c>
      <c r="D16" s="44" t="s">
        <v>24</v>
      </c>
      <c r="E16" s="44" t="s">
        <v>25</v>
      </c>
      <c r="F16" s="44" t="s">
        <v>25</v>
      </c>
      <c r="G16" s="45" t="s">
        <v>76</v>
      </c>
      <c r="H16" s="45" t="s">
        <v>72</v>
      </c>
      <c r="I16" s="45">
        <f>'MERCADO TE'!$U$13</f>
        <v>0</v>
      </c>
      <c r="J16" s="15"/>
      <c r="L16" s="42">
        <f>'TR TE'!$L$16*'TR TE'!$L$49</f>
        <v>3.3471760122255465</v>
      </c>
      <c r="M16" s="42">
        <f>'TR TE'!$M$16*'TR TE'!$M$49</f>
        <v>0</v>
      </c>
      <c r="N16" s="42">
        <f>'TR TE'!$N$16*'TR TE'!$N$49</f>
        <v>0</v>
      </c>
      <c r="O16" s="42">
        <f>'TR TE'!$O$16*'TR TE'!$O$49</f>
        <v>1.4511292355840295</v>
      </c>
      <c r="P16" s="42">
        <f>'TR TE'!$P$16*'TR TE'!$P$49</f>
        <v>0</v>
      </c>
      <c r="Q16" s="42">
        <f>SUM($L$16:$P$16)</f>
        <v>4.7983052478095765</v>
      </c>
      <c r="R16" s="42">
        <f>'TR TE'!$R$16*'TR TE'!$R$49</f>
        <v>342.65232526360541</v>
      </c>
      <c r="S16" s="42">
        <f>SUM($R$16:$R$16)</f>
        <v>342.65232526360541</v>
      </c>
      <c r="T16" s="42">
        <f>'TR TE'!$T$16*'TR TE'!$T$49</f>
        <v>0</v>
      </c>
      <c r="U16" s="42">
        <f>'TR TE'!$U$16*'TR TE'!$U$49</f>
        <v>0</v>
      </c>
      <c r="V16" s="42">
        <f>'TR TE'!$V$16*'TR TE'!$V$49</f>
        <v>0</v>
      </c>
      <c r="W16" s="42">
        <f>SUM($T$16:$V$16)</f>
        <v>0</v>
      </c>
      <c r="X16" s="42"/>
      <c r="Y16" s="42">
        <f>SUM($X$16:$X$16)</f>
        <v>0</v>
      </c>
      <c r="Z16" s="42">
        <f>'TR TE'!$Z$16*'TR TE'!$Z$49</f>
        <v>0</v>
      </c>
      <c r="AA16" s="42">
        <f>SUM($Z$16:$Z$16)</f>
        <v>0</v>
      </c>
      <c r="AB16" s="42">
        <f>SUMIF($L$4:$AA$4,"SUBTOTAL",$L$16:$AA$16)</f>
        <v>347.450630511415</v>
      </c>
    </row>
    <row r="17" spans="1:28" ht="11.25" customHeight="1" x14ac:dyDescent="0.25">
      <c r="A17" s="118"/>
      <c r="B17" s="118"/>
      <c r="C17" s="118"/>
      <c r="D17" s="44" t="s">
        <v>29</v>
      </c>
      <c r="E17" s="44" t="s">
        <v>25</v>
      </c>
      <c r="F17" s="44" t="s">
        <v>25</v>
      </c>
      <c r="G17" s="45" t="s">
        <v>76</v>
      </c>
      <c r="H17" s="45" t="s">
        <v>72</v>
      </c>
      <c r="I17" s="45">
        <f>'MERCADO TE'!$U$14</f>
        <v>0</v>
      </c>
      <c r="J17" s="15"/>
      <c r="L17" s="42">
        <f>'TR TE'!$L$17*'TR TE'!$L$49</f>
        <v>3.3471760122255465</v>
      </c>
      <c r="M17" s="42">
        <f>'TR TE'!$M$17*'TR TE'!$M$49</f>
        <v>0</v>
      </c>
      <c r="N17" s="42">
        <f>'TR TE'!$N$17*'TR TE'!$N$49</f>
        <v>0</v>
      </c>
      <c r="O17" s="42">
        <f>'TR TE'!$O$17*'TR TE'!$O$49</f>
        <v>1.4511292355840295</v>
      </c>
      <c r="P17" s="42">
        <f>'TR TE'!$P$17*'TR TE'!$P$49</f>
        <v>0</v>
      </c>
      <c r="Q17" s="42">
        <f>SUM($L$17:$P$17)</f>
        <v>4.7983052478095765</v>
      </c>
      <c r="R17" s="42">
        <f>'TR TE'!$R$17*'TR TE'!$R$49</f>
        <v>342.65232526360541</v>
      </c>
      <c r="S17" s="42">
        <f>SUM($R$17:$R$17)</f>
        <v>342.65232526360541</v>
      </c>
      <c r="T17" s="42">
        <f>'TR TE'!$T$17*'TR TE'!$T$49</f>
        <v>0</v>
      </c>
      <c r="U17" s="42">
        <f>'TR TE'!$U$17*'TR TE'!$U$49</f>
        <v>0</v>
      </c>
      <c r="V17" s="42">
        <f>'TR TE'!$V$17*'TR TE'!$V$49</f>
        <v>0</v>
      </c>
      <c r="W17" s="42">
        <f>SUM($T$17:$V$17)</f>
        <v>0</v>
      </c>
      <c r="X17" s="42"/>
      <c r="Y17" s="42">
        <f>SUM($X$17:$X$17)</f>
        <v>0</v>
      </c>
      <c r="Z17" s="42">
        <f>'TR TE'!$Z$17*'TR TE'!$Z$49</f>
        <v>0</v>
      </c>
      <c r="AA17" s="42">
        <f>SUM($Z$17:$Z$17)</f>
        <v>0</v>
      </c>
      <c r="AB17" s="42">
        <f>SUMIF($L$4:$AA$4,"SUBTOTAL",$L$17:$AA$17)</f>
        <v>347.450630511415</v>
      </c>
    </row>
    <row r="18" spans="1:28" ht="11.25" customHeight="1" x14ac:dyDescent="0.25">
      <c r="A18" s="118"/>
      <c r="B18" s="118"/>
      <c r="C18" s="118"/>
      <c r="D18" s="44" t="s">
        <v>30</v>
      </c>
      <c r="E18" s="44" t="s">
        <v>25</v>
      </c>
      <c r="F18" s="44" t="s">
        <v>25</v>
      </c>
      <c r="G18" s="45" t="s">
        <v>76</v>
      </c>
      <c r="H18" s="45" t="s">
        <v>72</v>
      </c>
      <c r="I18" s="45">
        <f>'MERCADO TE'!$U$15</f>
        <v>0</v>
      </c>
      <c r="J18" s="15"/>
      <c r="L18" s="42">
        <f>'TR TE'!$L$18*'TR TE'!$L$49</f>
        <v>3.3471760122255465</v>
      </c>
      <c r="M18" s="42">
        <f>'TR TE'!$M$18*'TR TE'!$M$49</f>
        <v>0</v>
      </c>
      <c r="N18" s="42">
        <f>'TR TE'!$N$18*'TR TE'!$N$49</f>
        <v>0</v>
      </c>
      <c r="O18" s="42">
        <f>'TR TE'!$O$18*'TR TE'!$O$49</f>
        <v>1.4511292355840295</v>
      </c>
      <c r="P18" s="42">
        <f>'TR TE'!$P$18*'TR TE'!$P$49</f>
        <v>0</v>
      </c>
      <c r="Q18" s="42">
        <f>SUM($L$18:$P$18)</f>
        <v>4.7983052478095765</v>
      </c>
      <c r="R18" s="42">
        <f>'TR TE'!$R$18*'TR TE'!$R$49</f>
        <v>342.65232526360541</v>
      </c>
      <c r="S18" s="42">
        <f>SUM($R$18:$R$18)</f>
        <v>342.65232526360541</v>
      </c>
      <c r="T18" s="42">
        <f>'TR TE'!$T$18*'TR TE'!$T$49</f>
        <v>0</v>
      </c>
      <c r="U18" s="42">
        <f>'TR TE'!$U$18*'TR TE'!$U$49</f>
        <v>0</v>
      </c>
      <c r="V18" s="42">
        <f>'TR TE'!$V$18*'TR TE'!$V$49</f>
        <v>0</v>
      </c>
      <c r="W18" s="42">
        <f>SUM($T$18:$V$18)</f>
        <v>0</v>
      </c>
      <c r="X18" s="42"/>
      <c r="Y18" s="42">
        <f>SUM($X$18:$X$18)</f>
        <v>0</v>
      </c>
      <c r="Z18" s="42">
        <f>'TR TE'!$Z$18*'TR TE'!$Z$49</f>
        <v>0</v>
      </c>
      <c r="AA18" s="42">
        <f>SUM($Z$18:$Z$18)</f>
        <v>0</v>
      </c>
      <c r="AB18" s="42">
        <f>SUMIF($L$4:$AA$4,"SUBTOTAL",$L$18:$AA$18)</f>
        <v>347.450630511415</v>
      </c>
    </row>
    <row r="19" spans="1:28" ht="11.25" customHeight="1" x14ac:dyDescent="0.25">
      <c r="A19" s="118"/>
      <c r="B19" s="118"/>
      <c r="C19" s="118"/>
      <c r="D19" s="44" t="s">
        <v>31</v>
      </c>
      <c r="E19" s="44" t="s">
        <v>25</v>
      </c>
      <c r="F19" s="44" t="s">
        <v>25</v>
      </c>
      <c r="G19" s="45" t="s">
        <v>76</v>
      </c>
      <c r="H19" s="45" t="s">
        <v>72</v>
      </c>
      <c r="I19" s="45">
        <f>'MERCADO TE'!$U$16</f>
        <v>0</v>
      </c>
      <c r="J19" s="15"/>
      <c r="L19" s="42">
        <f>'TR TE'!$L$19*'TR TE'!$L$49</f>
        <v>3.3471760122255465</v>
      </c>
      <c r="M19" s="42">
        <f>'TR TE'!$M$19*'TR TE'!$M$49</f>
        <v>0</v>
      </c>
      <c r="N19" s="42">
        <f>'TR TE'!$N$19*'TR TE'!$N$49</f>
        <v>0</v>
      </c>
      <c r="O19" s="42">
        <f>'TR TE'!$O$19*'TR TE'!$O$49</f>
        <v>1.4511292355840295</v>
      </c>
      <c r="P19" s="42">
        <f>'TR TE'!$P$19*'TR TE'!$P$49</f>
        <v>0</v>
      </c>
      <c r="Q19" s="42">
        <f>SUM($L$19:$P$19)</f>
        <v>4.7983052478095765</v>
      </c>
      <c r="R19" s="42">
        <f>'TR TE'!$R$19*'TR TE'!$R$49</f>
        <v>342.65232526360541</v>
      </c>
      <c r="S19" s="42">
        <f>SUM($R$19:$R$19)</f>
        <v>342.65232526360541</v>
      </c>
      <c r="T19" s="42">
        <f>'TR TE'!$T$19*'TR TE'!$T$49</f>
        <v>0</v>
      </c>
      <c r="U19" s="42">
        <f>'TR TE'!$U$19*'TR TE'!$U$49</f>
        <v>0</v>
      </c>
      <c r="V19" s="42">
        <f>'TR TE'!$V$19*'TR TE'!$V$49</f>
        <v>0</v>
      </c>
      <c r="W19" s="42">
        <f>SUM($T$19:$V$19)</f>
        <v>0</v>
      </c>
      <c r="X19" s="42"/>
      <c r="Y19" s="42">
        <f>SUM($X$19:$X$19)</f>
        <v>0</v>
      </c>
      <c r="Z19" s="42">
        <f>'TR TE'!$Z$19*'TR TE'!$Z$49</f>
        <v>0</v>
      </c>
      <c r="AA19" s="42">
        <f>SUM($Z$19:$Z$19)</f>
        <v>0</v>
      </c>
      <c r="AB19" s="42">
        <f>SUMIF($L$4:$AA$4,"SUBTOTAL",$L$19:$AA$19)</f>
        <v>347.450630511415</v>
      </c>
    </row>
    <row r="20" spans="1:28" ht="11.25" customHeight="1" x14ac:dyDescent="0.25">
      <c r="A20" s="118"/>
      <c r="B20" s="118"/>
      <c r="C20" s="118"/>
      <c r="D20" s="44" t="s">
        <v>32</v>
      </c>
      <c r="E20" s="44" t="s">
        <v>25</v>
      </c>
      <c r="F20" s="44" t="s">
        <v>25</v>
      </c>
      <c r="G20" s="45" t="s">
        <v>76</v>
      </c>
      <c r="H20" s="45" t="s">
        <v>72</v>
      </c>
      <c r="I20" s="45">
        <f>'MERCADO TE'!$U$17</f>
        <v>0</v>
      </c>
      <c r="J20" s="15"/>
      <c r="L20" s="42">
        <f>'TR TE'!$L$20*'TR TE'!$L$49</f>
        <v>3.3471760122255465</v>
      </c>
      <c r="M20" s="42">
        <f>'TR TE'!$M$20*'TR TE'!$M$49</f>
        <v>0</v>
      </c>
      <c r="N20" s="42">
        <f>'TR TE'!$N$20*'TR TE'!$N$49</f>
        <v>0</v>
      </c>
      <c r="O20" s="42">
        <f>'TR TE'!$O$20*'TR TE'!$O$49</f>
        <v>1.4511292355840295</v>
      </c>
      <c r="P20" s="42">
        <f>'TR TE'!$P$20*'TR TE'!$P$49</f>
        <v>0</v>
      </c>
      <c r="Q20" s="42">
        <f>SUM($L$20:$P$20)</f>
        <v>4.7983052478095765</v>
      </c>
      <c r="R20" s="42">
        <f>'TR TE'!$R$20*'TR TE'!$R$49</f>
        <v>342.65232526360541</v>
      </c>
      <c r="S20" s="42">
        <f>SUM($R$20:$R$20)</f>
        <v>342.65232526360541</v>
      </c>
      <c r="T20" s="42">
        <f>'TR TE'!$T$20*'TR TE'!$T$49</f>
        <v>0</v>
      </c>
      <c r="U20" s="42">
        <f>'TR TE'!$U$20*'TR TE'!$U$49</f>
        <v>0</v>
      </c>
      <c r="V20" s="42">
        <f>'TR TE'!$V$20*'TR TE'!$V$49</f>
        <v>0</v>
      </c>
      <c r="W20" s="42">
        <f>SUM($T$20:$V$20)</f>
        <v>0</v>
      </c>
      <c r="X20" s="42"/>
      <c r="Y20" s="42">
        <f>SUM($X$20:$X$20)</f>
        <v>0</v>
      </c>
      <c r="Z20" s="42">
        <f>'TR TE'!$Z$20*'TR TE'!$Z$49</f>
        <v>0</v>
      </c>
      <c r="AA20" s="42">
        <f>SUM($Z$20:$Z$20)</f>
        <v>0</v>
      </c>
      <c r="AB20" s="42">
        <f>SUMIF($L$4:$AA$4,"SUBTOTAL",$L$20:$AA$20)</f>
        <v>347.450630511415</v>
      </c>
    </row>
    <row r="21" spans="1:28" ht="11.25" customHeight="1" x14ac:dyDescent="0.25">
      <c r="A21" s="118" t="s">
        <v>43</v>
      </c>
      <c r="B21" s="118" t="s">
        <v>71</v>
      </c>
      <c r="C21" s="118" t="s">
        <v>44</v>
      </c>
      <c r="D21" s="118" t="s">
        <v>25</v>
      </c>
      <c r="E21" s="118" t="s">
        <v>25</v>
      </c>
      <c r="F21" s="118" t="s">
        <v>25</v>
      </c>
      <c r="G21" s="45" t="s">
        <v>73</v>
      </c>
      <c r="H21" s="45" t="s">
        <v>72</v>
      </c>
      <c r="I21" s="45">
        <f>'MERCADO TE'!$U$18</f>
        <v>0.112</v>
      </c>
      <c r="J21" s="15"/>
      <c r="L21" s="42">
        <f>'TR TE'!$L$21*'TR TE'!$L$49</f>
        <v>3.3471760122255465</v>
      </c>
      <c r="M21" s="42">
        <f>'TR TE'!$M$21*'TR TE'!$M$49</f>
        <v>0</v>
      </c>
      <c r="N21" s="42">
        <f>'TR TE'!$N$21*'TR TE'!$N$49</f>
        <v>0</v>
      </c>
      <c r="O21" s="42">
        <f>'TR TE'!$O$21*'TR TE'!$O$49</f>
        <v>1.4511292355840295</v>
      </c>
      <c r="P21" s="42">
        <f>'TR TE'!$P$21*'TR TE'!$P$49</f>
        <v>0</v>
      </c>
      <c r="Q21" s="42">
        <f>SUM($L$21:$P$21)</f>
        <v>4.7983052478095765</v>
      </c>
      <c r="R21" s="42">
        <f>'TR TE'!$R$21*'TR TE'!$R$49</f>
        <v>556.0018862767937</v>
      </c>
      <c r="S21" s="42">
        <f>SUM($R$21:$R$21)</f>
        <v>556.0018862767937</v>
      </c>
      <c r="T21" s="42">
        <f>'TR TE'!$T$21*'TR TE'!$T$49</f>
        <v>0</v>
      </c>
      <c r="U21" s="42">
        <f>'TR TE'!$U$21*'TR TE'!$U$49</f>
        <v>0</v>
      </c>
      <c r="V21" s="42">
        <f>'TR TE'!$V$21*'TR TE'!$V$49</f>
        <v>0</v>
      </c>
      <c r="W21" s="42">
        <f>SUM($T$21:$V$21)</f>
        <v>0</v>
      </c>
      <c r="X21" s="42"/>
      <c r="Y21" s="42">
        <f>SUM($X$21:$X$21)</f>
        <v>0</v>
      </c>
      <c r="Z21" s="42">
        <f>'TR TE'!$Z$21*'TR TE'!$Z$49</f>
        <v>0</v>
      </c>
      <c r="AA21" s="42">
        <f>SUM($Z$21:$Z$21)</f>
        <v>0</v>
      </c>
      <c r="AB21" s="42">
        <f>SUMIF($L$4:$AA$4,"SUBTOTAL",$L$21:$AA$21)</f>
        <v>560.80019152460329</v>
      </c>
    </row>
    <row r="22" spans="1:28" ht="11.25" customHeight="1" x14ac:dyDescent="0.25">
      <c r="A22" s="118"/>
      <c r="B22" s="118"/>
      <c r="C22" s="118"/>
      <c r="D22" s="118"/>
      <c r="E22" s="118"/>
      <c r="F22" s="118"/>
      <c r="G22" s="45" t="s">
        <v>85</v>
      </c>
      <c r="H22" s="45" t="s">
        <v>72</v>
      </c>
      <c r="I22" s="45">
        <f>'MERCADO TE'!$U$19</f>
        <v>7.4999999999999997E-2</v>
      </c>
      <c r="J22" s="15"/>
      <c r="L22" s="42">
        <f>'TR TE'!$L$22*'TR TE'!$L$49</f>
        <v>3.3471760122255465</v>
      </c>
      <c r="M22" s="42">
        <f>'TR TE'!$M$22*'TR TE'!$M$49</f>
        <v>0</v>
      </c>
      <c r="N22" s="42">
        <f>'TR TE'!$N$22*'TR TE'!$N$49</f>
        <v>0</v>
      </c>
      <c r="O22" s="42">
        <f>'TR TE'!$O$22*'TR TE'!$O$49</f>
        <v>1.4511292355840295</v>
      </c>
      <c r="P22" s="42">
        <f>'TR TE'!$P$22*'TR TE'!$P$49</f>
        <v>0</v>
      </c>
      <c r="Q22" s="42">
        <f>SUM($L$22:$P$22)</f>
        <v>4.7983052478095765</v>
      </c>
      <c r="R22" s="42">
        <f>'TR TE'!$R$22*'TR TE'!$R$49</f>
        <v>323.25691062604284</v>
      </c>
      <c r="S22" s="42">
        <f>SUM($R$22:$R$22)</f>
        <v>323.25691062604284</v>
      </c>
      <c r="T22" s="42">
        <f>'TR TE'!$T$22*'TR TE'!$T$49</f>
        <v>0</v>
      </c>
      <c r="U22" s="42">
        <f>'TR TE'!$U$22*'TR TE'!$U$49</f>
        <v>0</v>
      </c>
      <c r="V22" s="42">
        <f>'TR TE'!$V$22*'TR TE'!$V$49</f>
        <v>0</v>
      </c>
      <c r="W22" s="42">
        <f>SUM($T$22:$V$22)</f>
        <v>0</v>
      </c>
      <c r="X22" s="42"/>
      <c r="Y22" s="42">
        <f>SUM($X$22:$X$22)</f>
        <v>0</v>
      </c>
      <c r="Z22" s="42">
        <f>'TR TE'!$Z$22*'TR TE'!$Z$49</f>
        <v>0</v>
      </c>
      <c r="AA22" s="42">
        <f>SUM($Z$22:$Z$22)</f>
        <v>0</v>
      </c>
      <c r="AB22" s="42">
        <f>SUMIF($L$4:$AA$4,"SUBTOTAL",$L$22:$AA$22)</f>
        <v>328.05521587385243</v>
      </c>
    </row>
    <row r="23" spans="1:28" ht="11.25" customHeight="1" x14ac:dyDescent="0.25">
      <c r="A23" s="118"/>
      <c r="B23" s="118"/>
      <c r="C23" s="118"/>
      <c r="D23" s="118"/>
      <c r="E23" s="118"/>
      <c r="F23" s="118"/>
      <c r="G23" s="45" t="s">
        <v>74</v>
      </c>
      <c r="H23" s="45" t="s">
        <v>72</v>
      </c>
      <c r="I23" s="45">
        <f>'MERCADO TE'!$U$20</f>
        <v>0.91599999999999993</v>
      </c>
      <c r="J23" s="15"/>
      <c r="L23" s="42">
        <f>'TR TE'!$L$23*'TR TE'!$L$49</f>
        <v>3.3471760122255465</v>
      </c>
      <c r="M23" s="42">
        <f>'TR TE'!$M$23*'TR TE'!$M$49</f>
        <v>0</v>
      </c>
      <c r="N23" s="42">
        <f>'TR TE'!$N$23*'TR TE'!$N$49</f>
        <v>0</v>
      </c>
      <c r="O23" s="42">
        <f>'TR TE'!$O$23*'TR TE'!$O$49</f>
        <v>1.4511292355840295</v>
      </c>
      <c r="P23" s="42">
        <f>'TR TE'!$P$23*'TR TE'!$P$49</f>
        <v>0</v>
      </c>
      <c r="Q23" s="42">
        <f>SUM($L$23:$P$23)</f>
        <v>4.7983052478095765</v>
      </c>
      <c r="R23" s="42">
        <f>'TR TE'!$R$23*'TR TE'!$R$49</f>
        <v>323.25691062604284</v>
      </c>
      <c r="S23" s="42">
        <f>SUM($R$23:$R$23)</f>
        <v>323.25691062604284</v>
      </c>
      <c r="T23" s="42">
        <f>'TR TE'!$T$23*'TR TE'!$T$49</f>
        <v>0</v>
      </c>
      <c r="U23" s="42">
        <f>'TR TE'!$U$23*'TR TE'!$U$49</f>
        <v>0</v>
      </c>
      <c r="V23" s="42">
        <f>'TR TE'!$V$23*'TR TE'!$V$49</f>
        <v>0</v>
      </c>
      <c r="W23" s="42">
        <f>SUM($T$23:$V$23)</f>
        <v>0</v>
      </c>
      <c r="X23" s="42"/>
      <c r="Y23" s="42">
        <f>SUM($X$23:$X$23)</f>
        <v>0</v>
      </c>
      <c r="Z23" s="42">
        <f>'TR TE'!$Z$23*'TR TE'!$Z$49</f>
        <v>0</v>
      </c>
      <c r="AA23" s="42">
        <f>SUM($Z$23:$Z$23)</f>
        <v>0</v>
      </c>
      <c r="AB23" s="42">
        <f>SUMIF($L$4:$AA$4,"SUBTOTAL",$L$23:$AA$23)</f>
        <v>328.05521587385243</v>
      </c>
    </row>
    <row r="24" spans="1:28" ht="11.25" customHeight="1" x14ac:dyDescent="0.25">
      <c r="A24" s="118"/>
      <c r="B24" s="44" t="s">
        <v>75</v>
      </c>
      <c r="C24" s="44" t="s">
        <v>44</v>
      </c>
      <c r="D24" s="44" t="s">
        <v>25</v>
      </c>
      <c r="E24" s="44" t="s">
        <v>25</v>
      </c>
      <c r="F24" s="44" t="s">
        <v>25</v>
      </c>
      <c r="G24" s="45" t="s">
        <v>76</v>
      </c>
      <c r="H24" s="45" t="s">
        <v>72</v>
      </c>
      <c r="I24" s="45">
        <f>'MERCADO TE'!$U$21</f>
        <v>54817.448999999993</v>
      </c>
      <c r="J24" s="15"/>
      <c r="L24" s="42">
        <f>'TR TE'!$L$24*'TR TE'!$L$49</f>
        <v>3.3471760122255465</v>
      </c>
      <c r="M24" s="42">
        <f>'TR TE'!$M$24*'TR TE'!$M$49</f>
        <v>0</v>
      </c>
      <c r="N24" s="42">
        <f>'TR TE'!$N$24*'TR TE'!$N$49</f>
        <v>0</v>
      </c>
      <c r="O24" s="42">
        <f>'TR TE'!$O$24*'TR TE'!$O$49</f>
        <v>1.4511292355840295</v>
      </c>
      <c r="P24" s="42">
        <f>'TR TE'!$P$24*'TR TE'!$P$49</f>
        <v>0</v>
      </c>
      <c r="Q24" s="42">
        <f>SUM($L$24:$P$24)</f>
        <v>4.7983052478095765</v>
      </c>
      <c r="R24" s="42">
        <f>'TR TE'!$R$24*'TR TE'!$R$49</f>
        <v>342.65232526360541</v>
      </c>
      <c r="S24" s="42">
        <f>SUM($R$24:$R$24)</f>
        <v>342.65232526360541</v>
      </c>
      <c r="T24" s="42">
        <f>'TR TE'!$T$24*'TR TE'!$T$49</f>
        <v>0</v>
      </c>
      <c r="U24" s="42">
        <f>'TR TE'!$U$24*'TR TE'!$U$49</f>
        <v>0</v>
      </c>
      <c r="V24" s="42">
        <f>'TR TE'!$V$24*'TR TE'!$V$49</f>
        <v>0</v>
      </c>
      <c r="W24" s="42">
        <f>SUM($T$24:$V$24)</f>
        <v>0</v>
      </c>
      <c r="X24" s="42"/>
      <c r="Y24" s="42">
        <f>SUM($X$24:$X$24)</f>
        <v>0</v>
      </c>
      <c r="Z24" s="42">
        <f>'TR TE'!$Z$24*'TR TE'!$Z$49</f>
        <v>0</v>
      </c>
      <c r="AA24" s="42">
        <f>SUM($Z$24:$Z$24)</f>
        <v>0</v>
      </c>
      <c r="AB24" s="42">
        <f>SUMIF($L$4:$AA$4,"SUBTOTAL",$L$24:$AA$24)</f>
        <v>347.450630511415</v>
      </c>
    </row>
    <row r="25" spans="1:28" ht="11.25" customHeight="1" x14ac:dyDescent="0.25">
      <c r="A25" s="118"/>
      <c r="B25" s="118" t="s">
        <v>71</v>
      </c>
      <c r="C25" s="118" t="s">
        <v>44</v>
      </c>
      <c r="D25" s="118" t="s">
        <v>88</v>
      </c>
      <c r="E25" s="118" t="s">
        <v>25</v>
      </c>
      <c r="F25" s="118" t="s">
        <v>25</v>
      </c>
      <c r="G25" s="45" t="s">
        <v>73</v>
      </c>
      <c r="H25" s="45" t="s">
        <v>72</v>
      </c>
      <c r="I25" s="45">
        <f>'MERCADO TE'!$U$22</f>
        <v>0</v>
      </c>
      <c r="J25" s="15"/>
      <c r="L25" s="42">
        <f>'TR TE'!$L$25*'TR TE'!$L$49</f>
        <v>3.3471760122255465</v>
      </c>
      <c r="M25" s="42">
        <f>'TR TE'!$M$25*'TR TE'!$M$49</f>
        <v>0</v>
      </c>
      <c r="N25" s="42">
        <f>'TR TE'!$N$25*'TR TE'!$N$49</f>
        <v>0</v>
      </c>
      <c r="O25" s="42">
        <f>'TR TE'!$O$25*'TR TE'!$O$49</f>
        <v>1.4511292355840295</v>
      </c>
      <c r="P25" s="42">
        <f>'TR TE'!$P$25*'TR TE'!$P$49</f>
        <v>0</v>
      </c>
      <c r="Q25" s="42">
        <f>SUM($L$25:$P$25)</f>
        <v>4.7983052478095765</v>
      </c>
      <c r="R25" s="42">
        <f>'TR TE'!$R$25*'TR TE'!$R$49</f>
        <v>556.0018862767937</v>
      </c>
      <c r="S25" s="42">
        <f>SUM($R$25:$R$25)</f>
        <v>556.0018862767937</v>
      </c>
      <c r="T25" s="42">
        <f>'TR TE'!$T$25*'TR TE'!$T$49</f>
        <v>0</v>
      </c>
      <c r="U25" s="42">
        <f>'TR TE'!$U$25*'TR TE'!$U$49</f>
        <v>0</v>
      </c>
      <c r="V25" s="42">
        <f>'TR TE'!$V$25*'TR TE'!$V$49</f>
        <v>0</v>
      </c>
      <c r="W25" s="42">
        <f>SUM($T$25:$V$25)</f>
        <v>0</v>
      </c>
      <c r="X25" s="42"/>
      <c r="Y25" s="42">
        <f>SUM($X$25:$X$25)</f>
        <v>0</v>
      </c>
      <c r="Z25" s="42">
        <f>'TR TE'!$Z$25*'TR TE'!$Z$49</f>
        <v>0</v>
      </c>
      <c r="AA25" s="42">
        <f>SUM($Z$25:$Z$25)</f>
        <v>0</v>
      </c>
      <c r="AB25" s="42">
        <f>SUMIF($L$4:$AA$4,"SUBTOTAL",$L$25:$AA$25)</f>
        <v>560.80019152460329</v>
      </c>
    </row>
    <row r="26" spans="1:28" ht="11.25" customHeight="1" x14ac:dyDescent="0.25">
      <c r="A26" s="118"/>
      <c r="B26" s="118"/>
      <c r="C26" s="118"/>
      <c r="D26" s="118"/>
      <c r="E26" s="118"/>
      <c r="F26" s="118"/>
      <c r="G26" s="45" t="s">
        <v>85</v>
      </c>
      <c r="H26" s="45" t="s">
        <v>72</v>
      </c>
      <c r="I26" s="45">
        <f>'MERCADO TE'!$U$23</f>
        <v>0</v>
      </c>
      <c r="J26" s="15"/>
      <c r="L26" s="42">
        <f>'TR TE'!$L$26*'TR TE'!$L$49</f>
        <v>3.3471760122255465</v>
      </c>
      <c r="M26" s="42">
        <f>'TR TE'!$M$26*'TR TE'!$M$49</f>
        <v>0</v>
      </c>
      <c r="N26" s="42">
        <f>'TR TE'!$N$26*'TR TE'!$N$49</f>
        <v>0</v>
      </c>
      <c r="O26" s="42">
        <f>'TR TE'!$O$26*'TR TE'!$O$49</f>
        <v>1.4511292355840295</v>
      </c>
      <c r="P26" s="42">
        <f>'TR TE'!$P$26*'TR TE'!$P$49</f>
        <v>0</v>
      </c>
      <c r="Q26" s="42">
        <f>SUM($L$26:$P$26)</f>
        <v>4.7983052478095765</v>
      </c>
      <c r="R26" s="42">
        <f>'TR TE'!$R$26*'TR TE'!$R$49</f>
        <v>323.25691062604284</v>
      </c>
      <c r="S26" s="42">
        <f>SUM($R$26:$R$26)</f>
        <v>323.25691062604284</v>
      </c>
      <c r="T26" s="42">
        <f>'TR TE'!$T$26*'TR TE'!$T$49</f>
        <v>0</v>
      </c>
      <c r="U26" s="42">
        <f>'TR TE'!$U$26*'TR TE'!$U$49</f>
        <v>0</v>
      </c>
      <c r="V26" s="42">
        <f>'TR TE'!$V$26*'TR TE'!$V$49</f>
        <v>0</v>
      </c>
      <c r="W26" s="42">
        <f>SUM($T$26:$V$26)</f>
        <v>0</v>
      </c>
      <c r="X26" s="42"/>
      <c r="Y26" s="42">
        <f>SUM($X$26:$X$26)</f>
        <v>0</v>
      </c>
      <c r="Z26" s="42">
        <f>'TR TE'!$Z$26*'TR TE'!$Z$49</f>
        <v>0</v>
      </c>
      <c r="AA26" s="42">
        <f>SUM($Z$26:$Z$26)</f>
        <v>0</v>
      </c>
      <c r="AB26" s="42">
        <f>SUMIF($L$4:$AA$4,"SUBTOTAL",$L$26:$AA$26)</f>
        <v>328.05521587385243</v>
      </c>
    </row>
    <row r="27" spans="1:28" ht="11.25" customHeight="1" x14ac:dyDescent="0.25">
      <c r="A27" s="118"/>
      <c r="B27" s="118"/>
      <c r="C27" s="118"/>
      <c r="D27" s="118"/>
      <c r="E27" s="118"/>
      <c r="F27" s="118"/>
      <c r="G27" s="45" t="s">
        <v>74</v>
      </c>
      <c r="H27" s="45" t="s">
        <v>72</v>
      </c>
      <c r="I27" s="45">
        <f>'MERCADO TE'!$U$24</f>
        <v>0</v>
      </c>
      <c r="J27" s="15"/>
      <c r="L27" s="42">
        <f>'TR TE'!$L$27*'TR TE'!$L$49</f>
        <v>3.3471760122255465</v>
      </c>
      <c r="M27" s="42">
        <f>'TR TE'!$M$27*'TR TE'!$M$49</f>
        <v>0</v>
      </c>
      <c r="N27" s="42">
        <f>'TR TE'!$N$27*'TR TE'!$N$49</f>
        <v>0</v>
      </c>
      <c r="O27" s="42">
        <f>'TR TE'!$O$27*'TR TE'!$O$49</f>
        <v>1.4511292355840295</v>
      </c>
      <c r="P27" s="42">
        <f>'TR TE'!$P$27*'TR TE'!$P$49</f>
        <v>0</v>
      </c>
      <c r="Q27" s="42">
        <f>SUM($L$27:$P$27)</f>
        <v>4.7983052478095765</v>
      </c>
      <c r="R27" s="42">
        <f>'TR TE'!$R$27*'TR TE'!$R$49</f>
        <v>323.25691062604284</v>
      </c>
      <c r="S27" s="42">
        <f>SUM($R$27:$R$27)</f>
        <v>323.25691062604284</v>
      </c>
      <c r="T27" s="42">
        <f>'TR TE'!$T$27*'TR TE'!$T$49</f>
        <v>0</v>
      </c>
      <c r="U27" s="42">
        <f>'TR TE'!$U$27*'TR TE'!$U$49</f>
        <v>0</v>
      </c>
      <c r="V27" s="42">
        <f>'TR TE'!$V$27*'TR TE'!$V$49</f>
        <v>0</v>
      </c>
      <c r="W27" s="42">
        <f>SUM($T$27:$V$27)</f>
        <v>0</v>
      </c>
      <c r="X27" s="42"/>
      <c r="Y27" s="42">
        <f>SUM($X$27:$X$27)</f>
        <v>0</v>
      </c>
      <c r="Z27" s="42">
        <f>'TR TE'!$Z$27*'TR TE'!$Z$49</f>
        <v>0</v>
      </c>
      <c r="AA27" s="42">
        <f>SUM($Z$27:$Z$27)</f>
        <v>0</v>
      </c>
      <c r="AB27" s="42">
        <f>SUMIF($L$4:$AA$4,"SUBTOTAL",$L$27:$AA$27)</f>
        <v>328.05521587385243</v>
      </c>
    </row>
    <row r="28" spans="1:28" ht="11.25" customHeight="1" x14ac:dyDescent="0.25">
      <c r="A28" s="118"/>
      <c r="B28" s="44" t="s">
        <v>75</v>
      </c>
      <c r="C28" s="44" t="s">
        <v>44</v>
      </c>
      <c r="D28" s="44" t="s">
        <v>88</v>
      </c>
      <c r="E28" s="44" t="s">
        <v>25</v>
      </c>
      <c r="F28" s="44" t="s">
        <v>25</v>
      </c>
      <c r="G28" s="45" t="s">
        <v>76</v>
      </c>
      <c r="H28" s="45" t="s">
        <v>72</v>
      </c>
      <c r="I28" s="45">
        <f>'MERCADO TE'!$U$25</f>
        <v>0</v>
      </c>
      <c r="J28" s="15"/>
      <c r="L28" s="42">
        <f>'TR TE'!$L$28*'TR TE'!$L$49</f>
        <v>3.3471760122255465</v>
      </c>
      <c r="M28" s="42">
        <f>'TR TE'!$M$28*'TR TE'!$M$49</f>
        <v>0</v>
      </c>
      <c r="N28" s="42">
        <f>'TR TE'!$N$28*'TR TE'!$N$49</f>
        <v>0</v>
      </c>
      <c r="O28" s="42">
        <f>'TR TE'!$O$28*'TR TE'!$O$49</f>
        <v>1.4511292355840295</v>
      </c>
      <c r="P28" s="42">
        <f>'TR TE'!$P$28*'TR TE'!$P$49</f>
        <v>0</v>
      </c>
      <c r="Q28" s="42">
        <f>SUM($L$28:$P$28)</f>
        <v>4.7983052478095765</v>
      </c>
      <c r="R28" s="42">
        <f>'TR TE'!$R$28*'TR TE'!$R$49</f>
        <v>342.65232526360541</v>
      </c>
      <c r="S28" s="42">
        <f>SUM($R$28:$R$28)</f>
        <v>342.65232526360541</v>
      </c>
      <c r="T28" s="42">
        <f>'TR TE'!$T$28*'TR TE'!$T$49</f>
        <v>0</v>
      </c>
      <c r="U28" s="42">
        <f>'TR TE'!$U$28*'TR TE'!$U$49</f>
        <v>0</v>
      </c>
      <c r="V28" s="42">
        <f>'TR TE'!$V$28*'TR TE'!$V$49</f>
        <v>0</v>
      </c>
      <c r="W28" s="42">
        <f>SUM($T$28:$V$28)</f>
        <v>0</v>
      </c>
      <c r="X28" s="42"/>
      <c r="Y28" s="42">
        <f>SUM($X$28:$X$28)</f>
        <v>0</v>
      </c>
      <c r="Z28" s="42">
        <f>'TR TE'!$Z$28*'TR TE'!$Z$49</f>
        <v>0</v>
      </c>
      <c r="AA28" s="42">
        <f>SUM($Z$28:$Z$28)</f>
        <v>0</v>
      </c>
      <c r="AB28" s="42">
        <f>SUMIF($L$4:$AA$4,"SUBTOTAL",$L$28:$AA$28)</f>
        <v>347.450630511415</v>
      </c>
    </row>
    <row r="29" spans="1:28" ht="11.25" customHeight="1" x14ac:dyDescent="0.25">
      <c r="A29" s="118"/>
      <c r="B29" s="118" t="s">
        <v>71</v>
      </c>
      <c r="C29" s="118" t="s">
        <v>44</v>
      </c>
      <c r="D29" s="118" t="s">
        <v>89</v>
      </c>
      <c r="E29" s="118" t="s">
        <v>25</v>
      </c>
      <c r="F29" s="118" t="s">
        <v>25</v>
      </c>
      <c r="G29" s="45" t="s">
        <v>73</v>
      </c>
      <c r="H29" s="45" t="s">
        <v>72</v>
      </c>
      <c r="I29" s="45">
        <f>'MERCADO TE'!$U$26</f>
        <v>0</v>
      </c>
      <c r="J29" s="15"/>
      <c r="L29" s="42">
        <f>'TR TE'!$L$29*'TR TE'!$L$49</f>
        <v>3.3471760122255465</v>
      </c>
      <c r="M29" s="42">
        <f>'TR TE'!$M$29*'TR TE'!$M$49</f>
        <v>0</v>
      </c>
      <c r="N29" s="42">
        <f>'TR TE'!$N$29*'TR TE'!$N$49</f>
        <v>0</v>
      </c>
      <c r="O29" s="42">
        <f>'TR TE'!$O$29*'TR TE'!$O$49</f>
        <v>1.4511292355840295</v>
      </c>
      <c r="P29" s="42">
        <f>'TR TE'!$P$29*'TR TE'!$P$49</f>
        <v>0</v>
      </c>
      <c r="Q29" s="42">
        <f>SUM($L$29:$P$29)</f>
        <v>4.7983052478095765</v>
      </c>
      <c r="R29" s="42">
        <f>'TR TE'!$R$29*'TR TE'!$R$49</f>
        <v>556.0018862767937</v>
      </c>
      <c r="S29" s="42">
        <f>SUM($R$29:$R$29)</f>
        <v>556.0018862767937</v>
      </c>
      <c r="T29" s="42">
        <f>'TR TE'!$T$29*'TR TE'!$T$49</f>
        <v>0</v>
      </c>
      <c r="U29" s="42">
        <f>'TR TE'!$U$29*'TR TE'!$U$49</f>
        <v>0</v>
      </c>
      <c r="V29" s="42">
        <f>'TR TE'!$V$29*'TR TE'!$V$49</f>
        <v>0</v>
      </c>
      <c r="W29" s="42">
        <f>SUM($T$29:$V$29)</f>
        <v>0</v>
      </c>
      <c r="X29" s="42"/>
      <c r="Y29" s="42">
        <f>SUM($X$29:$X$29)</f>
        <v>0</v>
      </c>
      <c r="Z29" s="42">
        <f>'TR TE'!$Z$29*'TR TE'!$Z$49</f>
        <v>0</v>
      </c>
      <c r="AA29" s="42">
        <f>SUM($Z$29:$Z$29)</f>
        <v>0</v>
      </c>
      <c r="AB29" s="42">
        <f>SUMIF($L$4:$AA$4,"SUBTOTAL",$L$29:$AA$29)</f>
        <v>560.80019152460329</v>
      </c>
    </row>
    <row r="30" spans="1:28" ht="11.25" customHeight="1" x14ac:dyDescent="0.25">
      <c r="A30" s="118"/>
      <c r="B30" s="118"/>
      <c r="C30" s="118"/>
      <c r="D30" s="118"/>
      <c r="E30" s="118"/>
      <c r="F30" s="118"/>
      <c r="G30" s="45" t="s">
        <v>85</v>
      </c>
      <c r="H30" s="45" t="s">
        <v>72</v>
      </c>
      <c r="I30" s="45">
        <f>'MERCADO TE'!$U$27</f>
        <v>0</v>
      </c>
      <c r="J30" s="15"/>
      <c r="L30" s="42">
        <f>'TR TE'!$L$30*'TR TE'!$L$49</f>
        <v>3.3471760122255465</v>
      </c>
      <c r="M30" s="42">
        <f>'TR TE'!$M$30*'TR TE'!$M$49</f>
        <v>0</v>
      </c>
      <c r="N30" s="42">
        <f>'TR TE'!$N$30*'TR TE'!$N$49</f>
        <v>0</v>
      </c>
      <c r="O30" s="42">
        <f>'TR TE'!$O$30*'TR TE'!$O$49</f>
        <v>1.4511292355840295</v>
      </c>
      <c r="P30" s="42">
        <f>'TR TE'!$P$30*'TR TE'!$P$49</f>
        <v>0</v>
      </c>
      <c r="Q30" s="42">
        <f>SUM($L$30:$P$30)</f>
        <v>4.7983052478095765</v>
      </c>
      <c r="R30" s="42">
        <f>'TR TE'!$R$30*'TR TE'!$R$49</f>
        <v>323.25691062604284</v>
      </c>
      <c r="S30" s="42">
        <f>SUM($R$30:$R$30)</f>
        <v>323.25691062604284</v>
      </c>
      <c r="T30" s="42">
        <f>'TR TE'!$T$30*'TR TE'!$T$49</f>
        <v>0</v>
      </c>
      <c r="U30" s="42">
        <f>'TR TE'!$U$30*'TR TE'!$U$49</f>
        <v>0</v>
      </c>
      <c r="V30" s="42">
        <f>'TR TE'!$V$30*'TR TE'!$V$49</f>
        <v>0</v>
      </c>
      <c r="W30" s="42">
        <f>SUM($T$30:$V$30)</f>
        <v>0</v>
      </c>
      <c r="X30" s="42"/>
      <c r="Y30" s="42">
        <f>SUM($X$30:$X$30)</f>
        <v>0</v>
      </c>
      <c r="Z30" s="42">
        <f>'TR TE'!$Z$30*'TR TE'!$Z$49</f>
        <v>0</v>
      </c>
      <c r="AA30" s="42">
        <f>SUM($Z$30:$Z$30)</f>
        <v>0</v>
      </c>
      <c r="AB30" s="42">
        <f>SUMIF($L$4:$AA$4,"SUBTOTAL",$L$30:$AA$30)</f>
        <v>328.05521587385243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45" t="s">
        <v>74</v>
      </c>
      <c r="H31" s="45" t="s">
        <v>72</v>
      </c>
      <c r="I31" s="45">
        <f>'MERCADO TE'!$U$28</f>
        <v>0</v>
      </c>
      <c r="J31" s="15"/>
      <c r="L31" s="42">
        <f>'TR TE'!$L$31*'TR TE'!$L$49</f>
        <v>3.3471760122255465</v>
      </c>
      <c r="M31" s="42">
        <f>'TR TE'!$M$31*'TR TE'!$M$49</f>
        <v>0</v>
      </c>
      <c r="N31" s="42">
        <f>'TR TE'!$N$31*'TR TE'!$N$49</f>
        <v>0</v>
      </c>
      <c r="O31" s="42">
        <f>'TR TE'!$O$31*'TR TE'!$O$49</f>
        <v>1.4511292355840295</v>
      </c>
      <c r="P31" s="42">
        <f>'TR TE'!$P$31*'TR TE'!$P$49</f>
        <v>0</v>
      </c>
      <c r="Q31" s="42">
        <f>SUM($L$31:$P$31)</f>
        <v>4.7983052478095765</v>
      </c>
      <c r="R31" s="42">
        <f>'TR TE'!$R$31*'TR TE'!$R$49</f>
        <v>323.25691062604284</v>
      </c>
      <c r="S31" s="42">
        <f>SUM($R$31:$R$31)</f>
        <v>323.25691062604284</v>
      </c>
      <c r="T31" s="42">
        <f>'TR TE'!$T$31*'TR TE'!$T$49</f>
        <v>0</v>
      </c>
      <c r="U31" s="42">
        <f>'TR TE'!$U$31*'TR TE'!$U$49</f>
        <v>0</v>
      </c>
      <c r="V31" s="42">
        <f>'TR TE'!$V$31*'TR TE'!$V$49</f>
        <v>0</v>
      </c>
      <c r="W31" s="42">
        <f>SUM($T$31:$V$31)</f>
        <v>0</v>
      </c>
      <c r="X31" s="42"/>
      <c r="Y31" s="42">
        <f>SUM($X$31:$X$31)</f>
        <v>0</v>
      </c>
      <c r="Z31" s="42">
        <f>'TR TE'!$Z$31*'TR TE'!$Z$49</f>
        <v>0</v>
      </c>
      <c r="AA31" s="42">
        <f>SUM($Z$31:$Z$31)</f>
        <v>0</v>
      </c>
      <c r="AB31" s="42">
        <f>SUMIF($L$4:$AA$4,"SUBTOTAL",$L$31:$AA$31)</f>
        <v>328.05521587385243</v>
      </c>
    </row>
    <row r="32" spans="1:28" ht="11.25" customHeight="1" x14ac:dyDescent="0.25">
      <c r="A32" s="118"/>
      <c r="B32" s="44" t="s">
        <v>75</v>
      </c>
      <c r="C32" s="44" t="s">
        <v>44</v>
      </c>
      <c r="D32" s="44" t="s">
        <v>89</v>
      </c>
      <c r="E32" s="44" t="s">
        <v>25</v>
      </c>
      <c r="F32" s="44" t="s">
        <v>25</v>
      </c>
      <c r="G32" s="45" t="s">
        <v>76</v>
      </c>
      <c r="H32" s="45" t="s">
        <v>72</v>
      </c>
      <c r="I32" s="45">
        <f>'MERCADO TE'!$U$29</f>
        <v>0</v>
      </c>
      <c r="J32" s="15"/>
      <c r="L32" s="42">
        <f>'TR TE'!$L$32*'TR TE'!$L$49</f>
        <v>3.3471760122255465</v>
      </c>
      <c r="M32" s="42">
        <f>'TR TE'!$M$32*'TR TE'!$M$49</f>
        <v>0</v>
      </c>
      <c r="N32" s="42">
        <f>'TR TE'!$N$32*'TR TE'!$N$49</f>
        <v>0</v>
      </c>
      <c r="O32" s="42">
        <f>'TR TE'!$O$32*'TR TE'!$O$49</f>
        <v>1.4511292355840295</v>
      </c>
      <c r="P32" s="42">
        <f>'TR TE'!$P$32*'TR TE'!$P$49</f>
        <v>0</v>
      </c>
      <c r="Q32" s="42">
        <f>SUM($L$32:$P$32)</f>
        <v>4.7983052478095765</v>
      </c>
      <c r="R32" s="42">
        <f>'TR TE'!$R$32*'TR TE'!$R$49</f>
        <v>342.65232526360541</v>
      </c>
      <c r="S32" s="42">
        <f>SUM($R$32:$R$32)</f>
        <v>342.65232526360541</v>
      </c>
      <c r="T32" s="42">
        <f>'TR TE'!$T$32*'TR TE'!$T$49</f>
        <v>0</v>
      </c>
      <c r="U32" s="42">
        <f>'TR TE'!$U$32*'TR TE'!$U$49</f>
        <v>0</v>
      </c>
      <c r="V32" s="42">
        <f>'TR TE'!$V$32*'TR TE'!$V$49</f>
        <v>0</v>
      </c>
      <c r="W32" s="42">
        <f>SUM($T$32:$V$32)</f>
        <v>0</v>
      </c>
      <c r="X32" s="42"/>
      <c r="Y32" s="42">
        <f>SUM($X$32:$X$32)</f>
        <v>0</v>
      </c>
      <c r="Z32" s="42">
        <f>'TR TE'!$Z$32*'TR TE'!$Z$49</f>
        <v>0</v>
      </c>
      <c r="AA32" s="42">
        <f>SUM($Z$32:$Z$32)</f>
        <v>0</v>
      </c>
      <c r="AB32" s="42">
        <f>SUMIF($L$4:$AA$4,"SUBTOTAL",$L$32:$AA$32)</f>
        <v>347.450630511415</v>
      </c>
    </row>
    <row r="33" spans="1:28" ht="11.25" customHeight="1" x14ac:dyDescent="0.25">
      <c r="A33" s="118"/>
      <c r="B33" s="118" t="s">
        <v>86</v>
      </c>
      <c r="C33" s="118" t="s">
        <v>44</v>
      </c>
      <c r="D33" s="44" t="s">
        <v>25</v>
      </c>
      <c r="E33" s="44" t="s">
        <v>25</v>
      </c>
      <c r="F33" s="44" t="s">
        <v>25</v>
      </c>
      <c r="G33" s="45" t="s">
        <v>76</v>
      </c>
      <c r="H33" s="45" t="s">
        <v>72</v>
      </c>
      <c r="I33" s="45">
        <f>'MERCADO TE'!$U$30</f>
        <v>0</v>
      </c>
      <c r="J33" s="15"/>
      <c r="L33" s="42">
        <f>'TR TE'!$L$33*'TR TE'!$L$49</f>
        <v>3.3471760122255465</v>
      </c>
      <c r="M33" s="42">
        <f>'TR TE'!$M$33*'TR TE'!$M$49</f>
        <v>0</v>
      </c>
      <c r="N33" s="42">
        <f>'TR TE'!$N$33*'TR TE'!$N$49</f>
        <v>0</v>
      </c>
      <c r="O33" s="42">
        <f>'TR TE'!$O$33*'TR TE'!$O$49</f>
        <v>1.4511292355840295</v>
      </c>
      <c r="P33" s="42">
        <f>'TR TE'!$P$33*'TR TE'!$P$49</f>
        <v>0</v>
      </c>
      <c r="Q33" s="42">
        <f>SUM($L$33:$P$33)</f>
        <v>4.7983052478095765</v>
      </c>
      <c r="R33" s="42">
        <f>'TR TE'!$R$33*'TR TE'!$R$49</f>
        <v>342.65232526360541</v>
      </c>
      <c r="S33" s="42">
        <f>SUM($R$33:$R$33)</f>
        <v>342.65232526360541</v>
      </c>
      <c r="T33" s="42">
        <f>'TR TE'!$T$33*'TR TE'!$T$49</f>
        <v>0</v>
      </c>
      <c r="U33" s="42">
        <f>'TR TE'!$U$33*'TR TE'!$U$49</f>
        <v>0</v>
      </c>
      <c r="V33" s="42">
        <f>'TR TE'!$V$33*'TR TE'!$V$49</f>
        <v>0</v>
      </c>
      <c r="W33" s="42">
        <f>SUM($T$33:$V$33)</f>
        <v>0</v>
      </c>
      <c r="X33" s="42"/>
      <c r="Y33" s="42">
        <f>SUM($X$33:$X$33)</f>
        <v>0</v>
      </c>
      <c r="Z33" s="42">
        <f>'TR TE'!$Z$33*'TR TE'!$Z$49</f>
        <v>0</v>
      </c>
      <c r="AA33" s="42">
        <f>SUM($Z$33:$Z$33)</f>
        <v>0</v>
      </c>
      <c r="AB33" s="42">
        <f>SUMIF($L$4:$AA$4,"SUBTOTAL",$L$33:$AA$33)</f>
        <v>347.450630511415</v>
      </c>
    </row>
    <row r="34" spans="1:28" ht="11.25" customHeight="1" x14ac:dyDescent="0.25">
      <c r="A34" s="118"/>
      <c r="B34" s="118"/>
      <c r="C34" s="118"/>
      <c r="D34" s="44" t="s">
        <v>88</v>
      </c>
      <c r="E34" s="44" t="s">
        <v>25</v>
      </c>
      <c r="F34" s="44" t="s">
        <v>25</v>
      </c>
      <c r="G34" s="45" t="s">
        <v>76</v>
      </c>
      <c r="H34" s="45" t="s">
        <v>72</v>
      </c>
      <c r="I34" s="45">
        <f>'MERCADO TE'!$U$31</f>
        <v>0</v>
      </c>
      <c r="J34" s="15"/>
      <c r="L34" s="42">
        <f>'TR TE'!$L$34*'TR TE'!$L$49</f>
        <v>3.3471760122255465</v>
      </c>
      <c r="M34" s="42">
        <f>'TR TE'!$M$34*'TR TE'!$M$49</f>
        <v>0</v>
      </c>
      <c r="N34" s="42">
        <f>'TR TE'!$N$34*'TR TE'!$N$49</f>
        <v>0</v>
      </c>
      <c r="O34" s="42">
        <f>'TR TE'!$O$34*'TR TE'!$O$49</f>
        <v>1.4511292355840295</v>
      </c>
      <c r="P34" s="42">
        <f>'TR TE'!$P$34*'TR TE'!$P$49</f>
        <v>0</v>
      </c>
      <c r="Q34" s="42">
        <f>SUM($L$34:$P$34)</f>
        <v>4.7983052478095765</v>
      </c>
      <c r="R34" s="42">
        <f>'TR TE'!$R$34*'TR TE'!$R$49</f>
        <v>342.65232526360541</v>
      </c>
      <c r="S34" s="42">
        <f>SUM($R$34:$R$34)</f>
        <v>342.65232526360541</v>
      </c>
      <c r="T34" s="42">
        <f>'TR TE'!$T$34*'TR TE'!$T$49</f>
        <v>0</v>
      </c>
      <c r="U34" s="42">
        <f>'TR TE'!$U$34*'TR TE'!$U$49</f>
        <v>0</v>
      </c>
      <c r="V34" s="42">
        <f>'TR TE'!$V$34*'TR TE'!$V$49</f>
        <v>0</v>
      </c>
      <c r="W34" s="42">
        <f>SUM($T$34:$V$34)</f>
        <v>0</v>
      </c>
      <c r="X34" s="42"/>
      <c r="Y34" s="42">
        <f>SUM($X$34:$X$34)</f>
        <v>0</v>
      </c>
      <c r="Z34" s="42">
        <f>'TR TE'!$Z$34*'TR TE'!$Z$49</f>
        <v>0</v>
      </c>
      <c r="AA34" s="42">
        <f>SUM($Z$34:$Z$34)</f>
        <v>0</v>
      </c>
      <c r="AB34" s="42">
        <f>SUMIF($L$4:$AA$4,"SUBTOTAL",$L$34:$AA$34)</f>
        <v>347.450630511415</v>
      </c>
    </row>
    <row r="35" spans="1:28" ht="11.25" customHeight="1" x14ac:dyDescent="0.25">
      <c r="A35" s="118"/>
      <c r="B35" s="118"/>
      <c r="C35" s="118"/>
      <c r="D35" s="44" t="s">
        <v>89</v>
      </c>
      <c r="E35" s="44" t="s">
        <v>25</v>
      </c>
      <c r="F35" s="44" t="s">
        <v>25</v>
      </c>
      <c r="G35" s="45" t="s">
        <v>76</v>
      </c>
      <c r="H35" s="45" t="s">
        <v>72</v>
      </c>
      <c r="I35" s="45">
        <f>'MERCADO TE'!$U$32</f>
        <v>0</v>
      </c>
      <c r="J35" s="15"/>
      <c r="L35" s="42">
        <f>'TR TE'!$L$35*'TR TE'!$L$49</f>
        <v>3.3471760122255465</v>
      </c>
      <c r="M35" s="42">
        <f>'TR TE'!$M$35*'TR TE'!$M$49</f>
        <v>0</v>
      </c>
      <c r="N35" s="42">
        <f>'TR TE'!$N$35*'TR TE'!$N$49</f>
        <v>0</v>
      </c>
      <c r="O35" s="42">
        <f>'TR TE'!$O$35*'TR TE'!$O$49</f>
        <v>1.4511292355840295</v>
      </c>
      <c r="P35" s="42">
        <f>'TR TE'!$P$35*'TR TE'!$P$49</f>
        <v>0</v>
      </c>
      <c r="Q35" s="42">
        <f>SUM($L$35:$P$35)</f>
        <v>4.7983052478095765</v>
      </c>
      <c r="R35" s="42">
        <f>'TR TE'!$R$35*'TR TE'!$R$49</f>
        <v>342.65232526360541</v>
      </c>
      <c r="S35" s="42">
        <f>SUM($R$35:$R$35)</f>
        <v>342.65232526360541</v>
      </c>
      <c r="T35" s="42">
        <f>'TR TE'!$T$35*'TR TE'!$T$49</f>
        <v>0</v>
      </c>
      <c r="U35" s="42">
        <f>'TR TE'!$U$35*'TR TE'!$U$49</f>
        <v>0</v>
      </c>
      <c r="V35" s="42">
        <f>'TR TE'!$V$35*'TR TE'!$V$49</f>
        <v>0</v>
      </c>
      <c r="W35" s="42">
        <f>SUM($T$35:$V$35)</f>
        <v>0</v>
      </c>
      <c r="X35" s="42"/>
      <c r="Y35" s="42">
        <f>SUM($X$35:$X$35)</f>
        <v>0</v>
      </c>
      <c r="Z35" s="42">
        <f>'TR TE'!$Z$35*'TR TE'!$Z$49</f>
        <v>0</v>
      </c>
      <c r="AA35" s="42">
        <f>SUM($Z$35:$Z$35)</f>
        <v>0</v>
      </c>
      <c r="AB35" s="42">
        <f>SUMIF($L$4:$AA$4,"SUBTOTAL",$L$35:$AA$35)</f>
        <v>347.450630511415</v>
      </c>
    </row>
    <row r="36" spans="1:28" ht="11.25" customHeight="1" x14ac:dyDescent="0.25">
      <c r="A36" s="118" t="s">
        <v>37</v>
      </c>
      <c r="B36" s="118" t="s">
        <v>71</v>
      </c>
      <c r="C36" s="118" t="s">
        <v>25</v>
      </c>
      <c r="D36" s="118" t="s">
        <v>25</v>
      </c>
      <c r="E36" s="118" t="s">
        <v>25</v>
      </c>
      <c r="F36" s="118" t="s">
        <v>25</v>
      </c>
      <c r="G36" s="45" t="s">
        <v>73</v>
      </c>
      <c r="H36" s="45" t="s">
        <v>72</v>
      </c>
      <c r="I36" s="45">
        <f>'MERCADO TE'!$U$33</f>
        <v>38.241999999999997</v>
      </c>
      <c r="J36" s="15"/>
      <c r="L36" s="42">
        <f>'TR TE'!$L$36*'TR TE'!$L$49</f>
        <v>3.3471760122255465</v>
      </c>
      <c r="M36" s="42">
        <f>'TR TE'!$M$36*'TR TE'!$M$49</f>
        <v>0</v>
      </c>
      <c r="N36" s="42">
        <f>'TR TE'!$N$36*'TR TE'!$N$49</f>
        <v>0</v>
      </c>
      <c r="O36" s="42">
        <f>'TR TE'!$O$36*'TR TE'!$O$49</f>
        <v>1.4511292355840295</v>
      </c>
      <c r="P36" s="42">
        <f>'TR TE'!$P$36*'TR TE'!$P$49</f>
        <v>0</v>
      </c>
      <c r="Q36" s="42">
        <f>SUM($L$36:$P$36)</f>
        <v>4.7983052478095765</v>
      </c>
      <c r="R36" s="42">
        <f>'TR TE'!$R$36*'TR TE'!$R$49</f>
        <v>556.0018862767937</v>
      </c>
      <c r="S36" s="42">
        <f>SUM($R$36:$R$36)</f>
        <v>556.0018862767937</v>
      </c>
      <c r="T36" s="42">
        <f>'TR TE'!$T$36*'TR TE'!$T$49</f>
        <v>0</v>
      </c>
      <c r="U36" s="42">
        <f>'TR TE'!$U$36*'TR TE'!$U$49</f>
        <v>0</v>
      </c>
      <c r="V36" s="42">
        <f>'TR TE'!$V$36*'TR TE'!$V$49</f>
        <v>0</v>
      </c>
      <c r="W36" s="42">
        <f>SUM($T$36:$V$36)</f>
        <v>0</v>
      </c>
      <c r="X36" s="42"/>
      <c r="Y36" s="42">
        <f>SUM($X$36:$X$36)</f>
        <v>0</v>
      </c>
      <c r="Z36" s="42">
        <f>'TR TE'!$Z$36*'TR TE'!$Z$49</f>
        <v>0</v>
      </c>
      <c r="AA36" s="42">
        <f>SUM($Z$36:$Z$36)</f>
        <v>0</v>
      </c>
      <c r="AB36" s="42">
        <f>SUMIF($L$4:$AA$4,"SUBTOTAL",$L$36:$AA$36)</f>
        <v>560.80019152460329</v>
      </c>
    </row>
    <row r="37" spans="1:28" ht="11.25" customHeight="1" x14ac:dyDescent="0.25">
      <c r="A37" s="118"/>
      <c r="B37" s="118"/>
      <c r="C37" s="118"/>
      <c r="D37" s="118"/>
      <c r="E37" s="118"/>
      <c r="F37" s="118"/>
      <c r="G37" s="45" t="s">
        <v>85</v>
      </c>
      <c r="H37" s="45" t="s">
        <v>72</v>
      </c>
      <c r="I37" s="45">
        <f>'MERCADO TE'!$U$34</f>
        <v>26.390000000000004</v>
      </c>
      <c r="J37" s="15"/>
      <c r="L37" s="42">
        <f>'TR TE'!$L$37*'TR TE'!$L$49</f>
        <v>3.3471760122255465</v>
      </c>
      <c r="M37" s="42">
        <f>'TR TE'!$M$37*'TR TE'!$M$49</f>
        <v>0</v>
      </c>
      <c r="N37" s="42">
        <f>'TR TE'!$N$37*'TR TE'!$N$49</f>
        <v>0</v>
      </c>
      <c r="O37" s="42">
        <f>'TR TE'!$O$37*'TR TE'!$O$49</f>
        <v>1.4511292355840295</v>
      </c>
      <c r="P37" s="42">
        <f>'TR TE'!$P$37*'TR TE'!$P$49</f>
        <v>0</v>
      </c>
      <c r="Q37" s="42">
        <f>SUM($L$37:$P$37)</f>
        <v>4.7983052478095765</v>
      </c>
      <c r="R37" s="42">
        <f>'TR TE'!$R$37*'TR TE'!$R$49</f>
        <v>323.25691062604284</v>
      </c>
      <c r="S37" s="42">
        <f>SUM($R$37:$R$37)</f>
        <v>323.25691062604284</v>
      </c>
      <c r="T37" s="42">
        <f>'TR TE'!$T$37*'TR TE'!$T$49</f>
        <v>0</v>
      </c>
      <c r="U37" s="42">
        <f>'TR TE'!$U$37*'TR TE'!$U$49</f>
        <v>0</v>
      </c>
      <c r="V37" s="42">
        <f>'TR TE'!$V$37*'TR TE'!$V$49</f>
        <v>0</v>
      </c>
      <c r="W37" s="42">
        <f>SUM($T$37:$V$37)</f>
        <v>0</v>
      </c>
      <c r="X37" s="42"/>
      <c r="Y37" s="42">
        <f>SUM($X$37:$X$37)</f>
        <v>0</v>
      </c>
      <c r="Z37" s="42">
        <f>'TR TE'!$Z$37*'TR TE'!$Z$49</f>
        <v>0</v>
      </c>
      <c r="AA37" s="42">
        <f>SUM($Z$37:$Z$37)</f>
        <v>0</v>
      </c>
      <c r="AB37" s="42">
        <f>SUMIF($L$4:$AA$4,"SUBTOTAL",$L$37:$AA$37)</f>
        <v>328.05521587385243</v>
      </c>
    </row>
    <row r="38" spans="1:28" ht="11.25" customHeight="1" x14ac:dyDescent="0.25">
      <c r="A38" s="118"/>
      <c r="B38" s="118"/>
      <c r="C38" s="118"/>
      <c r="D38" s="118"/>
      <c r="E38" s="118"/>
      <c r="F38" s="118"/>
      <c r="G38" s="45" t="s">
        <v>74</v>
      </c>
      <c r="H38" s="45" t="s">
        <v>72</v>
      </c>
      <c r="I38" s="45">
        <f>'MERCADO TE'!$U$35</f>
        <v>1181.6300000000001</v>
      </c>
      <c r="J38" s="15"/>
      <c r="L38" s="42">
        <f>'TR TE'!$L$38*'TR TE'!$L$49</f>
        <v>3.3471760122255465</v>
      </c>
      <c r="M38" s="42">
        <f>'TR TE'!$M$38*'TR TE'!$M$49</f>
        <v>0</v>
      </c>
      <c r="N38" s="42">
        <f>'TR TE'!$N$38*'TR TE'!$N$49</f>
        <v>0</v>
      </c>
      <c r="O38" s="42">
        <f>'TR TE'!$O$38*'TR TE'!$O$49</f>
        <v>1.4511292355840295</v>
      </c>
      <c r="P38" s="42">
        <f>'TR TE'!$P$38*'TR TE'!$P$49</f>
        <v>0</v>
      </c>
      <c r="Q38" s="42">
        <f>SUM($L$38:$P$38)</f>
        <v>4.7983052478095765</v>
      </c>
      <c r="R38" s="42">
        <f>'TR TE'!$R$38*'TR TE'!$R$49</f>
        <v>323.25691062604284</v>
      </c>
      <c r="S38" s="42">
        <f>SUM($R$38:$R$38)</f>
        <v>323.25691062604284</v>
      </c>
      <c r="T38" s="42">
        <f>'TR TE'!$T$38*'TR TE'!$T$49</f>
        <v>0</v>
      </c>
      <c r="U38" s="42">
        <f>'TR TE'!$U$38*'TR TE'!$U$49</f>
        <v>0</v>
      </c>
      <c r="V38" s="42">
        <f>'TR TE'!$V$38*'TR TE'!$V$49</f>
        <v>0</v>
      </c>
      <c r="W38" s="42">
        <f>SUM($T$38:$V$38)</f>
        <v>0</v>
      </c>
      <c r="X38" s="42"/>
      <c r="Y38" s="42">
        <f>SUM($X$38:$X$38)</f>
        <v>0</v>
      </c>
      <c r="Z38" s="42">
        <f>'TR TE'!$Z$38*'TR TE'!$Z$49</f>
        <v>0</v>
      </c>
      <c r="AA38" s="42">
        <f>SUM($Z$38:$Z$38)</f>
        <v>0</v>
      </c>
      <c r="AB38" s="42">
        <f>SUMIF($L$4:$AA$4,"SUBTOTAL",$L$38:$AA$38)</f>
        <v>328.05521587385243</v>
      </c>
    </row>
    <row r="39" spans="1:28" ht="11.25" customHeight="1" x14ac:dyDescent="0.25">
      <c r="A39" s="118"/>
      <c r="B39" s="44" t="s">
        <v>75</v>
      </c>
      <c r="C39" s="44" t="s">
        <v>25</v>
      </c>
      <c r="D39" s="44" t="s">
        <v>25</v>
      </c>
      <c r="E39" s="44" t="s">
        <v>25</v>
      </c>
      <c r="F39" s="44" t="s">
        <v>25</v>
      </c>
      <c r="G39" s="45" t="s">
        <v>76</v>
      </c>
      <c r="H39" s="45" t="s">
        <v>72</v>
      </c>
      <c r="I39" s="45">
        <f>'MERCADO TE'!$U$36</f>
        <v>197307.342</v>
      </c>
      <c r="J39" s="15"/>
      <c r="L39" s="42">
        <f>'TR TE'!$L$39*'TR TE'!$L$49</f>
        <v>3.3471760122255465</v>
      </c>
      <c r="M39" s="42">
        <f>'TR TE'!$M$39*'TR TE'!$M$49</f>
        <v>0</v>
      </c>
      <c r="N39" s="42">
        <f>'TR TE'!$N$39*'TR TE'!$N$49</f>
        <v>0</v>
      </c>
      <c r="O39" s="42">
        <f>'TR TE'!$O$39*'TR TE'!$O$49</f>
        <v>1.4511292355840295</v>
      </c>
      <c r="P39" s="42">
        <f>'TR TE'!$P$39*'TR TE'!$P$49</f>
        <v>0</v>
      </c>
      <c r="Q39" s="42">
        <f>SUM($L$39:$P$39)</f>
        <v>4.7983052478095765</v>
      </c>
      <c r="R39" s="42">
        <f>'TR TE'!$R$39*'TR TE'!$R$49</f>
        <v>342.65232526360541</v>
      </c>
      <c r="S39" s="42">
        <f>SUM($R$39:$R$39)</f>
        <v>342.65232526360541</v>
      </c>
      <c r="T39" s="42">
        <f>'TR TE'!$T$39*'TR TE'!$T$49</f>
        <v>0</v>
      </c>
      <c r="U39" s="42">
        <f>'TR TE'!$U$39*'TR TE'!$U$49</f>
        <v>0</v>
      </c>
      <c r="V39" s="42">
        <f>'TR TE'!$V$39*'TR TE'!$V$49</f>
        <v>0</v>
      </c>
      <c r="W39" s="42">
        <f>SUM($T$39:$V$39)</f>
        <v>0</v>
      </c>
      <c r="X39" s="42"/>
      <c r="Y39" s="42">
        <f>SUM($X$39:$X$39)</f>
        <v>0</v>
      </c>
      <c r="Z39" s="42">
        <f>'TR TE'!$Z$39*'TR TE'!$Z$49</f>
        <v>0</v>
      </c>
      <c r="AA39" s="42">
        <f>SUM($Z$39:$Z$39)</f>
        <v>0</v>
      </c>
      <c r="AB39" s="42">
        <f>SUMIF($L$4:$AA$4,"SUBTOTAL",$L$39:$AA$39)</f>
        <v>347.450630511415</v>
      </c>
    </row>
    <row r="40" spans="1:28" ht="11.25" customHeight="1" x14ac:dyDescent="0.25">
      <c r="A40" s="118"/>
      <c r="B40" s="44" t="s">
        <v>86</v>
      </c>
      <c r="C40" s="44" t="s">
        <v>25</v>
      </c>
      <c r="D40" s="44" t="s">
        <v>25</v>
      </c>
      <c r="E40" s="44" t="s">
        <v>25</v>
      </c>
      <c r="F40" s="44" t="s">
        <v>25</v>
      </c>
      <c r="G40" s="45" t="s">
        <v>76</v>
      </c>
      <c r="H40" s="45" t="s">
        <v>72</v>
      </c>
      <c r="I40" s="45">
        <f>'MERCADO TE'!$U$37</f>
        <v>0</v>
      </c>
      <c r="J40" s="15"/>
      <c r="L40" s="42">
        <f>'TR TE'!$L$40*'TR TE'!$L$49</f>
        <v>3.3471760122255465</v>
      </c>
      <c r="M40" s="42">
        <f>'TR TE'!$M$40*'TR TE'!$M$49</f>
        <v>0</v>
      </c>
      <c r="N40" s="42">
        <f>'TR TE'!$N$40*'TR TE'!$N$49</f>
        <v>0</v>
      </c>
      <c r="O40" s="42">
        <f>'TR TE'!$O$40*'TR TE'!$O$49</f>
        <v>1.4511292355840295</v>
      </c>
      <c r="P40" s="42">
        <f>'TR TE'!$P$40*'TR TE'!$P$49</f>
        <v>0</v>
      </c>
      <c r="Q40" s="42">
        <f>SUM($L$40:$P$40)</f>
        <v>4.7983052478095765</v>
      </c>
      <c r="R40" s="42">
        <f>'TR TE'!$R$40*'TR TE'!$R$49</f>
        <v>342.65232526360541</v>
      </c>
      <c r="S40" s="42">
        <f>SUM($R$40:$R$40)</f>
        <v>342.65232526360541</v>
      </c>
      <c r="T40" s="42">
        <f>'TR TE'!$T$40*'TR TE'!$T$49</f>
        <v>0</v>
      </c>
      <c r="U40" s="42">
        <f>'TR TE'!$U$40*'TR TE'!$U$49</f>
        <v>0</v>
      </c>
      <c r="V40" s="42">
        <f>'TR TE'!$V$40*'TR TE'!$V$49</f>
        <v>0</v>
      </c>
      <c r="W40" s="42">
        <f>SUM($T$40:$V$40)</f>
        <v>0</v>
      </c>
      <c r="X40" s="42"/>
      <c r="Y40" s="42">
        <f>SUM($X$40:$X$40)</f>
        <v>0</v>
      </c>
      <c r="Z40" s="42">
        <f>'TR TE'!$Z$40*'TR TE'!$Z$49</f>
        <v>0</v>
      </c>
      <c r="AA40" s="42">
        <f>SUM($Z$40:$Z$40)</f>
        <v>0</v>
      </c>
      <c r="AB40" s="42">
        <f>SUMIF($L$4:$AA$4,"SUBTOTAL",$L$40:$AA$40)</f>
        <v>347.450630511415</v>
      </c>
    </row>
    <row r="41" spans="1:28" ht="11.25" customHeight="1" x14ac:dyDescent="0.25">
      <c r="A41" s="118" t="s">
        <v>46</v>
      </c>
      <c r="B41" s="118" t="s">
        <v>75</v>
      </c>
      <c r="C41" s="118" t="s">
        <v>47</v>
      </c>
      <c r="D41" s="44" t="s">
        <v>48</v>
      </c>
      <c r="E41" s="44" t="s">
        <v>25</v>
      </c>
      <c r="F41" s="44" t="s">
        <v>25</v>
      </c>
      <c r="G41" s="45" t="s">
        <v>76</v>
      </c>
      <c r="H41" s="45" t="s">
        <v>72</v>
      </c>
      <c r="I41" s="45">
        <f>'MERCADO TE'!$U$38</f>
        <v>42496.07</v>
      </c>
      <c r="J41" s="15"/>
      <c r="L41" s="42">
        <f>'TR TE'!$L$41*'TR TE'!$L$49</f>
        <v>1.8409468067240506</v>
      </c>
      <c r="M41" s="42">
        <f>'TR TE'!$M$41*'TR TE'!$M$49</f>
        <v>0</v>
      </c>
      <c r="N41" s="42">
        <f>'TR TE'!$N$41*'TR TE'!$N$49</f>
        <v>0</v>
      </c>
      <c r="O41" s="42">
        <f>'TR TE'!$O$41*'TR TE'!$O$49</f>
        <v>0.79812107957121625</v>
      </c>
      <c r="P41" s="42">
        <f>'TR TE'!$P$41*'TR TE'!$P$49</f>
        <v>0</v>
      </c>
      <c r="Q41" s="42">
        <f>SUM($L$41:$P$41)</f>
        <v>2.6390678862952668</v>
      </c>
      <c r="R41" s="42">
        <f>'TR TE'!$R$41*'TR TE'!$R$49</f>
        <v>188.458778894983</v>
      </c>
      <c r="S41" s="42">
        <f>SUM($R$41:$R$41)</f>
        <v>188.458778894983</v>
      </c>
      <c r="T41" s="42">
        <f>'TR TE'!$T$41*'TR TE'!$T$49</f>
        <v>0</v>
      </c>
      <c r="U41" s="42">
        <f>'TR TE'!$U$41*'TR TE'!$U$49</f>
        <v>0</v>
      </c>
      <c r="V41" s="42">
        <f>'TR TE'!$V$41*'TR TE'!$V$49</f>
        <v>0</v>
      </c>
      <c r="W41" s="42">
        <f>SUM($T$41:$V$41)</f>
        <v>0</v>
      </c>
      <c r="X41" s="42"/>
      <c r="Y41" s="42">
        <f>SUM($X$41:$X$41)</f>
        <v>0</v>
      </c>
      <c r="Z41" s="42">
        <f>'TR TE'!$Z$41*'TR TE'!$Z$49</f>
        <v>0</v>
      </c>
      <c r="AA41" s="42">
        <f>SUM($Z$41:$Z$41)</f>
        <v>0</v>
      </c>
      <c r="AB41" s="42">
        <f>SUMIF($L$4:$AA$4,"SUBTOTAL",$L$41:$AA$41)</f>
        <v>191.09784678127826</v>
      </c>
    </row>
    <row r="42" spans="1:28" ht="11.25" customHeight="1" x14ac:dyDescent="0.25">
      <c r="A42" s="118"/>
      <c r="B42" s="118"/>
      <c r="C42" s="118"/>
      <c r="D42" s="45" t="s">
        <v>90</v>
      </c>
      <c r="E42" s="45" t="s">
        <v>25</v>
      </c>
      <c r="F42" s="45" t="s">
        <v>25</v>
      </c>
      <c r="G42" s="45" t="s">
        <v>76</v>
      </c>
      <c r="H42" s="45" t="s">
        <v>72</v>
      </c>
      <c r="I42" s="45">
        <f>'MERCADO TE'!$U$39</f>
        <v>0</v>
      </c>
      <c r="J42" s="15"/>
      <c r="L42" s="42">
        <f>'TR TE'!$L$42*'TR TE'!$L$49</f>
        <v>2.0083056073353278</v>
      </c>
      <c r="M42" s="42">
        <f>'TR TE'!$M$42*'TR TE'!$M$49</f>
        <v>0</v>
      </c>
      <c r="N42" s="42">
        <f>'TR TE'!$N$42*'TR TE'!$N$49</f>
        <v>0</v>
      </c>
      <c r="O42" s="42">
        <f>'TR TE'!$O$42*'TR TE'!$O$49</f>
        <v>0.87067754135041764</v>
      </c>
      <c r="P42" s="42">
        <f>'TR TE'!$P$42*'TR TE'!$P$49</f>
        <v>0</v>
      </c>
      <c r="Q42" s="42">
        <f>SUM($L$42:$P$42)</f>
        <v>2.8789831486857453</v>
      </c>
      <c r="R42" s="42">
        <f>'TR TE'!$R$42*'TR TE'!$R$49</f>
        <v>205.59139515816324</v>
      </c>
      <c r="S42" s="42">
        <f>SUM($R$42:$R$42)</f>
        <v>205.59139515816324</v>
      </c>
      <c r="T42" s="42">
        <f>'TR TE'!$T$42*'TR TE'!$T$49</f>
        <v>0</v>
      </c>
      <c r="U42" s="42">
        <f>'TR TE'!$U$42*'TR TE'!$U$49</f>
        <v>0</v>
      </c>
      <c r="V42" s="42">
        <f>'TR TE'!$V$42*'TR TE'!$V$49</f>
        <v>0</v>
      </c>
      <c r="W42" s="42">
        <f>SUM($T$42:$V$42)</f>
        <v>0</v>
      </c>
      <c r="X42" s="42"/>
      <c r="Y42" s="42">
        <f>SUM($X$42:$X$42)</f>
        <v>0</v>
      </c>
      <c r="Z42" s="42">
        <f>'TR TE'!$Z$42*'TR TE'!$Z$49</f>
        <v>0</v>
      </c>
      <c r="AA42" s="42">
        <f>SUM($Z$42:$Z$42)</f>
        <v>0</v>
      </c>
      <c r="AB42" s="42">
        <f>SUMIF($L$4:$AA$4,"SUBTOTAL",$L$42:$AA$42)</f>
        <v>208.47037830684897</v>
      </c>
    </row>
    <row r="44" spans="1:28" ht="11.25" customHeight="1" x14ac:dyDescent="0.25">
      <c r="K44" s="47" t="s">
        <v>677</v>
      </c>
      <c r="L44" s="42">
        <f t="shared" ref="L44:AB44" si="0">SUMPRODUCT($I$5:$I$42,L$5:L$42)</f>
        <v>3803634.9554985329</v>
      </c>
      <c r="M44" s="42">
        <f t="shared" si="0"/>
        <v>0</v>
      </c>
      <c r="N44" s="42">
        <f t="shared" si="0"/>
        <v>0</v>
      </c>
      <c r="O44" s="42">
        <f t="shared" si="0"/>
        <v>1649021.7022508194</v>
      </c>
      <c r="P44" s="42">
        <f t="shared" si="0"/>
        <v>0</v>
      </c>
      <c r="Q44" s="42">
        <f t="shared" si="0"/>
        <v>5452656.6577493511</v>
      </c>
      <c r="R44" s="42">
        <f t="shared" si="0"/>
        <v>388556240.2912513</v>
      </c>
      <c r="S44" s="42">
        <f t="shared" si="0"/>
        <v>388556240.2912513</v>
      </c>
      <c r="T44" s="42">
        <f t="shared" si="0"/>
        <v>0</v>
      </c>
      <c r="U44" s="42">
        <f t="shared" si="0"/>
        <v>0</v>
      </c>
      <c r="V44" s="42">
        <f t="shared" si="0"/>
        <v>0</v>
      </c>
      <c r="W44" s="42">
        <f t="shared" si="0"/>
        <v>0</v>
      </c>
      <c r="X44" s="42">
        <f t="shared" si="0"/>
        <v>0</v>
      </c>
      <c r="Y44" s="42">
        <f t="shared" si="0"/>
        <v>0</v>
      </c>
      <c r="Z44" s="42">
        <f t="shared" si="0"/>
        <v>0</v>
      </c>
      <c r="AA44" s="42">
        <f t="shared" si="0"/>
        <v>0</v>
      </c>
      <c r="AB44" s="42">
        <f t="shared" si="0"/>
        <v>394008896.94900048</v>
      </c>
    </row>
    <row r="45" spans="1:28" ht="11.25" customHeight="1" x14ac:dyDescent="0.25">
      <c r="K45" s="47" t="s">
        <v>602</v>
      </c>
      <c r="L45" s="42">
        <f>CUSTOS!$D$30</f>
        <v>3803634.9554985329</v>
      </c>
      <c r="M45" s="42">
        <f>CUSTOS!$D$31</f>
        <v>0</v>
      </c>
      <c r="N45" s="42">
        <f>CUSTOS!$D$32</f>
        <v>0</v>
      </c>
      <c r="O45" s="42">
        <f>CUSTOS!$D$33</f>
        <v>1649021.7022508194</v>
      </c>
      <c r="P45" s="42">
        <f>CUSTOS!$D$34</f>
        <v>0</v>
      </c>
      <c r="Q45" s="42">
        <f>CUSTOS!$D$35</f>
        <v>5452656.657749352</v>
      </c>
      <c r="R45" s="42">
        <f>CUSTOS!$D$36</f>
        <v>388556240.29125124</v>
      </c>
      <c r="S45" s="42">
        <f>CUSTOS!$D$37</f>
        <v>388556240.29125124</v>
      </c>
      <c r="T45" s="42">
        <f>CUSTOS!$D$38</f>
        <v>0</v>
      </c>
      <c r="U45" s="42">
        <f>CUSTOS!$D$39</f>
        <v>0</v>
      </c>
      <c r="V45" s="42">
        <f>CUSTOS!$D$40</f>
        <v>0</v>
      </c>
      <c r="W45" s="42">
        <f>CUSTOS!$D$41</f>
        <v>0</v>
      </c>
      <c r="X45" s="42">
        <f>CUSTOS!$D$42</f>
        <v>0</v>
      </c>
      <c r="Y45" s="42">
        <f>CUSTOS!$D$43</f>
        <v>0</v>
      </c>
      <c r="Z45" s="42">
        <f>CUSTOS!$D$44</f>
        <v>0</v>
      </c>
      <c r="AA45" s="42">
        <f>CUSTOS!$D$45</f>
        <v>0</v>
      </c>
      <c r="AB45" s="42">
        <f>CUSTOS!$D$46</f>
        <v>394008896.9490006</v>
      </c>
    </row>
    <row r="46" spans="1:28" ht="11.25" customHeight="1" x14ac:dyDescent="0.25">
      <c r="K46" s="47" t="s">
        <v>603</v>
      </c>
      <c r="L46" s="42">
        <f>CUSTOS!$E$30</f>
        <v>8.8125939035649825</v>
      </c>
      <c r="M46" s="42">
        <f>CUSTOS!$E$31</f>
        <v>0</v>
      </c>
      <c r="N46" s="42">
        <f>CUSTOS!$E$32</f>
        <v>0</v>
      </c>
      <c r="O46" s="42">
        <f>CUSTOS!$E$33</f>
        <v>-619505.78256934951</v>
      </c>
      <c r="P46" s="42">
        <f>CUSTOS!$E$34</f>
        <v>0</v>
      </c>
      <c r="Q46" s="42">
        <f>CUSTOS!$E$35</f>
        <v>-619496.969975446</v>
      </c>
      <c r="R46" s="42">
        <f>CUSTOS!$E$36</f>
        <v>-10653371.82561641</v>
      </c>
      <c r="S46" s="42">
        <f>CUSTOS!$E$37</f>
        <v>-10653371.82561641</v>
      </c>
      <c r="T46" s="42">
        <f>CUSTOS!$E$38</f>
        <v>0</v>
      </c>
      <c r="U46" s="42">
        <f>CUSTOS!$E$39</f>
        <v>0</v>
      </c>
      <c r="V46" s="42">
        <f>CUSTOS!$E$40</f>
        <v>0</v>
      </c>
      <c r="W46" s="42">
        <f>CUSTOS!$E$41</f>
        <v>0</v>
      </c>
      <c r="X46" s="42">
        <f>CUSTOS!$E$42</f>
        <v>0</v>
      </c>
      <c r="Y46" s="42">
        <f>CUSTOS!$E$43</f>
        <v>0</v>
      </c>
      <c r="Z46" s="42">
        <f>CUSTOS!$E$44</f>
        <v>0</v>
      </c>
      <c r="AA46" s="42">
        <f>CUSTOS!$E$45</f>
        <v>0</v>
      </c>
      <c r="AB46" s="42">
        <f>CUSTOS!$E$46</f>
        <v>-11272868.795591855</v>
      </c>
    </row>
    <row r="47" spans="1:28" ht="11.25" customHeight="1" x14ac:dyDescent="0.25">
      <c r="K47" s="47" t="s">
        <v>604</v>
      </c>
      <c r="L47" s="42">
        <f>CUSTOS!$F$30</f>
        <v>0</v>
      </c>
      <c r="M47" s="42">
        <f>CUSTOS!$F$31</f>
        <v>0</v>
      </c>
      <c r="N47" s="42">
        <f>CUSTOS!$F$32</f>
        <v>0</v>
      </c>
      <c r="O47" s="42">
        <f>CUSTOS!$F$33</f>
        <v>0</v>
      </c>
      <c r="P47" s="42">
        <f>CUSTOS!$F$34</f>
        <v>0</v>
      </c>
      <c r="Q47" s="42">
        <f>CUSTOS!$F$35</f>
        <v>0</v>
      </c>
      <c r="R47" s="42">
        <f>CUSTOS!$F$36</f>
        <v>-1514051.4409483867</v>
      </c>
      <c r="S47" s="42">
        <f>CUSTOS!$F$37</f>
        <v>-1514051.4409483867</v>
      </c>
      <c r="T47" s="42">
        <f>CUSTOS!$F$38</f>
        <v>0</v>
      </c>
      <c r="U47" s="42">
        <f>CUSTOS!$F$39</f>
        <v>0</v>
      </c>
      <c r="V47" s="42">
        <f>CUSTOS!$F$40</f>
        <v>0</v>
      </c>
      <c r="W47" s="42">
        <f>CUSTOS!$F$41</f>
        <v>0</v>
      </c>
      <c r="X47" s="42">
        <f>CUSTOS!$F$42</f>
        <v>0</v>
      </c>
      <c r="Y47" s="42">
        <f>CUSTOS!$F$43</f>
        <v>0</v>
      </c>
      <c r="Z47" s="42">
        <f>CUSTOS!$F$44</f>
        <v>0</v>
      </c>
      <c r="AA47" s="42">
        <f>CUSTOS!$F$45</f>
        <v>0</v>
      </c>
      <c r="AB47" s="42">
        <f>CUSTOS!$F$46</f>
        <v>-1514051.4409483867</v>
      </c>
    </row>
    <row r="48" spans="1:28" ht="11.25" customHeight="1" x14ac:dyDescent="0.25">
      <c r="K48" s="47" t="s">
        <v>678</v>
      </c>
      <c r="L48" s="42">
        <f>'TR TE'!$L$48*L49</f>
        <v>7.7550299291619755E-6</v>
      </c>
      <c r="M48" s="42">
        <f>'TR TE'!$M$48*M49</f>
        <v>0</v>
      </c>
      <c r="N48" s="42">
        <f>'TR TE'!$N$48*N49</f>
        <v>0</v>
      </c>
      <c r="O48" s="42">
        <f>'TR TE'!$O$48*O49</f>
        <v>-0.54516138354800681</v>
      </c>
      <c r="P48" s="42">
        <f>'TR TE'!$P$48*P49</f>
        <v>0</v>
      </c>
      <c r="Q48" s="42"/>
      <c r="R48" s="42">
        <f>'TR TE'!$R$48*R49</f>
        <v>-9.2197504935065719</v>
      </c>
      <c r="S48" s="42"/>
      <c r="T48" s="42">
        <f>'TR TE'!$T$48*T49</f>
        <v>0</v>
      </c>
      <c r="U48" s="42">
        <f>'TR TE'!$U$48*U49</f>
        <v>0</v>
      </c>
      <c r="V48" s="42">
        <f>'TR TE'!$V$48*V49</f>
        <v>0</v>
      </c>
      <c r="W48" s="42"/>
      <c r="X48" s="42"/>
      <c r="Y48" s="42"/>
      <c r="Z48" s="42">
        <f>'TR TE'!$Z$48*Z49</f>
        <v>0</v>
      </c>
      <c r="AA48" s="42"/>
      <c r="AB48" s="42"/>
    </row>
    <row r="49" spans="11:28" ht="11.25" customHeight="1" x14ac:dyDescent="0.25">
      <c r="K49" s="47" t="s">
        <v>671</v>
      </c>
      <c r="L49" s="42">
        <f>IF(L45&lt;&gt;0,L46/L45,0)</f>
        <v>2.3168874002552481E-6</v>
      </c>
      <c r="M49" s="42">
        <f>IF(M45&lt;&gt;0,M46/M45,0)</f>
        <v>0</v>
      </c>
      <c r="N49" s="42">
        <f>IF(N45&lt;&gt;0,N46/N45,0)</f>
        <v>0</v>
      </c>
      <c r="O49" s="42">
        <f>IF(O45&lt;&gt;0,O46/O45,0)</f>
        <v>-0.37568079408764593</v>
      </c>
      <c r="P49" s="42">
        <f>IF(P45&lt;&gt;0,P46/P45,0)</f>
        <v>0</v>
      </c>
      <c r="Q49" s="42"/>
      <c r="R49" s="42">
        <f>IF(R45&lt;&gt;0,R46/R45,0)</f>
        <v>-2.7417837422018834E-2</v>
      </c>
      <c r="S49" s="42"/>
      <c r="T49" s="42">
        <f>IF(T45&lt;&gt;0,T46/T45,0)</f>
        <v>0</v>
      </c>
      <c r="U49" s="42">
        <f>IF(U45&lt;&gt;0,U46/U45,0)</f>
        <v>0</v>
      </c>
      <c r="V49" s="42">
        <f>IF(V45&lt;&gt;0,V46/V45,0)</f>
        <v>0</v>
      </c>
      <c r="W49" s="42"/>
      <c r="X49" s="42">
        <f>IF(($AB45-0)&lt;&gt;0,X46/($AB45-0),0)</f>
        <v>0</v>
      </c>
      <c r="Y49" s="42"/>
      <c r="Z49" s="42">
        <f>IF(Z45&lt;&gt;0,Z46/Z45,0)</f>
        <v>0</v>
      </c>
      <c r="AA49" s="42"/>
      <c r="AB49" s="42"/>
    </row>
    <row r="50" spans="11:28" ht="11.25" customHeight="1" x14ac:dyDescent="0.25">
      <c r="K50" s="47" t="s">
        <v>680</v>
      </c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1023" priority="33" operator="notEqual">
      <formula>$L$45</formula>
    </cfRule>
    <cfRule type="cellIs" dxfId="1022" priority="34" operator="equal">
      <formula>$L$45</formula>
    </cfRule>
  </conditionalFormatting>
  <conditionalFormatting sqref="M44">
    <cfRule type="cellIs" dxfId="1021" priority="31" operator="notEqual">
      <formula>$M$45</formula>
    </cfRule>
    <cfRule type="cellIs" dxfId="1020" priority="32" operator="equal">
      <formula>$M$45</formula>
    </cfRule>
  </conditionalFormatting>
  <conditionalFormatting sqref="N44">
    <cfRule type="cellIs" dxfId="1019" priority="29" operator="notEqual">
      <formula>$N$45</formula>
    </cfRule>
    <cfRule type="cellIs" dxfId="1018" priority="30" operator="equal">
      <formula>$N$45</formula>
    </cfRule>
  </conditionalFormatting>
  <conditionalFormatting sqref="O44">
    <cfRule type="cellIs" dxfId="1017" priority="27" operator="notEqual">
      <formula>$O$45</formula>
    </cfRule>
    <cfRule type="cellIs" dxfId="1016" priority="28" operator="equal">
      <formula>$O$45</formula>
    </cfRule>
  </conditionalFormatting>
  <conditionalFormatting sqref="P44">
    <cfRule type="cellIs" dxfId="1015" priority="25" operator="notEqual">
      <formula>$P$45</formula>
    </cfRule>
    <cfRule type="cellIs" dxfId="1014" priority="26" operator="equal">
      <formula>$P$45</formula>
    </cfRule>
  </conditionalFormatting>
  <conditionalFormatting sqref="Q44">
    <cfRule type="cellIs" dxfId="1013" priority="23" operator="notEqual">
      <formula>$Q$45</formula>
    </cfRule>
    <cfRule type="cellIs" dxfId="1012" priority="24" operator="equal">
      <formula>$Q$45</formula>
    </cfRule>
  </conditionalFormatting>
  <conditionalFormatting sqref="R44">
    <cfRule type="cellIs" dxfId="1011" priority="21" operator="notEqual">
      <formula>$R$45</formula>
    </cfRule>
    <cfRule type="cellIs" dxfId="1010" priority="22" operator="equal">
      <formula>$R$45</formula>
    </cfRule>
  </conditionalFormatting>
  <conditionalFormatting sqref="S44">
    <cfRule type="cellIs" dxfId="1009" priority="19" operator="notEqual">
      <formula>$S$45</formula>
    </cfRule>
    <cfRule type="cellIs" dxfId="1008" priority="20" operator="equal">
      <formula>$S$45</formula>
    </cfRule>
  </conditionalFormatting>
  <conditionalFormatting sqref="T44">
    <cfRule type="cellIs" dxfId="1007" priority="17" operator="notEqual">
      <formula>$T$45</formula>
    </cfRule>
    <cfRule type="cellIs" dxfId="1006" priority="18" operator="equal">
      <formula>$T$45</formula>
    </cfRule>
  </conditionalFormatting>
  <conditionalFormatting sqref="U44">
    <cfRule type="cellIs" dxfId="1005" priority="15" operator="notEqual">
      <formula>$U$45</formula>
    </cfRule>
    <cfRule type="cellIs" dxfId="1004" priority="16" operator="equal">
      <formula>$U$45</formula>
    </cfRule>
  </conditionalFormatting>
  <conditionalFormatting sqref="V44">
    <cfRule type="cellIs" dxfId="1003" priority="13" operator="notEqual">
      <formula>$V$45</formula>
    </cfRule>
    <cfRule type="cellIs" dxfId="1002" priority="14" operator="equal">
      <formula>$V$45</formula>
    </cfRule>
  </conditionalFormatting>
  <conditionalFormatting sqref="W44">
    <cfRule type="cellIs" dxfId="1001" priority="11" operator="notEqual">
      <formula>$W$45</formula>
    </cfRule>
    <cfRule type="cellIs" dxfId="1000" priority="12" operator="equal">
      <formula>$W$45</formula>
    </cfRule>
  </conditionalFormatting>
  <conditionalFormatting sqref="X44">
    <cfRule type="cellIs" dxfId="999" priority="9" operator="notEqual">
      <formula>$X$45</formula>
    </cfRule>
    <cfRule type="cellIs" dxfId="998" priority="10" operator="equal">
      <formula>$X$45</formula>
    </cfRule>
  </conditionalFormatting>
  <conditionalFormatting sqref="Y44">
    <cfRule type="cellIs" dxfId="997" priority="7" operator="notEqual">
      <formula>$Y$45</formula>
    </cfRule>
    <cfRule type="cellIs" dxfId="996" priority="8" operator="equal">
      <formula>$Y$45</formula>
    </cfRule>
  </conditionalFormatting>
  <conditionalFormatting sqref="Z44">
    <cfRule type="cellIs" dxfId="995" priority="5" operator="notEqual">
      <formula>$Z$45</formula>
    </cfRule>
    <cfRule type="cellIs" dxfId="994" priority="6" operator="equal">
      <formula>$Z$45</formula>
    </cfRule>
  </conditionalFormatting>
  <conditionalFormatting sqref="AA44">
    <cfRule type="cellIs" dxfId="993" priority="3" operator="notEqual">
      <formula>$AA$45</formula>
    </cfRule>
    <cfRule type="cellIs" dxfId="992" priority="4" operator="equal">
      <formula>$AA$45</formula>
    </cfRule>
  </conditionalFormatting>
  <conditionalFormatting sqref="AB44">
    <cfRule type="cellIs" dxfId="991" priority="1" operator="notEqual">
      <formula>$AB$45</formula>
    </cfRule>
    <cfRule type="cellIs" dxfId="990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F5D6-CBB1-47FE-BD87-CF647AD0698B}">
  <dimension ref="A1:AB50"/>
  <sheetViews>
    <sheetView showGridLines="0" topLeftCell="R30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62</v>
      </c>
      <c r="B1" s="117" t="s">
        <v>63</v>
      </c>
      <c r="C1" s="117" t="s">
        <v>64</v>
      </c>
      <c r="D1" s="117" t="s">
        <v>65</v>
      </c>
      <c r="E1" s="117" t="s">
        <v>66</v>
      </c>
      <c r="F1" s="117" t="s">
        <v>15</v>
      </c>
      <c r="G1" s="117" t="s">
        <v>68</v>
      </c>
      <c r="H1" s="117" t="s">
        <v>69</v>
      </c>
      <c r="I1" s="117" t="s">
        <v>661</v>
      </c>
      <c r="J1" s="103"/>
      <c r="L1" s="115" t="s">
        <v>682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3"/>
      <c r="L2" s="115" t="s">
        <v>588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3"/>
      <c r="L3" s="115" t="s">
        <v>561</v>
      </c>
      <c r="M3" s="115"/>
      <c r="N3" s="115"/>
      <c r="O3" s="115"/>
      <c r="P3" s="115"/>
      <c r="Q3" s="115"/>
      <c r="R3" s="115" t="s">
        <v>592</v>
      </c>
      <c r="S3" s="115"/>
      <c r="T3" s="115" t="s">
        <v>570</v>
      </c>
      <c r="U3" s="115"/>
      <c r="V3" s="115"/>
      <c r="W3" s="115"/>
      <c r="X3" s="115" t="s">
        <v>580</v>
      </c>
      <c r="Y3" s="115"/>
      <c r="Z3" s="115" t="s">
        <v>583</v>
      </c>
      <c r="AA3" s="115"/>
      <c r="AB3" s="115" t="s">
        <v>569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3"/>
      <c r="L4" s="46" t="s">
        <v>563</v>
      </c>
      <c r="M4" s="46" t="s">
        <v>589</v>
      </c>
      <c r="N4" s="46" t="s">
        <v>590</v>
      </c>
      <c r="O4" s="46" t="s">
        <v>649</v>
      </c>
      <c r="P4" s="46" t="s">
        <v>591</v>
      </c>
      <c r="Q4" s="46" t="s">
        <v>569</v>
      </c>
      <c r="R4" s="46" t="s">
        <v>593</v>
      </c>
      <c r="S4" s="46" t="s">
        <v>569</v>
      </c>
      <c r="T4" s="46" t="s">
        <v>594</v>
      </c>
      <c r="U4" s="46" t="s">
        <v>595</v>
      </c>
      <c r="V4" s="46" t="s">
        <v>596</v>
      </c>
      <c r="W4" s="46" t="s">
        <v>569</v>
      </c>
      <c r="X4" s="46" t="s">
        <v>581</v>
      </c>
      <c r="Y4" s="46" t="s">
        <v>569</v>
      </c>
      <c r="Z4" s="46" t="s">
        <v>597</v>
      </c>
      <c r="AA4" s="46" t="s">
        <v>569</v>
      </c>
      <c r="AB4" s="116"/>
    </row>
    <row r="5" spans="1:28" ht="11.25" customHeight="1" x14ac:dyDescent="0.25">
      <c r="A5" s="118" t="s">
        <v>39</v>
      </c>
      <c r="B5" s="118" t="s">
        <v>71</v>
      </c>
      <c r="C5" s="118" t="s">
        <v>25</v>
      </c>
      <c r="D5" s="118" t="s">
        <v>25</v>
      </c>
      <c r="E5" s="118" t="s">
        <v>25</v>
      </c>
      <c r="F5" s="118" t="s">
        <v>25</v>
      </c>
      <c r="G5" s="45" t="s">
        <v>73</v>
      </c>
      <c r="H5" s="45" t="s">
        <v>72</v>
      </c>
      <c r="I5" s="45">
        <f>'MERCADO TE'!$U$2</f>
        <v>17056.542000000001</v>
      </c>
      <c r="J5" s="15"/>
      <c r="L5" s="42">
        <f>'TE BE'!$L$5*'TE BE'!$L$49</f>
        <v>7.7550299291619755E-6</v>
      </c>
      <c r="M5" s="42">
        <f>'TE BE'!$M$5*'TE BE'!$M$49</f>
        <v>0</v>
      </c>
      <c r="N5" s="42">
        <f>'TE BE'!$N$5*'TE BE'!$N$49</f>
        <v>0</v>
      </c>
      <c r="O5" s="42">
        <f>'TE BE'!$O$5*'TE BE'!$O$49</f>
        <v>-0.54516138354800681</v>
      </c>
      <c r="P5" s="42">
        <f>'TE BE'!$P$5*'TE BE'!$P$49</f>
        <v>0</v>
      </c>
      <c r="Q5" s="42">
        <f>SUM($L$5:$P$5)</f>
        <v>-0.54515362851807769</v>
      </c>
      <c r="R5" s="42">
        <f>'TE BE'!$R$5*'TE BE'!$R$49</f>
        <v>-15.244369324272935</v>
      </c>
      <c r="S5" s="42">
        <f>SUM($R$5:$R$5)</f>
        <v>-15.244369324272935</v>
      </c>
      <c r="T5" s="42">
        <f>'TE BE'!$T$5*'TE BE'!$T$49</f>
        <v>0</v>
      </c>
      <c r="U5" s="42">
        <f>'TE BE'!$U$5*'TE BE'!$U$49</f>
        <v>0</v>
      </c>
      <c r="V5" s="42">
        <f>'TE BE'!$V$5*'TE BE'!$V$49</f>
        <v>0</v>
      </c>
      <c r="W5" s="42">
        <f>SUM($T$5:$V$5)</f>
        <v>0</v>
      </c>
      <c r="X5" s="42">
        <f>'TE BE'!$AB$5*'TE BE'!$X$49</f>
        <v>0</v>
      </c>
      <c r="Y5" s="42">
        <f>SUM($X$5:$X$5)</f>
        <v>0</v>
      </c>
      <c r="Z5" s="42">
        <f>'TE BE'!$Z$5*'TE BE'!$Z$49</f>
        <v>0</v>
      </c>
      <c r="AA5" s="42">
        <f>SUM($Z$5:$Z$5)</f>
        <v>0</v>
      </c>
      <c r="AB5" s="42">
        <f>SUMIF($L$4:$AA$4,"SUBTOTAL",$L$5:$AA$5)</f>
        <v>-15.789522952791012</v>
      </c>
    </row>
    <row r="6" spans="1:28" ht="11.25" customHeight="1" x14ac:dyDescent="0.25">
      <c r="A6" s="118"/>
      <c r="B6" s="118"/>
      <c r="C6" s="118"/>
      <c r="D6" s="118"/>
      <c r="E6" s="118"/>
      <c r="F6" s="118"/>
      <c r="G6" s="45" t="s">
        <v>74</v>
      </c>
      <c r="H6" s="45" t="s">
        <v>72</v>
      </c>
      <c r="I6" s="45">
        <f>'MERCADO TE'!$U$3</f>
        <v>229435.486</v>
      </c>
      <c r="J6" s="15"/>
      <c r="L6" s="42">
        <f>'TE BE'!$L$6*'TE BE'!$L$49</f>
        <v>7.7550299291619755E-6</v>
      </c>
      <c r="M6" s="42">
        <f>'TE BE'!$M$6*'TE BE'!$M$49</f>
        <v>0</v>
      </c>
      <c r="N6" s="42">
        <f>'TE BE'!$N$6*'TE BE'!$N$49</f>
        <v>0</v>
      </c>
      <c r="O6" s="42">
        <f>'TE BE'!$O$6*'TE BE'!$O$49</f>
        <v>-0.54516138354800681</v>
      </c>
      <c r="P6" s="42">
        <f>'TE BE'!$P$6*'TE BE'!$P$49</f>
        <v>0</v>
      </c>
      <c r="Q6" s="42">
        <f>SUM($L$6:$P$6)</f>
        <v>-0.54515362851807769</v>
      </c>
      <c r="R6" s="42">
        <f>'TE BE'!$R$6*'TE BE'!$R$49</f>
        <v>-8.8630054210889142</v>
      </c>
      <c r="S6" s="42">
        <f>SUM($R$6:$R$6)</f>
        <v>-8.8630054210889142</v>
      </c>
      <c r="T6" s="42">
        <f>'TE BE'!$T$6*'TE BE'!$T$49</f>
        <v>0</v>
      </c>
      <c r="U6" s="42">
        <f>'TE BE'!$U$6*'TE BE'!$U$49</f>
        <v>0</v>
      </c>
      <c r="V6" s="42">
        <f>'TE BE'!$V$6*'TE BE'!$V$49</f>
        <v>0</v>
      </c>
      <c r="W6" s="42">
        <f>SUM($T$6:$V$6)</f>
        <v>0</v>
      </c>
      <c r="X6" s="42">
        <f>'TE BE'!$AB$6*'TE BE'!$X$49</f>
        <v>0</v>
      </c>
      <c r="Y6" s="42">
        <f>SUM($X$6:$X$6)</f>
        <v>0</v>
      </c>
      <c r="Z6" s="42">
        <f>'TE BE'!$Z$6*'TE BE'!$Z$49</f>
        <v>0</v>
      </c>
      <c r="AA6" s="42">
        <f>SUM($Z$6:$Z$6)</f>
        <v>0</v>
      </c>
      <c r="AB6" s="42">
        <f>SUMIF($L$4:$AA$4,"SUBTOTAL",$L$6:$AA$6)</f>
        <v>-9.4081590496069918</v>
      </c>
    </row>
    <row r="7" spans="1:28" ht="11.25" customHeight="1" x14ac:dyDescent="0.25">
      <c r="A7" s="118"/>
      <c r="B7" s="44" t="s">
        <v>75</v>
      </c>
      <c r="C7" s="44" t="s">
        <v>25</v>
      </c>
      <c r="D7" s="44" t="s">
        <v>25</v>
      </c>
      <c r="E7" s="44" t="s">
        <v>25</v>
      </c>
      <c r="F7" s="44" t="s">
        <v>25</v>
      </c>
      <c r="G7" s="45" t="s">
        <v>76</v>
      </c>
      <c r="H7" s="45" t="s">
        <v>72</v>
      </c>
      <c r="I7" s="45">
        <f>'MERCADO TE'!$U$4</f>
        <v>0</v>
      </c>
      <c r="J7" s="15"/>
      <c r="L7" s="42">
        <f>'TE BE'!$L$7*'TE BE'!$L$49</f>
        <v>7.7550299291619755E-6</v>
      </c>
      <c r="M7" s="42">
        <f>'TE BE'!$M$7*'TE BE'!$M$49</f>
        <v>0</v>
      </c>
      <c r="N7" s="42">
        <f>'TE BE'!$N$7*'TE BE'!$N$49</f>
        <v>0</v>
      </c>
      <c r="O7" s="42">
        <f>'TE BE'!$O$7*'TE BE'!$O$49</f>
        <v>-0.54516138354800681</v>
      </c>
      <c r="P7" s="42">
        <f>'TE BE'!$P$7*'TE BE'!$P$49</f>
        <v>0</v>
      </c>
      <c r="Q7" s="42">
        <f>SUM($L$7:$P$7)</f>
        <v>-0.54515362851807769</v>
      </c>
      <c r="R7" s="42">
        <f>'TE BE'!$R$7*'TE BE'!$R$49</f>
        <v>-9.3947857463542501</v>
      </c>
      <c r="S7" s="42">
        <f>SUM($R$7:$R$7)</f>
        <v>-9.3947857463542501</v>
      </c>
      <c r="T7" s="42">
        <f>'TE BE'!$T$7*'TE BE'!$T$49</f>
        <v>0</v>
      </c>
      <c r="U7" s="42">
        <f>'TE BE'!$U$7*'TE BE'!$U$49</f>
        <v>0</v>
      </c>
      <c r="V7" s="42">
        <f>'TE BE'!$V$7*'TE BE'!$V$49</f>
        <v>0</v>
      </c>
      <c r="W7" s="42">
        <f>SUM($T$7:$V$7)</f>
        <v>0</v>
      </c>
      <c r="X7" s="42">
        <f>'TE BE'!$AB$7*'TE BE'!$X$49</f>
        <v>0</v>
      </c>
      <c r="Y7" s="42">
        <f>SUM($X$7:$X$7)</f>
        <v>0</v>
      </c>
      <c r="Z7" s="42">
        <f>'TE BE'!$Z$7*'TE BE'!$Z$49</f>
        <v>0</v>
      </c>
      <c r="AA7" s="42">
        <f>SUM($Z$7:$Z$7)</f>
        <v>0</v>
      </c>
      <c r="AB7" s="42">
        <f>SUMIF($L$4:$AA$4,"SUBTOTAL",$L$7:$AA$7)</f>
        <v>-9.9399393748723277</v>
      </c>
    </row>
    <row r="8" spans="1:28" ht="11.25" customHeight="1" x14ac:dyDescent="0.25">
      <c r="A8" s="118" t="s">
        <v>22</v>
      </c>
      <c r="B8" s="118" t="s">
        <v>71</v>
      </c>
      <c r="C8" s="118" t="s">
        <v>24</v>
      </c>
      <c r="D8" s="118" t="s">
        <v>24</v>
      </c>
      <c r="E8" s="118" t="s">
        <v>25</v>
      </c>
      <c r="F8" s="118" t="s">
        <v>25</v>
      </c>
      <c r="G8" s="45" t="s">
        <v>73</v>
      </c>
      <c r="H8" s="45" t="s">
        <v>72</v>
      </c>
      <c r="I8" s="45">
        <f>'MERCADO TE'!$U$5</f>
        <v>67.227000000000004</v>
      </c>
      <c r="J8" s="15"/>
      <c r="L8" s="42">
        <f>'TE BE'!$L$8*'TE BE'!$L$49</f>
        <v>7.7550299291619755E-6</v>
      </c>
      <c r="M8" s="42">
        <f>'TE BE'!$M$8*'TE BE'!$M$49</f>
        <v>0</v>
      </c>
      <c r="N8" s="42">
        <f>'TE BE'!$N$8*'TE BE'!$N$49</f>
        <v>0</v>
      </c>
      <c r="O8" s="42">
        <f>'TE BE'!$O$8*'TE BE'!$O$49</f>
        <v>-0.54516138354800681</v>
      </c>
      <c r="P8" s="42">
        <f>'TE BE'!$P$8*'TE BE'!$P$49</f>
        <v>0</v>
      </c>
      <c r="Q8" s="42">
        <f>SUM($L$8:$P$8)</f>
        <v>-0.54515362851807769</v>
      </c>
      <c r="R8" s="42">
        <f>'TE BE'!$R$8*'TE BE'!$R$49</f>
        <v>-15.244369324272935</v>
      </c>
      <c r="S8" s="42">
        <f>SUM($R$8:$R$8)</f>
        <v>-15.244369324272935</v>
      </c>
      <c r="T8" s="42">
        <f>'TE BE'!$T$8*'TE BE'!$T$49</f>
        <v>0</v>
      </c>
      <c r="U8" s="42">
        <f>'TE BE'!$U$8*'TE BE'!$U$49</f>
        <v>0</v>
      </c>
      <c r="V8" s="42">
        <f>'TE BE'!$V$8*'TE BE'!$V$49</f>
        <v>0</v>
      </c>
      <c r="W8" s="42">
        <f>SUM($T$8:$V$8)</f>
        <v>0</v>
      </c>
      <c r="X8" s="42">
        <f>'TE BE'!$AB$8*'TE BE'!$X$49</f>
        <v>0</v>
      </c>
      <c r="Y8" s="42">
        <f>SUM($X$8:$X$8)</f>
        <v>0</v>
      </c>
      <c r="Z8" s="42">
        <f>'TE BE'!$Z$8*'TE BE'!$Z$49</f>
        <v>0</v>
      </c>
      <c r="AA8" s="42">
        <f>SUM($Z$8:$Z$8)</f>
        <v>0</v>
      </c>
      <c r="AB8" s="42">
        <f>SUMIF($L$4:$AA$4,"SUBTOTAL",$L$8:$AA$8)</f>
        <v>-15.789522952791012</v>
      </c>
    </row>
    <row r="9" spans="1:28" ht="11.25" customHeight="1" x14ac:dyDescent="0.25">
      <c r="A9" s="118"/>
      <c r="B9" s="118"/>
      <c r="C9" s="118"/>
      <c r="D9" s="118"/>
      <c r="E9" s="118"/>
      <c r="F9" s="118"/>
      <c r="G9" s="45" t="s">
        <v>85</v>
      </c>
      <c r="H9" s="45" t="s">
        <v>72</v>
      </c>
      <c r="I9" s="45">
        <f>'MERCADO TE'!$U$6</f>
        <v>42.061</v>
      </c>
      <c r="J9" s="15"/>
      <c r="L9" s="42">
        <f>'TE BE'!$L$9*'TE BE'!$L$49</f>
        <v>7.7550299291619755E-6</v>
      </c>
      <c r="M9" s="42">
        <f>'TE BE'!$M$9*'TE BE'!$M$49</f>
        <v>0</v>
      </c>
      <c r="N9" s="42">
        <f>'TE BE'!$N$9*'TE BE'!$N$49</f>
        <v>0</v>
      </c>
      <c r="O9" s="42">
        <f>'TE BE'!$O$9*'TE BE'!$O$49</f>
        <v>-0.54516138354800681</v>
      </c>
      <c r="P9" s="42">
        <f>'TE BE'!$P$9*'TE BE'!$P$49</f>
        <v>0</v>
      </c>
      <c r="Q9" s="42">
        <f>SUM($L$9:$P$9)</f>
        <v>-0.54515362851807769</v>
      </c>
      <c r="R9" s="42">
        <f>'TE BE'!$R$9*'TE BE'!$R$49</f>
        <v>-8.8630054210889142</v>
      </c>
      <c r="S9" s="42">
        <f>SUM($R$9:$R$9)</f>
        <v>-8.8630054210889142</v>
      </c>
      <c r="T9" s="42">
        <f>'TE BE'!$T$9*'TE BE'!$T$49</f>
        <v>0</v>
      </c>
      <c r="U9" s="42">
        <f>'TE BE'!$U$9*'TE BE'!$U$49</f>
        <v>0</v>
      </c>
      <c r="V9" s="42">
        <f>'TE BE'!$V$9*'TE BE'!$V$49</f>
        <v>0</v>
      </c>
      <c r="W9" s="42">
        <f>SUM($T$9:$V$9)</f>
        <v>0</v>
      </c>
      <c r="X9" s="42">
        <f>'TE BE'!$AB$9*'TE BE'!$X$49</f>
        <v>0</v>
      </c>
      <c r="Y9" s="42">
        <f>SUM($X$9:$X$9)</f>
        <v>0</v>
      </c>
      <c r="Z9" s="42">
        <f>'TE BE'!$Z$9*'TE BE'!$Z$49</f>
        <v>0</v>
      </c>
      <c r="AA9" s="42">
        <f>SUM($Z$9:$Z$9)</f>
        <v>0</v>
      </c>
      <c r="AB9" s="42">
        <f>SUMIF($L$4:$AA$4,"SUBTOTAL",$L$9:$AA$9)</f>
        <v>-9.4081590496069918</v>
      </c>
    </row>
    <row r="10" spans="1:28" ht="11.25" customHeight="1" x14ac:dyDescent="0.25">
      <c r="A10" s="118"/>
      <c r="B10" s="118"/>
      <c r="C10" s="118"/>
      <c r="D10" s="118"/>
      <c r="E10" s="118"/>
      <c r="F10" s="118"/>
      <c r="G10" s="45" t="s">
        <v>74</v>
      </c>
      <c r="H10" s="45" t="s">
        <v>72</v>
      </c>
      <c r="I10" s="45">
        <f>'MERCADO TE'!$U$7</f>
        <v>583.55899999999997</v>
      </c>
      <c r="J10" s="15"/>
      <c r="L10" s="42">
        <f>'TE BE'!$L$10*'TE BE'!$L$49</f>
        <v>7.7550299291619755E-6</v>
      </c>
      <c r="M10" s="42">
        <f>'TE BE'!$M$10*'TE BE'!$M$49</f>
        <v>0</v>
      </c>
      <c r="N10" s="42">
        <f>'TE BE'!$N$10*'TE BE'!$N$49</f>
        <v>0</v>
      </c>
      <c r="O10" s="42">
        <f>'TE BE'!$O$10*'TE BE'!$O$49</f>
        <v>-0.54516138354800681</v>
      </c>
      <c r="P10" s="42">
        <f>'TE BE'!$P$10*'TE BE'!$P$49</f>
        <v>0</v>
      </c>
      <c r="Q10" s="42">
        <f>SUM($L$10:$P$10)</f>
        <v>-0.54515362851807769</v>
      </c>
      <c r="R10" s="42">
        <f>'TE BE'!$R$10*'TE BE'!$R$49</f>
        <v>-8.8630054210889142</v>
      </c>
      <c r="S10" s="42">
        <f>SUM($R$10:$R$10)</f>
        <v>-8.8630054210889142</v>
      </c>
      <c r="T10" s="42">
        <f>'TE BE'!$T$10*'TE BE'!$T$49</f>
        <v>0</v>
      </c>
      <c r="U10" s="42">
        <f>'TE BE'!$U$10*'TE BE'!$U$49</f>
        <v>0</v>
      </c>
      <c r="V10" s="42">
        <f>'TE BE'!$V$10*'TE BE'!$V$49</f>
        <v>0</v>
      </c>
      <c r="W10" s="42">
        <f>SUM($T$10:$V$10)</f>
        <v>0</v>
      </c>
      <c r="X10" s="42">
        <f>'TE BE'!$AB$10*'TE BE'!$X$49</f>
        <v>0</v>
      </c>
      <c r="Y10" s="42">
        <f>SUM($X$10:$X$10)</f>
        <v>0</v>
      </c>
      <c r="Z10" s="42">
        <f>'TE BE'!$Z$10*'TE BE'!$Z$49</f>
        <v>0</v>
      </c>
      <c r="AA10" s="42">
        <f>SUM($Z$10:$Z$10)</f>
        <v>0</v>
      </c>
      <c r="AB10" s="42">
        <f>SUMIF($L$4:$AA$4,"SUBTOTAL",$L$10:$AA$10)</f>
        <v>-9.4081590496069918</v>
      </c>
    </row>
    <row r="11" spans="1:28" ht="11.25" customHeight="1" x14ac:dyDescent="0.25">
      <c r="A11" s="118"/>
      <c r="B11" s="118" t="s">
        <v>75</v>
      </c>
      <c r="C11" s="118" t="s">
        <v>24</v>
      </c>
      <c r="D11" s="44" t="s">
        <v>24</v>
      </c>
      <c r="E11" s="44" t="s">
        <v>25</v>
      </c>
      <c r="F11" s="44" t="s">
        <v>25</v>
      </c>
      <c r="G11" s="45" t="s">
        <v>76</v>
      </c>
      <c r="H11" s="45" t="s">
        <v>72</v>
      </c>
      <c r="I11" s="45">
        <f>'MERCADO TE'!$U$8</f>
        <v>526822.44299999997</v>
      </c>
      <c r="J11" s="15"/>
      <c r="L11" s="42">
        <f>'TE BE'!$L$11*'TE BE'!$L$49</f>
        <v>7.7550299291619755E-6</v>
      </c>
      <c r="M11" s="42">
        <f>'TE BE'!$M$11*'TE BE'!$M$49</f>
        <v>0</v>
      </c>
      <c r="N11" s="42">
        <f>'TE BE'!$N$11*'TE BE'!$N$49</f>
        <v>0</v>
      </c>
      <c r="O11" s="42">
        <f>'TE BE'!$O$11*'TE BE'!$O$49</f>
        <v>-0.54516138354800681</v>
      </c>
      <c r="P11" s="42">
        <f>'TE BE'!$P$11*'TE BE'!$P$49</f>
        <v>0</v>
      </c>
      <c r="Q11" s="42">
        <f>SUM($L$11:$P$11)</f>
        <v>-0.54515362851807769</v>
      </c>
      <c r="R11" s="42">
        <f>'TE BE'!$R$11*'TE BE'!$R$49</f>
        <v>-9.3947857463542501</v>
      </c>
      <c r="S11" s="42">
        <f>SUM($R$11:$R$11)</f>
        <v>-9.3947857463542501</v>
      </c>
      <c r="T11" s="42">
        <f>'TE BE'!$T$11*'TE BE'!$T$49</f>
        <v>0</v>
      </c>
      <c r="U11" s="42">
        <f>'TE BE'!$U$11*'TE BE'!$U$49</f>
        <v>0</v>
      </c>
      <c r="V11" s="42">
        <f>'TE BE'!$V$11*'TE BE'!$V$49</f>
        <v>0</v>
      </c>
      <c r="W11" s="42">
        <f>SUM($T$11:$V$11)</f>
        <v>0</v>
      </c>
      <c r="X11" s="42">
        <f>'TE BE'!$AB$11*'TE BE'!$X$49</f>
        <v>0</v>
      </c>
      <c r="Y11" s="42">
        <f>SUM($X$11:$X$11)</f>
        <v>0</v>
      </c>
      <c r="Z11" s="42">
        <f>'TE BE'!$Z$11*'TE BE'!$Z$49</f>
        <v>0</v>
      </c>
      <c r="AA11" s="42">
        <f>SUM($Z$11:$Z$11)</f>
        <v>0</v>
      </c>
      <c r="AB11" s="42">
        <f>SUMIF($L$4:$AA$4,"SUBTOTAL",$L$11:$AA$11)</f>
        <v>-9.9399393748723277</v>
      </c>
    </row>
    <row r="12" spans="1:28" ht="11.25" customHeight="1" x14ac:dyDescent="0.25">
      <c r="A12" s="118"/>
      <c r="B12" s="118"/>
      <c r="C12" s="118"/>
      <c r="D12" s="44" t="s">
        <v>29</v>
      </c>
      <c r="E12" s="44" t="s">
        <v>25</v>
      </c>
      <c r="F12" s="44" t="s">
        <v>25</v>
      </c>
      <c r="G12" s="45" t="s">
        <v>76</v>
      </c>
      <c r="H12" s="45" t="s">
        <v>72</v>
      </c>
      <c r="I12" s="45">
        <f>'MERCADO TE'!$U$9</f>
        <v>10401.067000000001</v>
      </c>
      <c r="J12" s="15"/>
      <c r="L12" s="42">
        <f>'TE BE'!$L$12*'TE BE'!$L$49</f>
        <v>7.7550299291619755E-6</v>
      </c>
      <c r="M12" s="42">
        <f>'TE BE'!$M$12*'TE BE'!$M$49</f>
        <v>0</v>
      </c>
      <c r="N12" s="42">
        <f>'TE BE'!$N$12*'TE BE'!$N$49</f>
        <v>0</v>
      </c>
      <c r="O12" s="42">
        <f>'TE BE'!$O$12*'TE BE'!$O$49</f>
        <v>-0.54516138354800681</v>
      </c>
      <c r="P12" s="42">
        <f>'TE BE'!$P$12*'TE BE'!$P$49</f>
        <v>0</v>
      </c>
      <c r="Q12" s="42">
        <f>SUM($L$12:$P$12)</f>
        <v>-0.54515362851807769</v>
      </c>
      <c r="R12" s="42">
        <f>'TE BE'!$R$12*'TE BE'!$R$49</f>
        <v>-9.3947857463542501</v>
      </c>
      <c r="S12" s="42">
        <f>SUM($R$12:$R$12)</f>
        <v>-9.3947857463542501</v>
      </c>
      <c r="T12" s="42">
        <f>'TE BE'!$T$12*'TE BE'!$T$49</f>
        <v>0</v>
      </c>
      <c r="U12" s="42">
        <f>'TE BE'!$U$12*'TE BE'!$U$49</f>
        <v>0</v>
      </c>
      <c r="V12" s="42">
        <f>'TE BE'!$V$12*'TE BE'!$V$49</f>
        <v>0</v>
      </c>
      <c r="W12" s="42">
        <f>SUM($T$12:$V$12)</f>
        <v>0</v>
      </c>
      <c r="X12" s="42">
        <f>'TE BE'!$AB$12*'TE BE'!$X$49</f>
        <v>0</v>
      </c>
      <c r="Y12" s="42">
        <f>SUM($X$12:$X$12)</f>
        <v>0</v>
      </c>
      <c r="Z12" s="42">
        <f>'TE BE'!$Z$12*'TE BE'!$Z$49</f>
        <v>0</v>
      </c>
      <c r="AA12" s="42">
        <f>SUM($Z$12:$Z$12)</f>
        <v>0</v>
      </c>
      <c r="AB12" s="42">
        <f>SUMIF($L$4:$AA$4,"SUBTOTAL",$L$12:$AA$12)</f>
        <v>-9.9399393748723277</v>
      </c>
    </row>
    <row r="13" spans="1:28" ht="11.25" customHeight="1" x14ac:dyDescent="0.25">
      <c r="A13" s="118"/>
      <c r="B13" s="118"/>
      <c r="C13" s="118"/>
      <c r="D13" s="44" t="s">
        <v>30</v>
      </c>
      <c r="E13" s="44" t="s">
        <v>25</v>
      </c>
      <c r="F13" s="44" t="s">
        <v>25</v>
      </c>
      <c r="G13" s="45" t="s">
        <v>76</v>
      </c>
      <c r="H13" s="45" t="s">
        <v>72</v>
      </c>
      <c r="I13" s="45">
        <f>'MERCADO TE'!$U$10</f>
        <v>21577.302999999996</v>
      </c>
      <c r="J13" s="15"/>
      <c r="L13" s="42">
        <f>'TE BE'!$L$13*'TE BE'!$L$49</f>
        <v>7.7550299291619755E-6</v>
      </c>
      <c r="M13" s="42">
        <f>'TE BE'!$M$13*'TE BE'!$M$49</f>
        <v>0</v>
      </c>
      <c r="N13" s="42">
        <f>'TE BE'!$N$13*'TE BE'!$N$49</f>
        <v>0</v>
      </c>
      <c r="O13" s="42">
        <f>'TE BE'!$O$13*'TE BE'!$O$49</f>
        <v>-0.54516138354800681</v>
      </c>
      <c r="P13" s="42">
        <f>'TE BE'!$P$13*'TE BE'!$P$49</f>
        <v>0</v>
      </c>
      <c r="Q13" s="42">
        <f>SUM($L$13:$P$13)</f>
        <v>-0.54515362851807769</v>
      </c>
      <c r="R13" s="42">
        <f>'TE BE'!$R$13*'TE BE'!$R$49</f>
        <v>-9.3947857463542501</v>
      </c>
      <c r="S13" s="42">
        <f>SUM($R$13:$R$13)</f>
        <v>-9.3947857463542501</v>
      </c>
      <c r="T13" s="42">
        <f>'TE BE'!$T$13*'TE BE'!$T$49</f>
        <v>0</v>
      </c>
      <c r="U13" s="42">
        <f>'TE BE'!$U$13*'TE BE'!$U$49</f>
        <v>0</v>
      </c>
      <c r="V13" s="42">
        <f>'TE BE'!$V$13*'TE BE'!$V$49</f>
        <v>0</v>
      </c>
      <c r="W13" s="42">
        <f>SUM($T$13:$V$13)</f>
        <v>0</v>
      </c>
      <c r="X13" s="42">
        <f>'TE BE'!$AB$13*'TE BE'!$X$49</f>
        <v>0</v>
      </c>
      <c r="Y13" s="42">
        <f>SUM($X$13:$X$13)</f>
        <v>0</v>
      </c>
      <c r="Z13" s="42">
        <f>'TE BE'!$Z$13*'TE BE'!$Z$49</f>
        <v>0</v>
      </c>
      <c r="AA13" s="42">
        <f>SUM($Z$13:$Z$13)</f>
        <v>0</v>
      </c>
      <c r="AB13" s="42">
        <f>SUMIF($L$4:$AA$4,"SUBTOTAL",$L$13:$AA$13)</f>
        <v>-9.9399393748723277</v>
      </c>
    </row>
    <row r="14" spans="1:28" ht="11.25" customHeight="1" x14ac:dyDescent="0.25">
      <c r="A14" s="118"/>
      <c r="B14" s="118"/>
      <c r="C14" s="118"/>
      <c r="D14" s="44" t="s">
        <v>31</v>
      </c>
      <c r="E14" s="44" t="s">
        <v>25</v>
      </c>
      <c r="F14" s="44" t="s">
        <v>25</v>
      </c>
      <c r="G14" s="45" t="s">
        <v>76</v>
      </c>
      <c r="H14" s="45" t="s">
        <v>72</v>
      </c>
      <c r="I14" s="45">
        <f>'MERCADO TE'!$U$11</f>
        <v>25545.413</v>
      </c>
      <c r="J14" s="15"/>
      <c r="L14" s="42">
        <f>'TE BE'!$L$14*'TE BE'!$L$49</f>
        <v>7.7550299291619755E-6</v>
      </c>
      <c r="M14" s="42">
        <f>'TE BE'!$M$14*'TE BE'!$M$49</f>
        <v>0</v>
      </c>
      <c r="N14" s="42">
        <f>'TE BE'!$N$14*'TE BE'!$N$49</f>
        <v>0</v>
      </c>
      <c r="O14" s="42">
        <f>'TE BE'!$O$14*'TE BE'!$O$49</f>
        <v>-0.54516138354800681</v>
      </c>
      <c r="P14" s="42">
        <f>'TE BE'!$P$14*'TE BE'!$P$49</f>
        <v>0</v>
      </c>
      <c r="Q14" s="42">
        <f>SUM($L$14:$P$14)</f>
        <v>-0.54515362851807769</v>
      </c>
      <c r="R14" s="42">
        <f>'TE BE'!$R$14*'TE BE'!$R$49</f>
        <v>-9.3947857463542501</v>
      </c>
      <c r="S14" s="42">
        <f>SUM($R$14:$R$14)</f>
        <v>-9.3947857463542501</v>
      </c>
      <c r="T14" s="42">
        <f>'TE BE'!$T$14*'TE BE'!$T$49</f>
        <v>0</v>
      </c>
      <c r="U14" s="42">
        <f>'TE BE'!$U$14*'TE BE'!$U$49</f>
        <v>0</v>
      </c>
      <c r="V14" s="42">
        <f>'TE BE'!$V$14*'TE BE'!$V$49</f>
        <v>0</v>
      </c>
      <c r="W14" s="42">
        <f>SUM($T$14:$V$14)</f>
        <v>0</v>
      </c>
      <c r="X14" s="42">
        <f>'TE BE'!$AB$14*'TE BE'!$X$49</f>
        <v>0</v>
      </c>
      <c r="Y14" s="42">
        <f>SUM($X$14:$X$14)</f>
        <v>0</v>
      </c>
      <c r="Z14" s="42">
        <f>'TE BE'!$Z$14*'TE BE'!$Z$49</f>
        <v>0</v>
      </c>
      <c r="AA14" s="42">
        <f>SUM($Z$14:$Z$14)</f>
        <v>0</v>
      </c>
      <c r="AB14" s="42">
        <f>SUMIF($L$4:$AA$4,"SUBTOTAL",$L$14:$AA$14)</f>
        <v>-9.9399393748723277</v>
      </c>
    </row>
    <row r="15" spans="1:28" ht="11.25" customHeight="1" x14ac:dyDescent="0.25">
      <c r="A15" s="118"/>
      <c r="B15" s="118"/>
      <c r="C15" s="118"/>
      <c r="D15" s="44" t="s">
        <v>32</v>
      </c>
      <c r="E15" s="44" t="s">
        <v>25</v>
      </c>
      <c r="F15" s="44" t="s">
        <v>25</v>
      </c>
      <c r="G15" s="45" t="s">
        <v>76</v>
      </c>
      <c r="H15" s="45" t="s">
        <v>72</v>
      </c>
      <c r="I15" s="45">
        <f>'MERCADO TE'!$U$12</f>
        <v>28095.264000000006</v>
      </c>
      <c r="J15" s="15"/>
      <c r="L15" s="42">
        <f>'TE BE'!$L$15*'TE BE'!$L$49</f>
        <v>7.7550299291619755E-6</v>
      </c>
      <c r="M15" s="42">
        <f>'TE BE'!$M$15*'TE BE'!$M$49</f>
        <v>0</v>
      </c>
      <c r="N15" s="42">
        <f>'TE BE'!$N$15*'TE BE'!$N$49</f>
        <v>0</v>
      </c>
      <c r="O15" s="42">
        <f>'TE BE'!$O$15*'TE BE'!$O$49</f>
        <v>-0.54516138354800681</v>
      </c>
      <c r="P15" s="42">
        <f>'TE BE'!$P$15*'TE BE'!$P$49</f>
        <v>0</v>
      </c>
      <c r="Q15" s="42">
        <f>SUM($L$15:$P$15)</f>
        <v>-0.54515362851807769</v>
      </c>
      <c r="R15" s="42">
        <f>'TE BE'!$R$15*'TE BE'!$R$49</f>
        <v>-9.3947857463542501</v>
      </c>
      <c r="S15" s="42">
        <f>SUM($R$15:$R$15)</f>
        <v>-9.3947857463542501</v>
      </c>
      <c r="T15" s="42">
        <f>'TE BE'!$T$15*'TE BE'!$T$49</f>
        <v>0</v>
      </c>
      <c r="U15" s="42">
        <f>'TE BE'!$U$15*'TE BE'!$U$49</f>
        <v>0</v>
      </c>
      <c r="V15" s="42">
        <f>'TE BE'!$V$15*'TE BE'!$V$49</f>
        <v>0</v>
      </c>
      <c r="W15" s="42">
        <f>SUM($T$15:$V$15)</f>
        <v>0</v>
      </c>
      <c r="X15" s="42">
        <f>'TE BE'!$AB$15*'TE BE'!$X$49</f>
        <v>0</v>
      </c>
      <c r="Y15" s="42">
        <f>SUM($X$15:$X$15)</f>
        <v>0</v>
      </c>
      <c r="Z15" s="42">
        <f>'TE BE'!$Z$15*'TE BE'!$Z$49</f>
        <v>0</v>
      </c>
      <c r="AA15" s="42">
        <f>SUM($Z$15:$Z$15)</f>
        <v>0</v>
      </c>
      <c r="AB15" s="42">
        <f>SUMIF($L$4:$AA$4,"SUBTOTAL",$L$15:$AA$15)</f>
        <v>-9.9399393748723277</v>
      </c>
    </row>
    <row r="16" spans="1:28" ht="11.25" customHeight="1" x14ac:dyDescent="0.25">
      <c r="A16" s="118"/>
      <c r="B16" s="118" t="s">
        <v>86</v>
      </c>
      <c r="C16" s="118" t="s">
        <v>24</v>
      </c>
      <c r="D16" s="44" t="s">
        <v>24</v>
      </c>
      <c r="E16" s="44" t="s">
        <v>25</v>
      </c>
      <c r="F16" s="44" t="s">
        <v>25</v>
      </c>
      <c r="G16" s="45" t="s">
        <v>76</v>
      </c>
      <c r="H16" s="45" t="s">
        <v>72</v>
      </c>
      <c r="I16" s="45">
        <f>'MERCADO TE'!$U$13</f>
        <v>0</v>
      </c>
      <c r="J16" s="15"/>
      <c r="L16" s="42">
        <f>'TE BE'!$L$16*'TE BE'!$L$49</f>
        <v>7.7550299291619755E-6</v>
      </c>
      <c r="M16" s="42">
        <f>'TE BE'!$M$16*'TE BE'!$M$49</f>
        <v>0</v>
      </c>
      <c r="N16" s="42">
        <f>'TE BE'!$N$16*'TE BE'!$N$49</f>
        <v>0</v>
      </c>
      <c r="O16" s="42">
        <f>'TE BE'!$O$16*'TE BE'!$O$49</f>
        <v>-0.54516138354800681</v>
      </c>
      <c r="P16" s="42">
        <f>'TE BE'!$P$16*'TE BE'!$P$49</f>
        <v>0</v>
      </c>
      <c r="Q16" s="42">
        <f>SUM($L$16:$P$16)</f>
        <v>-0.54515362851807769</v>
      </c>
      <c r="R16" s="42">
        <f>'TE BE'!$R$16*'TE BE'!$R$49</f>
        <v>-9.3947857463542501</v>
      </c>
      <c r="S16" s="42">
        <f>SUM($R$16:$R$16)</f>
        <v>-9.3947857463542501</v>
      </c>
      <c r="T16" s="42">
        <f>'TE BE'!$T$16*'TE BE'!$T$49</f>
        <v>0</v>
      </c>
      <c r="U16" s="42">
        <f>'TE BE'!$U$16*'TE BE'!$U$49</f>
        <v>0</v>
      </c>
      <c r="V16" s="42">
        <f>'TE BE'!$V$16*'TE BE'!$V$49</f>
        <v>0</v>
      </c>
      <c r="W16" s="42">
        <f>SUM($T$16:$V$16)</f>
        <v>0</v>
      </c>
      <c r="X16" s="42">
        <f>'TE BE'!$AB$16*'TE BE'!$X$49</f>
        <v>0</v>
      </c>
      <c r="Y16" s="42">
        <f>SUM($X$16:$X$16)</f>
        <v>0</v>
      </c>
      <c r="Z16" s="42">
        <f>'TE BE'!$Z$16*'TE BE'!$Z$49</f>
        <v>0</v>
      </c>
      <c r="AA16" s="42">
        <f>SUM($Z$16:$Z$16)</f>
        <v>0</v>
      </c>
      <c r="AB16" s="42">
        <f>SUMIF($L$4:$AA$4,"SUBTOTAL",$L$16:$AA$16)</f>
        <v>-9.9399393748723277</v>
      </c>
    </row>
    <row r="17" spans="1:28" ht="11.25" customHeight="1" x14ac:dyDescent="0.25">
      <c r="A17" s="118"/>
      <c r="B17" s="118"/>
      <c r="C17" s="118"/>
      <c r="D17" s="44" t="s">
        <v>29</v>
      </c>
      <c r="E17" s="44" t="s">
        <v>25</v>
      </c>
      <c r="F17" s="44" t="s">
        <v>25</v>
      </c>
      <c r="G17" s="45" t="s">
        <v>76</v>
      </c>
      <c r="H17" s="45" t="s">
        <v>72</v>
      </c>
      <c r="I17" s="45">
        <f>'MERCADO TE'!$U$14</f>
        <v>0</v>
      </c>
      <c r="J17" s="15"/>
      <c r="L17" s="42">
        <f>'TE BE'!$L$17*'TE BE'!$L$49</f>
        <v>7.7550299291619755E-6</v>
      </c>
      <c r="M17" s="42">
        <f>'TE BE'!$M$17*'TE BE'!$M$49</f>
        <v>0</v>
      </c>
      <c r="N17" s="42">
        <f>'TE BE'!$N$17*'TE BE'!$N$49</f>
        <v>0</v>
      </c>
      <c r="O17" s="42">
        <f>'TE BE'!$O$17*'TE BE'!$O$49</f>
        <v>-0.54516138354800681</v>
      </c>
      <c r="P17" s="42">
        <f>'TE BE'!$P$17*'TE BE'!$P$49</f>
        <v>0</v>
      </c>
      <c r="Q17" s="42">
        <f>SUM($L$17:$P$17)</f>
        <v>-0.54515362851807769</v>
      </c>
      <c r="R17" s="42">
        <f>'TE BE'!$R$17*'TE BE'!$R$49</f>
        <v>-9.3947857463542501</v>
      </c>
      <c r="S17" s="42">
        <f>SUM($R$17:$R$17)</f>
        <v>-9.3947857463542501</v>
      </c>
      <c r="T17" s="42">
        <f>'TE BE'!$T$17*'TE BE'!$T$49</f>
        <v>0</v>
      </c>
      <c r="U17" s="42">
        <f>'TE BE'!$U$17*'TE BE'!$U$49</f>
        <v>0</v>
      </c>
      <c r="V17" s="42">
        <f>'TE BE'!$V$17*'TE BE'!$V$49</f>
        <v>0</v>
      </c>
      <c r="W17" s="42">
        <f>SUM($T$17:$V$17)</f>
        <v>0</v>
      </c>
      <c r="X17" s="42">
        <f>'TE BE'!$AB$17*'TE BE'!$X$49</f>
        <v>0</v>
      </c>
      <c r="Y17" s="42">
        <f>SUM($X$17:$X$17)</f>
        <v>0</v>
      </c>
      <c r="Z17" s="42">
        <f>'TE BE'!$Z$17*'TE BE'!$Z$49</f>
        <v>0</v>
      </c>
      <c r="AA17" s="42">
        <f>SUM($Z$17:$Z$17)</f>
        <v>0</v>
      </c>
      <c r="AB17" s="42">
        <f>SUMIF($L$4:$AA$4,"SUBTOTAL",$L$17:$AA$17)</f>
        <v>-9.9399393748723277</v>
      </c>
    </row>
    <row r="18" spans="1:28" ht="11.25" customHeight="1" x14ac:dyDescent="0.25">
      <c r="A18" s="118"/>
      <c r="B18" s="118"/>
      <c r="C18" s="118"/>
      <c r="D18" s="44" t="s">
        <v>30</v>
      </c>
      <c r="E18" s="44" t="s">
        <v>25</v>
      </c>
      <c r="F18" s="44" t="s">
        <v>25</v>
      </c>
      <c r="G18" s="45" t="s">
        <v>76</v>
      </c>
      <c r="H18" s="45" t="s">
        <v>72</v>
      </c>
      <c r="I18" s="45">
        <f>'MERCADO TE'!$U$15</f>
        <v>0</v>
      </c>
      <c r="J18" s="15"/>
      <c r="L18" s="42">
        <f>'TE BE'!$L$18*'TE BE'!$L$49</f>
        <v>7.7550299291619755E-6</v>
      </c>
      <c r="M18" s="42">
        <f>'TE BE'!$M$18*'TE BE'!$M$49</f>
        <v>0</v>
      </c>
      <c r="N18" s="42">
        <f>'TE BE'!$N$18*'TE BE'!$N$49</f>
        <v>0</v>
      </c>
      <c r="O18" s="42">
        <f>'TE BE'!$O$18*'TE BE'!$O$49</f>
        <v>-0.54516138354800681</v>
      </c>
      <c r="P18" s="42">
        <f>'TE BE'!$P$18*'TE BE'!$P$49</f>
        <v>0</v>
      </c>
      <c r="Q18" s="42">
        <f>SUM($L$18:$P$18)</f>
        <v>-0.54515362851807769</v>
      </c>
      <c r="R18" s="42">
        <f>'TE BE'!$R$18*'TE BE'!$R$49</f>
        <v>-9.3947857463542501</v>
      </c>
      <c r="S18" s="42">
        <f>SUM($R$18:$R$18)</f>
        <v>-9.3947857463542501</v>
      </c>
      <c r="T18" s="42">
        <f>'TE BE'!$T$18*'TE BE'!$T$49</f>
        <v>0</v>
      </c>
      <c r="U18" s="42">
        <f>'TE BE'!$U$18*'TE BE'!$U$49</f>
        <v>0</v>
      </c>
      <c r="V18" s="42">
        <f>'TE BE'!$V$18*'TE BE'!$V$49</f>
        <v>0</v>
      </c>
      <c r="W18" s="42">
        <f>SUM($T$18:$V$18)</f>
        <v>0</v>
      </c>
      <c r="X18" s="42">
        <f>'TE BE'!$AB$18*'TE BE'!$X$49</f>
        <v>0</v>
      </c>
      <c r="Y18" s="42">
        <f>SUM($X$18:$X$18)</f>
        <v>0</v>
      </c>
      <c r="Z18" s="42">
        <f>'TE BE'!$Z$18*'TE BE'!$Z$49</f>
        <v>0</v>
      </c>
      <c r="AA18" s="42">
        <f>SUM($Z$18:$Z$18)</f>
        <v>0</v>
      </c>
      <c r="AB18" s="42">
        <f>SUMIF($L$4:$AA$4,"SUBTOTAL",$L$18:$AA$18)</f>
        <v>-9.9399393748723277</v>
      </c>
    </row>
    <row r="19" spans="1:28" ht="11.25" customHeight="1" x14ac:dyDescent="0.25">
      <c r="A19" s="118"/>
      <c r="B19" s="118"/>
      <c r="C19" s="118"/>
      <c r="D19" s="44" t="s">
        <v>31</v>
      </c>
      <c r="E19" s="44" t="s">
        <v>25</v>
      </c>
      <c r="F19" s="44" t="s">
        <v>25</v>
      </c>
      <c r="G19" s="45" t="s">
        <v>76</v>
      </c>
      <c r="H19" s="45" t="s">
        <v>72</v>
      </c>
      <c r="I19" s="45">
        <f>'MERCADO TE'!$U$16</f>
        <v>0</v>
      </c>
      <c r="J19" s="15"/>
      <c r="L19" s="42">
        <f>'TE BE'!$L$19*'TE BE'!$L$49</f>
        <v>7.7550299291619755E-6</v>
      </c>
      <c r="M19" s="42">
        <f>'TE BE'!$M$19*'TE BE'!$M$49</f>
        <v>0</v>
      </c>
      <c r="N19" s="42">
        <f>'TE BE'!$N$19*'TE BE'!$N$49</f>
        <v>0</v>
      </c>
      <c r="O19" s="42">
        <f>'TE BE'!$O$19*'TE BE'!$O$49</f>
        <v>-0.54516138354800681</v>
      </c>
      <c r="P19" s="42">
        <f>'TE BE'!$P$19*'TE BE'!$P$49</f>
        <v>0</v>
      </c>
      <c r="Q19" s="42">
        <f>SUM($L$19:$P$19)</f>
        <v>-0.54515362851807769</v>
      </c>
      <c r="R19" s="42">
        <f>'TE BE'!$R$19*'TE BE'!$R$49</f>
        <v>-9.3947857463542501</v>
      </c>
      <c r="S19" s="42">
        <f>SUM($R$19:$R$19)</f>
        <v>-9.3947857463542501</v>
      </c>
      <c r="T19" s="42">
        <f>'TE BE'!$T$19*'TE BE'!$T$49</f>
        <v>0</v>
      </c>
      <c r="U19" s="42">
        <f>'TE BE'!$U$19*'TE BE'!$U$49</f>
        <v>0</v>
      </c>
      <c r="V19" s="42">
        <f>'TE BE'!$V$19*'TE BE'!$V$49</f>
        <v>0</v>
      </c>
      <c r="W19" s="42">
        <f>SUM($T$19:$V$19)</f>
        <v>0</v>
      </c>
      <c r="X19" s="42">
        <f>'TE BE'!$AB$19*'TE BE'!$X$49</f>
        <v>0</v>
      </c>
      <c r="Y19" s="42">
        <f>SUM($X$19:$X$19)</f>
        <v>0</v>
      </c>
      <c r="Z19" s="42">
        <f>'TE BE'!$Z$19*'TE BE'!$Z$49</f>
        <v>0</v>
      </c>
      <c r="AA19" s="42">
        <f>SUM($Z$19:$Z$19)</f>
        <v>0</v>
      </c>
      <c r="AB19" s="42">
        <f>SUMIF($L$4:$AA$4,"SUBTOTAL",$L$19:$AA$19)</f>
        <v>-9.9399393748723277</v>
      </c>
    </row>
    <row r="20" spans="1:28" ht="11.25" customHeight="1" x14ac:dyDescent="0.25">
      <c r="A20" s="118"/>
      <c r="B20" s="118"/>
      <c r="C20" s="118"/>
      <c r="D20" s="44" t="s">
        <v>32</v>
      </c>
      <c r="E20" s="44" t="s">
        <v>25</v>
      </c>
      <c r="F20" s="44" t="s">
        <v>25</v>
      </c>
      <c r="G20" s="45" t="s">
        <v>76</v>
      </c>
      <c r="H20" s="45" t="s">
        <v>72</v>
      </c>
      <c r="I20" s="45">
        <f>'MERCADO TE'!$U$17</f>
        <v>0</v>
      </c>
      <c r="J20" s="15"/>
      <c r="L20" s="42">
        <f>'TE BE'!$L$20*'TE BE'!$L$49</f>
        <v>7.7550299291619755E-6</v>
      </c>
      <c r="M20" s="42">
        <f>'TE BE'!$M$20*'TE BE'!$M$49</f>
        <v>0</v>
      </c>
      <c r="N20" s="42">
        <f>'TE BE'!$N$20*'TE BE'!$N$49</f>
        <v>0</v>
      </c>
      <c r="O20" s="42">
        <f>'TE BE'!$O$20*'TE BE'!$O$49</f>
        <v>-0.54516138354800681</v>
      </c>
      <c r="P20" s="42">
        <f>'TE BE'!$P$20*'TE BE'!$P$49</f>
        <v>0</v>
      </c>
      <c r="Q20" s="42">
        <f>SUM($L$20:$P$20)</f>
        <v>-0.54515362851807769</v>
      </c>
      <c r="R20" s="42">
        <f>'TE BE'!$R$20*'TE BE'!$R$49</f>
        <v>-9.3947857463542501</v>
      </c>
      <c r="S20" s="42">
        <f>SUM($R$20:$R$20)</f>
        <v>-9.3947857463542501</v>
      </c>
      <c r="T20" s="42">
        <f>'TE BE'!$T$20*'TE BE'!$T$49</f>
        <v>0</v>
      </c>
      <c r="U20" s="42">
        <f>'TE BE'!$U$20*'TE BE'!$U$49</f>
        <v>0</v>
      </c>
      <c r="V20" s="42">
        <f>'TE BE'!$V$20*'TE BE'!$V$49</f>
        <v>0</v>
      </c>
      <c r="W20" s="42">
        <f>SUM($T$20:$V$20)</f>
        <v>0</v>
      </c>
      <c r="X20" s="42">
        <f>'TE BE'!$AB$20*'TE BE'!$X$49</f>
        <v>0</v>
      </c>
      <c r="Y20" s="42">
        <f>SUM($X$20:$X$20)</f>
        <v>0</v>
      </c>
      <c r="Z20" s="42">
        <f>'TE BE'!$Z$20*'TE BE'!$Z$49</f>
        <v>0</v>
      </c>
      <c r="AA20" s="42">
        <f>SUM($Z$20:$Z$20)</f>
        <v>0</v>
      </c>
      <c r="AB20" s="42">
        <f>SUMIF($L$4:$AA$4,"SUBTOTAL",$L$20:$AA$20)</f>
        <v>-9.9399393748723277</v>
      </c>
    </row>
    <row r="21" spans="1:28" ht="11.25" customHeight="1" x14ac:dyDescent="0.25">
      <c r="A21" s="118" t="s">
        <v>43</v>
      </c>
      <c r="B21" s="118" t="s">
        <v>71</v>
      </c>
      <c r="C21" s="118" t="s">
        <v>44</v>
      </c>
      <c r="D21" s="118" t="s">
        <v>25</v>
      </c>
      <c r="E21" s="118" t="s">
        <v>25</v>
      </c>
      <c r="F21" s="118" t="s">
        <v>25</v>
      </c>
      <c r="G21" s="45" t="s">
        <v>73</v>
      </c>
      <c r="H21" s="45" t="s">
        <v>72</v>
      </c>
      <c r="I21" s="45">
        <f>'MERCADO TE'!$U$18</f>
        <v>0.112</v>
      </c>
      <c r="J21" s="15"/>
      <c r="L21" s="42">
        <f>'TE BE'!$L$21*'TE BE'!$L$49</f>
        <v>7.7550299291619755E-6</v>
      </c>
      <c r="M21" s="42">
        <f>'TE BE'!$M$21*'TE BE'!$M$49</f>
        <v>0</v>
      </c>
      <c r="N21" s="42">
        <f>'TE BE'!$N$21*'TE BE'!$N$49</f>
        <v>0</v>
      </c>
      <c r="O21" s="42">
        <f>'TE BE'!$O$21*'TE BE'!$O$49</f>
        <v>-0.54516138354800681</v>
      </c>
      <c r="P21" s="42">
        <f>'TE BE'!$P$21*'TE BE'!$P$49</f>
        <v>0</v>
      </c>
      <c r="Q21" s="42">
        <f>SUM($L$21:$P$21)</f>
        <v>-0.54515362851807769</v>
      </c>
      <c r="R21" s="42">
        <f>'TE BE'!$R$21*'TE BE'!$R$49</f>
        <v>-15.244369324272935</v>
      </c>
      <c r="S21" s="42">
        <f>SUM($R$21:$R$21)</f>
        <v>-15.244369324272935</v>
      </c>
      <c r="T21" s="42">
        <f>'TE BE'!$T$21*'TE BE'!$T$49</f>
        <v>0</v>
      </c>
      <c r="U21" s="42">
        <f>'TE BE'!$U$21*'TE BE'!$U$49</f>
        <v>0</v>
      </c>
      <c r="V21" s="42">
        <f>'TE BE'!$V$21*'TE BE'!$V$49</f>
        <v>0</v>
      </c>
      <c r="W21" s="42">
        <f>SUM($T$21:$V$21)</f>
        <v>0</v>
      </c>
      <c r="X21" s="42">
        <f>'TE BE'!$AB$21*'TE BE'!$X$49</f>
        <v>0</v>
      </c>
      <c r="Y21" s="42">
        <f>SUM($X$21:$X$21)</f>
        <v>0</v>
      </c>
      <c r="Z21" s="42">
        <f>'TE BE'!$Z$21*'TE BE'!$Z$49</f>
        <v>0</v>
      </c>
      <c r="AA21" s="42">
        <f>SUM($Z$21:$Z$21)</f>
        <v>0</v>
      </c>
      <c r="AB21" s="42">
        <f>SUMIF($L$4:$AA$4,"SUBTOTAL",$L$21:$AA$21)</f>
        <v>-15.789522952791012</v>
      </c>
    </row>
    <row r="22" spans="1:28" ht="11.25" customHeight="1" x14ac:dyDescent="0.25">
      <c r="A22" s="118"/>
      <c r="B22" s="118"/>
      <c r="C22" s="118"/>
      <c r="D22" s="118"/>
      <c r="E22" s="118"/>
      <c r="F22" s="118"/>
      <c r="G22" s="45" t="s">
        <v>85</v>
      </c>
      <c r="H22" s="45" t="s">
        <v>72</v>
      </c>
      <c r="I22" s="45">
        <f>'MERCADO TE'!$U$19</f>
        <v>7.4999999999999997E-2</v>
      </c>
      <c r="J22" s="15"/>
      <c r="L22" s="42">
        <f>'TE BE'!$L$22*'TE BE'!$L$49</f>
        <v>7.7550299291619755E-6</v>
      </c>
      <c r="M22" s="42">
        <f>'TE BE'!$M$22*'TE BE'!$M$49</f>
        <v>0</v>
      </c>
      <c r="N22" s="42">
        <f>'TE BE'!$N$22*'TE BE'!$N$49</f>
        <v>0</v>
      </c>
      <c r="O22" s="42">
        <f>'TE BE'!$O$22*'TE BE'!$O$49</f>
        <v>-0.54516138354800681</v>
      </c>
      <c r="P22" s="42">
        <f>'TE BE'!$P$22*'TE BE'!$P$49</f>
        <v>0</v>
      </c>
      <c r="Q22" s="42">
        <f>SUM($L$22:$P$22)</f>
        <v>-0.54515362851807769</v>
      </c>
      <c r="R22" s="42">
        <f>'TE BE'!$R$22*'TE BE'!$R$49</f>
        <v>-8.8630054210889142</v>
      </c>
      <c r="S22" s="42">
        <f>SUM($R$22:$R$22)</f>
        <v>-8.8630054210889142</v>
      </c>
      <c r="T22" s="42">
        <f>'TE BE'!$T$22*'TE BE'!$T$49</f>
        <v>0</v>
      </c>
      <c r="U22" s="42">
        <f>'TE BE'!$U$22*'TE BE'!$U$49</f>
        <v>0</v>
      </c>
      <c r="V22" s="42">
        <f>'TE BE'!$V$22*'TE BE'!$V$49</f>
        <v>0</v>
      </c>
      <c r="W22" s="42">
        <f>SUM($T$22:$V$22)</f>
        <v>0</v>
      </c>
      <c r="X22" s="42">
        <f>'TE BE'!$AB$22*'TE BE'!$X$49</f>
        <v>0</v>
      </c>
      <c r="Y22" s="42">
        <f>SUM($X$22:$X$22)</f>
        <v>0</v>
      </c>
      <c r="Z22" s="42">
        <f>'TE BE'!$Z$22*'TE BE'!$Z$49</f>
        <v>0</v>
      </c>
      <c r="AA22" s="42">
        <f>SUM($Z$22:$Z$22)</f>
        <v>0</v>
      </c>
      <c r="AB22" s="42">
        <f>SUMIF($L$4:$AA$4,"SUBTOTAL",$L$22:$AA$22)</f>
        <v>-9.4081590496069918</v>
      </c>
    </row>
    <row r="23" spans="1:28" ht="11.25" customHeight="1" x14ac:dyDescent="0.25">
      <c r="A23" s="118"/>
      <c r="B23" s="118"/>
      <c r="C23" s="118"/>
      <c r="D23" s="118"/>
      <c r="E23" s="118"/>
      <c r="F23" s="118"/>
      <c r="G23" s="45" t="s">
        <v>74</v>
      </c>
      <c r="H23" s="45" t="s">
        <v>72</v>
      </c>
      <c r="I23" s="45">
        <f>'MERCADO TE'!$U$20</f>
        <v>0.91599999999999993</v>
      </c>
      <c r="J23" s="15"/>
      <c r="L23" s="42">
        <f>'TE BE'!$L$23*'TE BE'!$L$49</f>
        <v>7.7550299291619755E-6</v>
      </c>
      <c r="M23" s="42">
        <f>'TE BE'!$M$23*'TE BE'!$M$49</f>
        <v>0</v>
      </c>
      <c r="N23" s="42">
        <f>'TE BE'!$N$23*'TE BE'!$N$49</f>
        <v>0</v>
      </c>
      <c r="O23" s="42">
        <f>'TE BE'!$O$23*'TE BE'!$O$49</f>
        <v>-0.54516138354800681</v>
      </c>
      <c r="P23" s="42">
        <f>'TE BE'!$P$23*'TE BE'!$P$49</f>
        <v>0</v>
      </c>
      <c r="Q23" s="42">
        <f>SUM($L$23:$P$23)</f>
        <v>-0.54515362851807769</v>
      </c>
      <c r="R23" s="42">
        <f>'TE BE'!$R$23*'TE BE'!$R$49</f>
        <v>-8.8630054210889142</v>
      </c>
      <c r="S23" s="42">
        <f>SUM($R$23:$R$23)</f>
        <v>-8.8630054210889142</v>
      </c>
      <c r="T23" s="42">
        <f>'TE BE'!$T$23*'TE BE'!$T$49</f>
        <v>0</v>
      </c>
      <c r="U23" s="42">
        <f>'TE BE'!$U$23*'TE BE'!$U$49</f>
        <v>0</v>
      </c>
      <c r="V23" s="42">
        <f>'TE BE'!$V$23*'TE BE'!$V$49</f>
        <v>0</v>
      </c>
      <c r="W23" s="42">
        <f>SUM($T$23:$V$23)</f>
        <v>0</v>
      </c>
      <c r="X23" s="42">
        <f>'TE BE'!$AB$23*'TE BE'!$X$49</f>
        <v>0</v>
      </c>
      <c r="Y23" s="42">
        <f>SUM($X$23:$X$23)</f>
        <v>0</v>
      </c>
      <c r="Z23" s="42">
        <f>'TE BE'!$Z$23*'TE BE'!$Z$49</f>
        <v>0</v>
      </c>
      <c r="AA23" s="42">
        <f>SUM($Z$23:$Z$23)</f>
        <v>0</v>
      </c>
      <c r="AB23" s="42">
        <f>SUMIF($L$4:$AA$4,"SUBTOTAL",$L$23:$AA$23)</f>
        <v>-9.4081590496069918</v>
      </c>
    </row>
    <row r="24" spans="1:28" ht="11.25" customHeight="1" x14ac:dyDescent="0.25">
      <c r="A24" s="118"/>
      <c r="B24" s="44" t="s">
        <v>75</v>
      </c>
      <c r="C24" s="44" t="s">
        <v>44</v>
      </c>
      <c r="D24" s="44" t="s">
        <v>25</v>
      </c>
      <c r="E24" s="44" t="s">
        <v>25</v>
      </c>
      <c r="F24" s="44" t="s">
        <v>25</v>
      </c>
      <c r="G24" s="45" t="s">
        <v>76</v>
      </c>
      <c r="H24" s="45" t="s">
        <v>72</v>
      </c>
      <c r="I24" s="45">
        <f>'MERCADO TE'!$U$21</f>
        <v>54817.448999999993</v>
      </c>
      <c r="J24" s="15"/>
      <c r="L24" s="42">
        <f>'TE BE'!$L$24*'TE BE'!$L$49</f>
        <v>7.7550299291619755E-6</v>
      </c>
      <c r="M24" s="42">
        <f>'TE BE'!$M$24*'TE BE'!$M$49</f>
        <v>0</v>
      </c>
      <c r="N24" s="42">
        <f>'TE BE'!$N$24*'TE BE'!$N$49</f>
        <v>0</v>
      </c>
      <c r="O24" s="42">
        <f>'TE BE'!$O$24*'TE BE'!$O$49</f>
        <v>-0.54516138354800681</v>
      </c>
      <c r="P24" s="42">
        <f>'TE BE'!$P$24*'TE BE'!$P$49</f>
        <v>0</v>
      </c>
      <c r="Q24" s="42">
        <f>SUM($L$24:$P$24)</f>
        <v>-0.54515362851807769</v>
      </c>
      <c r="R24" s="42">
        <f>'TE BE'!$R$24*'TE BE'!$R$49</f>
        <v>-9.3947857463542501</v>
      </c>
      <c r="S24" s="42">
        <f>SUM($R$24:$R$24)</f>
        <v>-9.3947857463542501</v>
      </c>
      <c r="T24" s="42">
        <f>'TE BE'!$T$24*'TE BE'!$T$49</f>
        <v>0</v>
      </c>
      <c r="U24" s="42">
        <f>'TE BE'!$U$24*'TE BE'!$U$49</f>
        <v>0</v>
      </c>
      <c r="V24" s="42">
        <f>'TE BE'!$V$24*'TE BE'!$V$49</f>
        <v>0</v>
      </c>
      <c r="W24" s="42">
        <f>SUM($T$24:$V$24)</f>
        <v>0</v>
      </c>
      <c r="X24" s="42">
        <f>'TE BE'!$AB$24*'TE BE'!$X$49</f>
        <v>0</v>
      </c>
      <c r="Y24" s="42">
        <f>SUM($X$24:$X$24)</f>
        <v>0</v>
      </c>
      <c r="Z24" s="42">
        <f>'TE BE'!$Z$24*'TE BE'!$Z$49</f>
        <v>0</v>
      </c>
      <c r="AA24" s="42">
        <f>SUM($Z$24:$Z$24)</f>
        <v>0</v>
      </c>
      <c r="AB24" s="42">
        <f>SUMIF($L$4:$AA$4,"SUBTOTAL",$L$24:$AA$24)</f>
        <v>-9.9399393748723277</v>
      </c>
    </row>
    <row r="25" spans="1:28" ht="11.25" customHeight="1" x14ac:dyDescent="0.25">
      <c r="A25" s="118"/>
      <c r="B25" s="118" t="s">
        <v>71</v>
      </c>
      <c r="C25" s="118" t="s">
        <v>44</v>
      </c>
      <c r="D25" s="118" t="s">
        <v>88</v>
      </c>
      <c r="E25" s="118" t="s">
        <v>25</v>
      </c>
      <c r="F25" s="118" t="s">
        <v>25</v>
      </c>
      <c r="G25" s="45" t="s">
        <v>73</v>
      </c>
      <c r="H25" s="45" t="s">
        <v>72</v>
      </c>
      <c r="I25" s="45">
        <f>'MERCADO TE'!$U$22</f>
        <v>0</v>
      </c>
      <c r="J25" s="15"/>
      <c r="L25" s="42">
        <f>'TE BE'!$L$25*'TE BE'!$L$49</f>
        <v>7.7550299291619755E-6</v>
      </c>
      <c r="M25" s="42">
        <f>'TE BE'!$M$25*'TE BE'!$M$49</f>
        <v>0</v>
      </c>
      <c r="N25" s="42">
        <f>'TE BE'!$N$25*'TE BE'!$N$49</f>
        <v>0</v>
      </c>
      <c r="O25" s="42">
        <f>'TE BE'!$O$25*'TE BE'!$O$49</f>
        <v>-0.54516138354800681</v>
      </c>
      <c r="P25" s="42">
        <f>'TE BE'!$P$25*'TE BE'!$P$49</f>
        <v>0</v>
      </c>
      <c r="Q25" s="42">
        <f>SUM($L$25:$P$25)</f>
        <v>-0.54515362851807769</v>
      </c>
      <c r="R25" s="42">
        <f>'TE BE'!$R$25*'TE BE'!$R$49</f>
        <v>-15.244369324272935</v>
      </c>
      <c r="S25" s="42">
        <f>SUM($R$25:$R$25)</f>
        <v>-15.244369324272935</v>
      </c>
      <c r="T25" s="42">
        <f>'TE BE'!$T$25*'TE BE'!$T$49</f>
        <v>0</v>
      </c>
      <c r="U25" s="42">
        <f>'TE BE'!$U$25*'TE BE'!$U$49</f>
        <v>0</v>
      </c>
      <c r="V25" s="42">
        <f>'TE BE'!$V$25*'TE BE'!$V$49</f>
        <v>0</v>
      </c>
      <c r="W25" s="42">
        <f>SUM($T$25:$V$25)</f>
        <v>0</v>
      </c>
      <c r="X25" s="42">
        <f>'TE BE'!$AB$25*'TE BE'!$X$49</f>
        <v>0</v>
      </c>
      <c r="Y25" s="42">
        <f>SUM($X$25:$X$25)</f>
        <v>0</v>
      </c>
      <c r="Z25" s="42">
        <f>'TE BE'!$Z$25*'TE BE'!$Z$49</f>
        <v>0</v>
      </c>
      <c r="AA25" s="42">
        <f>SUM($Z$25:$Z$25)</f>
        <v>0</v>
      </c>
      <c r="AB25" s="42">
        <f>SUMIF($L$4:$AA$4,"SUBTOTAL",$L$25:$AA$25)</f>
        <v>-15.789522952791012</v>
      </c>
    </row>
    <row r="26" spans="1:28" ht="11.25" customHeight="1" x14ac:dyDescent="0.25">
      <c r="A26" s="118"/>
      <c r="B26" s="118"/>
      <c r="C26" s="118"/>
      <c r="D26" s="118"/>
      <c r="E26" s="118"/>
      <c r="F26" s="118"/>
      <c r="G26" s="45" t="s">
        <v>85</v>
      </c>
      <c r="H26" s="45" t="s">
        <v>72</v>
      </c>
      <c r="I26" s="45">
        <f>'MERCADO TE'!$U$23</f>
        <v>0</v>
      </c>
      <c r="J26" s="15"/>
      <c r="L26" s="42">
        <f>'TE BE'!$L$26*'TE BE'!$L$49</f>
        <v>7.7550299291619755E-6</v>
      </c>
      <c r="M26" s="42">
        <f>'TE BE'!$M$26*'TE BE'!$M$49</f>
        <v>0</v>
      </c>
      <c r="N26" s="42">
        <f>'TE BE'!$N$26*'TE BE'!$N$49</f>
        <v>0</v>
      </c>
      <c r="O26" s="42">
        <f>'TE BE'!$O$26*'TE BE'!$O$49</f>
        <v>-0.54516138354800681</v>
      </c>
      <c r="P26" s="42">
        <f>'TE BE'!$P$26*'TE BE'!$P$49</f>
        <v>0</v>
      </c>
      <c r="Q26" s="42">
        <f>SUM($L$26:$P$26)</f>
        <v>-0.54515362851807769</v>
      </c>
      <c r="R26" s="42">
        <f>'TE BE'!$R$26*'TE BE'!$R$49</f>
        <v>-8.8630054210889142</v>
      </c>
      <c r="S26" s="42">
        <f>SUM($R$26:$R$26)</f>
        <v>-8.8630054210889142</v>
      </c>
      <c r="T26" s="42">
        <f>'TE BE'!$T$26*'TE BE'!$T$49</f>
        <v>0</v>
      </c>
      <c r="U26" s="42">
        <f>'TE BE'!$U$26*'TE BE'!$U$49</f>
        <v>0</v>
      </c>
      <c r="V26" s="42">
        <f>'TE BE'!$V$26*'TE BE'!$V$49</f>
        <v>0</v>
      </c>
      <c r="W26" s="42">
        <f>SUM($T$26:$V$26)</f>
        <v>0</v>
      </c>
      <c r="X26" s="42">
        <f>'TE BE'!$AB$26*'TE BE'!$X$49</f>
        <v>0</v>
      </c>
      <c r="Y26" s="42">
        <f>SUM($X$26:$X$26)</f>
        <v>0</v>
      </c>
      <c r="Z26" s="42">
        <f>'TE BE'!$Z$26*'TE BE'!$Z$49</f>
        <v>0</v>
      </c>
      <c r="AA26" s="42">
        <f>SUM($Z$26:$Z$26)</f>
        <v>0</v>
      </c>
      <c r="AB26" s="42">
        <f>SUMIF($L$4:$AA$4,"SUBTOTAL",$L$26:$AA$26)</f>
        <v>-9.4081590496069918</v>
      </c>
    </row>
    <row r="27" spans="1:28" ht="11.25" customHeight="1" x14ac:dyDescent="0.25">
      <c r="A27" s="118"/>
      <c r="B27" s="118"/>
      <c r="C27" s="118"/>
      <c r="D27" s="118"/>
      <c r="E27" s="118"/>
      <c r="F27" s="118"/>
      <c r="G27" s="45" t="s">
        <v>74</v>
      </c>
      <c r="H27" s="45" t="s">
        <v>72</v>
      </c>
      <c r="I27" s="45">
        <f>'MERCADO TE'!$U$24</f>
        <v>0</v>
      </c>
      <c r="J27" s="15"/>
      <c r="L27" s="42">
        <f>'TE BE'!$L$27*'TE BE'!$L$49</f>
        <v>7.7550299291619755E-6</v>
      </c>
      <c r="M27" s="42">
        <f>'TE BE'!$M$27*'TE BE'!$M$49</f>
        <v>0</v>
      </c>
      <c r="N27" s="42">
        <f>'TE BE'!$N$27*'TE BE'!$N$49</f>
        <v>0</v>
      </c>
      <c r="O27" s="42">
        <f>'TE BE'!$O$27*'TE BE'!$O$49</f>
        <v>-0.54516138354800681</v>
      </c>
      <c r="P27" s="42">
        <f>'TE BE'!$P$27*'TE BE'!$P$49</f>
        <v>0</v>
      </c>
      <c r="Q27" s="42">
        <f>SUM($L$27:$P$27)</f>
        <v>-0.54515362851807769</v>
      </c>
      <c r="R27" s="42">
        <f>'TE BE'!$R$27*'TE BE'!$R$49</f>
        <v>-8.8630054210889142</v>
      </c>
      <c r="S27" s="42">
        <f>SUM($R$27:$R$27)</f>
        <v>-8.8630054210889142</v>
      </c>
      <c r="T27" s="42">
        <f>'TE BE'!$T$27*'TE BE'!$T$49</f>
        <v>0</v>
      </c>
      <c r="U27" s="42">
        <f>'TE BE'!$U$27*'TE BE'!$U$49</f>
        <v>0</v>
      </c>
      <c r="V27" s="42">
        <f>'TE BE'!$V$27*'TE BE'!$V$49</f>
        <v>0</v>
      </c>
      <c r="W27" s="42">
        <f>SUM($T$27:$V$27)</f>
        <v>0</v>
      </c>
      <c r="X27" s="42">
        <f>'TE BE'!$AB$27*'TE BE'!$X$49</f>
        <v>0</v>
      </c>
      <c r="Y27" s="42">
        <f>SUM($X$27:$X$27)</f>
        <v>0</v>
      </c>
      <c r="Z27" s="42">
        <f>'TE BE'!$Z$27*'TE BE'!$Z$49</f>
        <v>0</v>
      </c>
      <c r="AA27" s="42">
        <f>SUM($Z$27:$Z$27)</f>
        <v>0</v>
      </c>
      <c r="AB27" s="42">
        <f>SUMIF($L$4:$AA$4,"SUBTOTAL",$L$27:$AA$27)</f>
        <v>-9.4081590496069918</v>
      </c>
    </row>
    <row r="28" spans="1:28" ht="11.25" customHeight="1" x14ac:dyDescent="0.25">
      <c r="A28" s="118"/>
      <c r="B28" s="44" t="s">
        <v>75</v>
      </c>
      <c r="C28" s="44" t="s">
        <v>44</v>
      </c>
      <c r="D28" s="44" t="s">
        <v>88</v>
      </c>
      <c r="E28" s="44" t="s">
        <v>25</v>
      </c>
      <c r="F28" s="44" t="s">
        <v>25</v>
      </c>
      <c r="G28" s="45" t="s">
        <v>76</v>
      </c>
      <c r="H28" s="45" t="s">
        <v>72</v>
      </c>
      <c r="I28" s="45">
        <f>'MERCADO TE'!$U$25</f>
        <v>0</v>
      </c>
      <c r="J28" s="15"/>
      <c r="L28" s="42">
        <f>'TE BE'!$L$28*'TE BE'!$L$49</f>
        <v>7.7550299291619755E-6</v>
      </c>
      <c r="M28" s="42">
        <f>'TE BE'!$M$28*'TE BE'!$M$49</f>
        <v>0</v>
      </c>
      <c r="N28" s="42">
        <f>'TE BE'!$N$28*'TE BE'!$N$49</f>
        <v>0</v>
      </c>
      <c r="O28" s="42">
        <f>'TE BE'!$O$28*'TE BE'!$O$49</f>
        <v>-0.54516138354800681</v>
      </c>
      <c r="P28" s="42">
        <f>'TE BE'!$P$28*'TE BE'!$P$49</f>
        <v>0</v>
      </c>
      <c r="Q28" s="42">
        <f>SUM($L$28:$P$28)</f>
        <v>-0.54515362851807769</v>
      </c>
      <c r="R28" s="42">
        <f>'TE BE'!$R$28*'TE BE'!$R$49</f>
        <v>-9.3947857463542501</v>
      </c>
      <c r="S28" s="42">
        <f>SUM($R$28:$R$28)</f>
        <v>-9.3947857463542501</v>
      </c>
      <c r="T28" s="42">
        <f>'TE BE'!$T$28*'TE BE'!$T$49</f>
        <v>0</v>
      </c>
      <c r="U28" s="42">
        <f>'TE BE'!$U$28*'TE BE'!$U$49</f>
        <v>0</v>
      </c>
      <c r="V28" s="42">
        <f>'TE BE'!$V$28*'TE BE'!$V$49</f>
        <v>0</v>
      </c>
      <c r="W28" s="42">
        <f>SUM($T$28:$V$28)</f>
        <v>0</v>
      </c>
      <c r="X28" s="42">
        <f>'TE BE'!$AB$28*'TE BE'!$X$49</f>
        <v>0</v>
      </c>
      <c r="Y28" s="42">
        <f>SUM($X$28:$X$28)</f>
        <v>0</v>
      </c>
      <c r="Z28" s="42">
        <f>'TE BE'!$Z$28*'TE BE'!$Z$49</f>
        <v>0</v>
      </c>
      <c r="AA28" s="42">
        <f>SUM($Z$28:$Z$28)</f>
        <v>0</v>
      </c>
      <c r="AB28" s="42">
        <f>SUMIF($L$4:$AA$4,"SUBTOTAL",$L$28:$AA$28)</f>
        <v>-9.9399393748723277</v>
      </c>
    </row>
    <row r="29" spans="1:28" ht="11.25" customHeight="1" x14ac:dyDescent="0.25">
      <c r="A29" s="118"/>
      <c r="B29" s="118" t="s">
        <v>71</v>
      </c>
      <c r="C29" s="118" t="s">
        <v>44</v>
      </c>
      <c r="D29" s="118" t="s">
        <v>89</v>
      </c>
      <c r="E29" s="118" t="s">
        <v>25</v>
      </c>
      <c r="F29" s="118" t="s">
        <v>25</v>
      </c>
      <c r="G29" s="45" t="s">
        <v>73</v>
      </c>
      <c r="H29" s="45" t="s">
        <v>72</v>
      </c>
      <c r="I29" s="45">
        <f>'MERCADO TE'!$U$26</f>
        <v>0</v>
      </c>
      <c r="J29" s="15"/>
      <c r="L29" s="42">
        <f>'TE BE'!$L$29*'TE BE'!$L$49</f>
        <v>7.7550299291619755E-6</v>
      </c>
      <c r="M29" s="42">
        <f>'TE BE'!$M$29*'TE BE'!$M$49</f>
        <v>0</v>
      </c>
      <c r="N29" s="42">
        <f>'TE BE'!$N$29*'TE BE'!$N$49</f>
        <v>0</v>
      </c>
      <c r="O29" s="42">
        <f>'TE BE'!$O$29*'TE BE'!$O$49</f>
        <v>-0.54516138354800681</v>
      </c>
      <c r="P29" s="42">
        <f>'TE BE'!$P$29*'TE BE'!$P$49</f>
        <v>0</v>
      </c>
      <c r="Q29" s="42">
        <f>SUM($L$29:$P$29)</f>
        <v>-0.54515362851807769</v>
      </c>
      <c r="R29" s="42">
        <f>'TE BE'!$R$29*'TE BE'!$R$49</f>
        <v>-15.244369324272935</v>
      </c>
      <c r="S29" s="42">
        <f>SUM($R$29:$R$29)</f>
        <v>-15.244369324272935</v>
      </c>
      <c r="T29" s="42">
        <f>'TE BE'!$T$29*'TE BE'!$T$49</f>
        <v>0</v>
      </c>
      <c r="U29" s="42">
        <f>'TE BE'!$U$29*'TE BE'!$U$49</f>
        <v>0</v>
      </c>
      <c r="V29" s="42">
        <f>'TE BE'!$V$29*'TE BE'!$V$49</f>
        <v>0</v>
      </c>
      <c r="W29" s="42">
        <f>SUM($T$29:$V$29)</f>
        <v>0</v>
      </c>
      <c r="X29" s="42">
        <f>'TE BE'!$AB$29*'TE BE'!$X$49</f>
        <v>0</v>
      </c>
      <c r="Y29" s="42">
        <f>SUM($X$29:$X$29)</f>
        <v>0</v>
      </c>
      <c r="Z29" s="42">
        <f>'TE BE'!$Z$29*'TE BE'!$Z$49</f>
        <v>0</v>
      </c>
      <c r="AA29" s="42">
        <f>SUM($Z$29:$Z$29)</f>
        <v>0</v>
      </c>
      <c r="AB29" s="42">
        <f>SUMIF($L$4:$AA$4,"SUBTOTAL",$L$29:$AA$29)</f>
        <v>-15.789522952791012</v>
      </c>
    </row>
    <row r="30" spans="1:28" ht="11.25" customHeight="1" x14ac:dyDescent="0.25">
      <c r="A30" s="118"/>
      <c r="B30" s="118"/>
      <c r="C30" s="118"/>
      <c r="D30" s="118"/>
      <c r="E30" s="118"/>
      <c r="F30" s="118"/>
      <c r="G30" s="45" t="s">
        <v>85</v>
      </c>
      <c r="H30" s="45" t="s">
        <v>72</v>
      </c>
      <c r="I30" s="45">
        <f>'MERCADO TE'!$U$27</f>
        <v>0</v>
      </c>
      <c r="J30" s="15"/>
      <c r="L30" s="42">
        <f>'TE BE'!$L$30*'TE BE'!$L$49</f>
        <v>7.7550299291619755E-6</v>
      </c>
      <c r="M30" s="42">
        <f>'TE BE'!$M$30*'TE BE'!$M$49</f>
        <v>0</v>
      </c>
      <c r="N30" s="42">
        <f>'TE BE'!$N$30*'TE BE'!$N$49</f>
        <v>0</v>
      </c>
      <c r="O30" s="42">
        <f>'TE BE'!$O$30*'TE BE'!$O$49</f>
        <v>-0.54516138354800681</v>
      </c>
      <c r="P30" s="42">
        <f>'TE BE'!$P$30*'TE BE'!$P$49</f>
        <v>0</v>
      </c>
      <c r="Q30" s="42">
        <f>SUM($L$30:$P$30)</f>
        <v>-0.54515362851807769</v>
      </c>
      <c r="R30" s="42">
        <f>'TE BE'!$R$30*'TE BE'!$R$49</f>
        <v>-8.8630054210889142</v>
      </c>
      <c r="S30" s="42">
        <f>SUM($R$30:$R$30)</f>
        <v>-8.8630054210889142</v>
      </c>
      <c r="T30" s="42">
        <f>'TE BE'!$T$30*'TE BE'!$T$49</f>
        <v>0</v>
      </c>
      <c r="U30" s="42">
        <f>'TE BE'!$U$30*'TE BE'!$U$49</f>
        <v>0</v>
      </c>
      <c r="V30" s="42">
        <f>'TE BE'!$V$30*'TE BE'!$V$49</f>
        <v>0</v>
      </c>
      <c r="W30" s="42">
        <f>SUM($T$30:$V$30)</f>
        <v>0</v>
      </c>
      <c r="X30" s="42">
        <f>'TE BE'!$AB$30*'TE BE'!$X$49</f>
        <v>0</v>
      </c>
      <c r="Y30" s="42">
        <f>SUM($X$30:$X$30)</f>
        <v>0</v>
      </c>
      <c r="Z30" s="42">
        <f>'TE BE'!$Z$30*'TE BE'!$Z$49</f>
        <v>0</v>
      </c>
      <c r="AA30" s="42">
        <f>SUM($Z$30:$Z$30)</f>
        <v>0</v>
      </c>
      <c r="AB30" s="42">
        <f>SUMIF($L$4:$AA$4,"SUBTOTAL",$L$30:$AA$30)</f>
        <v>-9.4081590496069918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45" t="s">
        <v>74</v>
      </c>
      <c r="H31" s="45" t="s">
        <v>72</v>
      </c>
      <c r="I31" s="45">
        <f>'MERCADO TE'!$U$28</f>
        <v>0</v>
      </c>
      <c r="J31" s="15"/>
      <c r="L31" s="42">
        <f>'TE BE'!$L$31*'TE BE'!$L$49</f>
        <v>7.7550299291619755E-6</v>
      </c>
      <c r="M31" s="42">
        <f>'TE BE'!$M$31*'TE BE'!$M$49</f>
        <v>0</v>
      </c>
      <c r="N31" s="42">
        <f>'TE BE'!$N$31*'TE BE'!$N$49</f>
        <v>0</v>
      </c>
      <c r="O31" s="42">
        <f>'TE BE'!$O$31*'TE BE'!$O$49</f>
        <v>-0.54516138354800681</v>
      </c>
      <c r="P31" s="42">
        <f>'TE BE'!$P$31*'TE BE'!$P$49</f>
        <v>0</v>
      </c>
      <c r="Q31" s="42">
        <f>SUM($L$31:$P$31)</f>
        <v>-0.54515362851807769</v>
      </c>
      <c r="R31" s="42">
        <f>'TE BE'!$R$31*'TE BE'!$R$49</f>
        <v>-8.8630054210889142</v>
      </c>
      <c r="S31" s="42">
        <f>SUM($R$31:$R$31)</f>
        <v>-8.8630054210889142</v>
      </c>
      <c r="T31" s="42">
        <f>'TE BE'!$T$31*'TE BE'!$T$49</f>
        <v>0</v>
      </c>
      <c r="U31" s="42">
        <f>'TE BE'!$U$31*'TE BE'!$U$49</f>
        <v>0</v>
      </c>
      <c r="V31" s="42">
        <f>'TE BE'!$V$31*'TE BE'!$V$49</f>
        <v>0</v>
      </c>
      <c r="W31" s="42">
        <f>SUM($T$31:$V$31)</f>
        <v>0</v>
      </c>
      <c r="X31" s="42">
        <f>'TE BE'!$AB$31*'TE BE'!$X$49</f>
        <v>0</v>
      </c>
      <c r="Y31" s="42">
        <f>SUM($X$31:$X$31)</f>
        <v>0</v>
      </c>
      <c r="Z31" s="42">
        <f>'TE BE'!$Z$31*'TE BE'!$Z$49</f>
        <v>0</v>
      </c>
      <c r="AA31" s="42">
        <f>SUM($Z$31:$Z$31)</f>
        <v>0</v>
      </c>
      <c r="AB31" s="42">
        <f>SUMIF($L$4:$AA$4,"SUBTOTAL",$L$31:$AA$31)</f>
        <v>-9.4081590496069918</v>
      </c>
    </row>
    <row r="32" spans="1:28" ht="11.25" customHeight="1" x14ac:dyDescent="0.25">
      <c r="A32" s="118"/>
      <c r="B32" s="44" t="s">
        <v>75</v>
      </c>
      <c r="C32" s="44" t="s">
        <v>44</v>
      </c>
      <c r="D32" s="44" t="s">
        <v>89</v>
      </c>
      <c r="E32" s="44" t="s">
        <v>25</v>
      </c>
      <c r="F32" s="44" t="s">
        <v>25</v>
      </c>
      <c r="G32" s="45" t="s">
        <v>76</v>
      </c>
      <c r="H32" s="45" t="s">
        <v>72</v>
      </c>
      <c r="I32" s="45">
        <f>'MERCADO TE'!$U$29</f>
        <v>0</v>
      </c>
      <c r="J32" s="15"/>
      <c r="L32" s="42">
        <f>'TE BE'!$L$32*'TE BE'!$L$49</f>
        <v>7.7550299291619755E-6</v>
      </c>
      <c r="M32" s="42">
        <f>'TE BE'!$M$32*'TE BE'!$M$49</f>
        <v>0</v>
      </c>
      <c r="N32" s="42">
        <f>'TE BE'!$N$32*'TE BE'!$N$49</f>
        <v>0</v>
      </c>
      <c r="O32" s="42">
        <f>'TE BE'!$O$32*'TE BE'!$O$49</f>
        <v>-0.54516138354800681</v>
      </c>
      <c r="P32" s="42">
        <f>'TE BE'!$P$32*'TE BE'!$P$49</f>
        <v>0</v>
      </c>
      <c r="Q32" s="42">
        <f>SUM($L$32:$P$32)</f>
        <v>-0.54515362851807769</v>
      </c>
      <c r="R32" s="42">
        <f>'TE BE'!$R$32*'TE BE'!$R$49</f>
        <v>-9.3947857463542501</v>
      </c>
      <c r="S32" s="42">
        <f>SUM($R$32:$R$32)</f>
        <v>-9.3947857463542501</v>
      </c>
      <c r="T32" s="42">
        <f>'TE BE'!$T$32*'TE BE'!$T$49</f>
        <v>0</v>
      </c>
      <c r="U32" s="42">
        <f>'TE BE'!$U$32*'TE BE'!$U$49</f>
        <v>0</v>
      </c>
      <c r="V32" s="42">
        <f>'TE BE'!$V$32*'TE BE'!$V$49</f>
        <v>0</v>
      </c>
      <c r="W32" s="42">
        <f>SUM($T$32:$V$32)</f>
        <v>0</v>
      </c>
      <c r="X32" s="42">
        <f>'TE BE'!$AB$32*'TE BE'!$X$49</f>
        <v>0</v>
      </c>
      <c r="Y32" s="42">
        <f>SUM($X$32:$X$32)</f>
        <v>0</v>
      </c>
      <c r="Z32" s="42">
        <f>'TE BE'!$Z$32*'TE BE'!$Z$49</f>
        <v>0</v>
      </c>
      <c r="AA32" s="42">
        <f>SUM($Z$32:$Z$32)</f>
        <v>0</v>
      </c>
      <c r="AB32" s="42">
        <f>SUMIF($L$4:$AA$4,"SUBTOTAL",$L$32:$AA$32)</f>
        <v>-9.9399393748723277</v>
      </c>
    </row>
    <row r="33" spans="1:28" ht="11.25" customHeight="1" x14ac:dyDescent="0.25">
      <c r="A33" s="118"/>
      <c r="B33" s="118" t="s">
        <v>86</v>
      </c>
      <c r="C33" s="118" t="s">
        <v>44</v>
      </c>
      <c r="D33" s="44" t="s">
        <v>25</v>
      </c>
      <c r="E33" s="44" t="s">
        <v>25</v>
      </c>
      <c r="F33" s="44" t="s">
        <v>25</v>
      </c>
      <c r="G33" s="45" t="s">
        <v>76</v>
      </c>
      <c r="H33" s="45" t="s">
        <v>72</v>
      </c>
      <c r="I33" s="45">
        <f>'MERCADO TE'!$U$30</f>
        <v>0</v>
      </c>
      <c r="J33" s="15"/>
      <c r="L33" s="42">
        <f>'TE BE'!$L$33*'TE BE'!$L$49</f>
        <v>7.7550299291619755E-6</v>
      </c>
      <c r="M33" s="42">
        <f>'TE BE'!$M$33*'TE BE'!$M$49</f>
        <v>0</v>
      </c>
      <c r="N33" s="42">
        <f>'TE BE'!$N$33*'TE BE'!$N$49</f>
        <v>0</v>
      </c>
      <c r="O33" s="42">
        <f>'TE BE'!$O$33*'TE BE'!$O$49</f>
        <v>-0.54516138354800681</v>
      </c>
      <c r="P33" s="42">
        <f>'TE BE'!$P$33*'TE BE'!$P$49</f>
        <v>0</v>
      </c>
      <c r="Q33" s="42">
        <f>SUM($L$33:$P$33)</f>
        <v>-0.54515362851807769</v>
      </c>
      <c r="R33" s="42">
        <f>'TE BE'!$R$33*'TE BE'!$R$49</f>
        <v>-9.3947857463542501</v>
      </c>
      <c r="S33" s="42">
        <f>SUM($R$33:$R$33)</f>
        <v>-9.3947857463542501</v>
      </c>
      <c r="T33" s="42">
        <f>'TE BE'!$T$33*'TE BE'!$T$49</f>
        <v>0</v>
      </c>
      <c r="U33" s="42">
        <f>'TE BE'!$U$33*'TE BE'!$U$49</f>
        <v>0</v>
      </c>
      <c r="V33" s="42">
        <f>'TE BE'!$V$33*'TE BE'!$V$49</f>
        <v>0</v>
      </c>
      <c r="W33" s="42">
        <f>SUM($T$33:$V$33)</f>
        <v>0</v>
      </c>
      <c r="X33" s="42">
        <f>'TE BE'!$AB$33*'TE BE'!$X$49</f>
        <v>0</v>
      </c>
      <c r="Y33" s="42">
        <f>SUM($X$33:$X$33)</f>
        <v>0</v>
      </c>
      <c r="Z33" s="42">
        <f>'TE BE'!$Z$33*'TE BE'!$Z$49</f>
        <v>0</v>
      </c>
      <c r="AA33" s="42">
        <f>SUM($Z$33:$Z$33)</f>
        <v>0</v>
      </c>
      <c r="AB33" s="42">
        <f>SUMIF($L$4:$AA$4,"SUBTOTAL",$L$33:$AA$33)</f>
        <v>-9.9399393748723277</v>
      </c>
    </row>
    <row r="34" spans="1:28" ht="11.25" customHeight="1" x14ac:dyDescent="0.25">
      <c r="A34" s="118"/>
      <c r="B34" s="118"/>
      <c r="C34" s="118"/>
      <c r="D34" s="44" t="s">
        <v>88</v>
      </c>
      <c r="E34" s="44" t="s">
        <v>25</v>
      </c>
      <c r="F34" s="44" t="s">
        <v>25</v>
      </c>
      <c r="G34" s="45" t="s">
        <v>76</v>
      </c>
      <c r="H34" s="45" t="s">
        <v>72</v>
      </c>
      <c r="I34" s="45">
        <f>'MERCADO TE'!$U$31</f>
        <v>0</v>
      </c>
      <c r="J34" s="15"/>
      <c r="L34" s="42">
        <f>'TE BE'!$L$34*'TE BE'!$L$49</f>
        <v>7.7550299291619755E-6</v>
      </c>
      <c r="M34" s="42">
        <f>'TE BE'!$M$34*'TE BE'!$M$49</f>
        <v>0</v>
      </c>
      <c r="N34" s="42">
        <f>'TE BE'!$N$34*'TE BE'!$N$49</f>
        <v>0</v>
      </c>
      <c r="O34" s="42">
        <f>'TE BE'!$O$34*'TE BE'!$O$49</f>
        <v>-0.54516138354800681</v>
      </c>
      <c r="P34" s="42">
        <f>'TE BE'!$P$34*'TE BE'!$P$49</f>
        <v>0</v>
      </c>
      <c r="Q34" s="42">
        <f>SUM($L$34:$P$34)</f>
        <v>-0.54515362851807769</v>
      </c>
      <c r="R34" s="42">
        <f>'TE BE'!$R$34*'TE BE'!$R$49</f>
        <v>-9.3947857463542501</v>
      </c>
      <c r="S34" s="42">
        <f>SUM($R$34:$R$34)</f>
        <v>-9.3947857463542501</v>
      </c>
      <c r="T34" s="42">
        <f>'TE BE'!$T$34*'TE BE'!$T$49</f>
        <v>0</v>
      </c>
      <c r="U34" s="42">
        <f>'TE BE'!$U$34*'TE BE'!$U$49</f>
        <v>0</v>
      </c>
      <c r="V34" s="42">
        <f>'TE BE'!$V$34*'TE BE'!$V$49</f>
        <v>0</v>
      </c>
      <c r="W34" s="42">
        <f>SUM($T$34:$V$34)</f>
        <v>0</v>
      </c>
      <c r="X34" s="42">
        <f>'TE BE'!$AB$34*'TE BE'!$X$49</f>
        <v>0</v>
      </c>
      <c r="Y34" s="42">
        <f>SUM($X$34:$X$34)</f>
        <v>0</v>
      </c>
      <c r="Z34" s="42">
        <f>'TE BE'!$Z$34*'TE BE'!$Z$49</f>
        <v>0</v>
      </c>
      <c r="AA34" s="42">
        <f>SUM($Z$34:$Z$34)</f>
        <v>0</v>
      </c>
      <c r="AB34" s="42">
        <f>SUMIF($L$4:$AA$4,"SUBTOTAL",$L$34:$AA$34)</f>
        <v>-9.9399393748723277</v>
      </c>
    </row>
    <row r="35" spans="1:28" ht="11.25" customHeight="1" x14ac:dyDescent="0.25">
      <c r="A35" s="118"/>
      <c r="B35" s="118"/>
      <c r="C35" s="118"/>
      <c r="D35" s="44" t="s">
        <v>89</v>
      </c>
      <c r="E35" s="44" t="s">
        <v>25</v>
      </c>
      <c r="F35" s="44" t="s">
        <v>25</v>
      </c>
      <c r="G35" s="45" t="s">
        <v>76</v>
      </c>
      <c r="H35" s="45" t="s">
        <v>72</v>
      </c>
      <c r="I35" s="45">
        <f>'MERCADO TE'!$U$32</f>
        <v>0</v>
      </c>
      <c r="J35" s="15"/>
      <c r="L35" s="42">
        <f>'TE BE'!$L$35*'TE BE'!$L$49</f>
        <v>7.7550299291619755E-6</v>
      </c>
      <c r="M35" s="42">
        <f>'TE BE'!$M$35*'TE BE'!$M$49</f>
        <v>0</v>
      </c>
      <c r="N35" s="42">
        <f>'TE BE'!$N$35*'TE BE'!$N$49</f>
        <v>0</v>
      </c>
      <c r="O35" s="42">
        <f>'TE BE'!$O$35*'TE BE'!$O$49</f>
        <v>-0.54516138354800681</v>
      </c>
      <c r="P35" s="42">
        <f>'TE BE'!$P$35*'TE BE'!$P$49</f>
        <v>0</v>
      </c>
      <c r="Q35" s="42">
        <f>SUM($L$35:$P$35)</f>
        <v>-0.54515362851807769</v>
      </c>
      <c r="R35" s="42">
        <f>'TE BE'!$R$35*'TE BE'!$R$49</f>
        <v>-9.3947857463542501</v>
      </c>
      <c r="S35" s="42">
        <f>SUM($R$35:$R$35)</f>
        <v>-9.3947857463542501</v>
      </c>
      <c r="T35" s="42">
        <f>'TE BE'!$T$35*'TE BE'!$T$49</f>
        <v>0</v>
      </c>
      <c r="U35" s="42">
        <f>'TE BE'!$U$35*'TE BE'!$U$49</f>
        <v>0</v>
      </c>
      <c r="V35" s="42">
        <f>'TE BE'!$V$35*'TE BE'!$V$49</f>
        <v>0</v>
      </c>
      <c r="W35" s="42">
        <f>SUM($T$35:$V$35)</f>
        <v>0</v>
      </c>
      <c r="X35" s="42">
        <f>'TE BE'!$AB$35*'TE BE'!$X$49</f>
        <v>0</v>
      </c>
      <c r="Y35" s="42">
        <f>SUM($X$35:$X$35)</f>
        <v>0</v>
      </c>
      <c r="Z35" s="42">
        <f>'TE BE'!$Z$35*'TE BE'!$Z$49</f>
        <v>0</v>
      </c>
      <c r="AA35" s="42">
        <f>SUM($Z$35:$Z$35)</f>
        <v>0</v>
      </c>
      <c r="AB35" s="42">
        <f>SUMIF($L$4:$AA$4,"SUBTOTAL",$L$35:$AA$35)</f>
        <v>-9.9399393748723277</v>
      </c>
    </row>
    <row r="36" spans="1:28" ht="11.25" customHeight="1" x14ac:dyDescent="0.25">
      <c r="A36" s="118" t="s">
        <v>37</v>
      </c>
      <c r="B36" s="118" t="s">
        <v>71</v>
      </c>
      <c r="C36" s="118" t="s">
        <v>25</v>
      </c>
      <c r="D36" s="118" t="s">
        <v>25</v>
      </c>
      <c r="E36" s="118" t="s">
        <v>25</v>
      </c>
      <c r="F36" s="118" t="s">
        <v>25</v>
      </c>
      <c r="G36" s="45" t="s">
        <v>73</v>
      </c>
      <c r="H36" s="45" t="s">
        <v>72</v>
      </c>
      <c r="I36" s="45">
        <f>'MERCADO TE'!$U$33</f>
        <v>38.241999999999997</v>
      </c>
      <c r="J36" s="15"/>
      <c r="L36" s="42">
        <f>'TE BE'!$L$36*'TE BE'!$L$49</f>
        <v>7.7550299291619755E-6</v>
      </c>
      <c r="M36" s="42">
        <f>'TE BE'!$M$36*'TE BE'!$M$49</f>
        <v>0</v>
      </c>
      <c r="N36" s="42">
        <f>'TE BE'!$N$36*'TE BE'!$N$49</f>
        <v>0</v>
      </c>
      <c r="O36" s="42">
        <f>'TE BE'!$O$36*'TE BE'!$O$49</f>
        <v>-0.54516138354800681</v>
      </c>
      <c r="P36" s="42">
        <f>'TE BE'!$P$36*'TE BE'!$P$49</f>
        <v>0</v>
      </c>
      <c r="Q36" s="42">
        <f>SUM($L$36:$P$36)</f>
        <v>-0.54515362851807769</v>
      </c>
      <c r="R36" s="42">
        <f>'TE BE'!$R$36*'TE BE'!$R$49</f>
        <v>-15.244369324272935</v>
      </c>
      <c r="S36" s="42">
        <f>SUM($R$36:$R$36)</f>
        <v>-15.244369324272935</v>
      </c>
      <c r="T36" s="42">
        <f>'TE BE'!$T$36*'TE BE'!$T$49</f>
        <v>0</v>
      </c>
      <c r="U36" s="42">
        <f>'TE BE'!$U$36*'TE BE'!$U$49</f>
        <v>0</v>
      </c>
      <c r="V36" s="42">
        <f>'TE BE'!$V$36*'TE BE'!$V$49</f>
        <v>0</v>
      </c>
      <c r="W36" s="42">
        <f>SUM($T$36:$V$36)</f>
        <v>0</v>
      </c>
      <c r="X36" s="42">
        <f>'TE BE'!$AB$36*'TE BE'!$X$49</f>
        <v>0</v>
      </c>
      <c r="Y36" s="42">
        <f>SUM($X$36:$X$36)</f>
        <v>0</v>
      </c>
      <c r="Z36" s="42">
        <f>'TE BE'!$Z$36*'TE BE'!$Z$49</f>
        <v>0</v>
      </c>
      <c r="AA36" s="42">
        <f>SUM($Z$36:$Z$36)</f>
        <v>0</v>
      </c>
      <c r="AB36" s="42">
        <f>SUMIF($L$4:$AA$4,"SUBTOTAL",$L$36:$AA$36)</f>
        <v>-15.789522952791012</v>
      </c>
    </row>
    <row r="37" spans="1:28" ht="11.25" customHeight="1" x14ac:dyDescent="0.25">
      <c r="A37" s="118"/>
      <c r="B37" s="118"/>
      <c r="C37" s="118"/>
      <c r="D37" s="118"/>
      <c r="E37" s="118"/>
      <c r="F37" s="118"/>
      <c r="G37" s="45" t="s">
        <v>85</v>
      </c>
      <c r="H37" s="45" t="s">
        <v>72</v>
      </c>
      <c r="I37" s="45">
        <f>'MERCADO TE'!$U$34</f>
        <v>26.390000000000004</v>
      </c>
      <c r="J37" s="15"/>
      <c r="L37" s="42">
        <f>'TE BE'!$L$37*'TE BE'!$L$49</f>
        <v>7.7550299291619755E-6</v>
      </c>
      <c r="M37" s="42">
        <f>'TE BE'!$M$37*'TE BE'!$M$49</f>
        <v>0</v>
      </c>
      <c r="N37" s="42">
        <f>'TE BE'!$N$37*'TE BE'!$N$49</f>
        <v>0</v>
      </c>
      <c r="O37" s="42">
        <f>'TE BE'!$O$37*'TE BE'!$O$49</f>
        <v>-0.54516138354800681</v>
      </c>
      <c r="P37" s="42">
        <f>'TE BE'!$P$37*'TE BE'!$P$49</f>
        <v>0</v>
      </c>
      <c r="Q37" s="42">
        <f>SUM($L$37:$P$37)</f>
        <v>-0.54515362851807769</v>
      </c>
      <c r="R37" s="42">
        <f>'TE BE'!$R$37*'TE BE'!$R$49</f>
        <v>-8.8630054210889142</v>
      </c>
      <c r="S37" s="42">
        <f>SUM($R$37:$R$37)</f>
        <v>-8.8630054210889142</v>
      </c>
      <c r="T37" s="42">
        <f>'TE BE'!$T$37*'TE BE'!$T$49</f>
        <v>0</v>
      </c>
      <c r="U37" s="42">
        <f>'TE BE'!$U$37*'TE BE'!$U$49</f>
        <v>0</v>
      </c>
      <c r="V37" s="42">
        <f>'TE BE'!$V$37*'TE BE'!$V$49</f>
        <v>0</v>
      </c>
      <c r="W37" s="42">
        <f>SUM($T$37:$V$37)</f>
        <v>0</v>
      </c>
      <c r="X37" s="42">
        <f>'TE BE'!$AB$37*'TE BE'!$X$49</f>
        <v>0</v>
      </c>
      <c r="Y37" s="42">
        <f>SUM($X$37:$X$37)</f>
        <v>0</v>
      </c>
      <c r="Z37" s="42">
        <f>'TE BE'!$Z$37*'TE BE'!$Z$49</f>
        <v>0</v>
      </c>
      <c r="AA37" s="42">
        <f>SUM($Z$37:$Z$37)</f>
        <v>0</v>
      </c>
      <c r="AB37" s="42">
        <f>SUMIF($L$4:$AA$4,"SUBTOTAL",$L$37:$AA$37)</f>
        <v>-9.4081590496069918</v>
      </c>
    </row>
    <row r="38" spans="1:28" ht="11.25" customHeight="1" x14ac:dyDescent="0.25">
      <c r="A38" s="118"/>
      <c r="B38" s="118"/>
      <c r="C38" s="118"/>
      <c r="D38" s="118"/>
      <c r="E38" s="118"/>
      <c r="F38" s="118"/>
      <c r="G38" s="45" t="s">
        <v>74</v>
      </c>
      <c r="H38" s="45" t="s">
        <v>72</v>
      </c>
      <c r="I38" s="45">
        <f>'MERCADO TE'!$U$35</f>
        <v>1181.6300000000001</v>
      </c>
      <c r="J38" s="15"/>
      <c r="L38" s="42">
        <f>'TE BE'!$L$38*'TE BE'!$L$49</f>
        <v>7.7550299291619755E-6</v>
      </c>
      <c r="M38" s="42">
        <f>'TE BE'!$M$38*'TE BE'!$M$49</f>
        <v>0</v>
      </c>
      <c r="N38" s="42">
        <f>'TE BE'!$N$38*'TE BE'!$N$49</f>
        <v>0</v>
      </c>
      <c r="O38" s="42">
        <f>'TE BE'!$O$38*'TE BE'!$O$49</f>
        <v>-0.54516138354800681</v>
      </c>
      <c r="P38" s="42">
        <f>'TE BE'!$P$38*'TE BE'!$P$49</f>
        <v>0</v>
      </c>
      <c r="Q38" s="42">
        <f>SUM($L$38:$P$38)</f>
        <v>-0.54515362851807769</v>
      </c>
      <c r="R38" s="42">
        <f>'TE BE'!$R$38*'TE BE'!$R$49</f>
        <v>-8.8630054210889142</v>
      </c>
      <c r="S38" s="42">
        <f>SUM($R$38:$R$38)</f>
        <v>-8.8630054210889142</v>
      </c>
      <c r="T38" s="42">
        <f>'TE BE'!$T$38*'TE BE'!$T$49</f>
        <v>0</v>
      </c>
      <c r="U38" s="42">
        <f>'TE BE'!$U$38*'TE BE'!$U$49</f>
        <v>0</v>
      </c>
      <c r="V38" s="42">
        <f>'TE BE'!$V$38*'TE BE'!$V$49</f>
        <v>0</v>
      </c>
      <c r="W38" s="42">
        <f>SUM($T$38:$V$38)</f>
        <v>0</v>
      </c>
      <c r="X38" s="42">
        <f>'TE BE'!$AB$38*'TE BE'!$X$49</f>
        <v>0</v>
      </c>
      <c r="Y38" s="42">
        <f>SUM($X$38:$X$38)</f>
        <v>0</v>
      </c>
      <c r="Z38" s="42">
        <f>'TE BE'!$Z$38*'TE BE'!$Z$49</f>
        <v>0</v>
      </c>
      <c r="AA38" s="42">
        <f>SUM($Z$38:$Z$38)</f>
        <v>0</v>
      </c>
      <c r="AB38" s="42">
        <f>SUMIF($L$4:$AA$4,"SUBTOTAL",$L$38:$AA$38)</f>
        <v>-9.4081590496069918</v>
      </c>
    </row>
    <row r="39" spans="1:28" ht="11.25" customHeight="1" x14ac:dyDescent="0.25">
      <c r="A39" s="118"/>
      <c r="B39" s="44" t="s">
        <v>75</v>
      </c>
      <c r="C39" s="44" t="s">
        <v>25</v>
      </c>
      <c r="D39" s="44" t="s">
        <v>25</v>
      </c>
      <c r="E39" s="44" t="s">
        <v>25</v>
      </c>
      <c r="F39" s="44" t="s">
        <v>25</v>
      </c>
      <c r="G39" s="45" t="s">
        <v>76</v>
      </c>
      <c r="H39" s="45" t="s">
        <v>72</v>
      </c>
      <c r="I39" s="45">
        <f>'MERCADO TE'!$U$36</f>
        <v>197307.342</v>
      </c>
      <c r="J39" s="15"/>
      <c r="L39" s="42">
        <f>'TE BE'!$L$39*'TE BE'!$L$49</f>
        <v>7.7550299291619755E-6</v>
      </c>
      <c r="M39" s="42">
        <f>'TE BE'!$M$39*'TE BE'!$M$49</f>
        <v>0</v>
      </c>
      <c r="N39" s="42">
        <f>'TE BE'!$N$39*'TE BE'!$N$49</f>
        <v>0</v>
      </c>
      <c r="O39" s="42">
        <f>'TE BE'!$O$39*'TE BE'!$O$49</f>
        <v>-0.54516138354800681</v>
      </c>
      <c r="P39" s="42">
        <f>'TE BE'!$P$39*'TE BE'!$P$49</f>
        <v>0</v>
      </c>
      <c r="Q39" s="42">
        <f>SUM($L$39:$P$39)</f>
        <v>-0.54515362851807769</v>
      </c>
      <c r="R39" s="42">
        <f>'TE BE'!$R$39*'TE BE'!$R$49</f>
        <v>-9.3947857463542501</v>
      </c>
      <c r="S39" s="42">
        <f>SUM($R$39:$R$39)</f>
        <v>-9.3947857463542501</v>
      </c>
      <c r="T39" s="42">
        <f>'TE BE'!$T$39*'TE BE'!$T$49</f>
        <v>0</v>
      </c>
      <c r="U39" s="42">
        <f>'TE BE'!$U$39*'TE BE'!$U$49</f>
        <v>0</v>
      </c>
      <c r="V39" s="42">
        <f>'TE BE'!$V$39*'TE BE'!$V$49</f>
        <v>0</v>
      </c>
      <c r="W39" s="42">
        <f>SUM($T$39:$V$39)</f>
        <v>0</v>
      </c>
      <c r="X39" s="42">
        <f>'TE BE'!$AB$39*'TE BE'!$X$49</f>
        <v>0</v>
      </c>
      <c r="Y39" s="42">
        <f>SUM($X$39:$X$39)</f>
        <v>0</v>
      </c>
      <c r="Z39" s="42">
        <f>'TE BE'!$Z$39*'TE BE'!$Z$49</f>
        <v>0</v>
      </c>
      <c r="AA39" s="42">
        <f>SUM($Z$39:$Z$39)</f>
        <v>0</v>
      </c>
      <c r="AB39" s="42">
        <f>SUMIF($L$4:$AA$4,"SUBTOTAL",$L$39:$AA$39)</f>
        <v>-9.9399393748723277</v>
      </c>
    </row>
    <row r="40" spans="1:28" ht="11.25" customHeight="1" x14ac:dyDescent="0.25">
      <c r="A40" s="118"/>
      <c r="B40" s="44" t="s">
        <v>86</v>
      </c>
      <c r="C40" s="44" t="s">
        <v>25</v>
      </c>
      <c r="D40" s="44" t="s">
        <v>25</v>
      </c>
      <c r="E40" s="44" t="s">
        <v>25</v>
      </c>
      <c r="F40" s="44" t="s">
        <v>25</v>
      </c>
      <c r="G40" s="45" t="s">
        <v>76</v>
      </c>
      <c r="H40" s="45" t="s">
        <v>72</v>
      </c>
      <c r="I40" s="45">
        <f>'MERCADO TE'!$U$37</f>
        <v>0</v>
      </c>
      <c r="J40" s="15"/>
      <c r="L40" s="42">
        <f>'TE BE'!$L$40*'TE BE'!$L$49</f>
        <v>7.7550299291619755E-6</v>
      </c>
      <c r="M40" s="42">
        <f>'TE BE'!$M$40*'TE BE'!$M$49</f>
        <v>0</v>
      </c>
      <c r="N40" s="42">
        <f>'TE BE'!$N$40*'TE BE'!$N$49</f>
        <v>0</v>
      </c>
      <c r="O40" s="42">
        <f>'TE BE'!$O$40*'TE BE'!$O$49</f>
        <v>-0.54516138354800681</v>
      </c>
      <c r="P40" s="42">
        <f>'TE BE'!$P$40*'TE BE'!$P$49</f>
        <v>0</v>
      </c>
      <c r="Q40" s="42">
        <f>SUM($L$40:$P$40)</f>
        <v>-0.54515362851807769</v>
      </c>
      <c r="R40" s="42">
        <f>'TE BE'!$R$40*'TE BE'!$R$49</f>
        <v>-9.3947857463542501</v>
      </c>
      <c r="S40" s="42">
        <f>SUM($R$40:$R$40)</f>
        <v>-9.3947857463542501</v>
      </c>
      <c r="T40" s="42">
        <f>'TE BE'!$T$40*'TE BE'!$T$49</f>
        <v>0</v>
      </c>
      <c r="U40" s="42">
        <f>'TE BE'!$U$40*'TE BE'!$U$49</f>
        <v>0</v>
      </c>
      <c r="V40" s="42">
        <f>'TE BE'!$V$40*'TE BE'!$V$49</f>
        <v>0</v>
      </c>
      <c r="W40" s="42">
        <f>SUM($T$40:$V$40)</f>
        <v>0</v>
      </c>
      <c r="X40" s="42">
        <f>'TE BE'!$AB$40*'TE BE'!$X$49</f>
        <v>0</v>
      </c>
      <c r="Y40" s="42">
        <f>SUM($X$40:$X$40)</f>
        <v>0</v>
      </c>
      <c r="Z40" s="42">
        <f>'TE BE'!$Z$40*'TE BE'!$Z$49</f>
        <v>0</v>
      </c>
      <c r="AA40" s="42">
        <f>SUM($Z$40:$Z$40)</f>
        <v>0</v>
      </c>
      <c r="AB40" s="42">
        <f>SUMIF($L$4:$AA$4,"SUBTOTAL",$L$40:$AA$40)</f>
        <v>-9.9399393748723277</v>
      </c>
    </row>
    <row r="41" spans="1:28" ht="11.25" customHeight="1" x14ac:dyDescent="0.25">
      <c r="A41" s="118" t="s">
        <v>46</v>
      </c>
      <c r="B41" s="118" t="s">
        <v>75</v>
      </c>
      <c r="C41" s="118" t="s">
        <v>47</v>
      </c>
      <c r="D41" s="44" t="s">
        <v>48</v>
      </c>
      <c r="E41" s="44" t="s">
        <v>25</v>
      </c>
      <c r="F41" s="44" t="s">
        <v>25</v>
      </c>
      <c r="G41" s="45" t="s">
        <v>76</v>
      </c>
      <c r="H41" s="45" t="s">
        <v>72</v>
      </c>
      <c r="I41" s="45">
        <f>'MERCADO TE'!$U$38</f>
        <v>42496.07</v>
      </c>
      <c r="J41" s="15"/>
      <c r="L41" s="42">
        <f>'TE BE'!$L$41*'TE BE'!$L$49</f>
        <v>4.2652664610390862E-6</v>
      </c>
      <c r="M41" s="42">
        <f>'TE BE'!$M$41*'TE BE'!$M$49</f>
        <v>0</v>
      </c>
      <c r="N41" s="42">
        <f>'TE BE'!$N$41*'TE BE'!$N$49</f>
        <v>0</v>
      </c>
      <c r="O41" s="42">
        <f>'TE BE'!$O$41*'TE BE'!$O$49</f>
        <v>-0.29983876095140377</v>
      </c>
      <c r="P41" s="42">
        <f>'TE BE'!$P$41*'TE BE'!$P$49</f>
        <v>0</v>
      </c>
      <c r="Q41" s="42">
        <f>SUM($L$41:$P$41)</f>
        <v>-0.29983449568494275</v>
      </c>
      <c r="R41" s="42">
        <f>'TE BE'!$R$41*'TE BE'!$R$49</f>
        <v>-5.1671321604948384</v>
      </c>
      <c r="S41" s="42">
        <f>SUM($R$41:$R$41)</f>
        <v>-5.1671321604948384</v>
      </c>
      <c r="T41" s="42">
        <f>'TE BE'!$T$41*'TE BE'!$T$49</f>
        <v>0</v>
      </c>
      <c r="U41" s="42">
        <f>'TE BE'!$U$41*'TE BE'!$U$49</f>
        <v>0</v>
      </c>
      <c r="V41" s="42">
        <f>'TE BE'!$V$41*'TE BE'!$V$49</f>
        <v>0</v>
      </c>
      <c r="W41" s="42">
        <f>SUM($T$41:$V$41)</f>
        <v>0</v>
      </c>
      <c r="X41" s="42">
        <f>'TE BE'!$AB$41*'TE BE'!$X$49</f>
        <v>0</v>
      </c>
      <c r="Y41" s="42">
        <f>SUM($X$41:$X$41)</f>
        <v>0</v>
      </c>
      <c r="Z41" s="42">
        <f>'TE BE'!$Z$41*'TE BE'!$Z$49</f>
        <v>0</v>
      </c>
      <c r="AA41" s="42">
        <f>SUM($Z$41:$Z$41)</f>
        <v>0</v>
      </c>
      <c r="AB41" s="42">
        <f>SUMIF($L$4:$AA$4,"SUBTOTAL",$L$41:$AA$41)</f>
        <v>-5.4669666561797809</v>
      </c>
    </row>
    <row r="42" spans="1:28" ht="11.25" customHeight="1" x14ac:dyDescent="0.25">
      <c r="A42" s="118"/>
      <c r="B42" s="118"/>
      <c r="C42" s="118"/>
      <c r="D42" s="45" t="s">
        <v>90</v>
      </c>
      <c r="E42" s="45" t="s">
        <v>25</v>
      </c>
      <c r="F42" s="45" t="s">
        <v>25</v>
      </c>
      <c r="G42" s="45" t="s">
        <v>76</v>
      </c>
      <c r="H42" s="45" t="s">
        <v>72</v>
      </c>
      <c r="I42" s="45">
        <f>'MERCADO TE'!$U$39</f>
        <v>0</v>
      </c>
      <c r="J42" s="15"/>
      <c r="L42" s="42">
        <f>'TE BE'!$L$42*'TE BE'!$L$49</f>
        <v>4.6530179574971846E-6</v>
      </c>
      <c r="M42" s="42">
        <f>'TE BE'!$M$42*'TE BE'!$M$49</f>
        <v>0</v>
      </c>
      <c r="N42" s="42">
        <f>'TE BE'!$N$42*'TE BE'!$N$49</f>
        <v>0</v>
      </c>
      <c r="O42" s="42">
        <f>'TE BE'!$O$42*'TE BE'!$O$49</f>
        <v>-0.32709683012880408</v>
      </c>
      <c r="P42" s="42">
        <f>'TE BE'!$P$42*'TE BE'!$P$49</f>
        <v>0</v>
      </c>
      <c r="Q42" s="42">
        <f>SUM($L$42:$P$42)</f>
        <v>-0.32709217711084659</v>
      </c>
      <c r="R42" s="42">
        <f>'TE BE'!$R$42*'TE BE'!$R$49</f>
        <v>-5.6368714478125499</v>
      </c>
      <c r="S42" s="42">
        <f>SUM($R$42:$R$42)</f>
        <v>-5.6368714478125499</v>
      </c>
      <c r="T42" s="42">
        <f>'TE BE'!$T$42*'TE BE'!$T$49</f>
        <v>0</v>
      </c>
      <c r="U42" s="42">
        <f>'TE BE'!$U$42*'TE BE'!$U$49</f>
        <v>0</v>
      </c>
      <c r="V42" s="42">
        <f>'TE BE'!$V$42*'TE BE'!$V$49</f>
        <v>0</v>
      </c>
      <c r="W42" s="42">
        <f>SUM($T$42:$V$42)</f>
        <v>0</v>
      </c>
      <c r="X42" s="42">
        <f>'TE BE'!$AB$42*'TE BE'!$X$49</f>
        <v>0</v>
      </c>
      <c r="Y42" s="42">
        <f>SUM($X$42:$X$42)</f>
        <v>0</v>
      </c>
      <c r="Z42" s="42">
        <f>'TE BE'!$Z$42*'TE BE'!$Z$49</f>
        <v>0</v>
      </c>
      <c r="AA42" s="42">
        <f>SUM($Z$42:$Z$42)</f>
        <v>0</v>
      </c>
      <c r="AB42" s="42">
        <f>SUMIF($L$4:$AA$4,"SUBTOTAL",$L$42:$AA$42)</f>
        <v>-5.9639636249233963</v>
      </c>
    </row>
    <row r="44" spans="1:28" ht="11.25" customHeight="1" x14ac:dyDescent="0.25">
      <c r="K44" s="47" t="s">
        <v>677</v>
      </c>
      <c r="L44" s="42">
        <f t="shared" ref="L44:AB44" si="0">SUMPRODUCT($I$5:$I$42,L$5:L$42)</f>
        <v>8.8125939035649825</v>
      </c>
      <c r="M44" s="42">
        <f t="shared" si="0"/>
        <v>0</v>
      </c>
      <c r="N44" s="42">
        <f t="shared" si="0"/>
        <v>0</v>
      </c>
      <c r="O44" s="42">
        <f t="shared" si="0"/>
        <v>-619505.78256934928</v>
      </c>
      <c r="P44" s="42">
        <f t="shared" si="0"/>
        <v>0</v>
      </c>
      <c r="Q44" s="42">
        <f t="shared" si="0"/>
        <v>-619496.96997544589</v>
      </c>
      <c r="R44" s="42">
        <f t="shared" si="0"/>
        <v>-10653371.825616406</v>
      </c>
      <c r="S44" s="42">
        <f t="shared" si="0"/>
        <v>-10653371.825616406</v>
      </c>
      <c r="T44" s="42">
        <f t="shared" si="0"/>
        <v>0</v>
      </c>
      <c r="U44" s="42">
        <f t="shared" si="0"/>
        <v>0</v>
      </c>
      <c r="V44" s="42">
        <f t="shared" si="0"/>
        <v>0</v>
      </c>
      <c r="W44" s="42">
        <f t="shared" si="0"/>
        <v>0</v>
      </c>
      <c r="X44" s="42">
        <f t="shared" si="0"/>
        <v>0</v>
      </c>
      <c r="Y44" s="42">
        <f t="shared" si="0"/>
        <v>0</v>
      </c>
      <c r="Z44" s="42">
        <f t="shared" si="0"/>
        <v>0</v>
      </c>
      <c r="AA44" s="42">
        <f t="shared" si="0"/>
        <v>0</v>
      </c>
      <c r="AB44" s="42">
        <f t="shared" si="0"/>
        <v>-11272868.795591857</v>
      </c>
    </row>
    <row r="45" spans="1:28" ht="11.25" customHeight="1" x14ac:dyDescent="0.25">
      <c r="K45" s="47" t="s">
        <v>602</v>
      </c>
      <c r="L45" s="42">
        <f>CUSTOS!$D$30</f>
        <v>3803634.9554985329</v>
      </c>
      <c r="M45" s="42">
        <f>CUSTOS!$D$31</f>
        <v>0</v>
      </c>
      <c r="N45" s="42">
        <f>CUSTOS!$D$32</f>
        <v>0</v>
      </c>
      <c r="O45" s="42">
        <f>CUSTOS!$D$33</f>
        <v>1649021.7022508194</v>
      </c>
      <c r="P45" s="42">
        <f>CUSTOS!$D$34</f>
        <v>0</v>
      </c>
      <c r="Q45" s="42">
        <f>CUSTOS!$D$35</f>
        <v>5452656.657749352</v>
      </c>
      <c r="R45" s="42">
        <f>CUSTOS!$D$36</f>
        <v>388556240.29125124</v>
      </c>
      <c r="S45" s="42">
        <f>CUSTOS!$D$37</f>
        <v>388556240.29125124</v>
      </c>
      <c r="T45" s="42">
        <f>CUSTOS!$D$38</f>
        <v>0</v>
      </c>
      <c r="U45" s="42">
        <f>CUSTOS!$D$39</f>
        <v>0</v>
      </c>
      <c r="V45" s="42">
        <f>CUSTOS!$D$40</f>
        <v>0</v>
      </c>
      <c r="W45" s="42">
        <f>CUSTOS!$D$41</f>
        <v>0</v>
      </c>
      <c r="X45" s="42">
        <f>CUSTOS!$D$42</f>
        <v>0</v>
      </c>
      <c r="Y45" s="42">
        <f>CUSTOS!$D$43</f>
        <v>0</v>
      </c>
      <c r="Z45" s="42">
        <f>CUSTOS!$D$44</f>
        <v>0</v>
      </c>
      <c r="AA45" s="42">
        <f>CUSTOS!$D$45</f>
        <v>0</v>
      </c>
      <c r="AB45" s="42">
        <f>CUSTOS!$D$46</f>
        <v>394008896.9490006</v>
      </c>
    </row>
    <row r="46" spans="1:28" ht="11.25" customHeight="1" x14ac:dyDescent="0.25">
      <c r="K46" s="47" t="s">
        <v>603</v>
      </c>
      <c r="L46" s="42">
        <f>CUSTOS!$E$30</f>
        <v>8.8125939035649825</v>
      </c>
      <c r="M46" s="42">
        <f>CUSTOS!$E$31</f>
        <v>0</v>
      </c>
      <c r="N46" s="42">
        <f>CUSTOS!$E$32</f>
        <v>0</v>
      </c>
      <c r="O46" s="42">
        <f>CUSTOS!$E$33</f>
        <v>-619505.78256934951</v>
      </c>
      <c r="P46" s="42">
        <f>CUSTOS!$E$34</f>
        <v>0</v>
      </c>
      <c r="Q46" s="42">
        <f>CUSTOS!$E$35</f>
        <v>-619496.969975446</v>
      </c>
      <c r="R46" s="42">
        <f>CUSTOS!$E$36</f>
        <v>-10653371.82561641</v>
      </c>
      <c r="S46" s="42">
        <f>CUSTOS!$E$37</f>
        <v>-10653371.82561641</v>
      </c>
      <c r="T46" s="42">
        <f>CUSTOS!$E$38</f>
        <v>0</v>
      </c>
      <c r="U46" s="42">
        <f>CUSTOS!$E$39</f>
        <v>0</v>
      </c>
      <c r="V46" s="42">
        <f>CUSTOS!$E$40</f>
        <v>0</v>
      </c>
      <c r="W46" s="42">
        <f>CUSTOS!$E$41</f>
        <v>0</v>
      </c>
      <c r="X46" s="42">
        <f>CUSTOS!$E$42</f>
        <v>0</v>
      </c>
      <c r="Y46" s="42">
        <f>CUSTOS!$E$43</f>
        <v>0</v>
      </c>
      <c r="Z46" s="42">
        <f>CUSTOS!$E$44</f>
        <v>0</v>
      </c>
      <c r="AA46" s="42">
        <f>CUSTOS!$E$45</f>
        <v>0</v>
      </c>
      <c r="AB46" s="42">
        <f>CUSTOS!$E$46</f>
        <v>-11272868.795591855</v>
      </c>
    </row>
    <row r="47" spans="1:28" ht="11.25" customHeight="1" x14ac:dyDescent="0.25">
      <c r="K47" s="47" t="s">
        <v>604</v>
      </c>
      <c r="L47" s="42">
        <f>CUSTOS!$F$30</f>
        <v>0</v>
      </c>
      <c r="M47" s="42">
        <f>CUSTOS!$F$31</f>
        <v>0</v>
      </c>
      <c r="N47" s="42">
        <f>CUSTOS!$F$32</f>
        <v>0</v>
      </c>
      <c r="O47" s="42">
        <f>CUSTOS!$F$33</f>
        <v>0</v>
      </c>
      <c r="P47" s="42">
        <f>CUSTOS!$F$34</f>
        <v>0</v>
      </c>
      <c r="Q47" s="42">
        <f>CUSTOS!$F$35</f>
        <v>0</v>
      </c>
      <c r="R47" s="42">
        <f>CUSTOS!$F$36</f>
        <v>-1514051.4409483867</v>
      </c>
      <c r="S47" s="42">
        <f>CUSTOS!$F$37</f>
        <v>-1514051.4409483867</v>
      </c>
      <c r="T47" s="42">
        <f>CUSTOS!$F$38</f>
        <v>0</v>
      </c>
      <c r="U47" s="42">
        <f>CUSTOS!$F$39</f>
        <v>0</v>
      </c>
      <c r="V47" s="42">
        <f>CUSTOS!$F$40</f>
        <v>0</v>
      </c>
      <c r="W47" s="42">
        <f>CUSTOS!$F$41</f>
        <v>0</v>
      </c>
      <c r="X47" s="42">
        <f>CUSTOS!$F$42</f>
        <v>0</v>
      </c>
      <c r="Y47" s="42">
        <f>CUSTOS!$F$43</f>
        <v>0</v>
      </c>
      <c r="Z47" s="42">
        <f>CUSTOS!$F$44</f>
        <v>0</v>
      </c>
      <c r="AA47" s="42">
        <f>CUSTOS!$F$45</f>
        <v>0</v>
      </c>
      <c r="AB47" s="42">
        <f>CUSTOS!$F$46</f>
        <v>-1514051.4409483867</v>
      </c>
    </row>
    <row r="48" spans="1:28" ht="11.25" customHeight="1" x14ac:dyDescent="0.25">
      <c r="K48" s="47" t="s">
        <v>678</v>
      </c>
      <c r="L48" s="42">
        <f>'TR TE'!$L$48*L49</f>
        <v>0</v>
      </c>
      <c r="M48" s="42">
        <f>'TR TE'!$M$48*M49</f>
        <v>0</v>
      </c>
      <c r="N48" s="42">
        <f>'TR TE'!$N$48*N49</f>
        <v>0</v>
      </c>
      <c r="O48" s="42">
        <f>'TR TE'!$O$48*O49</f>
        <v>0</v>
      </c>
      <c r="P48" s="42">
        <f>'TR TE'!$P$48*P49</f>
        <v>0</v>
      </c>
      <c r="Q48" s="42"/>
      <c r="R48" s="42">
        <f>'TR TE'!$R$48*R49</f>
        <v>-1.3103059527419187</v>
      </c>
      <c r="S48" s="42"/>
      <c r="T48" s="42">
        <f>'TR TE'!$T$48*T49</f>
        <v>0</v>
      </c>
      <c r="U48" s="42">
        <f>'TR TE'!$U$48*U49</f>
        <v>0</v>
      </c>
      <c r="V48" s="42">
        <f>'TR TE'!$V$48*V49</f>
        <v>0</v>
      </c>
      <c r="W48" s="42"/>
      <c r="X48" s="42"/>
      <c r="Y48" s="42"/>
      <c r="Z48" s="42">
        <f>'TR TE'!$Z$48*Z49</f>
        <v>0</v>
      </c>
      <c r="AA48" s="42"/>
      <c r="AB48" s="42"/>
    </row>
    <row r="49" spans="11:28" ht="11.25" customHeight="1" x14ac:dyDescent="0.25">
      <c r="K49" s="47" t="s">
        <v>673</v>
      </c>
      <c r="L49" s="42">
        <f>IF(L45&lt;&gt;0,L47/L45,0)</f>
        <v>0</v>
      </c>
      <c r="M49" s="42">
        <f>IF(M45&lt;&gt;0,M47/M45,0)</f>
        <v>0</v>
      </c>
      <c r="N49" s="42">
        <f>IF(N45&lt;&gt;0,N47/N45,0)</f>
        <v>0</v>
      </c>
      <c r="O49" s="42">
        <f>IF(O45&lt;&gt;0,O47/O45,0)</f>
        <v>0</v>
      </c>
      <c r="P49" s="42">
        <f>IF(P45&lt;&gt;0,P47/P45,0)</f>
        <v>0</v>
      </c>
      <c r="Q49" s="42"/>
      <c r="R49" s="42">
        <f>IF(R45&lt;&gt;0,R47/R45,0)</f>
        <v>-3.8966082228237917E-3</v>
      </c>
      <c r="S49" s="42"/>
      <c r="T49" s="42">
        <f>IF(T45&lt;&gt;0,T47/T45,0)</f>
        <v>0</v>
      </c>
      <c r="U49" s="42">
        <f>IF(U45&lt;&gt;0,U47/U45,0)</f>
        <v>0</v>
      </c>
      <c r="V49" s="42">
        <f>IF(V45&lt;&gt;0,V47/V45,0)</f>
        <v>0</v>
      </c>
      <c r="W49" s="42"/>
      <c r="X49" s="42">
        <f>IF($AB45&lt;&gt;0,X47/($AB45-SUM('TR TE'!$L48:'TR TE'!$AA48)*0),0)</f>
        <v>0</v>
      </c>
      <c r="Y49" s="42"/>
      <c r="Z49" s="42">
        <f>IF(Z45&lt;&gt;0,Z47/Z45,0)</f>
        <v>0</v>
      </c>
      <c r="AA49" s="42"/>
      <c r="AB49" s="42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89" priority="33" operator="notEqual">
      <formula>$L$46</formula>
    </cfRule>
    <cfRule type="cellIs" dxfId="988" priority="34" operator="equal">
      <formula>$L$46</formula>
    </cfRule>
  </conditionalFormatting>
  <conditionalFormatting sqref="M44">
    <cfRule type="cellIs" dxfId="987" priority="31" operator="notEqual">
      <formula>$M$46</formula>
    </cfRule>
    <cfRule type="cellIs" dxfId="986" priority="32" operator="equal">
      <formula>$M$46</formula>
    </cfRule>
  </conditionalFormatting>
  <conditionalFormatting sqref="N44">
    <cfRule type="cellIs" dxfId="985" priority="29" operator="notEqual">
      <formula>$N$46</formula>
    </cfRule>
    <cfRule type="cellIs" dxfId="984" priority="30" operator="equal">
      <formula>$N$46</formula>
    </cfRule>
  </conditionalFormatting>
  <conditionalFormatting sqref="O44">
    <cfRule type="cellIs" dxfId="983" priority="27" operator="notEqual">
      <formula>$O$46</formula>
    </cfRule>
    <cfRule type="cellIs" dxfId="982" priority="28" operator="equal">
      <formula>$O$46</formula>
    </cfRule>
  </conditionalFormatting>
  <conditionalFormatting sqref="P44">
    <cfRule type="cellIs" dxfId="981" priority="25" operator="notEqual">
      <formula>$P$46</formula>
    </cfRule>
    <cfRule type="cellIs" dxfId="980" priority="26" operator="equal">
      <formula>$P$46</formula>
    </cfRule>
  </conditionalFormatting>
  <conditionalFormatting sqref="Q44">
    <cfRule type="cellIs" dxfId="979" priority="23" operator="notEqual">
      <formula>$Q$46</formula>
    </cfRule>
    <cfRule type="cellIs" dxfId="978" priority="24" operator="equal">
      <formula>$Q$46</formula>
    </cfRule>
  </conditionalFormatting>
  <conditionalFormatting sqref="R44">
    <cfRule type="cellIs" dxfId="977" priority="21" operator="notEqual">
      <formula>$R$46</formula>
    </cfRule>
    <cfRule type="cellIs" dxfId="976" priority="22" operator="equal">
      <formula>$R$46</formula>
    </cfRule>
  </conditionalFormatting>
  <conditionalFormatting sqref="S44">
    <cfRule type="cellIs" dxfId="975" priority="19" operator="notEqual">
      <formula>$S$46</formula>
    </cfRule>
    <cfRule type="cellIs" dxfId="974" priority="20" operator="equal">
      <formula>$S$46</formula>
    </cfRule>
  </conditionalFormatting>
  <conditionalFormatting sqref="T44">
    <cfRule type="cellIs" dxfId="973" priority="17" operator="notEqual">
      <formula>$T$46</formula>
    </cfRule>
    <cfRule type="cellIs" dxfId="972" priority="18" operator="equal">
      <formula>$T$46</formula>
    </cfRule>
  </conditionalFormatting>
  <conditionalFormatting sqref="U44">
    <cfRule type="cellIs" dxfId="971" priority="15" operator="notEqual">
      <formula>$U$46</formula>
    </cfRule>
    <cfRule type="cellIs" dxfId="970" priority="16" operator="equal">
      <formula>$U$46</formula>
    </cfRule>
  </conditionalFormatting>
  <conditionalFormatting sqref="V44">
    <cfRule type="cellIs" dxfId="969" priority="13" operator="notEqual">
      <formula>$V$46</formula>
    </cfRule>
    <cfRule type="cellIs" dxfId="968" priority="14" operator="equal">
      <formula>$V$46</formula>
    </cfRule>
  </conditionalFormatting>
  <conditionalFormatting sqref="W44">
    <cfRule type="cellIs" dxfId="967" priority="11" operator="notEqual">
      <formula>$W$46</formula>
    </cfRule>
    <cfRule type="cellIs" dxfId="966" priority="12" operator="equal">
      <formula>$W$46</formula>
    </cfRule>
  </conditionalFormatting>
  <conditionalFormatting sqref="X44">
    <cfRule type="cellIs" dxfId="965" priority="9" operator="notEqual">
      <formula>$X$46</formula>
    </cfRule>
    <cfRule type="cellIs" dxfId="964" priority="10" operator="equal">
      <formula>$X$46</formula>
    </cfRule>
  </conditionalFormatting>
  <conditionalFormatting sqref="Y44">
    <cfRule type="cellIs" dxfId="963" priority="7" operator="notEqual">
      <formula>$Y$46</formula>
    </cfRule>
    <cfRule type="cellIs" dxfId="962" priority="8" operator="equal">
      <formula>$Y$46</formula>
    </cfRule>
  </conditionalFormatting>
  <conditionalFormatting sqref="Z44">
    <cfRule type="cellIs" dxfId="961" priority="5" operator="notEqual">
      <formula>$Z$46</formula>
    </cfRule>
    <cfRule type="cellIs" dxfId="960" priority="6" operator="equal">
      <formula>$Z$46</formula>
    </cfRule>
  </conditionalFormatting>
  <conditionalFormatting sqref="AA44">
    <cfRule type="cellIs" dxfId="959" priority="3" operator="notEqual">
      <formula>$AA$46</formula>
    </cfRule>
    <cfRule type="cellIs" dxfId="958" priority="4" operator="equal">
      <formula>$AA$46</formula>
    </cfRule>
  </conditionalFormatting>
  <conditionalFormatting sqref="AB44">
    <cfRule type="cellIs" dxfId="957" priority="1" operator="notEqual">
      <formula>$AB$46</formula>
    </cfRule>
    <cfRule type="cellIs" dxfId="956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1BB-D282-4EE2-B39E-9653C5A18034}">
  <dimension ref="A1:AB50"/>
  <sheetViews>
    <sheetView showGridLines="0" topLeftCell="R30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4" width="10" style="9" bestFit="1" customWidth="1"/>
    <col min="15" max="15" width="11.140625" style="9" bestFit="1" customWidth="1"/>
    <col min="16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62</v>
      </c>
      <c r="B1" s="117" t="s">
        <v>63</v>
      </c>
      <c r="C1" s="117" t="s">
        <v>64</v>
      </c>
      <c r="D1" s="117" t="s">
        <v>65</v>
      </c>
      <c r="E1" s="117" t="s">
        <v>66</v>
      </c>
      <c r="F1" s="117" t="s">
        <v>15</v>
      </c>
      <c r="G1" s="117" t="s">
        <v>68</v>
      </c>
      <c r="H1" s="117" t="s">
        <v>69</v>
      </c>
      <c r="I1" s="117" t="s">
        <v>661</v>
      </c>
      <c r="J1" s="103"/>
      <c r="L1" s="115" t="s">
        <v>683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3"/>
      <c r="L2" s="115" t="s">
        <v>588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3"/>
      <c r="L3" s="115" t="s">
        <v>561</v>
      </c>
      <c r="M3" s="115"/>
      <c r="N3" s="115"/>
      <c r="O3" s="115"/>
      <c r="P3" s="115"/>
      <c r="Q3" s="115"/>
      <c r="R3" s="115" t="s">
        <v>592</v>
      </c>
      <c r="S3" s="115"/>
      <c r="T3" s="115" t="s">
        <v>570</v>
      </c>
      <c r="U3" s="115"/>
      <c r="V3" s="115"/>
      <c r="W3" s="115"/>
      <c r="X3" s="115" t="s">
        <v>580</v>
      </c>
      <c r="Y3" s="115"/>
      <c r="Z3" s="115" t="s">
        <v>583</v>
      </c>
      <c r="AA3" s="115"/>
      <c r="AB3" s="115" t="s">
        <v>569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3"/>
      <c r="L4" s="46" t="s">
        <v>563</v>
      </c>
      <c r="M4" s="46" t="s">
        <v>589</v>
      </c>
      <c r="N4" s="46" t="s">
        <v>590</v>
      </c>
      <c r="O4" s="46" t="s">
        <v>649</v>
      </c>
      <c r="P4" s="46" t="s">
        <v>591</v>
      </c>
      <c r="Q4" s="46" t="s">
        <v>569</v>
      </c>
      <c r="R4" s="46" t="s">
        <v>593</v>
      </c>
      <c r="S4" s="46" t="s">
        <v>569</v>
      </c>
      <c r="T4" s="46" t="s">
        <v>594</v>
      </c>
      <c r="U4" s="46" t="s">
        <v>595</v>
      </c>
      <c r="V4" s="46" t="s">
        <v>596</v>
      </c>
      <c r="W4" s="46" t="s">
        <v>569</v>
      </c>
      <c r="X4" s="46" t="s">
        <v>581</v>
      </c>
      <c r="Y4" s="46" t="s">
        <v>569</v>
      </c>
      <c r="Z4" s="46" t="s">
        <v>597</v>
      </c>
      <c r="AA4" s="46" t="s">
        <v>569</v>
      </c>
      <c r="AB4" s="116"/>
    </row>
    <row r="5" spans="1:28" ht="11.25" customHeight="1" x14ac:dyDescent="0.25">
      <c r="A5" s="118" t="s">
        <v>39</v>
      </c>
      <c r="B5" s="118" t="s">
        <v>71</v>
      </c>
      <c r="C5" s="118" t="s">
        <v>25</v>
      </c>
      <c r="D5" s="118" t="s">
        <v>25</v>
      </c>
      <c r="E5" s="118" t="s">
        <v>25</v>
      </c>
      <c r="F5" s="118" t="s">
        <v>25</v>
      </c>
      <c r="G5" s="45" t="s">
        <v>73</v>
      </c>
      <c r="H5" s="45" t="s">
        <v>72</v>
      </c>
      <c r="I5" s="45">
        <f>'MERCADO TE'!$U$2</f>
        <v>17056.542000000001</v>
      </c>
      <c r="J5" s="15"/>
      <c r="L5" s="42">
        <f>'TE BE'!$L$5*'TE BF'!$L$49</f>
        <v>0</v>
      </c>
      <c r="M5" s="42">
        <f>'TE BE'!$M$5*'TE BF'!$M$49</f>
        <v>0</v>
      </c>
      <c r="N5" s="42">
        <f>'TE BE'!$N$5*'TE BF'!$N$49</f>
        <v>0</v>
      </c>
      <c r="O5" s="42">
        <f>'TE BE'!$O$5*'TE BF'!$O$49</f>
        <v>0</v>
      </c>
      <c r="P5" s="42">
        <f>'TE BE'!$P$5*'TE BF'!$P$49</f>
        <v>0</v>
      </c>
      <c r="Q5" s="42">
        <f>SUM($L$5:$P$5)</f>
        <v>0</v>
      </c>
      <c r="R5" s="42">
        <f>'TE BE'!$R$5*'TE BF'!$R$49</f>
        <v>-2.1665215219716929</v>
      </c>
      <c r="S5" s="42">
        <f>SUM($R$5:$R$5)</f>
        <v>-2.1665215219716929</v>
      </c>
      <c r="T5" s="42">
        <f>'TE BE'!$T$5*'TE BF'!$T$49</f>
        <v>0</v>
      </c>
      <c r="U5" s="42">
        <f>'TE BE'!$U$5*'TE BF'!$U$49</f>
        <v>0</v>
      </c>
      <c r="V5" s="42">
        <f>'TE BE'!$V$5*'TE BF'!$V$49</f>
        <v>0</v>
      </c>
      <c r="W5" s="42">
        <f>SUM($T$5:$V$5)</f>
        <v>0</v>
      </c>
      <c r="X5" s="42">
        <f>'TE BE'!$AB$5*'TE BF'!$X$49</f>
        <v>0</v>
      </c>
      <c r="Y5" s="42">
        <f>SUM($X$5:$X$5)</f>
        <v>0</v>
      </c>
      <c r="Z5" s="42">
        <f>'TE BE'!$Z$5*'TE BF'!$Z$49</f>
        <v>0</v>
      </c>
      <c r="AA5" s="42">
        <f>SUM($Z$5:$Z$5)</f>
        <v>0</v>
      </c>
      <c r="AB5" s="42">
        <f>SUMIF($L$4:$AA$4,"SUBTOTAL",$L$5:$AA$5)</f>
        <v>-2.1665215219716929</v>
      </c>
    </row>
    <row r="6" spans="1:28" ht="11.25" customHeight="1" x14ac:dyDescent="0.25">
      <c r="A6" s="118"/>
      <c r="B6" s="118"/>
      <c r="C6" s="118"/>
      <c r="D6" s="118"/>
      <c r="E6" s="118"/>
      <c r="F6" s="118"/>
      <c r="G6" s="45" t="s">
        <v>74</v>
      </c>
      <c r="H6" s="45" t="s">
        <v>72</v>
      </c>
      <c r="I6" s="45">
        <f>'MERCADO TE'!$U$3</f>
        <v>229435.486</v>
      </c>
      <c r="J6" s="15"/>
      <c r="L6" s="42">
        <f>'TE BE'!$L$6*'TE BF'!$L$49</f>
        <v>0</v>
      </c>
      <c r="M6" s="42">
        <f>'TE BE'!$M$6*'TE BF'!$M$49</f>
        <v>0</v>
      </c>
      <c r="N6" s="42">
        <f>'TE BE'!$N$6*'TE BF'!$N$49</f>
        <v>0</v>
      </c>
      <c r="O6" s="42">
        <f>'TE BE'!$O$6*'TE BF'!$O$49</f>
        <v>0</v>
      </c>
      <c r="P6" s="42">
        <f>'TE BE'!$P$6*'TE BF'!$P$49</f>
        <v>0</v>
      </c>
      <c r="Q6" s="42">
        <f>SUM($L$6:$P$6)</f>
        <v>0</v>
      </c>
      <c r="R6" s="42">
        <f>'TE BE'!$R$6*'TE BF'!$R$49</f>
        <v>-1.259605536030054</v>
      </c>
      <c r="S6" s="42">
        <f>SUM($R$6:$R$6)</f>
        <v>-1.259605536030054</v>
      </c>
      <c r="T6" s="42">
        <f>'TE BE'!$T$6*'TE BF'!$T$49</f>
        <v>0</v>
      </c>
      <c r="U6" s="42">
        <f>'TE BE'!$U$6*'TE BF'!$U$49</f>
        <v>0</v>
      </c>
      <c r="V6" s="42">
        <f>'TE BE'!$V$6*'TE BF'!$V$49</f>
        <v>0</v>
      </c>
      <c r="W6" s="42">
        <f>SUM($T$6:$V$6)</f>
        <v>0</v>
      </c>
      <c r="X6" s="42">
        <f>'TE BE'!$AB$6*'TE BF'!$X$49</f>
        <v>0</v>
      </c>
      <c r="Y6" s="42">
        <f>SUM($X$6:$X$6)</f>
        <v>0</v>
      </c>
      <c r="Z6" s="42">
        <f>'TE BE'!$Z$6*'TE BF'!$Z$49</f>
        <v>0</v>
      </c>
      <c r="AA6" s="42">
        <f>SUM($Z$6:$Z$6)</f>
        <v>0</v>
      </c>
      <c r="AB6" s="42">
        <f>SUMIF($L$4:$AA$4,"SUBTOTAL",$L$6:$AA$6)</f>
        <v>-1.259605536030054</v>
      </c>
    </row>
    <row r="7" spans="1:28" ht="11.25" customHeight="1" x14ac:dyDescent="0.25">
      <c r="A7" s="118"/>
      <c r="B7" s="44" t="s">
        <v>75</v>
      </c>
      <c r="C7" s="44" t="s">
        <v>25</v>
      </c>
      <c r="D7" s="44" t="s">
        <v>25</v>
      </c>
      <c r="E7" s="44" t="s">
        <v>25</v>
      </c>
      <c r="F7" s="44" t="s">
        <v>25</v>
      </c>
      <c r="G7" s="45" t="s">
        <v>76</v>
      </c>
      <c r="H7" s="45" t="s">
        <v>72</v>
      </c>
      <c r="I7" s="45">
        <f>'MERCADO TE'!$U$4</f>
        <v>0</v>
      </c>
      <c r="J7" s="15"/>
      <c r="L7" s="42">
        <f>'TE BE'!$L$7*'TE BF'!$L$49</f>
        <v>0</v>
      </c>
      <c r="M7" s="42">
        <f>'TE BE'!$M$7*'TE BF'!$M$49</f>
        <v>0</v>
      </c>
      <c r="N7" s="42">
        <f>'TE BE'!$N$7*'TE BF'!$N$49</f>
        <v>0</v>
      </c>
      <c r="O7" s="42">
        <f>'TE BE'!$O$7*'TE BF'!$O$49</f>
        <v>0</v>
      </c>
      <c r="P7" s="42">
        <f>'TE BE'!$P$7*'TE BF'!$P$49</f>
        <v>0</v>
      </c>
      <c r="Q7" s="42">
        <f>SUM($L$7:$P$7)</f>
        <v>0</v>
      </c>
      <c r="R7" s="42">
        <f>'TE BE'!$R$7*'TE BF'!$R$49</f>
        <v>-1.3351818681918572</v>
      </c>
      <c r="S7" s="42">
        <f>SUM($R$7:$R$7)</f>
        <v>-1.3351818681918572</v>
      </c>
      <c r="T7" s="42">
        <f>'TE BE'!$T$7*'TE BF'!$T$49</f>
        <v>0</v>
      </c>
      <c r="U7" s="42">
        <f>'TE BE'!$U$7*'TE BF'!$U$49</f>
        <v>0</v>
      </c>
      <c r="V7" s="42">
        <f>'TE BE'!$V$7*'TE BF'!$V$49</f>
        <v>0</v>
      </c>
      <c r="W7" s="42">
        <f>SUM($T$7:$V$7)</f>
        <v>0</v>
      </c>
      <c r="X7" s="42">
        <f>'TE BE'!$AB$7*'TE BF'!$X$49</f>
        <v>0</v>
      </c>
      <c r="Y7" s="42">
        <f>SUM($X$7:$X$7)</f>
        <v>0</v>
      </c>
      <c r="Z7" s="42">
        <f>'TE BE'!$Z$7*'TE BF'!$Z$49</f>
        <v>0</v>
      </c>
      <c r="AA7" s="42">
        <f>SUM($Z$7:$Z$7)</f>
        <v>0</v>
      </c>
      <c r="AB7" s="42">
        <f>SUMIF($L$4:$AA$4,"SUBTOTAL",$L$7:$AA$7)</f>
        <v>-1.3351818681918572</v>
      </c>
    </row>
    <row r="8" spans="1:28" ht="11.25" customHeight="1" x14ac:dyDescent="0.25">
      <c r="A8" s="118" t="s">
        <v>22</v>
      </c>
      <c r="B8" s="118" t="s">
        <v>71</v>
      </c>
      <c r="C8" s="118" t="s">
        <v>24</v>
      </c>
      <c r="D8" s="118" t="s">
        <v>24</v>
      </c>
      <c r="E8" s="118" t="s">
        <v>25</v>
      </c>
      <c r="F8" s="118" t="s">
        <v>25</v>
      </c>
      <c r="G8" s="45" t="s">
        <v>73</v>
      </c>
      <c r="H8" s="45" t="s">
        <v>72</v>
      </c>
      <c r="I8" s="45">
        <f>'MERCADO TE'!$U$5</f>
        <v>67.227000000000004</v>
      </c>
      <c r="J8" s="15"/>
      <c r="L8" s="42">
        <f>'TE BE'!$L$8*'TE BF'!$L$49</f>
        <v>0</v>
      </c>
      <c r="M8" s="42">
        <f>'TE BE'!$M$8*'TE BF'!$M$49</f>
        <v>0</v>
      </c>
      <c r="N8" s="42">
        <f>'TE BE'!$N$8*'TE BF'!$N$49</f>
        <v>0</v>
      </c>
      <c r="O8" s="42">
        <f>'TE BE'!$O$8*'TE BF'!$O$49</f>
        <v>0</v>
      </c>
      <c r="P8" s="42">
        <f>'TE BE'!$P$8*'TE BF'!$P$49</f>
        <v>0</v>
      </c>
      <c r="Q8" s="42">
        <f>SUM($L$8:$P$8)</f>
        <v>0</v>
      </c>
      <c r="R8" s="42">
        <f>'TE BE'!$R$8*'TE BF'!$R$49</f>
        <v>-2.1665215219716929</v>
      </c>
      <c r="S8" s="42">
        <f>SUM($R$8:$R$8)</f>
        <v>-2.1665215219716929</v>
      </c>
      <c r="T8" s="42">
        <f>'TE BE'!$T$8*'TE BF'!$T$49</f>
        <v>0</v>
      </c>
      <c r="U8" s="42">
        <f>'TE BE'!$U$8*'TE BF'!$U$49</f>
        <v>0</v>
      </c>
      <c r="V8" s="42">
        <f>'TE BE'!$V$8*'TE BF'!$V$49</f>
        <v>0</v>
      </c>
      <c r="W8" s="42">
        <f>SUM($T$8:$V$8)</f>
        <v>0</v>
      </c>
      <c r="X8" s="42">
        <f>'TE BE'!$AB$8*'TE BF'!$X$49</f>
        <v>0</v>
      </c>
      <c r="Y8" s="42">
        <f>SUM($X$8:$X$8)</f>
        <v>0</v>
      </c>
      <c r="Z8" s="42">
        <f>'TE BE'!$Z$8*'TE BF'!$Z$49</f>
        <v>0</v>
      </c>
      <c r="AA8" s="42">
        <f>SUM($Z$8:$Z$8)</f>
        <v>0</v>
      </c>
      <c r="AB8" s="42">
        <f>SUMIF($L$4:$AA$4,"SUBTOTAL",$L$8:$AA$8)</f>
        <v>-2.1665215219716929</v>
      </c>
    </row>
    <row r="9" spans="1:28" ht="11.25" customHeight="1" x14ac:dyDescent="0.25">
      <c r="A9" s="118"/>
      <c r="B9" s="118"/>
      <c r="C9" s="118"/>
      <c r="D9" s="118"/>
      <c r="E9" s="118"/>
      <c r="F9" s="118"/>
      <c r="G9" s="45" t="s">
        <v>85</v>
      </c>
      <c r="H9" s="45" t="s">
        <v>72</v>
      </c>
      <c r="I9" s="45">
        <f>'MERCADO TE'!$U$6</f>
        <v>42.061</v>
      </c>
      <c r="J9" s="15"/>
      <c r="L9" s="42">
        <f>'TE BE'!$L$9*'TE BF'!$L$49</f>
        <v>0</v>
      </c>
      <c r="M9" s="42">
        <f>'TE BE'!$M$9*'TE BF'!$M$49</f>
        <v>0</v>
      </c>
      <c r="N9" s="42">
        <f>'TE BE'!$N$9*'TE BF'!$N$49</f>
        <v>0</v>
      </c>
      <c r="O9" s="42">
        <f>'TE BE'!$O$9*'TE BF'!$O$49</f>
        <v>0</v>
      </c>
      <c r="P9" s="42">
        <f>'TE BE'!$P$9*'TE BF'!$P$49</f>
        <v>0</v>
      </c>
      <c r="Q9" s="42">
        <f>SUM($L$9:$P$9)</f>
        <v>0</v>
      </c>
      <c r="R9" s="42">
        <f>'TE BE'!$R$9*'TE BF'!$R$49</f>
        <v>-1.259605536030054</v>
      </c>
      <c r="S9" s="42">
        <f>SUM($R$9:$R$9)</f>
        <v>-1.259605536030054</v>
      </c>
      <c r="T9" s="42">
        <f>'TE BE'!$T$9*'TE BF'!$T$49</f>
        <v>0</v>
      </c>
      <c r="U9" s="42">
        <f>'TE BE'!$U$9*'TE BF'!$U$49</f>
        <v>0</v>
      </c>
      <c r="V9" s="42">
        <f>'TE BE'!$V$9*'TE BF'!$V$49</f>
        <v>0</v>
      </c>
      <c r="W9" s="42">
        <f>SUM($T$9:$V$9)</f>
        <v>0</v>
      </c>
      <c r="X9" s="42">
        <f>'TE BE'!$AB$9*'TE BF'!$X$49</f>
        <v>0</v>
      </c>
      <c r="Y9" s="42">
        <f>SUM($X$9:$X$9)</f>
        <v>0</v>
      </c>
      <c r="Z9" s="42">
        <f>'TE BE'!$Z$9*'TE BF'!$Z$49</f>
        <v>0</v>
      </c>
      <c r="AA9" s="42">
        <f>SUM($Z$9:$Z$9)</f>
        <v>0</v>
      </c>
      <c r="AB9" s="42">
        <f>SUMIF($L$4:$AA$4,"SUBTOTAL",$L$9:$AA$9)</f>
        <v>-1.259605536030054</v>
      </c>
    </row>
    <row r="10" spans="1:28" ht="11.25" customHeight="1" x14ac:dyDescent="0.25">
      <c r="A10" s="118"/>
      <c r="B10" s="118"/>
      <c r="C10" s="118"/>
      <c r="D10" s="118"/>
      <c r="E10" s="118"/>
      <c r="F10" s="118"/>
      <c r="G10" s="45" t="s">
        <v>74</v>
      </c>
      <c r="H10" s="45" t="s">
        <v>72</v>
      </c>
      <c r="I10" s="45">
        <f>'MERCADO TE'!$U$7</f>
        <v>583.55899999999997</v>
      </c>
      <c r="J10" s="15"/>
      <c r="L10" s="42">
        <f>'TE BE'!$L$10*'TE BF'!$L$49</f>
        <v>0</v>
      </c>
      <c r="M10" s="42">
        <f>'TE BE'!$M$10*'TE BF'!$M$49</f>
        <v>0</v>
      </c>
      <c r="N10" s="42">
        <f>'TE BE'!$N$10*'TE BF'!$N$49</f>
        <v>0</v>
      </c>
      <c r="O10" s="42">
        <f>'TE BE'!$O$10*'TE BF'!$O$49</f>
        <v>0</v>
      </c>
      <c r="P10" s="42">
        <f>'TE BE'!$P$10*'TE BF'!$P$49</f>
        <v>0</v>
      </c>
      <c r="Q10" s="42">
        <f>SUM($L$10:$P$10)</f>
        <v>0</v>
      </c>
      <c r="R10" s="42">
        <f>'TE BE'!$R$10*'TE BF'!$R$49</f>
        <v>-1.259605536030054</v>
      </c>
      <c r="S10" s="42">
        <f>SUM($R$10:$R$10)</f>
        <v>-1.259605536030054</v>
      </c>
      <c r="T10" s="42">
        <f>'TE BE'!$T$10*'TE BF'!$T$49</f>
        <v>0</v>
      </c>
      <c r="U10" s="42">
        <f>'TE BE'!$U$10*'TE BF'!$U$49</f>
        <v>0</v>
      </c>
      <c r="V10" s="42">
        <f>'TE BE'!$V$10*'TE BF'!$V$49</f>
        <v>0</v>
      </c>
      <c r="W10" s="42">
        <f>SUM($T$10:$V$10)</f>
        <v>0</v>
      </c>
      <c r="X10" s="42">
        <f>'TE BE'!$AB$10*'TE BF'!$X$49</f>
        <v>0</v>
      </c>
      <c r="Y10" s="42">
        <f>SUM($X$10:$X$10)</f>
        <v>0</v>
      </c>
      <c r="Z10" s="42">
        <f>'TE BE'!$Z$10*'TE BF'!$Z$49</f>
        <v>0</v>
      </c>
      <c r="AA10" s="42">
        <f>SUM($Z$10:$Z$10)</f>
        <v>0</v>
      </c>
      <c r="AB10" s="42">
        <f>SUMIF($L$4:$AA$4,"SUBTOTAL",$L$10:$AA$10)</f>
        <v>-1.259605536030054</v>
      </c>
    </row>
    <row r="11" spans="1:28" ht="11.25" customHeight="1" x14ac:dyDescent="0.25">
      <c r="A11" s="118"/>
      <c r="B11" s="118" t="s">
        <v>75</v>
      </c>
      <c r="C11" s="118" t="s">
        <v>24</v>
      </c>
      <c r="D11" s="44" t="s">
        <v>24</v>
      </c>
      <c r="E11" s="44" t="s">
        <v>25</v>
      </c>
      <c r="F11" s="44" t="s">
        <v>25</v>
      </c>
      <c r="G11" s="45" t="s">
        <v>76</v>
      </c>
      <c r="H11" s="45" t="s">
        <v>72</v>
      </c>
      <c r="I11" s="45">
        <f>'MERCADO TE'!$U$8</f>
        <v>526822.44299999997</v>
      </c>
      <c r="J11" s="15"/>
      <c r="L11" s="42">
        <f>'TE BE'!$L$11*'TE BF'!$L$49</f>
        <v>0</v>
      </c>
      <c r="M11" s="42">
        <f>'TE BE'!$M$11*'TE BF'!$M$49</f>
        <v>0</v>
      </c>
      <c r="N11" s="42">
        <f>'TE BE'!$N$11*'TE BF'!$N$49</f>
        <v>0</v>
      </c>
      <c r="O11" s="42">
        <f>'TE BE'!$O$11*'TE BF'!$O$49</f>
        <v>0</v>
      </c>
      <c r="P11" s="42">
        <f>'TE BE'!$P$11*'TE BF'!$P$49</f>
        <v>0</v>
      </c>
      <c r="Q11" s="42">
        <f>SUM($L$11:$P$11)</f>
        <v>0</v>
      </c>
      <c r="R11" s="42">
        <f>'TE BE'!$R$11*'TE BF'!$R$49</f>
        <v>-1.3351818681918572</v>
      </c>
      <c r="S11" s="42">
        <f>SUM($R$11:$R$11)</f>
        <v>-1.3351818681918572</v>
      </c>
      <c r="T11" s="42">
        <f>'TE BE'!$T$11*'TE BF'!$T$49</f>
        <v>0</v>
      </c>
      <c r="U11" s="42">
        <f>'TE BE'!$U$11*'TE BF'!$U$49</f>
        <v>0</v>
      </c>
      <c r="V11" s="42">
        <f>'TE BE'!$V$11*'TE BF'!$V$49</f>
        <v>0</v>
      </c>
      <c r="W11" s="42">
        <f>SUM($T$11:$V$11)</f>
        <v>0</v>
      </c>
      <c r="X11" s="42">
        <f>'TE BE'!$AB$11*'TE BF'!$X$49</f>
        <v>0</v>
      </c>
      <c r="Y11" s="42">
        <f>SUM($X$11:$X$11)</f>
        <v>0</v>
      </c>
      <c r="Z11" s="42">
        <f>'TE BE'!$Z$11*'TE BF'!$Z$49</f>
        <v>0</v>
      </c>
      <c r="AA11" s="42">
        <f>SUM($Z$11:$Z$11)</f>
        <v>0</v>
      </c>
      <c r="AB11" s="42">
        <f>SUMIF($L$4:$AA$4,"SUBTOTAL",$L$11:$AA$11)</f>
        <v>-1.3351818681918572</v>
      </c>
    </row>
    <row r="12" spans="1:28" ht="11.25" customHeight="1" x14ac:dyDescent="0.25">
      <c r="A12" s="118"/>
      <c r="B12" s="118"/>
      <c r="C12" s="118"/>
      <c r="D12" s="44" t="s">
        <v>29</v>
      </c>
      <c r="E12" s="44" t="s">
        <v>25</v>
      </c>
      <c r="F12" s="44" t="s">
        <v>25</v>
      </c>
      <c r="G12" s="45" t="s">
        <v>76</v>
      </c>
      <c r="H12" s="45" t="s">
        <v>72</v>
      </c>
      <c r="I12" s="45">
        <f>'MERCADO TE'!$U$9</f>
        <v>10401.067000000001</v>
      </c>
      <c r="J12" s="15"/>
      <c r="L12" s="42">
        <f>'TE BE'!$L$12*'TE BF'!$L$49</f>
        <v>0</v>
      </c>
      <c r="M12" s="42">
        <f>'TE BE'!$M$12*'TE BF'!$M$49</f>
        <v>0</v>
      </c>
      <c r="N12" s="42">
        <f>'TE BE'!$N$12*'TE BF'!$N$49</f>
        <v>0</v>
      </c>
      <c r="O12" s="42">
        <f>'TE BE'!$O$12*'TE BF'!$O$49</f>
        <v>0</v>
      </c>
      <c r="P12" s="42">
        <f>'TE BE'!$P$12*'TE BF'!$P$49</f>
        <v>0</v>
      </c>
      <c r="Q12" s="42">
        <f>SUM($L$12:$P$12)</f>
        <v>0</v>
      </c>
      <c r="R12" s="42">
        <f>'TE BE'!$R$12*'TE BF'!$R$49</f>
        <v>-1.3351818681918572</v>
      </c>
      <c r="S12" s="42">
        <f>SUM($R$12:$R$12)</f>
        <v>-1.3351818681918572</v>
      </c>
      <c r="T12" s="42">
        <f>'TE BE'!$T$12*'TE BF'!$T$49</f>
        <v>0</v>
      </c>
      <c r="U12" s="42">
        <f>'TE BE'!$U$12*'TE BF'!$U$49</f>
        <v>0</v>
      </c>
      <c r="V12" s="42">
        <f>'TE BE'!$V$12*'TE BF'!$V$49</f>
        <v>0</v>
      </c>
      <c r="W12" s="42">
        <f>SUM($T$12:$V$12)</f>
        <v>0</v>
      </c>
      <c r="X12" s="42">
        <f>'TE BE'!$AB$12*'TE BF'!$X$49</f>
        <v>0</v>
      </c>
      <c r="Y12" s="42">
        <f>SUM($X$12:$X$12)</f>
        <v>0</v>
      </c>
      <c r="Z12" s="42">
        <f>'TE BE'!$Z$12*'TE BF'!$Z$49</f>
        <v>0</v>
      </c>
      <c r="AA12" s="42">
        <f>SUM($Z$12:$Z$12)</f>
        <v>0</v>
      </c>
      <c r="AB12" s="42">
        <f>SUMIF($L$4:$AA$4,"SUBTOTAL",$L$12:$AA$12)</f>
        <v>-1.3351818681918572</v>
      </c>
    </row>
    <row r="13" spans="1:28" ht="11.25" customHeight="1" x14ac:dyDescent="0.25">
      <c r="A13" s="118"/>
      <c r="B13" s="118"/>
      <c r="C13" s="118"/>
      <c r="D13" s="44" t="s">
        <v>30</v>
      </c>
      <c r="E13" s="44" t="s">
        <v>25</v>
      </c>
      <c r="F13" s="44" t="s">
        <v>25</v>
      </c>
      <c r="G13" s="45" t="s">
        <v>76</v>
      </c>
      <c r="H13" s="45" t="s">
        <v>72</v>
      </c>
      <c r="I13" s="45">
        <f>'MERCADO TE'!$U$10</f>
        <v>21577.302999999996</v>
      </c>
      <c r="J13" s="15"/>
      <c r="L13" s="42">
        <f>'TE BE'!$L$13*'TE BF'!$L$49</f>
        <v>0</v>
      </c>
      <c r="M13" s="42">
        <f>'TE BE'!$M$13*'TE BF'!$M$49</f>
        <v>0</v>
      </c>
      <c r="N13" s="42">
        <f>'TE BE'!$N$13*'TE BF'!$N$49</f>
        <v>0</v>
      </c>
      <c r="O13" s="42">
        <f>'TE BE'!$O$13*'TE BF'!$O$49</f>
        <v>0</v>
      </c>
      <c r="P13" s="42">
        <f>'TE BE'!$P$13*'TE BF'!$P$49</f>
        <v>0</v>
      </c>
      <c r="Q13" s="42">
        <f>SUM($L$13:$P$13)</f>
        <v>0</v>
      </c>
      <c r="R13" s="42">
        <f>'TE BE'!$R$13*'TE BF'!$R$49</f>
        <v>-1.3351818681918572</v>
      </c>
      <c r="S13" s="42">
        <f>SUM($R$13:$R$13)</f>
        <v>-1.3351818681918572</v>
      </c>
      <c r="T13" s="42">
        <f>'TE BE'!$T$13*'TE BF'!$T$49</f>
        <v>0</v>
      </c>
      <c r="U13" s="42">
        <f>'TE BE'!$U$13*'TE BF'!$U$49</f>
        <v>0</v>
      </c>
      <c r="V13" s="42">
        <f>'TE BE'!$V$13*'TE BF'!$V$49</f>
        <v>0</v>
      </c>
      <c r="W13" s="42">
        <f>SUM($T$13:$V$13)</f>
        <v>0</v>
      </c>
      <c r="X13" s="42">
        <f>'TE BE'!$AB$13*'TE BF'!$X$49</f>
        <v>0</v>
      </c>
      <c r="Y13" s="42">
        <f>SUM($X$13:$X$13)</f>
        <v>0</v>
      </c>
      <c r="Z13" s="42">
        <f>'TE BE'!$Z$13*'TE BF'!$Z$49</f>
        <v>0</v>
      </c>
      <c r="AA13" s="42">
        <f>SUM($Z$13:$Z$13)</f>
        <v>0</v>
      </c>
      <c r="AB13" s="42">
        <f>SUMIF($L$4:$AA$4,"SUBTOTAL",$L$13:$AA$13)</f>
        <v>-1.3351818681918572</v>
      </c>
    </row>
    <row r="14" spans="1:28" ht="11.25" customHeight="1" x14ac:dyDescent="0.25">
      <c r="A14" s="118"/>
      <c r="B14" s="118"/>
      <c r="C14" s="118"/>
      <c r="D14" s="44" t="s">
        <v>31</v>
      </c>
      <c r="E14" s="44" t="s">
        <v>25</v>
      </c>
      <c r="F14" s="44" t="s">
        <v>25</v>
      </c>
      <c r="G14" s="45" t="s">
        <v>76</v>
      </c>
      <c r="H14" s="45" t="s">
        <v>72</v>
      </c>
      <c r="I14" s="45">
        <f>'MERCADO TE'!$U$11</f>
        <v>25545.413</v>
      </c>
      <c r="J14" s="15"/>
      <c r="L14" s="42">
        <f>'TE BE'!$L$14*'TE BF'!$L$49</f>
        <v>0</v>
      </c>
      <c r="M14" s="42">
        <f>'TE BE'!$M$14*'TE BF'!$M$49</f>
        <v>0</v>
      </c>
      <c r="N14" s="42">
        <f>'TE BE'!$N$14*'TE BF'!$N$49</f>
        <v>0</v>
      </c>
      <c r="O14" s="42">
        <f>'TE BE'!$O$14*'TE BF'!$O$49</f>
        <v>0</v>
      </c>
      <c r="P14" s="42">
        <f>'TE BE'!$P$14*'TE BF'!$P$49</f>
        <v>0</v>
      </c>
      <c r="Q14" s="42">
        <f>SUM($L$14:$P$14)</f>
        <v>0</v>
      </c>
      <c r="R14" s="42">
        <f>'TE BE'!$R$14*'TE BF'!$R$49</f>
        <v>-1.3351818681918572</v>
      </c>
      <c r="S14" s="42">
        <f>SUM($R$14:$R$14)</f>
        <v>-1.3351818681918572</v>
      </c>
      <c r="T14" s="42">
        <f>'TE BE'!$T$14*'TE BF'!$T$49</f>
        <v>0</v>
      </c>
      <c r="U14" s="42">
        <f>'TE BE'!$U$14*'TE BF'!$U$49</f>
        <v>0</v>
      </c>
      <c r="V14" s="42">
        <f>'TE BE'!$V$14*'TE BF'!$V$49</f>
        <v>0</v>
      </c>
      <c r="W14" s="42">
        <f>SUM($T$14:$V$14)</f>
        <v>0</v>
      </c>
      <c r="X14" s="42">
        <f>'TE BE'!$AB$14*'TE BF'!$X$49</f>
        <v>0</v>
      </c>
      <c r="Y14" s="42">
        <f>SUM($X$14:$X$14)</f>
        <v>0</v>
      </c>
      <c r="Z14" s="42">
        <f>'TE BE'!$Z$14*'TE BF'!$Z$49</f>
        <v>0</v>
      </c>
      <c r="AA14" s="42">
        <f>SUM($Z$14:$Z$14)</f>
        <v>0</v>
      </c>
      <c r="AB14" s="42">
        <f>SUMIF($L$4:$AA$4,"SUBTOTAL",$L$14:$AA$14)</f>
        <v>-1.3351818681918572</v>
      </c>
    </row>
    <row r="15" spans="1:28" ht="11.25" customHeight="1" x14ac:dyDescent="0.25">
      <c r="A15" s="118"/>
      <c r="B15" s="118"/>
      <c r="C15" s="118"/>
      <c r="D15" s="44" t="s">
        <v>32</v>
      </c>
      <c r="E15" s="44" t="s">
        <v>25</v>
      </c>
      <c r="F15" s="44" t="s">
        <v>25</v>
      </c>
      <c r="G15" s="45" t="s">
        <v>76</v>
      </c>
      <c r="H15" s="45" t="s">
        <v>72</v>
      </c>
      <c r="I15" s="45">
        <f>'MERCADO TE'!$U$12</f>
        <v>28095.264000000006</v>
      </c>
      <c r="J15" s="15"/>
      <c r="L15" s="42">
        <f>'TE BE'!$L$15*'TE BF'!$L$49</f>
        <v>0</v>
      </c>
      <c r="M15" s="42">
        <f>'TE BE'!$M$15*'TE BF'!$M$49</f>
        <v>0</v>
      </c>
      <c r="N15" s="42">
        <f>'TE BE'!$N$15*'TE BF'!$N$49</f>
        <v>0</v>
      </c>
      <c r="O15" s="42">
        <f>'TE BE'!$O$15*'TE BF'!$O$49</f>
        <v>0</v>
      </c>
      <c r="P15" s="42">
        <f>'TE BE'!$P$15*'TE BF'!$P$49</f>
        <v>0</v>
      </c>
      <c r="Q15" s="42">
        <f>SUM($L$15:$P$15)</f>
        <v>0</v>
      </c>
      <c r="R15" s="42">
        <f>'TE BE'!$R$15*'TE BF'!$R$49</f>
        <v>-1.3351818681918572</v>
      </c>
      <c r="S15" s="42">
        <f>SUM($R$15:$R$15)</f>
        <v>-1.3351818681918572</v>
      </c>
      <c r="T15" s="42">
        <f>'TE BE'!$T$15*'TE BF'!$T$49</f>
        <v>0</v>
      </c>
      <c r="U15" s="42">
        <f>'TE BE'!$U$15*'TE BF'!$U$49</f>
        <v>0</v>
      </c>
      <c r="V15" s="42">
        <f>'TE BE'!$V$15*'TE BF'!$V$49</f>
        <v>0</v>
      </c>
      <c r="W15" s="42">
        <f>SUM($T$15:$V$15)</f>
        <v>0</v>
      </c>
      <c r="X15" s="42">
        <f>'TE BE'!$AB$15*'TE BF'!$X$49</f>
        <v>0</v>
      </c>
      <c r="Y15" s="42">
        <f>SUM($X$15:$X$15)</f>
        <v>0</v>
      </c>
      <c r="Z15" s="42">
        <f>'TE BE'!$Z$15*'TE BF'!$Z$49</f>
        <v>0</v>
      </c>
      <c r="AA15" s="42">
        <f>SUM($Z$15:$Z$15)</f>
        <v>0</v>
      </c>
      <c r="AB15" s="42">
        <f>SUMIF($L$4:$AA$4,"SUBTOTAL",$L$15:$AA$15)</f>
        <v>-1.3351818681918572</v>
      </c>
    </row>
    <row r="16" spans="1:28" ht="11.25" customHeight="1" x14ac:dyDescent="0.25">
      <c r="A16" s="118"/>
      <c r="B16" s="118" t="s">
        <v>86</v>
      </c>
      <c r="C16" s="118" t="s">
        <v>24</v>
      </c>
      <c r="D16" s="44" t="s">
        <v>24</v>
      </c>
      <c r="E16" s="44" t="s">
        <v>25</v>
      </c>
      <c r="F16" s="44" t="s">
        <v>25</v>
      </c>
      <c r="G16" s="45" t="s">
        <v>76</v>
      </c>
      <c r="H16" s="45" t="s">
        <v>72</v>
      </c>
      <c r="I16" s="45">
        <f>'MERCADO TE'!$U$13</f>
        <v>0</v>
      </c>
      <c r="J16" s="15"/>
      <c r="L16" s="42">
        <f>'TE BE'!$L$16*'TE BF'!$L$49</f>
        <v>0</v>
      </c>
      <c r="M16" s="42">
        <f>'TE BE'!$M$16*'TE BF'!$M$49</f>
        <v>0</v>
      </c>
      <c r="N16" s="42">
        <f>'TE BE'!$N$16*'TE BF'!$N$49</f>
        <v>0</v>
      </c>
      <c r="O16" s="42">
        <f>'TE BE'!$O$16*'TE BF'!$O$49</f>
        <v>0</v>
      </c>
      <c r="P16" s="42">
        <f>'TE BE'!$P$16*'TE BF'!$P$49</f>
        <v>0</v>
      </c>
      <c r="Q16" s="42">
        <f>SUM($L$16:$P$16)</f>
        <v>0</v>
      </c>
      <c r="R16" s="42">
        <f>'TE BE'!$R$16*'TE BF'!$R$49</f>
        <v>-1.3351818681918572</v>
      </c>
      <c r="S16" s="42">
        <f>SUM($R$16:$R$16)</f>
        <v>-1.3351818681918572</v>
      </c>
      <c r="T16" s="42">
        <f>'TE BE'!$T$16*'TE BF'!$T$49</f>
        <v>0</v>
      </c>
      <c r="U16" s="42">
        <f>'TE BE'!$U$16*'TE BF'!$U$49</f>
        <v>0</v>
      </c>
      <c r="V16" s="42">
        <f>'TE BE'!$V$16*'TE BF'!$V$49</f>
        <v>0</v>
      </c>
      <c r="W16" s="42">
        <f>SUM($T$16:$V$16)</f>
        <v>0</v>
      </c>
      <c r="X16" s="42">
        <f>'TE BE'!$AB$16*'TE BF'!$X$49</f>
        <v>0</v>
      </c>
      <c r="Y16" s="42">
        <f>SUM($X$16:$X$16)</f>
        <v>0</v>
      </c>
      <c r="Z16" s="42">
        <f>'TE BE'!$Z$16*'TE BF'!$Z$49</f>
        <v>0</v>
      </c>
      <c r="AA16" s="42">
        <f>SUM($Z$16:$Z$16)</f>
        <v>0</v>
      </c>
      <c r="AB16" s="42">
        <f>SUMIF($L$4:$AA$4,"SUBTOTAL",$L$16:$AA$16)</f>
        <v>-1.3351818681918572</v>
      </c>
    </row>
    <row r="17" spans="1:28" ht="11.25" customHeight="1" x14ac:dyDescent="0.25">
      <c r="A17" s="118"/>
      <c r="B17" s="118"/>
      <c r="C17" s="118"/>
      <c r="D17" s="44" t="s">
        <v>29</v>
      </c>
      <c r="E17" s="44" t="s">
        <v>25</v>
      </c>
      <c r="F17" s="44" t="s">
        <v>25</v>
      </c>
      <c r="G17" s="45" t="s">
        <v>76</v>
      </c>
      <c r="H17" s="45" t="s">
        <v>72</v>
      </c>
      <c r="I17" s="45">
        <f>'MERCADO TE'!$U$14</f>
        <v>0</v>
      </c>
      <c r="J17" s="15"/>
      <c r="L17" s="42">
        <f>'TE BE'!$L$17*'TE BF'!$L$49</f>
        <v>0</v>
      </c>
      <c r="M17" s="42">
        <f>'TE BE'!$M$17*'TE BF'!$M$49</f>
        <v>0</v>
      </c>
      <c r="N17" s="42">
        <f>'TE BE'!$N$17*'TE BF'!$N$49</f>
        <v>0</v>
      </c>
      <c r="O17" s="42">
        <f>'TE BE'!$O$17*'TE BF'!$O$49</f>
        <v>0</v>
      </c>
      <c r="P17" s="42">
        <f>'TE BE'!$P$17*'TE BF'!$P$49</f>
        <v>0</v>
      </c>
      <c r="Q17" s="42">
        <f>SUM($L$17:$P$17)</f>
        <v>0</v>
      </c>
      <c r="R17" s="42">
        <f>'TE BE'!$R$17*'TE BF'!$R$49</f>
        <v>-1.3351818681918572</v>
      </c>
      <c r="S17" s="42">
        <f>SUM($R$17:$R$17)</f>
        <v>-1.3351818681918572</v>
      </c>
      <c r="T17" s="42">
        <f>'TE BE'!$T$17*'TE BF'!$T$49</f>
        <v>0</v>
      </c>
      <c r="U17" s="42">
        <f>'TE BE'!$U$17*'TE BF'!$U$49</f>
        <v>0</v>
      </c>
      <c r="V17" s="42">
        <f>'TE BE'!$V$17*'TE BF'!$V$49</f>
        <v>0</v>
      </c>
      <c r="W17" s="42">
        <f>SUM($T$17:$V$17)</f>
        <v>0</v>
      </c>
      <c r="X17" s="42">
        <f>'TE BE'!$AB$17*'TE BF'!$X$49</f>
        <v>0</v>
      </c>
      <c r="Y17" s="42">
        <f>SUM($X$17:$X$17)</f>
        <v>0</v>
      </c>
      <c r="Z17" s="42">
        <f>'TE BE'!$Z$17*'TE BF'!$Z$49</f>
        <v>0</v>
      </c>
      <c r="AA17" s="42">
        <f>SUM($Z$17:$Z$17)</f>
        <v>0</v>
      </c>
      <c r="AB17" s="42">
        <f>SUMIF($L$4:$AA$4,"SUBTOTAL",$L$17:$AA$17)</f>
        <v>-1.3351818681918572</v>
      </c>
    </row>
    <row r="18" spans="1:28" ht="11.25" customHeight="1" x14ac:dyDescent="0.25">
      <c r="A18" s="118"/>
      <c r="B18" s="118"/>
      <c r="C18" s="118"/>
      <c r="D18" s="44" t="s">
        <v>30</v>
      </c>
      <c r="E18" s="44" t="s">
        <v>25</v>
      </c>
      <c r="F18" s="44" t="s">
        <v>25</v>
      </c>
      <c r="G18" s="45" t="s">
        <v>76</v>
      </c>
      <c r="H18" s="45" t="s">
        <v>72</v>
      </c>
      <c r="I18" s="45">
        <f>'MERCADO TE'!$U$15</f>
        <v>0</v>
      </c>
      <c r="J18" s="15"/>
      <c r="L18" s="42">
        <f>'TE BE'!$L$18*'TE BF'!$L$49</f>
        <v>0</v>
      </c>
      <c r="M18" s="42">
        <f>'TE BE'!$M$18*'TE BF'!$M$49</f>
        <v>0</v>
      </c>
      <c r="N18" s="42">
        <f>'TE BE'!$N$18*'TE BF'!$N$49</f>
        <v>0</v>
      </c>
      <c r="O18" s="42">
        <f>'TE BE'!$O$18*'TE BF'!$O$49</f>
        <v>0</v>
      </c>
      <c r="P18" s="42">
        <f>'TE BE'!$P$18*'TE BF'!$P$49</f>
        <v>0</v>
      </c>
      <c r="Q18" s="42">
        <f>SUM($L$18:$P$18)</f>
        <v>0</v>
      </c>
      <c r="R18" s="42">
        <f>'TE BE'!$R$18*'TE BF'!$R$49</f>
        <v>-1.3351818681918572</v>
      </c>
      <c r="S18" s="42">
        <f>SUM($R$18:$R$18)</f>
        <v>-1.3351818681918572</v>
      </c>
      <c r="T18" s="42">
        <f>'TE BE'!$T$18*'TE BF'!$T$49</f>
        <v>0</v>
      </c>
      <c r="U18" s="42">
        <f>'TE BE'!$U$18*'TE BF'!$U$49</f>
        <v>0</v>
      </c>
      <c r="V18" s="42">
        <f>'TE BE'!$V$18*'TE BF'!$V$49</f>
        <v>0</v>
      </c>
      <c r="W18" s="42">
        <f>SUM($T$18:$V$18)</f>
        <v>0</v>
      </c>
      <c r="X18" s="42">
        <f>'TE BE'!$AB$18*'TE BF'!$X$49</f>
        <v>0</v>
      </c>
      <c r="Y18" s="42">
        <f>SUM($X$18:$X$18)</f>
        <v>0</v>
      </c>
      <c r="Z18" s="42">
        <f>'TE BE'!$Z$18*'TE BF'!$Z$49</f>
        <v>0</v>
      </c>
      <c r="AA18" s="42">
        <f>SUM($Z$18:$Z$18)</f>
        <v>0</v>
      </c>
      <c r="AB18" s="42">
        <f>SUMIF($L$4:$AA$4,"SUBTOTAL",$L$18:$AA$18)</f>
        <v>-1.3351818681918572</v>
      </c>
    </row>
    <row r="19" spans="1:28" ht="11.25" customHeight="1" x14ac:dyDescent="0.25">
      <c r="A19" s="118"/>
      <c r="B19" s="118"/>
      <c r="C19" s="118"/>
      <c r="D19" s="44" t="s">
        <v>31</v>
      </c>
      <c r="E19" s="44" t="s">
        <v>25</v>
      </c>
      <c r="F19" s="44" t="s">
        <v>25</v>
      </c>
      <c r="G19" s="45" t="s">
        <v>76</v>
      </c>
      <c r="H19" s="45" t="s">
        <v>72</v>
      </c>
      <c r="I19" s="45">
        <f>'MERCADO TE'!$U$16</f>
        <v>0</v>
      </c>
      <c r="J19" s="15"/>
      <c r="L19" s="42">
        <f>'TE BE'!$L$19*'TE BF'!$L$49</f>
        <v>0</v>
      </c>
      <c r="M19" s="42">
        <f>'TE BE'!$M$19*'TE BF'!$M$49</f>
        <v>0</v>
      </c>
      <c r="N19" s="42">
        <f>'TE BE'!$N$19*'TE BF'!$N$49</f>
        <v>0</v>
      </c>
      <c r="O19" s="42">
        <f>'TE BE'!$O$19*'TE BF'!$O$49</f>
        <v>0</v>
      </c>
      <c r="P19" s="42">
        <f>'TE BE'!$P$19*'TE BF'!$P$49</f>
        <v>0</v>
      </c>
      <c r="Q19" s="42">
        <f>SUM($L$19:$P$19)</f>
        <v>0</v>
      </c>
      <c r="R19" s="42">
        <f>'TE BE'!$R$19*'TE BF'!$R$49</f>
        <v>-1.3351818681918572</v>
      </c>
      <c r="S19" s="42">
        <f>SUM($R$19:$R$19)</f>
        <v>-1.3351818681918572</v>
      </c>
      <c r="T19" s="42">
        <f>'TE BE'!$T$19*'TE BF'!$T$49</f>
        <v>0</v>
      </c>
      <c r="U19" s="42">
        <f>'TE BE'!$U$19*'TE BF'!$U$49</f>
        <v>0</v>
      </c>
      <c r="V19" s="42">
        <f>'TE BE'!$V$19*'TE BF'!$V$49</f>
        <v>0</v>
      </c>
      <c r="W19" s="42">
        <f>SUM($T$19:$V$19)</f>
        <v>0</v>
      </c>
      <c r="X19" s="42">
        <f>'TE BE'!$AB$19*'TE BF'!$X$49</f>
        <v>0</v>
      </c>
      <c r="Y19" s="42">
        <f>SUM($X$19:$X$19)</f>
        <v>0</v>
      </c>
      <c r="Z19" s="42">
        <f>'TE BE'!$Z$19*'TE BF'!$Z$49</f>
        <v>0</v>
      </c>
      <c r="AA19" s="42">
        <f>SUM($Z$19:$Z$19)</f>
        <v>0</v>
      </c>
      <c r="AB19" s="42">
        <f>SUMIF($L$4:$AA$4,"SUBTOTAL",$L$19:$AA$19)</f>
        <v>-1.3351818681918572</v>
      </c>
    </row>
    <row r="20" spans="1:28" ht="11.25" customHeight="1" x14ac:dyDescent="0.25">
      <c r="A20" s="118"/>
      <c r="B20" s="118"/>
      <c r="C20" s="118"/>
      <c r="D20" s="44" t="s">
        <v>32</v>
      </c>
      <c r="E20" s="44" t="s">
        <v>25</v>
      </c>
      <c r="F20" s="44" t="s">
        <v>25</v>
      </c>
      <c r="G20" s="45" t="s">
        <v>76</v>
      </c>
      <c r="H20" s="45" t="s">
        <v>72</v>
      </c>
      <c r="I20" s="45">
        <f>'MERCADO TE'!$U$17</f>
        <v>0</v>
      </c>
      <c r="J20" s="15"/>
      <c r="L20" s="42">
        <f>'TE BE'!$L$20*'TE BF'!$L$49</f>
        <v>0</v>
      </c>
      <c r="M20" s="42">
        <f>'TE BE'!$M$20*'TE BF'!$M$49</f>
        <v>0</v>
      </c>
      <c r="N20" s="42">
        <f>'TE BE'!$N$20*'TE BF'!$N$49</f>
        <v>0</v>
      </c>
      <c r="O20" s="42">
        <f>'TE BE'!$O$20*'TE BF'!$O$49</f>
        <v>0</v>
      </c>
      <c r="P20" s="42">
        <f>'TE BE'!$P$20*'TE BF'!$P$49</f>
        <v>0</v>
      </c>
      <c r="Q20" s="42">
        <f>SUM($L$20:$P$20)</f>
        <v>0</v>
      </c>
      <c r="R20" s="42">
        <f>'TE BE'!$R$20*'TE BF'!$R$49</f>
        <v>-1.3351818681918572</v>
      </c>
      <c r="S20" s="42">
        <f>SUM($R$20:$R$20)</f>
        <v>-1.3351818681918572</v>
      </c>
      <c r="T20" s="42">
        <f>'TE BE'!$T$20*'TE BF'!$T$49</f>
        <v>0</v>
      </c>
      <c r="U20" s="42">
        <f>'TE BE'!$U$20*'TE BF'!$U$49</f>
        <v>0</v>
      </c>
      <c r="V20" s="42">
        <f>'TE BE'!$V$20*'TE BF'!$V$49</f>
        <v>0</v>
      </c>
      <c r="W20" s="42">
        <f>SUM($T$20:$V$20)</f>
        <v>0</v>
      </c>
      <c r="X20" s="42">
        <f>'TE BE'!$AB$20*'TE BF'!$X$49</f>
        <v>0</v>
      </c>
      <c r="Y20" s="42">
        <f>SUM($X$20:$X$20)</f>
        <v>0</v>
      </c>
      <c r="Z20" s="42">
        <f>'TE BE'!$Z$20*'TE BF'!$Z$49</f>
        <v>0</v>
      </c>
      <c r="AA20" s="42">
        <f>SUM($Z$20:$Z$20)</f>
        <v>0</v>
      </c>
      <c r="AB20" s="42">
        <f>SUMIF($L$4:$AA$4,"SUBTOTAL",$L$20:$AA$20)</f>
        <v>-1.3351818681918572</v>
      </c>
    </row>
    <row r="21" spans="1:28" ht="11.25" customHeight="1" x14ac:dyDescent="0.25">
      <c r="A21" s="118" t="s">
        <v>43</v>
      </c>
      <c r="B21" s="118" t="s">
        <v>71</v>
      </c>
      <c r="C21" s="118" t="s">
        <v>44</v>
      </c>
      <c r="D21" s="118" t="s">
        <v>25</v>
      </c>
      <c r="E21" s="118" t="s">
        <v>25</v>
      </c>
      <c r="F21" s="118" t="s">
        <v>25</v>
      </c>
      <c r="G21" s="45" t="s">
        <v>73</v>
      </c>
      <c r="H21" s="45" t="s">
        <v>72</v>
      </c>
      <c r="I21" s="45">
        <f>'MERCADO TE'!$U$18</f>
        <v>0.112</v>
      </c>
      <c r="J21" s="15"/>
      <c r="L21" s="42">
        <f>'TE BE'!$L$21*'TE BF'!$L$49</f>
        <v>0</v>
      </c>
      <c r="M21" s="42">
        <f>'TE BE'!$M$21*'TE BF'!$M$49</f>
        <v>0</v>
      </c>
      <c r="N21" s="42">
        <f>'TE BE'!$N$21*'TE BF'!$N$49</f>
        <v>0</v>
      </c>
      <c r="O21" s="42">
        <f>'TE BE'!$O$21*'TE BF'!$O$49</f>
        <v>0</v>
      </c>
      <c r="P21" s="42">
        <f>'TE BE'!$P$21*'TE BF'!$P$49</f>
        <v>0</v>
      </c>
      <c r="Q21" s="42">
        <f>SUM($L$21:$P$21)</f>
        <v>0</v>
      </c>
      <c r="R21" s="42">
        <f>'TE BE'!$R$21*'TE BF'!$R$49</f>
        <v>-2.1665215219716929</v>
      </c>
      <c r="S21" s="42">
        <f>SUM($R$21:$R$21)</f>
        <v>-2.1665215219716929</v>
      </c>
      <c r="T21" s="42">
        <f>'TE BE'!$T$21*'TE BF'!$T$49</f>
        <v>0</v>
      </c>
      <c r="U21" s="42">
        <f>'TE BE'!$U$21*'TE BF'!$U$49</f>
        <v>0</v>
      </c>
      <c r="V21" s="42">
        <f>'TE BE'!$V$21*'TE BF'!$V$49</f>
        <v>0</v>
      </c>
      <c r="W21" s="42">
        <f>SUM($T$21:$V$21)</f>
        <v>0</v>
      </c>
      <c r="X21" s="42">
        <f>'TE BE'!$AB$21*'TE BF'!$X$49</f>
        <v>0</v>
      </c>
      <c r="Y21" s="42">
        <f>SUM($X$21:$X$21)</f>
        <v>0</v>
      </c>
      <c r="Z21" s="42">
        <f>'TE BE'!$Z$21*'TE BF'!$Z$49</f>
        <v>0</v>
      </c>
      <c r="AA21" s="42">
        <f>SUM($Z$21:$Z$21)</f>
        <v>0</v>
      </c>
      <c r="AB21" s="42">
        <f>SUMIF($L$4:$AA$4,"SUBTOTAL",$L$21:$AA$21)</f>
        <v>-2.1665215219716929</v>
      </c>
    </row>
    <row r="22" spans="1:28" ht="11.25" customHeight="1" x14ac:dyDescent="0.25">
      <c r="A22" s="118"/>
      <c r="B22" s="118"/>
      <c r="C22" s="118"/>
      <c r="D22" s="118"/>
      <c r="E22" s="118"/>
      <c r="F22" s="118"/>
      <c r="G22" s="45" t="s">
        <v>85</v>
      </c>
      <c r="H22" s="45" t="s">
        <v>72</v>
      </c>
      <c r="I22" s="45">
        <f>'MERCADO TE'!$U$19</f>
        <v>7.4999999999999997E-2</v>
      </c>
      <c r="J22" s="15"/>
      <c r="L22" s="42">
        <f>'TE BE'!$L$22*'TE BF'!$L$49</f>
        <v>0</v>
      </c>
      <c r="M22" s="42">
        <f>'TE BE'!$M$22*'TE BF'!$M$49</f>
        <v>0</v>
      </c>
      <c r="N22" s="42">
        <f>'TE BE'!$N$22*'TE BF'!$N$49</f>
        <v>0</v>
      </c>
      <c r="O22" s="42">
        <f>'TE BE'!$O$22*'TE BF'!$O$49</f>
        <v>0</v>
      </c>
      <c r="P22" s="42">
        <f>'TE BE'!$P$22*'TE BF'!$P$49</f>
        <v>0</v>
      </c>
      <c r="Q22" s="42">
        <f>SUM($L$22:$P$22)</f>
        <v>0</v>
      </c>
      <c r="R22" s="42">
        <f>'TE BE'!$R$22*'TE BF'!$R$49</f>
        <v>-1.259605536030054</v>
      </c>
      <c r="S22" s="42">
        <f>SUM($R$22:$R$22)</f>
        <v>-1.259605536030054</v>
      </c>
      <c r="T22" s="42">
        <f>'TE BE'!$T$22*'TE BF'!$T$49</f>
        <v>0</v>
      </c>
      <c r="U22" s="42">
        <f>'TE BE'!$U$22*'TE BF'!$U$49</f>
        <v>0</v>
      </c>
      <c r="V22" s="42">
        <f>'TE BE'!$V$22*'TE BF'!$V$49</f>
        <v>0</v>
      </c>
      <c r="W22" s="42">
        <f>SUM($T$22:$V$22)</f>
        <v>0</v>
      </c>
      <c r="X22" s="42">
        <f>'TE BE'!$AB$22*'TE BF'!$X$49</f>
        <v>0</v>
      </c>
      <c r="Y22" s="42">
        <f>SUM($X$22:$X$22)</f>
        <v>0</v>
      </c>
      <c r="Z22" s="42">
        <f>'TE BE'!$Z$22*'TE BF'!$Z$49</f>
        <v>0</v>
      </c>
      <c r="AA22" s="42">
        <f>SUM($Z$22:$Z$22)</f>
        <v>0</v>
      </c>
      <c r="AB22" s="42">
        <f>SUMIF($L$4:$AA$4,"SUBTOTAL",$L$22:$AA$22)</f>
        <v>-1.259605536030054</v>
      </c>
    </row>
    <row r="23" spans="1:28" ht="11.25" customHeight="1" x14ac:dyDescent="0.25">
      <c r="A23" s="118"/>
      <c r="B23" s="118"/>
      <c r="C23" s="118"/>
      <c r="D23" s="118"/>
      <c r="E23" s="118"/>
      <c r="F23" s="118"/>
      <c r="G23" s="45" t="s">
        <v>74</v>
      </c>
      <c r="H23" s="45" t="s">
        <v>72</v>
      </c>
      <c r="I23" s="45">
        <f>'MERCADO TE'!$U$20</f>
        <v>0.91599999999999993</v>
      </c>
      <c r="J23" s="15"/>
      <c r="L23" s="42">
        <f>'TE BE'!$L$23*'TE BF'!$L$49</f>
        <v>0</v>
      </c>
      <c r="M23" s="42">
        <f>'TE BE'!$M$23*'TE BF'!$M$49</f>
        <v>0</v>
      </c>
      <c r="N23" s="42">
        <f>'TE BE'!$N$23*'TE BF'!$N$49</f>
        <v>0</v>
      </c>
      <c r="O23" s="42">
        <f>'TE BE'!$O$23*'TE BF'!$O$49</f>
        <v>0</v>
      </c>
      <c r="P23" s="42">
        <f>'TE BE'!$P$23*'TE BF'!$P$49</f>
        <v>0</v>
      </c>
      <c r="Q23" s="42">
        <f>SUM($L$23:$P$23)</f>
        <v>0</v>
      </c>
      <c r="R23" s="42">
        <f>'TE BE'!$R$23*'TE BF'!$R$49</f>
        <v>-1.259605536030054</v>
      </c>
      <c r="S23" s="42">
        <f>SUM($R$23:$R$23)</f>
        <v>-1.259605536030054</v>
      </c>
      <c r="T23" s="42">
        <f>'TE BE'!$T$23*'TE BF'!$T$49</f>
        <v>0</v>
      </c>
      <c r="U23" s="42">
        <f>'TE BE'!$U$23*'TE BF'!$U$49</f>
        <v>0</v>
      </c>
      <c r="V23" s="42">
        <f>'TE BE'!$V$23*'TE BF'!$V$49</f>
        <v>0</v>
      </c>
      <c r="W23" s="42">
        <f>SUM($T$23:$V$23)</f>
        <v>0</v>
      </c>
      <c r="X23" s="42">
        <f>'TE BE'!$AB$23*'TE BF'!$X$49</f>
        <v>0</v>
      </c>
      <c r="Y23" s="42">
        <f>SUM($X$23:$X$23)</f>
        <v>0</v>
      </c>
      <c r="Z23" s="42">
        <f>'TE BE'!$Z$23*'TE BF'!$Z$49</f>
        <v>0</v>
      </c>
      <c r="AA23" s="42">
        <f>SUM($Z$23:$Z$23)</f>
        <v>0</v>
      </c>
      <c r="AB23" s="42">
        <f>SUMIF($L$4:$AA$4,"SUBTOTAL",$L$23:$AA$23)</f>
        <v>-1.259605536030054</v>
      </c>
    </row>
    <row r="24" spans="1:28" ht="11.25" customHeight="1" x14ac:dyDescent="0.25">
      <c r="A24" s="118"/>
      <c r="B24" s="44" t="s">
        <v>75</v>
      </c>
      <c r="C24" s="44" t="s">
        <v>44</v>
      </c>
      <c r="D24" s="44" t="s">
        <v>25</v>
      </c>
      <c r="E24" s="44" t="s">
        <v>25</v>
      </c>
      <c r="F24" s="44" t="s">
        <v>25</v>
      </c>
      <c r="G24" s="45" t="s">
        <v>76</v>
      </c>
      <c r="H24" s="45" t="s">
        <v>72</v>
      </c>
      <c r="I24" s="45">
        <f>'MERCADO TE'!$U$21</f>
        <v>54817.448999999993</v>
      </c>
      <c r="J24" s="15"/>
      <c r="L24" s="42">
        <f>'TE BE'!$L$24*'TE BF'!$L$49</f>
        <v>0</v>
      </c>
      <c r="M24" s="42">
        <f>'TE BE'!$M$24*'TE BF'!$M$49</f>
        <v>0</v>
      </c>
      <c r="N24" s="42">
        <f>'TE BE'!$N$24*'TE BF'!$N$49</f>
        <v>0</v>
      </c>
      <c r="O24" s="42">
        <f>'TE BE'!$O$24*'TE BF'!$O$49</f>
        <v>0</v>
      </c>
      <c r="P24" s="42">
        <f>'TE BE'!$P$24*'TE BF'!$P$49</f>
        <v>0</v>
      </c>
      <c r="Q24" s="42">
        <f>SUM($L$24:$P$24)</f>
        <v>0</v>
      </c>
      <c r="R24" s="42">
        <f>'TE BE'!$R$24*'TE BF'!$R$49</f>
        <v>-1.3351818681918572</v>
      </c>
      <c r="S24" s="42">
        <f>SUM($R$24:$R$24)</f>
        <v>-1.3351818681918572</v>
      </c>
      <c r="T24" s="42">
        <f>'TE BE'!$T$24*'TE BF'!$T$49</f>
        <v>0</v>
      </c>
      <c r="U24" s="42">
        <f>'TE BE'!$U$24*'TE BF'!$U$49</f>
        <v>0</v>
      </c>
      <c r="V24" s="42">
        <f>'TE BE'!$V$24*'TE BF'!$V$49</f>
        <v>0</v>
      </c>
      <c r="W24" s="42">
        <f>SUM($T$24:$V$24)</f>
        <v>0</v>
      </c>
      <c r="X24" s="42">
        <f>'TE BE'!$AB$24*'TE BF'!$X$49</f>
        <v>0</v>
      </c>
      <c r="Y24" s="42">
        <f>SUM($X$24:$X$24)</f>
        <v>0</v>
      </c>
      <c r="Z24" s="42">
        <f>'TE BE'!$Z$24*'TE BF'!$Z$49</f>
        <v>0</v>
      </c>
      <c r="AA24" s="42">
        <f>SUM($Z$24:$Z$24)</f>
        <v>0</v>
      </c>
      <c r="AB24" s="42">
        <f>SUMIF($L$4:$AA$4,"SUBTOTAL",$L$24:$AA$24)</f>
        <v>-1.3351818681918572</v>
      </c>
    </row>
    <row r="25" spans="1:28" ht="11.25" customHeight="1" x14ac:dyDescent="0.25">
      <c r="A25" s="118"/>
      <c r="B25" s="118" t="s">
        <v>71</v>
      </c>
      <c r="C25" s="118" t="s">
        <v>44</v>
      </c>
      <c r="D25" s="118" t="s">
        <v>88</v>
      </c>
      <c r="E25" s="118" t="s">
        <v>25</v>
      </c>
      <c r="F25" s="118" t="s">
        <v>25</v>
      </c>
      <c r="G25" s="45" t="s">
        <v>73</v>
      </c>
      <c r="H25" s="45" t="s">
        <v>72</v>
      </c>
      <c r="I25" s="45">
        <f>'MERCADO TE'!$U$22</f>
        <v>0</v>
      </c>
      <c r="J25" s="15"/>
      <c r="L25" s="42">
        <f>'TE BE'!$L$25*'TE BF'!$L$49</f>
        <v>0</v>
      </c>
      <c r="M25" s="42">
        <f>'TE BE'!$M$25*'TE BF'!$M$49</f>
        <v>0</v>
      </c>
      <c r="N25" s="42">
        <f>'TE BE'!$N$25*'TE BF'!$N$49</f>
        <v>0</v>
      </c>
      <c r="O25" s="42">
        <f>'TE BE'!$O$25*'TE BF'!$O$49</f>
        <v>0</v>
      </c>
      <c r="P25" s="42">
        <f>'TE BE'!$P$25*'TE BF'!$P$49</f>
        <v>0</v>
      </c>
      <c r="Q25" s="42">
        <f>SUM($L$25:$P$25)</f>
        <v>0</v>
      </c>
      <c r="R25" s="42">
        <f>'TE BE'!$R$25*'TE BF'!$R$49</f>
        <v>-2.1665215219716929</v>
      </c>
      <c r="S25" s="42">
        <f>SUM($R$25:$R$25)</f>
        <v>-2.1665215219716929</v>
      </c>
      <c r="T25" s="42">
        <f>'TE BE'!$T$25*'TE BF'!$T$49</f>
        <v>0</v>
      </c>
      <c r="U25" s="42">
        <f>'TE BE'!$U$25*'TE BF'!$U$49</f>
        <v>0</v>
      </c>
      <c r="V25" s="42">
        <f>'TE BE'!$V$25*'TE BF'!$V$49</f>
        <v>0</v>
      </c>
      <c r="W25" s="42">
        <f>SUM($T$25:$V$25)</f>
        <v>0</v>
      </c>
      <c r="X25" s="42">
        <f>'TE BE'!$AB$25*'TE BF'!$X$49</f>
        <v>0</v>
      </c>
      <c r="Y25" s="42">
        <f>SUM($X$25:$X$25)</f>
        <v>0</v>
      </c>
      <c r="Z25" s="42">
        <f>'TE BE'!$Z$25*'TE BF'!$Z$49</f>
        <v>0</v>
      </c>
      <c r="AA25" s="42">
        <f>SUM($Z$25:$Z$25)</f>
        <v>0</v>
      </c>
      <c r="AB25" s="42">
        <f>SUMIF($L$4:$AA$4,"SUBTOTAL",$L$25:$AA$25)</f>
        <v>-2.1665215219716929</v>
      </c>
    </row>
    <row r="26" spans="1:28" ht="11.25" customHeight="1" x14ac:dyDescent="0.25">
      <c r="A26" s="118"/>
      <c r="B26" s="118"/>
      <c r="C26" s="118"/>
      <c r="D26" s="118"/>
      <c r="E26" s="118"/>
      <c r="F26" s="118"/>
      <c r="G26" s="45" t="s">
        <v>85</v>
      </c>
      <c r="H26" s="45" t="s">
        <v>72</v>
      </c>
      <c r="I26" s="45">
        <f>'MERCADO TE'!$U$23</f>
        <v>0</v>
      </c>
      <c r="J26" s="15"/>
      <c r="L26" s="42">
        <f>'TE BE'!$L$26*'TE BF'!$L$49</f>
        <v>0</v>
      </c>
      <c r="M26" s="42">
        <f>'TE BE'!$M$26*'TE BF'!$M$49</f>
        <v>0</v>
      </c>
      <c r="N26" s="42">
        <f>'TE BE'!$N$26*'TE BF'!$N$49</f>
        <v>0</v>
      </c>
      <c r="O26" s="42">
        <f>'TE BE'!$O$26*'TE BF'!$O$49</f>
        <v>0</v>
      </c>
      <c r="P26" s="42">
        <f>'TE BE'!$P$26*'TE BF'!$P$49</f>
        <v>0</v>
      </c>
      <c r="Q26" s="42">
        <f>SUM($L$26:$P$26)</f>
        <v>0</v>
      </c>
      <c r="R26" s="42">
        <f>'TE BE'!$R$26*'TE BF'!$R$49</f>
        <v>-1.259605536030054</v>
      </c>
      <c r="S26" s="42">
        <f>SUM($R$26:$R$26)</f>
        <v>-1.259605536030054</v>
      </c>
      <c r="T26" s="42">
        <f>'TE BE'!$T$26*'TE BF'!$T$49</f>
        <v>0</v>
      </c>
      <c r="U26" s="42">
        <f>'TE BE'!$U$26*'TE BF'!$U$49</f>
        <v>0</v>
      </c>
      <c r="V26" s="42">
        <f>'TE BE'!$V$26*'TE BF'!$V$49</f>
        <v>0</v>
      </c>
      <c r="W26" s="42">
        <f>SUM($T$26:$V$26)</f>
        <v>0</v>
      </c>
      <c r="X26" s="42">
        <f>'TE BE'!$AB$26*'TE BF'!$X$49</f>
        <v>0</v>
      </c>
      <c r="Y26" s="42">
        <f>SUM($X$26:$X$26)</f>
        <v>0</v>
      </c>
      <c r="Z26" s="42">
        <f>'TE BE'!$Z$26*'TE BF'!$Z$49</f>
        <v>0</v>
      </c>
      <c r="AA26" s="42">
        <f>SUM($Z$26:$Z$26)</f>
        <v>0</v>
      </c>
      <c r="AB26" s="42">
        <f>SUMIF($L$4:$AA$4,"SUBTOTAL",$L$26:$AA$26)</f>
        <v>-1.259605536030054</v>
      </c>
    </row>
    <row r="27" spans="1:28" ht="11.25" customHeight="1" x14ac:dyDescent="0.25">
      <c r="A27" s="118"/>
      <c r="B27" s="118"/>
      <c r="C27" s="118"/>
      <c r="D27" s="118"/>
      <c r="E27" s="118"/>
      <c r="F27" s="118"/>
      <c r="G27" s="45" t="s">
        <v>74</v>
      </c>
      <c r="H27" s="45" t="s">
        <v>72</v>
      </c>
      <c r="I27" s="45">
        <f>'MERCADO TE'!$U$24</f>
        <v>0</v>
      </c>
      <c r="J27" s="15"/>
      <c r="L27" s="42">
        <f>'TE BE'!$L$27*'TE BF'!$L$49</f>
        <v>0</v>
      </c>
      <c r="M27" s="42">
        <f>'TE BE'!$M$27*'TE BF'!$M$49</f>
        <v>0</v>
      </c>
      <c r="N27" s="42">
        <f>'TE BE'!$N$27*'TE BF'!$N$49</f>
        <v>0</v>
      </c>
      <c r="O27" s="42">
        <f>'TE BE'!$O$27*'TE BF'!$O$49</f>
        <v>0</v>
      </c>
      <c r="P27" s="42">
        <f>'TE BE'!$P$27*'TE BF'!$P$49</f>
        <v>0</v>
      </c>
      <c r="Q27" s="42">
        <f>SUM($L$27:$P$27)</f>
        <v>0</v>
      </c>
      <c r="R27" s="42">
        <f>'TE BE'!$R$27*'TE BF'!$R$49</f>
        <v>-1.259605536030054</v>
      </c>
      <c r="S27" s="42">
        <f>SUM($R$27:$R$27)</f>
        <v>-1.259605536030054</v>
      </c>
      <c r="T27" s="42">
        <f>'TE BE'!$T$27*'TE BF'!$T$49</f>
        <v>0</v>
      </c>
      <c r="U27" s="42">
        <f>'TE BE'!$U$27*'TE BF'!$U$49</f>
        <v>0</v>
      </c>
      <c r="V27" s="42">
        <f>'TE BE'!$V$27*'TE BF'!$V$49</f>
        <v>0</v>
      </c>
      <c r="W27" s="42">
        <f>SUM($T$27:$V$27)</f>
        <v>0</v>
      </c>
      <c r="X27" s="42">
        <f>'TE BE'!$AB$27*'TE BF'!$X$49</f>
        <v>0</v>
      </c>
      <c r="Y27" s="42">
        <f>SUM($X$27:$X$27)</f>
        <v>0</v>
      </c>
      <c r="Z27" s="42">
        <f>'TE BE'!$Z$27*'TE BF'!$Z$49</f>
        <v>0</v>
      </c>
      <c r="AA27" s="42">
        <f>SUM($Z$27:$Z$27)</f>
        <v>0</v>
      </c>
      <c r="AB27" s="42">
        <f>SUMIF($L$4:$AA$4,"SUBTOTAL",$L$27:$AA$27)</f>
        <v>-1.259605536030054</v>
      </c>
    </row>
    <row r="28" spans="1:28" ht="11.25" customHeight="1" x14ac:dyDescent="0.25">
      <c r="A28" s="118"/>
      <c r="B28" s="44" t="s">
        <v>75</v>
      </c>
      <c r="C28" s="44" t="s">
        <v>44</v>
      </c>
      <c r="D28" s="44" t="s">
        <v>88</v>
      </c>
      <c r="E28" s="44" t="s">
        <v>25</v>
      </c>
      <c r="F28" s="44" t="s">
        <v>25</v>
      </c>
      <c r="G28" s="45" t="s">
        <v>76</v>
      </c>
      <c r="H28" s="45" t="s">
        <v>72</v>
      </c>
      <c r="I28" s="45">
        <f>'MERCADO TE'!$U$25</f>
        <v>0</v>
      </c>
      <c r="J28" s="15"/>
      <c r="L28" s="42">
        <f>'TE BE'!$L$28*'TE BF'!$L$49</f>
        <v>0</v>
      </c>
      <c r="M28" s="42">
        <f>'TE BE'!$M$28*'TE BF'!$M$49</f>
        <v>0</v>
      </c>
      <c r="N28" s="42">
        <f>'TE BE'!$N$28*'TE BF'!$N$49</f>
        <v>0</v>
      </c>
      <c r="O28" s="42">
        <f>'TE BE'!$O$28*'TE BF'!$O$49</f>
        <v>0</v>
      </c>
      <c r="P28" s="42">
        <f>'TE BE'!$P$28*'TE BF'!$P$49</f>
        <v>0</v>
      </c>
      <c r="Q28" s="42">
        <f>SUM($L$28:$P$28)</f>
        <v>0</v>
      </c>
      <c r="R28" s="42">
        <f>'TE BE'!$R$28*'TE BF'!$R$49</f>
        <v>-1.3351818681918572</v>
      </c>
      <c r="S28" s="42">
        <f>SUM($R$28:$R$28)</f>
        <v>-1.3351818681918572</v>
      </c>
      <c r="T28" s="42">
        <f>'TE BE'!$T$28*'TE BF'!$T$49</f>
        <v>0</v>
      </c>
      <c r="U28" s="42">
        <f>'TE BE'!$U$28*'TE BF'!$U$49</f>
        <v>0</v>
      </c>
      <c r="V28" s="42">
        <f>'TE BE'!$V$28*'TE BF'!$V$49</f>
        <v>0</v>
      </c>
      <c r="W28" s="42">
        <f>SUM($T$28:$V$28)</f>
        <v>0</v>
      </c>
      <c r="X28" s="42">
        <f>'TE BE'!$AB$28*'TE BF'!$X$49</f>
        <v>0</v>
      </c>
      <c r="Y28" s="42">
        <f>SUM($X$28:$X$28)</f>
        <v>0</v>
      </c>
      <c r="Z28" s="42">
        <f>'TE BE'!$Z$28*'TE BF'!$Z$49</f>
        <v>0</v>
      </c>
      <c r="AA28" s="42">
        <f>SUM($Z$28:$Z$28)</f>
        <v>0</v>
      </c>
      <c r="AB28" s="42">
        <f>SUMIF($L$4:$AA$4,"SUBTOTAL",$L$28:$AA$28)</f>
        <v>-1.3351818681918572</v>
      </c>
    </row>
    <row r="29" spans="1:28" ht="11.25" customHeight="1" x14ac:dyDescent="0.25">
      <c r="A29" s="118"/>
      <c r="B29" s="118" t="s">
        <v>71</v>
      </c>
      <c r="C29" s="118" t="s">
        <v>44</v>
      </c>
      <c r="D29" s="118" t="s">
        <v>89</v>
      </c>
      <c r="E29" s="118" t="s">
        <v>25</v>
      </c>
      <c r="F29" s="118" t="s">
        <v>25</v>
      </c>
      <c r="G29" s="45" t="s">
        <v>73</v>
      </c>
      <c r="H29" s="45" t="s">
        <v>72</v>
      </c>
      <c r="I29" s="45">
        <f>'MERCADO TE'!$U$26</f>
        <v>0</v>
      </c>
      <c r="J29" s="15"/>
      <c r="L29" s="42">
        <f>'TE BE'!$L$29*'TE BF'!$L$49</f>
        <v>0</v>
      </c>
      <c r="M29" s="42">
        <f>'TE BE'!$M$29*'TE BF'!$M$49</f>
        <v>0</v>
      </c>
      <c r="N29" s="42">
        <f>'TE BE'!$N$29*'TE BF'!$N$49</f>
        <v>0</v>
      </c>
      <c r="O29" s="42">
        <f>'TE BE'!$O$29*'TE BF'!$O$49</f>
        <v>0</v>
      </c>
      <c r="P29" s="42">
        <f>'TE BE'!$P$29*'TE BF'!$P$49</f>
        <v>0</v>
      </c>
      <c r="Q29" s="42">
        <f>SUM($L$29:$P$29)</f>
        <v>0</v>
      </c>
      <c r="R29" s="42">
        <f>'TE BE'!$R$29*'TE BF'!$R$49</f>
        <v>-2.1665215219716929</v>
      </c>
      <c r="S29" s="42">
        <f>SUM($R$29:$R$29)</f>
        <v>-2.1665215219716929</v>
      </c>
      <c r="T29" s="42">
        <f>'TE BE'!$T$29*'TE BF'!$T$49</f>
        <v>0</v>
      </c>
      <c r="U29" s="42">
        <f>'TE BE'!$U$29*'TE BF'!$U$49</f>
        <v>0</v>
      </c>
      <c r="V29" s="42">
        <f>'TE BE'!$V$29*'TE BF'!$V$49</f>
        <v>0</v>
      </c>
      <c r="W29" s="42">
        <f>SUM($T$29:$V$29)</f>
        <v>0</v>
      </c>
      <c r="X29" s="42">
        <f>'TE BE'!$AB$29*'TE BF'!$X$49</f>
        <v>0</v>
      </c>
      <c r="Y29" s="42">
        <f>SUM($X$29:$X$29)</f>
        <v>0</v>
      </c>
      <c r="Z29" s="42">
        <f>'TE BE'!$Z$29*'TE BF'!$Z$49</f>
        <v>0</v>
      </c>
      <c r="AA29" s="42">
        <f>SUM($Z$29:$Z$29)</f>
        <v>0</v>
      </c>
      <c r="AB29" s="42">
        <f>SUMIF($L$4:$AA$4,"SUBTOTAL",$L$29:$AA$29)</f>
        <v>-2.1665215219716929</v>
      </c>
    </row>
    <row r="30" spans="1:28" ht="11.25" customHeight="1" x14ac:dyDescent="0.25">
      <c r="A30" s="118"/>
      <c r="B30" s="118"/>
      <c r="C30" s="118"/>
      <c r="D30" s="118"/>
      <c r="E30" s="118"/>
      <c r="F30" s="118"/>
      <c r="G30" s="45" t="s">
        <v>85</v>
      </c>
      <c r="H30" s="45" t="s">
        <v>72</v>
      </c>
      <c r="I30" s="45">
        <f>'MERCADO TE'!$U$27</f>
        <v>0</v>
      </c>
      <c r="J30" s="15"/>
      <c r="L30" s="42">
        <f>'TE BE'!$L$30*'TE BF'!$L$49</f>
        <v>0</v>
      </c>
      <c r="M30" s="42">
        <f>'TE BE'!$M$30*'TE BF'!$M$49</f>
        <v>0</v>
      </c>
      <c r="N30" s="42">
        <f>'TE BE'!$N$30*'TE BF'!$N$49</f>
        <v>0</v>
      </c>
      <c r="O30" s="42">
        <f>'TE BE'!$O$30*'TE BF'!$O$49</f>
        <v>0</v>
      </c>
      <c r="P30" s="42">
        <f>'TE BE'!$P$30*'TE BF'!$P$49</f>
        <v>0</v>
      </c>
      <c r="Q30" s="42">
        <f>SUM($L$30:$P$30)</f>
        <v>0</v>
      </c>
      <c r="R30" s="42">
        <f>'TE BE'!$R$30*'TE BF'!$R$49</f>
        <v>-1.259605536030054</v>
      </c>
      <c r="S30" s="42">
        <f>SUM($R$30:$R$30)</f>
        <v>-1.259605536030054</v>
      </c>
      <c r="T30" s="42">
        <f>'TE BE'!$T$30*'TE BF'!$T$49</f>
        <v>0</v>
      </c>
      <c r="U30" s="42">
        <f>'TE BE'!$U$30*'TE BF'!$U$49</f>
        <v>0</v>
      </c>
      <c r="V30" s="42">
        <f>'TE BE'!$V$30*'TE BF'!$V$49</f>
        <v>0</v>
      </c>
      <c r="W30" s="42">
        <f>SUM($T$30:$V$30)</f>
        <v>0</v>
      </c>
      <c r="X30" s="42">
        <f>'TE BE'!$AB$30*'TE BF'!$X$49</f>
        <v>0</v>
      </c>
      <c r="Y30" s="42">
        <f>SUM($X$30:$X$30)</f>
        <v>0</v>
      </c>
      <c r="Z30" s="42">
        <f>'TE BE'!$Z$30*'TE BF'!$Z$49</f>
        <v>0</v>
      </c>
      <c r="AA30" s="42">
        <f>SUM($Z$30:$Z$30)</f>
        <v>0</v>
      </c>
      <c r="AB30" s="42">
        <f>SUMIF($L$4:$AA$4,"SUBTOTAL",$L$30:$AA$30)</f>
        <v>-1.259605536030054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45" t="s">
        <v>74</v>
      </c>
      <c r="H31" s="45" t="s">
        <v>72</v>
      </c>
      <c r="I31" s="45">
        <f>'MERCADO TE'!$U$28</f>
        <v>0</v>
      </c>
      <c r="J31" s="15"/>
      <c r="L31" s="42">
        <f>'TE BE'!$L$31*'TE BF'!$L$49</f>
        <v>0</v>
      </c>
      <c r="M31" s="42">
        <f>'TE BE'!$M$31*'TE BF'!$M$49</f>
        <v>0</v>
      </c>
      <c r="N31" s="42">
        <f>'TE BE'!$N$31*'TE BF'!$N$49</f>
        <v>0</v>
      </c>
      <c r="O31" s="42">
        <f>'TE BE'!$O$31*'TE BF'!$O$49</f>
        <v>0</v>
      </c>
      <c r="P31" s="42">
        <f>'TE BE'!$P$31*'TE BF'!$P$49</f>
        <v>0</v>
      </c>
      <c r="Q31" s="42">
        <f>SUM($L$31:$P$31)</f>
        <v>0</v>
      </c>
      <c r="R31" s="42">
        <f>'TE BE'!$R$31*'TE BF'!$R$49</f>
        <v>-1.259605536030054</v>
      </c>
      <c r="S31" s="42">
        <f>SUM($R$31:$R$31)</f>
        <v>-1.259605536030054</v>
      </c>
      <c r="T31" s="42">
        <f>'TE BE'!$T$31*'TE BF'!$T$49</f>
        <v>0</v>
      </c>
      <c r="U31" s="42">
        <f>'TE BE'!$U$31*'TE BF'!$U$49</f>
        <v>0</v>
      </c>
      <c r="V31" s="42">
        <f>'TE BE'!$V$31*'TE BF'!$V$49</f>
        <v>0</v>
      </c>
      <c r="W31" s="42">
        <f>SUM($T$31:$V$31)</f>
        <v>0</v>
      </c>
      <c r="X31" s="42">
        <f>'TE BE'!$AB$31*'TE BF'!$X$49</f>
        <v>0</v>
      </c>
      <c r="Y31" s="42">
        <f>SUM($X$31:$X$31)</f>
        <v>0</v>
      </c>
      <c r="Z31" s="42">
        <f>'TE BE'!$Z$31*'TE BF'!$Z$49</f>
        <v>0</v>
      </c>
      <c r="AA31" s="42">
        <f>SUM($Z$31:$Z$31)</f>
        <v>0</v>
      </c>
      <c r="AB31" s="42">
        <f>SUMIF($L$4:$AA$4,"SUBTOTAL",$L$31:$AA$31)</f>
        <v>-1.259605536030054</v>
      </c>
    </row>
    <row r="32" spans="1:28" ht="11.25" customHeight="1" x14ac:dyDescent="0.25">
      <c r="A32" s="118"/>
      <c r="B32" s="44" t="s">
        <v>75</v>
      </c>
      <c r="C32" s="44" t="s">
        <v>44</v>
      </c>
      <c r="D32" s="44" t="s">
        <v>89</v>
      </c>
      <c r="E32" s="44" t="s">
        <v>25</v>
      </c>
      <c r="F32" s="44" t="s">
        <v>25</v>
      </c>
      <c r="G32" s="45" t="s">
        <v>76</v>
      </c>
      <c r="H32" s="45" t="s">
        <v>72</v>
      </c>
      <c r="I32" s="45">
        <f>'MERCADO TE'!$U$29</f>
        <v>0</v>
      </c>
      <c r="J32" s="15"/>
      <c r="L32" s="42">
        <f>'TE BE'!$L$32*'TE BF'!$L$49</f>
        <v>0</v>
      </c>
      <c r="M32" s="42">
        <f>'TE BE'!$M$32*'TE BF'!$M$49</f>
        <v>0</v>
      </c>
      <c r="N32" s="42">
        <f>'TE BE'!$N$32*'TE BF'!$N$49</f>
        <v>0</v>
      </c>
      <c r="O32" s="42">
        <f>'TE BE'!$O$32*'TE BF'!$O$49</f>
        <v>0</v>
      </c>
      <c r="P32" s="42">
        <f>'TE BE'!$P$32*'TE BF'!$P$49</f>
        <v>0</v>
      </c>
      <c r="Q32" s="42">
        <f>SUM($L$32:$P$32)</f>
        <v>0</v>
      </c>
      <c r="R32" s="42">
        <f>'TE BE'!$R$32*'TE BF'!$R$49</f>
        <v>-1.3351818681918572</v>
      </c>
      <c r="S32" s="42">
        <f>SUM($R$32:$R$32)</f>
        <v>-1.3351818681918572</v>
      </c>
      <c r="T32" s="42">
        <f>'TE BE'!$T$32*'TE BF'!$T$49</f>
        <v>0</v>
      </c>
      <c r="U32" s="42">
        <f>'TE BE'!$U$32*'TE BF'!$U$49</f>
        <v>0</v>
      </c>
      <c r="V32" s="42">
        <f>'TE BE'!$V$32*'TE BF'!$V$49</f>
        <v>0</v>
      </c>
      <c r="W32" s="42">
        <f>SUM($T$32:$V$32)</f>
        <v>0</v>
      </c>
      <c r="X32" s="42">
        <f>'TE BE'!$AB$32*'TE BF'!$X$49</f>
        <v>0</v>
      </c>
      <c r="Y32" s="42">
        <f>SUM($X$32:$X$32)</f>
        <v>0</v>
      </c>
      <c r="Z32" s="42">
        <f>'TE BE'!$Z$32*'TE BF'!$Z$49</f>
        <v>0</v>
      </c>
      <c r="AA32" s="42">
        <f>SUM($Z$32:$Z$32)</f>
        <v>0</v>
      </c>
      <c r="AB32" s="42">
        <f>SUMIF($L$4:$AA$4,"SUBTOTAL",$L$32:$AA$32)</f>
        <v>-1.3351818681918572</v>
      </c>
    </row>
    <row r="33" spans="1:28" ht="11.25" customHeight="1" x14ac:dyDescent="0.25">
      <c r="A33" s="118"/>
      <c r="B33" s="118" t="s">
        <v>86</v>
      </c>
      <c r="C33" s="118" t="s">
        <v>44</v>
      </c>
      <c r="D33" s="44" t="s">
        <v>25</v>
      </c>
      <c r="E33" s="44" t="s">
        <v>25</v>
      </c>
      <c r="F33" s="44" t="s">
        <v>25</v>
      </c>
      <c r="G33" s="45" t="s">
        <v>76</v>
      </c>
      <c r="H33" s="45" t="s">
        <v>72</v>
      </c>
      <c r="I33" s="45">
        <f>'MERCADO TE'!$U$30</f>
        <v>0</v>
      </c>
      <c r="J33" s="15"/>
      <c r="L33" s="42">
        <f>'TE BE'!$L$33*'TE BF'!$L$49</f>
        <v>0</v>
      </c>
      <c r="M33" s="42">
        <f>'TE BE'!$M$33*'TE BF'!$M$49</f>
        <v>0</v>
      </c>
      <c r="N33" s="42">
        <f>'TE BE'!$N$33*'TE BF'!$N$49</f>
        <v>0</v>
      </c>
      <c r="O33" s="42">
        <f>'TE BE'!$O$33*'TE BF'!$O$49</f>
        <v>0</v>
      </c>
      <c r="P33" s="42">
        <f>'TE BE'!$P$33*'TE BF'!$P$49</f>
        <v>0</v>
      </c>
      <c r="Q33" s="42">
        <f>SUM($L$33:$P$33)</f>
        <v>0</v>
      </c>
      <c r="R33" s="42">
        <f>'TE BE'!$R$33*'TE BF'!$R$49</f>
        <v>-1.3351818681918572</v>
      </c>
      <c r="S33" s="42">
        <f>SUM($R$33:$R$33)</f>
        <v>-1.3351818681918572</v>
      </c>
      <c r="T33" s="42">
        <f>'TE BE'!$T$33*'TE BF'!$T$49</f>
        <v>0</v>
      </c>
      <c r="U33" s="42">
        <f>'TE BE'!$U$33*'TE BF'!$U$49</f>
        <v>0</v>
      </c>
      <c r="V33" s="42">
        <f>'TE BE'!$V$33*'TE BF'!$V$49</f>
        <v>0</v>
      </c>
      <c r="W33" s="42">
        <f>SUM($T$33:$V$33)</f>
        <v>0</v>
      </c>
      <c r="X33" s="42">
        <f>'TE BE'!$AB$33*'TE BF'!$X$49</f>
        <v>0</v>
      </c>
      <c r="Y33" s="42">
        <f>SUM($X$33:$X$33)</f>
        <v>0</v>
      </c>
      <c r="Z33" s="42">
        <f>'TE BE'!$Z$33*'TE BF'!$Z$49</f>
        <v>0</v>
      </c>
      <c r="AA33" s="42">
        <f>SUM($Z$33:$Z$33)</f>
        <v>0</v>
      </c>
      <c r="AB33" s="42">
        <f>SUMIF($L$4:$AA$4,"SUBTOTAL",$L$33:$AA$33)</f>
        <v>-1.3351818681918572</v>
      </c>
    </row>
    <row r="34" spans="1:28" ht="11.25" customHeight="1" x14ac:dyDescent="0.25">
      <c r="A34" s="118"/>
      <c r="B34" s="118"/>
      <c r="C34" s="118"/>
      <c r="D34" s="44" t="s">
        <v>88</v>
      </c>
      <c r="E34" s="44" t="s">
        <v>25</v>
      </c>
      <c r="F34" s="44" t="s">
        <v>25</v>
      </c>
      <c r="G34" s="45" t="s">
        <v>76</v>
      </c>
      <c r="H34" s="45" t="s">
        <v>72</v>
      </c>
      <c r="I34" s="45">
        <f>'MERCADO TE'!$U$31</f>
        <v>0</v>
      </c>
      <c r="J34" s="15"/>
      <c r="L34" s="42">
        <f>'TE BE'!$L$34*'TE BF'!$L$49</f>
        <v>0</v>
      </c>
      <c r="M34" s="42">
        <f>'TE BE'!$M$34*'TE BF'!$M$49</f>
        <v>0</v>
      </c>
      <c r="N34" s="42">
        <f>'TE BE'!$N$34*'TE BF'!$N$49</f>
        <v>0</v>
      </c>
      <c r="O34" s="42">
        <f>'TE BE'!$O$34*'TE BF'!$O$49</f>
        <v>0</v>
      </c>
      <c r="P34" s="42">
        <f>'TE BE'!$P$34*'TE BF'!$P$49</f>
        <v>0</v>
      </c>
      <c r="Q34" s="42">
        <f>SUM($L$34:$P$34)</f>
        <v>0</v>
      </c>
      <c r="R34" s="42">
        <f>'TE BE'!$R$34*'TE BF'!$R$49</f>
        <v>-1.3351818681918572</v>
      </c>
      <c r="S34" s="42">
        <f>SUM($R$34:$R$34)</f>
        <v>-1.3351818681918572</v>
      </c>
      <c r="T34" s="42">
        <f>'TE BE'!$T$34*'TE BF'!$T$49</f>
        <v>0</v>
      </c>
      <c r="U34" s="42">
        <f>'TE BE'!$U$34*'TE BF'!$U$49</f>
        <v>0</v>
      </c>
      <c r="V34" s="42">
        <f>'TE BE'!$V$34*'TE BF'!$V$49</f>
        <v>0</v>
      </c>
      <c r="W34" s="42">
        <f>SUM($T$34:$V$34)</f>
        <v>0</v>
      </c>
      <c r="X34" s="42">
        <f>'TE BE'!$AB$34*'TE BF'!$X$49</f>
        <v>0</v>
      </c>
      <c r="Y34" s="42">
        <f>SUM($X$34:$X$34)</f>
        <v>0</v>
      </c>
      <c r="Z34" s="42">
        <f>'TE BE'!$Z$34*'TE BF'!$Z$49</f>
        <v>0</v>
      </c>
      <c r="AA34" s="42">
        <f>SUM($Z$34:$Z$34)</f>
        <v>0</v>
      </c>
      <c r="AB34" s="42">
        <f>SUMIF($L$4:$AA$4,"SUBTOTAL",$L$34:$AA$34)</f>
        <v>-1.3351818681918572</v>
      </c>
    </row>
    <row r="35" spans="1:28" ht="11.25" customHeight="1" x14ac:dyDescent="0.25">
      <c r="A35" s="118"/>
      <c r="B35" s="118"/>
      <c r="C35" s="118"/>
      <c r="D35" s="44" t="s">
        <v>89</v>
      </c>
      <c r="E35" s="44" t="s">
        <v>25</v>
      </c>
      <c r="F35" s="44" t="s">
        <v>25</v>
      </c>
      <c r="G35" s="45" t="s">
        <v>76</v>
      </c>
      <c r="H35" s="45" t="s">
        <v>72</v>
      </c>
      <c r="I35" s="45">
        <f>'MERCADO TE'!$U$32</f>
        <v>0</v>
      </c>
      <c r="J35" s="15"/>
      <c r="L35" s="42">
        <f>'TE BE'!$L$35*'TE BF'!$L$49</f>
        <v>0</v>
      </c>
      <c r="M35" s="42">
        <f>'TE BE'!$M$35*'TE BF'!$M$49</f>
        <v>0</v>
      </c>
      <c r="N35" s="42">
        <f>'TE BE'!$N$35*'TE BF'!$N$49</f>
        <v>0</v>
      </c>
      <c r="O35" s="42">
        <f>'TE BE'!$O$35*'TE BF'!$O$49</f>
        <v>0</v>
      </c>
      <c r="P35" s="42">
        <f>'TE BE'!$P$35*'TE BF'!$P$49</f>
        <v>0</v>
      </c>
      <c r="Q35" s="42">
        <f>SUM($L$35:$P$35)</f>
        <v>0</v>
      </c>
      <c r="R35" s="42">
        <f>'TE BE'!$R$35*'TE BF'!$R$49</f>
        <v>-1.3351818681918572</v>
      </c>
      <c r="S35" s="42">
        <f>SUM($R$35:$R$35)</f>
        <v>-1.3351818681918572</v>
      </c>
      <c r="T35" s="42">
        <f>'TE BE'!$T$35*'TE BF'!$T$49</f>
        <v>0</v>
      </c>
      <c r="U35" s="42">
        <f>'TE BE'!$U$35*'TE BF'!$U$49</f>
        <v>0</v>
      </c>
      <c r="V35" s="42">
        <f>'TE BE'!$V$35*'TE BF'!$V$49</f>
        <v>0</v>
      </c>
      <c r="W35" s="42">
        <f>SUM($T$35:$V$35)</f>
        <v>0</v>
      </c>
      <c r="X35" s="42">
        <f>'TE BE'!$AB$35*'TE BF'!$X$49</f>
        <v>0</v>
      </c>
      <c r="Y35" s="42">
        <f>SUM($X$35:$X$35)</f>
        <v>0</v>
      </c>
      <c r="Z35" s="42">
        <f>'TE BE'!$Z$35*'TE BF'!$Z$49</f>
        <v>0</v>
      </c>
      <c r="AA35" s="42">
        <f>SUM($Z$35:$Z$35)</f>
        <v>0</v>
      </c>
      <c r="AB35" s="42">
        <f>SUMIF($L$4:$AA$4,"SUBTOTAL",$L$35:$AA$35)</f>
        <v>-1.3351818681918572</v>
      </c>
    </row>
    <row r="36" spans="1:28" ht="11.25" customHeight="1" x14ac:dyDescent="0.25">
      <c r="A36" s="118" t="s">
        <v>37</v>
      </c>
      <c r="B36" s="118" t="s">
        <v>71</v>
      </c>
      <c r="C36" s="118" t="s">
        <v>25</v>
      </c>
      <c r="D36" s="118" t="s">
        <v>25</v>
      </c>
      <c r="E36" s="118" t="s">
        <v>25</v>
      </c>
      <c r="F36" s="118" t="s">
        <v>25</v>
      </c>
      <c r="G36" s="45" t="s">
        <v>73</v>
      </c>
      <c r="H36" s="45" t="s">
        <v>72</v>
      </c>
      <c r="I36" s="45">
        <f>'MERCADO TE'!$U$33</f>
        <v>38.241999999999997</v>
      </c>
      <c r="J36" s="15"/>
      <c r="L36" s="42">
        <f>'TE BE'!$L$36*'TE BF'!$L$49</f>
        <v>0</v>
      </c>
      <c r="M36" s="42">
        <f>'TE BE'!$M$36*'TE BF'!$M$49</f>
        <v>0</v>
      </c>
      <c r="N36" s="42">
        <f>'TE BE'!$N$36*'TE BF'!$N$49</f>
        <v>0</v>
      </c>
      <c r="O36" s="42">
        <f>'TE BE'!$O$36*'TE BF'!$O$49</f>
        <v>0</v>
      </c>
      <c r="P36" s="42">
        <f>'TE BE'!$P$36*'TE BF'!$P$49</f>
        <v>0</v>
      </c>
      <c r="Q36" s="42">
        <f>SUM($L$36:$P$36)</f>
        <v>0</v>
      </c>
      <c r="R36" s="42">
        <f>'TE BE'!$R$36*'TE BF'!$R$49</f>
        <v>-2.1665215219716929</v>
      </c>
      <c r="S36" s="42">
        <f>SUM($R$36:$R$36)</f>
        <v>-2.1665215219716929</v>
      </c>
      <c r="T36" s="42">
        <f>'TE BE'!$T$36*'TE BF'!$T$49</f>
        <v>0</v>
      </c>
      <c r="U36" s="42">
        <f>'TE BE'!$U$36*'TE BF'!$U$49</f>
        <v>0</v>
      </c>
      <c r="V36" s="42">
        <f>'TE BE'!$V$36*'TE BF'!$V$49</f>
        <v>0</v>
      </c>
      <c r="W36" s="42">
        <f>SUM($T$36:$V$36)</f>
        <v>0</v>
      </c>
      <c r="X36" s="42">
        <f>'TE BE'!$AB$36*'TE BF'!$X$49</f>
        <v>0</v>
      </c>
      <c r="Y36" s="42">
        <f>SUM($X$36:$X$36)</f>
        <v>0</v>
      </c>
      <c r="Z36" s="42">
        <f>'TE BE'!$Z$36*'TE BF'!$Z$49</f>
        <v>0</v>
      </c>
      <c r="AA36" s="42">
        <f>SUM($Z$36:$Z$36)</f>
        <v>0</v>
      </c>
      <c r="AB36" s="42">
        <f>SUMIF($L$4:$AA$4,"SUBTOTAL",$L$36:$AA$36)</f>
        <v>-2.1665215219716929</v>
      </c>
    </row>
    <row r="37" spans="1:28" ht="11.25" customHeight="1" x14ac:dyDescent="0.25">
      <c r="A37" s="118"/>
      <c r="B37" s="118"/>
      <c r="C37" s="118"/>
      <c r="D37" s="118"/>
      <c r="E37" s="118"/>
      <c r="F37" s="118"/>
      <c r="G37" s="45" t="s">
        <v>85</v>
      </c>
      <c r="H37" s="45" t="s">
        <v>72</v>
      </c>
      <c r="I37" s="45">
        <f>'MERCADO TE'!$U$34</f>
        <v>26.390000000000004</v>
      </c>
      <c r="J37" s="15"/>
      <c r="L37" s="42">
        <f>'TE BE'!$L$37*'TE BF'!$L$49</f>
        <v>0</v>
      </c>
      <c r="M37" s="42">
        <f>'TE BE'!$M$37*'TE BF'!$M$49</f>
        <v>0</v>
      </c>
      <c r="N37" s="42">
        <f>'TE BE'!$N$37*'TE BF'!$N$49</f>
        <v>0</v>
      </c>
      <c r="O37" s="42">
        <f>'TE BE'!$O$37*'TE BF'!$O$49</f>
        <v>0</v>
      </c>
      <c r="P37" s="42">
        <f>'TE BE'!$P$37*'TE BF'!$P$49</f>
        <v>0</v>
      </c>
      <c r="Q37" s="42">
        <f>SUM($L$37:$P$37)</f>
        <v>0</v>
      </c>
      <c r="R37" s="42">
        <f>'TE BE'!$R$37*'TE BF'!$R$49</f>
        <v>-1.259605536030054</v>
      </c>
      <c r="S37" s="42">
        <f>SUM($R$37:$R$37)</f>
        <v>-1.259605536030054</v>
      </c>
      <c r="T37" s="42">
        <f>'TE BE'!$T$37*'TE BF'!$T$49</f>
        <v>0</v>
      </c>
      <c r="U37" s="42">
        <f>'TE BE'!$U$37*'TE BF'!$U$49</f>
        <v>0</v>
      </c>
      <c r="V37" s="42">
        <f>'TE BE'!$V$37*'TE BF'!$V$49</f>
        <v>0</v>
      </c>
      <c r="W37" s="42">
        <f>SUM($T$37:$V$37)</f>
        <v>0</v>
      </c>
      <c r="X37" s="42">
        <f>'TE BE'!$AB$37*'TE BF'!$X$49</f>
        <v>0</v>
      </c>
      <c r="Y37" s="42">
        <f>SUM($X$37:$X$37)</f>
        <v>0</v>
      </c>
      <c r="Z37" s="42">
        <f>'TE BE'!$Z$37*'TE BF'!$Z$49</f>
        <v>0</v>
      </c>
      <c r="AA37" s="42">
        <f>SUM($Z$37:$Z$37)</f>
        <v>0</v>
      </c>
      <c r="AB37" s="42">
        <f>SUMIF($L$4:$AA$4,"SUBTOTAL",$L$37:$AA$37)</f>
        <v>-1.259605536030054</v>
      </c>
    </row>
    <row r="38" spans="1:28" ht="11.25" customHeight="1" x14ac:dyDescent="0.25">
      <c r="A38" s="118"/>
      <c r="B38" s="118"/>
      <c r="C38" s="118"/>
      <c r="D38" s="118"/>
      <c r="E38" s="118"/>
      <c r="F38" s="118"/>
      <c r="G38" s="45" t="s">
        <v>74</v>
      </c>
      <c r="H38" s="45" t="s">
        <v>72</v>
      </c>
      <c r="I38" s="45">
        <f>'MERCADO TE'!$U$35</f>
        <v>1181.6300000000001</v>
      </c>
      <c r="J38" s="15"/>
      <c r="L38" s="42">
        <f>'TE BE'!$L$38*'TE BF'!$L$49</f>
        <v>0</v>
      </c>
      <c r="M38" s="42">
        <f>'TE BE'!$M$38*'TE BF'!$M$49</f>
        <v>0</v>
      </c>
      <c r="N38" s="42">
        <f>'TE BE'!$N$38*'TE BF'!$N$49</f>
        <v>0</v>
      </c>
      <c r="O38" s="42">
        <f>'TE BE'!$O$38*'TE BF'!$O$49</f>
        <v>0</v>
      </c>
      <c r="P38" s="42">
        <f>'TE BE'!$P$38*'TE BF'!$P$49</f>
        <v>0</v>
      </c>
      <c r="Q38" s="42">
        <f>SUM($L$38:$P$38)</f>
        <v>0</v>
      </c>
      <c r="R38" s="42">
        <f>'TE BE'!$R$38*'TE BF'!$R$49</f>
        <v>-1.259605536030054</v>
      </c>
      <c r="S38" s="42">
        <f>SUM($R$38:$R$38)</f>
        <v>-1.259605536030054</v>
      </c>
      <c r="T38" s="42">
        <f>'TE BE'!$T$38*'TE BF'!$T$49</f>
        <v>0</v>
      </c>
      <c r="U38" s="42">
        <f>'TE BE'!$U$38*'TE BF'!$U$49</f>
        <v>0</v>
      </c>
      <c r="V38" s="42">
        <f>'TE BE'!$V$38*'TE BF'!$V$49</f>
        <v>0</v>
      </c>
      <c r="W38" s="42">
        <f>SUM($T$38:$V$38)</f>
        <v>0</v>
      </c>
      <c r="X38" s="42">
        <f>'TE BE'!$AB$38*'TE BF'!$X$49</f>
        <v>0</v>
      </c>
      <c r="Y38" s="42">
        <f>SUM($X$38:$X$38)</f>
        <v>0</v>
      </c>
      <c r="Z38" s="42">
        <f>'TE BE'!$Z$38*'TE BF'!$Z$49</f>
        <v>0</v>
      </c>
      <c r="AA38" s="42">
        <f>SUM($Z$38:$Z$38)</f>
        <v>0</v>
      </c>
      <c r="AB38" s="42">
        <f>SUMIF($L$4:$AA$4,"SUBTOTAL",$L$38:$AA$38)</f>
        <v>-1.259605536030054</v>
      </c>
    </row>
    <row r="39" spans="1:28" ht="11.25" customHeight="1" x14ac:dyDescent="0.25">
      <c r="A39" s="118"/>
      <c r="B39" s="44" t="s">
        <v>75</v>
      </c>
      <c r="C39" s="44" t="s">
        <v>25</v>
      </c>
      <c r="D39" s="44" t="s">
        <v>25</v>
      </c>
      <c r="E39" s="44" t="s">
        <v>25</v>
      </c>
      <c r="F39" s="44" t="s">
        <v>25</v>
      </c>
      <c r="G39" s="45" t="s">
        <v>76</v>
      </c>
      <c r="H39" s="45" t="s">
        <v>72</v>
      </c>
      <c r="I39" s="45">
        <f>'MERCADO TE'!$U$36</f>
        <v>197307.342</v>
      </c>
      <c r="J39" s="15"/>
      <c r="L39" s="42">
        <f>'TE BE'!$L$39*'TE BF'!$L$49</f>
        <v>0</v>
      </c>
      <c r="M39" s="42">
        <f>'TE BE'!$M$39*'TE BF'!$M$49</f>
        <v>0</v>
      </c>
      <c r="N39" s="42">
        <f>'TE BE'!$N$39*'TE BF'!$N$49</f>
        <v>0</v>
      </c>
      <c r="O39" s="42">
        <f>'TE BE'!$O$39*'TE BF'!$O$49</f>
        <v>0</v>
      </c>
      <c r="P39" s="42">
        <f>'TE BE'!$P$39*'TE BF'!$P$49</f>
        <v>0</v>
      </c>
      <c r="Q39" s="42">
        <f>SUM($L$39:$P$39)</f>
        <v>0</v>
      </c>
      <c r="R39" s="42">
        <f>'TE BE'!$R$39*'TE BF'!$R$49</f>
        <v>-1.3351818681918572</v>
      </c>
      <c r="S39" s="42">
        <f>SUM($R$39:$R$39)</f>
        <v>-1.3351818681918572</v>
      </c>
      <c r="T39" s="42">
        <f>'TE BE'!$T$39*'TE BF'!$T$49</f>
        <v>0</v>
      </c>
      <c r="U39" s="42">
        <f>'TE BE'!$U$39*'TE BF'!$U$49</f>
        <v>0</v>
      </c>
      <c r="V39" s="42">
        <f>'TE BE'!$V$39*'TE BF'!$V$49</f>
        <v>0</v>
      </c>
      <c r="W39" s="42">
        <f>SUM($T$39:$V$39)</f>
        <v>0</v>
      </c>
      <c r="X39" s="42">
        <f>'TE BE'!$AB$39*'TE BF'!$X$49</f>
        <v>0</v>
      </c>
      <c r="Y39" s="42">
        <f>SUM($X$39:$X$39)</f>
        <v>0</v>
      </c>
      <c r="Z39" s="42">
        <f>'TE BE'!$Z$39*'TE BF'!$Z$49</f>
        <v>0</v>
      </c>
      <c r="AA39" s="42">
        <f>SUM($Z$39:$Z$39)</f>
        <v>0</v>
      </c>
      <c r="AB39" s="42">
        <f>SUMIF($L$4:$AA$4,"SUBTOTAL",$L$39:$AA$39)</f>
        <v>-1.3351818681918572</v>
      </c>
    </row>
    <row r="40" spans="1:28" ht="11.25" customHeight="1" x14ac:dyDescent="0.25">
      <c r="A40" s="118"/>
      <c r="B40" s="44" t="s">
        <v>86</v>
      </c>
      <c r="C40" s="44" t="s">
        <v>25</v>
      </c>
      <c r="D40" s="44" t="s">
        <v>25</v>
      </c>
      <c r="E40" s="44" t="s">
        <v>25</v>
      </c>
      <c r="F40" s="44" t="s">
        <v>25</v>
      </c>
      <c r="G40" s="45" t="s">
        <v>76</v>
      </c>
      <c r="H40" s="45" t="s">
        <v>72</v>
      </c>
      <c r="I40" s="45">
        <f>'MERCADO TE'!$U$37</f>
        <v>0</v>
      </c>
      <c r="J40" s="15"/>
      <c r="L40" s="42">
        <f>'TE BE'!$L$40*'TE BF'!$L$49</f>
        <v>0</v>
      </c>
      <c r="M40" s="42">
        <f>'TE BE'!$M$40*'TE BF'!$M$49</f>
        <v>0</v>
      </c>
      <c r="N40" s="42">
        <f>'TE BE'!$N$40*'TE BF'!$N$49</f>
        <v>0</v>
      </c>
      <c r="O40" s="42">
        <f>'TE BE'!$O$40*'TE BF'!$O$49</f>
        <v>0</v>
      </c>
      <c r="P40" s="42">
        <f>'TE BE'!$P$40*'TE BF'!$P$49</f>
        <v>0</v>
      </c>
      <c r="Q40" s="42">
        <f>SUM($L$40:$P$40)</f>
        <v>0</v>
      </c>
      <c r="R40" s="42">
        <f>'TE BE'!$R$40*'TE BF'!$R$49</f>
        <v>-1.3351818681918572</v>
      </c>
      <c r="S40" s="42">
        <f>SUM($R$40:$R$40)</f>
        <v>-1.3351818681918572</v>
      </c>
      <c r="T40" s="42">
        <f>'TE BE'!$T$40*'TE BF'!$T$49</f>
        <v>0</v>
      </c>
      <c r="U40" s="42">
        <f>'TE BE'!$U$40*'TE BF'!$U$49</f>
        <v>0</v>
      </c>
      <c r="V40" s="42">
        <f>'TE BE'!$V$40*'TE BF'!$V$49</f>
        <v>0</v>
      </c>
      <c r="W40" s="42">
        <f>SUM($T$40:$V$40)</f>
        <v>0</v>
      </c>
      <c r="X40" s="42">
        <f>'TE BE'!$AB$40*'TE BF'!$X$49</f>
        <v>0</v>
      </c>
      <c r="Y40" s="42">
        <f>SUM($X$40:$X$40)</f>
        <v>0</v>
      </c>
      <c r="Z40" s="42">
        <f>'TE BE'!$Z$40*'TE BF'!$Z$49</f>
        <v>0</v>
      </c>
      <c r="AA40" s="42">
        <f>SUM($Z$40:$Z$40)</f>
        <v>0</v>
      </c>
      <c r="AB40" s="42">
        <f>SUMIF($L$4:$AA$4,"SUBTOTAL",$L$40:$AA$40)</f>
        <v>-1.3351818681918572</v>
      </c>
    </row>
    <row r="41" spans="1:28" ht="11.25" customHeight="1" x14ac:dyDescent="0.25">
      <c r="A41" s="118" t="s">
        <v>46</v>
      </c>
      <c r="B41" s="118" t="s">
        <v>75</v>
      </c>
      <c r="C41" s="118" t="s">
        <v>47</v>
      </c>
      <c r="D41" s="44" t="s">
        <v>48</v>
      </c>
      <c r="E41" s="44" t="s">
        <v>25</v>
      </c>
      <c r="F41" s="44" t="s">
        <v>25</v>
      </c>
      <c r="G41" s="45" t="s">
        <v>76</v>
      </c>
      <c r="H41" s="45" t="s">
        <v>72</v>
      </c>
      <c r="I41" s="45">
        <f>'MERCADO TE'!$U$38</f>
        <v>42496.07</v>
      </c>
      <c r="J41" s="15"/>
      <c r="L41" s="42">
        <f>'TE BE'!$L$41*'TE BF'!$L$49</f>
        <v>0</v>
      </c>
      <c r="M41" s="42">
        <f>'TE BE'!$M$41*'TE BF'!$M$49</f>
        <v>0</v>
      </c>
      <c r="N41" s="42">
        <f>'TE BE'!$N$41*'TE BF'!$N$49</f>
        <v>0</v>
      </c>
      <c r="O41" s="42">
        <f>'TE BE'!$O$41*'TE BF'!$O$49</f>
        <v>0</v>
      </c>
      <c r="P41" s="42">
        <f>'TE BE'!$P$41*'TE BF'!$P$49</f>
        <v>0</v>
      </c>
      <c r="Q41" s="42">
        <f>SUM($L$41:$P$41)</f>
        <v>0</v>
      </c>
      <c r="R41" s="42">
        <f>'TE BE'!$R$41*'TE BF'!$R$49</f>
        <v>-0.73435002750552159</v>
      </c>
      <c r="S41" s="42">
        <f>SUM($R$41:$R$41)</f>
        <v>-0.73435002750552159</v>
      </c>
      <c r="T41" s="42">
        <f>'TE BE'!$T$41*'TE BF'!$T$49</f>
        <v>0</v>
      </c>
      <c r="U41" s="42">
        <f>'TE BE'!$U$41*'TE BF'!$U$49</f>
        <v>0</v>
      </c>
      <c r="V41" s="42">
        <f>'TE BE'!$V$41*'TE BF'!$V$49</f>
        <v>0</v>
      </c>
      <c r="W41" s="42">
        <f>SUM($T$41:$V$41)</f>
        <v>0</v>
      </c>
      <c r="X41" s="42">
        <f>'TE BE'!$AB$41*'TE BF'!$X$49</f>
        <v>0</v>
      </c>
      <c r="Y41" s="42">
        <f>SUM($X$41:$X$41)</f>
        <v>0</v>
      </c>
      <c r="Z41" s="42">
        <f>'TE BE'!$Z$41*'TE BF'!$Z$49</f>
        <v>0</v>
      </c>
      <c r="AA41" s="42">
        <f>SUM($Z$41:$Z$41)</f>
        <v>0</v>
      </c>
      <c r="AB41" s="42">
        <f>SUMIF($L$4:$AA$4,"SUBTOTAL",$L$41:$AA$41)</f>
        <v>-0.73435002750552159</v>
      </c>
    </row>
    <row r="42" spans="1:28" ht="11.25" customHeight="1" x14ac:dyDescent="0.25">
      <c r="A42" s="118"/>
      <c r="B42" s="118"/>
      <c r="C42" s="118"/>
      <c r="D42" s="45" t="s">
        <v>90</v>
      </c>
      <c r="E42" s="45" t="s">
        <v>25</v>
      </c>
      <c r="F42" s="45" t="s">
        <v>25</v>
      </c>
      <c r="G42" s="45" t="s">
        <v>76</v>
      </c>
      <c r="H42" s="45" t="s">
        <v>72</v>
      </c>
      <c r="I42" s="45">
        <f>'MERCADO TE'!$U$39</f>
        <v>0</v>
      </c>
      <c r="J42" s="15"/>
      <c r="L42" s="42">
        <f>'TE BE'!$L$42*'TE BF'!$L$49</f>
        <v>0</v>
      </c>
      <c r="M42" s="42">
        <f>'TE BE'!$M$42*'TE BF'!$M$49</f>
        <v>0</v>
      </c>
      <c r="N42" s="42">
        <f>'TE BE'!$N$42*'TE BF'!$N$49</f>
        <v>0</v>
      </c>
      <c r="O42" s="42">
        <f>'TE BE'!$O$42*'TE BF'!$O$49</f>
        <v>0</v>
      </c>
      <c r="P42" s="42">
        <f>'TE BE'!$P$42*'TE BF'!$P$49</f>
        <v>0</v>
      </c>
      <c r="Q42" s="42">
        <f>SUM($L$42:$P$42)</f>
        <v>0</v>
      </c>
      <c r="R42" s="42">
        <f>'TE BE'!$R$42*'TE BF'!$R$49</f>
        <v>-0.80110912091511433</v>
      </c>
      <c r="S42" s="42">
        <f>SUM($R$42:$R$42)</f>
        <v>-0.80110912091511433</v>
      </c>
      <c r="T42" s="42">
        <f>'TE BE'!$T$42*'TE BF'!$T$49</f>
        <v>0</v>
      </c>
      <c r="U42" s="42">
        <f>'TE BE'!$U$42*'TE BF'!$U$49</f>
        <v>0</v>
      </c>
      <c r="V42" s="42">
        <f>'TE BE'!$V$42*'TE BF'!$V$49</f>
        <v>0</v>
      </c>
      <c r="W42" s="42">
        <f>SUM($T$42:$V$42)</f>
        <v>0</v>
      </c>
      <c r="X42" s="42">
        <f>'TE BE'!$AB$42*'TE BF'!$X$49</f>
        <v>0</v>
      </c>
      <c r="Y42" s="42">
        <f>SUM($X$42:$X$42)</f>
        <v>0</v>
      </c>
      <c r="Z42" s="42">
        <f>'TE BE'!$Z$42*'TE BF'!$Z$49</f>
        <v>0</v>
      </c>
      <c r="AA42" s="42">
        <f>SUM($Z$42:$Z$42)</f>
        <v>0</v>
      </c>
      <c r="AB42" s="42">
        <f>SUMIF($L$4:$AA$4,"SUBTOTAL",$L$42:$AA$42)</f>
        <v>-0.80110912091511433</v>
      </c>
    </row>
    <row r="44" spans="1:28" ht="11.25" customHeight="1" x14ac:dyDescent="0.25">
      <c r="K44" s="47" t="s">
        <v>677</v>
      </c>
      <c r="L44" s="42">
        <f t="shared" ref="L44:AB44" si="0">SUMPRODUCT($I$5:$I$42,L$5:L$42)</f>
        <v>0</v>
      </c>
      <c r="M44" s="42">
        <f t="shared" si="0"/>
        <v>0</v>
      </c>
      <c r="N44" s="42">
        <f t="shared" si="0"/>
        <v>0</v>
      </c>
      <c r="O44" s="42">
        <f t="shared" si="0"/>
        <v>0</v>
      </c>
      <c r="P44" s="42">
        <f t="shared" si="0"/>
        <v>0</v>
      </c>
      <c r="Q44" s="42">
        <f t="shared" si="0"/>
        <v>0</v>
      </c>
      <c r="R44" s="42">
        <f t="shared" si="0"/>
        <v>-1514051.4409483867</v>
      </c>
      <c r="S44" s="42">
        <f t="shared" si="0"/>
        <v>-1514051.4409483867</v>
      </c>
      <c r="T44" s="42">
        <f t="shared" si="0"/>
        <v>0</v>
      </c>
      <c r="U44" s="42">
        <f t="shared" si="0"/>
        <v>0</v>
      </c>
      <c r="V44" s="42">
        <f t="shared" si="0"/>
        <v>0</v>
      </c>
      <c r="W44" s="42">
        <f t="shared" si="0"/>
        <v>0</v>
      </c>
      <c r="X44" s="42">
        <f t="shared" si="0"/>
        <v>0</v>
      </c>
      <c r="Y44" s="42">
        <f t="shared" si="0"/>
        <v>0</v>
      </c>
      <c r="Z44" s="42">
        <f t="shared" si="0"/>
        <v>0</v>
      </c>
      <c r="AA44" s="42">
        <f t="shared" si="0"/>
        <v>0</v>
      </c>
      <c r="AB44" s="42">
        <f t="shared" si="0"/>
        <v>-1514051.4409483867</v>
      </c>
    </row>
    <row r="45" spans="1:28" ht="11.25" customHeight="1" x14ac:dyDescent="0.25">
      <c r="K45" s="47" t="s">
        <v>602</v>
      </c>
      <c r="L45" s="42">
        <f>CUSTOS!$D$30</f>
        <v>3803634.9554985329</v>
      </c>
      <c r="M45" s="42">
        <f>CUSTOS!$D$31</f>
        <v>0</v>
      </c>
      <c r="N45" s="42">
        <f>CUSTOS!$D$32</f>
        <v>0</v>
      </c>
      <c r="O45" s="42">
        <f>CUSTOS!$D$33</f>
        <v>1649021.7022508194</v>
      </c>
      <c r="P45" s="42">
        <f>CUSTOS!$D$34</f>
        <v>0</v>
      </c>
      <c r="Q45" s="42">
        <f>CUSTOS!$D$35</f>
        <v>5452656.657749352</v>
      </c>
      <c r="R45" s="42">
        <f>CUSTOS!$D$36</f>
        <v>388556240.29125124</v>
      </c>
      <c r="S45" s="42">
        <f>CUSTOS!$D$37</f>
        <v>388556240.29125124</v>
      </c>
      <c r="T45" s="42">
        <f>CUSTOS!$D$38</f>
        <v>0</v>
      </c>
      <c r="U45" s="42">
        <f>CUSTOS!$D$39</f>
        <v>0</v>
      </c>
      <c r="V45" s="42">
        <f>CUSTOS!$D$40</f>
        <v>0</v>
      </c>
      <c r="W45" s="42">
        <f>CUSTOS!$D$41</f>
        <v>0</v>
      </c>
      <c r="X45" s="42">
        <f>CUSTOS!$D$42</f>
        <v>0</v>
      </c>
      <c r="Y45" s="42">
        <f>CUSTOS!$D$43</f>
        <v>0</v>
      </c>
      <c r="Z45" s="42">
        <f>CUSTOS!$D$44</f>
        <v>0</v>
      </c>
      <c r="AA45" s="42">
        <f>CUSTOS!$D$45</f>
        <v>0</v>
      </c>
      <c r="AB45" s="42">
        <f>CUSTOS!$D$46</f>
        <v>394008896.9490006</v>
      </c>
    </row>
    <row r="46" spans="1:28" ht="11.25" customHeight="1" x14ac:dyDescent="0.25">
      <c r="K46" s="47" t="s">
        <v>603</v>
      </c>
      <c r="L46" s="42">
        <f>CUSTOS!$E$30</f>
        <v>8.8125939035649825</v>
      </c>
      <c r="M46" s="42">
        <f>CUSTOS!$E$31</f>
        <v>0</v>
      </c>
      <c r="N46" s="42">
        <f>CUSTOS!$E$32</f>
        <v>0</v>
      </c>
      <c r="O46" s="42">
        <f>CUSTOS!$E$33</f>
        <v>-619505.78256934951</v>
      </c>
      <c r="P46" s="42">
        <f>CUSTOS!$E$34</f>
        <v>0</v>
      </c>
      <c r="Q46" s="42">
        <f>CUSTOS!$E$35</f>
        <v>-619496.969975446</v>
      </c>
      <c r="R46" s="42">
        <f>CUSTOS!$E$36</f>
        <v>-10653371.82561641</v>
      </c>
      <c r="S46" s="42">
        <f>CUSTOS!$E$37</f>
        <v>-10653371.82561641</v>
      </c>
      <c r="T46" s="42">
        <f>CUSTOS!$E$38</f>
        <v>0</v>
      </c>
      <c r="U46" s="42">
        <f>CUSTOS!$E$39</f>
        <v>0</v>
      </c>
      <c r="V46" s="42">
        <f>CUSTOS!$E$40</f>
        <v>0</v>
      </c>
      <c r="W46" s="42">
        <f>CUSTOS!$E$41</f>
        <v>0</v>
      </c>
      <c r="X46" s="42">
        <f>CUSTOS!$E$42</f>
        <v>0</v>
      </c>
      <c r="Y46" s="42">
        <f>CUSTOS!$E$43</f>
        <v>0</v>
      </c>
      <c r="Z46" s="42">
        <f>CUSTOS!$E$44</f>
        <v>0</v>
      </c>
      <c r="AA46" s="42">
        <f>CUSTOS!$E$45</f>
        <v>0</v>
      </c>
      <c r="AB46" s="42">
        <f>CUSTOS!$E$46</f>
        <v>-11272868.795591855</v>
      </c>
    </row>
    <row r="47" spans="1:28" ht="11.25" customHeight="1" x14ac:dyDescent="0.25">
      <c r="K47" s="47" t="s">
        <v>604</v>
      </c>
      <c r="L47" s="42">
        <f>CUSTOS!$F$30</f>
        <v>0</v>
      </c>
      <c r="M47" s="42">
        <f>CUSTOS!$F$31</f>
        <v>0</v>
      </c>
      <c r="N47" s="42">
        <f>CUSTOS!$F$32</f>
        <v>0</v>
      </c>
      <c r="O47" s="42">
        <f>CUSTOS!$F$33</f>
        <v>0</v>
      </c>
      <c r="P47" s="42">
        <f>CUSTOS!$F$34</f>
        <v>0</v>
      </c>
      <c r="Q47" s="42">
        <f>CUSTOS!$F$35</f>
        <v>0</v>
      </c>
      <c r="R47" s="42">
        <f>CUSTOS!$F$36</f>
        <v>-1514051.4409483867</v>
      </c>
      <c r="S47" s="42">
        <f>CUSTOS!$F$37</f>
        <v>-1514051.4409483867</v>
      </c>
      <c r="T47" s="42">
        <f>CUSTOS!$F$38</f>
        <v>0</v>
      </c>
      <c r="U47" s="42">
        <f>CUSTOS!$F$39</f>
        <v>0</v>
      </c>
      <c r="V47" s="42">
        <f>CUSTOS!$F$40</f>
        <v>0</v>
      </c>
      <c r="W47" s="42">
        <f>CUSTOS!$F$41</f>
        <v>0</v>
      </c>
      <c r="X47" s="42">
        <f>CUSTOS!$F$42</f>
        <v>0</v>
      </c>
      <c r="Y47" s="42">
        <f>CUSTOS!$F$43</f>
        <v>0</v>
      </c>
      <c r="Z47" s="42">
        <f>CUSTOS!$F$44</f>
        <v>0</v>
      </c>
      <c r="AA47" s="42">
        <f>CUSTOS!$F$45</f>
        <v>0</v>
      </c>
      <c r="AB47" s="42">
        <f>CUSTOS!$F$46</f>
        <v>-1514051.4409483867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55" priority="33" operator="notEqual">
      <formula>$L$47</formula>
    </cfRule>
    <cfRule type="cellIs" dxfId="954" priority="34" operator="equal">
      <formula>$L$47</formula>
    </cfRule>
  </conditionalFormatting>
  <conditionalFormatting sqref="M44">
    <cfRule type="cellIs" dxfId="953" priority="31" operator="notEqual">
      <formula>$M$47</formula>
    </cfRule>
    <cfRule type="cellIs" dxfId="952" priority="32" operator="equal">
      <formula>$M$47</formula>
    </cfRule>
  </conditionalFormatting>
  <conditionalFormatting sqref="N44">
    <cfRule type="cellIs" dxfId="951" priority="29" operator="notEqual">
      <formula>$N$47</formula>
    </cfRule>
    <cfRule type="cellIs" dxfId="950" priority="30" operator="equal">
      <formula>$N$47</formula>
    </cfRule>
  </conditionalFormatting>
  <conditionalFormatting sqref="O44">
    <cfRule type="cellIs" dxfId="949" priority="27" operator="notEqual">
      <formula>$O$47</formula>
    </cfRule>
    <cfRule type="cellIs" dxfId="948" priority="28" operator="equal">
      <formula>$O$47</formula>
    </cfRule>
  </conditionalFormatting>
  <conditionalFormatting sqref="P44">
    <cfRule type="cellIs" dxfId="947" priority="25" operator="notEqual">
      <formula>$P$47</formula>
    </cfRule>
    <cfRule type="cellIs" dxfId="946" priority="26" operator="equal">
      <formula>$P$47</formula>
    </cfRule>
  </conditionalFormatting>
  <conditionalFormatting sqref="Q44">
    <cfRule type="cellIs" dxfId="945" priority="23" operator="notEqual">
      <formula>$Q$47</formula>
    </cfRule>
    <cfRule type="cellIs" dxfId="944" priority="24" operator="equal">
      <formula>$Q$47</formula>
    </cfRule>
  </conditionalFormatting>
  <conditionalFormatting sqref="R44">
    <cfRule type="cellIs" dxfId="943" priority="21" operator="notEqual">
      <formula>$R$47</formula>
    </cfRule>
    <cfRule type="cellIs" dxfId="942" priority="22" operator="equal">
      <formula>$R$47</formula>
    </cfRule>
  </conditionalFormatting>
  <conditionalFormatting sqref="S44">
    <cfRule type="cellIs" dxfId="941" priority="19" operator="notEqual">
      <formula>$S$47</formula>
    </cfRule>
    <cfRule type="cellIs" dxfId="940" priority="20" operator="equal">
      <formula>$S$47</formula>
    </cfRule>
  </conditionalFormatting>
  <conditionalFormatting sqref="T44">
    <cfRule type="cellIs" dxfId="939" priority="17" operator="notEqual">
      <formula>$T$47</formula>
    </cfRule>
    <cfRule type="cellIs" dxfId="938" priority="18" operator="equal">
      <formula>$T$47</formula>
    </cfRule>
  </conditionalFormatting>
  <conditionalFormatting sqref="U44">
    <cfRule type="cellIs" dxfId="937" priority="15" operator="notEqual">
      <formula>$U$47</formula>
    </cfRule>
    <cfRule type="cellIs" dxfId="936" priority="16" operator="equal">
      <formula>$U$47</formula>
    </cfRule>
  </conditionalFormatting>
  <conditionalFormatting sqref="V44">
    <cfRule type="cellIs" dxfId="935" priority="13" operator="notEqual">
      <formula>$V$47</formula>
    </cfRule>
    <cfRule type="cellIs" dxfId="934" priority="14" operator="equal">
      <formula>$V$47</formula>
    </cfRule>
  </conditionalFormatting>
  <conditionalFormatting sqref="W44">
    <cfRule type="cellIs" dxfId="933" priority="11" operator="notEqual">
      <formula>$W$47</formula>
    </cfRule>
    <cfRule type="cellIs" dxfId="932" priority="12" operator="equal">
      <formula>$W$47</formula>
    </cfRule>
  </conditionalFormatting>
  <conditionalFormatting sqref="X44">
    <cfRule type="cellIs" dxfId="931" priority="9" operator="notEqual">
      <formula>$X$47</formula>
    </cfRule>
    <cfRule type="cellIs" dxfId="930" priority="10" operator="equal">
      <formula>$X$47</formula>
    </cfRule>
  </conditionalFormatting>
  <conditionalFormatting sqref="Y44">
    <cfRule type="cellIs" dxfId="929" priority="7" operator="notEqual">
      <formula>$Y$47</formula>
    </cfRule>
    <cfRule type="cellIs" dxfId="928" priority="8" operator="equal">
      <formula>$Y$47</formula>
    </cfRule>
  </conditionalFormatting>
  <conditionalFormatting sqref="Z44">
    <cfRule type="cellIs" dxfId="927" priority="5" operator="notEqual">
      <formula>$Z$47</formula>
    </cfRule>
    <cfRule type="cellIs" dxfId="926" priority="6" operator="equal">
      <formula>$Z$47</formula>
    </cfRule>
  </conditionalFormatting>
  <conditionalFormatting sqref="AA44">
    <cfRule type="cellIs" dxfId="925" priority="3" operator="notEqual">
      <formula>$AA$47</formula>
    </cfRule>
    <cfRule type="cellIs" dxfId="924" priority="4" operator="equal">
      <formula>$AA$47</formula>
    </cfRule>
  </conditionalFormatting>
  <conditionalFormatting sqref="AB44">
    <cfRule type="cellIs" dxfId="923" priority="1" operator="notEqual">
      <formula>$AB$47</formula>
    </cfRule>
    <cfRule type="cellIs" dxfId="922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AE41-5683-4901-8A06-A35A59E0B743}">
  <dimension ref="A1:AV1156"/>
  <sheetViews>
    <sheetView showGridLines="0" topLeftCell="AH1" workbookViewId="0">
      <selection sqref="A1:AG1156"/>
    </sheetView>
  </sheetViews>
  <sheetFormatPr defaultRowHeight="11.25" customHeight="1" x14ac:dyDescent="0.25"/>
  <cols>
    <col min="1" max="1" width="23.710937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7" width="11.710937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703</v>
      </c>
      <c r="W1" s="1" t="s">
        <v>704</v>
      </c>
      <c r="X1" s="1" t="s">
        <v>705</v>
      </c>
      <c r="Y1" s="1" t="s">
        <v>706</v>
      </c>
      <c r="Z1" s="1" t="s">
        <v>707</v>
      </c>
      <c r="AA1" s="1" t="s">
        <v>708</v>
      </c>
      <c r="AB1" s="1" t="s">
        <v>721</v>
      </c>
      <c r="AC1" s="1" t="s">
        <v>722</v>
      </c>
      <c r="AD1" s="1" t="s">
        <v>723</v>
      </c>
      <c r="AE1" s="1" t="s">
        <v>724</v>
      </c>
      <c r="AF1" s="1" t="s">
        <v>725</v>
      </c>
      <c r="AG1" s="1" t="s">
        <v>726</v>
      </c>
      <c r="AI1" s="57" t="s">
        <v>62</v>
      </c>
      <c r="AJ1" s="57" t="s">
        <v>727</v>
      </c>
      <c r="AK1" s="57" t="s">
        <v>728</v>
      </c>
      <c r="AL1" s="57" t="s">
        <v>729</v>
      </c>
      <c r="AN1" s="57" t="s">
        <v>62</v>
      </c>
      <c r="AO1" s="57" t="s">
        <v>730</v>
      </c>
      <c r="AP1" s="57" t="s">
        <v>731</v>
      </c>
      <c r="AQ1" s="57" t="s">
        <v>729</v>
      </c>
      <c r="AS1" s="57" t="s">
        <v>62</v>
      </c>
      <c r="AT1" s="57" t="s">
        <v>732</v>
      </c>
      <c r="AU1" s="57" t="s">
        <v>733</v>
      </c>
      <c r="AV1" s="57" t="s">
        <v>729</v>
      </c>
    </row>
    <row r="2" spans="1:48" ht="11.25" customHeight="1" x14ac:dyDescent="0.25">
      <c r="A2" s="3" t="s">
        <v>21</v>
      </c>
      <c r="B2" s="3" t="s">
        <v>39</v>
      </c>
      <c r="C2" s="3" t="s">
        <v>40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35</v>
      </c>
      <c r="I2" s="6">
        <v>44501</v>
      </c>
      <c r="J2" s="4">
        <v>6851</v>
      </c>
      <c r="K2" s="4">
        <v>6851</v>
      </c>
      <c r="L2" s="4">
        <v>2162.8110000000001</v>
      </c>
      <c r="M2" s="4">
        <v>2162.8110000000001</v>
      </c>
      <c r="N2" s="4">
        <v>2162.8110000000001</v>
      </c>
      <c r="O2" s="4">
        <v>2162.8110000000001</v>
      </c>
      <c r="P2" s="4">
        <v>0</v>
      </c>
      <c r="Q2" s="3" t="s">
        <v>26</v>
      </c>
      <c r="R2" s="3">
        <v>0</v>
      </c>
      <c r="S2" s="4">
        <v>27</v>
      </c>
      <c r="T2" s="4">
        <v>23</v>
      </c>
      <c r="U2" s="4">
        <v>59</v>
      </c>
      <c r="V2" s="4">
        <f>IF(ISERROR(VLOOKUP($S$2,'TAR FIN'!$A$1:$O$92,15,0)),0,VLOOKUP($S$2,'TAR FIN'!$A$1:$O$92,15,0))</f>
        <v>14.64</v>
      </c>
      <c r="W2" s="4">
        <f>IF(ISERROR(VLOOKUP($T$2,'TAR FIN'!$A$1:$O$92,15,0)),0,VLOOKUP($T$2,'TAR FIN'!$A$1:$O$92,15,0))</f>
        <v>87.73</v>
      </c>
      <c r="X2" s="4">
        <f>IF(ISERROR(VLOOKUP($U$2,'TAR FIN'!$A$1:$O$92,15,0)),0,VLOOKUP($U$2,'TAR FIN'!$A$1:$O$92,15,0))</f>
        <v>253.9</v>
      </c>
      <c r="Y2" s="4">
        <f ca="1">('TUSD BE'!$AM$6+'TUSD BF'!$AM$6+'TUSD CVA'!$AM$6)*1</f>
        <v>19.024476785546895</v>
      </c>
      <c r="Z2" s="4">
        <f ca="1">('TUSD BE'!$AM$7+'TUSD BF'!$AM$7+'TUSD CVA'!$AM$7)*1</f>
        <v>109.44196476324252</v>
      </c>
      <c r="AA2" s="4">
        <f>('TE BE'!$AB$6+'TE BF'!$AB$6+'TE CVA'!$AB$6)*1</f>
        <v>317.3874512882154</v>
      </c>
      <c r="AB2" s="4">
        <f>$K$2*$V$2</f>
        <v>100298.64</v>
      </c>
      <c r="AC2" s="4">
        <f>$M$2*$W$2</f>
        <v>189743.40903000001</v>
      </c>
      <c r="AD2" s="4">
        <f>$O$2*$X$2</f>
        <v>549137.71290000004</v>
      </c>
      <c r="AE2" s="4">
        <f ca="1">$K$2*$Y$2</f>
        <v>130336.69045778178</v>
      </c>
      <c r="AF2" s="4">
        <f ca="1">$M$2*$Z$2</f>
        <v>236702.28525155335</v>
      </c>
      <c r="AG2" s="4">
        <f>$O$2*$AA$2</f>
        <v>686449.07090811653</v>
      </c>
      <c r="AI2" s="58" t="s">
        <v>39</v>
      </c>
      <c r="AJ2" s="59">
        <f>SUMIF($B$2:$B$1156,AI2,$AB$2:$AB$1156)+SUMIF($B$2:$B$1156,AI2,$AC$2:$AC$1156)</f>
        <v>60049910.484731145</v>
      </c>
      <c r="AK2" s="59">
        <f ca="1">SUMIF($B$2:$B$1156,AI2,$AE$2:$AE$1156)+SUMIF($B$2:$B$1156,AI2,$AF$2:$AF$1156)</f>
        <v>77112040.496381819</v>
      </c>
      <c r="AL2" s="60">
        <f t="shared" ref="AL2:AL9" ca="1" si="0">IF(AJ2&lt;&gt;0,AK2/AJ2-1,0)</f>
        <v>0.28413248036379768</v>
      </c>
      <c r="AN2" s="58" t="s">
        <v>39</v>
      </c>
      <c r="AO2" s="59">
        <f>SUMIF($B$2:$B$1156,AN2,$AD$2:$AD$1156)</f>
        <v>64859675.671964027</v>
      </c>
      <c r="AP2" s="59">
        <f>SUMIF($B$2:$B$1156,AN2,$AG$2:$AG$1156)</f>
        <v>81374034.488607675</v>
      </c>
      <c r="AQ2" s="60">
        <f t="shared" ref="AQ2:AQ9" si="1">IF(AO2&lt;&gt;0,AP2/AO2-1,0)</f>
        <v>0.25461673444324795</v>
      </c>
      <c r="AS2" s="58" t="s">
        <v>39</v>
      </c>
      <c r="AT2" s="59">
        <f>SUMIF($B$2:$B$1156,AS2,$AB$2:$AB$1156)+SUMIF($B$2:$B$1156,AS2,$AC$2:$AC$1156)+SUMIF($B$2:$B$1156,AS2,$AD$2:$AD$1156)</f>
        <v>124909586.15669517</v>
      </c>
      <c r="AU2" s="59">
        <f ca="1">SUMIF($B$2:$B$1156,AS2,$AE$2:$AE$1156)+SUMIF($B$2:$B$1156,AS2,$AF$2:$AF$1156)+SUMIF($B$2:$B$1156,AS2,$AG$2:$AG$1156)</f>
        <v>158486074.98498949</v>
      </c>
      <c r="AV2" s="60">
        <f t="shared" ref="AV2:AV9" ca="1" si="2">IF(AT2&lt;&gt;0,AU2/AT2-1,0)</f>
        <v>0.26880634114161306</v>
      </c>
    </row>
    <row r="3" spans="1:48" ht="11.25" customHeight="1" x14ac:dyDescent="0.25">
      <c r="A3" s="3" t="s">
        <v>28</v>
      </c>
      <c r="B3" s="3" t="s">
        <v>39</v>
      </c>
      <c r="C3" s="3" t="s">
        <v>40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35</v>
      </c>
      <c r="I3" s="6">
        <v>44501</v>
      </c>
      <c r="J3" s="4">
        <v>45</v>
      </c>
      <c r="K3" s="4">
        <v>45</v>
      </c>
      <c r="L3" s="4">
        <v>4.9859999999999998</v>
      </c>
      <c r="M3" s="4">
        <v>4.9859999999999998</v>
      </c>
      <c r="N3" s="4">
        <v>4.9859999999999998</v>
      </c>
      <c r="O3" s="4">
        <v>4.9859999999999998</v>
      </c>
      <c r="P3" s="4">
        <v>0</v>
      </c>
      <c r="Q3" s="3" t="s">
        <v>26</v>
      </c>
      <c r="R3" s="3">
        <v>0</v>
      </c>
      <c r="S3" s="4">
        <v>27</v>
      </c>
      <c r="T3" s="4">
        <v>23</v>
      </c>
      <c r="U3" s="4">
        <v>59</v>
      </c>
      <c r="V3" s="4">
        <f>IF(ISERROR(VLOOKUP($S$3,'TAR FIN'!$A$1:$O$92,15,0)),0,VLOOKUP($S$3,'TAR FIN'!$A$1:$O$92,15,0))</f>
        <v>14.64</v>
      </c>
      <c r="W3" s="4">
        <f>IF(ISERROR(VLOOKUP($T$3,'TAR FIN'!$A$1:$O$92,15,0)),0,VLOOKUP($T$3,'TAR FIN'!$A$1:$O$92,15,0))</f>
        <v>87.73</v>
      </c>
      <c r="X3" s="4">
        <f>IF(ISERROR(VLOOKUP($U$3,'TAR FIN'!$A$1:$O$92,15,0)),0,VLOOKUP($U$3,'TAR FIN'!$A$1:$O$92,15,0))</f>
        <v>253.9</v>
      </c>
      <c r="Y3" s="4">
        <f ca="1">('TUSD BE'!$AM$6+'TUSD BF'!$AM$6+'TUSD CVA'!$AM$6)*1</f>
        <v>19.024476785546895</v>
      </c>
      <c r="Z3" s="4">
        <f ca="1">('TUSD BE'!$AM$7+'TUSD BF'!$AM$7+'TUSD CVA'!$AM$7)*1</f>
        <v>109.44196476324252</v>
      </c>
      <c r="AA3" s="4">
        <f>('TE BE'!$AB$6+'TE BF'!$AB$6+'TE CVA'!$AB$6)*1</f>
        <v>317.3874512882154</v>
      </c>
      <c r="AB3" s="4">
        <f>$K$3*$V$3</f>
        <v>658.80000000000007</v>
      </c>
      <c r="AC3" s="4">
        <f>$M$3*$W$3</f>
        <v>437.42178000000001</v>
      </c>
      <c r="AD3" s="4">
        <f>$O$3*$X$3</f>
        <v>1265.9454000000001</v>
      </c>
      <c r="AE3" s="4">
        <f ca="1">$K$3*$Y$3</f>
        <v>856.10145534961032</v>
      </c>
      <c r="AF3" s="4">
        <f ca="1">$M$3*$Z$3</f>
        <v>545.6776363095272</v>
      </c>
      <c r="AG3" s="4">
        <f>$O$3*$AA$3</f>
        <v>1582.493832123042</v>
      </c>
      <c r="AI3" s="58" t="s">
        <v>22</v>
      </c>
      <c r="AJ3" s="59">
        <f>SUMIF($B$2:$B$1156,AI3,$AB$2:$AB$1156)+SUMIF($B$2:$B$1156,AI3,$AC$2:$AC$1156)</f>
        <v>182421559.57875997</v>
      </c>
      <c r="AK3" s="59">
        <f ca="1">SUMIF($B$2:$B$1156,AI3,$AE$2:$AE$1156)+SUMIF($B$2:$B$1156,AI3,$AF$2:$AF$1156)</f>
        <v>233438955.79291284</v>
      </c>
      <c r="AL3" s="60">
        <f t="shared" ca="1" si="0"/>
        <v>0.27966758058619856</v>
      </c>
      <c r="AN3" s="58" t="s">
        <v>22</v>
      </c>
      <c r="AO3" s="59">
        <f>SUMIF($B$2:$B$1156,AN3,$AD$2:$AD$1156)</f>
        <v>160041944.63641003</v>
      </c>
      <c r="AP3" s="59">
        <f>SUMIF($B$2:$B$1156,AN3,$AG$2:$AG$1156)</f>
        <v>200089829.36904809</v>
      </c>
      <c r="AQ3" s="60">
        <f t="shared" si="1"/>
        <v>0.25023367982450173</v>
      </c>
      <c r="AS3" s="58" t="s">
        <v>22</v>
      </c>
      <c r="AT3" s="59">
        <f>SUMIF($B$2:$B$1156,AS3,$AB$2:$AB$1156)+SUMIF($B$2:$B$1156,AS3,$AC$2:$AC$1156)+SUMIF($B$2:$B$1156,AS3,$AD$2:$AD$1156)</f>
        <v>342463504.21517003</v>
      </c>
      <c r="AU3" s="59">
        <f ca="1">SUMIF($B$2:$B$1156,AS3,$AE$2:$AE$1156)+SUMIF($B$2:$B$1156,AS3,$AF$2:$AF$1156)+SUMIF($B$2:$B$1156,AS3,$AG$2:$AG$1156)</f>
        <v>433528785.16196096</v>
      </c>
      <c r="AV3" s="60">
        <f t="shared" ca="1" si="2"/>
        <v>0.26591236679507468</v>
      </c>
    </row>
    <row r="4" spans="1:48" ht="11.25" customHeight="1" x14ac:dyDescent="0.25">
      <c r="A4" s="3" t="s">
        <v>21</v>
      </c>
      <c r="B4" s="3" t="s">
        <v>39</v>
      </c>
      <c r="C4" s="3" t="s">
        <v>40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35</v>
      </c>
      <c r="I4" s="6">
        <v>44531</v>
      </c>
      <c r="J4" s="4">
        <v>6503</v>
      </c>
      <c r="K4" s="4">
        <v>6503</v>
      </c>
      <c r="L4" s="4">
        <v>2177.9250000000002</v>
      </c>
      <c r="M4" s="4">
        <v>2177.9250000000002</v>
      </c>
      <c r="N4" s="4">
        <v>2177.9250000000002</v>
      </c>
      <c r="O4" s="4">
        <v>2177.9250000000002</v>
      </c>
      <c r="P4" s="4">
        <v>0</v>
      </c>
      <c r="Q4" s="3" t="s">
        <v>26</v>
      </c>
      <c r="R4" s="3">
        <v>0</v>
      </c>
      <c r="S4" s="4">
        <v>27</v>
      </c>
      <c r="T4" s="4">
        <v>23</v>
      </c>
      <c r="U4" s="4">
        <v>59</v>
      </c>
      <c r="V4" s="4">
        <f>IF(ISERROR(VLOOKUP($S$4,'TAR FIN'!$A$1:$O$92,15,0)),0,VLOOKUP($S$4,'TAR FIN'!$A$1:$O$92,15,0))</f>
        <v>14.64</v>
      </c>
      <c r="W4" s="4">
        <f>IF(ISERROR(VLOOKUP($T$4,'TAR FIN'!$A$1:$O$92,15,0)),0,VLOOKUP($T$4,'TAR FIN'!$A$1:$O$92,15,0))</f>
        <v>87.73</v>
      </c>
      <c r="X4" s="4">
        <f>IF(ISERROR(VLOOKUP($U$4,'TAR FIN'!$A$1:$O$92,15,0)),0,VLOOKUP($U$4,'TAR FIN'!$A$1:$O$92,15,0))</f>
        <v>253.9</v>
      </c>
      <c r="Y4" s="4">
        <f ca="1">('TUSD BE'!$AM$6+'TUSD BF'!$AM$6+'TUSD CVA'!$AM$6)*1</f>
        <v>19.024476785546895</v>
      </c>
      <c r="Z4" s="4">
        <f ca="1">('TUSD BE'!$AM$7+'TUSD BF'!$AM$7+'TUSD CVA'!$AM$7)*1</f>
        <v>109.44196476324252</v>
      </c>
      <c r="AA4" s="4">
        <f>('TE BE'!$AB$6+'TE BF'!$AB$6+'TE CVA'!$AB$6)*1</f>
        <v>317.3874512882154</v>
      </c>
      <c r="AB4" s="4">
        <f>$K$4*$V$4</f>
        <v>95203.92</v>
      </c>
      <c r="AC4" s="4">
        <f>$M$4*$W$4</f>
        <v>191069.36025000003</v>
      </c>
      <c r="AD4" s="4">
        <f>$O$4*$X$4</f>
        <v>552975.15750000009</v>
      </c>
      <c r="AE4" s="4">
        <f ca="1">$K$4*$Y$4</f>
        <v>123716.17253641145</v>
      </c>
      <c r="AF4" s="4">
        <f ca="1">$M$4*$Z$4</f>
        <v>238356.39110698499</v>
      </c>
      <c r="AG4" s="4">
        <f>$O$4*$AA$4</f>
        <v>691246.06484688655</v>
      </c>
      <c r="AI4" s="58" t="s">
        <v>43</v>
      </c>
      <c r="AJ4" s="59">
        <f>SUMIF($B$2:$B$1156,AI4,$AB$2:$AB$1156)+SUMIF($B$2:$B$1156,AI4,$AC$2:$AC$1156)</f>
        <v>14911789.953390403</v>
      </c>
      <c r="AK4" s="59">
        <f ca="1">SUMIF($B$2:$B$1156,AI4,$AE$2:$AE$1156)+SUMIF($B$2:$B$1156,AI4,$AF$2:$AF$1156)</f>
        <v>20417735.053716682</v>
      </c>
      <c r="AL4" s="60">
        <f t="shared" ca="1" si="0"/>
        <v>0.36923435198162946</v>
      </c>
      <c r="AN4" s="58" t="s">
        <v>43</v>
      </c>
      <c r="AO4" s="59">
        <f>SUMIF($B$2:$B$1156,AN4,$AD$2:$AD$1156)</f>
        <v>12883293.2945749</v>
      </c>
      <c r="AP4" s="59">
        <f>SUMIF($B$2:$B$1156,AN4,$AG$2:$AG$1156)</f>
        <v>17204854.946278963</v>
      </c>
      <c r="AQ4" s="60">
        <f t="shared" si="1"/>
        <v>0.33543920431617091</v>
      </c>
      <c r="AS4" s="58" t="s">
        <v>43</v>
      </c>
      <c r="AT4" s="59">
        <f>SUMIF($B$2:$B$1156,AS4,$AB$2:$AB$1156)+SUMIF($B$2:$B$1156,AS4,$AC$2:$AC$1156)+SUMIF($B$2:$B$1156,AS4,$AD$2:$AD$1156)</f>
        <v>27795083.247965302</v>
      </c>
      <c r="AU4" s="59">
        <f ca="1">SUMIF($B$2:$B$1156,AS4,$AE$2:$AE$1156)+SUMIF($B$2:$B$1156,AS4,$AF$2:$AF$1156)+SUMIF($B$2:$B$1156,AS4,$AG$2:$AG$1156)</f>
        <v>37622589.999995649</v>
      </c>
      <c r="AV4" s="60">
        <f t="shared" ca="1" si="2"/>
        <v>0.35356997006834856</v>
      </c>
    </row>
    <row r="5" spans="1:48" ht="11.25" customHeight="1" x14ac:dyDescent="0.25">
      <c r="A5" s="3" t="s">
        <v>27</v>
      </c>
      <c r="B5" s="3" t="s">
        <v>39</v>
      </c>
      <c r="C5" s="3" t="s">
        <v>40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35</v>
      </c>
      <c r="I5" s="6">
        <v>44531</v>
      </c>
      <c r="J5" s="4">
        <v>-300</v>
      </c>
      <c r="K5" s="4">
        <v>-300</v>
      </c>
      <c r="L5" s="4">
        <v>-4.2889999999999997</v>
      </c>
      <c r="M5" s="4">
        <v>-4.2889999999999997</v>
      </c>
      <c r="N5" s="4">
        <v>-4.2889999999999997</v>
      </c>
      <c r="O5" s="4">
        <v>-4.2889999999999997</v>
      </c>
      <c r="P5" s="4">
        <v>0</v>
      </c>
      <c r="Q5" s="3" t="s">
        <v>26</v>
      </c>
      <c r="R5" s="3">
        <v>0</v>
      </c>
      <c r="S5" s="4">
        <v>27</v>
      </c>
      <c r="T5" s="4">
        <v>23</v>
      </c>
      <c r="U5" s="4">
        <v>59</v>
      </c>
      <c r="V5" s="4">
        <f>IF(ISERROR(VLOOKUP($S$5,'TAR FIN'!$A$1:$O$92,15,0)),0,VLOOKUP($S$5,'TAR FIN'!$A$1:$O$92,15,0))</f>
        <v>14.64</v>
      </c>
      <c r="W5" s="4">
        <f>IF(ISERROR(VLOOKUP($T$5,'TAR FIN'!$A$1:$O$92,15,0)),0,VLOOKUP($T$5,'TAR FIN'!$A$1:$O$92,15,0))</f>
        <v>87.73</v>
      </c>
      <c r="X5" s="4">
        <f>IF(ISERROR(VLOOKUP($U$5,'TAR FIN'!$A$1:$O$92,15,0)),0,VLOOKUP($U$5,'TAR FIN'!$A$1:$O$92,15,0))</f>
        <v>253.9</v>
      </c>
      <c r="Y5" s="4">
        <f ca="1">('TUSD BE'!$AM$6+'TUSD BF'!$AM$6+'TUSD CVA'!$AM$6)*1</f>
        <v>19.024476785546895</v>
      </c>
      <c r="Z5" s="4">
        <f ca="1">('TUSD BE'!$AM$7+'TUSD BF'!$AM$7+'TUSD CVA'!$AM$7)*1</f>
        <v>109.44196476324252</v>
      </c>
      <c r="AA5" s="4">
        <f>('TE BE'!$AB$6+'TE BF'!$AB$6+'TE CVA'!$AB$6)*1</f>
        <v>317.3874512882154</v>
      </c>
      <c r="AB5" s="4">
        <f>$K$5*$V$5</f>
        <v>-4392</v>
      </c>
      <c r="AC5" s="4">
        <f>$M$5*$W$5</f>
        <v>-376.27396999999996</v>
      </c>
      <c r="AD5" s="4">
        <f>$O$5*$X$5</f>
        <v>-1088.9770999999998</v>
      </c>
      <c r="AE5" s="4">
        <f ca="1">$K$5*$Y$5</f>
        <v>-5707.3430356640683</v>
      </c>
      <c r="AF5" s="4">
        <f ca="1">$M$5*$Z$5</f>
        <v>-469.39658686954715</v>
      </c>
      <c r="AG5" s="4">
        <f>$O$5*$AA$5</f>
        <v>-1361.2747785751558</v>
      </c>
      <c r="AI5" s="58" t="s">
        <v>37</v>
      </c>
      <c r="AJ5" s="59">
        <f>SUMIF($B$2:$B$1156,AI5,$AB$2:$AB$1156)+SUMIF($B$2:$B$1156,AI5,$AC$2:$AC$1156)</f>
        <v>61592626.335863188</v>
      </c>
      <c r="AK5" s="59">
        <f ca="1">SUMIF($B$2:$B$1156,AI5,$AE$2:$AE$1156)+SUMIF($B$2:$B$1156,AI5,$AF$2:$AF$1156)</f>
        <v>79057198.112142041</v>
      </c>
      <c r="AL5" s="60">
        <f t="shared" ca="1" si="0"/>
        <v>0.28354971715355903</v>
      </c>
      <c r="AN5" s="58" t="s">
        <v>37</v>
      </c>
      <c r="AO5" s="59">
        <f>SUMIF($B$2:$B$1156,AN5,$AD$2:$AD$1156)</f>
        <v>53219589.849661596</v>
      </c>
      <c r="AP5" s="59">
        <f>SUMIF($B$2:$B$1156,AN5,$AG$2:$AG$1156)</f>
        <v>66635493.881756522</v>
      </c>
      <c r="AQ5" s="60">
        <f t="shared" si="1"/>
        <v>0.2520858215930093</v>
      </c>
      <c r="AS5" s="58" t="s">
        <v>37</v>
      </c>
      <c r="AT5" s="59">
        <f>SUMIF($B$2:$B$1156,AS5,$AB$2:$AB$1156)+SUMIF($B$2:$B$1156,AS5,$AC$2:$AC$1156)+SUMIF($B$2:$B$1156,AS5,$AD$2:$AD$1156)</f>
        <v>114812216.18552479</v>
      </c>
      <c r="AU5" s="59">
        <f ca="1">SUMIF($B$2:$B$1156,AS5,$AE$2:$AE$1156)+SUMIF($B$2:$B$1156,AS5,$AF$2:$AF$1156)+SUMIF($B$2:$B$1156,AS5,$AG$2:$AG$1156)</f>
        <v>145692691.99389857</v>
      </c>
      <c r="AV5" s="60">
        <f t="shared" ca="1" si="2"/>
        <v>0.26896507039350315</v>
      </c>
    </row>
    <row r="6" spans="1:48" ht="11.25" customHeight="1" x14ac:dyDescent="0.25">
      <c r="A6" s="3" t="s">
        <v>28</v>
      </c>
      <c r="B6" s="3" t="s">
        <v>39</v>
      </c>
      <c r="C6" s="3" t="s">
        <v>40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35</v>
      </c>
      <c r="I6" s="6">
        <v>44531</v>
      </c>
      <c r="J6" s="4">
        <v>45</v>
      </c>
      <c r="K6" s="4">
        <v>45</v>
      </c>
      <c r="L6" s="4">
        <v>3.9359999999999999</v>
      </c>
      <c r="M6" s="4">
        <v>3.9359999999999999</v>
      </c>
      <c r="N6" s="4">
        <v>3.9359999999999999</v>
      </c>
      <c r="O6" s="4">
        <v>3.9359999999999999</v>
      </c>
      <c r="P6" s="4">
        <v>0</v>
      </c>
      <c r="Q6" s="3" t="s">
        <v>26</v>
      </c>
      <c r="R6" s="3">
        <v>0</v>
      </c>
      <c r="S6" s="4">
        <v>27</v>
      </c>
      <c r="T6" s="4">
        <v>23</v>
      </c>
      <c r="U6" s="4">
        <v>59</v>
      </c>
      <c r="V6" s="4">
        <f>IF(ISERROR(VLOOKUP($S$6,'TAR FIN'!$A$1:$O$92,15,0)),0,VLOOKUP($S$6,'TAR FIN'!$A$1:$O$92,15,0))</f>
        <v>14.64</v>
      </c>
      <c r="W6" s="4">
        <f>IF(ISERROR(VLOOKUP($T$6,'TAR FIN'!$A$1:$O$92,15,0)),0,VLOOKUP($T$6,'TAR FIN'!$A$1:$O$92,15,0))</f>
        <v>87.73</v>
      </c>
      <c r="X6" s="4">
        <f>IF(ISERROR(VLOOKUP($U$6,'TAR FIN'!$A$1:$O$92,15,0)),0,VLOOKUP($U$6,'TAR FIN'!$A$1:$O$92,15,0))</f>
        <v>253.9</v>
      </c>
      <c r="Y6" s="4">
        <f ca="1">('TUSD BE'!$AM$6+'TUSD BF'!$AM$6+'TUSD CVA'!$AM$6)*1</f>
        <v>19.024476785546895</v>
      </c>
      <c r="Z6" s="4">
        <f ca="1">('TUSD BE'!$AM$7+'TUSD BF'!$AM$7+'TUSD CVA'!$AM$7)*1</f>
        <v>109.44196476324252</v>
      </c>
      <c r="AA6" s="4">
        <f>('TE BE'!$AB$6+'TE BF'!$AB$6+'TE CVA'!$AB$6)*1</f>
        <v>317.3874512882154</v>
      </c>
      <c r="AB6" s="4">
        <f>$K$6*$V$6</f>
        <v>658.80000000000007</v>
      </c>
      <c r="AC6" s="4">
        <f>$M$6*$W$6</f>
        <v>345.30528000000004</v>
      </c>
      <c r="AD6" s="4">
        <f>$O$6*$X$6</f>
        <v>999.35040000000004</v>
      </c>
      <c r="AE6" s="4">
        <f ca="1">$K$6*$Y$6</f>
        <v>856.10145534961032</v>
      </c>
      <c r="AF6" s="4">
        <f ca="1">$M$6*$Z$6</f>
        <v>430.76357330812255</v>
      </c>
      <c r="AG6" s="4">
        <f>$O$6*$AA$6</f>
        <v>1249.2370082704158</v>
      </c>
      <c r="AI6" s="58" t="s">
        <v>46</v>
      </c>
      <c r="AJ6" s="59">
        <f>SUMIF($B$2:$B$1156,AI6,$AB$2:$AB$1156)+SUMIF($B$2:$B$1156,AI6,$AC$2:$AC$1156)</f>
        <v>7275752.1446999991</v>
      </c>
      <c r="AK6" s="59">
        <f ca="1">SUMIF($B$2:$B$1156,AI6,$AE$2:$AE$1156)+SUMIF($B$2:$B$1156,AI6,$AF$2:$AF$1156)</f>
        <v>9324686.8943201359</v>
      </c>
      <c r="AL6" s="60">
        <f t="shared" ca="1" si="0"/>
        <v>0.28161140028837806</v>
      </c>
      <c r="AN6" s="58" t="s">
        <v>46</v>
      </c>
      <c r="AO6" s="59">
        <f>SUMIF($B$2:$B$1156,AN6,$AD$2:$AD$1156)</f>
        <v>6284743.792299998</v>
      </c>
      <c r="AP6" s="59">
        <f>SUMIF($B$2:$B$1156,AN6,$AG$2:$AG$1156)</f>
        <v>7857375.8857844174</v>
      </c>
      <c r="AQ6" s="60">
        <f t="shared" si="1"/>
        <v>0.25023010411517355</v>
      </c>
      <c r="AS6" s="58" t="s">
        <v>46</v>
      </c>
      <c r="AT6" s="59">
        <f>SUMIF($B$2:$B$1156,AS6,$AB$2:$AB$1156)+SUMIF($B$2:$B$1156,AS6,$AC$2:$AC$1156)+SUMIF($B$2:$B$1156,AS6,$AD$2:$AD$1156)</f>
        <v>13560495.936999997</v>
      </c>
      <c r="AU6" s="59">
        <f ca="1">SUMIF($B$2:$B$1156,AS6,$AE$2:$AE$1156)+SUMIF($B$2:$B$1156,AS6,$AF$2:$AF$1156)+SUMIF($B$2:$B$1156,AS6,$AG$2:$AG$1156)</f>
        <v>17182062.780104555</v>
      </c>
      <c r="AV6" s="60">
        <f t="shared" ca="1" si="2"/>
        <v>0.26706743322145488</v>
      </c>
    </row>
    <row r="7" spans="1:48" ht="11.25" customHeight="1" x14ac:dyDescent="0.25">
      <c r="A7" s="3" t="s">
        <v>21</v>
      </c>
      <c r="B7" s="3" t="s">
        <v>39</v>
      </c>
      <c r="C7" s="3" t="s">
        <v>40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35</v>
      </c>
      <c r="I7" s="6">
        <v>44562</v>
      </c>
      <c r="J7" s="4">
        <v>6464</v>
      </c>
      <c r="K7" s="4">
        <v>6464</v>
      </c>
      <c r="L7" s="4">
        <v>2135.6469999999999</v>
      </c>
      <c r="M7" s="4">
        <v>2135.6469999999999</v>
      </c>
      <c r="N7" s="4">
        <v>2135.6469999999999</v>
      </c>
      <c r="O7" s="4">
        <v>2135.6469999999999</v>
      </c>
      <c r="P7" s="4">
        <v>0</v>
      </c>
      <c r="Q7" s="3" t="s">
        <v>26</v>
      </c>
      <c r="R7" s="3">
        <v>0</v>
      </c>
      <c r="S7" s="4">
        <v>27</v>
      </c>
      <c r="T7" s="4">
        <v>23</v>
      </c>
      <c r="U7" s="4">
        <v>59</v>
      </c>
      <c r="V7" s="4">
        <f>IF(ISERROR(VLOOKUP($S$7,'TAR FIN'!$A$1:$O$92,15,0)),0,VLOOKUP($S$7,'TAR FIN'!$A$1:$O$92,15,0))</f>
        <v>14.64</v>
      </c>
      <c r="W7" s="4">
        <f>IF(ISERROR(VLOOKUP($T$7,'TAR FIN'!$A$1:$O$92,15,0)),0,VLOOKUP($T$7,'TAR FIN'!$A$1:$O$92,15,0))</f>
        <v>87.73</v>
      </c>
      <c r="X7" s="4">
        <f>IF(ISERROR(VLOOKUP($U$7,'TAR FIN'!$A$1:$O$92,15,0)),0,VLOOKUP($U$7,'TAR FIN'!$A$1:$O$92,15,0))</f>
        <v>253.9</v>
      </c>
      <c r="Y7" s="4">
        <f ca="1">('TUSD BE'!$AM$6+'TUSD BF'!$AM$6+'TUSD CVA'!$AM$6)*1</f>
        <v>19.024476785546895</v>
      </c>
      <c r="Z7" s="4">
        <f ca="1">('TUSD BE'!$AM$7+'TUSD BF'!$AM$7+'TUSD CVA'!$AM$7)*1</f>
        <v>109.44196476324252</v>
      </c>
      <c r="AA7" s="4">
        <f>('TE BE'!$AB$6+'TE BF'!$AB$6+'TE CVA'!$AB$6)*1</f>
        <v>317.3874512882154</v>
      </c>
      <c r="AB7" s="4">
        <f>$K$7*$V$7</f>
        <v>94632.960000000006</v>
      </c>
      <c r="AC7" s="4">
        <f>$M$7*$W$7</f>
        <v>187360.31130999999</v>
      </c>
      <c r="AD7" s="4">
        <f>$O$7*$X$7</f>
        <v>542240.7733</v>
      </c>
      <c r="AE7" s="4">
        <f ca="1">$K$7*$Y$7</f>
        <v>122974.21794177513</v>
      </c>
      <c r="AF7" s="4">
        <f ca="1">$M$7*$Z$7</f>
        <v>233729.4037207246</v>
      </c>
      <c r="AG7" s="4">
        <f>$O$7*$AA$7</f>
        <v>677827.55818132334</v>
      </c>
      <c r="AI7" s="58" t="s">
        <v>734</v>
      </c>
      <c r="AJ7" s="59">
        <f>+$AJ$2</f>
        <v>60049910.484731145</v>
      </c>
      <c r="AK7" s="59">
        <f ca="1">+$AK$2</f>
        <v>77112040.496381819</v>
      </c>
      <c r="AL7" s="60">
        <f t="shared" ca="1" si="0"/>
        <v>0.28413248036379768</v>
      </c>
      <c r="AN7" s="58" t="s">
        <v>734</v>
      </c>
      <c r="AO7" s="59">
        <f>+$AO$2</f>
        <v>64859675.671964027</v>
      </c>
      <c r="AP7" s="59">
        <f>+$AP$2</f>
        <v>81374034.488607675</v>
      </c>
      <c r="AQ7" s="60">
        <f t="shared" si="1"/>
        <v>0.25461673444324795</v>
      </c>
      <c r="AS7" s="58" t="s">
        <v>734</v>
      </c>
      <c r="AT7" s="59">
        <f>+$AT$2</f>
        <v>124909586.15669517</v>
      </c>
      <c r="AU7" s="59">
        <f ca="1">+$AU$2</f>
        <v>158486074.98498949</v>
      </c>
      <c r="AV7" s="60">
        <f t="shared" ca="1" si="2"/>
        <v>0.26880634114161306</v>
      </c>
    </row>
    <row r="8" spans="1:48" ht="11.25" customHeight="1" x14ac:dyDescent="0.25">
      <c r="A8" s="3" t="s">
        <v>28</v>
      </c>
      <c r="B8" s="3" t="s">
        <v>39</v>
      </c>
      <c r="C8" s="3" t="s">
        <v>40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35</v>
      </c>
      <c r="I8" s="6">
        <v>44562</v>
      </c>
      <c r="J8" s="4">
        <v>45</v>
      </c>
      <c r="K8" s="4">
        <v>45</v>
      </c>
      <c r="L8" s="4">
        <v>3.8570000000000002</v>
      </c>
      <c r="M8" s="4">
        <v>3.8570000000000002</v>
      </c>
      <c r="N8" s="4">
        <v>3.8570000000000002</v>
      </c>
      <c r="O8" s="4">
        <v>3.8570000000000002</v>
      </c>
      <c r="P8" s="4">
        <v>0</v>
      </c>
      <c r="Q8" s="3" t="s">
        <v>26</v>
      </c>
      <c r="R8" s="3">
        <v>0</v>
      </c>
      <c r="S8" s="4">
        <v>27</v>
      </c>
      <c r="T8" s="4">
        <v>23</v>
      </c>
      <c r="U8" s="4">
        <v>59</v>
      </c>
      <c r="V8" s="4">
        <f>IF(ISERROR(VLOOKUP($S$8,'TAR FIN'!$A$1:$O$92,15,0)),0,VLOOKUP($S$8,'TAR FIN'!$A$1:$O$92,15,0))</f>
        <v>14.64</v>
      </c>
      <c r="W8" s="4">
        <f>IF(ISERROR(VLOOKUP($T$8,'TAR FIN'!$A$1:$O$92,15,0)),0,VLOOKUP($T$8,'TAR FIN'!$A$1:$O$92,15,0))</f>
        <v>87.73</v>
      </c>
      <c r="X8" s="4">
        <f>IF(ISERROR(VLOOKUP($U$8,'TAR FIN'!$A$1:$O$92,15,0)),0,VLOOKUP($U$8,'TAR FIN'!$A$1:$O$92,15,0))</f>
        <v>253.9</v>
      </c>
      <c r="Y8" s="4">
        <f ca="1">('TUSD BE'!$AM$6+'TUSD BF'!$AM$6+'TUSD CVA'!$AM$6)*1</f>
        <v>19.024476785546895</v>
      </c>
      <c r="Z8" s="4">
        <f ca="1">('TUSD BE'!$AM$7+'TUSD BF'!$AM$7+'TUSD CVA'!$AM$7)*1</f>
        <v>109.44196476324252</v>
      </c>
      <c r="AA8" s="4">
        <f>('TE BE'!$AB$6+'TE BF'!$AB$6+'TE CVA'!$AB$6)*1</f>
        <v>317.3874512882154</v>
      </c>
      <c r="AB8" s="4">
        <f>$K$8*$V$8</f>
        <v>658.80000000000007</v>
      </c>
      <c r="AC8" s="4">
        <f>$M$8*$W$8</f>
        <v>338.37461000000002</v>
      </c>
      <c r="AD8" s="4">
        <f>$O$8*$X$8</f>
        <v>979.29230000000007</v>
      </c>
      <c r="AE8" s="4">
        <f ca="1">$K$8*$Y$8</f>
        <v>856.10145534961032</v>
      </c>
      <c r="AF8" s="4">
        <f ca="1">$M$8*$Z$8</f>
        <v>422.11765809182646</v>
      </c>
      <c r="AG8" s="4">
        <f>$O$8*$AA$8</f>
        <v>1224.163399618647</v>
      </c>
      <c r="AI8" s="58" t="s">
        <v>82</v>
      </c>
      <c r="AJ8" s="59">
        <f>+$AJ$3+$AJ$4+$AJ$5+$AJ$6</f>
        <v>266201728.01271355</v>
      </c>
      <c r="AK8" s="59">
        <f ca="1">+$AK$3+$AK$4+$AK$5+$AK$6</f>
        <v>342238575.85309172</v>
      </c>
      <c r="AL8" s="60">
        <f t="shared" ca="1" si="0"/>
        <v>0.28563619180092892</v>
      </c>
      <c r="AN8" s="58" t="s">
        <v>82</v>
      </c>
      <c r="AO8" s="59">
        <f>+$AO$3+$AO$4+$AO$5+$AO$6</f>
        <v>232429571.57294649</v>
      </c>
      <c r="AP8" s="59">
        <f>+$AP$3+$AP$4+$AP$5+$AP$6</f>
        <v>291787554.08286798</v>
      </c>
      <c r="AQ8" s="60">
        <f t="shared" si="1"/>
        <v>0.25538050992488448</v>
      </c>
      <c r="AS8" s="58" t="s">
        <v>82</v>
      </c>
      <c r="AT8" s="59">
        <f>+$AT$3+$AT$4+$AT$5+$AT$6</f>
        <v>498631299.58566004</v>
      </c>
      <c r="AU8" s="59">
        <f ca="1">+$AU$3+$AU$4+$AU$5+$AU$6</f>
        <v>634026129.9359597</v>
      </c>
      <c r="AV8" s="60">
        <f t="shared" ca="1" si="2"/>
        <v>0.27153295523727983</v>
      </c>
    </row>
    <row r="9" spans="1:48" ht="11.25" customHeight="1" x14ac:dyDescent="0.25">
      <c r="A9" s="3" t="s">
        <v>21</v>
      </c>
      <c r="B9" s="3" t="s">
        <v>39</v>
      </c>
      <c r="C9" s="3" t="s">
        <v>40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35</v>
      </c>
      <c r="I9" s="6">
        <v>44593</v>
      </c>
      <c r="J9" s="4">
        <v>6207</v>
      </c>
      <c r="K9" s="4">
        <v>6207</v>
      </c>
      <c r="L9" s="4">
        <v>1806.096</v>
      </c>
      <c r="M9" s="4">
        <v>1806.096</v>
      </c>
      <c r="N9" s="4">
        <v>1806.096</v>
      </c>
      <c r="O9" s="4">
        <v>1806.096</v>
      </c>
      <c r="P9" s="4">
        <v>0</v>
      </c>
      <c r="Q9" s="3" t="s">
        <v>26</v>
      </c>
      <c r="R9" s="3">
        <v>0</v>
      </c>
      <c r="S9" s="4">
        <v>27</v>
      </c>
      <c r="T9" s="4">
        <v>23</v>
      </c>
      <c r="U9" s="4">
        <v>59</v>
      </c>
      <c r="V9" s="4">
        <f>IF(ISERROR(VLOOKUP($S$9,'TAR FIN'!$A$1:$O$92,15,0)),0,VLOOKUP($S$9,'TAR FIN'!$A$1:$O$92,15,0))</f>
        <v>14.64</v>
      </c>
      <c r="W9" s="4">
        <f>IF(ISERROR(VLOOKUP($T$9,'TAR FIN'!$A$1:$O$92,15,0)),0,VLOOKUP($T$9,'TAR FIN'!$A$1:$O$92,15,0))</f>
        <v>87.73</v>
      </c>
      <c r="X9" s="4">
        <f>IF(ISERROR(VLOOKUP($U$9,'TAR FIN'!$A$1:$O$92,15,0)),0,VLOOKUP($U$9,'TAR FIN'!$A$1:$O$92,15,0))</f>
        <v>253.9</v>
      </c>
      <c r="Y9" s="4">
        <f ca="1">('TUSD BE'!$AM$6+'TUSD BF'!$AM$6+'TUSD CVA'!$AM$6)*1</f>
        <v>19.024476785546895</v>
      </c>
      <c r="Z9" s="4">
        <f ca="1">('TUSD BE'!$AM$7+'TUSD BF'!$AM$7+'TUSD CVA'!$AM$7)*1</f>
        <v>109.44196476324252</v>
      </c>
      <c r="AA9" s="4">
        <f>('TE BE'!$AB$6+'TE BF'!$AB$6+'TE CVA'!$AB$6)*1</f>
        <v>317.3874512882154</v>
      </c>
      <c r="AB9" s="4">
        <f>$K$9*$V$9</f>
        <v>90870.48000000001</v>
      </c>
      <c r="AC9" s="4">
        <f>$M$9*$W$9</f>
        <v>158448.80207999999</v>
      </c>
      <c r="AD9" s="4">
        <f>$O$9*$X$9</f>
        <v>458567.77439999999</v>
      </c>
      <c r="AE9" s="4">
        <f ca="1">$K$9*$Y$9</f>
        <v>118084.92740788958</v>
      </c>
      <c r="AF9" s="4">
        <f ca="1">$M$9*$Z$9</f>
        <v>197662.69479103328</v>
      </c>
      <c r="AG9" s="4">
        <f>$O$9*$AA$9</f>
        <v>573232.20622184069</v>
      </c>
      <c r="AI9" s="58" t="s">
        <v>735</v>
      </c>
      <c r="AJ9" s="59">
        <f>AJ8+AJ7</f>
        <v>326251638.49744469</v>
      </c>
      <c r="AK9" s="59">
        <f ca="1">AK8+AK7</f>
        <v>419350616.34947354</v>
      </c>
      <c r="AL9" s="60">
        <f t="shared" ca="1" si="0"/>
        <v>0.28535941851755031</v>
      </c>
      <c r="AN9" s="58" t="s">
        <v>735</v>
      </c>
      <c r="AO9" s="59">
        <f>AO8+AO7</f>
        <v>297289247.24491054</v>
      </c>
      <c r="AP9" s="59">
        <f>AP8+AP7</f>
        <v>373161588.57147563</v>
      </c>
      <c r="AQ9" s="60">
        <f t="shared" si="1"/>
        <v>0.25521387682098218</v>
      </c>
      <c r="AS9" s="58" t="s">
        <v>735</v>
      </c>
      <c r="AT9" s="59">
        <f>AT8+AT7</f>
        <v>623540885.74235523</v>
      </c>
      <c r="AU9" s="59">
        <f ca="1">AU8+AU7</f>
        <v>792512204.92094922</v>
      </c>
      <c r="AV9" s="60">
        <f t="shared" ca="1" si="2"/>
        <v>0.27098675169860842</v>
      </c>
    </row>
    <row r="10" spans="1:48" ht="11.25" customHeight="1" x14ac:dyDescent="0.25">
      <c r="A10" s="3" t="s">
        <v>28</v>
      </c>
      <c r="B10" s="3" t="s">
        <v>39</v>
      </c>
      <c r="C10" s="3" t="s">
        <v>40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35</v>
      </c>
      <c r="I10" s="6">
        <v>44593</v>
      </c>
      <c r="J10" s="4">
        <v>454</v>
      </c>
      <c r="K10" s="4">
        <v>454</v>
      </c>
      <c r="L10" s="4">
        <v>180.262</v>
      </c>
      <c r="M10" s="4">
        <v>180.262</v>
      </c>
      <c r="N10" s="4">
        <v>180.262</v>
      </c>
      <c r="O10" s="4">
        <v>180.262</v>
      </c>
      <c r="P10" s="4">
        <v>0</v>
      </c>
      <c r="Q10" s="3" t="s">
        <v>26</v>
      </c>
      <c r="R10" s="3">
        <v>0</v>
      </c>
      <c r="S10" s="4">
        <v>27</v>
      </c>
      <c r="T10" s="4">
        <v>23</v>
      </c>
      <c r="U10" s="4">
        <v>59</v>
      </c>
      <c r="V10" s="4">
        <f>IF(ISERROR(VLOOKUP($S$10,'TAR FIN'!$A$1:$O$92,15,0)),0,VLOOKUP($S$10,'TAR FIN'!$A$1:$O$92,15,0))</f>
        <v>14.64</v>
      </c>
      <c r="W10" s="4">
        <f>IF(ISERROR(VLOOKUP($T$10,'TAR FIN'!$A$1:$O$92,15,0)),0,VLOOKUP($T$10,'TAR FIN'!$A$1:$O$92,15,0))</f>
        <v>87.73</v>
      </c>
      <c r="X10" s="4">
        <f>IF(ISERROR(VLOOKUP($U$10,'TAR FIN'!$A$1:$O$92,15,0)),0,VLOOKUP($U$10,'TAR FIN'!$A$1:$O$92,15,0))</f>
        <v>253.9</v>
      </c>
      <c r="Y10" s="4">
        <f ca="1">('TUSD BE'!$AM$6+'TUSD BF'!$AM$6+'TUSD CVA'!$AM$6)*1</f>
        <v>19.024476785546895</v>
      </c>
      <c r="Z10" s="4">
        <f ca="1">('TUSD BE'!$AM$7+'TUSD BF'!$AM$7+'TUSD CVA'!$AM$7)*1</f>
        <v>109.44196476324252</v>
      </c>
      <c r="AA10" s="4">
        <f>('TE BE'!$AB$6+'TE BF'!$AB$6+'TE CVA'!$AB$6)*1</f>
        <v>317.3874512882154</v>
      </c>
      <c r="AB10" s="4">
        <f>$K$10*$V$10</f>
        <v>6646.56</v>
      </c>
      <c r="AC10" s="4">
        <f>$M$10*$W$10</f>
        <v>15814.385260000001</v>
      </c>
      <c r="AD10" s="4">
        <f>$O$10*$X$10</f>
        <v>45768.521800000002</v>
      </c>
      <c r="AE10" s="4">
        <f ca="1">$K$10*$Y$10</f>
        <v>8637.1124606382909</v>
      </c>
      <c r="AF10" s="4">
        <f ca="1">$M$10*$Z$10</f>
        <v>19728.227452151623</v>
      </c>
      <c r="AG10" s="4">
        <f>$O$10*$AA$10</f>
        <v>57212.896744116282</v>
      </c>
    </row>
    <row r="11" spans="1:48" ht="11.25" customHeight="1" x14ac:dyDescent="0.25">
      <c r="A11" s="3" t="s">
        <v>21</v>
      </c>
      <c r="B11" s="3" t="s">
        <v>39</v>
      </c>
      <c r="C11" s="3" t="s">
        <v>40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35</v>
      </c>
      <c r="I11" s="6">
        <v>44621</v>
      </c>
      <c r="J11" s="4">
        <v>6130</v>
      </c>
      <c r="K11" s="4">
        <v>6130</v>
      </c>
      <c r="L11" s="4">
        <v>1925.5060000000001</v>
      </c>
      <c r="M11" s="4">
        <v>1925.5060000000001</v>
      </c>
      <c r="N11" s="4">
        <v>1925.5060000000001</v>
      </c>
      <c r="O11" s="4">
        <v>1925.5060000000001</v>
      </c>
      <c r="P11" s="4">
        <v>0</v>
      </c>
      <c r="Q11" s="3" t="s">
        <v>26</v>
      </c>
      <c r="R11" s="3">
        <v>0</v>
      </c>
      <c r="S11" s="4">
        <v>27</v>
      </c>
      <c r="T11" s="4">
        <v>23</v>
      </c>
      <c r="U11" s="4">
        <v>59</v>
      </c>
      <c r="V11" s="4">
        <f>IF(ISERROR(VLOOKUP($S$11,'TAR FIN'!$A$1:$O$92,15,0)),0,VLOOKUP($S$11,'TAR FIN'!$A$1:$O$92,15,0))</f>
        <v>14.64</v>
      </c>
      <c r="W11" s="4">
        <f>IF(ISERROR(VLOOKUP($T$11,'TAR FIN'!$A$1:$O$92,15,0)),0,VLOOKUP($T$11,'TAR FIN'!$A$1:$O$92,15,0))</f>
        <v>87.73</v>
      </c>
      <c r="X11" s="4">
        <f>IF(ISERROR(VLOOKUP($U$11,'TAR FIN'!$A$1:$O$92,15,0)),0,VLOOKUP($U$11,'TAR FIN'!$A$1:$O$92,15,0))</f>
        <v>253.9</v>
      </c>
      <c r="Y11" s="4">
        <f ca="1">('TUSD BE'!$AM$6+'TUSD BF'!$AM$6+'TUSD CVA'!$AM$6)*1</f>
        <v>19.024476785546895</v>
      </c>
      <c r="Z11" s="4">
        <f ca="1">('TUSD BE'!$AM$7+'TUSD BF'!$AM$7+'TUSD CVA'!$AM$7)*1</f>
        <v>109.44196476324252</v>
      </c>
      <c r="AA11" s="4">
        <f>('TE BE'!$AB$6+'TE BF'!$AB$6+'TE CVA'!$AB$6)*1</f>
        <v>317.3874512882154</v>
      </c>
      <c r="AB11" s="4">
        <f>$K$11*$V$11</f>
        <v>89743.2</v>
      </c>
      <c r="AC11" s="4">
        <f>$M$11*$W$11</f>
        <v>168924.64138000002</v>
      </c>
      <c r="AD11" s="4">
        <f>$O$11*$X$11</f>
        <v>488885.97340000002</v>
      </c>
      <c r="AE11" s="4">
        <f ca="1">$K$11*$Y$11</f>
        <v>116620.04269540247</v>
      </c>
      <c r="AF11" s="4">
        <f ca="1">$M$11*$Z$11</f>
        <v>210731.15980341207</v>
      </c>
      <c r="AG11" s="4">
        <f>$O$11*$AA$11</f>
        <v>611131.44178016647</v>
      </c>
    </row>
    <row r="12" spans="1:48" ht="11.25" customHeight="1" x14ac:dyDescent="0.25">
      <c r="A12" s="3" t="s">
        <v>28</v>
      </c>
      <c r="B12" s="3" t="s">
        <v>39</v>
      </c>
      <c r="C12" s="3" t="s">
        <v>40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35</v>
      </c>
      <c r="I12" s="6">
        <v>44621</v>
      </c>
      <c r="J12" s="4">
        <v>447</v>
      </c>
      <c r="K12" s="4">
        <v>447</v>
      </c>
      <c r="L12" s="4">
        <v>192.25299999999999</v>
      </c>
      <c r="M12" s="4">
        <v>192.25299999999999</v>
      </c>
      <c r="N12" s="4">
        <v>192.25299999999999</v>
      </c>
      <c r="O12" s="4">
        <v>192.25299999999999</v>
      </c>
      <c r="P12" s="4">
        <v>0</v>
      </c>
      <c r="Q12" s="3" t="s">
        <v>26</v>
      </c>
      <c r="R12" s="3">
        <v>0</v>
      </c>
      <c r="S12" s="4">
        <v>27</v>
      </c>
      <c r="T12" s="4">
        <v>23</v>
      </c>
      <c r="U12" s="4">
        <v>59</v>
      </c>
      <c r="V12" s="4">
        <f>IF(ISERROR(VLOOKUP($S$12,'TAR FIN'!$A$1:$O$92,15,0)),0,VLOOKUP($S$12,'TAR FIN'!$A$1:$O$92,15,0))</f>
        <v>14.64</v>
      </c>
      <c r="W12" s="4">
        <f>IF(ISERROR(VLOOKUP($T$12,'TAR FIN'!$A$1:$O$92,15,0)),0,VLOOKUP($T$12,'TAR FIN'!$A$1:$O$92,15,0))</f>
        <v>87.73</v>
      </c>
      <c r="X12" s="4">
        <f>IF(ISERROR(VLOOKUP($U$12,'TAR FIN'!$A$1:$O$92,15,0)),0,VLOOKUP($U$12,'TAR FIN'!$A$1:$O$92,15,0))</f>
        <v>253.9</v>
      </c>
      <c r="Y12" s="4">
        <f ca="1">('TUSD BE'!$AM$6+'TUSD BF'!$AM$6+'TUSD CVA'!$AM$6)*1</f>
        <v>19.024476785546895</v>
      </c>
      <c r="Z12" s="4">
        <f ca="1">('TUSD BE'!$AM$7+'TUSD BF'!$AM$7+'TUSD CVA'!$AM$7)*1</f>
        <v>109.44196476324252</v>
      </c>
      <c r="AA12" s="4">
        <f>('TE BE'!$AB$6+'TE BF'!$AB$6+'TE CVA'!$AB$6)*1</f>
        <v>317.3874512882154</v>
      </c>
      <c r="AB12" s="4">
        <f>$K$12*$V$12</f>
        <v>6544.08</v>
      </c>
      <c r="AC12" s="4">
        <f>$M$12*$W$12</f>
        <v>16866.35569</v>
      </c>
      <c r="AD12" s="4">
        <f>$O$12*$X$12</f>
        <v>48813.036699999997</v>
      </c>
      <c r="AE12" s="4">
        <f ca="1">$K$12*$Y$12</f>
        <v>8503.9411231394624</v>
      </c>
      <c r="AF12" s="4">
        <f ca="1">$M$12*$Z$12</f>
        <v>21040.546051627662</v>
      </c>
      <c r="AG12" s="4">
        <f>$O$12*$AA$12</f>
        <v>61018.689672513268</v>
      </c>
    </row>
    <row r="13" spans="1:48" ht="11.25" customHeight="1" x14ac:dyDescent="0.25">
      <c r="A13" s="3" t="s">
        <v>21</v>
      </c>
      <c r="B13" s="3" t="s">
        <v>39</v>
      </c>
      <c r="C13" s="3" t="s">
        <v>40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35</v>
      </c>
      <c r="I13" s="6">
        <v>44652</v>
      </c>
      <c r="J13" s="4">
        <v>6130</v>
      </c>
      <c r="K13" s="4">
        <v>6130</v>
      </c>
      <c r="L13" s="4">
        <v>1925.5060000000001</v>
      </c>
      <c r="M13" s="4">
        <v>1925.5060000000001</v>
      </c>
      <c r="N13" s="4">
        <v>1925.5060000000001</v>
      </c>
      <c r="O13" s="4">
        <v>1925.5060000000001</v>
      </c>
      <c r="P13" s="4">
        <v>0</v>
      </c>
      <c r="Q13" s="3" t="s">
        <v>26</v>
      </c>
      <c r="R13" s="3">
        <v>0</v>
      </c>
      <c r="S13" s="4">
        <v>27</v>
      </c>
      <c r="T13" s="4">
        <v>23</v>
      </c>
      <c r="U13" s="4">
        <v>59</v>
      </c>
      <c r="V13" s="4">
        <f>IF(ISERROR(VLOOKUP($S$13,'TAR FIN'!$A$1:$O$92,15,0)),0,VLOOKUP($S$13,'TAR FIN'!$A$1:$O$92,15,0))</f>
        <v>14.64</v>
      </c>
      <c r="W13" s="4">
        <f>IF(ISERROR(VLOOKUP($T$13,'TAR FIN'!$A$1:$O$92,15,0)),0,VLOOKUP($T$13,'TAR FIN'!$A$1:$O$92,15,0))</f>
        <v>87.73</v>
      </c>
      <c r="X13" s="4">
        <f>IF(ISERROR(VLOOKUP($U$13,'TAR FIN'!$A$1:$O$92,15,0)),0,VLOOKUP($U$13,'TAR FIN'!$A$1:$O$92,15,0))</f>
        <v>253.9</v>
      </c>
      <c r="Y13" s="4">
        <f ca="1">('TUSD BE'!$AM$6+'TUSD BF'!$AM$6+'TUSD CVA'!$AM$6)*1</f>
        <v>19.024476785546895</v>
      </c>
      <c r="Z13" s="4">
        <f ca="1">('TUSD BE'!$AM$7+'TUSD BF'!$AM$7+'TUSD CVA'!$AM$7)*1</f>
        <v>109.44196476324252</v>
      </c>
      <c r="AA13" s="4">
        <f>('TE BE'!$AB$6+'TE BF'!$AB$6+'TE CVA'!$AB$6)*1</f>
        <v>317.3874512882154</v>
      </c>
      <c r="AB13" s="4">
        <f>$K$13*$V$13</f>
        <v>89743.2</v>
      </c>
      <c r="AC13" s="4">
        <f>$M$13*$W$13</f>
        <v>168924.64138000002</v>
      </c>
      <c r="AD13" s="4">
        <f>$O$13*$X$13</f>
        <v>488885.97340000002</v>
      </c>
      <c r="AE13" s="4">
        <f ca="1">$K$13*$Y$13</f>
        <v>116620.04269540247</v>
      </c>
      <c r="AF13" s="4">
        <f ca="1">$M$13*$Z$13</f>
        <v>210731.15980341207</v>
      </c>
      <c r="AG13" s="4">
        <f>$O$13*$AA$13</f>
        <v>611131.44178016647</v>
      </c>
    </row>
    <row r="14" spans="1:48" ht="11.25" customHeight="1" x14ac:dyDescent="0.25">
      <c r="A14" s="3" t="s">
        <v>28</v>
      </c>
      <c r="B14" s="3" t="s">
        <v>39</v>
      </c>
      <c r="C14" s="3" t="s">
        <v>40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35</v>
      </c>
      <c r="I14" s="6">
        <v>44652</v>
      </c>
      <c r="J14" s="4">
        <v>447</v>
      </c>
      <c r="K14" s="4">
        <v>447</v>
      </c>
      <c r="L14" s="4">
        <v>192.25299999999999</v>
      </c>
      <c r="M14" s="4">
        <v>192.25299999999999</v>
      </c>
      <c r="N14" s="4">
        <v>192.25299999999999</v>
      </c>
      <c r="O14" s="4">
        <v>192.25299999999999</v>
      </c>
      <c r="P14" s="4">
        <v>0</v>
      </c>
      <c r="Q14" s="3" t="s">
        <v>26</v>
      </c>
      <c r="R14" s="3">
        <v>0</v>
      </c>
      <c r="S14" s="4">
        <v>27</v>
      </c>
      <c r="T14" s="4">
        <v>23</v>
      </c>
      <c r="U14" s="4">
        <v>59</v>
      </c>
      <c r="V14" s="4">
        <f>IF(ISERROR(VLOOKUP($S$14,'TAR FIN'!$A$1:$O$92,15,0)),0,VLOOKUP($S$14,'TAR FIN'!$A$1:$O$92,15,0))</f>
        <v>14.64</v>
      </c>
      <c r="W14" s="4">
        <f>IF(ISERROR(VLOOKUP($T$14,'TAR FIN'!$A$1:$O$92,15,0)),0,VLOOKUP($T$14,'TAR FIN'!$A$1:$O$92,15,0))</f>
        <v>87.73</v>
      </c>
      <c r="X14" s="4">
        <f>IF(ISERROR(VLOOKUP($U$14,'TAR FIN'!$A$1:$O$92,15,0)),0,VLOOKUP($U$14,'TAR FIN'!$A$1:$O$92,15,0))</f>
        <v>253.9</v>
      </c>
      <c r="Y14" s="4">
        <f ca="1">('TUSD BE'!$AM$6+'TUSD BF'!$AM$6+'TUSD CVA'!$AM$6)*1</f>
        <v>19.024476785546895</v>
      </c>
      <c r="Z14" s="4">
        <f ca="1">('TUSD BE'!$AM$7+'TUSD BF'!$AM$7+'TUSD CVA'!$AM$7)*1</f>
        <v>109.44196476324252</v>
      </c>
      <c r="AA14" s="4">
        <f>('TE BE'!$AB$6+'TE BF'!$AB$6+'TE CVA'!$AB$6)*1</f>
        <v>317.3874512882154</v>
      </c>
      <c r="AB14" s="4">
        <f>$K$14*$V$14</f>
        <v>6544.08</v>
      </c>
      <c r="AC14" s="4">
        <f>$M$14*$W$14</f>
        <v>16866.35569</v>
      </c>
      <c r="AD14" s="4">
        <f>$O$14*$X$14</f>
        <v>48813.036699999997</v>
      </c>
      <c r="AE14" s="4">
        <f ca="1">$K$14*$Y$14</f>
        <v>8503.9411231394624</v>
      </c>
      <c r="AF14" s="4">
        <f ca="1">$M$14*$Z$14</f>
        <v>21040.546051627662</v>
      </c>
      <c r="AG14" s="4">
        <f>$O$14*$AA$14</f>
        <v>61018.689672513268</v>
      </c>
    </row>
    <row r="15" spans="1:48" ht="11.25" customHeight="1" x14ac:dyDescent="0.25">
      <c r="A15" s="3" t="s">
        <v>21</v>
      </c>
      <c r="B15" s="3" t="s">
        <v>39</v>
      </c>
      <c r="C15" s="3" t="s">
        <v>40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35</v>
      </c>
      <c r="I15" s="6">
        <v>44682</v>
      </c>
      <c r="J15" s="4">
        <v>6101</v>
      </c>
      <c r="K15" s="4">
        <v>6101</v>
      </c>
      <c r="L15" s="4">
        <v>1845.6110000000001</v>
      </c>
      <c r="M15" s="4">
        <v>1845.6110000000001</v>
      </c>
      <c r="N15" s="4">
        <v>1845.6110000000001</v>
      </c>
      <c r="O15" s="4">
        <v>1845.6110000000001</v>
      </c>
      <c r="P15" s="4">
        <v>0</v>
      </c>
      <c r="Q15" s="3" t="s">
        <v>26</v>
      </c>
      <c r="R15" s="3">
        <v>0</v>
      </c>
      <c r="S15" s="4">
        <v>27</v>
      </c>
      <c r="T15" s="4">
        <v>23</v>
      </c>
      <c r="U15" s="4">
        <v>59</v>
      </c>
      <c r="V15" s="4">
        <f>IF(ISERROR(VLOOKUP($S$15,'TAR FIN'!$A$1:$O$92,15,0)),0,VLOOKUP($S$15,'TAR FIN'!$A$1:$O$92,15,0))</f>
        <v>14.64</v>
      </c>
      <c r="W15" s="4">
        <f>IF(ISERROR(VLOOKUP($T$15,'TAR FIN'!$A$1:$O$92,15,0)),0,VLOOKUP($T$15,'TAR FIN'!$A$1:$O$92,15,0))</f>
        <v>87.73</v>
      </c>
      <c r="X15" s="4">
        <f>IF(ISERROR(VLOOKUP($U$15,'TAR FIN'!$A$1:$O$92,15,0)),0,VLOOKUP($U$15,'TAR FIN'!$A$1:$O$92,15,0))</f>
        <v>253.9</v>
      </c>
      <c r="Y15" s="4">
        <f ca="1">('TUSD BE'!$AM$6+'TUSD BF'!$AM$6+'TUSD CVA'!$AM$6)*1</f>
        <v>19.024476785546895</v>
      </c>
      <c r="Z15" s="4">
        <f ca="1">('TUSD BE'!$AM$7+'TUSD BF'!$AM$7+'TUSD CVA'!$AM$7)*1</f>
        <v>109.44196476324252</v>
      </c>
      <c r="AA15" s="4">
        <f>('TE BE'!$AB$6+'TE BF'!$AB$6+'TE CVA'!$AB$6)*1</f>
        <v>317.3874512882154</v>
      </c>
      <c r="AB15" s="4">
        <f>$K$15*$V$15</f>
        <v>89318.64</v>
      </c>
      <c r="AC15" s="4">
        <f>$M$15*$W$15</f>
        <v>161915.45303</v>
      </c>
      <c r="AD15" s="4">
        <f>$O$15*$X$15</f>
        <v>468600.63290000003</v>
      </c>
      <c r="AE15" s="4">
        <f ca="1">$K$15*$Y$15</f>
        <v>116068.33286862161</v>
      </c>
      <c r="AF15" s="4">
        <f ca="1">$M$15*$Z$15</f>
        <v>201987.2940286528</v>
      </c>
      <c r="AG15" s="4">
        <f>$O$15*$AA$15</f>
        <v>585773.77135949454</v>
      </c>
    </row>
    <row r="16" spans="1:48" ht="11.25" customHeight="1" x14ac:dyDescent="0.25">
      <c r="A16" s="3" t="s">
        <v>28</v>
      </c>
      <c r="B16" s="3" t="s">
        <v>39</v>
      </c>
      <c r="C16" s="3" t="s">
        <v>40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35</v>
      </c>
      <c r="I16" s="6">
        <v>44682</v>
      </c>
      <c r="J16" s="4">
        <v>1820</v>
      </c>
      <c r="K16" s="4">
        <v>1820</v>
      </c>
      <c r="L16" s="4">
        <v>752.96400000000006</v>
      </c>
      <c r="M16" s="4">
        <v>752.96400000000006</v>
      </c>
      <c r="N16" s="4">
        <v>752.96400000000006</v>
      </c>
      <c r="O16" s="4">
        <v>752.96400000000006</v>
      </c>
      <c r="P16" s="4">
        <v>0</v>
      </c>
      <c r="Q16" s="3" t="s">
        <v>26</v>
      </c>
      <c r="R16" s="3">
        <v>0</v>
      </c>
      <c r="S16" s="4">
        <v>27</v>
      </c>
      <c r="T16" s="4">
        <v>23</v>
      </c>
      <c r="U16" s="4">
        <v>59</v>
      </c>
      <c r="V16" s="4">
        <f>IF(ISERROR(VLOOKUP($S$16,'TAR FIN'!$A$1:$O$92,15,0)),0,VLOOKUP($S$16,'TAR FIN'!$A$1:$O$92,15,0))</f>
        <v>14.64</v>
      </c>
      <c r="W16" s="4">
        <f>IF(ISERROR(VLOOKUP($T$16,'TAR FIN'!$A$1:$O$92,15,0)),0,VLOOKUP($T$16,'TAR FIN'!$A$1:$O$92,15,0))</f>
        <v>87.73</v>
      </c>
      <c r="X16" s="4">
        <f>IF(ISERROR(VLOOKUP($U$16,'TAR FIN'!$A$1:$O$92,15,0)),0,VLOOKUP($U$16,'TAR FIN'!$A$1:$O$92,15,0))</f>
        <v>253.9</v>
      </c>
      <c r="Y16" s="4">
        <f ca="1">('TUSD BE'!$AM$6+'TUSD BF'!$AM$6+'TUSD CVA'!$AM$6)*1</f>
        <v>19.024476785546895</v>
      </c>
      <c r="Z16" s="4">
        <f ca="1">('TUSD BE'!$AM$7+'TUSD BF'!$AM$7+'TUSD CVA'!$AM$7)*1</f>
        <v>109.44196476324252</v>
      </c>
      <c r="AA16" s="4">
        <f>('TE BE'!$AB$6+'TE BF'!$AB$6+'TE CVA'!$AB$6)*1</f>
        <v>317.3874512882154</v>
      </c>
      <c r="AB16" s="4">
        <f>$K$16*$V$16</f>
        <v>26644.799999999999</v>
      </c>
      <c r="AC16" s="4">
        <f>$M$16*$W$16</f>
        <v>66057.531720000014</v>
      </c>
      <c r="AD16" s="4">
        <f>$O$16*$X$16</f>
        <v>191177.55960000001</v>
      </c>
      <c r="AE16" s="4">
        <f ca="1">$K$16*$Y$16</f>
        <v>34624.547749695346</v>
      </c>
      <c r="AF16" s="4">
        <f ca="1">$M$16*$Z$16</f>
        <v>82405.859555990144</v>
      </c>
      <c r="AG16" s="4">
        <f>$O$16*$AA$16</f>
        <v>238981.32487177983</v>
      </c>
    </row>
    <row r="17" spans="1:33" ht="11.25" customHeight="1" x14ac:dyDescent="0.25">
      <c r="A17" s="3" t="s">
        <v>21</v>
      </c>
      <c r="B17" s="3" t="s">
        <v>39</v>
      </c>
      <c r="C17" s="3" t="s">
        <v>40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35</v>
      </c>
      <c r="I17" s="6">
        <v>44713</v>
      </c>
      <c r="J17" s="4">
        <v>6024</v>
      </c>
      <c r="K17" s="4">
        <v>6024</v>
      </c>
      <c r="L17" s="4">
        <v>1795.8879999999999</v>
      </c>
      <c r="M17" s="4">
        <v>1795.8879999999999</v>
      </c>
      <c r="N17" s="4">
        <v>1795.8879999999999</v>
      </c>
      <c r="O17" s="4">
        <v>1795.8879999999999</v>
      </c>
      <c r="P17" s="4">
        <v>0</v>
      </c>
      <c r="Q17" s="3" t="s">
        <v>26</v>
      </c>
      <c r="R17" s="3">
        <v>0</v>
      </c>
      <c r="S17" s="4">
        <v>27</v>
      </c>
      <c r="T17" s="4">
        <v>23</v>
      </c>
      <c r="U17" s="4">
        <v>59</v>
      </c>
      <c r="V17" s="4">
        <f>IF(ISERROR(VLOOKUP($S$17,'TAR FIN'!$A$1:$O$92,15,0)),0,VLOOKUP($S$17,'TAR FIN'!$A$1:$O$92,15,0))</f>
        <v>14.64</v>
      </c>
      <c r="W17" s="4">
        <f>IF(ISERROR(VLOOKUP($T$17,'TAR FIN'!$A$1:$O$92,15,0)),0,VLOOKUP($T$17,'TAR FIN'!$A$1:$O$92,15,0))</f>
        <v>87.73</v>
      </c>
      <c r="X17" s="4">
        <f>IF(ISERROR(VLOOKUP($U$17,'TAR FIN'!$A$1:$O$92,15,0)),0,VLOOKUP($U$17,'TAR FIN'!$A$1:$O$92,15,0))</f>
        <v>253.9</v>
      </c>
      <c r="Y17" s="4">
        <f ca="1">('TUSD BE'!$AM$6+'TUSD BF'!$AM$6+'TUSD CVA'!$AM$6)*1</f>
        <v>19.024476785546895</v>
      </c>
      <c r="Z17" s="4">
        <f ca="1">('TUSD BE'!$AM$7+'TUSD BF'!$AM$7+'TUSD CVA'!$AM$7)*1</f>
        <v>109.44196476324252</v>
      </c>
      <c r="AA17" s="4">
        <f>('TE BE'!$AB$6+'TE BF'!$AB$6+'TE CVA'!$AB$6)*1</f>
        <v>317.3874512882154</v>
      </c>
      <c r="AB17" s="4">
        <f>$K$17*$V$17</f>
        <v>88191.360000000001</v>
      </c>
      <c r="AC17" s="4">
        <f>$M$17*$W$17</f>
        <v>157553.25424000001</v>
      </c>
      <c r="AD17" s="4">
        <f>$O$17*$X$17</f>
        <v>455975.9632</v>
      </c>
      <c r="AE17" s="4">
        <f ca="1">$K$17*$Y$17</f>
        <v>114603.4481561345</v>
      </c>
      <c r="AF17" s="4">
        <f ca="1">$M$17*$Z$17</f>
        <v>196545.51121473007</v>
      </c>
      <c r="AG17" s="4">
        <f>$O$17*$AA$17</f>
        <v>569992.31511909061</v>
      </c>
    </row>
    <row r="18" spans="1:33" ht="11.25" customHeight="1" x14ac:dyDescent="0.25">
      <c r="A18" s="3" t="s">
        <v>28</v>
      </c>
      <c r="B18" s="3" t="s">
        <v>39</v>
      </c>
      <c r="C18" s="3" t="s">
        <v>40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35</v>
      </c>
      <c r="I18" s="6">
        <v>44713</v>
      </c>
      <c r="J18" s="4">
        <v>445</v>
      </c>
      <c r="K18" s="4">
        <v>445</v>
      </c>
      <c r="L18" s="4">
        <v>181.529</v>
      </c>
      <c r="M18" s="4">
        <v>181.529</v>
      </c>
      <c r="N18" s="4">
        <v>181.529</v>
      </c>
      <c r="O18" s="4">
        <v>181.529</v>
      </c>
      <c r="P18" s="4">
        <v>0</v>
      </c>
      <c r="Q18" s="3" t="s">
        <v>26</v>
      </c>
      <c r="R18" s="3">
        <v>0</v>
      </c>
      <c r="S18" s="4">
        <v>27</v>
      </c>
      <c r="T18" s="4">
        <v>23</v>
      </c>
      <c r="U18" s="4">
        <v>59</v>
      </c>
      <c r="V18" s="4">
        <f>IF(ISERROR(VLOOKUP($S$18,'TAR FIN'!$A$1:$O$92,15,0)),0,VLOOKUP($S$18,'TAR FIN'!$A$1:$O$92,15,0))</f>
        <v>14.64</v>
      </c>
      <c r="W18" s="4">
        <f>IF(ISERROR(VLOOKUP($T$18,'TAR FIN'!$A$1:$O$92,15,0)),0,VLOOKUP($T$18,'TAR FIN'!$A$1:$O$92,15,0))</f>
        <v>87.73</v>
      </c>
      <c r="X18" s="4">
        <f>IF(ISERROR(VLOOKUP($U$18,'TAR FIN'!$A$1:$O$92,15,0)),0,VLOOKUP($U$18,'TAR FIN'!$A$1:$O$92,15,0))</f>
        <v>253.9</v>
      </c>
      <c r="Y18" s="4">
        <f ca="1">('TUSD BE'!$AM$6+'TUSD BF'!$AM$6+'TUSD CVA'!$AM$6)*1</f>
        <v>19.024476785546895</v>
      </c>
      <c r="Z18" s="4">
        <f ca="1">('TUSD BE'!$AM$7+'TUSD BF'!$AM$7+'TUSD CVA'!$AM$7)*1</f>
        <v>109.44196476324252</v>
      </c>
      <c r="AA18" s="4">
        <f>('TE BE'!$AB$6+'TE BF'!$AB$6+'TE CVA'!$AB$6)*1</f>
        <v>317.3874512882154</v>
      </c>
      <c r="AB18" s="4">
        <f>$K$18*$V$18</f>
        <v>6514.8</v>
      </c>
      <c r="AC18" s="4">
        <f>$M$18*$W$18</f>
        <v>15925.53917</v>
      </c>
      <c r="AD18" s="4">
        <f>$O$18*$X$18</f>
        <v>46090.213100000001</v>
      </c>
      <c r="AE18" s="4">
        <f ca="1">$K$18*$Y$18</f>
        <v>8465.8921695683675</v>
      </c>
      <c r="AF18" s="4">
        <f ca="1">$M$18*$Z$18</f>
        <v>19866.89042150665</v>
      </c>
      <c r="AG18" s="4">
        <f>$O$18*$AA$18</f>
        <v>57615.026644898455</v>
      </c>
    </row>
    <row r="19" spans="1:33" ht="11.25" customHeight="1" x14ac:dyDescent="0.25">
      <c r="A19" s="3" t="s">
        <v>21</v>
      </c>
      <c r="B19" s="3" t="s">
        <v>39</v>
      </c>
      <c r="C19" s="3" t="s">
        <v>40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35</v>
      </c>
      <c r="I19" s="6">
        <v>44743</v>
      </c>
      <c r="J19" s="4">
        <v>6086</v>
      </c>
      <c r="K19" s="4">
        <v>6086</v>
      </c>
      <c r="L19" s="4">
        <v>1875.912</v>
      </c>
      <c r="M19" s="4">
        <v>1875.912</v>
      </c>
      <c r="N19" s="4">
        <v>1875.912</v>
      </c>
      <c r="O19" s="4">
        <v>1875.912</v>
      </c>
      <c r="P19" s="4">
        <v>0</v>
      </c>
      <c r="Q19" s="3" t="s">
        <v>26</v>
      </c>
      <c r="R19" s="3">
        <v>0</v>
      </c>
      <c r="S19" s="4">
        <v>27</v>
      </c>
      <c r="T19" s="4">
        <v>23</v>
      </c>
      <c r="U19" s="4">
        <v>59</v>
      </c>
      <c r="V19" s="4">
        <f>IF(ISERROR(VLOOKUP($S$19,'TAR FIN'!$A$1:$O$92,15,0)),0,VLOOKUP($S$19,'TAR FIN'!$A$1:$O$92,15,0))</f>
        <v>14.64</v>
      </c>
      <c r="W19" s="4">
        <f>IF(ISERROR(VLOOKUP($T$19,'TAR FIN'!$A$1:$O$92,15,0)),0,VLOOKUP($T$19,'TAR FIN'!$A$1:$O$92,15,0))</f>
        <v>87.73</v>
      </c>
      <c r="X19" s="4">
        <f>IF(ISERROR(VLOOKUP($U$19,'TAR FIN'!$A$1:$O$92,15,0)),0,VLOOKUP($U$19,'TAR FIN'!$A$1:$O$92,15,0))</f>
        <v>253.9</v>
      </c>
      <c r="Y19" s="4">
        <f ca="1">('TUSD BE'!$AM$6+'TUSD BF'!$AM$6+'TUSD CVA'!$AM$6)*1</f>
        <v>19.024476785546895</v>
      </c>
      <c r="Z19" s="4">
        <f ca="1">('TUSD BE'!$AM$7+'TUSD BF'!$AM$7+'TUSD CVA'!$AM$7)*1</f>
        <v>109.44196476324252</v>
      </c>
      <c r="AA19" s="4">
        <f>('TE BE'!$AB$6+'TE BF'!$AB$6+'TE CVA'!$AB$6)*1</f>
        <v>317.3874512882154</v>
      </c>
      <c r="AB19" s="4">
        <f>$K$19*$V$19</f>
        <v>89099.040000000008</v>
      </c>
      <c r="AC19" s="4">
        <f>$M$19*$W$19</f>
        <v>164573.75976000002</v>
      </c>
      <c r="AD19" s="4">
        <f>$O$19*$X$19</f>
        <v>476294.05680000002</v>
      </c>
      <c r="AE19" s="4">
        <f ca="1">$K$19*$Y$19</f>
        <v>115782.9657168384</v>
      </c>
      <c r="AF19" s="4">
        <f ca="1">$M$19*$Z$19</f>
        <v>205303.49500294382</v>
      </c>
      <c r="AG19" s="4">
        <f>$O$19*$AA$19</f>
        <v>595390.92852097878</v>
      </c>
    </row>
    <row r="20" spans="1:33" ht="11.25" customHeight="1" x14ac:dyDescent="0.25">
      <c r="A20" s="3" t="s">
        <v>28</v>
      </c>
      <c r="B20" s="3" t="s">
        <v>39</v>
      </c>
      <c r="C20" s="3" t="s">
        <v>40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35</v>
      </c>
      <c r="I20" s="6">
        <v>44743</v>
      </c>
      <c r="J20" s="4">
        <v>460</v>
      </c>
      <c r="K20" s="4">
        <v>460</v>
      </c>
      <c r="L20" s="4">
        <v>190.63900000000001</v>
      </c>
      <c r="M20" s="4">
        <v>190.63900000000001</v>
      </c>
      <c r="N20" s="4">
        <v>190.63900000000001</v>
      </c>
      <c r="O20" s="4">
        <v>190.63900000000001</v>
      </c>
      <c r="P20" s="4">
        <v>0</v>
      </c>
      <c r="Q20" s="3" t="s">
        <v>26</v>
      </c>
      <c r="R20" s="3">
        <v>0</v>
      </c>
      <c r="S20" s="4">
        <v>27</v>
      </c>
      <c r="T20" s="4">
        <v>23</v>
      </c>
      <c r="U20" s="4">
        <v>59</v>
      </c>
      <c r="V20" s="4">
        <f>IF(ISERROR(VLOOKUP($S$20,'TAR FIN'!$A$1:$O$92,15,0)),0,VLOOKUP($S$20,'TAR FIN'!$A$1:$O$92,15,0))</f>
        <v>14.64</v>
      </c>
      <c r="W20" s="4">
        <f>IF(ISERROR(VLOOKUP($T$20,'TAR FIN'!$A$1:$O$92,15,0)),0,VLOOKUP($T$20,'TAR FIN'!$A$1:$O$92,15,0))</f>
        <v>87.73</v>
      </c>
      <c r="X20" s="4">
        <f>IF(ISERROR(VLOOKUP($U$20,'TAR FIN'!$A$1:$O$92,15,0)),0,VLOOKUP($U$20,'TAR FIN'!$A$1:$O$92,15,0))</f>
        <v>253.9</v>
      </c>
      <c r="Y20" s="4">
        <f ca="1">('TUSD BE'!$AM$6+'TUSD BF'!$AM$6+'TUSD CVA'!$AM$6)*1</f>
        <v>19.024476785546895</v>
      </c>
      <c r="Z20" s="4">
        <f ca="1">('TUSD BE'!$AM$7+'TUSD BF'!$AM$7+'TUSD CVA'!$AM$7)*1</f>
        <v>109.44196476324252</v>
      </c>
      <c r="AA20" s="4">
        <f>('TE BE'!$AB$6+'TE BF'!$AB$6+'TE CVA'!$AB$6)*1</f>
        <v>317.3874512882154</v>
      </c>
      <c r="AB20" s="4">
        <f>$K$20*$V$20</f>
        <v>6734.4000000000005</v>
      </c>
      <c r="AC20" s="4">
        <f>$M$20*$W$20</f>
        <v>16724.759470000001</v>
      </c>
      <c r="AD20" s="4">
        <f>$O$20*$X$20</f>
        <v>48403.242100000003</v>
      </c>
      <c r="AE20" s="4">
        <f ca="1">$K$20*$Y$20</f>
        <v>8751.259321351572</v>
      </c>
      <c r="AF20" s="4">
        <f ca="1">$M$20*$Z$20</f>
        <v>20863.906720499792</v>
      </c>
      <c r="AG20" s="4">
        <f>$O$20*$AA$20</f>
        <v>60506.426326134097</v>
      </c>
    </row>
    <row r="21" spans="1:33" ht="11.25" customHeight="1" x14ac:dyDescent="0.25">
      <c r="A21" s="3" t="s">
        <v>21</v>
      </c>
      <c r="B21" s="3" t="s">
        <v>39</v>
      </c>
      <c r="C21" s="3" t="s">
        <v>40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35</v>
      </c>
      <c r="I21" s="6">
        <v>44774</v>
      </c>
      <c r="J21" s="4">
        <v>6289</v>
      </c>
      <c r="K21" s="4">
        <v>6289</v>
      </c>
      <c r="L21" s="4">
        <v>1967.2159999999999</v>
      </c>
      <c r="M21" s="4">
        <v>1967.2159999999999</v>
      </c>
      <c r="N21" s="4">
        <v>1967.2159999999999</v>
      </c>
      <c r="O21" s="4">
        <v>1967.2159999999999</v>
      </c>
      <c r="P21" s="4">
        <v>0</v>
      </c>
      <c r="Q21" s="3" t="s">
        <v>26</v>
      </c>
      <c r="R21" s="3">
        <v>0</v>
      </c>
      <c r="S21" s="4">
        <v>27</v>
      </c>
      <c r="T21" s="4">
        <v>23</v>
      </c>
      <c r="U21" s="4">
        <v>59</v>
      </c>
      <c r="V21" s="4">
        <f>IF(ISERROR(VLOOKUP($S$21,'TAR FIN'!$A$1:$O$92,15,0)),0,VLOOKUP($S$21,'TAR FIN'!$A$1:$O$92,15,0))</f>
        <v>14.64</v>
      </c>
      <c r="W21" s="4">
        <f>IF(ISERROR(VLOOKUP($T$21,'TAR FIN'!$A$1:$O$92,15,0)),0,VLOOKUP($T$21,'TAR FIN'!$A$1:$O$92,15,0))</f>
        <v>87.73</v>
      </c>
      <c r="X21" s="4">
        <f>IF(ISERROR(VLOOKUP($U$21,'TAR FIN'!$A$1:$O$92,15,0)),0,VLOOKUP($U$21,'TAR FIN'!$A$1:$O$92,15,0))</f>
        <v>253.9</v>
      </c>
      <c r="Y21" s="4">
        <f ca="1">('TUSD BE'!$AM$6+'TUSD BF'!$AM$6+'TUSD CVA'!$AM$6)*1</f>
        <v>19.024476785546895</v>
      </c>
      <c r="Z21" s="4">
        <f ca="1">('TUSD BE'!$AM$7+'TUSD BF'!$AM$7+'TUSD CVA'!$AM$7)*1</f>
        <v>109.44196476324252</v>
      </c>
      <c r="AA21" s="4">
        <f>('TE BE'!$AB$6+'TE BF'!$AB$6+'TE CVA'!$AB$6)*1</f>
        <v>317.3874512882154</v>
      </c>
      <c r="AB21" s="4">
        <f>$K$21*$V$21</f>
        <v>92070.96</v>
      </c>
      <c r="AC21" s="4">
        <f>$M$21*$W$21</f>
        <v>172583.85967999999</v>
      </c>
      <c r="AD21" s="4">
        <f>$O$21*$X$21</f>
        <v>499476.14240000001</v>
      </c>
      <c r="AE21" s="4">
        <f ca="1">$K$21*$Y$21</f>
        <v>119644.93450430442</v>
      </c>
      <c r="AF21" s="4">
        <f ca="1">$M$21*$Z$21</f>
        <v>215295.98415368691</v>
      </c>
      <c r="AG21" s="4">
        <f>$O$21*$AA$21</f>
        <v>624369.67237339797</v>
      </c>
    </row>
    <row r="22" spans="1:33" ht="11.25" customHeight="1" x14ac:dyDescent="0.25">
      <c r="A22" s="3" t="s">
        <v>27</v>
      </c>
      <c r="B22" s="3" t="s">
        <v>39</v>
      </c>
      <c r="C22" s="3" t="s">
        <v>40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35</v>
      </c>
      <c r="I22" s="6">
        <v>44774</v>
      </c>
      <c r="J22" s="4">
        <v>88</v>
      </c>
      <c r="K22" s="4">
        <v>88</v>
      </c>
      <c r="L22" s="4">
        <v>39.893000000000001</v>
      </c>
      <c r="M22" s="4">
        <v>39.893000000000001</v>
      </c>
      <c r="N22" s="4">
        <v>39.893000000000001</v>
      </c>
      <c r="O22" s="4">
        <v>39.893000000000001</v>
      </c>
      <c r="P22" s="4">
        <v>0</v>
      </c>
      <c r="Q22" s="3" t="s">
        <v>26</v>
      </c>
      <c r="R22" s="3">
        <v>0</v>
      </c>
      <c r="S22" s="4">
        <v>27</v>
      </c>
      <c r="T22" s="4">
        <v>23</v>
      </c>
      <c r="U22" s="4">
        <v>59</v>
      </c>
      <c r="V22" s="4">
        <f>IF(ISERROR(VLOOKUP($S$22,'TAR FIN'!$A$1:$O$92,15,0)),0,VLOOKUP($S$22,'TAR FIN'!$A$1:$O$92,15,0))</f>
        <v>14.64</v>
      </c>
      <c r="W22" s="4">
        <f>IF(ISERROR(VLOOKUP($T$22,'TAR FIN'!$A$1:$O$92,15,0)),0,VLOOKUP($T$22,'TAR FIN'!$A$1:$O$92,15,0))</f>
        <v>87.73</v>
      </c>
      <c r="X22" s="4">
        <f>IF(ISERROR(VLOOKUP($U$22,'TAR FIN'!$A$1:$O$92,15,0)),0,VLOOKUP($U$22,'TAR FIN'!$A$1:$O$92,15,0))</f>
        <v>253.9</v>
      </c>
      <c r="Y22" s="4">
        <f ca="1">('TUSD BE'!$AM$6+'TUSD BF'!$AM$6+'TUSD CVA'!$AM$6)*1</f>
        <v>19.024476785546895</v>
      </c>
      <c r="Z22" s="4">
        <f ca="1">('TUSD BE'!$AM$7+'TUSD BF'!$AM$7+'TUSD CVA'!$AM$7)*1</f>
        <v>109.44196476324252</v>
      </c>
      <c r="AA22" s="4">
        <f>('TE BE'!$AB$6+'TE BF'!$AB$6+'TE CVA'!$AB$6)*1</f>
        <v>317.3874512882154</v>
      </c>
      <c r="AB22" s="4">
        <f>$K$22*$V$22</f>
        <v>1288.3200000000002</v>
      </c>
      <c r="AC22" s="4">
        <f>$M$22*$W$22</f>
        <v>3499.8128900000002</v>
      </c>
      <c r="AD22" s="4">
        <f>$O$22*$X$22</f>
        <v>10128.832700000001</v>
      </c>
      <c r="AE22" s="4">
        <f ca="1">$K$22*$Y$22</f>
        <v>1674.1539571281269</v>
      </c>
      <c r="AF22" s="4">
        <f ca="1">$M$22*$Z$22</f>
        <v>4365.9683003000337</v>
      </c>
      <c r="AG22" s="4">
        <f>$O$22*$AA$22</f>
        <v>12661.537594240777</v>
      </c>
    </row>
    <row r="23" spans="1:33" ht="11.25" customHeight="1" x14ac:dyDescent="0.25">
      <c r="A23" s="3" t="s">
        <v>28</v>
      </c>
      <c r="B23" s="3" t="s">
        <v>39</v>
      </c>
      <c r="C23" s="3" t="s">
        <v>40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35</v>
      </c>
      <c r="I23" s="6">
        <v>44774</v>
      </c>
      <c r="J23" s="4">
        <v>453</v>
      </c>
      <c r="K23" s="4">
        <v>453</v>
      </c>
      <c r="L23" s="4">
        <v>193.75800000000001</v>
      </c>
      <c r="M23" s="4">
        <v>193.75800000000001</v>
      </c>
      <c r="N23" s="4">
        <v>193.75800000000001</v>
      </c>
      <c r="O23" s="4">
        <v>193.75800000000001</v>
      </c>
      <c r="P23" s="4">
        <v>0</v>
      </c>
      <c r="Q23" s="3" t="s">
        <v>26</v>
      </c>
      <c r="R23" s="3">
        <v>0</v>
      </c>
      <c r="S23" s="4">
        <v>27</v>
      </c>
      <c r="T23" s="4">
        <v>23</v>
      </c>
      <c r="U23" s="4">
        <v>59</v>
      </c>
      <c r="V23" s="4">
        <f>IF(ISERROR(VLOOKUP($S$23,'TAR FIN'!$A$1:$O$92,15,0)),0,VLOOKUP($S$23,'TAR FIN'!$A$1:$O$92,15,0))</f>
        <v>14.64</v>
      </c>
      <c r="W23" s="4">
        <f>IF(ISERROR(VLOOKUP($T$23,'TAR FIN'!$A$1:$O$92,15,0)),0,VLOOKUP($T$23,'TAR FIN'!$A$1:$O$92,15,0))</f>
        <v>87.73</v>
      </c>
      <c r="X23" s="4">
        <f>IF(ISERROR(VLOOKUP($U$23,'TAR FIN'!$A$1:$O$92,15,0)),0,VLOOKUP($U$23,'TAR FIN'!$A$1:$O$92,15,0))</f>
        <v>253.9</v>
      </c>
      <c r="Y23" s="4">
        <f ca="1">('TUSD BE'!$AM$6+'TUSD BF'!$AM$6+'TUSD CVA'!$AM$6)*1</f>
        <v>19.024476785546895</v>
      </c>
      <c r="Z23" s="4">
        <f ca="1">('TUSD BE'!$AM$7+'TUSD BF'!$AM$7+'TUSD CVA'!$AM$7)*1</f>
        <v>109.44196476324252</v>
      </c>
      <c r="AA23" s="4">
        <f>('TE BE'!$AB$6+'TE BF'!$AB$6+'TE CVA'!$AB$6)*1</f>
        <v>317.3874512882154</v>
      </c>
      <c r="AB23" s="4">
        <f>$K$23*$V$23</f>
        <v>6631.92</v>
      </c>
      <c r="AC23" s="4">
        <f>$M$23*$W$23</f>
        <v>16998.389340000002</v>
      </c>
      <c r="AD23" s="4">
        <f>$O$23*$X$23</f>
        <v>49195.156200000005</v>
      </c>
      <c r="AE23" s="4">
        <f ca="1">$K$23*$Y$23</f>
        <v>8618.0879838527435</v>
      </c>
      <c r="AF23" s="4">
        <f ca="1">$M$23*$Z$23</f>
        <v>21205.256208596347</v>
      </c>
      <c r="AG23" s="4">
        <f>$O$23*$AA$23</f>
        <v>61496.357786702043</v>
      </c>
    </row>
    <row r="24" spans="1:33" ht="11.25" customHeight="1" x14ac:dyDescent="0.25">
      <c r="A24" s="3" t="s">
        <v>21</v>
      </c>
      <c r="B24" s="3" t="s">
        <v>39</v>
      </c>
      <c r="C24" s="3" t="s">
        <v>40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35</v>
      </c>
      <c r="I24" s="6">
        <v>44805</v>
      </c>
      <c r="J24" s="4">
        <v>6404</v>
      </c>
      <c r="K24" s="4">
        <v>6404</v>
      </c>
      <c r="L24" s="4">
        <v>2043.204</v>
      </c>
      <c r="M24" s="4">
        <v>2043.204</v>
      </c>
      <c r="N24" s="4">
        <v>2043.204</v>
      </c>
      <c r="O24" s="4">
        <v>2043.204</v>
      </c>
      <c r="P24" s="4">
        <v>0</v>
      </c>
      <c r="Q24" s="3" t="s">
        <v>26</v>
      </c>
      <c r="R24" s="3">
        <v>0</v>
      </c>
      <c r="S24" s="4">
        <v>27</v>
      </c>
      <c r="T24" s="4">
        <v>23</v>
      </c>
      <c r="U24" s="4">
        <v>59</v>
      </c>
      <c r="V24" s="4">
        <f>IF(ISERROR(VLOOKUP($S$24,'TAR FIN'!$A$1:$O$92,15,0)),0,VLOOKUP($S$24,'TAR FIN'!$A$1:$O$92,15,0))</f>
        <v>14.64</v>
      </c>
      <c r="W24" s="4">
        <f>IF(ISERROR(VLOOKUP($T$24,'TAR FIN'!$A$1:$O$92,15,0)),0,VLOOKUP($T$24,'TAR FIN'!$A$1:$O$92,15,0))</f>
        <v>87.73</v>
      </c>
      <c r="X24" s="4">
        <f>IF(ISERROR(VLOOKUP($U$24,'TAR FIN'!$A$1:$O$92,15,0)),0,VLOOKUP($U$24,'TAR FIN'!$A$1:$O$92,15,0))</f>
        <v>253.9</v>
      </c>
      <c r="Y24" s="4">
        <f ca="1">('TUSD BE'!$AM$6+'TUSD BF'!$AM$6+'TUSD CVA'!$AM$6)*1</f>
        <v>19.024476785546895</v>
      </c>
      <c r="Z24" s="4">
        <f ca="1">('TUSD BE'!$AM$7+'TUSD BF'!$AM$7+'TUSD CVA'!$AM$7)*1</f>
        <v>109.44196476324252</v>
      </c>
      <c r="AA24" s="4">
        <f>('TE BE'!$AB$6+'TE BF'!$AB$6+'TE CVA'!$AB$6)*1</f>
        <v>317.3874512882154</v>
      </c>
      <c r="AB24" s="4">
        <f>$K$24*$V$24</f>
        <v>93754.559999999998</v>
      </c>
      <c r="AC24" s="4">
        <f>$M$24*$W$24</f>
        <v>179250.28692000001</v>
      </c>
      <c r="AD24" s="4">
        <f>$O$24*$X$24</f>
        <v>518769.49560000002</v>
      </c>
      <c r="AE24" s="4">
        <f ca="1">$K$24*$Y$24</f>
        <v>121832.74933464231</v>
      </c>
      <c r="AF24" s="4">
        <f ca="1">$M$24*$Z$24</f>
        <v>223612.26017211616</v>
      </c>
      <c r="AG24" s="4">
        <f>$O$24*$AA$24</f>
        <v>648487.31002188683</v>
      </c>
    </row>
    <row r="25" spans="1:33" ht="11.25" customHeight="1" x14ac:dyDescent="0.25">
      <c r="A25" s="3" t="s">
        <v>28</v>
      </c>
      <c r="B25" s="3" t="s">
        <v>39</v>
      </c>
      <c r="C25" s="3" t="s">
        <v>40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35</v>
      </c>
      <c r="I25" s="6">
        <v>44805</v>
      </c>
      <c r="J25" s="4">
        <v>302</v>
      </c>
      <c r="K25" s="4">
        <v>302</v>
      </c>
      <c r="L25" s="4">
        <v>125.75</v>
      </c>
      <c r="M25" s="4">
        <v>125.75</v>
      </c>
      <c r="N25" s="4">
        <v>125.75</v>
      </c>
      <c r="O25" s="4">
        <v>125.75</v>
      </c>
      <c r="P25" s="4">
        <v>0</v>
      </c>
      <c r="Q25" s="3" t="s">
        <v>26</v>
      </c>
      <c r="R25" s="3">
        <v>0</v>
      </c>
      <c r="S25" s="4">
        <v>27</v>
      </c>
      <c r="T25" s="4">
        <v>23</v>
      </c>
      <c r="U25" s="4">
        <v>59</v>
      </c>
      <c r="V25" s="4">
        <f>IF(ISERROR(VLOOKUP($S$25,'TAR FIN'!$A$1:$O$92,15,0)),0,VLOOKUP($S$25,'TAR FIN'!$A$1:$O$92,15,0))</f>
        <v>14.64</v>
      </c>
      <c r="W25" s="4">
        <f>IF(ISERROR(VLOOKUP($T$25,'TAR FIN'!$A$1:$O$92,15,0)),0,VLOOKUP($T$25,'TAR FIN'!$A$1:$O$92,15,0))</f>
        <v>87.73</v>
      </c>
      <c r="X25" s="4">
        <f>IF(ISERROR(VLOOKUP($U$25,'TAR FIN'!$A$1:$O$92,15,0)),0,VLOOKUP($U$25,'TAR FIN'!$A$1:$O$92,15,0))</f>
        <v>253.9</v>
      </c>
      <c r="Y25" s="4">
        <f ca="1">('TUSD BE'!$AM$6+'TUSD BF'!$AM$6+'TUSD CVA'!$AM$6)*1</f>
        <v>19.024476785546895</v>
      </c>
      <c r="Z25" s="4">
        <f ca="1">('TUSD BE'!$AM$7+'TUSD BF'!$AM$7+'TUSD CVA'!$AM$7)*1</f>
        <v>109.44196476324252</v>
      </c>
      <c r="AA25" s="4">
        <f>('TE BE'!$AB$6+'TE BF'!$AB$6+'TE CVA'!$AB$6)*1</f>
        <v>317.3874512882154</v>
      </c>
      <c r="AB25" s="4">
        <f>$K$25*$V$25</f>
        <v>4421.28</v>
      </c>
      <c r="AC25" s="4">
        <f>$M$25*$W$25</f>
        <v>11032.047500000001</v>
      </c>
      <c r="AD25" s="4">
        <f>$O$25*$X$25</f>
        <v>31927.924999999999</v>
      </c>
      <c r="AE25" s="4">
        <f ca="1">$K$25*$Y$25</f>
        <v>5745.3919892351623</v>
      </c>
      <c r="AF25" s="4">
        <f ca="1">$M$25*$Z$25</f>
        <v>13762.327068977747</v>
      </c>
      <c r="AG25" s="4">
        <f>$O$25*$AA$25</f>
        <v>39911.471999493086</v>
      </c>
    </row>
    <row r="26" spans="1:33" ht="11.25" customHeight="1" x14ac:dyDescent="0.25">
      <c r="A26" s="3" t="s">
        <v>55</v>
      </c>
      <c r="B26" s="3" t="s">
        <v>39</v>
      </c>
      <c r="C26" s="3" t="s">
        <v>40</v>
      </c>
      <c r="D26" s="3" t="s">
        <v>42</v>
      </c>
      <c r="E26" s="3" t="s">
        <v>25</v>
      </c>
      <c r="F26" s="3" t="s">
        <v>25</v>
      </c>
      <c r="G26" s="3" t="s">
        <v>25</v>
      </c>
      <c r="H26" s="3" t="s">
        <v>35</v>
      </c>
      <c r="I26" s="6">
        <v>44835</v>
      </c>
      <c r="J26" s="4">
        <v>6404</v>
      </c>
      <c r="K26" s="4">
        <v>6404</v>
      </c>
      <c r="L26" s="4">
        <v>2043.204</v>
      </c>
      <c r="M26" s="4">
        <v>2043.204</v>
      </c>
      <c r="N26" s="4">
        <v>2043.204</v>
      </c>
      <c r="O26" s="4">
        <v>2043.204</v>
      </c>
      <c r="P26" s="4">
        <v>0</v>
      </c>
      <c r="Q26" s="3" t="s">
        <v>26</v>
      </c>
      <c r="R26" s="3">
        <v>0</v>
      </c>
      <c r="S26" s="4">
        <v>27</v>
      </c>
      <c r="T26" s="4">
        <v>23</v>
      </c>
      <c r="U26" s="4">
        <v>59</v>
      </c>
      <c r="V26" s="4">
        <f>IF(ISERROR(VLOOKUP($S$26,'TAR FIN'!$A$1:$O$92,15,0)),0,VLOOKUP($S$26,'TAR FIN'!$A$1:$O$92,15,0))</f>
        <v>14.64</v>
      </c>
      <c r="W26" s="4">
        <f>IF(ISERROR(VLOOKUP($T$26,'TAR FIN'!$A$1:$O$92,15,0)),0,VLOOKUP($T$26,'TAR FIN'!$A$1:$O$92,15,0))</f>
        <v>87.73</v>
      </c>
      <c r="X26" s="4">
        <f>IF(ISERROR(VLOOKUP($U$26,'TAR FIN'!$A$1:$O$92,15,0)),0,VLOOKUP($U$26,'TAR FIN'!$A$1:$O$92,15,0))</f>
        <v>253.9</v>
      </c>
      <c r="Y26" s="4">
        <f ca="1">('TUSD BE'!$AM$6+'TUSD BF'!$AM$6+'TUSD CVA'!$AM$6)*1</f>
        <v>19.024476785546895</v>
      </c>
      <c r="Z26" s="4">
        <f ca="1">('TUSD BE'!$AM$7+'TUSD BF'!$AM$7+'TUSD CVA'!$AM$7)*1</f>
        <v>109.44196476324252</v>
      </c>
      <c r="AA26" s="4">
        <f>('TE BE'!$AB$6+'TE BF'!$AB$6+'TE CVA'!$AB$6)*1</f>
        <v>317.3874512882154</v>
      </c>
      <c r="AB26" s="4">
        <f>$K$26*$V$26</f>
        <v>93754.559999999998</v>
      </c>
      <c r="AC26" s="4">
        <f>$M$26*$W$26</f>
        <v>179250.28692000001</v>
      </c>
      <c r="AD26" s="4">
        <f>$O$26*$X$26</f>
        <v>518769.49560000002</v>
      </c>
      <c r="AE26" s="4">
        <f ca="1">$K$26*$Y$26</f>
        <v>121832.74933464231</v>
      </c>
      <c r="AF26" s="4">
        <f ca="1">$M$26*$Z$26</f>
        <v>223612.26017211616</v>
      </c>
      <c r="AG26" s="4">
        <f>$O$26*$AA$26</f>
        <v>648487.31002188683</v>
      </c>
    </row>
    <row r="27" spans="1:33" ht="11.25" customHeight="1" x14ac:dyDescent="0.25">
      <c r="A27" s="3" t="s">
        <v>55</v>
      </c>
      <c r="B27" s="3" t="s">
        <v>39</v>
      </c>
      <c r="C27" s="3" t="s">
        <v>40</v>
      </c>
      <c r="D27" s="3" t="s">
        <v>42</v>
      </c>
      <c r="E27" s="3" t="s">
        <v>25</v>
      </c>
      <c r="F27" s="3" t="s">
        <v>25</v>
      </c>
      <c r="G27" s="3" t="s">
        <v>25</v>
      </c>
      <c r="H27" s="3" t="s">
        <v>35</v>
      </c>
      <c r="I27" s="6">
        <v>44835</v>
      </c>
      <c r="J27" s="4">
        <v>302</v>
      </c>
      <c r="K27" s="4">
        <v>302</v>
      </c>
      <c r="L27" s="4">
        <v>125.75</v>
      </c>
      <c r="M27" s="4">
        <v>125.75</v>
      </c>
      <c r="N27" s="4">
        <v>125.75</v>
      </c>
      <c r="O27" s="4">
        <v>125.75</v>
      </c>
      <c r="P27" s="4">
        <v>0</v>
      </c>
      <c r="Q27" s="3" t="s">
        <v>26</v>
      </c>
      <c r="R27" s="3">
        <v>0</v>
      </c>
      <c r="S27" s="4">
        <v>27</v>
      </c>
      <c r="T27" s="4">
        <v>23</v>
      </c>
      <c r="U27" s="4">
        <v>59</v>
      </c>
      <c r="V27" s="4">
        <f>IF(ISERROR(VLOOKUP($S$27,'TAR FIN'!$A$1:$O$92,15,0)),0,VLOOKUP($S$27,'TAR FIN'!$A$1:$O$92,15,0))</f>
        <v>14.64</v>
      </c>
      <c r="W27" s="4">
        <f>IF(ISERROR(VLOOKUP($T$27,'TAR FIN'!$A$1:$O$92,15,0)),0,VLOOKUP($T$27,'TAR FIN'!$A$1:$O$92,15,0))</f>
        <v>87.73</v>
      </c>
      <c r="X27" s="4">
        <f>IF(ISERROR(VLOOKUP($U$27,'TAR FIN'!$A$1:$O$92,15,0)),0,VLOOKUP($U$27,'TAR FIN'!$A$1:$O$92,15,0))</f>
        <v>253.9</v>
      </c>
      <c r="Y27" s="4">
        <f ca="1">('TUSD BE'!$AM$6+'TUSD BF'!$AM$6+'TUSD CVA'!$AM$6)*1</f>
        <v>19.024476785546895</v>
      </c>
      <c r="Z27" s="4">
        <f ca="1">('TUSD BE'!$AM$7+'TUSD BF'!$AM$7+'TUSD CVA'!$AM$7)*1</f>
        <v>109.44196476324252</v>
      </c>
      <c r="AA27" s="4">
        <f>('TE BE'!$AB$6+'TE BF'!$AB$6+'TE CVA'!$AB$6)*1</f>
        <v>317.3874512882154</v>
      </c>
      <c r="AB27" s="4">
        <f>$K$27*$V$27</f>
        <v>4421.28</v>
      </c>
      <c r="AC27" s="4">
        <f>$M$27*$W$27</f>
        <v>11032.047500000001</v>
      </c>
      <c r="AD27" s="4">
        <f>$O$27*$X$27</f>
        <v>31927.924999999999</v>
      </c>
      <c r="AE27" s="4">
        <f ca="1">$K$27*$Y$27</f>
        <v>5745.3919892351623</v>
      </c>
      <c r="AF27" s="4">
        <f ca="1">$M$27*$Z$27</f>
        <v>13762.327068977747</v>
      </c>
      <c r="AG27" s="4">
        <f>$O$27*$AA$27</f>
        <v>39911.471999493086</v>
      </c>
    </row>
    <row r="28" spans="1:33" ht="11.25" customHeight="1" x14ac:dyDescent="0.25">
      <c r="A28" s="3" t="s">
        <v>21</v>
      </c>
      <c r="B28" s="3" t="s">
        <v>39</v>
      </c>
      <c r="C28" s="3" t="s">
        <v>40</v>
      </c>
      <c r="D28" s="3" t="s">
        <v>42</v>
      </c>
      <c r="E28" s="3" t="s">
        <v>25</v>
      </c>
      <c r="F28" s="3" t="s">
        <v>25</v>
      </c>
      <c r="G28" s="3" t="s">
        <v>25</v>
      </c>
      <c r="H28" s="3" t="s">
        <v>34</v>
      </c>
      <c r="I28" s="6">
        <v>44501</v>
      </c>
      <c r="J28" s="4">
        <v>5925</v>
      </c>
      <c r="K28" s="4">
        <v>5925</v>
      </c>
      <c r="L28" s="4">
        <v>191.62899999999999</v>
      </c>
      <c r="M28" s="4">
        <v>191.62899999999999</v>
      </c>
      <c r="N28" s="4">
        <v>191.62899999999999</v>
      </c>
      <c r="O28" s="4">
        <v>191.62899999999999</v>
      </c>
      <c r="P28" s="4">
        <v>0</v>
      </c>
      <c r="Q28" s="3" t="s">
        <v>26</v>
      </c>
      <c r="R28" s="3">
        <v>0</v>
      </c>
      <c r="S28" s="4">
        <v>34</v>
      </c>
      <c r="T28" s="4">
        <v>23</v>
      </c>
      <c r="U28" s="4">
        <v>71</v>
      </c>
      <c r="V28" s="4">
        <f>IF(ISERROR(VLOOKUP($S$28,'TAR FIN'!$A$1:$O$92,15,0)),0,VLOOKUP($S$28,'TAR FIN'!$A$1:$O$92,15,0))</f>
        <v>44</v>
      </c>
      <c r="W28" s="4">
        <f>IF(ISERROR(VLOOKUP($T$28,'TAR FIN'!$A$1:$O$92,15,0)),0,VLOOKUP($T$28,'TAR FIN'!$A$1:$O$92,15,0))</f>
        <v>87.73</v>
      </c>
      <c r="X28" s="4">
        <f>IF(ISERROR(VLOOKUP($U$28,'TAR FIN'!$A$1:$O$92,15,0)),0,VLOOKUP($U$28,'TAR FIN'!$A$1:$O$92,15,0))</f>
        <v>433.77</v>
      </c>
      <c r="Y28" s="4">
        <f ca="1">('TUSD BE'!$AM$5+'TUSD BF'!$AM$5+'TUSD CVA'!$AM$5)*1</f>
        <v>57.091253741473494</v>
      </c>
      <c r="Z28" s="4">
        <f ca="1">('TUSD BE'!$AM$7+'TUSD BF'!$AM$7+'TUSD CVA'!$AM$7)*1</f>
        <v>109.44196476324252</v>
      </c>
      <c r="AA28" s="4">
        <f>('TE BE'!$AB$5+'TE BF'!$AB$5+'TE CVA'!$AB$5)*1</f>
        <v>542.84414704984056</v>
      </c>
      <c r="AB28" s="4">
        <f>$K$28*$V$28</f>
        <v>260700</v>
      </c>
      <c r="AC28" s="4">
        <f>$M$28*$W$28</f>
        <v>16811.61217</v>
      </c>
      <c r="AD28" s="4">
        <f>$O$28*$X$28</f>
        <v>83122.911329999988</v>
      </c>
      <c r="AE28" s="4">
        <f ca="1">$K$28*$Y$28</f>
        <v>338265.67841823044</v>
      </c>
      <c r="AF28" s="4">
        <f ca="1">$M$28*$Z$28</f>
        <v>20972.2542656154</v>
      </c>
      <c r="AG28" s="4">
        <f>$O$28*$AA$28</f>
        <v>104024.68105501389</v>
      </c>
    </row>
    <row r="29" spans="1:33" ht="11.25" customHeight="1" x14ac:dyDescent="0.25">
      <c r="A29" s="3" t="s">
        <v>28</v>
      </c>
      <c r="B29" s="3" t="s">
        <v>39</v>
      </c>
      <c r="C29" s="3" t="s">
        <v>40</v>
      </c>
      <c r="D29" s="3" t="s">
        <v>42</v>
      </c>
      <c r="E29" s="3" t="s">
        <v>25</v>
      </c>
      <c r="F29" s="3" t="s">
        <v>25</v>
      </c>
      <c r="G29" s="3" t="s">
        <v>25</v>
      </c>
      <c r="H29" s="3" t="s">
        <v>34</v>
      </c>
      <c r="I29" s="6">
        <v>44501</v>
      </c>
      <c r="J29" s="4">
        <v>20</v>
      </c>
      <c r="K29" s="4">
        <v>20</v>
      </c>
      <c r="L29" s="4">
        <v>0.81</v>
      </c>
      <c r="M29" s="4">
        <v>0.81</v>
      </c>
      <c r="N29" s="4">
        <v>0.81</v>
      </c>
      <c r="O29" s="4">
        <v>0.81</v>
      </c>
      <c r="P29" s="4">
        <v>0</v>
      </c>
      <c r="Q29" s="3" t="s">
        <v>26</v>
      </c>
      <c r="R29" s="3">
        <v>0</v>
      </c>
      <c r="S29" s="4">
        <v>34</v>
      </c>
      <c r="T29" s="4">
        <v>23</v>
      </c>
      <c r="U29" s="4">
        <v>71</v>
      </c>
      <c r="V29" s="4">
        <f>IF(ISERROR(VLOOKUP($S$29,'TAR FIN'!$A$1:$O$92,15,0)),0,VLOOKUP($S$29,'TAR FIN'!$A$1:$O$92,15,0))</f>
        <v>44</v>
      </c>
      <c r="W29" s="4">
        <f>IF(ISERROR(VLOOKUP($T$29,'TAR FIN'!$A$1:$O$92,15,0)),0,VLOOKUP($T$29,'TAR FIN'!$A$1:$O$92,15,0))</f>
        <v>87.73</v>
      </c>
      <c r="X29" s="4">
        <f>IF(ISERROR(VLOOKUP($U$29,'TAR FIN'!$A$1:$O$92,15,0)),0,VLOOKUP($U$29,'TAR FIN'!$A$1:$O$92,15,0))</f>
        <v>433.77</v>
      </c>
      <c r="Y29" s="4">
        <f ca="1">('TUSD BE'!$AM$5+'TUSD BF'!$AM$5+'TUSD CVA'!$AM$5)*1</f>
        <v>57.091253741473494</v>
      </c>
      <c r="Z29" s="4">
        <f ca="1">('TUSD BE'!$AM$7+'TUSD BF'!$AM$7+'TUSD CVA'!$AM$7)*1</f>
        <v>109.44196476324252</v>
      </c>
      <c r="AA29" s="4">
        <f>('TE BE'!$AB$5+'TE BF'!$AB$5+'TE CVA'!$AB$5)*1</f>
        <v>542.84414704984056</v>
      </c>
      <c r="AB29" s="4">
        <f>$K$29*$V$29</f>
        <v>880</v>
      </c>
      <c r="AC29" s="4">
        <f>$M$29*$W$29</f>
        <v>71.061300000000003</v>
      </c>
      <c r="AD29" s="4">
        <f>$O$29*$X$29</f>
        <v>351.3537</v>
      </c>
      <c r="AE29" s="4">
        <f ca="1">$K$29*$Y$29</f>
        <v>1141.8250748294699</v>
      </c>
      <c r="AF29" s="4">
        <f ca="1">$M$29*$Z$29</f>
        <v>88.647991458226457</v>
      </c>
      <c r="AG29" s="4">
        <f>$O$29*$AA$29</f>
        <v>439.70375911037087</v>
      </c>
    </row>
    <row r="30" spans="1:33" ht="11.25" customHeight="1" x14ac:dyDescent="0.25">
      <c r="A30" s="3" t="s">
        <v>21</v>
      </c>
      <c r="B30" s="3" t="s">
        <v>39</v>
      </c>
      <c r="C30" s="3" t="s">
        <v>40</v>
      </c>
      <c r="D30" s="3" t="s">
        <v>42</v>
      </c>
      <c r="E30" s="3" t="s">
        <v>25</v>
      </c>
      <c r="F30" s="3" t="s">
        <v>25</v>
      </c>
      <c r="G30" s="3" t="s">
        <v>25</v>
      </c>
      <c r="H30" s="3" t="s">
        <v>34</v>
      </c>
      <c r="I30" s="6">
        <v>44531</v>
      </c>
      <c r="J30" s="4">
        <v>5468</v>
      </c>
      <c r="K30" s="4">
        <v>5468</v>
      </c>
      <c r="L30" s="4">
        <v>221.39</v>
      </c>
      <c r="M30" s="4">
        <v>221.39</v>
      </c>
      <c r="N30" s="4">
        <v>221.39</v>
      </c>
      <c r="O30" s="4">
        <v>221.39</v>
      </c>
      <c r="P30" s="4">
        <v>0</v>
      </c>
      <c r="Q30" s="3" t="s">
        <v>26</v>
      </c>
      <c r="R30" s="3">
        <v>0</v>
      </c>
      <c r="S30" s="4">
        <v>34</v>
      </c>
      <c r="T30" s="4">
        <v>23</v>
      </c>
      <c r="U30" s="4">
        <v>71</v>
      </c>
      <c r="V30" s="4">
        <f>IF(ISERROR(VLOOKUP($S$30,'TAR FIN'!$A$1:$O$92,15,0)),0,VLOOKUP($S$30,'TAR FIN'!$A$1:$O$92,15,0))</f>
        <v>44</v>
      </c>
      <c r="W30" s="4">
        <f>IF(ISERROR(VLOOKUP($T$30,'TAR FIN'!$A$1:$O$92,15,0)),0,VLOOKUP($T$30,'TAR FIN'!$A$1:$O$92,15,0))</f>
        <v>87.73</v>
      </c>
      <c r="X30" s="4">
        <f>IF(ISERROR(VLOOKUP($U$30,'TAR FIN'!$A$1:$O$92,15,0)),0,VLOOKUP($U$30,'TAR FIN'!$A$1:$O$92,15,0))</f>
        <v>433.77</v>
      </c>
      <c r="Y30" s="4">
        <f ca="1">('TUSD BE'!$AM$5+'TUSD BF'!$AM$5+'TUSD CVA'!$AM$5)*1</f>
        <v>57.091253741473494</v>
      </c>
      <c r="Z30" s="4">
        <f ca="1">('TUSD BE'!$AM$7+'TUSD BF'!$AM$7+'TUSD CVA'!$AM$7)*1</f>
        <v>109.44196476324252</v>
      </c>
      <c r="AA30" s="4">
        <f>('TE BE'!$AB$5+'TE BF'!$AB$5+'TE CVA'!$AB$5)*1</f>
        <v>542.84414704984056</v>
      </c>
      <c r="AB30" s="4">
        <f>$K$30*$V$30</f>
        <v>240592</v>
      </c>
      <c r="AC30" s="4">
        <f>$M$30*$W$30</f>
        <v>19422.544699999999</v>
      </c>
      <c r="AD30" s="4">
        <f>$O$30*$X$30</f>
        <v>96032.340299999996</v>
      </c>
      <c r="AE30" s="4">
        <f ca="1">$K$30*$Y$30</f>
        <v>312174.97545837704</v>
      </c>
      <c r="AF30" s="4">
        <f ca="1">$M$30*$Z$30</f>
        <v>24229.356578934261</v>
      </c>
      <c r="AG30" s="4">
        <f>$O$30*$AA$30</f>
        <v>120180.26571536419</v>
      </c>
    </row>
    <row r="31" spans="1:33" ht="11.25" customHeight="1" x14ac:dyDescent="0.25">
      <c r="A31" s="3" t="s">
        <v>27</v>
      </c>
      <c r="B31" s="3" t="s">
        <v>39</v>
      </c>
      <c r="C31" s="3" t="s">
        <v>40</v>
      </c>
      <c r="D31" s="3" t="s">
        <v>42</v>
      </c>
      <c r="E31" s="3" t="s">
        <v>25</v>
      </c>
      <c r="F31" s="3" t="s">
        <v>25</v>
      </c>
      <c r="G31" s="3" t="s">
        <v>25</v>
      </c>
      <c r="H31" s="3" t="s">
        <v>34</v>
      </c>
      <c r="I31" s="6">
        <v>44531</v>
      </c>
      <c r="J31" s="4">
        <v>-456</v>
      </c>
      <c r="K31" s="4">
        <v>-456</v>
      </c>
      <c r="L31" s="4">
        <v>-0.129</v>
      </c>
      <c r="M31" s="4">
        <v>-0.129</v>
      </c>
      <c r="N31" s="4">
        <v>-0.129</v>
      </c>
      <c r="O31" s="4">
        <v>-0.129</v>
      </c>
      <c r="P31" s="4">
        <v>0</v>
      </c>
      <c r="Q31" s="3" t="s">
        <v>26</v>
      </c>
      <c r="R31" s="3">
        <v>0</v>
      </c>
      <c r="S31" s="4">
        <v>34</v>
      </c>
      <c r="T31" s="4">
        <v>23</v>
      </c>
      <c r="U31" s="4">
        <v>71</v>
      </c>
      <c r="V31" s="4">
        <f>IF(ISERROR(VLOOKUP($S$31,'TAR FIN'!$A$1:$O$92,15,0)),0,VLOOKUP($S$31,'TAR FIN'!$A$1:$O$92,15,0))</f>
        <v>44</v>
      </c>
      <c r="W31" s="4">
        <f>IF(ISERROR(VLOOKUP($T$31,'TAR FIN'!$A$1:$O$92,15,0)),0,VLOOKUP($T$31,'TAR FIN'!$A$1:$O$92,15,0))</f>
        <v>87.73</v>
      </c>
      <c r="X31" s="4">
        <f>IF(ISERROR(VLOOKUP($U$31,'TAR FIN'!$A$1:$O$92,15,0)),0,VLOOKUP($U$31,'TAR FIN'!$A$1:$O$92,15,0))</f>
        <v>433.77</v>
      </c>
      <c r="Y31" s="4">
        <f ca="1">('TUSD BE'!$AM$5+'TUSD BF'!$AM$5+'TUSD CVA'!$AM$5)*1</f>
        <v>57.091253741473494</v>
      </c>
      <c r="Z31" s="4">
        <f ca="1">('TUSD BE'!$AM$7+'TUSD BF'!$AM$7+'TUSD CVA'!$AM$7)*1</f>
        <v>109.44196476324252</v>
      </c>
      <c r="AA31" s="4">
        <f>('TE BE'!$AB$5+'TE BF'!$AB$5+'TE CVA'!$AB$5)*1</f>
        <v>542.84414704984056</v>
      </c>
      <c r="AB31" s="4">
        <f>$K$31*$V$31</f>
        <v>-20064</v>
      </c>
      <c r="AC31" s="4">
        <f>$M$31*$W$31</f>
        <v>-11.317170000000001</v>
      </c>
      <c r="AD31" s="4">
        <f>$O$31*$X$31</f>
        <v>-55.956330000000001</v>
      </c>
      <c r="AE31" s="4">
        <f ca="1">$K$31*$Y$31</f>
        <v>-26033.611706111915</v>
      </c>
      <c r="AF31" s="4">
        <f ca="1">$M$31*$Z$31</f>
        <v>-14.118013454458286</v>
      </c>
      <c r="AG31" s="4">
        <f>$O$31*$AA$31</f>
        <v>-70.026894969429435</v>
      </c>
    </row>
    <row r="32" spans="1:33" ht="11.25" customHeight="1" x14ac:dyDescent="0.25">
      <c r="A32" s="3" t="s">
        <v>28</v>
      </c>
      <c r="B32" s="3" t="s">
        <v>39</v>
      </c>
      <c r="C32" s="3" t="s">
        <v>40</v>
      </c>
      <c r="D32" s="3" t="s">
        <v>42</v>
      </c>
      <c r="E32" s="3" t="s">
        <v>25</v>
      </c>
      <c r="F32" s="3" t="s">
        <v>25</v>
      </c>
      <c r="G32" s="3" t="s">
        <v>25</v>
      </c>
      <c r="H32" s="3" t="s">
        <v>34</v>
      </c>
      <c r="I32" s="6">
        <v>44531</v>
      </c>
      <c r="J32" s="4">
        <v>20</v>
      </c>
      <c r="K32" s="4">
        <v>20</v>
      </c>
      <c r="L32" s="4">
        <v>0.91600000000000004</v>
      </c>
      <c r="M32" s="4">
        <v>0.91600000000000004</v>
      </c>
      <c r="N32" s="4">
        <v>0.91600000000000004</v>
      </c>
      <c r="O32" s="4">
        <v>0.91600000000000004</v>
      </c>
      <c r="P32" s="4">
        <v>0</v>
      </c>
      <c r="Q32" s="3" t="s">
        <v>26</v>
      </c>
      <c r="R32" s="3">
        <v>0</v>
      </c>
      <c r="S32" s="4">
        <v>34</v>
      </c>
      <c r="T32" s="4">
        <v>23</v>
      </c>
      <c r="U32" s="4">
        <v>71</v>
      </c>
      <c r="V32" s="4">
        <f>IF(ISERROR(VLOOKUP($S$32,'TAR FIN'!$A$1:$O$92,15,0)),0,VLOOKUP($S$32,'TAR FIN'!$A$1:$O$92,15,0))</f>
        <v>44</v>
      </c>
      <c r="W32" s="4">
        <f>IF(ISERROR(VLOOKUP($T$32,'TAR FIN'!$A$1:$O$92,15,0)),0,VLOOKUP($T$32,'TAR FIN'!$A$1:$O$92,15,0))</f>
        <v>87.73</v>
      </c>
      <c r="X32" s="4">
        <f>IF(ISERROR(VLOOKUP($U$32,'TAR FIN'!$A$1:$O$92,15,0)),0,VLOOKUP($U$32,'TAR FIN'!$A$1:$O$92,15,0))</f>
        <v>433.77</v>
      </c>
      <c r="Y32" s="4">
        <f ca="1">('TUSD BE'!$AM$5+'TUSD BF'!$AM$5+'TUSD CVA'!$AM$5)*1</f>
        <v>57.091253741473494</v>
      </c>
      <c r="Z32" s="4">
        <f ca="1">('TUSD BE'!$AM$7+'TUSD BF'!$AM$7+'TUSD CVA'!$AM$7)*1</f>
        <v>109.44196476324252</v>
      </c>
      <c r="AA32" s="4">
        <f>('TE BE'!$AB$5+'TE BF'!$AB$5+'TE CVA'!$AB$5)*1</f>
        <v>542.84414704984056</v>
      </c>
      <c r="AB32" s="4">
        <f>$K$32*$V$32</f>
        <v>880</v>
      </c>
      <c r="AC32" s="4">
        <f>$M$32*$W$32</f>
        <v>80.360680000000002</v>
      </c>
      <c r="AD32" s="4">
        <f>$O$32*$X$32</f>
        <v>397.33332000000001</v>
      </c>
      <c r="AE32" s="4">
        <f ca="1">$K$32*$Y$32</f>
        <v>1141.8250748294699</v>
      </c>
      <c r="AF32" s="4">
        <f ca="1">$M$32*$Z$32</f>
        <v>100.24883972313016</v>
      </c>
      <c r="AG32" s="4">
        <f>$O$32*$AA$32</f>
        <v>497.24523869765397</v>
      </c>
    </row>
    <row r="33" spans="1:33" ht="11.25" customHeight="1" x14ac:dyDescent="0.25">
      <c r="A33" s="3" t="s">
        <v>21</v>
      </c>
      <c r="B33" s="3" t="s">
        <v>39</v>
      </c>
      <c r="C33" s="3" t="s">
        <v>40</v>
      </c>
      <c r="D33" s="3" t="s">
        <v>42</v>
      </c>
      <c r="E33" s="3" t="s">
        <v>25</v>
      </c>
      <c r="F33" s="3" t="s">
        <v>25</v>
      </c>
      <c r="G33" s="3" t="s">
        <v>25</v>
      </c>
      <c r="H33" s="3" t="s">
        <v>34</v>
      </c>
      <c r="I33" s="6">
        <v>44562</v>
      </c>
      <c r="J33" s="4">
        <v>5432</v>
      </c>
      <c r="K33" s="4">
        <v>5432</v>
      </c>
      <c r="L33" s="4">
        <v>199.643</v>
      </c>
      <c r="M33" s="4">
        <v>199.643</v>
      </c>
      <c r="N33" s="4">
        <v>199.643</v>
      </c>
      <c r="O33" s="4">
        <v>199.643</v>
      </c>
      <c r="P33" s="4">
        <v>0</v>
      </c>
      <c r="Q33" s="3" t="s">
        <v>26</v>
      </c>
      <c r="R33" s="3">
        <v>0</v>
      </c>
      <c r="S33" s="4">
        <v>34</v>
      </c>
      <c r="T33" s="4">
        <v>23</v>
      </c>
      <c r="U33" s="4">
        <v>71</v>
      </c>
      <c r="V33" s="4">
        <f>IF(ISERROR(VLOOKUP($S$33,'TAR FIN'!$A$1:$O$92,15,0)),0,VLOOKUP($S$33,'TAR FIN'!$A$1:$O$92,15,0))</f>
        <v>44</v>
      </c>
      <c r="W33" s="4">
        <f>IF(ISERROR(VLOOKUP($T$33,'TAR FIN'!$A$1:$O$92,15,0)),0,VLOOKUP($T$33,'TAR FIN'!$A$1:$O$92,15,0))</f>
        <v>87.73</v>
      </c>
      <c r="X33" s="4">
        <f>IF(ISERROR(VLOOKUP($U$33,'TAR FIN'!$A$1:$O$92,15,0)),0,VLOOKUP($U$33,'TAR FIN'!$A$1:$O$92,15,0))</f>
        <v>433.77</v>
      </c>
      <c r="Y33" s="4">
        <f ca="1">('TUSD BE'!$AM$5+'TUSD BF'!$AM$5+'TUSD CVA'!$AM$5)*1</f>
        <v>57.091253741473494</v>
      </c>
      <c r="Z33" s="4">
        <f ca="1">('TUSD BE'!$AM$7+'TUSD BF'!$AM$7+'TUSD CVA'!$AM$7)*1</f>
        <v>109.44196476324252</v>
      </c>
      <c r="AA33" s="4">
        <f>('TE BE'!$AB$5+'TE BF'!$AB$5+'TE CVA'!$AB$5)*1</f>
        <v>542.84414704984056</v>
      </c>
      <c r="AB33" s="4">
        <f>$K$33*$V$33</f>
        <v>239008</v>
      </c>
      <c r="AC33" s="4">
        <f>$M$33*$W$33</f>
        <v>17514.680390000001</v>
      </c>
      <c r="AD33" s="4">
        <f>$O$33*$X$33</f>
        <v>86599.144109999994</v>
      </c>
      <c r="AE33" s="4">
        <f ca="1">$K$33*$Y$33</f>
        <v>310119.69032368402</v>
      </c>
      <c r="AF33" s="4">
        <f ca="1">$M$33*$Z$33</f>
        <v>21849.322171228028</v>
      </c>
      <c r="AG33" s="4">
        <f>$O$33*$AA$33</f>
        <v>108375.03404947132</v>
      </c>
    </row>
    <row r="34" spans="1:33" ht="11.25" customHeight="1" x14ac:dyDescent="0.25">
      <c r="A34" s="3" t="s">
        <v>28</v>
      </c>
      <c r="B34" s="3" t="s">
        <v>39</v>
      </c>
      <c r="C34" s="3" t="s">
        <v>40</v>
      </c>
      <c r="D34" s="3" t="s">
        <v>42</v>
      </c>
      <c r="E34" s="3" t="s">
        <v>25</v>
      </c>
      <c r="F34" s="3" t="s">
        <v>25</v>
      </c>
      <c r="G34" s="3" t="s">
        <v>25</v>
      </c>
      <c r="H34" s="3" t="s">
        <v>34</v>
      </c>
      <c r="I34" s="6">
        <v>44562</v>
      </c>
      <c r="J34" s="4">
        <v>20</v>
      </c>
      <c r="K34" s="4">
        <v>20</v>
      </c>
      <c r="L34" s="4">
        <v>0.83299999999999996</v>
      </c>
      <c r="M34" s="4">
        <v>0.83299999999999996</v>
      </c>
      <c r="N34" s="4">
        <v>0.83299999999999996</v>
      </c>
      <c r="O34" s="4">
        <v>0.83299999999999996</v>
      </c>
      <c r="P34" s="4">
        <v>0</v>
      </c>
      <c r="Q34" s="3" t="s">
        <v>26</v>
      </c>
      <c r="R34" s="3">
        <v>0</v>
      </c>
      <c r="S34" s="4">
        <v>34</v>
      </c>
      <c r="T34" s="4">
        <v>23</v>
      </c>
      <c r="U34" s="4">
        <v>71</v>
      </c>
      <c r="V34" s="4">
        <f>IF(ISERROR(VLOOKUP($S$34,'TAR FIN'!$A$1:$O$92,15,0)),0,VLOOKUP($S$34,'TAR FIN'!$A$1:$O$92,15,0))</f>
        <v>44</v>
      </c>
      <c r="W34" s="4">
        <f>IF(ISERROR(VLOOKUP($T$34,'TAR FIN'!$A$1:$O$92,15,0)),0,VLOOKUP($T$34,'TAR FIN'!$A$1:$O$92,15,0))</f>
        <v>87.73</v>
      </c>
      <c r="X34" s="4">
        <f>IF(ISERROR(VLOOKUP($U$34,'TAR FIN'!$A$1:$O$92,15,0)),0,VLOOKUP($U$34,'TAR FIN'!$A$1:$O$92,15,0))</f>
        <v>433.77</v>
      </c>
      <c r="Y34" s="4">
        <f ca="1">('TUSD BE'!$AM$5+'TUSD BF'!$AM$5+'TUSD CVA'!$AM$5)*1</f>
        <v>57.091253741473494</v>
      </c>
      <c r="Z34" s="4">
        <f ca="1">('TUSD BE'!$AM$7+'TUSD BF'!$AM$7+'TUSD CVA'!$AM$7)*1</f>
        <v>109.44196476324252</v>
      </c>
      <c r="AA34" s="4">
        <f>('TE BE'!$AB$5+'TE BF'!$AB$5+'TE CVA'!$AB$5)*1</f>
        <v>542.84414704984056</v>
      </c>
      <c r="AB34" s="4">
        <f>$K$34*$V$34</f>
        <v>880</v>
      </c>
      <c r="AC34" s="4">
        <f>$M$34*$W$34</f>
        <v>73.079089999999994</v>
      </c>
      <c r="AD34" s="4">
        <f>$O$34*$X$34</f>
        <v>361.33040999999997</v>
      </c>
      <c r="AE34" s="4">
        <f ca="1">$K$34*$Y$34</f>
        <v>1141.8250748294699</v>
      </c>
      <c r="AF34" s="4">
        <f ca="1">$M$34*$Z$34</f>
        <v>91.165156647781018</v>
      </c>
      <c r="AG34" s="4">
        <f>$O$34*$AA$34</f>
        <v>452.18917449251717</v>
      </c>
    </row>
    <row r="35" spans="1:33" ht="11.25" customHeight="1" x14ac:dyDescent="0.25">
      <c r="A35" s="3" t="s">
        <v>21</v>
      </c>
      <c r="B35" s="3" t="s">
        <v>39</v>
      </c>
      <c r="C35" s="3" t="s">
        <v>40</v>
      </c>
      <c r="D35" s="3" t="s">
        <v>42</v>
      </c>
      <c r="E35" s="3" t="s">
        <v>25</v>
      </c>
      <c r="F35" s="3" t="s">
        <v>25</v>
      </c>
      <c r="G35" s="3" t="s">
        <v>25</v>
      </c>
      <c r="H35" s="3" t="s">
        <v>34</v>
      </c>
      <c r="I35" s="6">
        <v>44593</v>
      </c>
      <c r="J35" s="4">
        <v>5201</v>
      </c>
      <c r="K35" s="4">
        <v>5201</v>
      </c>
      <c r="L35" s="4">
        <v>175.922</v>
      </c>
      <c r="M35" s="4">
        <v>175.922</v>
      </c>
      <c r="N35" s="4">
        <v>175.922</v>
      </c>
      <c r="O35" s="4">
        <v>175.922</v>
      </c>
      <c r="P35" s="4">
        <v>0</v>
      </c>
      <c r="Q35" s="3" t="s">
        <v>26</v>
      </c>
      <c r="R35" s="3">
        <v>0</v>
      </c>
      <c r="S35" s="4">
        <v>34</v>
      </c>
      <c r="T35" s="4">
        <v>23</v>
      </c>
      <c r="U35" s="4">
        <v>71</v>
      </c>
      <c r="V35" s="4">
        <f>IF(ISERROR(VLOOKUP($S$35,'TAR FIN'!$A$1:$O$92,15,0)),0,VLOOKUP($S$35,'TAR FIN'!$A$1:$O$92,15,0))</f>
        <v>44</v>
      </c>
      <c r="W35" s="4">
        <f>IF(ISERROR(VLOOKUP($T$35,'TAR FIN'!$A$1:$O$92,15,0)),0,VLOOKUP($T$35,'TAR FIN'!$A$1:$O$92,15,0))</f>
        <v>87.73</v>
      </c>
      <c r="X35" s="4">
        <f>IF(ISERROR(VLOOKUP($U$35,'TAR FIN'!$A$1:$O$92,15,0)),0,VLOOKUP($U$35,'TAR FIN'!$A$1:$O$92,15,0))</f>
        <v>433.77</v>
      </c>
      <c r="Y35" s="4">
        <f ca="1">('TUSD BE'!$AM$5+'TUSD BF'!$AM$5+'TUSD CVA'!$AM$5)*1</f>
        <v>57.091253741473494</v>
      </c>
      <c r="Z35" s="4">
        <f ca="1">('TUSD BE'!$AM$7+'TUSD BF'!$AM$7+'TUSD CVA'!$AM$7)*1</f>
        <v>109.44196476324252</v>
      </c>
      <c r="AA35" s="4">
        <f>('TE BE'!$AB$5+'TE BF'!$AB$5+'TE CVA'!$AB$5)*1</f>
        <v>542.84414704984056</v>
      </c>
      <c r="AB35" s="4">
        <f>$K$35*$V$35</f>
        <v>228844</v>
      </c>
      <c r="AC35" s="4">
        <f>$M$35*$W$35</f>
        <v>15433.637060000001</v>
      </c>
      <c r="AD35" s="4">
        <f>$O$35*$X$35</f>
        <v>76309.685939999996</v>
      </c>
      <c r="AE35" s="4">
        <f ca="1">$K$35*$Y$35</f>
        <v>296931.61070940364</v>
      </c>
      <c r="AF35" s="4">
        <f ca="1">$M$35*$Z$35</f>
        <v>19253.249325079152</v>
      </c>
      <c r="AG35" s="4">
        <f>$O$35*$AA$35</f>
        <v>95498.228037302048</v>
      </c>
    </row>
    <row r="36" spans="1:33" ht="11.25" customHeight="1" x14ac:dyDescent="0.25">
      <c r="A36" s="3" t="s">
        <v>28</v>
      </c>
      <c r="B36" s="3" t="s">
        <v>39</v>
      </c>
      <c r="C36" s="3" t="s">
        <v>40</v>
      </c>
      <c r="D36" s="3" t="s">
        <v>42</v>
      </c>
      <c r="E36" s="3" t="s">
        <v>25</v>
      </c>
      <c r="F36" s="3" t="s">
        <v>25</v>
      </c>
      <c r="G36" s="3" t="s">
        <v>25</v>
      </c>
      <c r="H36" s="3" t="s">
        <v>34</v>
      </c>
      <c r="I36" s="6">
        <v>44593</v>
      </c>
      <c r="J36" s="4">
        <v>376</v>
      </c>
      <c r="K36" s="4">
        <v>376</v>
      </c>
      <c r="L36" s="4">
        <v>17.963999999999999</v>
      </c>
      <c r="M36" s="4">
        <v>17.963999999999999</v>
      </c>
      <c r="N36" s="4">
        <v>17.963999999999999</v>
      </c>
      <c r="O36" s="4">
        <v>17.963999999999999</v>
      </c>
      <c r="P36" s="4">
        <v>0</v>
      </c>
      <c r="Q36" s="3" t="s">
        <v>26</v>
      </c>
      <c r="R36" s="3">
        <v>0</v>
      </c>
      <c r="S36" s="4">
        <v>34</v>
      </c>
      <c r="T36" s="4">
        <v>23</v>
      </c>
      <c r="U36" s="4">
        <v>71</v>
      </c>
      <c r="V36" s="4">
        <f>IF(ISERROR(VLOOKUP($S$36,'TAR FIN'!$A$1:$O$92,15,0)),0,VLOOKUP($S$36,'TAR FIN'!$A$1:$O$92,15,0))</f>
        <v>44</v>
      </c>
      <c r="W36" s="4">
        <f>IF(ISERROR(VLOOKUP($T$36,'TAR FIN'!$A$1:$O$92,15,0)),0,VLOOKUP($T$36,'TAR FIN'!$A$1:$O$92,15,0))</f>
        <v>87.73</v>
      </c>
      <c r="X36" s="4">
        <f>IF(ISERROR(VLOOKUP($U$36,'TAR FIN'!$A$1:$O$92,15,0)),0,VLOOKUP($U$36,'TAR FIN'!$A$1:$O$92,15,0))</f>
        <v>433.77</v>
      </c>
      <c r="Y36" s="4">
        <f ca="1">('TUSD BE'!$AM$5+'TUSD BF'!$AM$5+'TUSD CVA'!$AM$5)*1</f>
        <v>57.091253741473494</v>
      </c>
      <c r="Z36" s="4">
        <f ca="1">('TUSD BE'!$AM$7+'TUSD BF'!$AM$7+'TUSD CVA'!$AM$7)*1</f>
        <v>109.44196476324252</v>
      </c>
      <c r="AA36" s="4">
        <f>('TE BE'!$AB$5+'TE BF'!$AB$5+'TE CVA'!$AB$5)*1</f>
        <v>542.84414704984056</v>
      </c>
      <c r="AB36" s="4">
        <f>$K$36*$V$36</f>
        <v>16544</v>
      </c>
      <c r="AC36" s="4">
        <f>$M$36*$W$36</f>
        <v>1575.98172</v>
      </c>
      <c r="AD36" s="4">
        <f>$O$36*$X$36</f>
        <v>7792.244279999999</v>
      </c>
      <c r="AE36" s="4">
        <f ca="1">$K$36*$Y$36</f>
        <v>21466.311406794033</v>
      </c>
      <c r="AF36" s="4">
        <f ca="1">$M$36*$Z$36</f>
        <v>1966.0154550068885</v>
      </c>
      <c r="AG36" s="4">
        <f>$O$36*$AA$36</f>
        <v>9751.6522576033349</v>
      </c>
    </row>
    <row r="37" spans="1:33" ht="11.25" customHeight="1" x14ac:dyDescent="0.25">
      <c r="A37" s="3" t="s">
        <v>21</v>
      </c>
      <c r="B37" s="3" t="s">
        <v>39</v>
      </c>
      <c r="C37" s="3" t="s">
        <v>40</v>
      </c>
      <c r="D37" s="3" t="s">
        <v>42</v>
      </c>
      <c r="E37" s="3" t="s">
        <v>25</v>
      </c>
      <c r="F37" s="3" t="s">
        <v>25</v>
      </c>
      <c r="G37" s="3" t="s">
        <v>25</v>
      </c>
      <c r="H37" s="3" t="s">
        <v>34</v>
      </c>
      <c r="I37" s="6">
        <v>44621</v>
      </c>
      <c r="J37" s="4">
        <v>5243</v>
      </c>
      <c r="K37" s="4">
        <v>5243</v>
      </c>
      <c r="L37" s="4">
        <v>187.71299999999999</v>
      </c>
      <c r="M37" s="4">
        <v>187.71299999999999</v>
      </c>
      <c r="N37" s="4">
        <v>187.71299999999999</v>
      </c>
      <c r="O37" s="4">
        <v>187.71299999999999</v>
      </c>
      <c r="P37" s="4">
        <v>0</v>
      </c>
      <c r="Q37" s="3" t="s">
        <v>26</v>
      </c>
      <c r="R37" s="3">
        <v>0</v>
      </c>
      <c r="S37" s="4">
        <v>34</v>
      </c>
      <c r="T37" s="4">
        <v>23</v>
      </c>
      <c r="U37" s="4">
        <v>71</v>
      </c>
      <c r="V37" s="4">
        <f>IF(ISERROR(VLOOKUP($S$37,'TAR FIN'!$A$1:$O$92,15,0)),0,VLOOKUP($S$37,'TAR FIN'!$A$1:$O$92,15,0))</f>
        <v>44</v>
      </c>
      <c r="W37" s="4">
        <f>IF(ISERROR(VLOOKUP($T$37,'TAR FIN'!$A$1:$O$92,15,0)),0,VLOOKUP($T$37,'TAR FIN'!$A$1:$O$92,15,0))</f>
        <v>87.73</v>
      </c>
      <c r="X37" s="4">
        <f>IF(ISERROR(VLOOKUP($U$37,'TAR FIN'!$A$1:$O$92,15,0)),0,VLOOKUP($U$37,'TAR FIN'!$A$1:$O$92,15,0))</f>
        <v>433.77</v>
      </c>
      <c r="Y37" s="4">
        <f ca="1">('TUSD BE'!$AM$5+'TUSD BF'!$AM$5+'TUSD CVA'!$AM$5)*1</f>
        <v>57.091253741473494</v>
      </c>
      <c r="Z37" s="4">
        <f ca="1">('TUSD BE'!$AM$7+'TUSD BF'!$AM$7+'TUSD CVA'!$AM$7)*1</f>
        <v>109.44196476324252</v>
      </c>
      <c r="AA37" s="4">
        <f>('TE BE'!$AB$5+'TE BF'!$AB$5+'TE CVA'!$AB$5)*1</f>
        <v>542.84414704984056</v>
      </c>
      <c r="AB37" s="4">
        <f>$K$37*$V$37</f>
        <v>230692</v>
      </c>
      <c r="AC37" s="4">
        <f>$M$37*$W$37</f>
        <v>16468.06149</v>
      </c>
      <c r="AD37" s="4">
        <f>$O$37*$X$37</f>
        <v>81424.26801</v>
      </c>
      <c r="AE37" s="4">
        <f ca="1">$K$37*$Y$37</f>
        <v>299329.44336654554</v>
      </c>
      <c r="AF37" s="4">
        <f ca="1">$M$37*$Z$37</f>
        <v>20543.679531602542</v>
      </c>
      <c r="AG37" s="4">
        <f>$O$37*$AA$37</f>
        <v>101898.90337516672</v>
      </c>
    </row>
    <row r="38" spans="1:33" ht="11.25" customHeight="1" x14ac:dyDescent="0.25">
      <c r="A38" s="3" t="s">
        <v>28</v>
      </c>
      <c r="B38" s="3" t="s">
        <v>39</v>
      </c>
      <c r="C38" s="3" t="s">
        <v>40</v>
      </c>
      <c r="D38" s="3" t="s">
        <v>42</v>
      </c>
      <c r="E38" s="3" t="s">
        <v>25</v>
      </c>
      <c r="F38" s="3" t="s">
        <v>25</v>
      </c>
      <c r="G38" s="3" t="s">
        <v>25</v>
      </c>
      <c r="H38" s="3" t="s">
        <v>34</v>
      </c>
      <c r="I38" s="6">
        <v>44621</v>
      </c>
      <c r="J38" s="4">
        <v>361</v>
      </c>
      <c r="K38" s="4">
        <v>361</v>
      </c>
      <c r="L38" s="4">
        <v>19.593</v>
      </c>
      <c r="M38" s="4">
        <v>19.593</v>
      </c>
      <c r="N38" s="4">
        <v>19.593</v>
      </c>
      <c r="O38" s="4">
        <v>19.593</v>
      </c>
      <c r="P38" s="4">
        <v>0</v>
      </c>
      <c r="Q38" s="3" t="s">
        <v>26</v>
      </c>
      <c r="R38" s="3">
        <v>0</v>
      </c>
      <c r="S38" s="4">
        <v>34</v>
      </c>
      <c r="T38" s="4">
        <v>23</v>
      </c>
      <c r="U38" s="4">
        <v>71</v>
      </c>
      <c r="V38" s="4">
        <f>IF(ISERROR(VLOOKUP($S$38,'TAR FIN'!$A$1:$O$92,15,0)),0,VLOOKUP($S$38,'TAR FIN'!$A$1:$O$92,15,0))</f>
        <v>44</v>
      </c>
      <c r="W38" s="4">
        <f>IF(ISERROR(VLOOKUP($T$38,'TAR FIN'!$A$1:$O$92,15,0)),0,VLOOKUP($T$38,'TAR FIN'!$A$1:$O$92,15,0))</f>
        <v>87.73</v>
      </c>
      <c r="X38" s="4">
        <f>IF(ISERROR(VLOOKUP($U$38,'TAR FIN'!$A$1:$O$92,15,0)),0,VLOOKUP($U$38,'TAR FIN'!$A$1:$O$92,15,0))</f>
        <v>433.77</v>
      </c>
      <c r="Y38" s="4">
        <f ca="1">('TUSD BE'!$AM$5+'TUSD BF'!$AM$5+'TUSD CVA'!$AM$5)*1</f>
        <v>57.091253741473494</v>
      </c>
      <c r="Z38" s="4">
        <f ca="1">('TUSD BE'!$AM$7+'TUSD BF'!$AM$7+'TUSD CVA'!$AM$7)*1</f>
        <v>109.44196476324252</v>
      </c>
      <c r="AA38" s="4">
        <f>('TE BE'!$AB$5+'TE BF'!$AB$5+'TE CVA'!$AB$5)*1</f>
        <v>542.84414704984056</v>
      </c>
      <c r="AB38" s="4">
        <f>$K$38*$V$38</f>
        <v>15884</v>
      </c>
      <c r="AC38" s="4">
        <f>$M$38*$W$38</f>
        <v>1718.8938900000001</v>
      </c>
      <c r="AD38" s="4">
        <f>$O$38*$X$38</f>
        <v>8498.8556100000005</v>
      </c>
      <c r="AE38" s="4">
        <f ca="1">$K$38*$Y$38</f>
        <v>20609.942600671933</v>
      </c>
      <c r="AF38" s="4">
        <f ca="1">$M$38*$Z$38</f>
        <v>2144.2964156062108</v>
      </c>
      <c r="AG38" s="4">
        <f>$O$38*$AA$38</f>
        <v>10635.945373147526</v>
      </c>
    </row>
    <row r="39" spans="1:33" ht="11.25" customHeight="1" x14ac:dyDescent="0.25">
      <c r="A39" s="3" t="s">
        <v>21</v>
      </c>
      <c r="B39" s="3" t="s">
        <v>39</v>
      </c>
      <c r="C39" s="3" t="s">
        <v>40</v>
      </c>
      <c r="D39" s="3" t="s">
        <v>42</v>
      </c>
      <c r="E39" s="3" t="s">
        <v>25</v>
      </c>
      <c r="F39" s="3" t="s">
        <v>25</v>
      </c>
      <c r="G39" s="3" t="s">
        <v>25</v>
      </c>
      <c r="H39" s="3" t="s">
        <v>34</v>
      </c>
      <c r="I39" s="6">
        <v>44652</v>
      </c>
      <c r="J39" s="4">
        <v>5243</v>
      </c>
      <c r="K39" s="4">
        <v>5243</v>
      </c>
      <c r="L39" s="4">
        <v>187.71299999999999</v>
      </c>
      <c r="M39" s="4">
        <v>187.71299999999999</v>
      </c>
      <c r="N39" s="4">
        <v>187.71299999999999</v>
      </c>
      <c r="O39" s="4">
        <v>187.71299999999999</v>
      </c>
      <c r="P39" s="4">
        <v>0</v>
      </c>
      <c r="Q39" s="3" t="s">
        <v>26</v>
      </c>
      <c r="R39" s="3">
        <v>0</v>
      </c>
      <c r="S39" s="4">
        <v>34</v>
      </c>
      <c r="T39" s="4">
        <v>23</v>
      </c>
      <c r="U39" s="4">
        <v>71</v>
      </c>
      <c r="V39" s="4">
        <f>IF(ISERROR(VLOOKUP($S$39,'TAR FIN'!$A$1:$O$92,15,0)),0,VLOOKUP($S$39,'TAR FIN'!$A$1:$O$92,15,0))</f>
        <v>44</v>
      </c>
      <c r="W39" s="4">
        <f>IF(ISERROR(VLOOKUP($T$39,'TAR FIN'!$A$1:$O$92,15,0)),0,VLOOKUP($T$39,'TAR FIN'!$A$1:$O$92,15,0))</f>
        <v>87.73</v>
      </c>
      <c r="X39" s="4">
        <f>IF(ISERROR(VLOOKUP($U$39,'TAR FIN'!$A$1:$O$92,15,0)),0,VLOOKUP($U$39,'TAR FIN'!$A$1:$O$92,15,0))</f>
        <v>433.77</v>
      </c>
      <c r="Y39" s="4">
        <f ca="1">('TUSD BE'!$AM$5+'TUSD BF'!$AM$5+'TUSD CVA'!$AM$5)*1</f>
        <v>57.091253741473494</v>
      </c>
      <c r="Z39" s="4">
        <f ca="1">('TUSD BE'!$AM$7+'TUSD BF'!$AM$7+'TUSD CVA'!$AM$7)*1</f>
        <v>109.44196476324252</v>
      </c>
      <c r="AA39" s="4">
        <f>('TE BE'!$AB$5+'TE BF'!$AB$5+'TE CVA'!$AB$5)*1</f>
        <v>542.84414704984056</v>
      </c>
      <c r="AB39" s="4">
        <f>$K$39*$V$39</f>
        <v>230692</v>
      </c>
      <c r="AC39" s="4">
        <f>$M$39*$W$39</f>
        <v>16468.06149</v>
      </c>
      <c r="AD39" s="4">
        <f>$O$39*$X$39</f>
        <v>81424.26801</v>
      </c>
      <c r="AE39" s="4">
        <f ca="1">$K$39*$Y$39</f>
        <v>299329.44336654554</v>
      </c>
      <c r="AF39" s="4">
        <f ca="1">$M$39*$Z$39</f>
        <v>20543.679531602542</v>
      </c>
      <c r="AG39" s="4">
        <f>$O$39*$AA$39</f>
        <v>101898.90337516672</v>
      </c>
    </row>
    <row r="40" spans="1:33" ht="11.25" customHeight="1" x14ac:dyDescent="0.25">
      <c r="A40" s="3" t="s">
        <v>28</v>
      </c>
      <c r="B40" s="3" t="s">
        <v>39</v>
      </c>
      <c r="C40" s="3" t="s">
        <v>40</v>
      </c>
      <c r="D40" s="3" t="s">
        <v>42</v>
      </c>
      <c r="E40" s="3" t="s">
        <v>25</v>
      </c>
      <c r="F40" s="3" t="s">
        <v>25</v>
      </c>
      <c r="G40" s="3" t="s">
        <v>25</v>
      </c>
      <c r="H40" s="3" t="s">
        <v>34</v>
      </c>
      <c r="I40" s="6">
        <v>44652</v>
      </c>
      <c r="J40" s="4">
        <v>361</v>
      </c>
      <c r="K40" s="4">
        <v>361</v>
      </c>
      <c r="L40" s="4">
        <v>19.593</v>
      </c>
      <c r="M40" s="4">
        <v>19.593</v>
      </c>
      <c r="N40" s="4">
        <v>19.593</v>
      </c>
      <c r="O40" s="4">
        <v>19.593</v>
      </c>
      <c r="P40" s="4">
        <v>0</v>
      </c>
      <c r="Q40" s="3" t="s">
        <v>26</v>
      </c>
      <c r="R40" s="3">
        <v>0</v>
      </c>
      <c r="S40" s="4">
        <v>34</v>
      </c>
      <c r="T40" s="4">
        <v>23</v>
      </c>
      <c r="U40" s="4">
        <v>71</v>
      </c>
      <c r="V40" s="4">
        <f>IF(ISERROR(VLOOKUP($S$40,'TAR FIN'!$A$1:$O$92,15,0)),0,VLOOKUP($S$40,'TAR FIN'!$A$1:$O$92,15,0))</f>
        <v>44</v>
      </c>
      <c r="W40" s="4">
        <f>IF(ISERROR(VLOOKUP($T$40,'TAR FIN'!$A$1:$O$92,15,0)),0,VLOOKUP($T$40,'TAR FIN'!$A$1:$O$92,15,0))</f>
        <v>87.73</v>
      </c>
      <c r="X40" s="4">
        <f>IF(ISERROR(VLOOKUP($U$40,'TAR FIN'!$A$1:$O$92,15,0)),0,VLOOKUP($U$40,'TAR FIN'!$A$1:$O$92,15,0))</f>
        <v>433.77</v>
      </c>
      <c r="Y40" s="4">
        <f ca="1">('TUSD BE'!$AM$5+'TUSD BF'!$AM$5+'TUSD CVA'!$AM$5)*1</f>
        <v>57.091253741473494</v>
      </c>
      <c r="Z40" s="4">
        <f ca="1">('TUSD BE'!$AM$7+'TUSD BF'!$AM$7+'TUSD CVA'!$AM$7)*1</f>
        <v>109.44196476324252</v>
      </c>
      <c r="AA40" s="4">
        <f>('TE BE'!$AB$5+'TE BF'!$AB$5+'TE CVA'!$AB$5)*1</f>
        <v>542.84414704984056</v>
      </c>
      <c r="AB40" s="4">
        <f>$K$40*$V$40</f>
        <v>15884</v>
      </c>
      <c r="AC40" s="4">
        <f>$M$40*$W$40</f>
        <v>1718.8938900000001</v>
      </c>
      <c r="AD40" s="4">
        <f>$O$40*$X$40</f>
        <v>8498.8556100000005</v>
      </c>
      <c r="AE40" s="4">
        <f ca="1">$K$40*$Y$40</f>
        <v>20609.942600671933</v>
      </c>
      <c r="AF40" s="4">
        <f ca="1">$M$40*$Z$40</f>
        <v>2144.2964156062108</v>
      </c>
      <c r="AG40" s="4">
        <f>$O$40*$AA$40</f>
        <v>10635.945373147526</v>
      </c>
    </row>
    <row r="41" spans="1:33" ht="11.25" customHeight="1" x14ac:dyDescent="0.25">
      <c r="A41" s="3" t="s">
        <v>21</v>
      </c>
      <c r="B41" s="3" t="s">
        <v>39</v>
      </c>
      <c r="C41" s="3" t="s">
        <v>40</v>
      </c>
      <c r="D41" s="3" t="s">
        <v>42</v>
      </c>
      <c r="E41" s="3" t="s">
        <v>25</v>
      </c>
      <c r="F41" s="3" t="s">
        <v>25</v>
      </c>
      <c r="G41" s="3" t="s">
        <v>25</v>
      </c>
      <c r="H41" s="3" t="s">
        <v>34</v>
      </c>
      <c r="I41" s="6">
        <v>44682</v>
      </c>
      <c r="J41" s="4">
        <v>5251</v>
      </c>
      <c r="K41" s="4">
        <v>5251</v>
      </c>
      <c r="L41" s="4">
        <v>182.58799999999999</v>
      </c>
      <c r="M41" s="4">
        <v>182.58799999999999</v>
      </c>
      <c r="N41" s="4">
        <v>182.58799999999999</v>
      </c>
      <c r="O41" s="4">
        <v>182.58799999999999</v>
      </c>
      <c r="P41" s="4">
        <v>0</v>
      </c>
      <c r="Q41" s="3" t="s">
        <v>26</v>
      </c>
      <c r="R41" s="3">
        <v>0</v>
      </c>
      <c r="S41" s="4">
        <v>34</v>
      </c>
      <c r="T41" s="4">
        <v>23</v>
      </c>
      <c r="U41" s="4">
        <v>71</v>
      </c>
      <c r="V41" s="4">
        <f>IF(ISERROR(VLOOKUP($S$41,'TAR FIN'!$A$1:$O$92,15,0)),0,VLOOKUP($S$41,'TAR FIN'!$A$1:$O$92,15,0))</f>
        <v>44</v>
      </c>
      <c r="W41" s="4">
        <f>IF(ISERROR(VLOOKUP($T$41,'TAR FIN'!$A$1:$O$92,15,0)),0,VLOOKUP($T$41,'TAR FIN'!$A$1:$O$92,15,0))</f>
        <v>87.73</v>
      </c>
      <c r="X41" s="4">
        <f>IF(ISERROR(VLOOKUP($U$41,'TAR FIN'!$A$1:$O$92,15,0)),0,VLOOKUP($U$41,'TAR FIN'!$A$1:$O$92,15,0))</f>
        <v>433.77</v>
      </c>
      <c r="Y41" s="4">
        <f ca="1">('TUSD BE'!$AM$5+'TUSD BF'!$AM$5+'TUSD CVA'!$AM$5)*1</f>
        <v>57.091253741473494</v>
      </c>
      <c r="Z41" s="4">
        <f ca="1">('TUSD BE'!$AM$7+'TUSD BF'!$AM$7+'TUSD CVA'!$AM$7)*1</f>
        <v>109.44196476324252</v>
      </c>
      <c r="AA41" s="4">
        <f>('TE BE'!$AB$5+'TE BF'!$AB$5+'TE CVA'!$AB$5)*1</f>
        <v>542.84414704984056</v>
      </c>
      <c r="AB41" s="4">
        <f>$K$41*$V$41</f>
        <v>231044</v>
      </c>
      <c r="AC41" s="4">
        <f>$M$41*$W$41</f>
        <v>16018.445240000001</v>
      </c>
      <c r="AD41" s="4">
        <f>$O$41*$X$41</f>
        <v>79201.196759999992</v>
      </c>
      <c r="AE41" s="4">
        <f ca="1">$K$41*$Y$41</f>
        <v>299786.1733964773</v>
      </c>
      <c r="AF41" s="4">
        <f ca="1">$M$41*$Z$41</f>
        <v>19982.789462190925</v>
      </c>
      <c r="AG41" s="4">
        <f>$O$41*$AA$41</f>
        <v>99116.827121536291</v>
      </c>
    </row>
    <row r="42" spans="1:33" ht="11.25" customHeight="1" x14ac:dyDescent="0.25">
      <c r="A42" s="3" t="s">
        <v>28</v>
      </c>
      <c r="B42" s="3" t="s">
        <v>39</v>
      </c>
      <c r="C42" s="3" t="s">
        <v>40</v>
      </c>
      <c r="D42" s="3" t="s">
        <v>42</v>
      </c>
      <c r="E42" s="3" t="s">
        <v>25</v>
      </c>
      <c r="F42" s="3" t="s">
        <v>25</v>
      </c>
      <c r="G42" s="3" t="s">
        <v>25</v>
      </c>
      <c r="H42" s="3" t="s">
        <v>34</v>
      </c>
      <c r="I42" s="6">
        <v>44682</v>
      </c>
      <c r="J42" s="4">
        <v>1480</v>
      </c>
      <c r="K42" s="4">
        <v>1480</v>
      </c>
      <c r="L42" s="4">
        <v>73.14</v>
      </c>
      <c r="M42" s="4">
        <v>73.14</v>
      </c>
      <c r="N42" s="4">
        <v>73.14</v>
      </c>
      <c r="O42" s="4">
        <v>73.14</v>
      </c>
      <c r="P42" s="4">
        <v>0</v>
      </c>
      <c r="Q42" s="3" t="s">
        <v>26</v>
      </c>
      <c r="R42" s="3">
        <v>0</v>
      </c>
      <c r="S42" s="4">
        <v>34</v>
      </c>
      <c r="T42" s="4">
        <v>23</v>
      </c>
      <c r="U42" s="4">
        <v>71</v>
      </c>
      <c r="V42" s="4">
        <f>IF(ISERROR(VLOOKUP($S$42,'TAR FIN'!$A$1:$O$92,15,0)),0,VLOOKUP($S$42,'TAR FIN'!$A$1:$O$92,15,0))</f>
        <v>44</v>
      </c>
      <c r="W42" s="4">
        <f>IF(ISERROR(VLOOKUP($T$42,'TAR FIN'!$A$1:$O$92,15,0)),0,VLOOKUP($T$42,'TAR FIN'!$A$1:$O$92,15,0))</f>
        <v>87.73</v>
      </c>
      <c r="X42" s="4">
        <f>IF(ISERROR(VLOOKUP($U$42,'TAR FIN'!$A$1:$O$92,15,0)),0,VLOOKUP($U$42,'TAR FIN'!$A$1:$O$92,15,0))</f>
        <v>433.77</v>
      </c>
      <c r="Y42" s="4">
        <f ca="1">('TUSD BE'!$AM$5+'TUSD BF'!$AM$5+'TUSD CVA'!$AM$5)*1</f>
        <v>57.091253741473494</v>
      </c>
      <c r="Z42" s="4">
        <f ca="1">('TUSD BE'!$AM$7+'TUSD BF'!$AM$7+'TUSD CVA'!$AM$7)*1</f>
        <v>109.44196476324252</v>
      </c>
      <c r="AA42" s="4">
        <f>('TE BE'!$AB$5+'TE BF'!$AB$5+'TE CVA'!$AB$5)*1</f>
        <v>542.84414704984056</v>
      </c>
      <c r="AB42" s="4">
        <f>$K$42*$V$42</f>
        <v>65120</v>
      </c>
      <c r="AC42" s="4">
        <f>$M$42*$W$42</f>
        <v>6416.5722000000005</v>
      </c>
      <c r="AD42" s="4">
        <f>$O$42*$X$42</f>
        <v>31725.9378</v>
      </c>
      <c r="AE42" s="4">
        <f ca="1">$K$42*$Y$42</f>
        <v>84495.055537380773</v>
      </c>
      <c r="AF42" s="4">
        <f ca="1">$M$42*$Z$42</f>
        <v>8004.5853027835583</v>
      </c>
      <c r="AG42" s="4">
        <f>$O$42*$AA$42</f>
        <v>39703.620915225336</v>
      </c>
    </row>
    <row r="43" spans="1:33" ht="11.25" customHeight="1" x14ac:dyDescent="0.25">
      <c r="A43" s="3" t="s">
        <v>21</v>
      </c>
      <c r="B43" s="3" t="s">
        <v>39</v>
      </c>
      <c r="C43" s="3" t="s">
        <v>40</v>
      </c>
      <c r="D43" s="3" t="s">
        <v>42</v>
      </c>
      <c r="E43" s="3" t="s">
        <v>25</v>
      </c>
      <c r="F43" s="3" t="s">
        <v>25</v>
      </c>
      <c r="G43" s="3" t="s">
        <v>25</v>
      </c>
      <c r="H43" s="3" t="s">
        <v>34</v>
      </c>
      <c r="I43" s="6">
        <v>44713</v>
      </c>
      <c r="J43" s="4">
        <v>5256</v>
      </c>
      <c r="K43" s="4">
        <v>5256</v>
      </c>
      <c r="L43" s="4">
        <v>175.76</v>
      </c>
      <c r="M43" s="4">
        <v>175.76</v>
      </c>
      <c r="N43" s="4">
        <v>175.76</v>
      </c>
      <c r="O43" s="4">
        <v>175.76</v>
      </c>
      <c r="P43" s="4">
        <v>0</v>
      </c>
      <c r="Q43" s="3" t="s">
        <v>26</v>
      </c>
      <c r="R43" s="3">
        <v>0</v>
      </c>
      <c r="S43" s="4">
        <v>34</v>
      </c>
      <c r="T43" s="4">
        <v>23</v>
      </c>
      <c r="U43" s="4">
        <v>71</v>
      </c>
      <c r="V43" s="4">
        <f>IF(ISERROR(VLOOKUP($S$43,'TAR FIN'!$A$1:$O$92,15,0)),0,VLOOKUP($S$43,'TAR FIN'!$A$1:$O$92,15,0))</f>
        <v>44</v>
      </c>
      <c r="W43" s="4">
        <f>IF(ISERROR(VLOOKUP($T$43,'TAR FIN'!$A$1:$O$92,15,0)),0,VLOOKUP($T$43,'TAR FIN'!$A$1:$O$92,15,0))</f>
        <v>87.73</v>
      </c>
      <c r="X43" s="4">
        <f>IF(ISERROR(VLOOKUP($U$43,'TAR FIN'!$A$1:$O$92,15,0)),0,VLOOKUP($U$43,'TAR FIN'!$A$1:$O$92,15,0))</f>
        <v>433.77</v>
      </c>
      <c r="Y43" s="4">
        <f ca="1">('TUSD BE'!$AM$5+'TUSD BF'!$AM$5+'TUSD CVA'!$AM$5)*1</f>
        <v>57.091253741473494</v>
      </c>
      <c r="Z43" s="4">
        <f ca="1">('TUSD BE'!$AM$7+'TUSD BF'!$AM$7+'TUSD CVA'!$AM$7)*1</f>
        <v>109.44196476324252</v>
      </c>
      <c r="AA43" s="4">
        <f>('TE BE'!$AB$5+'TE BF'!$AB$5+'TE CVA'!$AB$5)*1</f>
        <v>542.84414704984056</v>
      </c>
      <c r="AB43" s="4">
        <f>$K$43*$V$43</f>
        <v>231264</v>
      </c>
      <c r="AC43" s="4">
        <f>$M$43*$W$43</f>
        <v>15419.424800000001</v>
      </c>
      <c r="AD43" s="4">
        <f>$O$43*$X$43</f>
        <v>76239.415199999989</v>
      </c>
      <c r="AE43" s="4">
        <f ca="1">$K$43*$Y$43</f>
        <v>300071.62966518471</v>
      </c>
      <c r="AF43" s="4">
        <f ca="1">$M$43*$Z$43</f>
        <v>19235.519726787505</v>
      </c>
      <c r="AG43" s="4">
        <f>$O$43*$AA$43</f>
        <v>95410.287285479964</v>
      </c>
    </row>
    <row r="44" spans="1:33" ht="11.25" customHeight="1" x14ac:dyDescent="0.25">
      <c r="A44" s="3" t="s">
        <v>28</v>
      </c>
      <c r="B44" s="3" t="s">
        <v>39</v>
      </c>
      <c r="C44" s="3" t="s">
        <v>40</v>
      </c>
      <c r="D44" s="3" t="s">
        <v>42</v>
      </c>
      <c r="E44" s="3" t="s">
        <v>25</v>
      </c>
      <c r="F44" s="3" t="s">
        <v>25</v>
      </c>
      <c r="G44" s="3" t="s">
        <v>25</v>
      </c>
      <c r="H44" s="3" t="s">
        <v>34</v>
      </c>
      <c r="I44" s="6">
        <v>44713</v>
      </c>
      <c r="J44" s="4">
        <v>390</v>
      </c>
      <c r="K44" s="4">
        <v>390</v>
      </c>
      <c r="L44" s="4">
        <v>18.045000000000002</v>
      </c>
      <c r="M44" s="4">
        <v>18.045000000000002</v>
      </c>
      <c r="N44" s="4">
        <v>18.045000000000002</v>
      </c>
      <c r="O44" s="4">
        <v>18.045000000000002</v>
      </c>
      <c r="P44" s="4">
        <v>0</v>
      </c>
      <c r="Q44" s="3" t="s">
        <v>26</v>
      </c>
      <c r="R44" s="3">
        <v>0</v>
      </c>
      <c r="S44" s="4">
        <v>34</v>
      </c>
      <c r="T44" s="4">
        <v>23</v>
      </c>
      <c r="U44" s="4">
        <v>71</v>
      </c>
      <c r="V44" s="4">
        <f>IF(ISERROR(VLOOKUP($S$44,'TAR FIN'!$A$1:$O$92,15,0)),0,VLOOKUP($S$44,'TAR FIN'!$A$1:$O$92,15,0))</f>
        <v>44</v>
      </c>
      <c r="W44" s="4">
        <f>IF(ISERROR(VLOOKUP($T$44,'TAR FIN'!$A$1:$O$92,15,0)),0,VLOOKUP($T$44,'TAR FIN'!$A$1:$O$92,15,0))</f>
        <v>87.73</v>
      </c>
      <c r="X44" s="4">
        <f>IF(ISERROR(VLOOKUP($U$44,'TAR FIN'!$A$1:$O$92,15,0)),0,VLOOKUP($U$44,'TAR FIN'!$A$1:$O$92,15,0))</f>
        <v>433.77</v>
      </c>
      <c r="Y44" s="4">
        <f ca="1">('TUSD BE'!$AM$5+'TUSD BF'!$AM$5+'TUSD CVA'!$AM$5)*1</f>
        <v>57.091253741473494</v>
      </c>
      <c r="Z44" s="4">
        <f ca="1">('TUSD BE'!$AM$7+'TUSD BF'!$AM$7+'TUSD CVA'!$AM$7)*1</f>
        <v>109.44196476324252</v>
      </c>
      <c r="AA44" s="4">
        <f>('TE BE'!$AB$5+'TE BF'!$AB$5+'TE CVA'!$AB$5)*1</f>
        <v>542.84414704984056</v>
      </c>
      <c r="AB44" s="4">
        <f>$K$44*$V$44</f>
        <v>17160</v>
      </c>
      <c r="AC44" s="4">
        <f>$M$44*$W$44</f>
        <v>1583.0878500000001</v>
      </c>
      <c r="AD44" s="4">
        <f>$O$44*$X$44</f>
        <v>7827.3796500000008</v>
      </c>
      <c r="AE44" s="4">
        <f ca="1">$K$44*$Y$44</f>
        <v>22265.588959174664</v>
      </c>
      <c r="AF44" s="4">
        <f ca="1">$M$44*$Z$44</f>
        <v>1974.8802541527116</v>
      </c>
      <c r="AG44" s="4">
        <f>$O$44*$AA$44</f>
        <v>9795.6226335143747</v>
      </c>
    </row>
    <row r="45" spans="1:33" ht="11.25" customHeight="1" x14ac:dyDescent="0.25">
      <c r="A45" s="3" t="s">
        <v>21</v>
      </c>
      <c r="B45" s="3" t="s">
        <v>39</v>
      </c>
      <c r="C45" s="3" t="s">
        <v>40</v>
      </c>
      <c r="D45" s="3" t="s">
        <v>42</v>
      </c>
      <c r="E45" s="3" t="s">
        <v>25</v>
      </c>
      <c r="F45" s="3" t="s">
        <v>25</v>
      </c>
      <c r="G45" s="3" t="s">
        <v>25</v>
      </c>
      <c r="H45" s="3" t="s">
        <v>34</v>
      </c>
      <c r="I45" s="6">
        <v>44743</v>
      </c>
      <c r="J45" s="4">
        <v>5248</v>
      </c>
      <c r="K45" s="4">
        <v>5248</v>
      </c>
      <c r="L45" s="4">
        <v>175.38200000000001</v>
      </c>
      <c r="M45" s="4">
        <v>175.38200000000001</v>
      </c>
      <c r="N45" s="4">
        <v>175.38200000000001</v>
      </c>
      <c r="O45" s="4">
        <v>175.38200000000001</v>
      </c>
      <c r="P45" s="4">
        <v>0</v>
      </c>
      <c r="Q45" s="3" t="s">
        <v>26</v>
      </c>
      <c r="R45" s="3">
        <v>0</v>
      </c>
      <c r="S45" s="4">
        <v>34</v>
      </c>
      <c r="T45" s="4">
        <v>23</v>
      </c>
      <c r="U45" s="4">
        <v>71</v>
      </c>
      <c r="V45" s="4">
        <f>IF(ISERROR(VLOOKUP($S$45,'TAR FIN'!$A$1:$O$92,15,0)),0,VLOOKUP($S$45,'TAR FIN'!$A$1:$O$92,15,0))</f>
        <v>44</v>
      </c>
      <c r="W45" s="4">
        <f>IF(ISERROR(VLOOKUP($T$45,'TAR FIN'!$A$1:$O$92,15,0)),0,VLOOKUP($T$45,'TAR FIN'!$A$1:$O$92,15,0))</f>
        <v>87.73</v>
      </c>
      <c r="X45" s="4">
        <f>IF(ISERROR(VLOOKUP($U$45,'TAR FIN'!$A$1:$O$92,15,0)),0,VLOOKUP($U$45,'TAR FIN'!$A$1:$O$92,15,0))</f>
        <v>433.77</v>
      </c>
      <c r="Y45" s="4">
        <f ca="1">('TUSD BE'!$AM$5+'TUSD BF'!$AM$5+'TUSD CVA'!$AM$5)*1</f>
        <v>57.091253741473494</v>
      </c>
      <c r="Z45" s="4">
        <f ca="1">('TUSD BE'!$AM$7+'TUSD BF'!$AM$7+'TUSD CVA'!$AM$7)*1</f>
        <v>109.44196476324252</v>
      </c>
      <c r="AA45" s="4">
        <f>('TE BE'!$AB$5+'TE BF'!$AB$5+'TE CVA'!$AB$5)*1</f>
        <v>542.84414704984056</v>
      </c>
      <c r="AB45" s="4">
        <f>$K$45*$V$45</f>
        <v>230912</v>
      </c>
      <c r="AC45" s="4">
        <f>$M$45*$W$45</f>
        <v>15386.262860000001</v>
      </c>
      <c r="AD45" s="4">
        <f>$O$45*$X$45</f>
        <v>76075.450140000001</v>
      </c>
      <c r="AE45" s="4">
        <f ca="1">$K$45*$Y$45</f>
        <v>299614.89963525289</v>
      </c>
      <c r="AF45" s="4">
        <f ca="1">$M$45*$Z$45</f>
        <v>19194.150664107001</v>
      </c>
      <c r="AG45" s="4">
        <f>$O$45*$AA$45</f>
        <v>95205.092197895137</v>
      </c>
    </row>
    <row r="46" spans="1:33" ht="11.25" customHeight="1" x14ac:dyDescent="0.25">
      <c r="A46" s="3" t="s">
        <v>28</v>
      </c>
      <c r="B46" s="3" t="s">
        <v>39</v>
      </c>
      <c r="C46" s="3" t="s">
        <v>40</v>
      </c>
      <c r="D46" s="3" t="s">
        <v>42</v>
      </c>
      <c r="E46" s="3" t="s">
        <v>25</v>
      </c>
      <c r="F46" s="3" t="s">
        <v>25</v>
      </c>
      <c r="G46" s="3" t="s">
        <v>25</v>
      </c>
      <c r="H46" s="3" t="s">
        <v>34</v>
      </c>
      <c r="I46" s="6">
        <v>44743</v>
      </c>
      <c r="J46" s="4">
        <v>359</v>
      </c>
      <c r="K46" s="4">
        <v>359</v>
      </c>
      <c r="L46" s="4">
        <v>17.533999999999999</v>
      </c>
      <c r="M46" s="4">
        <v>17.533999999999999</v>
      </c>
      <c r="N46" s="4">
        <v>17.533999999999999</v>
      </c>
      <c r="O46" s="4">
        <v>17.533999999999999</v>
      </c>
      <c r="P46" s="4">
        <v>0</v>
      </c>
      <c r="Q46" s="3" t="s">
        <v>26</v>
      </c>
      <c r="R46" s="3">
        <v>0</v>
      </c>
      <c r="S46" s="4">
        <v>34</v>
      </c>
      <c r="T46" s="4">
        <v>23</v>
      </c>
      <c r="U46" s="4">
        <v>71</v>
      </c>
      <c r="V46" s="4">
        <f>IF(ISERROR(VLOOKUP($S$46,'TAR FIN'!$A$1:$O$92,15,0)),0,VLOOKUP($S$46,'TAR FIN'!$A$1:$O$92,15,0))</f>
        <v>44</v>
      </c>
      <c r="W46" s="4">
        <f>IF(ISERROR(VLOOKUP($T$46,'TAR FIN'!$A$1:$O$92,15,0)),0,VLOOKUP($T$46,'TAR FIN'!$A$1:$O$92,15,0))</f>
        <v>87.73</v>
      </c>
      <c r="X46" s="4">
        <f>IF(ISERROR(VLOOKUP($U$46,'TAR FIN'!$A$1:$O$92,15,0)),0,VLOOKUP($U$46,'TAR FIN'!$A$1:$O$92,15,0))</f>
        <v>433.77</v>
      </c>
      <c r="Y46" s="4">
        <f ca="1">('TUSD BE'!$AM$5+'TUSD BF'!$AM$5+'TUSD CVA'!$AM$5)*1</f>
        <v>57.091253741473494</v>
      </c>
      <c r="Z46" s="4">
        <f ca="1">('TUSD BE'!$AM$7+'TUSD BF'!$AM$7+'TUSD CVA'!$AM$7)*1</f>
        <v>109.44196476324252</v>
      </c>
      <c r="AA46" s="4">
        <f>('TE BE'!$AB$5+'TE BF'!$AB$5+'TE CVA'!$AB$5)*1</f>
        <v>542.84414704984056</v>
      </c>
      <c r="AB46" s="4">
        <f>$K$46*$V$46</f>
        <v>15796</v>
      </c>
      <c r="AC46" s="4">
        <f>$M$46*$W$46</f>
        <v>1538.25782</v>
      </c>
      <c r="AD46" s="4">
        <f>$O$46*$X$46</f>
        <v>7605.723179999999</v>
      </c>
      <c r="AE46" s="4">
        <f ca="1">$K$46*$Y$46</f>
        <v>20495.760093188983</v>
      </c>
      <c r="AF46" s="4">
        <f ca="1">$M$46*$Z$46</f>
        <v>1918.9554101586943</v>
      </c>
      <c r="AG46" s="4">
        <f>$O$46*$AA$46</f>
        <v>9518.2292743719045</v>
      </c>
    </row>
    <row r="47" spans="1:33" ht="11.25" customHeight="1" x14ac:dyDescent="0.25">
      <c r="A47" s="3" t="s">
        <v>21</v>
      </c>
      <c r="B47" s="3" t="s">
        <v>39</v>
      </c>
      <c r="C47" s="3" t="s">
        <v>40</v>
      </c>
      <c r="D47" s="3" t="s">
        <v>42</v>
      </c>
      <c r="E47" s="3" t="s">
        <v>25</v>
      </c>
      <c r="F47" s="3" t="s">
        <v>25</v>
      </c>
      <c r="G47" s="3" t="s">
        <v>25</v>
      </c>
      <c r="H47" s="3" t="s">
        <v>34</v>
      </c>
      <c r="I47" s="6">
        <v>44774</v>
      </c>
      <c r="J47" s="4">
        <v>5369</v>
      </c>
      <c r="K47" s="4">
        <v>5369</v>
      </c>
      <c r="L47" s="4">
        <v>203.72800000000001</v>
      </c>
      <c r="M47" s="4">
        <v>203.72800000000001</v>
      </c>
      <c r="N47" s="4">
        <v>203.72800000000001</v>
      </c>
      <c r="O47" s="4">
        <v>203.72800000000001</v>
      </c>
      <c r="P47" s="4">
        <v>0</v>
      </c>
      <c r="Q47" s="3" t="s">
        <v>26</v>
      </c>
      <c r="R47" s="3">
        <v>0</v>
      </c>
      <c r="S47" s="4">
        <v>34</v>
      </c>
      <c r="T47" s="4">
        <v>23</v>
      </c>
      <c r="U47" s="4">
        <v>71</v>
      </c>
      <c r="V47" s="4">
        <f>IF(ISERROR(VLOOKUP($S$47,'TAR FIN'!$A$1:$O$92,15,0)),0,VLOOKUP($S$47,'TAR FIN'!$A$1:$O$92,15,0))</f>
        <v>44</v>
      </c>
      <c r="W47" s="4">
        <f>IF(ISERROR(VLOOKUP($T$47,'TAR FIN'!$A$1:$O$92,15,0)),0,VLOOKUP($T$47,'TAR FIN'!$A$1:$O$92,15,0))</f>
        <v>87.73</v>
      </c>
      <c r="X47" s="4">
        <f>IF(ISERROR(VLOOKUP($U$47,'TAR FIN'!$A$1:$O$92,15,0)),0,VLOOKUP($U$47,'TAR FIN'!$A$1:$O$92,15,0))</f>
        <v>433.77</v>
      </c>
      <c r="Y47" s="4">
        <f ca="1">('TUSD BE'!$AM$5+'TUSD BF'!$AM$5+'TUSD CVA'!$AM$5)*1</f>
        <v>57.091253741473494</v>
      </c>
      <c r="Z47" s="4">
        <f ca="1">('TUSD BE'!$AM$7+'TUSD BF'!$AM$7+'TUSD CVA'!$AM$7)*1</f>
        <v>109.44196476324252</v>
      </c>
      <c r="AA47" s="4">
        <f>('TE BE'!$AB$5+'TE BF'!$AB$5+'TE CVA'!$AB$5)*1</f>
        <v>542.84414704984056</v>
      </c>
      <c r="AB47" s="4">
        <f>$K$47*$V$47</f>
        <v>236236</v>
      </c>
      <c r="AC47" s="4">
        <f>$M$47*$W$47</f>
        <v>17873.05744</v>
      </c>
      <c r="AD47" s="4">
        <f>$O$47*$X$47</f>
        <v>88371.094559999998</v>
      </c>
      <c r="AE47" s="4">
        <f ca="1">$K$47*$Y$47</f>
        <v>306522.94133797119</v>
      </c>
      <c r="AF47" s="4">
        <f ca="1">$M$47*$Z$47</f>
        <v>22296.392597285874</v>
      </c>
      <c r="AG47" s="4">
        <f>$O$47*$AA$47</f>
        <v>110592.55239016992</v>
      </c>
    </row>
    <row r="48" spans="1:33" ht="11.25" customHeight="1" x14ac:dyDescent="0.25">
      <c r="A48" s="3" t="s">
        <v>27</v>
      </c>
      <c r="B48" s="3" t="s">
        <v>39</v>
      </c>
      <c r="C48" s="3" t="s">
        <v>40</v>
      </c>
      <c r="D48" s="3" t="s">
        <v>42</v>
      </c>
      <c r="E48" s="3" t="s">
        <v>25</v>
      </c>
      <c r="F48" s="3" t="s">
        <v>25</v>
      </c>
      <c r="G48" s="3" t="s">
        <v>25</v>
      </c>
      <c r="H48" s="3" t="s">
        <v>34</v>
      </c>
      <c r="I48" s="6">
        <v>44774</v>
      </c>
      <c r="J48" s="4">
        <v>72</v>
      </c>
      <c r="K48" s="4">
        <v>72</v>
      </c>
      <c r="L48" s="4">
        <v>3.5289999999999999</v>
      </c>
      <c r="M48" s="4">
        <v>3.5289999999999999</v>
      </c>
      <c r="N48" s="4">
        <v>3.5289999999999999</v>
      </c>
      <c r="O48" s="4">
        <v>3.5289999999999999</v>
      </c>
      <c r="P48" s="4">
        <v>0</v>
      </c>
      <c r="Q48" s="3" t="s">
        <v>26</v>
      </c>
      <c r="R48" s="3">
        <v>0</v>
      </c>
      <c r="S48" s="4">
        <v>34</v>
      </c>
      <c r="T48" s="4">
        <v>23</v>
      </c>
      <c r="U48" s="4">
        <v>71</v>
      </c>
      <c r="V48" s="4">
        <f>IF(ISERROR(VLOOKUP($S$48,'TAR FIN'!$A$1:$O$92,15,0)),0,VLOOKUP($S$48,'TAR FIN'!$A$1:$O$92,15,0))</f>
        <v>44</v>
      </c>
      <c r="W48" s="4">
        <f>IF(ISERROR(VLOOKUP($T$48,'TAR FIN'!$A$1:$O$92,15,0)),0,VLOOKUP($T$48,'TAR FIN'!$A$1:$O$92,15,0))</f>
        <v>87.73</v>
      </c>
      <c r="X48" s="4">
        <f>IF(ISERROR(VLOOKUP($U$48,'TAR FIN'!$A$1:$O$92,15,0)),0,VLOOKUP($U$48,'TAR FIN'!$A$1:$O$92,15,0))</f>
        <v>433.77</v>
      </c>
      <c r="Y48" s="4">
        <f ca="1">('TUSD BE'!$AM$5+'TUSD BF'!$AM$5+'TUSD CVA'!$AM$5)*1</f>
        <v>57.091253741473494</v>
      </c>
      <c r="Z48" s="4">
        <f ca="1">('TUSD BE'!$AM$7+'TUSD BF'!$AM$7+'TUSD CVA'!$AM$7)*1</f>
        <v>109.44196476324252</v>
      </c>
      <c r="AA48" s="4">
        <f>('TE BE'!$AB$5+'TE BF'!$AB$5+'TE CVA'!$AB$5)*1</f>
        <v>542.84414704984056</v>
      </c>
      <c r="AB48" s="4">
        <f>$K$48*$V$48</f>
        <v>3168</v>
      </c>
      <c r="AC48" s="4">
        <f>$M$48*$W$48</f>
        <v>309.59917000000002</v>
      </c>
      <c r="AD48" s="4">
        <f>$O$48*$X$48</f>
        <v>1530.77433</v>
      </c>
      <c r="AE48" s="4">
        <f ca="1">$K$48*$Y$48</f>
        <v>4110.5702693860912</v>
      </c>
      <c r="AF48" s="4">
        <f ca="1">$M$48*$Z$48</f>
        <v>386.22069364948288</v>
      </c>
      <c r="AG48" s="4">
        <f>$O$48*$AA$48</f>
        <v>1915.6969949388872</v>
      </c>
    </row>
    <row r="49" spans="1:33" ht="11.25" customHeight="1" x14ac:dyDescent="0.25">
      <c r="A49" s="3" t="s">
        <v>28</v>
      </c>
      <c r="B49" s="3" t="s">
        <v>39</v>
      </c>
      <c r="C49" s="3" t="s">
        <v>40</v>
      </c>
      <c r="D49" s="3" t="s">
        <v>42</v>
      </c>
      <c r="E49" s="3" t="s">
        <v>25</v>
      </c>
      <c r="F49" s="3" t="s">
        <v>25</v>
      </c>
      <c r="G49" s="3" t="s">
        <v>25</v>
      </c>
      <c r="H49" s="3" t="s">
        <v>34</v>
      </c>
      <c r="I49" s="6">
        <v>44774</v>
      </c>
      <c r="J49" s="4">
        <v>377</v>
      </c>
      <c r="K49" s="4">
        <v>377</v>
      </c>
      <c r="L49" s="4">
        <v>19.803000000000001</v>
      </c>
      <c r="M49" s="4">
        <v>19.803000000000001</v>
      </c>
      <c r="N49" s="4">
        <v>19.803000000000001</v>
      </c>
      <c r="O49" s="4">
        <v>19.803000000000001</v>
      </c>
      <c r="P49" s="4">
        <v>0</v>
      </c>
      <c r="Q49" s="3" t="s">
        <v>26</v>
      </c>
      <c r="R49" s="3">
        <v>0</v>
      </c>
      <c r="S49" s="4">
        <v>34</v>
      </c>
      <c r="T49" s="4">
        <v>23</v>
      </c>
      <c r="U49" s="4">
        <v>71</v>
      </c>
      <c r="V49" s="4">
        <f>IF(ISERROR(VLOOKUP($S$49,'TAR FIN'!$A$1:$O$92,15,0)),0,VLOOKUP($S$49,'TAR FIN'!$A$1:$O$92,15,0))</f>
        <v>44</v>
      </c>
      <c r="W49" s="4">
        <f>IF(ISERROR(VLOOKUP($T$49,'TAR FIN'!$A$1:$O$92,15,0)),0,VLOOKUP($T$49,'TAR FIN'!$A$1:$O$92,15,0))</f>
        <v>87.73</v>
      </c>
      <c r="X49" s="4">
        <f>IF(ISERROR(VLOOKUP($U$49,'TAR FIN'!$A$1:$O$92,15,0)),0,VLOOKUP($U$49,'TAR FIN'!$A$1:$O$92,15,0))</f>
        <v>433.77</v>
      </c>
      <c r="Y49" s="4">
        <f ca="1">('TUSD BE'!$AM$5+'TUSD BF'!$AM$5+'TUSD CVA'!$AM$5)*1</f>
        <v>57.091253741473494</v>
      </c>
      <c r="Z49" s="4">
        <f ca="1">('TUSD BE'!$AM$7+'TUSD BF'!$AM$7+'TUSD CVA'!$AM$7)*1</f>
        <v>109.44196476324252</v>
      </c>
      <c r="AA49" s="4">
        <f>('TE BE'!$AB$5+'TE BF'!$AB$5+'TE CVA'!$AB$5)*1</f>
        <v>542.84414704984056</v>
      </c>
      <c r="AB49" s="4">
        <f>$K$49*$V$49</f>
        <v>16588</v>
      </c>
      <c r="AC49" s="4">
        <f>$M$49*$W$49</f>
        <v>1737.3171900000002</v>
      </c>
      <c r="AD49" s="4">
        <f>$O$49*$X$49</f>
        <v>8589.9473099999996</v>
      </c>
      <c r="AE49" s="4">
        <f ca="1">$K$49*$Y$49</f>
        <v>21523.402660535507</v>
      </c>
      <c r="AF49" s="4">
        <f ca="1">$M$49*$Z$49</f>
        <v>2167.279228206492</v>
      </c>
      <c r="AG49" s="4">
        <f>$O$49*$AA$49</f>
        <v>10749.942644027993</v>
      </c>
    </row>
    <row r="50" spans="1:33" ht="11.25" customHeight="1" x14ac:dyDescent="0.25">
      <c r="A50" s="3" t="s">
        <v>21</v>
      </c>
      <c r="B50" s="3" t="s">
        <v>39</v>
      </c>
      <c r="C50" s="3" t="s">
        <v>40</v>
      </c>
      <c r="D50" s="3" t="s">
        <v>42</v>
      </c>
      <c r="E50" s="3" t="s">
        <v>25</v>
      </c>
      <c r="F50" s="3" t="s">
        <v>25</v>
      </c>
      <c r="G50" s="3" t="s">
        <v>25</v>
      </c>
      <c r="H50" s="3" t="s">
        <v>34</v>
      </c>
      <c r="I50" s="6">
        <v>44805</v>
      </c>
      <c r="J50" s="4">
        <v>5449</v>
      </c>
      <c r="K50" s="4">
        <v>5449</v>
      </c>
      <c r="L50" s="4">
        <v>201.02199999999999</v>
      </c>
      <c r="M50" s="4">
        <v>201.02199999999999</v>
      </c>
      <c r="N50" s="4">
        <v>201.02199999999999</v>
      </c>
      <c r="O50" s="4">
        <v>201.02199999999999</v>
      </c>
      <c r="P50" s="4">
        <v>0</v>
      </c>
      <c r="Q50" s="3" t="s">
        <v>26</v>
      </c>
      <c r="R50" s="3">
        <v>0</v>
      </c>
      <c r="S50" s="4">
        <v>34</v>
      </c>
      <c r="T50" s="4">
        <v>23</v>
      </c>
      <c r="U50" s="4">
        <v>71</v>
      </c>
      <c r="V50" s="4">
        <f>IF(ISERROR(VLOOKUP($S$50,'TAR FIN'!$A$1:$O$92,15,0)),0,VLOOKUP($S$50,'TAR FIN'!$A$1:$O$92,15,0))</f>
        <v>44</v>
      </c>
      <c r="W50" s="4">
        <f>IF(ISERROR(VLOOKUP($T$50,'TAR FIN'!$A$1:$O$92,15,0)),0,VLOOKUP($T$50,'TAR FIN'!$A$1:$O$92,15,0))</f>
        <v>87.73</v>
      </c>
      <c r="X50" s="4">
        <f>IF(ISERROR(VLOOKUP($U$50,'TAR FIN'!$A$1:$O$92,15,0)),0,VLOOKUP($U$50,'TAR FIN'!$A$1:$O$92,15,0))</f>
        <v>433.77</v>
      </c>
      <c r="Y50" s="4">
        <f ca="1">('TUSD BE'!$AM$5+'TUSD BF'!$AM$5+'TUSD CVA'!$AM$5)*1</f>
        <v>57.091253741473494</v>
      </c>
      <c r="Z50" s="4">
        <f ca="1">('TUSD BE'!$AM$7+'TUSD BF'!$AM$7+'TUSD CVA'!$AM$7)*1</f>
        <v>109.44196476324252</v>
      </c>
      <c r="AA50" s="4">
        <f>('TE BE'!$AB$5+'TE BF'!$AB$5+'TE CVA'!$AB$5)*1</f>
        <v>542.84414704984056</v>
      </c>
      <c r="AB50" s="4">
        <f>$K$50*$V$50</f>
        <v>239756</v>
      </c>
      <c r="AC50" s="4">
        <f>$M$50*$W$50</f>
        <v>17635.660059999998</v>
      </c>
      <c r="AD50" s="4">
        <f>$O$50*$X$50</f>
        <v>87197.312939999989</v>
      </c>
      <c r="AE50" s="4">
        <f ca="1">$K$50*$Y$50</f>
        <v>311090.24163728906</v>
      </c>
      <c r="AF50" s="4">
        <f ca="1">$M$50*$Z$50</f>
        <v>22000.242640636538</v>
      </c>
      <c r="AG50" s="4">
        <f>$O$50*$AA$50</f>
        <v>109123.61612825304</v>
      </c>
    </row>
    <row r="51" spans="1:33" ht="11.25" customHeight="1" x14ac:dyDescent="0.25">
      <c r="A51" s="3" t="s">
        <v>28</v>
      </c>
      <c r="B51" s="3" t="s">
        <v>39</v>
      </c>
      <c r="C51" s="3" t="s">
        <v>40</v>
      </c>
      <c r="D51" s="3" t="s">
        <v>42</v>
      </c>
      <c r="E51" s="3" t="s">
        <v>25</v>
      </c>
      <c r="F51" s="3" t="s">
        <v>25</v>
      </c>
      <c r="G51" s="3" t="s">
        <v>25</v>
      </c>
      <c r="H51" s="3" t="s">
        <v>34</v>
      </c>
      <c r="I51" s="6">
        <v>44805</v>
      </c>
      <c r="J51" s="4">
        <v>239</v>
      </c>
      <c r="K51" s="4">
        <v>239</v>
      </c>
      <c r="L51" s="4">
        <v>12.212999999999999</v>
      </c>
      <c r="M51" s="4">
        <v>12.212999999999999</v>
      </c>
      <c r="N51" s="4">
        <v>12.212999999999999</v>
      </c>
      <c r="O51" s="4">
        <v>12.212999999999999</v>
      </c>
      <c r="P51" s="4">
        <v>0</v>
      </c>
      <c r="Q51" s="3" t="s">
        <v>26</v>
      </c>
      <c r="R51" s="3">
        <v>0</v>
      </c>
      <c r="S51" s="4">
        <v>34</v>
      </c>
      <c r="T51" s="4">
        <v>23</v>
      </c>
      <c r="U51" s="4">
        <v>71</v>
      </c>
      <c r="V51" s="4">
        <f>IF(ISERROR(VLOOKUP($S$51,'TAR FIN'!$A$1:$O$92,15,0)),0,VLOOKUP($S$51,'TAR FIN'!$A$1:$O$92,15,0))</f>
        <v>44</v>
      </c>
      <c r="W51" s="4">
        <f>IF(ISERROR(VLOOKUP($T$51,'TAR FIN'!$A$1:$O$92,15,0)),0,VLOOKUP($T$51,'TAR FIN'!$A$1:$O$92,15,0))</f>
        <v>87.73</v>
      </c>
      <c r="X51" s="4">
        <f>IF(ISERROR(VLOOKUP($U$51,'TAR FIN'!$A$1:$O$92,15,0)),0,VLOOKUP($U$51,'TAR FIN'!$A$1:$O$92,15,0))</f>
        <v>433.77</v>
      </c>
      <c r="Y51" s="4">
        <f ca="1">('TUSD BE'!$AM$5+'TUSD BF'!$AM$5+'TUSD CVA'!$AM$5)*1</f>
        <v>57.091253741473494</v>
      </c>
      <c r="Z51" s="4">
        <f ca="1">('TUSD BE'!$AM$7+'TUSD BF'!$AM$7+'TUSD CVA'!$AM$7)*1</f>
        <v>109.44196476324252</v>
      </c>
      <c r="AA51" s="4">
        <f>('TE BE'!$AB$5+'TE BF'!$AB$5+'TE CVA'!$AB$5)*1</f>
        <v>542.84414704984056</v>
      </c>
      <c r="AB51" s="4">
        <f>$K$51*$V$51</f>
        <v>10516</v>
      </c>
      <c r="AC51" s="4">
        <f>$M$51*$W$51</f>
        <v>1071.44649</v>
      </c>
      <c r="AD51" s="4">
        <f>$O$51*$X$51</f>
        <v>5297.6330099999996</v>
      </c>
      <c r="AE51" s="4">
        <f ca="1">$K$51*$Y$51</f>
        <v>13644.809644212166</v>
      </c>
      <c r="AF51" s="4">
        <f ca="1">$M$51*$Z$51</f>
        <v>1336.6147156534807</v>
      </c>
      <c r="AG51" s="4">
        <f>$O$51*$AA$51</f>
        <v>6629.7555679197021</v>
      </c>
    </row>
    <row r="52" spans="1:33" ht="11.25" customHeight="1" x14ac:dyDescent="0.25">
      <c r="A52" s="3" t="s">
        <v>55</v>
      </c>
      <c r="B52" s="3" t="s">
        <v>39</v>
      </c>
      <c r="C52" s="3" t="s">
        <v>40</v>
      </c>
      <c r="D52" s="3" t="s">
        <v>42</v>
      </c>
      <c r="E52" s="3" t="s">
        <v>25</v>
      </c>
      <c r="F52" s="3" t="s">
        <v>25</v>
      </c>
      <c r="G52" s="3" t="s">
        <v>25</v>
      </c>
      <c r="H52" s="3" t="s">
        <v>34</v>
      </c>
      <c r="I52" s="6">
        <v>44835</v>
      </c>
      <c r="J52" s="4">
        <v>5449</v>
      </c>
      <c r="K52" s="4">
        <v>5449</v>
      </c>
      <c r="L52" s="4">
        <v>201.02199999999999</v>
      </c>
      <c r="M52" s="4">
        <v>201.02199999999999</v>
      </c>
      <c r="N52" s="4">
        <v>201.02199999999999</v>
      </c>
      <c r="O52" s="4">
        <v>201.02199999999999</v>
      </c>
      <c r="P52" s="4">
        <v>0</v>
      </c>
      <c r="Q52" s="3" t="s">
        <v>26</v>
      </c>
      <c r="R52" s="3">
        <v>0</v>
      </c>
      <c r="S52" s="4">
        <v>34</v>
      </c>
      <c r="T52" s="4">
        <v>23</v>
      </c>
      <c r="U52" s="4">
        <v>71</v>
      </c>
      <c r="V52" s="4">
        <f>IF(ISERROR(VLOOKUP($S$52,'TAR FIN'!$A$1:$O$92,15,0)),0,VLOOKUP($S$52,'TAR FIN'!$A$1:$O$92,15,0))</f>
        <v>44</v>
      </c>
      <c r="W52" s="4">
        <f>IF(ISERROR(VLOOKUP($T$52,'TAR FIN'!$A$1:$O$92,15,0)),0,VLOOKUP($T$52,'TAR FIN'!$A$1:$O$92,15,0))</f>
        <v>87.73</v>
      </c>
      <c r="X52" s="4">
        <f>IF(ISERROR(VLOOKUP($U$52,'TAR FIN'!$A$1:$O$92,15,0)),0,VLOOKUP($U$52,'TAR FIN'!$A$1:$O$92,15,0))</f>
        <v>433.77</v>
      </c>
      <c r="Y52" s="4">
        <f ca="1">('TUSD BE'!$AM$5+'TUSD BF'!$AM$5+'TUSD CVA'!$AM$5)*1</f>
        <v>57.091253741473494</v>
      </c>
      <c r="Z52" s="4">
        <f ca="1">('TUSD BE'!$AM$7+'TUSD BF'!$AM$7+'TUSD CVA'!$AM$7)*1</f>
        <v>109.44196476324252</v>
      </c>
      <c r="AA52" s="4">
        <f>('TE BE'!$AB$5+'TE BF'!$AB$5+'TE CVA'!$AB$5)*1</f>
        <v>542.84414704984056</v>
      </c>
      <c r="AB52" s="4">
        <f>$K$52*$V$52</f>
        <v>239756</v>
      </c>
      <c r="AC52" s="4">
        <f>$M$52*$W$52</f>
        <v>17635.660059999998</v>
      </c>
      <c r="AD52" s="4">
        <f>$O$52*$X$52</f>
        <v>87197.312939999989</v>
      </c>
      <c r="AE52" s="4">
        <f ca="1">$K$52*$Y$52</f>
        <v>311090.24163728906</v>
      </c>
      <c r="AF52" s="4">
        <f ca="1">$M$52*$Z$52</f>
        <v>22000.242640636538</v>
      </c>
      <c r="AG52" s="4">
        <f>$O$52*$AA$52</f>
        <v>109123.61612825304</v>
      </c>
    </row>
    <row r="53" spans="1:33" ht="11.25" customHeight="1" x14ac:dyDescent="0.25">
      <c r="A53" s="3" t="s">
        <v>55</v>
      </c>
      <c r="B53" s="3" t="s">
        <v>39</v>
      </c>
      <c r="C53" s="3" t="s">
        <v>40</v>
      </c>
      <c r="D53" s="3" t="s">
        <v>42</v>
      </c>
      <c r="E53" s="3" t="s">
        <v>25</v>
      </c>
      <c r="F53" s="3" t="s">
        <v>25</v>
      </c>
      <c r="G53" s="3" t="s">
        <v>25</v>
      </c>
      <c r="H53" s="3" t="s">
        <v>34</v>
      </c>
      <c r="I53" s="6">
        <v>44835</v>
      </c>
      <c r="J53" s="4">
        <v>239</v>
      </c>
      <c r="K53" s="4">
        <v>239</v>
      </c>
      <c r="L53" s="4">
        <v>12.212999999999999</v>
      </c>
      <c r="M53" s="4">
        <v>12.212999999999999</v>
      </c>
      <c r="N53" s="4">
        <v>12.212999999999999</v>
      </c>
      <c r="O53" s="4">
        <v>12.212999999999999</v>
      </c>
      <c r="P53" s="4">
        <v>0</v>
      </c>
      <c r="Q53" s="3" t="s">
        <v>26</v>
      </c>
      <c r="R53" s="3">
        <v>0</v>
      </c>
      <c r="S53" s="4">
        <v>34</v>
      </c>
      <c r="T53" s="4">
        <v>23</v>
      </c>
      <c r="U53" s="4">
        <v>71</v>
      </c>
      <c r="V53" s="4">
        <f>IF(ISERROR(VLOOKUP($S$53,'TAR FIN'!$A$1:$O$92,15,0)),0,VLOOKUP($S$53,'TAR FIN'!$A$1:$O$92,15,0))</f>
        <v>44</v>
      </c>
      <c r="W53" s="4">
        <f>IF(ISERROR(VLOOKUP($T$53,'TAR FIN'!$A$1:$O$92,15,0)),0,VLOOKUP($T$53,'TAR FIN'!$A$1:$O$92,15,0))</f>
        <v>87.73</v>
      </c>
      <c r="X53" s="4">
        <f>IF(ISERROR(VLOOKUP($U$53,'TAR FIN'!$A$1:$O$92,15,0)),0,VLOOKUP($U$53,'TAR FIN'!$A$1:$O$92,15,0))</f>
        <v>433.77</v>
      </c>
      <c r="Y53" s="4">
        <f ca="1">('TUSD BE'!$AM$5+'TUSD BF'!$AM$5+'TUSD CVA'!$AM$5)*1</f>
        <v>57.091253741473494</v>
      </c>
      <c r="Z53" s="4">
        <f ca="1">('TUSD BE'!$AM$7+'TUSD BF'!$AM$7+'TUSD CVA'!$AM$7)*1</f>
        <v>109.44196476324252</v>
      </c>
      <c r="AA53" s="4">
        <f>('TE BE'!$AB$5+'TE BF'!$AB$5+'TE CVA'!$AB$5)*1</f>
        <v>542.84414704984056</v>
      </c>
      <c r="AB53" s="4">
        <f>$K$53*$V$53</f>
        <v>10516</v>
      </c>
      <c r="AC53" s="4">
        <f>$M$53*$W$53</f>
        <v>1071.44649</v>
      </c>
      <c r="AD53" s="4">
        <f>$O$53*$X$53</f>
        <v>5297.6330099999996</v>
      </c>
      <c r="AE53" s="4">
        <f ca="1">$K$53*$Y$53</f>
        <v>13644.809644212166</v>
      </c>
      <c r="AF53" s="4">
        <f ca="1">$M$53*$Z$53</f>
        <v>1336.6147156534807</v>
      </c>
      <c r="AG53" s="4">
        <f>$O$53*$AA$53</f>
        <v>6629.7555679197021</v>
      </c>
    </row>
    <row r="54" spans="1:33" ht="11.25" customHeight="1" x14ac:dyDescent="0.25">
      <c r="A54" s="3" t="s">
        <v>21</v>
      </c>
      <c r="B54" s="3" t="s">
        <v>39</v>
      </c>
      <c r="C54" s="3" t="s">
        <v>40</v>
      </c>
      <c r="D54" s="3" t="s">
        <v>51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44501</v>
      </c>
      <c r="J54" s="4">
        <v>50</v>
      </c>
      <c r="K54" s="4">
        <v>50</v>
      </c>
      <c r="L54" s="4">
        <v>7.6890000000000001</v>
      </c>
      <c r="M54" s="4">
        <v>7.6890000000000001</v>
      </c>
      <c r="N54" s="4">
        <v>7.6890000000000001</v>
      </c>
      <c r="O54" s="4">
        <v>7.6890000000000001</v>
      </c>
      <c r="P54" s="4">
        <v>0</v>
      </c>
      <c r="Q54" s="3" t="s">
        <v>26</v>
      </c>
      <c r="R54" s="3">
        <v>0</v>
      </c>
      <c r="S54" s="4">
        <v>27</v>
      </c>
      <c r="T54" s="4">
        <v>23</v>
      </c>
      <c r="U54" s="4">
        <v>59</v>
      </c>
      <c r="V54" s="4">
        <f>IF(ISERROR(VLOOKUP($S$54,'TAR FIN'!$A$1:$O$92,15,0)),0,VLOOKUP($S$54,'TAR FIN'!$A$1:$O$92,15,0))</f>
        <v>14.64</v>
      </c>
      <c r="W54" s="4">
        <f>IF(ISERROR(VLOOKUP($T$54,'TAR FIN'!$A$1:$O$92,15,0)),0,VLOOKUP($T$54,'TAR FIN'!$A$1:$O$92,15,0))</f>
        <v>87.73</v>
      </c>
      <c r="X54" s="4">
        <f>IF(ISERROR(VLOOKUP($U$54,'TAR FIN'!$A$1:$O$92,15,0)),0,VLOOKUP($U$54,'TAR FIN'!$A$1:$O$92,15,0))</f>
        <v>253.9</v>
      </c>
      <c r="Y54" s="4">
        <f ca="1">('TUSD BE'!$AM$6+'TUSD BF'!$AM$6+'TUSD CVA'!$AM$6)*1</f>
        <v>19.024476785546895</v>
      </c>
      <c r="Z54" s="4">
        <f ca="1">('TUSD BE'!$AM$7+'TUSD BF'!$AM$7+'TUSD CVA'!$AM$7)*1</f>
        <v>109.44196476324252</v>
      </c>
      <c r="AA54" s="4">
        <f>('TE BE'!$AB$6+'TE BF'!$AB$6+'TE CVA'!$AB$6)*1</f>
        <v>317.3874512882154</v>
      </c>
      <c r="AB54" s="4">
        <f>$K$54*$V$54</f>
        <v>732</v>
      </c>
      <c r="AC54" s="4">
        <f>$M$54*$W$54</f>
        <v>674.55597</v>
      </c>
      <c r="AD54" s="4">
        <f>$O$54*$X$54</f>
        <v>1952.2371000000001</v>
      </c>
      <c r="AE54" s="4">
        <f ca="1">$K$54*$Y$54</f>
        <v>951.22383927734472</v>
      </c>
      <c r="AF54" s="4">
        <f ca="1">$M$54*$Z$54</f>
        <v>841.49926706457177</v>
      </c>
      <c r="AG54" s="4">
        <f>$O$54*$AA$54</f>
        <v>2440.3921129550881</v>
      </c>
    </row>
    <row r="55" spans="1:33" ht="11.25" customHeight="1" x14ac:dyDescent="0.25">
      <c r="A55" s="3" t="s">
        <v>21</v>
      </c>
      <c r="B55" s="3" t="s">
        <v>39</v>
      </c>
      <c r="C55" s="3" t="s">
        <v>40</v>
      </c>
      <c r="D55" s="3" t="s">
        <v>51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44531</v>
      </c>
      <c r="J55" s="4">
        <v>47</v>
      </c>
      <c r="K55" s="4">
        <v>47</v>
      </c>
      <c r="L55" s="4">
        <v>8.0129999999999999</v>
      </c>
      <c r="M55" s="4">
        <v>8.0129999999999999</v>
      </c>
      <c r="N55" s="4">
        <v>8.0129999999999999</v>
      </c>
      <c r="O55" s="4">
        <v>8.0129999999999999</v>
      </c>
      <c r="P55" s="4">
        <v>0</v>
      </c>
      <c r="Q55" s="3" t="s">
        <v>26</v>
      </c>
      <c r="R55" s="3">
        <v>0</v>
      </c>
      <c r="S55" s="4">
        <v>27</v>
      </c>
      <c r="T55" s="4">
        <v>23</v>
      </c>
      <c r="U55" s="4">
        <v>59</v>
      </c>
      <c r="V55" s="4">
        <f>IF(ISERROR(VLOOKUP($S$55,'TAR FIN'!$A$1:$O$92,15,0)),0,VLOOKUP($S$55,'TAR FIN'!$A$1:$O$92,15,0))</f>
        <v>14.64</v>
      </c>
      <c r="W55" s="4">
        <f>IF(ISERROR(VLOOKUP($T$55,'TAR FIN'!$A$1:$O$92,15,0)),0,VLOOKUP($T$55,'TAR FIN'!$A$1:$O$92,15,0))</f>
        <v>87.73</v>
      </c>
      <c r="X55" s="4">
        <f>IF(ISERROR(VLOOKUP($U$55,'TAR FIN'!$A$1:$O$92,15,0)),0,VLOOKUP($U$55,'TAR FIN'!$A$1:$O$92,15,0))</f>
        <v>253.9</v>
      </c>
      <c r="Y55" s="4">
        <f ca="1">('TUSD BE'!$AM$6+'TUSD BF'!$AM$6+'TUSD CVA'!$AM$6)*1</f>
        <v>19.024476785546895</v>
      </c>
      <c r="Z55" s="4">
        <f ca="1">('TUSD BE'!$AM$7+'TUSD BF'!$AM$7+'TUSD CVA'!$AM$7)*1</f>
        <v>109.44196476324252</v>
      </c>
      <c r="AA55" s="4">
        <f>('TE BE'!$AB$6+'TE BF'!$AB$6+'TE CVA'!$AB$6)*1</f>
        <v>317.3874512882154</v>
      </c>
      <c r="AB55" s="4">
        <f>$K$55*$V$55</f>
        <v>688.08</v>
      </c>
      <c r="AC55" s="4">
        <f>$M$55*$W$55</f>
        <v>702.98049000000003</v>
      </c>
      <c r="AD55" s="4">
        <f>$O$55*$X$55</f>
        <v>2034.5007000000001</v>
      </c>
      <c r="AE55" s="4">
        <f ca="1">$K$55*$Y$55</f>
        <v>894.15040892070408</v>
      </c>
      <c r="AF55" s="4">
        <f ca="1">$M$55*$Z$55</f>
        <v>876.95846364786235</v>
      </c>
      <c r="AG55" s="4">
        <f>$O$55*$AA$55</f>
        <v>2543.22564717247</v>
      </c>
    </row>
    <row r="56" spans="1:33" ht="11.25" customHeight="1" x14ac:dyDescent="0.25">
      <c r="A56" s="3" t="s">
        <v>21</v>
      </c>
      <c r="B56" s="3" t="s">
        <v>39</v>
      </c>
      <c r="C56" s="3" t="s">
        <v>40</v>
      </c>
      <c r="D56" s="3" t="s">
        <v>51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44562</v>
      </c>
      <c r="J56" s="4">
        <v>46</v>
      </c>
      <c r="K56" s="4">
        <v>46</v>
      </c>
      <c r="L56" s="4">
        <v>8.6379999999999999</v>
      </c>
      <c r="M56" s="4">
        <v>8.6379999999999999</v>
      </c>
      <c r="N56" s="4">
        <v>8.6379999999999999</v>
      </c>
      <c r="O56" s="4">
        <v>8.6379999999999999</v>
      </c>
      <c r="P56" s="4">
        <v>0</v>
      </c>
      <c r="Q56" s="3" t="s">
        <v>26</v>
      </c>
      <c r="R56" s="3">
        <v>0</v>
      </c>
      <c r="S56" s="4">
        <v>27</v>
      </c>
      <c r="T56" s="4">
        <v>23</v>
      </c>
      <c r="U56" s="4">
        <v>59</v>
      </c>
      <c r="V56" s="4">
        <f>IF(ISERROR(VLOOKUP($S$56,'TAR FIN'!$A$1:$O$92,15,0)),0,VLOOKUP($S$56,'TAR FIN'!$A$1:$O$92,15,0))</f>
        <v>14.64</v>
      </c>
      <c r="W56" s="4">
        <f>IF(ISERROR(VLOOKUP($T$56,'TAR FIN'!$A$1:$O$92,15,0)),0,VLOOKUP($T$56,'TAR FIN'!$A$1:$O$92,15,0))</f>
        <v>87.73</v>
      </c>
      <c r="X56" s="4">
        <f>IF(ISERROR(VLOOKUP($U$56,'TAR FIN'!$A$1:$O$92,15,0)),0,VLOOKUP($U$56,'TAR FIN'!$A$1:$O$92,15,0))</f>
        <v>253.9</v>
      </c>
      <c r="Y56" s="4">
        <f ca="1">('TUSD BE'!$AM$6+'TUSD BF'!$AM$6+'TUSD CVA'!$AM$6)*1</f>
        <v>19.024476785546895</v>
      </c>
      <c r="Z56" s="4">
        <f ca="1">('TUSD BE'!$AM$7+'TUSD BF'!$AM$7+'TUSD CVA'!$AM$7)*1</f>
        <v>109.44196476324252</v>
      </c>
      <c r="AA56" s="4">
        <f>('TE BE'!$AB$6+'TE BF'!$AB$6+'TE CVA'!$AB$6)*1</f>
        <v>317.3874512882154</v>
      </c>
      <c r="AB56" s="4">
        <f>$K$56*$V$56</f>
        <v>673.44</v>
      </c>
      <c r="AC56" s="4">
        <f>$M$56*$W$56</f>
        <v>757.81173999999999</v>
      </c>
      <c r="AD56" s="4">
        <f>$O$56*$X$56</f>
        <v>2193.1882000000001</v>
      </c>
      <c r="AE56" s="4">
        <f ca="1">$K$56*$Y$56</f>
        <v>875.1259321351572</v>
      </c>
      <c r="AF56" s="4">
        <f ca="1">$M$56*$Z$56</f>
        <v>945.35969162488891</v>
      </c>
      <c r="AG56" s="4">
        <f>$O$56*$AA$56</f>
        <v>2741.5928042276046</v>
      </c>
    </row>
    <row r="57" spans="1:33" ht="11.25" customHeight="1" x14ac:dyDescent="0.25">
      <c r="A57" s="3" t="s">
        <v>21</v>
      </c>
      <c r="B57" s="3" t="s">
        <v>39</v>
      </c>
      <c r="C57" s="3" t="s">
        <v>40</v>
      </c>
      <c r="D57" s="3" t="s">
        <v>51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44593</v>
      </c>
      <c r="J57" s="4">
        <v>49</v>
      </c>
      <c r="K57" s="4">
        <v>49</v>
      </c>
      <c r="L57" s="4">
        <v>8.4809999999999999</v>
      </c>
      <c r="M57" s="4">
        <v>8.4809999999999999</v>
      </c>
      <c r="N57" s="4">
        <v>8.4809999999999999</v>
      </c>
      <c r="O57" s="4">
        <v>8.4809999999999999</v>
      </c>
      <c r="P57" s="4">
        <v>0</v>
      </c>
      <c r="Q57" s="3" t="s">
        <v>26</v>
      </c>
      <c r="R57" s="3">
        <v>0</v>
      </c>
      <c r="S57" s="4">
        <v>27</v>
      </c>
      <c r="T57" s="4">
        <v>23</v>
      </c>
      <c r="U57" s="4">
        <v>59</v>
      </c>
      <c r="V57" s="4">
        <f>IF(ISERROR(VLOOKUP($S$57,'TAR FIN'!$A$1:$O$92,15,0)),0,VLOOKUP($S$57,'TAR FIN'!$A$1:$O$92,15,0))</f>
        <v>14.64</v>
      </c>
      <c r="W57" s="4">
        <f>IF(ISERROR(VLOOKUP($T$57,'TAR FIN'!$A$1:$O$92,15,0)),0,VLOOKUP($T$57,'TAR FIN'!$A$1:$O$92,15,0))</f>
        <v>87.73</v>
      </c>
      <c r="X57" s="4">
        <f>IF(ISERROR(VLOOKUP($U$57,'TAR FIN'!$A$1:$O$92,15,0)),0,VLOOKUP($U$57,'TAR FIN'!$A$1:$O$92,15,0))</f>
        <v>253.9</v>
      </c>
      <c r="Y57" s="4">
        <f ca="1">('TUSD BE'!$AM$6+'TUSD BF'!$AM$6+'TUSD CVA'!$AM$6)*1</f>
        <v>19.024476785546895</v>
      </c>
      <c r="Z57" s="4">
        <f ca="1">('TUSD BE'!$AM$7+'TUSD BF'!$AM$7+'TUSD CVA'!$AM$7)*1</f>
        <v>109.44196476324252</v>
      </c>
      <c r="AA57" s="4">
        <f>('TE BE'!$AB$6+'TE BF'!$AB$6+'TE CVA'!$AB$6)*1</f>
        <v>317.3874512882154</v>
      </c>
      <c r="AB57" s="4">
        <f>$K$57*$V$57</f>
        <v>717.36</v>
      </c>
      <c r="AC57" s="4">
        <f>$M$57*$W$57</f>
        <v>744.03813000000002</v>
      </c>
      <c r="AD57" s="4">
        <f>$O$57*$X$57</f>
        <v>2153.3258999999998</v>
      </c>
      <c r="AE57" s="4">
        <f ca="1">$K$57*$Y$57</f>
        <v>932.19936249179784</v>
      </c>
      <c r="AF57" s="4">
        <f ca="1">$M$57*$Z$57</f>
        <v>928.17730315705978</v>
      </c>
      <c r="AG57" s="4">
        <f>$O$57*$AA$57</f>
        <v>2691.7629743753546</v>
      </c>
    </row>
    <row r="58" spans="1:33" ht="11.25" customHeight="1" x14ac:dyDescent="0.25">
      <c r="A58" s="3" t="s">
        <v>21</v>
      </c>
      <c r="B58" s="3" t="s">
        <v>39</v>
      </c>
      <c r="C58" s="3" t="s">
        <v>40</v>
      </c>
      <c r="D58" s="3" t="s">
        <v>51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44621</v>
      </c>
      <c r="J58" s="4">
        <v>47</v>
      </c>
      <c r="K58" s="4">
        <v>47</v>
      </c>
      <c r="L58" s="4">
        <v>8.6129999999999995</v>
      </c>
      <c r="M58" s="4">
        <v>8.6129999999999995</v>
      </c>
      <c r="N58" s="4">
        <v>8.6129999999999995</v>
      </c>
      <c r="O58" s="4">
        <v>8.6129999999999995</v>
      </c>
      <c r="P58" s="4">
        <v>0</v>
      </c>
      <c r="Q58" s="3" t="s">
        <v>26</v>
      </c>
      <c r="R58" s="3">
        <v>0</v>
      </c>
      <c r="S58" s="4">
        <v>27</v>
      </c>
      <c r="T58" s="4">
        <v>23</v>
      </c>
      <c r="U58" s="4">
        <v>59</v>
      </c>
      <c r="V58" s="4">
        <f>IF(ISERROR(VLOOKUP($S$58,'TAR FIN'!$A$1:$O$92,15,0)),0,VLOOKUP($S$58,'TAR FIN'!$A$1:$O$92,15,0))</f>
        <v>14.64</v>
      </c>
      <c r="W58" s="4">
        <f>IF(ISERROR(VLOOKUP($T$58,'TAR FIN'!$A$1:$O$92,15,0)),0,VLOOKUP($T$58,'TAR FIN'!$A$1:$O$92,15,0))</f>
        <v>87.73</v>
      </c>
      <c r="X58" s="4">
        <f>IF(ISERROR(VLOOKUP($U$58,'TAR FIN'!$A$1:$O$92,15,0)),0,VLOOKUP($U$58,'TAR FIN'!$A$1:$O$92,15,0))</f>
        <v>253.9</v>
      </c>
      <c r="Y58" s="4">
        <f ca="1">('TUSD BE'!$AM$6+'TUSD BF'!$AM$6+'TUSD CVA'!$AM$6)*1</f>
        <v>19.024476785546895</v>
      </c>
      <c r="Z58" s="4">
        <f ca="1">('TUSD BE'!$AM$7+'TUSD BF'!$AM$7+'TUSD CVA'!$AM$7)*1</f>
        <v>109.44196476324252</v>
      </c>
      <c r="AA58" s="4">
        <f>('TE BE'!$AB$6+'TE BF'!$AB$6+'TE CVA'!$AB$6)*1</f>
        <v>317.3874512882154</v>
      </c>
      <c r="AB58" s="4">
        <f>$K$58*$V$58</f>
        <v>688.08</v>
      </c>
      <c r="AC58" s="4">
        <f>$M$58*$W$58</f>
        <v>755.61848999999995</v>
      </c>
      <c r="AD58" s="4">
        <f>$O$58*$X$58</f>
        <v>2186.8406999999997</v>
      </c>
      <c r="AE58" s="4">
        <f ca="1">$K$58*$Y$58</f>
        <v>894.15040892070408</v>
      </c>
      <c r="AF58" s="4">
        <f ca="1">$M$58*$Z$58</f>
        <v>942.62364250580777</v>
      </c>
      <c r="AG58" s="4">
        <f>$O$58*$AA$58</f>
        <v>2733.6581179453992</v>
      </c>
    </row>
    <row r="59" spans="1:33" ht="11.25" customHeight="1" x14ac:dyDescent="0.25">
      <c r="A59" s="3" t="s">
        <v>21</v>
      </c>
      <c r="B59" s="3" t="s">
        <v>39</v>
      </c>
      <c r="C59" s="3" t="s">
        <v>40</v>
      </c>
      <c r="D59" s="3" t="s">
        <v>51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44652</v>
      </c>
      <c r="J59" s="4">
        <v>47</v>
      </c>
      <c r="K59" s="4">
        <v>47</v>
      </c>
      <c r="L59" s="4">
        <v>8.6129999999999995</v>
      </c>
      <c r="M59" s="4">
        <v>8.6129999999999995</v>
      </c>
      <c r="N59" s="4">
        <v>8.6129999999999995</v>
      </c>
      <c r="O59" s="4">
        <v>8.6129999999999995</v>
      </c>
      <c r="P59" s="4">
        <v>0</v>
      </c>
      <c r="Q59" s="3" t="s">
        <v>26</v>
      </c>
      <c r="R59" s="3">
        <v>0</v>
      </c>
      <c r="S59" s="4">
        <v>27</v>
      </c>
      <c r="T59" s="4">
        <v>23</v>
      </c>
      <c r="U59" s="4">
        <v>59</v>
      </c>
      <c r="V59" s="4">
        <f>IF(ISERROR(VLOOKUP($S$59,'TAR FIN'!$A$1:$O$92,15,0)),0,VLOOKUP($S$59,'TAR FIN'!$A$1:$O$92,15,0))</f>
        <v>14.64</v>
      </c>
      <c r="W59" s="4">
        <f>IF(ISERROR(VLOOKUP($T$59,'TAR FIN'!$A$1:$O$92,15,0)),0,VLOOKUP($T$59,'TAR FIN'!$A$1:$O$92,15,0))</f>
        <v>87.73</v>
      </c>
      <c r="X59" s="4">
        <f>IF(ISERROR(VLOOKUP($U$59,'TAR FIN'!$A$1:$O$92,15,0)),0,VLOOKUP($U$59,'TAR FIN'!$A$1:$O$92,15,0))</f>
        <v>253.9</v>
      </c>
      <c r="Y59" s="4">
        <f ca="1">('TUSD BE'!$AM$6+'TUSD BF'!$AM$6+'TUSD CVA'!$AM$6)*1</f>
        <v>19.024476785546895</v>
      </c>
      <c r="Z59" s="4">
        <f ca="1">('TUSD BE'!$AM$7+'TUSD BF'!$AM$7+'TUSD CVA'!$AM$7)*1</f>
        <v>109.44196476324252</v>
      </c>
      <c r="AA59" s="4">
        <f>('TE BE'!$AB$6+'TE BF'!$AB$6+'TE CVA'!$AB$6)*1</f>
        <v>317.3874512882154</v>
      </c>
      <c r="AB59" s="4">
        <f>$K$59*$V$59</f>
        <v>688.08</v>
      </c>
      <c r="AC59" s="4">
        <f>$M$59*$W$59</f>
        <v>755.61848999999995</v>
      </c>
      <c r="AD59" s="4">
        <f>$O$59*$X$59</f>
        <v>2186.8406999999997</v>
      </c>
      <c r="AE59" s="4">
        <f ca="1">$K$59*$Y$59</f>
        <v>894.15040892070408</v>
      </c>
      <c r="AF59" s="4">
        <f ca="1">$M$59*$Z$59</f>
        <v>942.62364250580777</v>
      </c>
      <c r="AG59" s="4">
        <f>$O$59*$AA$59</f>
        <v>2733.6581179453992</v>
      </c>
    </row>
    <row r="60" spans="1:33" ht="11.25" customHeight="1" x14ac:dyDescent="0.25">
      <c r="A60" s="3" t="s">
        <v>21</v>
      </c>
      <c r="B60" s="3" t="s">
        <v>39</v>
      </c>
      <c r="C60" s="3" t="s">
        <v>40</v>
      </c>
      <c r="D60" s="3" t="s">
        <v>51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44682</v>
      </c>
      <c r="J60" s="4">
        <v>42</v>
      </c>
      <c r="K60" s="4">
        <v>42</v>
      </c>
      <c r="L60" s="4">
        <v>7.6230000000000002</v>
      </c>
      <c r="M60" s="4">
        <v>7.6230000000000002</v>
      </c>
      <c r="N60" s="4">
        <v>7.6230000000000002</v>
      </c>
      <c r="O60" s="4">
        <v>7.6230000000000002</v>
      </c>
      <c r="P60" s="4">
        <v>0</v>
      </c>
      <c r="Q60" s="3" t="s">
        <v>26</v>
      </c>
      <c r="R60" s="3">
        <v>0</v>
      </c>
      <c r="S60" s="4">
        <v>27</v>
      </c>
      <c r="T60" s="4">
        <v>23</v>
      </c>
      <c r="U60" s="4">
        <v>59</v>
      </c>
      <c r="V60" s="4">
        <f>IF(ISERROR(VLOOKUP($S$60,'TAR FIN'!$A$1:$O$92,15,0)),0,VLOOKUP($S$60,'TAR FIN'!$A$1:$O$92,15,0))</f>
        <v>14.64</v>
      </c>
      <c r="W60" s="4">
        <f>IF(ISERROR(VLOOKUP($T$60,'TAR FIN'!$A$1:$O$92,15,0)),0,VLOOKUP($T$60,'TAR FIN'!$A$1:$O$92,15,0))</f>
        <v>87.73</v>
      </c>
      <c r="X60" s="4">
        <f>IF(ISERROR(VLOOKUP($U$60,'TAR FIN'!$A$1:$O$92,15,0)),0,VLOOKUP($U$60,'TAR FIN'!$A$1:$O$92,15,0))</f>
        <v>253.9</v>
      </c>
      <c r="Y60" s="4">
        <f ca="1">('TUSD BE'!$AM$6+'TUSD BF'!$AM$6+'TUSD CVA'!$AM$6)*1</f>
        <v>19.024476785546895</v>
      </c>
      <c r="Z60" s="4">
        <f ca="1">('TUSD BE'!$AM$7+'TUSD BF'!$AM$7+'TUSD CVA'!$AM$7)*1</f>
        <v>109.44196476324252</v>
      </c>
      <c r="AA60" s="4">
        <f>('TE BE'!$AB$6+'TE BF'!$AB$6+'TE CVA'!$AB$6)*1</f>
        <v>317.3874512882154</v>
      </c>
      <c r="AB60" s="4">
        <f>$K$60*$V$60</f>
        <v>614.88</v>
      </c>
      <c r="AC60" s="4">
        <f>$M$60*$W$60</f>
        <v>668.76579000000004</v>
      </c>
      <c r="AD60" s="4">
        <f>$O$60*$X$60</f>
        <v>1935.4797000000001</v>
      </c>
      <c r="AE60" s="4">
        <f ca="1">$K$60*$Y$60</f>
        <v>799.02802499296956</v>
      </c>
      <c r="AF60" s="4">
        <f ca="1">$M$60*$Z$60</f>
        <v>834.27609739019783</v>
      </c>
      <c r="AG60" s="4">
        <f>$O$60*$AA$60</f>
        <v>2419.4445411700663</v>
      </c>
    </row>
    <row r="61" spans="1:33" ht="11.25" customHeight="1" x14ac:dyDescent="0.25">
      <c r="A61" s="3" t="s">
        <v>21</v>
      </c>
      <c r="B61" s="3" t="s">
        <v>39</v>
      </c>
      <c r="C61" s="3" t="s">
        <v>40</v>
      </c>
      <c r="D61" s="3" t="s">
        <v>51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44713</v>
      </c>
      <c r="J61" s="4">
        <v>38</v>
      </c>
      <c r="K61" s="4">
        <v>38</v>
      </c>
      <c r="L61" s="4">
        <v>6.5430000000000001</v>
      </c>
      <c r="M61" s="4">
        <v>6.5430000000000001</v>
      </c>
      <c r="N61" s="4">
        <v>6.5430000000000001</v>
      </c>
      <c r="O61" s="4">
        <v>6.5430000000000001</v>
      </c>
      <c r="P61" s="4">
        <v>0</v>
      </c>
      <c r="Q61" s="3" t="s">
        <v>26</v>
      </c>
      <c r="R61" s="3">
        <v>0</v>
      </c>
      <c r="S61" s="4">
        <v>27</v>
      </c>
      <c r="T61" s="4">
        <v>23</v>
      </c>
      <c r="U61" s="4">
        <v>59</v>
      </c>
      <c r="V61" s="4">
        <f>IF(ISERROR(VLOOKUP($S$61,'TAR FIN'!$A$1:$O$92,15,0)),0,VLOOKUP($S$61,'TAR FIN'!$A$1:$O$92,15,0))</f>
        <v>14.64</v>
      </c>
      <c r="W61" s="4">
        <f>IF(ISERROR(VLOOKUP($T$61,'TAR FIN'!$A$1:$O$92,15,0)),0,VLOOKUP($T$61,'TAR FIN'!$A$1:$O$92,15,0))</f>
        <v>87.73</v>
      </c>
      <c r="X61" s="4">
        <f>IF(ISERROR(VLOOKUP($U$61,'TAR FIN'!$A$1:$O$92,15,0)),0,VLOOKUP($U$61,'TAR FIN'!$A$1:$O$92,15,0))</f>
        <v>253.9</v>
      </c>
      <c r="Y61" s="4">
        <f ca="1">('TUSD BE'!$AM$6+'TUSD BF'!$AM$6+'TUSD CVA'!$AM$6)*1</f>
        <v>19.024476785546895</v>
      </c>
      <c r="Z61" s="4">
        <f ca="1">('TUSD BE'!$AM$7+'TUSD BF'!$AM$7+'TUSD CVA'!$AM$7)*1</f>
        <v>109.44196476324252</v>
      </c>
      <c r="AA61" s="4">
        <f>('TE BE'!$AB$6+'TE BF'!$AB$6+'TE CVA'!$AB$6)*1</f>
        <v>317.3874512882154</v>
      </c>
      <c r="AB61" s="4">
        <f>$K$61*$V$61</f>
        <v>556.32000000000005</v>
      </c>
      <c r="AC61" s="4">
        <f>$M$61*$W$61</f>
        <v>574.01739000000009</v>
      </c>
      <c r="AD61" s="4">
        <f>$O$61*$X$61</f>
        <v>1661.2677000000001</v>
      </c>
      <c r="AE61" s="4">
        <f ca="1">$K$61*$Y$61</f>
        <v>722.93011785078204</v>
      </c>
      <c r="AF61" s="4">
        <f ca="1">$M$61*$Z$61</f>
        <v>716.07877544589587</v>
      </c>
      <c r="AG61" s="4">
        <f>$O$61*$AA$61</f>
        <v>2076.6660937787933</v>
      </c>
    </row>
    <row r="62" spans="1:33" ht="11.25" customHeight="1" x14ac:dyDescent="0.25">
      <c r="A62" s="3" t="s">
        <v>21</v>
      </c>
      <c r="B62" s="3" t="s">
        <v>39</v>
      </c>
      <c r="C62" s="3" t="s">
        <v>40</v>
      </c>
      <c r="D62" s="3" t="s">
        <v>51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44743</v>
      </c>
      <c r="J62" s="4">
        <v>42</v>
      </c>
      <c r="K62" s="4">
        <v>42</v>
      </c>
      <c r="L62" s="4">
        <v>7.8470000000000004</v>
      </c>
      <c r="M62" s="4">
        <v>7.8470000000000004</v>
      </c>
      <c r="N62" s="4">
        <v>7.8470000000000004</v>
      </c>
      <c r="O62" s="4">
        <v>7.8470000000000004</v>
      </c>
      <c r="P62" s="4">
        <v>0</v>
      </c>
      <c r="Q62" s="3" t="s">
        <v>26</v>
      </c>
      <c r="R62" s="3">
        <v>0</v>
      </c>
      <c r="S62" s="4">
        <v>27</v>
      </c>
      <c r="T62" s="4">
        <v>23</v>
      </c>
      <c r="U62" s="4">
        <v>59</v>
      </c>
      <c r="V62" s="4">
        <f>IF(ISERROR(VLOOKUP($S$62,'TAR FIN'!$A$1:$O$92,15,0)),0,VLOOKUP($S$62,'TAR FIN'!$A$1:$O$92,15,0))</f>
        <v>14.64</v>
      </c>
      <c r="W62" s="4">
        <f>IF(ISERROR(VLOOKUP($T$62,'TAR FIN'!$A$1:$O$92,15,0)),0,VLOOKUP($T$62,'TAR FIN'!$A$1:$O$92,15,0))</f>
        <v>87.73</v>
      </c>
      <c r="X62" s="4">
        <f>IF(ISERROR(VLOOKUP($U$62,'TAR FIN'!$A$1:$O$92,15,0)),0,VLOOKUP($U$62,'TAR FIN'!$A$1:$O$92,15,0))</f>
        <v>253.9</v>
      </c>
      <c r="Y62" s="4">
        <f ca="1">('TUSD BE'!$AM$6+'TUSD BF'!$AM$6+'TUSD CVA'!$AM$6)*1</f>
        <v>19.024476785546895</v>
      </c>
      <c r="Z62" s="4">
        <f ca="1">('TUSD BE'!$AM$7+'TUSD BF'!$AM$7+'TUSD CVA'!$AM$7)*1</f>
        <v>109.44196476324252</v>
      </c>
      <c r="AA62" s="4">
        <f>('TE BE'!$AB$6+'TE BF'!$AB$6+'TE CVA'!$AB$6)*1</f>
        <v>317.3874512882154</v>
      </c>
      <c r="AB62" s="4">
        <f>$K$62*$V$62</f>
        <v>614.88</v>
      </c>
      <c r="AC62" s="4">
        <f>$M$62*$W$62</f>
        <v>688.41731000000004</v>
      </c>
      <c r="AD62" s="4">
        <f>$O$62*$X$62</f>
        <v>1992.3533000000002</v>
      </c>
      <c r="AE62" s="4">
        <f ca="1">$K$62*$Y$62</f>
        <v>799.02802499296956</v>
      </c>
      <c r="AF62" s="4">
        <f ca="1">$M$62*$Z$62</f>
        <v>858.79109749716417</v>
      </c>
      <c r="AG62" s="4">
        <f>$O$62*$AA$62</f>
        <v>2490.5393302586263</v>
      </c>
    </row>
    <row r="63" spans="1:33" ht="11.25" customHeight="1" x14ac:dyDescent="0.25">
      <c r="A63" s="3" t="s">
        <v>21</v>
      </c>
      <c r="B63" s="3" t="s">
        <v>39</v>
      </c>
      <c r="C63" s="3" t="s">
        <v>40</v>
      </c>
      <c r="D63" s="3" t="s">
        <v>51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44774</v>
      </c>
      <c r="J63" s="4">
        <v>49</v>
      </c>
      <c r="K63" s="4">
        <v>49</v>
      </c>
      <c r="L63" s="4">
        <v>8.9969999999999999</v>
      </c>
      <c r="M63" s="4">
        <v>8.9969999999999999</v>
      </c>
      <c r="N63" s="4">
        <v>8.9969999999999999</v>
      </c>
      <c r="O63" s="4">
        <v>8.9969999999999999</v>
      </c>
      <c r="P63" s="4">
        <v>0</v>
      </c>
      <c r="Q63" s="3" t="s">
        <v>26</v>
      </c>
      <c r="R63" s="3">
        <v>0</v>
      </c>
      <c r="S63" s="4">
        <v>27</v>
      </c>
      <c r="T63" s="4">
        <v>23</v>
      </c>
      <c r="U63" s="4">
        <v>59</v>
      </c>
      <c r="V63" s="4">
        <f>IF(ISERROR(VLOOKUP($S$63,'TAR FIN'!$A$1:$O$92,15,0)),0,VLOOKUP($S$63,'TAR FIN'!$A$1:$O$92,15,0))</f>
        <v>14.64</v>
      </c>
      <c r="W63" s="4">
        <f>IF(ISERROR(VLOOKUP($T$63,'TAR FIN'!$A$1:$O$92,15,0)),0,VLOOKUP($T$63,'TAR FIN'!$A$1:$O$92,15,0))</f>
        <v>87.73</v>
      </c>
      <c r="X63" s="4">
        <f>IF(ISERROR(VLOOKUP($U$63,'TAR FIN'!$A$1:$O$92,15,0)),0,VLOOKUP($U$63,'TAR FIN'!$A$1:$O$92,15,0))</f>
        <v>253.9</v>
      </c>
      <c r="Y63" s="4">
        <f ca="1">('TUSD BE'!$AM$6+'TUSD BF'!$AM$6+'TUSD CVA'!$AM$6)*1</f>
        <v>19.024476785546895</v>
      </c>
      <c r="Z63" s="4">
        <f ca="1">('TUSD BE'!$AM$7+'TUSD BF'!$AM$7+'TUSD CVA'!$AM$7)*1</f>
        <v>109.44196476324252</v>
      </c>
      <c r="AA63" s="4">
        <f>('TE BE'!$AB$6+'TE BF'!$AB$6+'TE CVA'!$AB$6)*1</f>
        <v>317.3874512882154</v>
      </c>
      <c r="AB63" s="4">
        <f>$K$63*$V$63</f>
        <v>717.36</v>
      </c>
      <c r="AC63" s="4">
        <f>$M$63*$W$63</f>
        <v>789.30681000000004</v>
      </c>
      <c r="AD63" s="4">
        <f>$O$63*$X$63</f>
        <v>2284.3382999999999</v>
      </c>
      <c r="AE63" s="4">
        <f ca="1">$K$63*$Y$63</f>
        <v>932.19936249179784</v>
      </c>
      <c r="AF63" s="4">
        <f ca="1">$M$63*$Z$63</f>
        <v>984.64935697489295</v>
      </c>
      <c r="AG63" s="4">
        <f>$O$63*$AA$63</f>
        <v>2855.5348992400741</v>
      </c>
    </row>
    <row r="64" spans="1:33" ht="11.25" customHeight="1" x14ac:dyDescent="0.25">
      <c r="A64" s="3" t="s">
        <v>21</v>
      </c>
      <c r="B64" s="3" t="s">
        <v>39</v>
      </c>
      <c r="C64" s="3" t="s">
        <v>40</v>
      </c>
      <c r="D64" s="3" t="s">
        <v>51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44805</v>
      </c>
      <c r="J64" s="4">
        <v>51</v>
      </c>
      <c r="K64" s="4">
        <v>51</v>
      </c>
      <c r="L64" s="4">
        <v>9.1839999999999993</v>
      </c>
      <c r="M64" s="4">
        <v>9.1839999999999993</v>
      </c>
      <c r="N64" s="4">
        <v>9.1839999999999993</v>
      </c>
      <c r="O64" s="4">
        <v>9.1839999999999993</v>
      </c>
      <c r="P64" s="4">
        <v>0</v>
      </c>
      <c r="Q64" s="3" t="s">
        <v>26</v>
      </c>
      <c r="R64" s="3">
        <v>0</v>
      </c>
      <c r="S64" s="4">
        <v>27</v>
      </c>
      <c r="T64" s="4">
        <v>23</v>
      </c>
      <c r="U64" s="4">
        <v>59</v>
      </c>
      <c r="V64" s="4">
        <f>IF(ISERROR(VLOOKUP($S$64,'TAR FIN'!$A$1:$O$92,15,0)),0,VLOOKUP($S$64,'TAR FIN'!$A$1:$O$92,15,0))</f>
        <v>14.64</v>
      </c>
      <c r="W64" s="4">
        <f>IF(ISERROR(VLOOKUP($T$64,'TAR FIN'!$A$1:$O$92,15,0)),0,VLOOKUP($T$64,'TAR FIN'!$A$1:$O$92,15,0))</f>
        <v>87.73</v>
      </c>
      <c r="X64" s="4">
        <f>IF(ISERROR(VLOOKUP($U$64,'TAR FIN'!$A$1:$O$92,15,0)),0,VLOOKUP($U$64,'TAR FIN'!$A$1:$O$92,15,0))</f>
        <v>253.9</v>
      </c>
      <c r="Y64" s="4">
        <f ca="1">('TUSD BE'!$AM$6+'TUSD BF'!$AM$6+'TUSD CVA'!$AM$6)*1</f>
        <v>19.024476785546895</v>
      </c>
      <c r="Z64" s="4">
        <f ca="1">('TUSD BE'!$AM$7+'TUSD BF'!$AM$7+'TUSD CVA'!$AM$7)*1</f>
        <v>109.44196476324252</v>
      </c>
      <c r="AA64" s="4">
        <f>('TE BE'!$AB$6+'TE BF'!$AB$6+'TE CVA'!$AB$6)*1</f>
        <v>317.3874512882154</v>
      </c>
      <c r="AB64" s="4">
        <f>$K$64*$V$64</f>
        <v>746.64</v>
      </c>
      <c r="AC64" s="4">
        <f>$M$64*$W$64</f>
        <v>805.71231999999998</v>
      </c>
      <c r="AD64" s="4">
        <f>$O$64*$X$64</f>
        <v>2331.8175999999999</v>
      </c>
      <c r="AE64" s="4">
        <f ca="1">$K$64*$Y$64</f>
        <v>970.2483160628916</v>
      </c>
      <c r="AF64" s="4">
        <f ca="1">$M$64*$Z$64</f>
        <v>1005.1150043856193</v>
      </c>
      <c r="AG64" s="4">
        <f>$O$64*$AA$64</f>
        <v>2914.8863526309701</v>
      </c>
    </row>
    <row r="65" spans="1:33" ht="11.25" customHeight="1" x14ac:dyDescent="0.25">
      <c r="A65" s="3" t="s">
        <v>55</v>
      </c>
      <c r="B65" s="3" t="s">
        <v>39</v>
      </c>
      <c r="C65" s="3" t="s">
        <v>40</v>
      </c>
      <c r="D65" s="3" t="s">
        <v>51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44835</v>
      </c>
      <c r="J65" s="4">
        <v>51</v>
      </c>
      <c r="K65" s="4">
        <v>51</v>
      </c>
      <c r="L65" s="4">
        <v>9.1839999999999993</v>
      </c>
      <c r="M65" s="4">
        <v>9.1839999999999993</v>
      </c>
      <c r="N65" s="4">
        <v>9.1839999999999993</v>
      </c>
      <c r="O65" s="4">
        <v>9.1839999999999993</v>
      </c>
      <c r="P65" s="4">
        <v>0</v>
      </c>
      <c r="Q65" s="3" t="s">
        <v>26</v>
      </c>
      <c r="R65" s="3">
        <v>0</v>
      </c>
      <c r="S65" s="4">
        <v>27</v>
      </c>
      <c r="T65" s="4">
        <v>23</v>
      </c>
      <c r="U65" s="4">
        <v>59</v>
      </c>
      <c r="V65" s="4">
        <f>IF(ISERROR(VLOOKUP($S$65,'TAR FIN'!$A$1:$O$92,15,0)),0,VLOOKUP($S$65,'TAR FIN'!$A$1:$O$92,15,0))</f>
        <v>14.64</v>
      </c>
      <c r="W65" s="4">
        <f>IF(ISERROR(VLOOKUP($T$65,'TAR FIN'!$A$1:$O$92,15,0)),0,VLOOKUP($T$65,'TAR FIN'!$A$1:$O$92,15,0))</f>
        <v>87.73</v>
      </c>
      <c r="X65" s="4">
        <f>IF(ISERROR(VLOOKUP($U$65,'TAR FIN'!$A$1:$O$92,15,0)),0,VLOOKUP($U$65,'TAR FIN'!$A$1:$O$92,15,0))</f>
        <v>253.9</v>
      </c>
      <c r="Y65" s="4">
        <f ca="1">('TUSD BE'!$AM$6+'TUSD BF'!$AM$6+'TUSD CVA'!$AM$6)*1</f>
        <v>19.024476785546895</v>
      </c>
      <c r="Z65" s="4">
        <f ca="1">('TUSD BE'!$AM$7+'TUSD BF'!$AM$7+'TUSD CVA'!$AM$7)*1</f>
        <v>109.44196476324252</v>
      </c>
      <c r="AA65" s="4">
        <f>('TE BE'!$AB$6+'TE BF'!$AB$6+'TE CVA'!$AB$6)*1</f>
        <v>317.3874512882154</v>
      </c>
      <c r="AB65" s="4">
        <f>$K$65*$V$65</f>
        <v>746.64</v>
      </c>
      <c r="AC65" s="4">
        <f>$M$65*$W$65</f>
        <v>805.71231999999998</v>
      </c>
      <c r="AD65" s="4">
        <f>$O$65*$X$65</f>
        <v>2331.8175999999999</v>
      </c>
      <c r="AE65" s="4">
        <f ca="1">$K$65*$Y$65</f>
        <v>970.2483160628916</v>
      </c>
      <c r="AF65" s="4">
        <f ca="1">$M$65*$Z$65</f>
        <v>1005.1150043856193</v>
      </c>
      <c r="AG65" s="4">
        <f>$O$65*$AA$65</f>
        <v>2914.8863526309701</v>
      </c>
    </row>
    <row r="66" spans="1:33" ht="11.25" customHeight="1" x14ac:dyDescent="0.25">
      <c r="A66" s="3" t="s">
        <v>21</v>
      </c>
      <c r="B66" s="3" t="s">
        <v>39</v>
      </c>
      <c r="C66" s="3" t="s">
        <v>40</v>
      </c>
      <c r="D66" s="3" t="s">
        <v>51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44501</v>
      </c>
      <c r="J66" s="4">
        <v>5</v>
      </c>
      <c r="K66" s="4">
        <v>5</v>
      </c>
      <c r="L66" s="4">
        <v>0.30399999999999999</v>
      </c>
      <c r="M66" s="4">
        <v>0.30399999999999999</v>
      </c>
      <c r="N66" s="4">
        <v>0.30399999999999999</v>
      </c>
      <c r="O66" s="4">
        <v>0.30399999999999999</v>
      </c>
      <c r="P66" s="4">
        <v>0</v>
      </c>
      <c r="Q66" s="3" t="s">
        <v>26</v>
      </c>
      <c r="R66" s="3">
        <v>0</v>
      </c>
      <c r="S66" s="4">
        <v>34</v>
      </c>
      <c r="T66" s="4">
        <v>23</v>
      </c>
      <c r="U66" s="4">
        <v>71</v>
      </c>
      <c r="V66" s="4">
        <f>IF(ISERROR(VLOOKUP($S$66,'TAR FIN'!$A$1:$O$92,15,0)),0,VLOOKUP($S$66,'TAR FIN'!$A$1:$O$92,15,0))</f>
        <v>44</v>
      </c>
      <c r="W66" s="4">
        <f>IF(ISERROR(VLOOKUP($T$66,'TAR FIN'!$A$1:$O$92,15,0)),0,VLOOKUP($T$66,'TAR FIN'!$A$1:$O$92,15,0))</f>
        <v>87.73</v>
      </c>
      <c r="X66" s="4">
        <f>IF(ISERROR(VLOOKUP($U$66,'TAR FIN'!$A$1:$O$92,15,0)),0,VLOOKUP($U$66,'TAR FIN'!$A$1:$O$92,15,0))</f>
        <v>433.77</v>
      </c>
      <c r="Y66" s="4">
        <f ca="1">('TUSD BE'!$AM$5+'TUSD BF'!$AM$5+'TUSD CVA'!$AM$5)*1</f>
        <v>57.091253741473494</v>
      </c>
      <c r="Z66" s="4">
        <f ca="1">('TUSD BE'!$AM$7+'TUSD BF'!$AM$7+'TUSD CVA'!$AM$7)*1</f>
        <v>109.44196476324252</v>
      </c>
      <c r="AA66" s="4">
        <f>('TE BE'!$AB$5+'TE BF'!$AB$5+'TE CVA'!$AB$5)*1</f>
        <v>542.84414704984056</v>
      </c>
      <c r="AB66" s="4">
        <f>$K$66*$V$66</f>
        <v>220</v>
      </c>
      <c r="AC66" s="4">
        <f>$M$66*$W$66</f>
        <v>26.669920000000001</v>
      </c>
      <c r="AD66" s="4">
        <f>$O$66*$X$66</f>
        <v>131.86607999999998</v>
      </c>
      <c r="AE66" s="4">
        <f ca="1">$K$66*$Y$66</f>
        <v>285.45626870736749</v>
      </c>
      <c r="AF66" s="4">
        <f ca="1">$M$66*$Z$66</f>
        <v>33.270357288025728</v>
      </c>
      <c r="AG66" s="4">
        <f>$O$66*$AA$66</f>
        <v>165.02462070315153</v>
      </c>
    </row>
    <row r="67" spans="1:33" ht="11.25" customHeight="1" x14ac:dyDescent="0.25">
      <c r="A67" s="3" t="s">
        <v>21</v>
      </c>
      <c r="B67" s="3" t="s">
        <v>39</v>
      </c>
      <c r="C67" s="3" t="s">
        <v>40</v>
      </c>
      <c r="D67" s="3" t="s">
        <v>51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44531</v>
      </c>
      <c r="J67" s="4">
        <v>6</v>
      </c>
      <c r="K67" s="4">
        <v>6</v>
      </c>
      <c r="L67" s="4">
        <v>0.34300000000000003</v>
      </c>
      <c r="M67" s="4">
        <v>0.34300000000000003</v>
      </c>
      <c r="N67" s="4">
        <v>0.34300000000000003</v>
      </c>
      <c r="O67" s="4">
        <v>0.34300000000000003</v>
      </c>
      <c r="P67" s="4">
        <v>0</v>
      </c>
      <c r="Q67" s="3" t="s">
        <v>26</v>
      </c>
      <c r="R67" s="3">
        <v>0</v>
      </c>
      <c r="S67" s="4">
        <v>34</v>
      </c>
      <c r="T67" s="4">
        <v>23</v>
      </c>
      <c r="U67" s="4">
        <v>71</v>
      </c>
      <c r="V67" s="4">
        <f>IF(ISERROR(VLOOKUP($S$67,'TAR FIN'!$A$1:$O$92,15,0)),0,VLOOKUP($S$67,'TAR FIN'!$A$1:$O$92,15,0))</f>
        <v>44</v>
      </c>
      <c r="W67" s="4">
        <f>IF(ISERROR(VLOOKUP($T$67,'TAR FIN'!$A$1:$O$92,15,0)),0,VLOOKUP($T$67,'TAR FIN'!$A$1:$O$92,15,0))</f>
        <v>87.73</v>
      </c>
      <c r="X67" s="4">
        <f>IF(ISERROR(VLOOKUP($U$67,'TAR FIN'!$A$1:$O$92,15,0)),0,VLOOKUP($U$67,'TAR FIN'!$A$1:$O$92,15,0))</f>
        <v>433.77</v>
      </c>
      <c r="Y67" s="4">
        <f ca="1">('TUSD BE'!$AM$5+'TUSD BF'!$AM$5+'TUSD CVA'!$AM$5)*1</f>
        <v>57.091253741473494</v>
      </c>
      <c r="Z67" s="4">
        <f ca="1">('TUSD BE'!$AM$7+'TUSD BF'!$AM$7+'TUSD CVA'!$AM$7)*1</f>
        <v>109.44196476324252</v>
      </c>
      <c r="AA67" s="4">
        <f>('TE BE'!$AB$5+'TE BF'!$AB$5+'TE CVA'!$AB$5)*1</f>
        <v>542.84414704984056</v>
      </c>
      <c r="AB67" s="4">
        <f>$K$67*$V$67</f>
        <v>264</v>
      </c>
      <c r="AC67" s="4">
        <f>$M$67*$W$67</f>
        <v>30.091390000000004</v>
      </c>
      <c r="AD67" s="4">
        <f>$O$67*$X$67</f>
        <v>148.78310999999999</v>
      </c>
      <c r="AE67" s="4">
        <f ca="1">$K$67*$Y$67</f>
        <v>342.54752244884094</v>
      </c>
      <c r="AF67" s="4">
        <f ca="1">$M$67*$Z$67</f>
        <v>37.538593913792191</v>
      </c>
      <c r="AG67" s="4">
        <f>$O$67*$AA$67</f>
        <v>186.19554243809532</v>
      </c>
    </row>
    <row r="68" spans="1:33" ht="11.25" customHeight="1" x14ac:dyDescent="0.25">
      <c r="A68" s="3" t="s">
        <v>21</v>
      </c>
      <c r="B68" s="3" t="s">
        <v>39</v>
      </c>
      <c r="C68" s="3" t="s">
        <v>40</v>
      </c>
      <c r="D68" s="3" t="s">
        <v>51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44562</v>
      </c>
      <c r="J68" s="4">
        <v>8</v>
      </c>
      <c r="K68" s="4">
        <v>8</v>
      </c>
      <c r="L68" s="4">
        <v>0.34200000000000003</v>
      </c>
      <c r="M68" s="4">
        <v>0.34200000000000003</v>
      </c>
      <c r="N68" s="4">
        <v>0.34200000000000003</v>
      </c>
      <c r="O68" s="4">
        <v>0.34200000000000003</v>
      </c>
      <c r="P68" s="4">
        <v>0</v>
      </c>
      <c r="Q68" s="3" t="s">
        <v>26</v>
      </c>
      <c r="R68" s="3">
        <v>0</v>
      </c>
      <c r="S68" s="4">
        <v>34</v>
      </c>
      <c r="T68" s="4">
        <v>23</v>
      </c>
      <c r="U68" s="4">
        <v>71</v>
      </c>
      <c r="V68" s="4">
        <f>IF(ISERROR(VLOOKUP($S$68,'TAR FIN'!$A$1:$O$92,15,0)),0,VLOOKUP($S$68,'TAR FIN'!$A$1:$O$92,15,0))</f>
        <v>44</v>
      </c>
      <c r="W68" s="4">
        <f>IF(ISERROR(VLOOKUP($T$68,'TAR FIN'!$A$1:$O$92,15,0)),0,VLOOKUP($T$68,'TAR FIN'!$A$1:$O$92,15,0))</f>
        <v>87.73</v>
      </c>
      <c r="X68" s="4">
        <f>IF(ISERROR(VLOOKUP($U$68,'TAR FIN'!$A$1:$O$92,15,0)),0,VLOOKUP($U$68,'TAR FIN'!$A$1:$O$92,15,0))</f>
        <v>433.77</v>
      </c>
      <c r="Y68" s="4">
        <f ca="1">('TUSD BE'!$AM$5+'TUSD BF'!$AM$5+'TUSD CVA'!$AM$5)*1</f>
        <v>57.091253741473494</v>
      </c>
      <c r="Z68" s="4">
        <f ca="1">('TUSD BE'!$AM$7+'TUSD BF'!$AM$7+'TUSD CVA'!$AM$7)*1</f>
        <v>109.44196476324252</v>
      </c>
      <c r="AA68" s="4">
        <f>('TE BE'!$AB$5+'TE BF'!$AB$5+'TE CVA'!$AB$5)*1</f>
        <v>542.84414704984056</v>
      </c>
      <c r="AB68" s="4">
        <f>$K$68*$V$68</f>
        <v>352</v>
      </c>
      <c r="AC68" s="4">
        <f>$M$68*$W$68</f>
        <v>30.003660000000004</v>
      </c>
      <c r="AD68" s="4">
        <f>$O$68*$X$68</f>
        <v>148.34934000000001</v>
      </c>
      <c r="AE68" s="4">
        <f ca="1">$K$68*$Y$68</f>
        <v>456.73002993178795</v>
      </c>
      <c r="AF68" s="4">
        <f ca="1">$M$68*$Z$68</f>
        <v>37.429151949028949</v>
      </c>
      <c r="AG68" s="4">
        <f>$O$68*$AA$68</f>
        <v>185.65269829104548</v>
      </c>
    </row>
    <row r="69" spans="1:33" ht="11.25" customHeight="1" x14ac:dyDescent="0.25">
      <c r="A69" s="3" t="s">
        <v>21</v>
      </c>
      <c r="B69" s="3" t="s">
        <v>39</v>
      </c>
      <c r="C69" s="3" t="s">
        <v>40</v>
      </c>
      <c r="D69" s="3" t="s">
        <v>51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44593</v>
      </c>
      <c r="J69" s="4">
        <v>10</v>
      </c>
      <c r="K69" s="4">
        <v>10</v>
      </c>
      <c r="L69" s="4">
        <v>0.36</v>
      </c>
      <c r="M69" s="4">
        <v>0.36</v>
      </c>
      <c r="N69" s="4">
        <v>0.36</v>
      </c>
      <c r="O69" s="4">
        <v>0.36</v>
      </c>
      <c r="P69" s="4">
        <v>0</v>
      </c>
      <c r="Q69" s="3" t="s">
        <v>26</v>
      </c>
      <c r="R69" s="3">
        <v>0</v>
      </c>
      <c r="S69" s="4">
        <v>34</v>
      </c>
      <c r="T69" s="4">
        <v>23</v>
      </c>
      <c r="U69" s="4">
        <v>71</v>
      </c>
      <c r="V69" s="4">
        <f>IF(ISERROR(VLOOKUP($S$69,'TAR FIN'!$A$1:$O$92,15,0)),0,VLOOKUP($S$69,'TAR FIN'!$A$1:$O$92,15,0))</f>
        <v>44</v>
      </c>
      <c r="W69" s="4">
        <f>IF(ISERROR(VLOOKUP($T$69,'TAR FIN'!$A$1:$O$92,15,0)),0,VLOOKUP($T$69,'TAR FIN'!$A$1:$O$92,15,0))</f>
        <v>87.73</v>
      </c>
      <c r="X69" s="4">
        <f>IF(ISERROR(VLOOKUP($U$69,'TAR FIN'!$A$1:$O$92,15,0)),0,VLOOKUP($U$69,'TAR FIN'!$A$1:$O$92,15,0))</f>
        <v>433.77</v>
      </c>
      <c r="Y69" s="4">
        <f ca="1">('TUSD BE'!$AM$5+'TUSD BF'!$AM$5+'TUSD CVA'!$AM$5)*1</f>
        <v>57.091253741473494</v>
      </c>
      <c r="Z69" s="4">
        <f ca="1">('TUSD BE'!$AM$7+'TUSD BF'!$AM$7+'TUSD CVA'!$AM$7)*1</f>
        <v>109.44196476324252</v>
      </c>
      <c r="AA69" s="4">
        <f>('TE BE'!$AB$5+'TE BF'!$AB$5+'TE CVA'!$AB$5)*1</f>
        <v>542.84414704984056</v>
      </c>
      <c r="AB69" s="4">
        <f>$K$69*$V$69</f>
        <v>440</v>
      </c>
      <c r="AC69" s="4">
        <f>$M$69*$W$69</f>
        <v>31.582799999999999</v>
      </c>
      <c r="AD69" s="4">
        <f>$O$69*$X$69</f>
        <v>156.15719999999999</v>
      </c>
      <c r="AE69" s="4">
        <f ca="1">$K$69*$Y$69</f>
        <v>570.91253741473497</v>
      </c>
      <c r="AF69" s="4">
        <f ca="1">$M$69*$Z$69</f>
        <v>39.399107314767306</v>
      </c>
      <c r="AG69" s="4">
        <f>$O$69*$AA$69</f>
        <v>195.42389293794258</v>
      </c>
    </row>
    <row r="70" spans="1:33" ht="11.25" customHeight="1" x14ac:dyDescent="0.25">
      <c r="A70" s="3" t="s">
        <v>21</v>
      </c>
      <c r="B70" s="3" t="s">
        <v>39</v>
      </c>
      <c r="C70" s="3" t="s">
        <v>40</v>
      </c>
      <c r="D70" s="3" t="s">
        <v>51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44621</v>
      </c>
      <c r="J70" s="4">
        <v>14</v>
      </c>
      <c r="K70" s="4">
        <v>14</v>
      </c>
      <c r="L70" s="4">
        <v>0.40600000000000003</v>
      </c>
      <c r="M70" s="4">
        <v>0.40600000000000003</v>
      </c>
      <c r="N70" s="4">
        <v>0.40600000000000003</v>
      </c>
      <c r="O70" s="4">
        <v>0.40600000000000003</v>
      </c>
      <c r="P70" s="4">
        <v>0</v>
      </c>
      <c r="Q70" s="3" t="s">
        <v>26</v>
      </c>
      <c r="R70" s="3">
        <v>0</v>
      </c>
      <c r="S70" s="4">
        <v>34</v>
      </c>
      <c r="T70" s="4">
        <v>23</v>
      </c>
      <c r="U70" s="4">
        <v>71</v>
      </c>
      <c r="V70" s="4">
        <f>IF(ISERROR(VLOOKUP($S$70,'TAR FIN'!$A$1:$O$92,15,0)),0,VLOOKUP($S$70,'TAR FIN'!$A$1:$O$92,15,0))</f>
        <v>44</v>
      </c>
      <c r="W70" s="4">
        <f>IF(ISERROR(VLOOKUP($T$70,'TAR FIN'!$A$1:$O$92,15,0)),0,VLOOKUP($T$70,'TAR FIN'!$A$1:$O$92,15,0))</f>
        <v>87.73</v>
      </c>
      <c r="X70" s="4">
        <f>IF(ISERROR(VLOOKUP($U$70,'TAR FIN'!$A$1:$O$92,15,0)),0,VLOOKUP($U$70,'TAR FIN'!$A$1:$O$92,15,0))</f>
        <v>433.77</v>
      </c>
      <c r="Y70" s="4">
        <f ca="1">('TUSD BE'!$AM$5+'TUSD BF'!$AM$5+'TUSD CVA'!$AM$5)*1</f>
        <v>57.091253741473494</v>
      </c>
      <c r="Z70" s="4">
        <f ca="1">('TUSD BE'!$AM$7+'TUSD BF'!$AM$7+'TUSD CVA'!$AM$7)*1</f>
        <v>109.44196476324252</v>
      </c>
      <c r="AA70" s="4">
        <f>('TE BE'!$AB$5+'TE BF'!$AB$5+'TE CVA'!$AB$5)*1</f>
        <v>542.84414704984056</v>
      </c>
      <c r="AB70" s="4">
        <f>$K$70*$V$70</f>
        <v>616</v>
      </c>
      <c r="AC70" s="4">
        <f>$M$70*$W$70</f>
        <v>35.618380000000002</v>
      </c>
      <c r="AD70" s="4">
        <f>$O$70*$X$70</f>
        <v>176.11062000000001</v>
      </c>
      <c r="AE70" s="4">
        <f ca="1">$K$70*$Y$70</f>
        <v>799.27755238062889</v>
      </c>
      <c r="AF70" s="4">
        <f ca="1">$M$70*$Z$70</f>
        <v>44.433437693876471</v>
      </c>
      <c r="AG70" s="4">
        <f>$O$70*$AA$70</f>
        <v>220.39472370223527</v>
      </c>
    </row>
    <row r="71" spans="1:33" ht="11.25" customHeight="1" x14ac:dyDescent="0.25">
      <c r="A71" s="3" t="s">
        <v>21</v>
      </c>
      <c r="B71" s="3" t="s">
        <v>39</v>
      </c>
      <c r="C71" s="3" t="s">
        <v>40</v>
      </c>
      <c r="D71" s="3" t="s">
        <v>51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44652</v>
      </c>
      <c r="J71" s="4">
        <v>14</v>
      </c>
      <c r="K71" s="4">
        <v>14</v>
      </c>
      <c r="L71" s="4">
        <v>0.40600000000000003</v>
      </c>
      <c r="M71" s="4">
        <v>0.40600000000000003</v>
      </c>
      <c r="N71" s="4">
        <v>0.40600000000000003</v>
      </c>
      <c r="O71" s="4">
        <v>0.40600000000000003</v>
      </c>
      <c r="P71" s="4">
        <v>0</v>
      </c>
      <c r="Q71" s="3" t="s">
        <v>26</v>
      </c>
      <c r="R71" s="3">
        <v>0</v>
      </c>
      <c r="S71" s="4">
        <v>34</v>
      </c>
      <c r="T71" s="4">
        <v>23</v>
      </c>
      <c r="U71" s="4">
        <v>71</v>
      </c>
      <c r="V71" s="4">
        <f>IF(ISERROR(VLOOKUP($S$71,'TAR FIN'!$A$1:$O$92,15,0)),0,VLOOKUP($S$71,'TAR FIN'!$A$1:$O$92,15,0))</f>
        <v>44</v>
      </c>
      <c r="W71" s="4">
        <f>IF(ISERROR(VLOOKUP($T$71,'TAR FIN'!$A$1:$O$92,15,0)),0,VLOOKUP($T$71,'TAR FIN'!$A$1:$O$92,15,0))</f>
        <v>87.73</v>
      </c>
      <c r="X71" s="4">
        <f>IF(ISERROR(VLOOKUP($U$71,'TAR FIN'!$A$1:$O$92,15,0)),0,VLOOKUP($U$71,'TAR FIN'!$A$1:$O$92,15,0))</f>
        <v>433.77</v>
      </c>
      <c r="Y71" s="4">
        <f ca="1">('TUSD BE'!$AM$5+'TUSD BF'!$AM$5+'TUSD CVA'!$AM$5)*1</f>
        <v>57.091253741473494</v>
      </c>
      <c r="Z71" s="4">
        <f ca="1">('TUSD BE'!$AM$7+'TUSD BF'!$AM$7+'TUSD CVA'!$AM$7)*1</f>
        <v>109.44196476324252</v>
      </c>
      <c r="AA71" s="4">
        <f>('TE BE'!$AB$5+'TE BF'!$AB$5+'TE CVA'!$AB$5)*1</f>
        <v>542.84414704984056</v>
      </c>
      <c r="AB71" s="4">
        <f>$K$71*$V$71</f>
        <v>616</v>
      </c>
      <c r="AC71" s="4">
        <f>$M$71*$W$71</f>
        <v>35.618380000000002</v>
      </c>
      <c r="AD71" s="4">
        <f>$O$71*$X$71</f>
        <v>176.11062000000001</v>
      </c>
      <c r="AE71" s="4">
        <f ca="1">$K$71*$Y$71</f>
        <v>799.27755238062889</v>
      </c>
      <c r="AF71" s="4">
        <f ca="1">$M$71*$Z$71</f>
        <v>44.433437693876471</v>
      </c>
      <c r="AG71" s="4">
        <f>$O$71*$AA$71</f>
        <v>220.39472370223527</v>
      </c>
    </row>
    <row r="72" spans="1:33" ht="11.25" customHeight="1" x14ac:dyDescent="0.25">
      <c r="A72" s="3" t="s">
        <v>21</v>
      </c>
      <c r="B72" s="3" t="s">
        <v>39</v>
      </c>
      <c r="C72" s="3" t="s">
        <v>40</v>
      </c>
      <c r="D72" s="3" t="s">
        <v>51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44682</v>
      </c>
      <c r="J72" s="4">
        <v>8</v>
      </c>
      <c r="K72" s="4">
        <v>8</v>
      </c>
      <c r="L72" s="4">
        <v>0.312</v>
      </c>
      <c r="M72" s="4">
        <v>0.312</v>
      </c>
      <c r="N72" s="4">
        <v>0.312</v>
      </c>
      <c r="O72" s="4">
        <v>0.312</v>
      </c>
      <c r="P72" s="4">
        <v>0</v>
      </c>
      <c r="Q72" s="3" t="s">
        <v>26</v>
      </c>
      <c r="R72" s="3">
        <v>0</v>
      </c>
      <c r="S72" s="4">
        <v>34</v>
      </c>
      <c r="T72" s="4">
        <v>23</v>
      </c>
      <c r="U72" s="4">
        <v>71</v>
      </c>
      <c r="V72" s="4">
        <f>IF(ISERROR(VLOOKUP($S$72,'TAR FIN'!$A$1:$O$92,15,0)),0,VLOOKUP($S$72,'TAR FIN'!$A$1:$O$92,15,0))</f>
        <v>44</v>
      </c>
      <c r="W72" s="4">
        <f>IF(ISERROR(VLOOKUP($T$72,'TAR FIN'!$A$1:$O$92,15,0)),0,VLOOKUP($T$72,'TAR FIN'!$A$1:$O$92,15,0))</f>
        <v>87.73</v>
      </c>
      <c r="X72" s="4">
        <f>IF(ISERROR(VLOOKUP($U$72,'TAR FIN'!$A$1:$O$92,15,0)),0,VLOOKUP($U$72,'TAR FIN'!$A$1:$O$92,15,0))</f>
        <v>433.77</v>
      </c>
      <c r="Y72" s="4">
        <f ca="1">('TUSD BE'!$AM$5+'TUSD BF'!$AM$5+'TUSD CVA'!$AM$5)*1</f>
        <v>57.091253741473494</v>
      </c>
      <c r="Z72" s="4">
        <f ca="1">('TUSD BE'!$AM$7+'TUSD BF'!$AM$7+'TUSD CVA'!$AM$7)*1</f>
        <v>109.44196476324252</v>
      </c>
      <c r="AA72" s="4">
        <f>('TE BE'!$AB$5+'TE BF'!$AB$5+'TE CVA'!$AB$5)*1</f>
        <v>542.84414704984056</v>
      </c>
      <c r="AB72" s="4">
        <f>$K$72*$V$72</f>
        <v>352</v>
      </c>
      <c r="AC72" s="4">
        <f>$M$72*$W$72</f>
        <v>27.371760000000002</v>
      </c>
      <c r="AD72" s="4">
        <f>$O$72*$X$72</f>
        <v>135.33624</v>
      </c>
      <c r="AE72" s="4">
        <f ca="1">$K$72*$Y$72</f>
        <v>456.73002993178795</v>
      </c>
      <c r="AF72" s="4">
        <f ca="1">$M$72*$Z$72</f>
        <v>34.145893006131665</v>
      </c>
      <c r="AG72" s="4">
        <f>$O$72*$AA$72</f>
        <v>169.36737387955026</v>
      </c>
    </row>
    <row r="73" spans="1:33" ht="11.25" customHeight="1" x14ac:dyDescent="0.25">
      <c r="A73" s="3" t="s">
        <v>21</v>
      </c>
      <c r="B73" s="3" t="s">
        <v>39</v>
      </c>
      <c r="C73" s="3" t="s">
        <v>40</v>
      </c>
      <c r="D73" s="3" t="s">
        <v>51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44713</v>
      </c>
      <c r="J73" s="4">
        <v>8</v>
      </c>
      <c r="K73" s="4">
        <v>8</v>
      </c>
      <c r="L73" s="4">
        <v>0.29299999999999998</v>
      </c>
      <c r="M73" s="4">
        <v>0.29299999999999998</v>
      </c>
      <c r="N73" s="4">
        <v>0.29299999999999998</v>
      </c>
      <c r="O73" s="4">
        <v>0.29299999999999998</v>
      </c>
      <c r="P73" s="4">
        <v>0</v>
      </c>
      <c r="Q73" s="3" t="s">
        <v>26</v>
      </c>
      <c r="R73" s="3">
        <v>0</v>
      </c>
      <c r="S73" s="4">
        <v>34</v>
      </c>
      <c r="T73" s="4">
        <v>23</v>
      </c>
      <c r="U73" s="4">
        <v>71</v>
      </c>
      <c r="V73" s="4">
        <f>IF(ISERROR(VLOOKUP($S$73,'TAR FIN'!$A$1:$O$92,15,0)),0,VLOOKUP($S$73,'TAR FIN'!$A$1:$O$92,15,0))</f>
        <v>44</v>
      </c>
      <c r="W73" s="4">
        <f>IF(ISERROR(VLOOKUP($T$73,'TAR FIN'!$A$1:$O$92,15,0)),0,VLOOKUP($T$73,'TAR FIN'!$A$1:$O$92,15,0))</f>
        <v>87.73</v>
      </c>
      <c r="X73" s="4">
        <f>IF(ISERROR(VLOOKUP($U$73,'TAR FIN'!$A$1:$O$92,15,0)),0,VLOOKUP($U$73,'TAR FIN'!$A$1:$O$92,15,0))</f>
        <v>433.77</v>
      </c>
      <c r="Y73" s="4">
        <f ca="1">('TUSD BE'!$AM$5+'TUSD BF'!$AM$5+'TUSD CVA'!$AM$5)*1</f>
        <v>57.091253741473494</v>
      </c>
      <c r="Z73" s="4">
        <f ca="1">('TUSD BE'!$AM$7+'TUSD BF'!$AM$7+'TUSD CVA'!$AM$7)*1</f>
        <v>109.44196476324252</v>
      </c>
      <c r="AA73" s="4">
        <f>('TE BE'!$AB$5+'TE BF'!$AB$5+'TE CVA'!$AB$5)*1</f>
        <v>542.84414704984056</v>
      </c>
      <c r="AB73" s="4">
        <f>$K$73*$V$73</f>
        <v>352</v>
      </c>
      <c r="AC73" s="4">
        <f>$M$73*$W$73</f>
        <v>25.704889999999999</v>
      </c>
      <c r="AD73" s="4">
        <f>$O$73*$X$73</f>
        <v>127.09460999999999</v>
      </c>
      <c r="AE73" s="4">
        <f ca="1">$K$73*$Y$73</f>
        <v>456.73002993178795</v>
      </c>
      <c r="AF73" s="4">
        <f ca="1">$M$73*$Z$73</f>
        <v>32.066495675630058</v>
      </c>
      <c r="AG73" s="4">
        <f>$O$73*$AA$73</f>
        <v>159.05333508560327</v>
      </c>
    </row>
    <row r="74" spans="1:33" ht="11.25" customHeight="1" x14ac:dyDescent="0.25">
      <c r="A74" s="3" t="s">
        <v>21</v>
      </c>
      <c r="B74" s="3" t="s">
        <v>39</v>
      </c>
      <c r="C74" s="3" t="s">
        <v>40</v>
      </c>
      <c r="D74" s="3" t="s">
        <v>51</v>
      </c>
      <c r="E74" s="3" t="s">
        <v>25</v>
      </c>
      <c r="F74" s="3" t="s">
        <v>25</v>
      </c>
      <c r="G74" s="3" t="s">
        <v>25</v>
      </c>
      <c r="H74" s="3" t="s">
        <v>34</v>
      </c>
      <c r="I74" s="6">
        <v>44743</v>
      </c>
      <c r="J74" s="4">
        <v>7</v>
      </c>
      <c r="K74" s="4">
        <v>7</v>
      </c>
      <c r="L74" s="4">
        <v>0.29799999999999999</v>
      </c>
      <c r="M74" s="4">
        <v>0.29799999999999999</v>
      </c>
      <c r="N74" s="4">
        <v>0.29799999999999999</v>
      </c>
      <c r="O74" s="4">
        <v>0.29799999999999999</v>
      </c>
      <c r="P74" s="4">
        <v>0</v>
      </c>
      <c r="Q74" s="3" t="s">
        <v>26</v>
      </c>
      <c r="R74" s="3">
        <v>0</v>
      </c>
      <c r="S74" s="4">
        <v>34</v>
      </c>
      <c r="T74" s="4">
        <v>23</v>
      </c>
      <c r="U74" s="4">
        <v>71</v>
      </c>
      <c r="V74" s="4">
        <f>IF(ISERROR(VLOOKUP($S$74,'TAR FIN'!$A$1:$O$92,15,0)),0,VLOOKUP($S$74,'TAR FIN'!$A$1:$O$92,15,0))</f>
        <v>44</v>
      </c>
      <c r="W74" s="4">
        <f>IF(ISERROR(VLOOKUP($T$74,'TAR FIN'!$A$1:$O$92,15,0)),0,VLOOKUP($T$74,'TAR FIN'!$A$1:$O$92,15,0))</f>
        <v>87.73</v>
      </c>
      <c r="X74" s="4">
        <f>IF(ISERROR(VLOOKUP($U$74,'TAR FIN'!$A$1:$O$92,15,0)),0,VLOOKUP($U$74,'TAR FIN'!$A$1:$O$92,15,0))</f>
        <v>433.77</v>
      </c>
      <c r="Y74" s="4">
        <f ca="1">('TUSD BE'!$AM$5+'TUSD BF'!$AM$5+'TUSD CVA'!$AM$5)*1</f>
        <v>57.091253741473494</v>
      </c>
      <c r="Z74" s="4">
        <f ca="1">('TUSD BE'!$AM$7+'TUSD BF'!$AM$7+'TUSD CVA'!$AM$7)*1</f>
        <v>109.44196476324252</v>
      </c>
      <c r="AA74" s="4">
        <f>('TE BE'!$AB$5+'TE BF'!$AB$5+'TE CVA'!$AB$5)*1</f>
        <v>542.84414704984056</v>
      </c>
      <c r="AB74" s="4">
        <f>$K$74*$V$74</f>
        <v>308</v>
      </c>
      <c r="AC74" s="4">
        <f>$M$74*$W$74</f>
        <v>26.143540000000002</v>
      </c>
      <c r="AD74" s="4">
        <f>$O$74*$X$74</f>
        <v>129.26345999999998</v>
      </c>
      <c r="AE74" s="4">
        <f ca="1">$K$74*$Y$74</f>
        <v>399.63877619031445</v>
      </c>
      <c r="AF74" s="4">
        <f ca="1">$M$74*$Z$74</f>
        <v>32.613705499446269</v>
      </c>
      <c r="AG74" s="4">
        <f>$O$74*$AA$74</f>
        <v>161.76755582085249</v>
      </c>
    </row>
    <row r="75" spans="1:33" ht="11.25" customHeight="1" x14ac:dyDescent="0.25">
      <c r="A75" s="3" t="s">
        <v>21</v>
      </c>
      <c r="B75" s="3" t="s">
        <v>39</v>
      </c>
      <c r="C75" s="3" t="s">
        <v>40</v>
      </c>
      <c r="D75" s="3" t="s">
        <v>51</v>
      </c>
      <c r="E75" s="3" t="s">
        <v>25</v>
      </c>
      <c r="F75" s="3" t="s">
        <v>25</v>
      </c>
      <c r="G75" s="3" t="s">
        <v>25</v>
      </c>
      <c r="H75" s="3" t="s">
        <v>34</v>
      </c>
      <c r="I75" s="6">
        <v>44774</v>
      </c>
      <c r="J75" s="4">
        <v>7</v>
      </c>
      <c r="K75" s="4">
        <v>7</v>
      </c>
      <c r="L75" s="4">
        <v>0.35099999999999998</v>
      </c>
      <c r="M75" s="4">
        <v>0.35099999999999998</v>
      </c>
      <c r="N75" s="4">
        <v>0.35099999999999998</v>
      </c>
      <c r="O75" s="4">
        <v>0.35099999999999998</v>
      </c>
      <c r="P75" s="4">
        <v>0</v>
      </c>
      <c r="Q75" s="3" t="s">
        <v>26</v>
      </c>
      <c r="R75" s="3">
        <v>0</v>
      </c>
      <c r="S75" s="4">
        <v>34</v>
      </c>
      <c r="T75" s="4">
        <v>23</v>
      </c>
      <c r="U75" s="4">
        <v>71</v>
      </c>
      <c r="V75" s="4">
        <f>IF(ISERROR(VLOOKUP($S$75,'TAR FIN'!$A$1:$O$92,15,0)),0,VLOOKUP($S$75,'TAR FIN'!$A$1:$O$92,15,0))</f>
        <v>44</v>
      </c>
      <c r="W75" s="4">
        <f>IF(ISERROR(VLOOKUP($T$75,'TAR FIN'!$A$1:$O$92,15,0)),0,VLOOKUP($T$75,'TAR FIN'!$A$1:$O$92,15,0))</f>
        <v>87.73</v>
      </c>
      <c r="X75" s="4">
        <f>IF(ISERROR(VLOOKUP($U$75,'TAR FIN'!$A$1:$O$92,15,0)),0,VLOOKUP($U$75,'TAR FIN'!$A$1:$O$92,15,0))</f>
        <v>433.77</v>
      </c>
      <c r="Y75" s="4">
        <f ca="1">('TUSD BE'!$AM$5+'TUSD BF'!$AM$5+'TUSD CVA'!$AM$5)*1</f>
        <v>57.091253741473494</v>
      </c>
      <c r="Z75" s="4">
        <f ca="1">('TUSD BE'!$AM$7+'TUSD BF'!$AM$7+'TUSD CVA'!$AM$7)*1</f>
        <v>109.44196476324252</v>
      </c>
      <c r="AA75" s="4">
        <f>('TE BE'!$AB$5+'TE BF'!$AB$5+'TE CVA'!$AB$5)*1</f>
        <v>542.84414704984056</v>
      </c>
      <c r="AB75" s="4">
        <f>$K$75*$V$75</f>
        <v>308</v>
      </c>
      <c r="AC75" s="4">
        <f>$M$75*$W$75</f>
        <v>30.793230000000001</v>
      </c>
      <c r="AD75" s="4">
        <f>$O$75*$X$75</f>
        <v>152.25326999999999</v>
      </c>
      <c r="AE75" s="4">
        <f ca="1">$K$75*$Y$75</f>
        <v>399.63877619031445</v>
      </c>
      <c r="AF75" s="4">
        <f ca="1">$M$75*$Z$75</f>
        <v>38.41412963189812</v>
      </c>
      <c r="AG75" s="4">
        <f>$O$75*$AA$75</f>
        <v>190.53829561449402</v>
      </c>
    </row>
    <row r="76" spans="1:33" ht="11.25" customHeight="1" x14ac:dyDescent="0.25">
      <c r="A76" s="3" t="s">
        <v>21</v>
      </c>
      <c r="B76" s="3" t="s">
        <v>39</v>
      </c>
      <c r="C76" s="3" t="s">
        <v>40</v>
      </c>
      <c r="D76" s="3" t="s">
        <v>51</v>
      </c>
      <c r="E76" s="3" t="s">
        <v>25</v>
      </c>
      <c r="F76" s="3" t="s">
        <v>25</v>
      </c>
      <c r="G76" s="3" t="s">
        <v>25</v>
      </c>
      <c r="H76" s="3" t="s">
        <v>34</v>
      </c>
      <c r="I76" s="6">
        <v>44805</v>
      </c>
      <c r="J76" s="4">
        <v>9</v>
      </c>
      <c r="K76" s="4">
        <v>9</v>
      </c>
      <c r="L76" s="4">
        <v>0.34399999999999997</v>
      </c>
      <c r="M76" s="4">
        <v>0.34399999999999997</v>
      </c>
      <c r="N76" s="4">
        <v>0.34399999999999997</v>
      </c>
      <c r="O76" s="4">
        <v>0.34399999999999997</v>
      </c>
      <c r="P76" s="4">
        <v>0</v>
      </c>
      <c r="Q76" s="3" t="s">
        <v>26</v>
      </c>
      <c r="R76" s="3">
        <v>0</v>
      </c>
      <c r="S76" s="4">
        <v>34</v>
      </c>
      <c r="T76" s="4">
        <v>23</v>
      </c>
      <c r="U76" s="4">
        <v>71</v>
      </c>
      <c r="V76" s="4">
        <f>IF(ISERROR(VLOOKUP($S$76,'TAR FIN'!$A$1:$O$92,15,0)),0,VLOOKUP($S$76,'TAR FIN'!$A$1:$O$92,15,0))</f>
        <v>44</v>
      </c>
      <c r="W76" s="4">
        <f>IF(ISERROR(VLOOKUP($T$76,'TAR FIN'!$A$1:$O$92,15,0)),0,VLOOKUP($T$76,'TAR FIN'!$A$1:$O$92,15,0))</f>
        <v>87.73</v>
      </c>
      <c r="X76" s="4">
        <f>IF(ISERROR(VLOOKUP($U$76,'TAR FIN'!$A$1:$O$92,15,0)),0,VLOOKUP($U$76,'TAR FIN'!$A$1:$O$92,15,0))</f>
        <v>433.77</v>
      </c>
      <c r="Y76" s="4">
        <f ca="1">('TUSD BE'!$AM$5+'TUSD BF'!$AM$5+'TUSD CVA'!$AM$5)*1</f>
        <v>57.091253741473494</v>
      </c>
      <c r="Z76" s="4">
        <f ca="1">('TUSD BE'!$AM$7+'TUSD BF'!$AM$7+'TUSD CVA'!$AM$7)*1</f>
        <v>109.44196476324252</v>
      </c>
      <c r="AA76" s="4">
        <f>('TE BE'!$AB$5+'TE BF'!$AB$5+'TE CVA'!$AB$5)*1</f>
        <v>542.84414704984056</v>
      </c>
      <c r="AB76" s="4">
        <f>$K$76*$V$76</f>
        <v>396</v>
      </c>
      <c r="AC76" s="4">
        <f>$M$76*$W$76</f>
        <v>30.179119999999998</v>
      </c>
      <c r="AD76" s="4">
        <f>$O$76*$X$76</f>
        <v>149.21687999999997</v>
      </c>
      <c r="AE76" s="4">
        <f ca="1">$K$76*$Y$76</f>
        <v>513.82128367326141</v>
      </c>
      <c r="AF76" s="4">
        <f ca="1">$M$76*$Z$76</f>
        <v>37.648035878555426</v>
      </c>
      <c r="AG76" s="4">
        <f>$O$76*$AA$76</f>
        <v>186.73838658514515</v>
      </c>
    </row>
    <row r="77" spans="1:33" ht="11.25" customHeight="1" x14ac:dyDescent="0.25">
      <c r="A77" s="3" t="s">
        <v>55</v>
      </c>
      <c r="B77" s="3" t="s">
        <v>39</v>
      </c>
      <c r="C77" s="3" t="s">
        <v>40</v>
      </c>
      <c r="D77" s="3" t="s">
        <v>51</v>
      </c>
      <c r="E77" s="3" t="s">
        <v>25</v>
      </c>
      <c r="F77" s="3" t="s">
        <v>25</v>
      </c>
      <c r="G77" s="3" t="s">
        <v>25</v>
      </c>
      <c r="H77" s="3" t="s">
        <v>34</v>
      </c>
      <c r="I77" s="6">
        <v>44835</v>
      </c>
      <c r="J77" s="4">
        <v>9</v>
      </c>
      <c r="K77" s="4">
        <v>9</v>
      </c>
      <c r="L77" s="4">
        <v>0.34399999999999997</v>
      </c>
      <c r="M77" s="4">
        <v>0.34399999999999997</v>
      </c>
      <c r="N77" s="4">
        <v>0.34399999999999997</v>
      </c>
      <c r="O77" s="4">
        <v>0.34399999999999997</v>
      </c>
      <c r="P77" s="4">
        <v>0</v>
      </c>
      <c r="Q77" s="3" t="s">
        <v>26</v>
      </c>
      <c r="R77" s="3">
        <v>0</v>
      </c>
      <c r="S77" s="4">
        <v>34</v>
      </c>
      <c r="T77" s="4">
        <v>23</v>
      </c>
      <c r="U77" s="4">
        <v>71</v>
      </c>
      <c r="V77" s="4">
        <f>IF(ISERROR(VLOOKUP($S$77,'TAR FIN'!$A$1:$O$92,15,0)),0,VLOOKUP($S$77,'TAR FIN'!$A$1:$O$92,15,0))</f>
        <v>44</v>
      </c>
      <c r="W77" s="4">
        <f>IF(ISERROR(VLOOKUP($T$77,'TAR FIN'!$A$1:$O$92,15,0)),0,VLOOKUP($T$77,'TAR FIN'!$A$1:$O$92,15,0))</f>
        <v>87.73</v>
      </c>
      <c r="X77" s="4">
        <f>IF(ISERROR(VLOOKUP($U$77,'TAR FIN'!$A$1:$O$92,15,0)),0,VLOOKUP($U$77,'TAR FIN'!$A$1:$O$92,15,0))</f>
        <v>433.77</v>
      </c>
      <c r="Y77" s="4">
        <f ca="1">('TUSD BE'!$AM$5+'TUSD BF'!$AM$5+'TUSD CVA'!$AM$5)*1</f>
        <v>57.091253741473494</v>
      </c>
      <c r="Z77" s="4">
        <f ca="1">('TUSD BE'!$AM$7+'TUSD BF'!$AM$7+'TUSD CVA'!$AM$7)*1</f>
        <v>109.44196476324252</v>
      </c>
      <c r="AA77" s="4">
        <f>('TE BE'!$AB$5+'TE BF'!$AB$5+'TE CVA'!$AB$5)*1</f>
        <v>542.84414704984056</v>
      </c>
      <c r="AB77" s="4">
        <f>$K$77*$V$77</f>
        <v>396</v>
      </c>
      <c r="AC77" s="4">
        <f>$M$77*$W$77</f>
        <v>30.179119999999998</v>
      </c>
      <c r="AD77" s="4">
        <f>$O$77*$X$77</f>
        <v>149.21687999999997</v>
      </c>
      <c r="AE77" s="4">
        <f ca="1">$K$77*$Y$77</f>
        <v>513.82128367326141</v>
      </c>
      <c r="AF77" s="4">
        <f ca="1">$M$77*$Z$77</f>
        <v>37.648035878555426</v>
      </c>
      <c r="AG77" s="4">
        <f>$O$77*$AA$77</f>
        <v>186.73838658514515</v>
      </c>
    </row>
    <row r="78" spans="1:33" ht="11.25" customHeight="1" x14ac:dyDescent="0.25">
      <c r="A78" s="3" t="s">
        <v>21</v>
      </c>
      <c r="B78" s="3" t="s">
        <v>39</v>
      </c>
      <c r="C78" s="3" t="s">
        <v>40</v>
      </c>
      <c r="D78" s="3" t="s">
        <v>38</v>
      </c>
      <c r="E78" s="3" t="s">
        <v>25</v>
      </c>
      <c r="F78" s="3" t="s">
        <v>25</v>
      </c>
      <c r="G78" s="3" t="s">
        <v>25</v>
      </c>
      <c r="H78" s="3" t="s">
        <v>35</v>
      </c>
      <c r="I78" s="6">
        <v>44501</v>
      </c>
      <c r="J78" s="4">
        <v>249</v>
      </c>
      <c r="K78" s="4">
        <v>249</v>
      </c>
      <c r="L78" s="4">
        <v>131.51499999999999</v>
      </c>
      <c r="M78" s="4">
        <v>131.51499999999999</v>
      </c>
      <c r="N78" s="4">
        <v>131.51499999999999</v>
      </c>
      <c r="O78" s="4">
        <v>131.51499999999999</v>
      </c>
      <c r="P78" s="4">
        <v>0</v>
      </c>
      <c r="Q78" s="3" t="s">
        <v>26</v>
      </c>
      <c r="R78" s="3">
        <v>0</v>
      </c>
      <c r="S78" s="4">
        <v>27</v>
      </c>
      <c r="T78" s="4">
        <v>23</v>
      </c>
      <c r="U78" s="4">
        <v>59</v>
      </c>
      <c r="V78" s="4">
        <f>IF(ISERROR(VLOOKUP($S$78,'TAR FIN'!$A$1:$O$92,15,0)),0,VLOOKUP($S$78,'TAR FIN'!$A$1:$O$92,15,0))</f>
        <v>14.64</v>
      </c>
      <c r="W78" s="4">
        <f>IF(ISERROR(VLOOKUP($T$78,'TAR FIN'!$A$1:$O$92,15,0)),0,VLOOKUP($T$78,'TAR FIN'!$A$1:$O$92,15,0))</f>
        <v>87.73</v>
      </c>
      <c r="X78" s="4">
        <f>IF(ISERROR(VLOOKUP($U$78,'TAR FIN'!$A$1:$O$92,15,0)),0,VLOOKUP($U$78,'TAR FIN'!$A$1:$O$92,15,0))</f>
        <v>253.9</v>
      </c>
      <c r="Y78" s="4">
        <f ca="1">('TUSD BE'!$AM$6+'TUSD BF'!$AM$6+'TUSD CVA'!$AM$6)*1</f>
        <v>19.024476785546895</v>
      </c>
      <c r="Z78" s="4">
        <f ca="1">('TUSD BE'!$AM$7+'TUSD BF'!$AM$7+'TUSD CVA'!$AM$7)*1</f>
        <v>109.44196476324252</v>
      </c>
      <c r="AA78" s="4">
        <f>('TE BE'!$AB$6+'TE BF'!$AB$6+'TE CVA'!$AB$6)*1</f>
        <v>317.3874512882154</v>
      </c>
      <c r="AB78" s="4">
        <f>$K$78*$V$78</f>
        <v>3645.36</v>
      </c>
      <c r="AC78" s="4">
        <f>$M$78*$W$78</f>
        <v>11537.810949999999</v>
      </c>
      <c r="AD78" s="4">
        <f>$O$78*$X$78</f>
        <v>33391.658499999998</v>
      </c>
      <c r="AE78" s="4">
        <f ca="1">$K$78*$Y$78</f>
        <v>4737.0947196011766</v>
      </c>
      <c r="AF78" s="4">
        <f ca="1">$M$78*$Z$78</f>
        <v>14393.25999583784</v>
      </c>
      <c r="AG78" s="4">
        <f>$O$78*$AA$78</f>
        <v>41741.210656169642</v>
      </c>
    </row>
    <row r="79" spans="1:33" ht="11.25" customHeight="1" x14ac:dyDescent="0.25">
      <c r="A79" s="3" t="s">
        <v>21</v>
      </c>
      <c r="B79" s="3" t="s">
        <v>39</v>
      </c>
      <c r="C79" s="3" t="s">
        <v>40</v>
      </c>
      <c r="D79" s="3" t="s">
        <v>38</v>
      </c>
      <c r="E79" s="3" t="s">
        <v>25</v>
      </c>
      <c r="F79" s="3" t="s">
        <v>25</v>
      </c>
      <c r="G79" s="3" t="s">
        <v>25</v>
      </c>
      <c r="H79" s="3" t="s">
        <v>35</v>
      </c>
      <c r="I79" s="6">
        <v>44531</v>
      </c>
      <c r="J79" s="4">
        <v>290</v>
      </c>
      <c r="K79" s="4">
        <v>290</v>
      </c>
      <c r="L79" s="4">
        <v>143.375</v>
      </c>
      <c r="M79" s="4">
        <v>143.375</v>
      </c>
      <c r="N79" s="4">
        <v>143.375</v>
      </c>
      <c r="O79" s="4">
        <v>143.375</v>
      </c>
      <c r="P79" s="4">
        <v>0</v>
      </c>
      <c r="Q79" s="3" t="s">
        <v>26</v>
      </c>
      <c r="R79" s="3">
        <v>0</v>
      </c>
      <c r="S79" s="4">
        <v>27</v>
      </c>
      <c r="T79" s="4">
        <v>23</v>
      </c>
      <c r="U79" s="4">
        <v>59</v>
      </c>
      <c r="V79" s="4">
        <f>IF(ISERROR(VLOOKUP($S$79,'TAR FIN'!$A$1:$O$92,15,0)),0,VLOOKUP($S$79,'TAR FIN'!$A$1:$O$92,15,0))</f>
        <v>14.64</v>
      </c>
      <c r="W79" s="4">
        <f>IF(ISERROR(VLOOKUP($T$79,'TAR FIN'!$A$1:$O$92,15,0)),0,VLOOKUP($T$79,'TAR FIN'!$A$1:$O$92,15,0))</f>
        <v>87.73</v>
      </c>
      <c r="X79" s="4">
        <f>IF(ISERROR(VLOOKUP($U$79,'TAR FIN'!$A$1:$O$92,15,0)),0,VLOOKUP($U$79,'TAR FIN'!$A$1:$O$92,15,0))</f>
        <v>253.9</v>
      </c>
      <c r="Y79" s="4">
        <f ca="1">('TUSD BE'!$AM$6+'TUSD BF'!$AM$6+'TUSD CVA'!$AM$6)*1</f>
        <v>19.024476785546895</v>
      </c>
      <c r="Z79" s="4">
        <f ca="1">('TUSD BE'!$AM$7+'TUSD BF'!$AM$7+'TUSD CVA'!$AM$7)*1</f>
        <v>109.44196476324252</v>
      </c>
      <c r="AA79" s="4">
        <f>('TE BE'!$AB$6+'TE BF'!$AB$6+'TE CVA'!$AB$6)*1</f>
        <v>317.3874512882154</v>
      </c>
      <c r="AB79" s="4">
        <f>$K$79*$V$79</f>
        <v>4245.6000000000004</v>
      </c>
      <c r="AC79" s="4">
        <f>$M$79*$W$79</f>
        <v>12578.28875</v>
      </c>
      <c r="AD79" s="4">
        <f>$O$79*$X$79</f>
        <v>36402.912499999999</v>
      </c>
      <c r="AE79" s="4">
        <f ca="1">$K$79*$Y$79</f>
        <v>5517.0982678085993</v>
      </c>
      <c r="AF79" s="4">
        <f ca="1">$M$79*$Z$79</f>
        <v>15691.241697929896</v>
      </c>
      <c r="AG79" s="4">
        <f>$O$79*$AA$79</f>
        <v>45505.425828447886</v>
      </c>
    </row>
    <row r="80" spans="1:33" ht="11.25" customHeight="1" x14ac:dyDescent="0.25">
      <c r="A80" s="3" t="s">
        <v>21</v>
      </c>
      <c r="B80" s="3" t="s">
        <v>39</v>
      </c>
      <c r="C80" s="3" t="s">
        <v>40</v>
      </c>
      <c r="D80" s="3" t="s">
        <v>38</v>
      </c>
      <c r="E80" s="3" t="s">
        <v>25</v>
      </c>
      <c r="F80" s="3" t="s">
        <v>25</v>
      </c>
      <c r="G80" s="3" t="s">
        <v>25</v>
      </c>
      <c r="H80" s="3" t="s">
        <v>35</v>
      </c>
      <c r="I80" s="6">
        <v>44562</v>
      </c>
      <c r="J80" s="4">
        <v>295</v>
      </c>
      <c r="K80" s="4">
        <v>295</v>
      </c>
      <c r="L80" s="4">
        <v>135.095</v>
      </c>
      <c r="M80" s="4">
        <v>135.095</v>
      </c>
      <c r="N80" s="4">
        <v>135.095</v>
      </c>
      <c r="O80" s="4">
        <v>135.095</v>
      </c>
      <c r="P80" s="4">
        <v>0</v>
      </c>
      <c r="Q80" s="3" t="s">
        <v>26</v>
      </c>
      <c r="R80" s="3">
        <v>0</v>
      </c>
      <c r="S80" s="4">
        <v>27</v>
      </c>
      <c r="T80" s="4">
        <v>23</v>
      </c>
      <c r="U80" s="4">
        <v>59</v>
      </c>
      <c r="V80" s="4">
        <f>IF(ISERROR(VLOOKUP($S$80,'TAR FIN'!$A$1:$O$92,15,0)),0,VLOOKUP($S$80,'TAR FIN'!$A$1:$O$92,15,0))</f>
        <v>14.64</v>
      </c>
      <c r="W80" s="4">
        <f>IF(ISERROR(VLOOKUP($T$80,'TAR FIN'!$A$1:$O$92,15,0)),0,VLOOKUP($T$80,'TAR FIN'!$A$1:$O$92,15,0))</f>
        <v>87.73</v>
      </c>
      <c r="X80" s="4">
        <f>IF(ISERROR(VLOOKUP($U$80,'TAR FIN'!$A$1:$O$92,15,0)),0,VLOOKUP($U$80,'TAR FIN'!$A$1:$O$92,15,0))</f>
        <v>253.9</v>
      </c>
      <c r="Y80" s="4">
        <f ca="1">('TUSD BE'!$AM$6+'TUSD BF'!$AM$6+'TUSD CVA'!$AM$6)*1</f>
        <v>19.024476785546895</v>
      </c>
      <c r="Z80" s="4">
        <f ca="1">('TUSD BE'!$AM$7+'TUSD BF'!$AM$7+'TUSD CVA'!$AM$7)*1</f>
        <v>109.44196476324252</v>
      </c>
      <c r="AA80" s="4">
        <f>('TE BE'!$AB$6+'TE BF'!$AB$6+'TE CVA'!$AB$6)*1</f>
        <v>317.3874512882154</v>
      </c>
      <c r="AB80" s="4">
        <f>$K$80*$V$80</f>
        <v>4318.8</v>
      </c>
      <c r="AC80" s="4">
        <f>$M$80*$W$80</f>
        <v>11851.88435</v>
      </c>
      <c r="AD80" s="4">
        <f>$O$80*$X$80</f>
        <v>34300.620499999997</v>
      </c>
      <c r="AE80" s="4">
        <f ca="1">$K$80*$Y$80</f>
        <v>5612.2206517363338</v>
      </c>
      <c r="AF80" s="4">
        <f ca="1">$M$80*$Z$80</f>
        <v>14785.062229690249</v>
      </c>
      <c r="AG80" s="4">
        <f>$O$80*$AA$80</f>
        <v>42877.457731781462</v>
      </c>
    </row>
    <row r="81" spans="1:33" ht="11.25" customHeight="1" x14ac:dyDescent="0.25">
      <c r="A81" s="3" t="s">
        <v>21</v>
      </c>
      <c r="B81" s="3" t="s">
        <v>39</v>
      </c>
      <c r="C81" s="3" t="s">
        <v>40</v>
      </c>
      <c r="D81" s="3" t="s">
        <v>38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44593</v>
      </c>
      <c r="J81" s="4">
        <v>276</v>
      </c>
      <c r="K81" s="4">
        <v>276</v>
      </c>
      <c r="L81" s="4">
        <v>109.083</v>
      </c>
      <c r="M81" s="4">
        <v>109.083</v>
      </c>
      <c r="N81" s="4">
        <v>109.083</v>
      </c>
      <c r="O81" s="4">
        <v>109.083</v>
      </c>
      <c r="P81" s="4">
        <v>0</v>
      </c>
      <c r="Q81" s="3" t="s">
        <v>26</v>
      </c>
      <c r="R81" s="3">
        <v>0</v>
      </c>
      <c r="S81" s="4">
        <v>27</v>
      </c>
      <c r="T81" s="4">
        <v>23</v>
      </c>
      <c r="U81" s="4">
        <v>59</v>
      </c>
      <c r="V81" s="4">
        <f>IF(ISERROR(VLOOKUP($S$81,'TAR FIN'!$A$1:$O$92,15,0)),0,VLOOKUP($S$81,'TAR FIN'!$A$1:$O$92,15,0))</f>
        <v>14.64</v>
      </c>
      <c r="W81" s="4">
        <f>IF(ISERROR(VLOOKUP($T$81,'TAR FIN'!$A$1:$O$92,15,0)),0,VLOOKUP($T$81,'TAR FIN'!$A$1:$O$92,15,0))</f>
        <v>87.73</v>
      </c>
      <c r="X81" s="4">
        <f>IF(ISERROR(VLOOKUP($U$81,'TAR FIN'!$A$1:$O$92,15,0)),0,VLOOKUP($U$81,'TAR FIN'!$A$1:$O$92,15,0))</f>
        <v>253.9</v>
      </c>
      <c r="Y81" s="4">
        <f ca="1">('TUSD BE'!$AM$6+'TUSD BF'!$AM$6+'TUSD CVA'!$AM$6)*1</f>
        <v>19.024476785546895</v>
      </c>
      <c r="Z81" s="4">
        <f ca="1">('TUSD BE'!$AM$7+'TUSD BF'!$AM$7+'TUSD CVA'!$AM$7)*1</f>
        <v>109.44196476324252</v>
      </c>
      <c r="AA81" s="4">
        <f>('TE BE'!$AB$6+'TE BF'!$AB$6+'TE CVA'!$AB$6)*1</f>
        <v>317.3874512882154</v>
      </c>
      <c r="AB81" s="4">
        <f>$K$81*$V$81</f>
        <v>4040.6400000000003</v>
      </c>
      <c r="AC81" s="4">
        <f>$M$81*$W$81</f>
        <v>9569.8515900000002</v>
      </c>
      <c r="AD81" s="4">
        <f>$O$81*$X$81</f>
        <v>27696.173699999999</v>
      </c>
      <c r="AE81" s="4">
        <f ca="1">$K$81*$Y$81</f>
        <v>5250.7555928109432</v>
      </c>
      <c r="AF81" s="4">
        <f ca="1">$M$81*$Z$81</f>
        <v>11938.257842268784</v>
      </c>
      <c r="AG81" s="4">
        <f>$O$81*$AA$81</f>
        <v>34621.5753488724</v>
      </c>
    </row>
    <row r="82" spans="1:33" ht="11.25" customHeight="1" x14ac:dyDescent="0.25">
      <c r="A82" s="3" t="s">
        <v>21</v>
      </c>
      <c r="B82" s="3" t="s">
        <v>39</v>
      </c>
      <c r="C82" s="3" t="s">
        <v>40</v>
      </c>
      <c r="D82" s="3" t="s">
        <v>38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44621</v>
      </c>
      <c r="J82" s="4">
        <v>247</v>
      </c>
      <c r="K82" s="4">
        <v>247</v>
      </c>
      <c r="L82" s="4">
        <v>115.306</v>
      </c>
      <c r="M82" s="4">
        <v>115.306</v>
      </c>
      <c r="N82" s="4">
        <v>115.306</v>
      </c>
      <c r="O82" s="4">
        <v>115.306</v>
      </c>
      <c r="P82" s="4">
        <v>0</v>
      </c>
      <c r="Q82" s="3" t="s">
        <v>26</v>
      </c>
      <c r="R82" s="3">
        <v>0</v>
      </c>
      <c r="S82" s="4">
        <v>27</v>
      </c>
      <c r="T82" s="4">
        <v>23</v>
      </c>
      <c r="U82" s="4">
        <v>59</v>
      </c>
      <c r="V82" s="4">
        <f>IF(ISERROR(VLOOKUP($S$82,'TAR FIN'!$A$1:$O$92,15,0)),0,VLOOKUP($S$82,'TAR FIN'!$A$1:$O$92,15,0))</f>
        <v>14.64</v>
      </c>
      <c r="W82" s="4">
        <f>IF(ISERROR(VLOOKUP($T$82,'TAR FIN'!$A$1:$O$92,15,0)),0,VLOOKUP($T$82,'TAR FIN'!$A$1:$O$92,15,0))</f>
        <v>87.73</v>
      </c>
      <c r="X82" s="4">
        <f>IF(ISERROR(VLOOKUP($U$82,'TAR FIN'!$A$1:$O$92,15,0)),0,VLOOKUP($U$82,'TAR FIN'!$A$1:$O$92,15,0))</f>
        <v>253.9</v>
      </c>
      <c r="Y82" s="4">
        <f ca="1">('TUSD BE'!$AM$6+'TUSD BF'!$AM$6+'TUSD CVA'!$AM$6)*1</f>
        <v>19.024476785546895</v>
      </c>
      <c r="Z82" s="4">
        <f ca="1">('TUSD BE'!$AM$7+'TUSD BF'!$AM$7+'TUSD CVA'!$AM$7)*1</f>
        <v>109.44196476324252</v>
      </c>
      <c r="AA82" s="4">
        <f>('TE BE'!$AB$6+'TE BF'!$AB$6+'TE CVA'!$AB$6)*1</f>
        <v>317.3874512882154</v>
      </c>
      <c r="AB82" s="4">
        <f>$K$82*$V$82</f>
        <v>3616.08</v>
      </c>
      <c r="AC82" s="4">
        <f>$M$82*$W$82</f>
        <v>10115.79538</v>
      </c>
      <c r="AD82" s="4">
        <f>$O$82*$X$82</f>
        <v>29276.1934</v>
      </c>
      <c r="AE82" s="4">
        <f ca="1">$K$82*$Y$82</f>
        <v>4699.0457660300826</v>
      </c>
      <c r="AF82" s="4">
        <f ca="1">$M$82*$Z$82</f>
        <v>12619.315188990442</v>
      </c>
      <c r="AG82" s="4">
        <f>$O$82*$AA$82</f>
        <v>36596.677458238963</v>
      </c>
    </row>
    <row r="83" spans="1:33" ht="11.25" customHeight="1" x14ac:dyDescent="0.25">
      <c r="A83" s="3" t="s">
        <v>21</v>
      </c>
      <c r="B83" s="3" t="s">
        <v>39</v>
      </c>
      <c r="C83" s="3" t="s">
        <v>40</v>
      </c>
      <c r="D83" s="3" t="s">
        <v>38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44652</v>
      </c>
      <c r="J83" s="4">
        <v>247</v>
      </c>
      <c r="K83" s="4">
        <v>247</v>
      </c>
      <c r="L83" s="4">
        <v>115.306</v>
      </c>
      <c r="M83" s="4">
        <v>115.306</v>
      </c>
      <c r="N83" s="4">
        <v>115.306</v>
      </c>
      <c r="O83" s="4">
        <v>115.306</v>
      </c>
      <c r="P83" s="4">
        <v>0</v>
      </c>
      <c r="Q83" s="3" t="s">
        <v>26</v>
      </c>
      <c r="R83" s="3">
        <v>0</v>
      </c>
      <c r="S83" s="4">
        <v>27</v>
      </c>
      <c r="T83" s="4">
        <v>23</v>
      </c>
      <c r="U83" s="4">
        <v>59</v>
      </c>
      <c r="V83" s="4">
        <f>IF(ISERROR(VLOOKUP($S$83,'TAR FIN'!$A$1:$O$92,15,0)),0,VLOOKUP($S$83,'TAR FIN'!$A$1:$O$92,15,0))</f>
        <v>14.64</v>
      </c>
      <c r="W83" s="4">
        <f>IF(ISERROR(VLOOKUP($T$83,'TAR FIN'!$A$1:$O$92,15,0)),0,VLOOKUP($T$83,'TAR FIN'!$A$1:$O$92,15,0))</f>
        <v>87.73</v>
      </c>
      <c r="X83" s="4">
        <f>IF(ISERROR(VLOOKUP($U$83,'TAR FIN'!$A$1:$O$92,15,0)),0,VLOOKUP($U$83,'TAR FIN'!$A$1:$O$92,15,0))</f>
        <v>253.9</v>
      </c>
      <c r="Y83" s="4">
        <f ca="1">('TUSD BE'!$AM$6+'TUSD BF'!$AM$6+'TUSD CVA'!$AM$6)*1</f>
        <v>19.024476785546895</v>
      </c>
      <c r="Z83" s="4">
        <f ca="1">('TUSD BE'!$AM$7+'TUSD BF'!$AM$7+'TUSD CVA'!$AM$7)*1</f>
        <v>109.44196476324252</v>
      </c>
      <c r="AA83" s="4">
        <f>('TE BE'!$AB$6+'TE BF'!$AB$6+'TE CVA'!$AB$6)*1</f>
        <v>317.3874512882154</v>
      </c>
      <c r="AB83" s="4">
        <f>$K$83*$V$83</f>
        <v>3616.08</v>
      </c>
      <c r="AC83" s="4">
        <f>$M$83*$W$83</f>
        <v>10115.79538</v>
      </c>
      <c r="AD83" s="4">
        <f>$O$83*$X$83</f>
        <v>29276.1934</v>
      </c>
      <c r="AE83" s="4">
        <f ca="1">$K$83*$Y$83</f>
        <v>4699.0457660300826</v>
      </c>
      <c r="AF83" s="4">
        <f ca="1">$M$83*$Z$83</f>
        <v>12619.315188990442</v>
      </c>
      <c r="AG83" s="4">
        <f>$O$83*$AA$83</f>
        <v>36596.677458238963</v>
      </c>
    </row>
    <row r="84" spans="1:33" ht="11.25" customHeight="1" x14ac:dyDescent="0.25">
      <c r="A84" s="3" t="s">
        <v>21</v>
      </c>
      <c r="B84" s="3" t="s">
        <v>39</v>
      </c>
      <c r="C84" s="3" t="s">
        <v>40</v>
      </c>
      <c r="D84" s="3" t="s">
        <v>38</v>
      </c>
      <c r="E84" s="3" t="s">
        <v>25</v>
      </c>
      <c r="F84" s="3" t="s">
        <v>25</v>
      </c>
      <c r="G84" s="3" t="s">
        <v>25</v>
      </c>
      <c r="H84" s="3" t="s">
        <v>35</v>
      </c>
      <c r="I84" s="6">
        <v>44682</v>
      </c>
      <c r="J84" s="4">
        <v>229</v>
      </c>
      <c r="K84" s="4">
        <v>229</v>
      </c>
      <c r="L84" s="4">
        <v>111.71299999999999</v>
      </c>
      <c r="M84" s="4">
        <v>111.71299999999999</v>
      </c>
      <c r="N84" s="4">
        <v>111.71299999999999</v>
      </c>
      <c r="O84" s="4">
        <v>111.71299999999999</v>
      </c>
      <c r="P84" s="4">
        <v>0</v>
      </c>
      <c r="Q84" s="3" t="s">
        <v>26</v>
      </c>
      <c r="R84" s="3">
        <v>0</v>
      </c>
      <c r="S84" s="4">
        <v>27</v>
      </c>
      <c r="T84" s="4">
        <v>23</v>
      </c>
      <c r="U84" s="4">
        <v>59</v>
      </c>
      <c r="V84" s="4">
        <f>IF(ISERROR(VLOOKUP($S$84,'TAR FIN'!$A$1:$O$92,15,0)),0,VLOOKUP($S$84,'TAR FIN'!$A$1:$O$92,15,0))</f>
        <v>14.64</v>
      </c>
      <c r="W84" s="4">
        <f>IF(ISERROR(VLOOKUP($T$84,'TAR FIN'!$A$1:$O$92,15,0)),0,VLOOKUP($T$84,'TAR FIN'!$A$1:$O$92,15,0))</f>
        <v>87.73</v>
      </c>
      <c r="X84" s="4">
        <f>IF(ISERROR(VLOOKUP($U$84,'TAR FIN'!$A$1:$O$92,15,0)),0,VLOOKUP($U$84,'TAR FIN'!$A$1:$O$92,15,0))</f>
        <v>253.9</v>
      </c>
      <c r="Y84" s="4">
        <f ca="1">('TUSD BE'!$AM$6+'TUSD BF'!$AM$6+'TUSD CVA'!$AM$6)*1</f>
        <v>19.024476785546895</v>
      </c>
      <c r="Z84" s="4">
        <f ca="1">('TUSD BE'!$AM$7+'TUSD BF'!$AM$7+'TUSD CVA'!$AM$7)*1</f>
        <v>109.44196476324252</v>
      </c>
      <c r="AA84" s="4">
        <f>('TE BE'!$AB$6+'TE BF'!$AB$6+'TE CVA'!$AB$6)*1</f>
        <v>317.3874512882154</v>
      </c>
      <c r="AB84" s="4">
        <f>$K$84*$V$84</f>
        <v>3352.56</v>
      </c>
      <c r="AC84" s="4">
        <f>$M$84*$W$84</f>
        <v>9800.5814900000005</v>
      </c>
      <c r="AD84" s="4">
        <f>$O$84*$X$84</f>
        <v>28363.930700000001</v>
      </c>
      <c r="AE84" s="4">
        <f ca="1">$K$84*$Y$84</f>
        <v>4356.6051838902385</v>
      </c>
      <c r="AF84" s="4">
        <f ca="1">$M$84*$Z$84</f>
        <v>12226.090209596112</v>
      </c>
      <c r="AG84" s="4">
        <f>$O$84*$AA$84</f>
        <v>35456.304345760407</v>
      </c>
    </row>
    <row r="85" spans="1:33" ht="11.25" customHeight="1" x14ac:dyDescent="0.25">
      <c r="A85" s="3" t="s">
        <v>21</v>
      </c>
      <c r="B85" s="3" t="s">
        <v>39</v>
      </c>
      <c r="C85" s="3" t="s">
        <v>40</v>
      </c>
      <c r="D85" s="3" t="s">
        <v>38</v>
      </c>
      <c r="E85" s="3" t="s">
        <v>25</v>
      </c>
      <c r="F85" s="3" t="s">
        <v>25</v>
      </c>
      <c r="G85" s="3" t="s">
        <v>25</v>
      </c>
      <c r="H85" s="3" t="s">
        <v>35</v>
      </c>
      <c r="I85" s="6">
        <v>44713</v>
      </c>
      <c r="J85" s="4">
        <v>238</v>
      </c>
      <c r="K85" s="4">
        <v>238</v>
      </c>
      <c r="L85" s="4">
        <v>110.291</v>
      </c>
      <c r="M85" s="4">
        <v>110.291</v>
      </c>
      <c r="N85" s="4">
        <v>110.291</v>
      </c>
      <c r="O85" s="4">
        <v>110.291</v>
      </c>
      <c r="P85" s="4">
        <v>0</v>
      </c>
      <c r="Q85" s="3" t="s">
        <v>26</v>
      </c>
      <c r="R85" s="3">
        <v>0</v>
      </c>
      <c r="S85" s="4">
        <v>27</v>
      </c>
      <c r="T85" s="4">
        <v>23</v>
      </c>
      <c r="U85" s="4">
        <v>59</v>
      </c>
      <c r="V85" s="4">
        <f>IF(ISERROR(VLOOKUP($S$85,'TAR FIN'!$A$1:$O$92,15,0)),0,VLOOKUP($S$85,'TAR FIN'!$A$1:$O$92,15,0))</f>
        <v>14.64</v>
      </c>
      <c r="W85" s="4">
        <f>IF(ISERROR(VLOOKUP($T$85,'TAR FIN'!$A$1:$O$92,15,0)),0,VLOOKUP($T$85,'TAR FIN'!$A$1:$O$92,15,0))</f>
        <v>87.73</v>
      </c>
      <c r="X85" s="4">
        <f>IF(ISERROR(VLOOKUP($U$85,'TAR FIN'!$A$1:$O$92,15,0)),0,VLOOKUP($U$85,'TAR FIN'!$A$1:$O$92,15,0))</f>
        <v>253.9</v>
      </c>
      <c r="Y85" s="4">
        <f ca="1">('TUSD BE'!$AM$6+'TUSD BF'!$AM$6+'TUSD CVA'!$AM$6)*1</f>
        <v>19.024476785546895</v>
      </c>
      <c r="Z85" s="4">
        <f ca="1">('TUSD BE'!$AM$7+'TUSD BF'!$AM$7+'TUSD CVA'!$AM$7)*1</f>
        <v>109.44196476324252</v>
      </c>
      <c r="AA85" s="4">
        <f>('TE BE'!$AB$6+'TE BF'!$AB$6+'TE CVA'!$AB$6)*1</f>
        <v>317.3874512882154</v>
      </c>
      <c r="AB85" s="4">
        <f>$K$85*$V$85</f>
        <v>3484.32</v>
      </c>
      <c r="AC85" s="4">
        <f>$M$85*$W$85</f>
        <v>9675.8294299999998</v>
      </c>
      <c r="AD85" s="4">
        <f>$O$85*$X$85</f>
        <v>28002.884900000001</v>
      </c>
      <c r="AE85" s="4">
        <f ca="1">$K$85*$Y$85</f>
        <v>4527.825474960161</v>
      </c>
      <c r="AF85" s="4">
        <f ca="1">$M$85*$Z$85</f>
        <v>12070.46373570278</v>
      </c>
      <c r="AG85" s="4">
        <f>$O$85*$AA$85</f>
        <v>35004.979390028566</v>
      </c>
    </row>
    <row r="86" spans="1:33" ht="11.25" customHeight="1" x14ac:dyDescent="0.25">
      <c r="A86" s="3" t="s">
        <v>21</v>
      </c>
      <c r="B86" s="3" t="s">
        <v>39</v>
      </c>
      <c r="C86" s="3" t="s">
        <v>40</v>
      </c>
      <c r="D86" s="3" t="s">
        <v>38</v>
      </c>
      <c r="E86" s="3" t="s">
        <v>25</v>
      </c>
      <c r="F86" s="3" t="s">
        <v>25</v>
      </c>
      <c r="G86" s="3" t="s">
        <v>25</v>
      </c>
      <c r="H86" s="3" t="s">
        <v>35</v>
      </c>
      <c r="I86" s="6">
        <v>44743</v>
      </c>
      <c r="J86" s="4">
        <v>226</v>
      </c>
      <c r="K86" s="4">
        <v>226</v>
      </c>
      <c r="L86" s="4">
        <v>109.681</v>
      </c>
      <c r="M86" s="4">
        <v>109.681</v>
      </c>
      <c r="N86" s="4">
        <v>109.681</v>
      </c>
      <c r="O86" s="4">
        <v>109.681</v>
      </c>
      <c r="P86" s="4">
        <v>0</v>
      </c>
      <c r="Q86" s="3" t="s">
        <v>26</v>
      </c>
      <c r="R86" s="3">
        <v>0</v>
      </c>
      <c r="S86" s="4">
        <v>27</v>
      </c>
      <c r="T86" s="4">
        <v>23</v>
      </c>
      <c r="U86" s="4">
        <v>59</v>
      </c>
      <c r="V86" s="4">
        <f>IF(ISERROR(VLOOKUP($S$86,'TAR FIN'!$A$1:$O$92,15,0)),0,VLOOKUP($S$86,'TAR FIN'!$A$1:$O$92,15,0))</f>
        <v>14.64</v>
      </c>
      <c r="W86" s="4">
        <f>IF(ISERROR(VLOOKUP($T$86,'TAR FIN'!$A$1:$O$92,15,0)),0,VLOOKUP($T$86,'TAR FIN'!$A$1:$O$92,15,0))</f>
        <v>87.73</v>
      </c>
      <c r="X86" s="4">
        <f>IF(ISERROR(VLOOKUP($U$86,'TAR FIN'!$A$1:$O$92,15,0)),0,VLOOKUP($U$86,'TAR FIN'!$A$1:$O$92,15,0))</f>
        <v>253.9</v>
      </c>
      <c r="Y86" s="4">
        <f ca="1">('TUSD BE'!$AM$6+'TUSD BF'!$AM$6+'TUSD CVA'!$AM$6)*1</f>
        <v>19.024476785546895</v>
      </c>
      <c r="Z86" s="4">
        <f ca="1">('TUSD BE'!$AM$7+'TUSD BF'!$AM$7+'TUSD CVA'!$AM$7)*1</f>
        <v>109.44196476324252</v>
      </c>
      <c r="AA86" s="4">
        <f>('TE BE'!$AB$6+'TE BF'!$AB$6+'TE CVA'!$AB$6)*1</f>
        <v>317.3874512882154</v>
      </c>
      <c r="AB86" s="4">
        <f>$K$86*$V$86</f>
        <v>3308.6400000000003</v>
      </c>
      <c r="AC86" s="4">
        <f>$M$86*$W$86</f>
        <v>9622.3141300000007</v>
      </c>
      <c r="AD86" s="4">
        <f>$O$86*$X$86</f>
        <v>27848.0059</v>
      </c>
      <c r="AE86" s="4">
        <f ca="1">$K$86*$Y$86</f>
        <v>4299.531753533598</v>
      </c>
      <c r="AF86" s="4">
        <f ca="1">$M$86*$Z$86</f>
        <v>12003.704137197203</v>
      </c>
      <c r="AG86" s="4">
        <f>$O$86*$AA$86</f>
        <v>34811.373044742752</v>
      </c>
    </row>
    <row r="87" spans="1:33" ht="11.25" customHeight="1" x14ac:dyDescent="0.25">
      <c r="A87" s="3" t="s">
        <v>21</v>
      </c>
      <c r="B87" s="3" t="s">
        <v>39</v>
      </c>
      <c r="C87" s="3" t="s">
        <v>40</v>
      </c>
      <c r="D87" s="3" t="s">
        <v>38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44774</v>
      </c>
      <c r="J87" s="4">
        <v>218</v>
      </c>
      <c r="K87" s="4">
        <v>218</v>
      </c>
      <c r="L87" s="4">
        <v>99.186000000000007</v>
      </c>
      <c r="M87" s="4">
        <v>99.186000000000007</v>
      </c>
      <c r="N87" s="4">
        <v>99.186000000000007</v>
      </c>
      <c r="O87" s="4">
        <v>99.186000000000007</v>
      </c>
      <c r="P87" s="4">
        <v>0</v>
      </c>
      <c r="Q87" s="3" t="s">
        <v>26</v>
      </c>
      <c r="R87" s="3">
        <v>0</v>
      </c>
      <c r="S87" s="4">
        <v>27</v>
      </c>
      <c r="T87" s="4">
        <v>23</v>
      </c>
      <c r="U87" s="4">
        <v>59</v>
      </c>
      <c r="V87" s="4">
        <f>IF(ISERROR(VLOOKUP($S$87,'TAR FIN'!$A$1:$O$92,15,0)),0,VLOOKUP($S$87,'TAR FIN'!$A$1:$O$92,15,0))</f>
        <v>14.64</v>
      </c>
      <c r="W87" s="4">
        <f>IF(ISERROR(VLOOKUP($T$87,'TAR FIN'!$A$1:$O$92,15,0)),0,VLOOKUP($T$87,'TAR FIN'!$A$1:$O$92,15,0))</f>
        <v>87.73</v>
      </c>
      <c r="X87" s="4">
        <f>IF(ISERROR(VLOOKUP($U$87,'TAR FIN'!$A$1:$O$92,15,0)),0,VLOOKUP($U$87,'TAR FIN'!$A$1:$O$92,15,0))</f>
        <v>253.9</v>
      </c>
      <c r="Y87" s="4">
        <f ca="1">('TUSD BE'!$AM$6+'TUSD BF'!$AM$6+'TUSD CVA'!$AM$6)*1</f>
        <v>19.024476785546895</v>
      </c>
      <c r="Z87" s="4">
        <f ca="1">('TUSD BE'!$AM$7+'TUSD BF'!$AM$7+'TUSD CVA'!$AM$7)*1</f>
        <v>109.44196476324252</v>
      </c>
      <c r="AA87" s="4">
        <f>('TE BE'!$AB$6+'TE BF'!$AB$6+'TE CVA'!$AB$6)*1</f>
        <v>317.3874512882154</v>
      </c>
      <c r="AB87" s="4">
        <f>$K$87*$V$87</f>
        <v>3191.52</v>
      </c>
      <c r="AC87" s="4">
        <f>$M$87*$W$87</f>
        <v>8701.5877800000017</v>
      </c>
      <c r="AD87" s="4">
        <f>$O$87*$X$87</f>
        <v>25183.325400000002</v>
      </c>
      <c r="AE87" s="4">
        <f ca="1">$K$87*$Y$87</f>
        <v>4147.335939249223</v>
      </c>
      <c r="AF87" s="4">
        <f ca="1">$M$87*$Z$87</f>
        <v>10855.110717006974</v>
      </c>
      <c r="AG87" s="4">
        <f>$O$87*$AA$87</f>
        <v>31480.391743472934</v>
      </c>
    </row>
    <row r="88" spans="1:33" ht="11.25" customHeight="1" x14ac:dyDescent="0.25">
      <c r="A88" s="3" t="s">
        <v>21</v>
      </c>
      <c r="B88" s="3" t="s">
        <v>39</v>
      </c>
      <c r="C88" s="3" t="s">
        <v>40</v>
      </c>
      <c r="D88" s="3" t="s">
        <v>38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44805</v>
      </c>
      <c r="J88" s="4">
        <v>223</v>
      </c>
      <c r="K88" s="4">
        <v>223</v>
      </c>
      <c r="L88" s="4">
        <v>90.992999999999995</v>
      </c>
      <c r="M88" s="4">
        <v>90.992999999999995</v>
      </c>
      <c r="N88" s="4">
        <v>90.992999999999995</v>
      </c>
      <c r="O88" s="4">
        <v>90.992999999999995</v>
      </c>
      <c r="P88" s="4">
        <v>0</v>
      </c>
      <c r="Q88" s="3" t="s">
        <v>26</v>
      </c>
      <c r="R88" s="3">
        <v>0</v>
      </c>
      <c r="S88" s="4">
        <v>27</v>
      </c>
      <c r="T88" s="4">
        <v>23</v>
      </c>
      <c r="U88" s="4">
        <v>59</v>
      </c>
      <c r="V88" s="4">
        <f>IF(ISERROR(VLOOKUP($S$88,'TAR FIN'!$A$1:$O$92,15,0)),0,VLOOKUP($S$88,'TAR FIN'!$A$1:$O$92,15,0))</f>
        <v>14.64</v>
      </c>
      <c r="W88" s="4">
        <f>IF(ISERROR(VLOOKUP($T$88,'TAR FIN'!$A$1:$O$92,15,0)),0,VLOOKUP($T$88,'TAR FIN'!$A$1:$O$92,15,0))</f>
        <v>87.73</v>
      </c>
      <c r="X88" s="4">
        <f>IF(ISERROR(VLOOKUP($U$88,'TAR FIN'!$A$1:$O$92,15,0)),0,VLOOKUP($U$88,'TAR FIN'!$A$1:$O$92,15,0))</f>
        <v>253.9</v>
      </c>
      <c r="Y88" s="4">
        <f ca="1">('TUSD BE'!$AM$6+'TUSD BF'!$AM$6+'TUSD CVA'!$AM$6)*1</f>
        <v>19.024476785546895</v>
      </c>
      <c r="Z88" s="4">
        <f ca="1">('TUSD BE'!$AM$7+'TUSD BF'!$AM$7+'TUSD CVA'!$AM$7)*1</f>
        <v>109.44196476324252</v>
      </c>
      <c r="AA88" s="4">
        <f>('TE BE'!$AB$6+'TE BF'!$AB$6+'TE CVA'!$AB$6)*1</f>
        <v>317.3874512882154</v>
      </c>
      <c r="AB88" s="4">
        <f>$K$88*$V$88</f>
        <v>3264.7200000000003</v>
      </c>
      <c r="AC88" s="4">
        <f>$M$88*$W$88</f>
        <v>7982.8158899999999</v>
      </c>
      <c r="AD88" s="4">
        <f>$O$88*$X$88</f>
        <v>23103.1227</v>
      </c>
      <c r="AE88" s="4">
        <f ca="1">$K$88*$Y$88</f>
        <v>4242.4583231769575</v>
      </c>
      <c r="AF88" s="4">
        <f ca="1">$M$88*$Z$88</f>
        <v>9958.4526997017256</v>
      </c>
      <c r="AG88" s="4">
        <f>$O$88*$AA$88</f>
        <v>28880.036355068583</v>
      </c>
    </row>
    <row r="89" spans="1:33" ht="11.25" customHeight="1" x14ac:dyDescent="0.25">
      <c r="A89" s="3" t="s">
        <v>55</v>
      </c>
      <c r="B89" s="3" t="s">
        <v>39</v>
      </c>
      <c r="C89" s="3" t="s">
        <v>40</v>
      </c>
      <c r="D89" s="3" t="s">
        <v>38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44835</v>
      </c>
      <c r="J89" s="4">
        <v>223</v>
      </c>
      <c r="K89" s="4">
        <v>223</v>
      </c>
      <c r="L89" s="4">
        <v>90.992999999999995</v>
      </c>
      <c r="M89" s="4">
        <v>90.992999999999995</v>
      </c>
      <c r="N89" s="4">
        <v>90.992999999999995</v>
      </c>
      <c r="O89" s="4">
        <v>90.992999999999995</v>
      </c>
      <c r="P89" s="4">
        <v>0</v>
      </c>
      <c r="Q89" s="3" t="s">
        <v>26</v>
      </c>
      <c r="R89" s="3">
        <v>0</v>
      </c>
      <c r="S89" s="4">
        <v>27</v>
      </c>
      <c r="T89" s="4">
        <v>23</v>
      </c>
      <c r="U89" s="4">
        <v>59</v>
      </c>
      <c r="V89" s="4">
        <f>IF(ISERROR(VLOOKUP($S$89,'TAR FIN'!$A$1:$O$92,15,0)),0,VLOOKUP($S$89,'TAR FIN'!$A$1:$O$92,15,0))</f>
        <v>14.64</v>
      </c>
      <c r="W89" s="4">
        <f>IF(ISERROR(VLOOKUP($T$89,'TAR FIN'!$A$1:$O$92,15,0)),0,VLOOKUP($T$89,'TAR FIN'!$A$1:$O$92,15,0))</f>
        <v>87.73</v>
      </c>
      <c r="X89" s="4">
        <f>IF(ISERROR(VLOOKUP($U$89,'TAR FIN'!$A$1:$O$92,15,0)),0,VLOOKUP($U$89,'TAR FIN'!$A$1:$O$92,15,0))</f>
        <v>253.9</v>
      </c>
      <c r="Y89" s="4">
        <f ca="1">('TUSD BE'!$AM$6+'TUSD BF'!$AM$6+'TUSD CVA'!$AM$6)*1</f>
        <v>19.024476785546895</v>
      </c>
      <c r="Z89" s="4">
        <f ca="1">('TUSD BE'!$AM$7+'TUSD BF'!$AM$7+'TUSD CVA'!$AM$7)*1</f>
        <v>109.44196476324252</v>
      </c>
      <c r="AA89" s="4">
        <f>('TE BE'!$AB$6+'TE BF'!$AB$6+'TE CVA'!$AB$6)*1</f>
        <v>317.3874512882154</v>
      </c>
      <c r="AB89" s="4">
        <f>$K$89*$V$89</f>
        <v>3264.7200000000003</v>
      </c>
      <c r="AC89" s="4">
        <f>$M$89*$W$89</f>
        <v>7982.8158899999999</v>
      </c>
      <c r="AD89" s="4">
        <f>$O$89*$X$89</f>
        <v>23103.1227</v>
      </c>
      <c r="AE89" s="4">
        <f ca="1">$K$89*$Y$89</f>
        <v>4242.4583231769575</v>
      </c>
      <c r="AF89" s="4">
        <f ca="1">$M$89*$Z$89</f>
        <v>9958.4526997017256</v>
      </c>
      <c r="AG89" s="4">
        <f>$O$89*$AA$89</f>
        <v>28880.036355068583</v>
      </c>
    </row>
    <row r="90" spans="1:33" ht="11.25" customHeight="1" x14ac:dyDescent="0.25">
      <c r="A90" s="3" t="s">
        <v>21</v>
      </c>
      <c r="B90" s="3" t="s">
        <v>39</v>
      </c>
      <c r="C90" s="3" t="s">
        <v>40</v>
      </c>
      <c r="D90" s="3" t="s">
        <v>38</v>
      </c>
      <c r="E90" s="3" t="s">
        <v>25</v>
      </c>
      <c r="F90" s="3" t="s">
        <v>25</v>
      </c>
      <c r="G90" s="3" t="s">
        <v>25</v>
      </c>
      <c r="H90" s="3" t="s">
        <v>34</v>
      </c>
      <c r="I90" s="6">
        <v>44501</v>
      </c>
      <c r="J90" s="4">
        <v>251</v>
      </c>
      <c r="K90" s="4">
        <v>251</v>
      </c>
      <c r="L90" s="4">
        <v>12.065</v>
      </c>
      <c r="M90" s="4">
        <v>12.065</v>
      </c>
      <c r="N90" s="4">
        <v>12.065</v>
      </c>
      <c r="O90" s="4">
        <v>12.065</v>
      </c>
      <c r="P90" s="4">
        <v>0</v>
      </c>
      <c r="Q90" s="3" t="s">
        <v>26</v>
      </c>
      <c r="R90" s="3">
        <v>0</v>
      </c>
      <c r="S90" s="4">
        <v>34</v>
      </c>
      <c r="T90" s="4">
        <v>23</v>
      </c>
      <c r="U90" s="4">
        <v>71</v>
      </c>
      <c r="V90" s="4">
        <f>IF(ISERROR(VLOOKUP($S$90,'TAR FIN'!$A$1:$O$92,15,0)),0,VLOOKUP($S$90,'TAR FIN'!$A$1:$O$92,15,0))</f>
        <v>44</v>
      </c>
      <c r="W90" s="4">
        <f>IF(ISERROR(VLOOKUP($T$90,'TAR FIN'!$A$1:$O$92,15,0)),0,VLOOKUP($T$90,'TAR FIN'!$A$1:$O$92,15,0))</f>
        <v>87.73</v>
      </c>
      <c r="X90" s="4">
        <f>IF(ISERROR(VLOOKUP($U$90,'TAR FIN'!$A$1:$O$92,15,0)),0,VLOOKUP($U$90,'TAR FIN'!$A$1:$O$92,15,0))</f>
        <v>433.77</v>
      </c>
      <c r="Y90" s="4">
        <f ca="1">('TUSD BE'!$AM$5+'TUSD BF'!$AM$5+'TUSD CVA'!$AM$5)*1</f>
        <v>57.091253741473494</v>
      </c>
      <c r="Z90" s="4">
        <f ca="1">('TUSD BE'!$AM$7+'TUSD BF'!$AM$7+'TUSD CVA'!$AM$7)*1</f>
        <v>109.44196476324252</v>
      </c>
      <c r="AA90" s="4">
        <f>('TE BE'!$AB$5+'TE BF'!$AB$5+'TE CVA'!$AB$5)*1</f>
        <v>542.84414704984056</v>
      </c>
      <c r="AB90" s="4">
        <f>$K$90*$V$90</f>
        <v>11044</v>
      </c>
      <c r="AC90" s="4">
        <f>$M$90*$W$90</f>
        <v>1058.46245</v>
      </c>
      <c r="AD90" s="4">
        <f>$O$90*$X$90</f>
        <v>5233.4350499999991</v>
      </c>
      <c r="AE90" s="4">
        <f ca="1">$K$90*$Y$90</f>
        <v>14329.904689109848</v>
      </c>
      <c r="AF90" s="4">
        <f ca="1">$M$90*$Z$90</f>
        <v>1320.4173048685209</v>
      </c>
      <c r="AG90" s="4">
        <f>$O$90*$AA$90</f>
        <v>6549.4146341563264</v>
      </c>
    </row>
    <row r="91" spans="1:33" ht="11.25" customHeight="1" x14ac:dyDescent="0.25">
      <c r="A91" s="3" t="s">
        <v>21</v>
      </c>
      <c r="B91" s="3" t="s">
        <v>39</v>
      </c>
      <c r="C91" s="3" t="s">
        <v>40</v>
      </c>
      <c r="D91" s="3" t="s">
        <v>38</v>
      </c>
      <c r="E91" s="3" t="s">
        <v>25</v>
      </c>
      <c r="F91" s="3" t="s">
        <v>25</v>
      </c>
      <c r="G91" s="3" t="s">
        <v>25</v>
      </c>
      <c r="H91" s="3" t="s">
        <v>34</v>
      </c>
      <c r="I91" s="6">
        <v>44531</v>
      </c>
      <c r="J91" s="4">
        <v>278</v>
      </c>
      <c r="K91" s="4">
        <v>278</v>
      </c>
      <c r="L91" s="4">
        <v>14.382</v>
      </c>
      <c r="M91" s="4">
        <v>14.382</v>
      </c>
      <c r="N91" s="4">
        <v>14.382</v>
      </c>
      <c r="O91" s="4">
        <v>14.382</v>
      </c>
      <c r="P91" s="4">
        <v>0</v>
      </c>
      <c r="Q91" s="3" t="s">
        <v>26</v>
      </c>
      <c r="R91" s="3">
        <v>0</v>
      </c>
      <c r="S91" s="4">
        <v>34</v>
      </c>
      <c r="T91" s="4">
        <v>23</v>
      </c>
      <c r="U91" s="4">
        <v>71</v>
      </c>
      <c r="V91" s="4">
        <f>IF(ISERROR(VLOOKUP($S$91,'TAR FIN'!$A$1:$O$92,15,0)),0,VLOOKUP($S$91,'TAR FIN'!$A$1:$O$92,15,0))</f>
        <v>44</v>
      </c>
      <c r="W91" s="4">
        <f>IF(ISERROR(VLOOKUP($T$91,'TAR FIN'!$A$1:$O$92,15,0)),0,VLOOKUP($T$91,'TAR FIN'!$A$1:$O$92,15,0))</f>
        <v>87.73</v>
      </c>
      <c r="X91" s="4">
        <f>IF(ISERROR(VLOOKUP($U$91,'TAR FIN'!$A$1:$O$92,15,0)),0,VLOOKUP($U$91,'TAR FIN'!$A$1:$O$92,15,0))</f>
        <v>433.77</v>
      </c>
      <c r="Y91" s="4">
        <f ca="1">('TUSD BE'!$AM$5+'TUSD BF'!$AM$5+'TUSD CVA'!$AM$5)*1</f>
        <v>57.091253741473494</v>
      </c>
      <c r="Z91" s="4">
        <f ca="1">('TUSD BE'!$AM$7+'TUSD BF'!$AM$7+'TUSD CVA'!$AM$7)*1</f>
        <v>109.44196476324252</v>
      </c>
      <c r="AA91" s="4">
        <f>('TE BE'!$AB$5+'TE BF'!$AB$5+'TE CVA'!$AB$5)*1</f>
        <v>542.84414704984056</v>
      </c>
      <c r="AB91" s="4">
        <f>$K$91*$V$91</f>
        <v>12232</v>
      </c>
      <c r="AC91" s="4">
        <f>$M$91*$W$91</f>
        <v>1261.7328600000001</v>
      </c>
      <c r="AD91" s="4">
        <f>$O$91*$X$91</f>
        <v>6238.4801399999997</v>
      </c>
      <c r="AE91" s="4">
        <f ca="1">$K$91*$Y$91</f>
        <v>15871.368540129632</v>
      </c>
      <c r="AF91" s="4">
        <f ca="1">$M$91*$Z$91</f>
        <v>1573.9943372249541</v>
      </c>
      <c r="AG91" s="4">
        <f>$O$91*$AA$91</f>
        <v>7807.1845228708071</v>
      </c>
    </row>
    <row r="92" spans="1:33" ht="11.25" customHeight="1" x14ac:dyDescent="0.25">
      <c r="A92" s="3" t="s">
        <v>21</v>
      </c>
      <c r="B92" s="3" t="s">
        <v>39</v>
      </c>
      <c r="C92" s="3" t="s">
        <v>40</v>
      </c>
      <c r="D92" s="3" t="s">
        <v>38</v>
      </c>
      <c r="E92" s="3" t="s">
        <v>25</v>
      </c>
      <c r="F92" s="3" t="s">
        <v>25</v>
      </c>
      <c r="G92" s="3" t="s">
        <v>25</v>
      </c>
      <c r="H92" s="3" t="s">
        <v>34</v>
      </c>
      <c r="I92" s="6">
        <v>44562</v>
      </c>
      <c r="J92" s="4">
        <v>251</v>
      </c>
      <c r="K92" s="4">
        <v>251</v>
      </c>
      <c r="L92" s="4">
        <v>12.278</v>
      </c>
      <c r="M92" s="4">
        <v>12.278</v>
      </c>
      <c r="N92" s="4">
        <v>12.278</v>
      </c>
      <c r="O92" s="4">
        <v>12.278</v>
      </c>
      <c r="P92" s="4">
        <v>0</v>
      </c>
      <c r="Q92" s="3" t="s">
        <v>26</v>
      </c>
      <c r="R92" s="3">
        <v>0</v>
      </c>
      <c r="S92" s="4">
        <v>34</v>
      </c>
      <c r="T92" s="4">
        <v>23</v>
      </c>
      <c r="U92" s="4">
        <v>71</v>
      </c>
      <c r="V92" s="4">
        <f>IF(ISERROR(VLOOKUP($S$92,'TAR FIN'!$A$1:$O$92,15,0)),0,VLOOKUP($S$92,'TAR FIN'!$A$1:$O$92,15,0))</f>
        <v>44</v>
      </c>
      <c r="W92" s="4">
        <f>IF(ISERROR(VLOOKUP($T$92,'TAR FIN'!$A$1:$O$92,15,0)),0,VLOOKUP($T$92,'TAR FIN'!$A$1:$O$92,15,0))</f>
        <v>87.73</v>
      </c>
      <c r="X92" s="4">
        <f>IF(ISERROR(VLOOKUP($U$92,'TAR FIN'!$A$1:$O$92,15,0)),0,VLOOKUP($U$92,'TAR FIN'!$A$1:$O$92,15,0))</f>
        <v>433.77</v>
      </c>
      <c r="Y92" s="4">
        <f ca="1">('TUSD BE'!$AM$5+'TUSD BF'!$AM$5+'TUSD CVA'!$AM$5)*1</f>
        <v>57.091253741473494</v>
      </c>
      <c r="Z92" s="4">
        <f ca="1">('TUSD BE'!$AM$7+'TUSD BF'!$AM$7+'TUSD CVA'!$AM$7)*1</f>
        <v>109.44196476324252</v>
      </c>
      <c r="AA92" s="4">
        <f>('TE BE'!$AB$5+'TE BF'!$AB$5+'TE CVA'!$AB$5)*1</f>
        <v>542.84414704984056</v>
      </c>
      <c r="AB92" s="4">
        <f>$K$92*$V$92</f>
        <v>11044</v>
      </c>
      <c r="AC92" s="4">
        <f>$M$92*$W$92</f>
        <v>1077.14894</v>
      </c>
      <c r="AD92" s="4">
        <f>$O$92*$X$92</f>
        <v>5325.8280599999998</v>
      </c>
      <c r="AE92" s="4">
        <f ca="1">$K$92*$Y$92</f>
        <v>14329.904689109848</v>
      </c>
      <c r="AF92" s="4">
        <f ca="1">$M$92*$Z$92</f>
        <v>1343.7284433630919</v>
      </c>
      <c r="AG92" s="4">
        <f>$O$92*$AA$92</f>
        <v>6665.0404374779428</v>
      </c>
    </row>
    <row r="93" spans="1:33" ht="11.25" customHeight="1" x14ac:dyDescent="0.25">
      <c r="A93" s="3" t="s">
        <v>21</v>
      </c>
      <c r="B93" s="3" t="s">
        <v>39</v>
      </c>
      <c r="C93" s="3" t="s">
        <v>40</v>
      </c>
      <c r="D93" s="3" t="s">
        <v>38</v>
      </c>
      <c r="E93" s="3" t="s">
        <v>25</v>
      </c>
      <c r="F93" s="3" t="s">
        <v>25</v>
      </c>
      <c r="G93" s="3" t="s">
        <v>25</v>
      </c>
      <c r="H93" s="3" t="s">
        <v>34</v>
      </c>
      <c r="I93" s="6">
        <v>44593</v>
      </c>
      <c r="J93" s="4">
        <v>246</v>
      </c>
      <c r="K93" s="4">
        <v>246</v>
      </c>
      <c r="L93" s="4">
        <v>11.004</v>
      </c>
      <c r="M93" s="4">
        <v>11.004</v>
      </c>
      <c r="N93" s="4">
        <v>11.004</v>
      </c>
      <c r="O93" s="4">
        <v>11.004</v>
      </c>
      <c r="P93" s="4">
        <v>0</v>
      </c>
      <c r="Q93" s="3" t="s">
        <v>26</v>
      </c>
      <c r="R93" s="3">
        <v>0</v>
      </c>
      <c r="S93" s="4">
        <v>34</v>
      </c>
      <c r="T93" s="4">
        <v>23</v>
      </c>
      <c r="U93" s="4">
        <v>71</v>
      </c>
      <c r="V93" s="4">
        <f>IF(ISERROR(VLOOKUP($S$93,'TAR FIN'!$A$1:$O$92,15,0)),0,VLOOKUP($S$93,'TAR FIN'!$A$1:$O$92,15,0))</f>
        <v>44</v>
      </c>
      <c r="W93" s="4">
        <f>IF(ISERROR(VLOOKUP($T$93,'TAR FIN'!$A$1:$O$92,15,0)),0,VLOOKUP($T$93,'TAR FIN'!$A$1:$O$92,15,0))</f>
        <v>87.73</v>
      </c>
      <c r="X93" s="4">
        <f>IF(ISERROR(VLOOKUP($U$93,'TAR FIN'!$A$1:$O$92,15,0)),0,VLOOKUP($U$93,'TAR FIN'!$A$1:$O$92,15,0))</f>
        <v>433.77</v>
      </c>
      <c r="Y93" s="4">
        <f ca="1">('TUSD BE'!$AM$5+'TUSD BF'!$AM$5+'TUSD CVA'!$AM$5)*1</f>
        <v>57.091253741473494</v>
      </c>
      <c r="Z93" s="4">
        <f ca="1">('TUSD BE'!$AM$7+'TUSD BF'!$AM$7+'TUSD CVA'!$AM$7)*1</f>
        <v>109.44196476324252</v>
      </c>
      <c r="AA93" s="4">
        <f>('TE BE'!$AB$5+'TE BF'!$AB$5+'TE CVA'!$AB$5)*1</f>
        <v>542.84414704984056</v>
      </c>
      <c r="AB93" s="4">
        <f>$K$93*$V$93</f>
        <v>10824</v>
      </c>
      <c r="AC93" s="4">
        <f>$M$93*$W$93</f>
        <v>965.38092000000006</v>
      </c>
      <c r="AD93" s="4">
        <f>$O$93*$X$93</f>
        <v>4773.2050799999997</v>
      </c>
      <c r="AE93" s="4">
        <f ca="1">$K$93*$Y$93</f>
        <v>14044.448420402479</v>
      </c>
      <c r="AF93" s="4">
        <f ca="1">$M$93*$Z$93</f>
        <v>1204.2993802547207</v>
      </c>
      <c r="AG93" s="4">
        <f>$O$93*$AA$93</f>
        <v>5973.4569941364452</v>
      </c>
    </row>
    <row r="94" spans="1:33" ht="11.25" customHeight="1" x14ac:dyDescent="0.25">
      <c r="A94" s="3" t="s">
        <v>21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25</v>
      </c>
      <c r="G94" s="3" t="s">
        <v>25</v>
      </c>
      <c r="H94" s="3" t="s">
        <v>34</v>
      </c>
      <c r="I94" s="6">
        <v>44621</v>
      </c>
      <c r="J94" s="4">
        <v>243</v>
      </c>
      <c r="K94" s="4">
        <v>243</v>
      </c>
      <c r="L94" s="4">
        <v>11.874000000000001</v>
      </c>
      <c r="M94" s="4">
        <v>11.874000000000001</v>
      </c>
      <c r="N94" s="4">
        <v>11.874000000000001</v>
      </c>
      <c r="O94" s="4">
        <v>11.874000000000001</v>
      </c>
      <c r="P94" s="4">
        <v>0</v>
      </c>
      <c r="Q94" s="3" t="s">
        <v>26</v>
      </c>
      <c r="R94" s="3">
        <v>0</v>
      </c>
      <c r="S94" s="4">
        <v>34</v>
      </c>
      <c r="T94" s="4">
        <v>23</v>
      </c>
      <c r="U94" s="4">
        <v>71</v>
      </c>
      <c r="V94" s="4">
        <f>IF(ISERROR(VLOOKUP($S$94,'TAR FIN'!$A$1:$O$92,15,0)),0,VLOOKUP($S$94,'TAR FIN'!$A$1:$O$92,15,0))</f>
        <v>44</v>
      </c>
      <c r="W94" s="4">
        <f>IF(ISERROR(VLOOKUP($T$94,'TAR FIN'!$A$1:$O$92,15,0)),0,VLOOKUP($T$94,'TAR FIN'!$A$1:$O$92,15,0))</f>
        <v>87.73</v>
      </c>
      <c r="X94" s="4">
        <f>IF(ISERROR(VLOOKUP($U$94,'TAR FIN'!$A$1:$O$92,15,0)),0,VLOOKUP($U$94,'TAR FIN'!$A$1:$O$92,15,0))</f>
        <v>433.77</v>
      </c>
      <c r="Y94" s="4">
        <f ca="1">('TUSD BE'!$AM$5+'TUSD BF'!$AM$5+'TUSD CVA'!$AM$5)*1</f>
        <v>57.091253741473494</v>
      </c>
      <c r="Z94" s="4">
        <f ca="1">('TUSD BE'!$AM$7+'TUSD BF'!$AM$7+'TUSD CVA'!$AM$7)*1</f>
        <v>109.44196476324252</v>
      </c>
      <c r="AA94" s="4">
        <f>('TE BE'!$AB$5+'TE BF'!$AB$5+'TE CVA'!$AB$5)*1</f>
        <v>542.84414704984056</v>
      </c>
      <c r="AB94" s="4">
        <f>$K$94*$V$94</f>
        <v>10692</v>
      </c>
      <c r="AC94" s="4">
        <f>$M$94*$W$94</f>
        <v>1041.7060200000001</v>
      </c>
      <c r="AD94" s="4">
        <f>$O$94*$X$94</f>
        <v>5150.5849799999996</v>
      </c>
      <c r="AE94" s="4">
        <f ca="1">$K$94*$Y$94</f>
        <v>13873.174659178059</v>
      </c>
      <c r="AF94" s="4">
        <f ca="1">$M$94*$Z$94</f>
        <v>1299.5138895987418</v>
      </c>
      <c r="AG94" s="4">
        <f>$O$94*$AA$94</f>
        <v>6445.7314020698068</v>
      </c>
    </row>
    <row r="95" spans="1:33" ht="11.25" customHeight="1" x14ac:dyDescent="0.25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25</v>
      </c>
      <c r="G95" s="3" t="s">
        <v>25</v>
      </c>
      <c r="H95" s="3" t="s">
        <v>34</v>
      </c>
      <c r="I95" s="6">
        <v>44652</v>
      </c>
      <c r="J95" s="4">
        <v>243</v>
      </c>
      <c r="K95" s="4">
        <v>243</v>
      </c>
      <c r="L95" s="4">
        <v>11.874000000000001</v>
      </c>
      <c r="M95" s="4">
        <v>11.874000000000001</v>
      </c>
      <c r="N95" s="4">
        <v>11.874000000000001</v>
      </c>
      <c r="O95" s="4">
        <v>11.874000000000001</v>
      </c>
      <c r="P95" s="4">
        <v>0</v>
      </c>
      <c r="Q95" s="3" t="s">
        <v>26</v>
      </c>
      <c r="R95" s="3">
        <v>0</v>
      </c>
      <c r="S95" s="4">
        <v>34</v>
      </c>
      <c r="T95" s="4">
        <v>23</v>
      </c>
      <c r="U95" s="4">
        <v>71</v>
      </c>
      <c r="V95" s="4">
        <f>IF(ISERROR(VLOOKUP($S$95,'TAR FIN'!$A$1:$O$92,15,0)),0,VLOOKUP($S$95,'TAR FIN'!$A$1:$O$92,15,0))</f>
        <v>44</v>
      </c>
      <c r="W95" s="4">
        <f>IF(ISERROR(VLOOKUP($T$95,'TAR FIN'!$A$1:$O$92,15,0)),0,VLOOKUP($T$95,'TAR FIN'!$A$1:$O$92,15,0))</f>
        <v>87.73</v>
      </c>
      <c r="X95" s="4">
        <f>IF(ISERROR(VLOOKUP($U$95,'TAR FIN'!$A$1:$O$92,15,0)),0,VLOOKUP($U$95,'TAR FIN'!$A$1:$O$92,15,0))</f>
        <v>433.77</v>
      </c>
      <c r="Y95" s="4">
        <f ca="1">('TUSD BE'!$AM$5+'TUSD BF'!$AM$5+'TUSD CVA'!$AM$5)*1</f>
        <v>57.091253741473494</v>
      </c>
      <c r="Z95" s="4">
        <f ca="1">('TUSD BE'!$AM$7+'TUSD BF'!$AM$7+'TUSD CVA'!$AM$7)*1</f>
        <v>109.44196476324252</v>
      </c>
      <c r="AA95" s="4">
        <f>('TE BE'!$AB$5+'TE BF'!$AB$5+'TE CVA'!$AB$5)*1</f>
        <v>542.84414704984056</v>
      </c>
      <c r="AB95" s="4">
        <f>$K$95*$V$95</f>
        <v>10692</v>
      </c>
      <c r="AC95" s="4">
        <f>$M$95*$W$95</f>
        <v>1041.7060200000001</v>
      </c>
      <c r="AD95" s="4">
        <f>$O$95*$X$95</f>
        <v>5150.5849799999996</v>
      </c>
      <c r="AE95" s="4">
        <f ca="1">$K$95*$Y$95</f>
        <v>13873.174659178059</v>
      </c>
      <c r="AF95" s="4">
        <f ca="1">$M$95*$Z$95</f>
        <v>1299.5138895987418</v>
      </c>
      <c r="AG95" s="4">
        <f>$O$95*$AA$95</f>
        <v>6445.7314020698068</v>
      </c>
    </row>
    <row r="96" spans="1:33" ht="11.25" customHeight="1" x14ac:dyDescent="0.25">
      <c r="A96" s="3" t="s">
        <v>21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25</v>
      </c>
      <c r="G96" s="3" t="s">
        <v>25</v>
      </c>
      <c r="H96" s="3" t="s">
        <v>34</v>
      </c>
      <c r="I96" s="6">
        <v>44682</v>
      </c>
      <c r="J96" s="4">
        <v>243</v>
      </c>
      <c r="K96" s="4">
        <v>243</v>
      </c>
      <c r="L96" s="4">
        <v>9.1669999999999998</v>
      </c>
      <c r="M96" s="4">
        <v>9.1669999999999998</v>
      </c>
      <c r="N96" s="4">
        <v>9.1669999999999998</v>
      </c>
      <c r="O96" s="4">
        <v>9.1669999999999998</v>
      </c>
      <c r="P96" s="4">
        <v>0</v>
      </c>
      <c r="Q96" s="3" t="s">
        <v>26</v>
      </c>
      <c r="R96" s="3">
        <v>0</v>
      </c>
      <c r="S96" s="4">
        <v>34</v>
      </c>
      <c r="T96" s="4">
        <v>23</v>
      </c>
      <c r="U96" s="4">
        <v>71</v>
      </c>
      <c r="V96" s="4">
        <f>IF(ISERROR(VLOOKUP($S$96,'TAR FIN'!$A$1:$O$92,15,0)),0,VLOOKUP($S$96,'TAR FIN'!$A$1:$O$92,15,0))</f>
        <v>44</v>
      </c>
      <c r="W96" s="4">
        <f>IF(ISERROR(VLOOKUP($T$96,'TAR FIN'!$A$1:$O$92,15,0)),0,VLOOKUP($T$96,'TAR FIN'!$A$1:$O$92,15,0))</f>
        <v>87.73</v>
      </c>
      <c r="X96" s="4">
        <f>IF(ISERROR(VLOOKUP($U$96,'TAR FIN'!$A$1:$O$92,15,0)),0,VLOOKUP($U$96,'TAR FIN'!$A$1:$O$92,15,0))</f>
        <v>433.77</v>
      </c>
      <c r="Y96" s="4">
        <f ca="1">('TUSD BE'!$AM$5+'TUSD BF'!$AM$5+'TUSD CVA'!$AM$5)*1</f>
        <v>57.091253741473494</v>
      </c>
      <c r="Z96" s="4">
        <f ca="1">('TUSD BE'!$AM$7+'TUSD BF'!$AM$7+'TUSD CVA'!$AM$7)*1</f>
        <v>109.44196476324252</v>
      </c>
      <c r="AA96" s="4">
        <f>('TE BE'!$AB$5+'TE BF'!$AB$5+'TE CVA'!$AB$5)*1</f>
        <v>542.84414704984056</v>
      </c>
      <c r="AB96" s="4">
        <f>$K$96*$V$96</f>
        <v>10692</v>
      </c>
      <c r="AC96" s="4">
        <f>$M$96*$W$96</f>
        <v>804.22091</v>
      </c>
      <c r="AD96" s="4">
        <f>$O$96*$X$96</f>
        <v>3976.3695899999998</v>
      </c>
      <c r="AE96" s="4">
        <f ca="1">$K$96*$Y$96</f>
        <v>13873.174659178059</v>
      </c>
      <c r="AF96" s="4">
        <f ca="1">$M$96*$Z$96</f>
        <v>1003.2544909846442</v>
      </c>
      <c r="AG96" s="4">
        <f>$O$96*$AA$96</f>
        <v>4976.2522960058886</v>
      </c>
    </row>
    <row r="97" spans="1:33" ht="11.25" customHeight="1" x14ac:dyDescent="0.25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25</v>
      </c>
      <c r="G97" s="3" t="s">
        <v>25</v>
      </c>
      <c r="H97" s="3" t="s">
        <v>34</v>
      </c>
      <c r="I97" s="6">
        <v>44713</v>
      </c>
      <c r="J97" s="4">
        <v>243</v>
      </c>
      <c r="K97" s="4">
        <v>243</v>
      </c>
      <c r="L97" s="4">
        <v>8.3049999999999997</v>
      </c>
      <c r="M97" s="4">
        <v>8.3049999999999997</v>
      </c>
      <c r="N97" s="4">
        <v>8.3049999999999997</v>
      </c>
      <c r="O97" s="4">
        <v>8.3049999999999997</v>
      </c>
      <c r="P97" s="4">
        <v>0</v>
      </c>
      <c r="Q97" s="3" t="s">
        <v>26</v>
      </c>
      <c r="R97" s="3">
        <v>0</v>
      </c>
      <c r="S97" s="4">
        <v>34</v>
      </c>
      <c r="T97" s="4">
        <v>23</v>
      </c>
      <c r="U97" s="4">
        <v>71</v>
      </c>
      <c r="V97" s="4">
        <f>IF(ISERROR(VLOOKUP($S$97,'TAR FIN'!$A$1:$O$92,15,0)),0,VLOOKUP($S$97,'TAR FIN'!$A$1:$O$92,15,0))</f>
        <v>44</v>
      </c>
      <c r="W97" s="4">
        <f>IF(ISERROR(VLOOKUP($T$97,'TAR FIN'!$A$1:$O$92,15,0)),0,VLOOKUP($T$97,'TAR FIN'!$A$1:$O$92,15,0))</f>
        <v>87.73</v>
      </c>
      <c r="X97" s="4">
        <f>IF(ISERROR(VLOOKUP($U$97,'TAR FIN'!$A$1:$O$92,15,0)),0,VLOOKUP($U$97,'TAR FIN'!$A$1:$O$92,15,0))</f>
        <v>433.77</v>
      </c>
      <c r="Y97" s="4">
        <f ca="1">('TUSD BE'!$AM$5+'TUSD BF'!$AM$5+'TUSD CVA'!$AM$5)*1</f>
        <v>57.091253741473494</v>
      </c>
      <c r="Z97" s="4">
        <f ca="1">('TUSD BE'!$AM$7+'TUSD BF'!$AM$7+'TUSD CVA'!$AM$7)*1</f>
        <v>109.44196476324252</v>
      </c>
      <c r="AA97" s="4">
        <f>('TE BE'!$AB$5+'TE BF'!$AB$5+'TE CVA'!$AB$5)*1</f>
        <v>542.84414704984056</v>
      </c>
      <c r="AB97" s="4">
        <f>$K$97*$V$97</f>
        <v>10692</v>
      </c>
      <c r="AC97" s="4">
        <f>$M$97*$W$97</f>
        <v>728.59765000000004</v>
      </c>
      <c r="AD97" s="4">
        <f>$O$97*$X$97</f>
        <v>3602.4598499999997</v>
      </c>
      <c r="AE97" s="4">
        <f ca="1">$K$97*$Y$97</f>
        <v>13873.174659178059</v>
      </c>
      <c r="AF97" s="4">
        <f ca="1">$M$97*$Z$97</f>
        <v>908.91551735872918</v>
      </c>
      <c r="AG97" s="4">
        <f>$O$97*$AA$97</f>
        <v>4508.3206412489253</v>
      </c>
    </row>
    <row r="98" spans="1:33" ht="11.25" customHeight="1" x14ac:dyDescent="0.25">
      <c r="A98" s="3" t="s">
        <v>21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25</v>
      </c>
      <c r="G98" s="3" t="s">
        <v>25</v>
      </c>
      <c r="H98" s="3" t="s">
        <v>34</v>
      </c>
      <c r="I98" s="6">
        <v>44743</v>
      </c>
      <c r="J98" s="4">
        <v>243</v>
      </c>
      <c r="K98" s="4">
        <v>243</v>
      </c>
      <c r="L98" s="4">
        <v>8.298</v>
      </c>
      <c r="M98" s="4">
        <v>8.298</v>
      </c>
      <c r="N98" s="4">
        <v>8.298</v>
      </c>
      <c r="O98" s="4">
        <v>8.298</v>
      </c>
      <c r="P98" s="4">
        <v>0</v>
      </c>
      <c r="Q98" s="3" t="s">
        <v>26</v>
      </c>
      <c r="R98" s="3">
        <v>0</v>
      </c>
      <c r="S98" s="4">
        <v>34</v>
      </c>
      <c r="T98" s="4">
        <v>23</v>
      </c>
      <c r="U98" s="4">
        <v>71</v>
      </c>
      <c r="V98" s="4">
        <f>IF(ISERROR(VLOOKUP($S$98,'TAR FIN'!$A$1:$O$92,15,0)),0,VLOOKUP($S$98,'TAR FIN'!$A$1:$O$92,15,0))</f>
        <v>44</v>
      </c>
      <c r="W98" s="4">
        <f>IF(ISERROR(VLOOKUP($T$98,'TAR FIN'!$A$1:$O$92,15,0)),0,VLOOKUP($T$98,'TAR FIN'!$A$1:$O$92,15,0))</f>
        <v>87.73</v>
      </c>
      <c r="X98" s="4">
        <f>IF(ISERROR(VLOOKUP($U$98,'TAR FIN'!$A$1:$O$92,15,0)),0,VLOOKUP($U$98,'TAR FIN'!$A$1:$O$92,15,0))</f>
        <v>433.77</v>
      </c>
      <c r="Y98" s="4">
        <f ca="1">('TUSD BE'!$AM$5+'TUSD BF'!$AM$5+'TUSD CVA'!$AM$5)*1</f>
        <v>57.091253741473494</v>
      </c>
      <c r="Z98" s="4">
        <f ca="1">('TUSD BE'!$AM$7+'TUSD BF'!$AM$7+'TUSD CVA'!$AM$7)*1</f>
        <v>109.44196476324252</v>
      </c>
      <c r="AA98" s="4">
        <f>('TE BE'!$AB$5+'TE BF'!$AB$5+'TE CVA'!$AB$5)*1</f>
        <v>542.84414704984056</v>
      </c>
      <c r="AB98" s="4">
        <f>$K$98*$V$98</f>
        <v>10692</v>
      </c>
      <c r="AC98" s="4">
        <f>$M$98*$W$98</f>
        <v>727.98354000000006</v>
      </c>
      <c r="AD98" s="4">
        <f>$O$98*$X$98</f>
        <v>3599.42346</v>
      </c>
      <c r="AE98" s="4">
        <f ca="1">$K$98*$Y$98</f>
        <v>13873.174659178059</v>
      </c>
      <c r="AF98" s="4">
        <f ca="1">$M$98*$Z$98</f>
        <v>908.14942360538646</v>
      </c>
      <c r="AG98" s="4">
        <f>$O$98*$AA$98</f>
        <v>4504.5207322195765</v>
      </c>
    </row>
    <row r="99" spans="1:33" ht="11.25" customHeight="1" x14ac:dyDescent="0.25">
      <c r="A99" s="3" t="s">
        <v>21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25</v>
      </c>
      <c r="G99" s="3" t="s">
        <v>25</v>
      </c>
      <c r="H99" s="3" t="s">
        <v>34</v>
      </c>
      <c r="I99" s="6">
        <v>44774</v>
      </c>
      <c r="J99" s="4">
        <v>243</v>
      </c>
      <c r="K99" s="4">
        <v>243</v>
      </c>
      <c r="L99" s="4">
        <v>9.4909999999999997</v>
      </c>
      <c r="M99" s="4">
        <v>9.4909999999999997</v>
      </c>
      <c r="N99" s="4">
        <v>9.4909999999999997</v>
      </c>
      <c r="O99" s="4">
        <v>9.4909999999999997</v>
      </c>
      <c r="P99" s="4">
        <v>0</v>
      </c>
      <c r="Q99" s="3" t="s">
        <v>26</v>
      </c>
      <c r="R99" s="3">
        <v>0</v>
      </c>
      <c r="S99" s="4">
        <v>34</v>
      </c>
      <c r="T99" s="4">
        <v>23</v>
      </c>
      <c r="U99" s="4">
        <v>71</v>
      </c>
      <c r="V99" s="4">
        <f>IF(ISERROR(VLOOKUP($S$99,'TAR FIN'!$A$1:$O$92,15,0)),0,VLOOKUP($S$99,'TAR FIN'!$A$1:$O$92,15,0))</f>
        <v>44</v>
      </c>
      <c r="W99" s="4">
        <f>IF(ISERROR(VLOOKUP($T$99,'TAR FIN'!$A$1:$O$92,15,0)),0,VLOOKUP($T$99,'TAR FIN'!$A$1:$O$92,15,0))</f>
        <v>87.73</v>
      </c>
      <c r="X99" s="4">
        <f>IF(ISERROR(VLOOKUP($U$99,'TAR FIN'!$A$1:$O$92,15,0)),0,VLOOKUP($U$99,'TAR FIN'!$A$1:$O$92,15,0))</f>
        <v>433.77</v>
      </c>
      <c r="Y99" s="4">
        <f ca="1">('TUSD BE'!$AM$5+'TUSD BF'!$AM$5+'TUSD CVA'!$AM$5)*1</f>
        <v>57.091253741473494</v>
      </c>
      <c r="Z99" s="4">
        <f ca="1">('TUSD BE'!$AM$7+'TUSD BF'!$AM$7+'TUSD CVA'!$AM$7)*1</f>
        <v>109.44196476324252</v>
      </c>
      <c r="AA99" s="4">
        <f>('TE BE'!$AB$5+'TE BF'!$AB$5+'TE CVA'!$AB$5)*1</f>
        <v>542.84414704984056</v>
      </c>
      <c r="AB99" s="4">
        <f>$K$99*$V$99</f>
        <v>10692</v>
      </c>
      <c r="AC99" s="4">
        <f>$M$99*$W$99</f>
        <v>832.64543000000003</v>
      </c>
      <c r="AD99" s="4">
        <f>$O$99*$X$99</f>
        <v>4116.9110700000001</v>
      </c>
      <c r="AE99" s="4">
        <f ca="1">$K$99*$Y$99</f>
        <v>13873.174659178059</v>
      </c>
      <c r="AF99" s="4">
        <f ca="1">$M$99*$Z$99</f>
        <v>1038.7136875679348</v>
      </c>
      <c r="AG99" s="4">
        <f>$O$99*$AA$99</f>
        <v>5152.133799650037</v>
      </c>
    </row>
    <row r="100" spans="1:33" ht="11.25" customHeight="1" x14ac:dyDescent="0.25">
      <c r="A100" s="3" t="s">
        <v>21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25</v>
      </c>
      <c r="G100" s="3" t="s">
        <v>25</v>
      </c>
      <c r="H100" s="3" t="s">
        <v>34</v>
      </c>
      <c r="I100" s="6">
        <v>44805</v>
      </c>
      <c r="J100" s="4">
        <v>243</v>
      </c>
      <c r="K100" s="4">
        <v>243</v>
      </c>
      <c r="L100" s="4">
        <v>8.7590000000000003</v>
      </c>
      <c r="M100" s="4">
        <v>8.7590000000000003</v>
      </c>
      <c r="N100" s="4">
        <v>8.7590000000000003</v>
      </c>
      <c r="O100" s="4">
        <v>8.7590000000000003</v>
      </c>
      <c r="P100" s="4">
        <v>0</v>
      </c>
      <c r="Q100" s="3" t="s">
        <v>26</v>
      </c>
      <c r="R100" s="3">
        <v>0</v>
      </c>
      <c r="S100" s="4">
        <v>34</v>
      </c>
      <c r="T100" s="4">
        <v>23</v>
      </c>
      <c r="U100" s="4">
        <v>71</v>
      </c>
      <c r="V100" s="4">
        <f>IF(ISERROR(VLOOKUP($S$100,'TAR FIN'!$A$1:$O$92,15,0)),0,VLOOKUP($S$100,'TAR FIN'!$A$1:$O$92,15,0))</f>
        <v>44</v>
      </c>
      <c r="W100" s="4">
        <f>IF(ISERROR(VLOOKUP($T$100,'TAR FIN'!$A$1:$O$92,15,0)),0,VLOOKUP($T$100,'TAR FIN'!$A$1:$O$92,15,0))</f>
        <v>87.73</v>
      </c>
      <c r="X100" s="4">
        <f>IF(ISERROR(VLOOKUP($U$100,'TAR FIN'!$A$1:$O$92,15,0)),0,VLOOKUP($U$100,'TAR FIN'!$A$1:$O$92,15,0))</f>
        <v>433.77</v>
      </c>
      <c r="Y100" s="4">
        <f ca="1">('TUSD BE'!$AM$5+'TUSD BF'!$AM$5+'TUSD CVA'!$AM$5)*1</f>
        <v>57.091253741473494</v>
      </c>
      <c r="Z100" s="4">
        <f ca="1">('TUSD BE'!$AM$7+'TUSD BF'!$AM$7+'TUSD CVA'!$AM$7)*1</f>
        <v>109.44196476324252</v>
      </c>
      <c r="AA100" s="4">
        <f>('TE BE'!$AB$5+'TE BF'!$AB$5+'TE CVA'!$AB$5)*1</f>
        <v>542.84414704984056</v>
      </c>
      <c r="AB100" s="4">
        <f>$K$100*$V$100</f>
        <v>10692</v>
      </c>
      <c r="AC100" s="4">
        <f>$M$100*$W$100</f>
        <v>768.42707000000007</v>
      </c>
      <c r="AD100" s="4">
        <f>$O$100*$X$100</f>
        <v>3799.3914300000001</v>
      </c>
      <c r="AE100" s="4">
        <f ca="1">$K$100*$Y$100</f>
        <v>13873.174659178059</v>
      </c>
      <c r="AF100" s="4">
        <f ca="1">$M$100*$Z$100</f>
        <v>958.60216936124129</v>
      </c>
      <c r="AG100" s="4">
        <f>$O$100*$AA$100</f>
        <v>4754.771884009554</v>
      </c>
    </row>
    <row r="101" spans="1:33" ht="11.25" customHeight="1" x14ac:dyDescent="0.25">
      <c r="A101" s="3" t="s">
        <v>55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44835</v>
      </c>
      <c r="J101" s="4">
        <v>243</v>
      </c>
      <c r="K101" s="4">
        <v>243</v>
      </c>
      <c r="L101" s="4">
        <v>8.7590000000000003</v>
      </c>
      <c r="M101" s="4">
        <v>8.7590000000000003</v>
      </c>
      <c r="N101" s="4">
        <v>8.7590000000000003</v>
      </c>
      <c r="O101" s="4">
        <v>8.7590000000000003</v>
      </c>
      <c r="P101" s="4">
        <v>0</v>
      </c>
      <c r="Q101" s="3" t="s">
        <v>26</v>
      </c>
      <c r="R101" s="3">
        <v>0</v>
      </c>
      <c r="S101" s="4">
        <v>34</v>
      </c>
      <c r="T101" s="4">
        <v>23</v>
      </c>
      <c r="U101" s="4">
        <v>71</v>
      </c>
      <c r="V101" s="4">
        <f>IF(ISERROR(VLOOKUP($S$101,'TAR FIN'!$A$1:$O$92,15,0)),0,VLOOKUP($S$101,'TAR FIN'!$A$1:$O$92,15,0))</f>
        <v>44</v>
      </c>
      <c r="W101" s="4">
        <f>IF(ISERROR(VLOOKUP($T$101,'TAR FIN'!$A$1:$O$92,15,0)),0,VLOOKUP($T$101,'TAR FIN'!$A$1:$O$92,15,0))</f>
        <v>87.73</v>
      </c>
      <c r="X101" s="4">
        <f>IF(ISERROR(VLOOKUP($U$101,'TAR FIN'!$A$1:$O$92,15,0)),0,VLOOKUP($U$101,'TAR FIN'!$A$1:$O$92,15,0))</f>
        <v>433.77</v>
      </c>
      <c r="Y101" s="4">
        <f ca="1">('TUSD BE'!$AM$5+'TUSD BF'!$AM$5+'TUSD CVA'!$AM$5)*1</f>
        <v>57.091253741473494</v>
      </c>
      <c r="Z101" s="4">
        <f ca="1">('TUSD BE'!$AM$7+'TUSD BF'!$AM$7+'TUSD CVA'!$AM$7)*1</f>
        <v>109.44196476324252</v>
      </c>
      <c r="AA101" s="4">
        <f>('TE BE'!$AB$5+'TE BF'!$AB$5+'TE CVA'!$AB$5)*1</f>
        <v>542.84414704984056</v>
      </c>
      <c r="AB101" s="4">
        <f>$K$101*$V$101</f>
        <v>10692</v>
      </c>
      <c r="AC101" s="4">
        <f>$M$101*$W$101</f>
        <v>768.42707000000007</v>
      </c>
      <c r="AD101" s="4">
        <f>$O$101*$X$101</f>
        <v>3799.3914300000001</v>
      </c>
      <c r="AE101" s="4">
        <f ca="1">$K$101*$Y$101</f>
        <v>13873.174659178059</v>
      </c>
      <c r="AF101" s="4">
        <f ca="1">$M$101*$Z$101</f>
        <v>958.60216936124129</v>
      </c>
      <c r="AG101" s="4">
        <f>$O$101*$AA$101</f>
        <v>4754.771884009554</v>
      </c>
    </row>
    <row r="102" spans="1:33" ht="11.25" customHeight="1" x14ac:dyDescent="0.25">
      <c r="A102" s="3" t="s">
        <v>21</v>
      </c>
      <c r="B102" s="3" t="s">
        <v>39</v>
      </c>
      <c r="C102" s="3" t="s">
        <v>40</v>
      </c>
      <c r="D102" s="3" t="s">
        <v>45</v>
      </c>
      <c r="E102" s="3" t="s">
        <v>25</v>
      </c>
      <c r="F102" s="3" t="s">
        <v>25</v>
      </c>
      <c r="G102" s="3" t="s">
        <v>25</v>
      </c>
      <c r="H102" s="3" t="s">
        <v>35</v>
      </c>
      <c r="I102" s="6">
        <v>44501</v>
      </c>
      <c r="J102" s="4">
        <v>4059</v>
      </c>
      <c r="K102" s="4">
        <v>4059</v>
      </c>
      <c r="L102" s="4">
        <v>882.37900000000002</v>
      </c>
      <c r="M102" s="4">
        <v>882.37900000000002</v>
      </c>
      <c r="N102" s="4">
        <v>882.37900000000002</v>
      </c>
      <c r="O102" s="4">
        <v>882.37900000000002</v>
      </c>
      <c r="P102" s="4">
        <v>0</v>
      </c>
      <c r="Q102" s="3" t="s">
        <v>26</v>
      </c>
      <c r="R102" s="3">
        <v>0</v>
      </c>
      <c r="S102" s="4">
        <v>27</v>
      </c>
      <c r="T102" s="4">
        <v>23</v>
      </c>
      <c r="U102" s="4">
        <v>59</v>
      </c>
      <c r="V102" s="4">
        <f>IF(ISERROR(VLOOKUP($S$102,'TAR FIN'!$A$1:$O$92,15,0)),0,VLOOKUP($S$102,'TAR FIN'!$A$1:$O$92,15,0))</f>
        <v>14.64</v>
      </c>
      <c r="W102" s="4">
        <f>IF(ISERROR(VLOOKUP($T$102,'TAR FIN'!$A$1:$O$92,15,0)),0,VLOOKUP($T$102,'TAR FIN'!$A$1:$O$92,15,0))</f>
        <v>87.73</v>
      </c>
      <c r="X102" s="4">
        <f>IF(ISERROR(VLOOKUP($U$102,'TAR FIN'!$A$1:$O$92,15,0)),0,VLOOKUP($U$102,'TAR FIN'!$A$1:$O$92,15,0))</f>
        <v>253.9</v>
      </c>
      <c r="Y102" s="4">
        <f ca="1">('TUSD BE'!$AM$6+'TUSD BF'!$AM$6+'TUSD CVA'!$AM$6)*1</f>
        <v>19.024476785546895</v>
      </c>
      <c r="Z102" s="4">
        <f ca="1">('TUSD BE'!$AM$7+'TUSD BF'!$AM$7+'TUSD CVA'!$AM$7)*1</f>
        <v>109.44196476324252</v>
      </c>
      <c r="AA102" s="4">
        <f>('TE BE'!$AB$6+'TE BF'!$AB$6+'TE CVA'!$AB$6)*1</f>
        <v>317.3874512882154</v>
      </c>
      <c r="AB102" s="4">
        <f>$K$102*$V$102</f>
        <v>59423.76</v>
      </c>
      <c r="AC102" s="4">
        <f>$M$102*$W$102</f>
        <v>77411.109670000005</v>
      </c>
      <c r="AD102" s="4">
        <f>$O$102*$X$102</f>
        <v>224036.0281</v>
      </c>
      <c r="AE102" s="4">
        <f ca="1">$K$102*$Y$102</f>
        <v>77220.351272534841</v>
      </c>
      <c r="AF102" s="4">
        <f ca="1">$M$102*$Z$102</f>
        <v>96569.291425825184</v>
      </c>
      <c r="AG102" s="4">
        <f>$O$102*$AA$102</f>
        <v>280056.0218802442</v>
      </c>
    </row>
    <row r="103" spans="1:33" ht="11.25" customHeight="1" x14ac:dyDescent="0.25">
      <c r="A103" s="3" t="s">
        <v>27</v>
      </c>
      <c r="B103" s="3" t="s">
        <v>39</v>
      </c>
      <c r="C103" s="3" t="s">
        <v>40</v>
      </c>
      <c r="D103" s="3" t="s">
        <v>45</v>
      </c>
      <c r="E103" s="3" t="s">
        <v>25</v>
      </c>
      <c r="F103" s="3" t="s">
        <v>25</v>
      </c>
      <c r="G103" s="3" t="s">
        <v>25</v>
      </c>
      <c r="H103" s="3" t="s">
        <v>35</v>
      </c>
      <c r="I103" s="6">
        <v>44501</v>
      </c>
      <c r="J103" s="4">
        <v>-989</v>
      </c>
      <c r="K103" s="4">
        <v>-989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26</v>
      </c>
      <c r="R103" s="3">
        <v>0</v>
      </c>
      <c r="S103" s="4">
        <v>27</v>
      </c>
      <c r="T103" s="4">
        <v>0</v>
      </c>
      <c r="U103" s="4">
        <v>0</v>
      </c>
      <c r="V103" s="4">
        <f>IF(ISERROR(VLOOKUP($S$103,'TAR FIN'!$A$1:$O$92,15,0)),0,VLOOKUP($S$103,'TAR FIN'!$A$1:$O$92,15,0))</f>
        <v>14.64</v>
      </c>
      <c r="W103" s="4">
        <f>IF(ISERROR(VLOOKUP($T$103,'TAR FIN'!$A$1:$O$92,15,0)),0,VLOOKUP($T$103,'TAR FIN'!$A$1:$O$92,15,0))</f>
        <v>0</v>
      </c>
      <c r="X103" s="4">
        <f>IF(ISERROR(VLOOKUP($U$103,'TAR FIN'!$A$1:$O$92,15,0)),0,VLOOKUP($U$103,'TAR FIN'!$A$1:$O$92,15,0))</f>
        <v>0</v>
      </c>
      <c r="Y103" s="4">
        <f ca="1">('TUSD BE'!$AM$6+'TUSD BF'!$AM$6+'TUSD CVA'!$AM$6)*1</f>
        <v>19.024476785546895</v>
      </c>
      <c r="Z103" s="4">
        <f ca="1">('TUSD BE'!$AM$7+'TUSD BF'!$AM$7+'TUSD CVA'!$AM$7)*1</f>
        <v>109.44196476324252</v>
      </c>
      <c r="AA103" s="4">
        <f>('TE BE'!$AB$6+'TE BF'!$AB$6+'TE CVA'!$AB$6)*1</f>
        <v>317.3874512882154</v>
      </c>
      <c r="AB103" s="4">
        <f>$K$103*$V$103</f>
        <v>-14478.960000000001</v>
      </c>
      <c r="AC103" s="4">
        <f>$M$103*$W$103</f>
        <v>0</v>
      </c>
      <c r="AD103" s="4">
        <f>$O$103*$X$103</f>
        <v>0</v>
      </c>
      <c r="AE103" s="4">
        <f ca="1">$K$103*$Y$103</f>
        <v>-18815.207540905878</v>
      </c>
      <c r="AF103" s="4">
        <f ca="1">$M$103*$Z$103</f>
        <v>0</v>
      </c>
      <c r="AG103" s="4">
        <f>$O$103*$AA$103</f>
        <v>0</v>
      </c>
    </row>
    <row r="104" spans="1:33" ht="11.25" customHeight="1" x14ac:dyDescent="0.25">
      <c r="A104" s="3" t="s">
        <v>28</v>
      </c>
      <c r="B104" s="3" t="s">
        <v>39</v>
      </c>
      <c r="C104" s="3" t="s">
        <v>40</v>
      </c>
      <c r="D104" s="3" t="s">
        <v>45</v>
      </c>
      <c r="E104" s="3" t="s">
        <v>25</v>
      </c>
      <c r="F104" s="3" t="s">
        <v>25</v>
      </c>
      <c r="G104" s="3" t="s">
        <v>25</v>
      </c>
      <c r="H104" s="3" t="s">
        <v>35</v>
      </c>
      <c r="I104" s="6">
        <v>44501</v>
      </c>
      <c r="J104" s="4">
        <v>722</v>
      </c>
      <c r="K104" s="4">
        <v>722</v>
      </c>
      <c r="L104" s="4">
        <v>195.66</v>
      </c>
      <c r="M104" s="4">
        <v>195.66</v>
      </c>
      <c r="N104" s="4">
        <v>195.66</v>
      </c>
      <c r="O104" s="4">
        <v>195.66</v>
      </c>
      <c r="P104" s="4">
        <v>0</v>
      </c>
      <c r="Q104" s="3" t="s">
        <v>26</v>
      </c>
      <c r="R104" s="3">
        <v>0</v>
      </c>
      <c r="S104" s="4">
        <v>27</v>
      </c>
      <c r="T104" s="4">
        <v>23</v>
      </c>
      <c r="U104" s="4">
        <v>59</v>
      </c>
      <c r="V104" s="4">
        <f>IF(ISERROR(VLOOKUP($S$104,'TAR FIN'!$A$1:$O$92,15,0)),0,VLOOKUP($S$104,'TAR FIN'!$A$1:$O$92,15,0))</f>
        <v>14.64</v>
      </c>
      <c r="W104" s="4">
        <f>IF(ISERROR(VLOOKUP($T$104,'TAR FIN'!$A$1:$O$92,15,0)),0,VLOOKUP($T$104,'TAR FIN'!$A$1:$O$92,15,0))</f>
        <v>87.73</v>
      </c>
      <c r="X104" s="4">
        <f>IF(ISERROR(VLOOKUP($U$104,'TAR FIN'!$A$1:$O$92,15,0)),0,VLOOKUP($U$104,'TAR FIN'!$A$1:$O$92,15,0))</f>
        <v>253.9</v>
      </c>
      <c r="Y104" s="4">
        <f ca="1">('TUSD BE'!$AM$6+'TUSD BF'!$AM$6+'TUSD CVA'!$AM$6)*1</f>
        <v>19.024476785546895</v>
      </c>
      <c r="Z104" s="4">
        <f ca="1">('TUSD BE'!$AM$7+'TUSD BF'!$AM$7+'TUSD CVA'!$AM$7)*1</f>
        <v>109.44196476324252</v>
      </c>
      <c r="AA104" s="4">
        <f>('TE BE'!$AB$6+'TE BF'!$AB$6+'TE CVA'!$AB$6)*1</f>
        <v>317.3874512882154</v>
      </c>
      <c r="AB104" s="4">
        <f>$K$104*$V$104</f>
        <v>10570.08</v>
      </c>
      <c r="AC104" s="4">
        <f>$M$104*$W$104</f>
        <v>17165.251800000002</v>
      </c>
      <c r="AD104" s="4">
        <f>$O$104*$X$104</f>
        <v>49678.074000000001</v>
      </c>
      <c r="AE104" s="4">
        <f ca="1">$K$104*$Y$104</f>
        <v>13735.672239164858</v>
      </c>
      <c r="AF104" s="4">
        <f ca="1">$M$104*$Z$104</f>
        <v>21413.41482557603</v>
      </c>
      <c r="AG104" s="4">
        <f>$O$104*$AA$104</f>
        <v>62100.028719052221</v>
      </c>
    </row>
    <row r="105" spans="1:33" ht="11.25" customHeight="1" x14ac:dyDescent="0.25">
      <c r="A105" s="3" t="s">
        <v>21</v>
      </c>
      <c r="B105" s="3" t="s">
        <v>39</v>
      </c>
      <c r="C105" s="3" t="s">
        <v>40</v>
      </c>
      <c r="D105" s="3" t="s">
        <v>45</v>
      </c>
      <c r="E105" s="3" t="s">
        <v>25</v>
      </c>
      <c r="F105" s="3" t="s">
        <v>25</v>
      </c>
      <c r="G105" s="3" t="s">
        <v>25</v>
      </c>
      <c r="H105" s="3" t="s">
        <v>35</v>
      </c>
      <c r="I105" s="6">
        <v>44531</v>
      </c>
      <c r="J105" s="4">
        <v>4059</v>
      </c>
      <c r="K105" s="4">
        <v>4059</v>
      </c>
      <c r="L105" s="4">
        <v>812.61699999999996</v>
      </c>
      <c r="M105" s="4">
        <v>812.61699999999996</v>
      </c>
      <c r="N105" s="4">
        <v>812.61699999999996</v>
      </c>
      <c r="O105" s="4">
        <v>812.61699999999996</v>
      </c>
      <c r="P105" s="4">
        <v>0</v>
      </c>
      <c r="Q105" s="3" t="s">
        <v>26</v>
      </c>
      <c r="R105" s="3">
        <v>0</v>
      </c>
      <c r="S105" s="4">
        <v>27</v>
      </c>
      <c r="T105" s="4">
        <v>23</v>
      </c>
      <c r="U105" s="4">
        <v>59</v>
      </c>
      <c r="V105" s="4">
        <f>IF(ISERROR(VLOOKUP($S$105,'TAR FIN'!$A$1:$O$92,15,0)),0,VLOOKUP($S$105,'TAR FIN'!$A$1:$O$92,15,0))</f>
        <v>14.64</v>
      </c>
      <c r="W105" s="4">
        <f>IF(ISERROR(VLOOKUP($T$105,'TAR FIN'!$A$1:$O$92,15,0)),0,VLOOKUP($T$105,'TAR FIN'!$A$1:$O$92,15,0))</f>
        <v>87.73</v>
      </c>
      <c r="X105" s="4">
        <f>IF(ISERROR(VLOOKUP($U$105,'TAR FIN'!$A$1:$O$92,15,0)),0,VLOOKUP($U$105,'TAR FIN'!$A$1:$O$92,15,0))</f>
        <v>253.9</v>
      </c>
      <c r="Y105" s="4">
        <f ca="1">('TUSD BE'!$AM$6+'TUSD BF'!$AM$6+'TUSD CVA'!$AM$6)*1</f>
        <v>19.024476785546895</v>
      </c>
      <c r="Z105" s="4">
        <f ca="1">('TUSD BE'!$AM$7+'TUSD BF'!$AM$7+'TUSD CVA'!$AM$7)*1</f>
        <v>109.44196476324252</v>
      </c>
      <c r="AA105" s="4">
        <f>('TE BE'!$AB$6+'TE BF'!$AB$6+'TE CVA'!$AB$6)*1</f>
        <v>317.3874512882154</v>
      </c>
      <c r="AB105" s="4">
        <f>$K$105*$V$105</f>
        <v>59423.76</v>
      </c>
      <c r="AC105" s="4">
        <f>$M$105*$W$105</f>
        <v>71290.889410000003</v>
      </c>
      <c r="AD105" s="4">
        <f>$O$105*$X$105</f>
        <v>206323.45629999999</v>
      </c>
      <c r="AE105" s="4">
        <f ca="1">$K$105*$Y$105</f>
        <v>77220.351272534841</v>
      </c>
      <c r="AF105" s="4">
        <f ca="1">$M$105*$Z$105</f>
        <v>88934.401080011841</v>
      </c>
      <c r="AG105" s="4">
        <f>$O$105*$AA$105</f>
        <v>257914.43850347571</v>
      </c>
    </row>
    <row r="106" spans="1:33" ht="11.25" customHeight="1" x14ac:dyDescent="0.25">
      <c r="A106" s="3" t="s">
        <v>28</v>
      </c>
      <c r="B106" s="3" t="s">
        <v>39</v>
      </c>
      <c r="C106" s="3" t="s">
        <v>40</v>
      </c>
      <c r="D106" s="3" t="s">
        <v>45</v>
      </c>
      <c r="E106" s="3" t="s">
        <v>25</v>
      </c>
      <c r="F106" s="3" t="s">
        <v>25</v>
      </c>
      <c r="G106" s="3" t="s">
        <v>25</v>
      </c>
      <c r="H106" s="3" t="s">
        <v>35</v>
      </c>
      <c r="I106" s="6">
        <v>44531</v>
      </c>
      <c r="J106" s="4">
        <v>711</v>
      </c>
      <c r="K106" s="4">
        <v>711</v>
      </c>
      <c r="L106" s="4">
        <v>192.5</v>
      </c>
      <c r="M106" s="4">
        <v>192.5</v>
      </c>
      <c r="N106" s="4">
        <v>192.5</v>
      </c>
      <c r="O106" s="4">
        <v>192.5</v>
      </c>
      <c r="P106" s="4">
        <v>0</v>
      </c>
      <c r="Q106" s="3" t="s">
        <v>26</v>
      </c>
      <c r="R106" s="3">
        <v>0</v>
      </c>
      <c r="S106" s="4">
        <v>27</v>
      </c>
      <c r="T106" s="4">
        <v>23</v>
      </c>
      <c r="U106" s="4">
        <v>59</v>
      </c>
      <c r="V106" s="4">
        <f>IF(ISERROR(VLOOKUP($S$106,'TAR FIN'!$A$1:$O$92,15,0)),0,VLOOKUP($S$106,'TAR FIN'!$A$1:$O$92,15,0))</f>
        <v>14.64</v>
      </c>
      <c r="W106" s="4">
        <f>IF(ISERROR(VLOOKUP($T$106,'TAR FIN'!$A$1:$O$92,15,0)),0,VLOOKUP($T$106,'TAR FIN'!$A$1:$O$92,15,0))</f>
        <v>87.73</v>
      </c>
      <c r="X106" s="4">
        <f>IF(ISERROR(VLOOKUP($U$106,'TAR FIN'!$A$1:$O$92,15,0)),0,VLOOKUP($U$106,'TAR FIN'!$A$1:$O$92,15,0))</f>
        <v>253.9</v>
      </c>
      <c r="Y106" s="4">
        <f ca="1">('TUSD BE'!$AM$6+'TUSD BF'!$AM$6+'TUSD CVA'!$AM$6)*1</f>
        <v>19.024476785546895</v>
      </c>
      <c r="Z106" s="4">
        <f ca="1">('TUSD BE'!$AM$7+'TUSD BF'!$AM$7+'TUSD CVA'!$AM$7)*1</f>
        <v>109.44196476324252</v>
      </c>
      <c r="AA106" s="4">
        <f>('TE BE'!$AB$6+'TE BF'!$AB$6+'TE CVA'!$AB$6)*1</f>
        <v>317.3874512882154</v>
      </c>
      <c r="AB106" s="4">
        <f>$K$106*$V$106</f>
        <v>10409.040000000001</v>
      </c>
      <c r="AC106" s="4">
        <f>$M$106*$W$106</f>
        <v>16888.025000000001</v>
      </c>
      <c r="AD106" s="4">
        <f>$O$106*$X$106</f>
        <v>48875.75</v>
      </c>
      <c r="AE106" s="4">
        <f ca="1">$K$106*$Y$106</f>
        <v>13526.402994523842</v>
      </c>
      <c r="AF106" s="4">
        <f ca="1">$M$106*$Z$106</f>
        <v>21067.578216924187</v>
      </c>
      <c r="AG106" s="4">
        <f>$O$106*$AA$106</f>
        <v>61097.084372981466</v>
      </c>
    </row>
    <row r="107" spans="1:33" ht="11.25" customHeight="1" x14ac:dyDescent="0.25">
      <c r="A107" s="3" t="s">
        <v>21</v>
      </c>
      <c r="B107" s="3" t="s">
        <v>39</v>
      </c>
      <c r="C107" s="3" t="s">
        <v>40</v>
      </c>
      <c r="D107" s="3" t="s">
        <v>45</v>
      </c>
      <c r="E107" s="3" t="s">
        <v>25</v>
      </c>
      <c r="F107" s="3" t="s">
        <v>25</v>
      </c>
      <c r="G107" s="3" t="s">
        <v>25</v>
      </c>
      <c r="H107" s="3" t="s">
        <v>35</v>
      </c>
      <c r="I107" s="6">
        <v>44562</v>
      </c>
      <c r="J107" s="4">
        <v>4733</v>
      </c>
      <c r="K107" s="4">
        <v>4733</v>
      </c>
      <c r="L107" s="4">
        <v>842.40899999999999</v>
      </c>
      <c r="M107" s="4">
        <v>842.40899999999999</v>
      </c>
      <c r="N107" s="4">
        <v>842.40899999999999</v>
      </c>
      <c r="O107" s="4">
        <v>842.40899999999999</v>
      </c>
      <c r="P107" s="4">
        <v>0</v>
      </c>
      <c r="Q107" s="3" t="s">
        <v>26</v>
      </c>
      <c r="R107" s="3">
        <v>0</v>
      </c>
      <c r="S107" s="4">
        <v>27</v>
      </c>
      <c r="T107" s="4">
        <v>23</v>
      </c>
      <c r="U107" s="4">
        <v>59</v>
      </c>
      <c r="V107" s="4">
        <f>IF(ISERROR(VLOOKUP($S$107,'TAR FIN'!$A$1:$O$92,15,0)),0,VLOOKUP($S$107,'TAR FIN'!$A$1:$O$92,15,0))</f>
        <v>14.64</v>
      </c>
      <c r="W107" s="4">
        <f>IF(ISERROR(VLOOKUP($T$107,'TAR FIN'!$A$1:$O$92,15,0)),0,VLOOKUP($T$107,'TAR FIN'!$A$1:$O$92,15,0))</f>
        <v>87.73</v>
      </c>
      <c r="X107" s="4">
        <f>IF(ISERROR(VLOOKUP($U$107,'TAR FIN'!$A$1:$O$92,15,0)),0,VLOOKUP($U$107,'TAR FIN'!$A$1:$O$92,15,0))</f>
        <v>253.9</v>
      </c>
      <c r="Y107" s="4">
        <f ca="1">('TUSD BE'!$AM$6+'TUSD BF'!$AM$6+'TUSD CVA'!$AM$6)*1</f>
        <v>19.024476785546895</v>
      </c>
      <c r="Z107" s="4">
        <f ca="1">('TUSD BE'!$AM$7+'TUSD BF'!$AM$7+'TUSD CVA'!$AM$7)*1</f>
        <v>109.44196476324252</v>
      </c>
      <c r="AA107" s="4">
        <f>('TE BE'!$AB$6+'TE BF'!$AB$6+'TE CVA'!$AB$6)*1</f>
        <v>317.3874512882154</v>
      </c>
      <c r="AB107" s="4">
        <f>$K$107*$V$107</f>
        <v>69291.12000000001</v>
      </c>
      <c r="AC107" s="4">
        <f>$M$107*$W$107</f>
        <v>73904.541570000001</v>
      </c>
      <c r="AD107" s="4">
        <f>$O$107*$X$107</f>
        <v>213887.64509999999</v>
      </c>
      <c r="AE107" s="4">
        <f ca="1">$K$107*$Y$107</f>
        <v>90042.848625993458</v>
      </c>
      <c r="AF107" s="4">
        <f ca="1">$M$107*$Z$107</f>
        <v>92194.896094238371</v>
      </c>
      <c r="AG107" s="4">
        <f>$O$107*$AA$107</f>
        <v>267370.04545225424</v>
      </c>
    </row>
    <row r="108" spans="1:33" ht="11.25" customHeight="1" x14ac:dyDescent="0.25">
      <c r="A108" s="3" t="s">
        <v>28</v>
      </c>
      <c r="B108" s="3" t="s">
        <v>39</v>
      </c>
      <c r="C108" s="3" t="s">
        <v>40</v>
      </c>
      <c r="D108" s="3" t="s">
        <v>45</v>
      </c>
      <c r="E108" s="3" t="s">
        <v>25</v>
      </c>
      <c r="F108" s="3" t="s">
        <v>25</v>
      </c>
      <c r="G108" s="3" t="s">
        <v>25</v>
      </c>
      <c r="H108" s="3" t="s">
        <v>35</v>
      </c>
      <c r="I108" s="6">
        <v>44562</v>
      </c>
      <c r="J108" s="4">
        <v>743</v>
      </c>
      <c r="K108" s="4">
        <v>743</v>
      </c>
      <c r="L108" s="4">
        <v>197.21100000000001</v>
      </c>
      <c r="M108" s="4">
        <v>197.21100000000001</v>
      </c>
      <c r="N108" s="4">
        <v>197.21100000000001</v>
      </c>
      <c r="O108" s="4">
        <v>197.21100000000001</v>
      </c>
      <c r="P108" s="4">
        <v>0</v>
      </c>
      <c r="Q108" s="3" t="s">
        <v>26</v>
      </c>
      <c r="R108" s="3">
        <v>0</v>
      </c>
      <c r="S108" s="4">
        <v>27</v>
      </c>
      <c r="T108" s="4">
        <v>23</v>
      </c>
      <c r="U108" s="4">
        <v>59</v>
      </c>
      <c r="V108" s="4">
        <f>IF(ISERROR(VLOOKUP($S$108,'TAR FIN'!$A$1:$O$92,15,0)),0,VLOOKUP($S$108,'TAR FIN'!$A$1:$O$92,15,0))</f>
        <v>14.64</v>
      </c>
      <c r="W108" s="4">
        <f>IF(ISERROR(VLOOKUP($T$108,'TAR FIN'!$A$1:$O$92,15,0)),0,VLOOKUP($T$108,'TAR FIN'!$A$1:$O$92,15,0))</f>
        <v>87.73</v>
      </c>
      <c r="X108" s="4">
        <f>IF(ISERROR(VLOOKUP($U$108,'TAR FIN'!$A$1:$O$92,15,0)),0,VLOOKUP($U$108,'TAR FIN'!$A$1:$O$92,15,0))</f>
        <v>253.9</v>
      </c>
      <c r="Y108" s="4">
        <f ca="1">('TUSD BE'!$AM$6+'TUSD BF'!$AM$6+'TUSD CVA'!$AM$6)*1</f>
        <v>19.024476785546895</v>
      </c>
      <c r="Z108" s="4">
        <f ca="1">('TUSD BE'!$AM$7+'TUSD BF'!$AM$7+'TUSD CVA'!$AM$7)*1</f>
        <v>109.44196476324252</v>
      </c>
      <c r="AA108" s="4">
        <f>('TE BE'!$AB$6+'TE BF'!$AB$6+'TE CVA'!$AB$6)*1</f>
        <v>317.3874512882154</v>
      </c>
      <c r="AB108" s="4">
        <f>$K$108*$V$108</f>
        <v>10877.52</v>
      </c>
      <c r="AC108" s="4">
        <f>$M$108*$W$108</f>
        <v>17301.321030000003</v>
      </c>
      <c r="AD108" s="4">
        <f>$O$108*$X$108</f>
        <v>50071.872900000002</v>
      </c>
      <c r="AE108" s="4">
        <f ca="1">$K$108*$Y$108</f>
        <v>14135.186251661344</v>
      </c>
      <c r="AF108" s="4">
        <f ca="1">$M$108*$Z$108</f>
        <v>21583.159312923824</v>
      </c>
      <c r="AG108" s="4">
        <f>$O$108*$AA$108</f>
        <v>62592.296656000253</v>
      </c>
    </row>
    <row r="109" spans="1:33" ht="11.25" customHeight="1" x14ac:dyDescent="0.25">
      <c r="A109" s="3" t="s">
        <v>21</v>
      </c>
      <c r="B109" s="3" t="s">
        <v>39</v>
      </c>
      <c r="C109" s="3" t="s">
        <v>40</v>
      </c>
      <c r="D109" s="3" t="s">
        <v>45</v>
      </c>
      <c r="E109" s="3" t="s">
        <v>25</v>
      </c>
      <c r="F109" s="3" t="s">
        <v>25</v>
      </c>
      <c r="G109" s="3" t="s">
        <v>25</v>
      </c>
      <c r="H109" s="3" t="s">
        <v>35</v>
      </c>
      <c r="I109" s="6">
        <v>44593</v>
      </c>
      <c r="J109" s="4">
        <v>4735</v>
      </c>
      <c r="K109" s="4">
        <v>4735</v>
      </c>
      <c r="L109" s="4">
        <v>871.904</v>
      </c>
      <c r="M109" s="4">
        <v>871.904</v>
      </c>
      <c r="N109" s="4">
        <v>871.904</v>
      </c>
      <c r="O109" s="4">
        <v>871.904</v>
      </c>
      <c r="P109" s="4">
        <v>0</v>
      </c>
      <c r="Q109" s="3" t="s">
        <v>26</v>
      </c>
      <c r="R109" s="3">
        <v>0</v>
      </c>
      <c r="S109" s="4">
        <v>27</v>
      </c>
      <c r="T109" s="4">
        <v>23</v>
      </c>
      <c r="U109" s="4">
        <v>59</v>
      </c>
      <c r="V109" s="4">
        <f>IF(ISERROR(VLOOKUP($S$109,'TAR FIN'!$A$1:$O$92,15,0)),0,VLOOKUP($S$109,'TAR FIN'!$A$1:$O$92,15,0))</f>
        <v>14.64</v>
      </c>
      <c r="W109" s="4">
        <f>IF(ISERROR(VLOOKUP($T$109,'TAR FIN'!$A$1:$O$92,15,0)),0,VLOOKUP($T$109,'TAR FIN'!$A$1:$O$92,15,0))</f>
        <v>87.73</v>
      </c>
      <c r="X109" s="4">
        <f>IF(ISERROR(VLOOKUP($U$109,'TAR FIN'!$A$1:$O$92,15,0)),0,VLOOKUP($U$109,'TAR FIN'!$A$1:$O$92,15,0))</f>
        <v>253.9</v>
      </c>
      <c r="Y109" s="4">
        <f ca="1">('TUSD BE'!$AM$6+'TUSD BF'!$AM$6+'TUSD CVA'!$AM$6)*1</f>
        <v>19.024476785546895</v>
      </c>
      <c r="Z109" s="4">
        <f ca="1">('TUSD BE'!$AM$7+'TUSD BF'!$AM$7+'TUSD CVA'!$AM$7)*1</f>
        <v>109.44196476324252</v>
      </c>
      <c r="AA109" s="4">
        <f>('TE BE'!$AB$6+'TE BF'!$AB$6+'TE CVA'!$AB$6)*1</f>
        <v>317.3874512882154</v>
      </c>
      <c r="AB109" s="4">
        <f>$K$109*$V$109</f>
        <v>69320.400000000009</v>
      </c>
      <c r="AC109" s="4">
        <f>$M$109*$W$109</f>
        <v>76492.137920000008</v>
      </c>
      <c r="AD109" s="4">
        <f>$O$109*$X$109</f>
        <v>221376.42560000002</v>
      </c>
      <c r="AE109" s="4">
        <f ca="1">$K$109*$Y$109</f>
        <v>90080.897579564553</v>
      </c>
      <c r="AF109" s="4">
        <f ca="1">$M$109*$Z$109</f>
        <v>95422.88684493021</v>
      </c>
      <c r="AG109" s="4">
        <f>$O$109*$AA$109</f>
        <v>276731.38832800015</v>
      </c>
    </row>
    <row r="110" spans="1:33" ht="11.25" customHeight="1" x14ac:dyDescent="0.25">
      <c r="A110" s="3" t="s">
        <v>28</v>
      </c>
      <c r="B110" s="3" t="s">
        <v>39</v>
      </c>
      <c r="C110" s="3" t="s">
        <v>40</v>
      </c>
      <c r="D110" s="3" t="s">
        <v>45</v>
      </c>
      <c r="E110" s="3" t="s">
        <v>25</v>
      </c>
      <c r="F110" s="3" t="s">
        <v>25</v>
      </c>
      <c r="G110" s="3" t="s">
        <v>25</v>
      </c>
      <c r="H110" s="3" t="s">
        <v>35</v>
      </c>
      <c r="I110" s="6">
        <v>44593</v>
      </c>
      <c r="J110" s="4">
        <v>766</v>
      </c>
      <c r="K110" s="4">
        <v>766</v>
      </c>
      <c r="L110" s="4">
        <v>181.23599999999999</v>
      </c>
      <c r="M110" s="4">
        <v>181.23599999999999</v>
      </c>
      <c r="N110" s="4">
        <v>181.23599999999999</v>
      </c>
      <c r="O110" s="4">
        <v>181.23599999999999</v>
      </c>
      <c r="P110" s="4">
        <v>0</v>
      </c>
      <c r="Q110" s="3" t="s">
        <v>26</v>
      </c>
      <c r="R110" s="3">
        <v>0</v>
      </c>
      <c r="S110" s="4">
        <v>27</v>
      </c>
      <c r="T110" s="4">
        <v>23</v>
      </c>
      <c r="U110" s="4">
        <v>59</v>
      </c>
      <c r="V110" s="4">
        <f>IF(ISERROR(VLOOKUP($S$110,'TAR FIN'!$A$1:$O$92,15,0)),0,VLOOKUP($S$110,'TAR FIN'!$A$1:$O$92,15,0))</f>
        <v>14.64</v>
      </c>
      <c r="W110" s="4">
        <f>IF(ISERROR(VLOOKUP($T$110,'TAR FIN'!$A$1:$O$92,15,0)),0,VLOOKUP($T$110,'TAR FIN'!$A$1:$O$92,15,0))</f>
        <v>87.73</v>
      </c>
      <c r="X110" s="4">
        <f>IF(ISERROR(VLOOKUP($U$110,'TAR FIN'!$A$1:$O$92,15,0)),0,VLOOKUP($U$110,'TAR FIN'!$A$1:$O$92,15,0))</f>
        <v>253.9</v>
      </c>
      <c r="Y110" s="4">
        <f ca="1">('TUSD BE'!$AM$6+'TUSD BF'!$AM$6+'TUSD CVA'!$AM$6)*1</f>
        <v>19.024476785546895</v>
      </c>
      <c r="Z110" s="4">
        <f ca="1">('TUSD BE'!$AM$7+'TUSD BF'!$AM$7+'TUSD CVA'!$AM$7)*1</f>
        <v>109.44196476324252</v>
      </c>
      <c r="AA110" s="4">
        <f>('TE BE'!$AB$6+'TE BF'!$AB$6+'TE CVA'!$AB$6)*1</f>
        <v>317.3874512882154</v>
      </c>
      <c r="AB110" s="4">
        <f>$K$110*$V$110</f>
        <v>11214.24</v>
      </c>
      <c r="AC110" s="4">
        <f>$M$110*$W$110</f>
        <v>15899.834279999999</v>
      </c>
      <c r="AD110" s="4">
        <f>$O$110*$X$110</f>
        <v>46015.820399999997</v>
      </c>
      <c r="AE110" s="4">
        <f ca="1">$K$110*$Y$110</f>
        <v>14572.749217728922</v>
      </c>
      <c r="AF110" s="4">
        <f ca="1">$M$110*$Z$110</f>
        <v>19834.82392583102</v>
      </c>
      <c r="AG110" s="4">
        <f>$O$110*$AA$110</f>
        <v>57522.032121671</v>
      </c>
    </row>
    <row r="111" spans="1:33" ht="11.25" customHeight="1" x14ac:dyDescent="0.25">
      <c r="A111" s="3" t="s">
        <v>21</v>
      </c>
      <c r="B111" s="3" t="s">
        <v>39</v>
      </c>
      <c r="C111" s="3" t="s">
        <v>40</v>
      </c>
      <c r="D111" s="3" t="s">
        <v>45</v>
      </c>
      <c r="E111" s="3" t="s">
        <v>25</v>
      </c>
      <c r="F111" s="3" t="s">
        <v>25</v>
      </c>
      <c r="G111" s="3" t="s">
        <v>25</v>
      </c>
      <c r="H111" s="3" t="s">
        <v>35</v>
      </c>
      <c r="I111" s="6">
        <v>44621</v>
      </c>
      <c r="J111" s="4">
        <v>4733</v>
      </c>
      <c r="K111" s="4">
        <v>4733</v>
      </c>
      <c r="L111" s="4">
        <v>954.505</v>
      </c>
      <c r="M111" s="4">
        <v>954.505</v>
      </c>
      <c r="N111" s="4">
        <v>954.505</v>
      </c>
      <c r="O111" s="4">
        <v>954.505</v>
      </c>
      <c r="P111" s="4">
        <v>0</v>
      </c>
      <c r="Q111" s="3" t="s">
        <v>26</v>
      </c>
      <c r="R111" s="3">
        <v>0</v>
      </c>
      <c r="S111" s="4">
        <v>27</v>
      </c>
      <c r="T111" s="4">
        <v>23</v>
      </c>
      <c r="U111" s="4">
        <v>59</v>
      </c>
      <c r="V111" s="4">
        <f>IF(ISERROR(VLOOKUP($S$111,'TAR FIN'!$A$1:$O$92,15,0)),0,VLOOKUP($S$111,'TAR FIN'!$A$1:$O$92,15,0))</f>
        <v>14.64</v>
      </c>
      <c r="W111" s="4">
        <f>IF(ISERROR(VLOOKUP($T$111,'TAR FIN'!$A$1:$O$92,15,0)),0,VLOOKUP($T$111,'TAR FIN'!$A$1:$O$92,15,0))</f>
        <v>87.73</v>
      </c>
      <c r="X111" s="4">
        <f>IF(ISERROR(VLOOKUP($U$111,'TAR FIN'!$A$1:$O$92,15,0)),0,VLOOKUP($U$111,'TAR FIN'!$A$1:$O$92,15,0))</f>
        <v>253.9</v>
      </c>
      <c r="Y111" s="4">
        <f ca="1">('TUSD BE'!$AM$6+'TUSD BF'!$AM$6+'TUSD CVA'!$AM$6)*1</f>
        <v>19.024476785546895</v>
      </c>
      <c r="Z111" s="4">
        <f ca="1">('TUSD BE'!$AM$7+'TUSD BF'!$AM$7+'TUSD CVA'!$AM$7)*1</f>
        <v>109.44196476324252</v>
      </c>
      <c r="AA111" s="4">
        <f>('TE BE'!$AB$6+'TE BF'!$AB$6+'TE CVA'!$AB$6)*1</f>
        <v>317.3874512882154</v>
      </c>
      <c r="AB111" s="4">
        <f>$K$111*$V$111</f>
        <v>69291.12000000001</v>
      </c>
      <c r="AC111" s="4">
        <f>$M$111*$W$111</f>
        <v>83738.72365</v>
      </c>
      <c r="AD111" s="4">
        <f>$O$111*$X$111</f>
        <v>242348.81950000001</v>
      </c>
      <c r="AE111" s="4">
        <f ca="1">$K$111*$Y$111</f>
        <v>90042.848625993458</v>
      </c>
      <c r="AF111" s="4">
        <f ca="1">$M$111*$Z$111</f>
        <v>104462.90257633881</v>
      </c>
      <c r="AG111" s="4">
        <f>$O$111*$AA$111</f>
        <v>302947.90919185802</v>
      </c>
    </row>
    <row r="112" spans="1:33" ht="11.25" customHeight="1" x14ac:dyDescent="0.25">
      <c r="A112" s="3" t="s">
        <v>28</v>
      </c>
      <c r="B112" s="3" t="s">
        <v>39</v>
      </c>
      <c r="C112" s="3" t="s">
        <v>40</v>
      </c>
      <c r="D112" s="3" t="s">
        <v>45</v>
      </c>
      <c r="E112" s="3" t="s">
        <v>25</v>
      </c>
      <c r="F112" s="3" t="s">
        <v>25</v>
      </c>
      <c r="G112" s="3" t="s">
        <v>25</v>
      </c>
      <c r="H112" s="3" t="s">
        <v>35</v>
      </c>
      <c r="I112" s="6">
        <v>44621</v>
      </c>
      <c r="J112" s="4">
        <v>722</v>
      </c>
      <c r="K112" s="4">
        <v>722</v>
      </c>
      <c r="L112" s="4">
        <v>189.297</v>
      </c>
      <c r="M112" s="4">
        <v>189.297</v>
      </c>
      <c r="N112" s="4">
        <v>189.297</v>
      </c>
      <c r="O112" s="4">
        <v>189.297</v>
      </c>
      <c r="P112" s="4">
        <v>0</v>
      </c>
      <c r="Q112" s="3" t="s">
        <v>26</v>
      </c>
      <c r="R112" s="3">
        <v>0</v>
      </c>
      <c r="S112" s="4">
        <v>27</v>
      </c>
      <c r="T112" s="4">
        <v>23</v>
      </c>
      <c r="U112" s="4">
        <v>59</v>
      </c>
      <c r="V112" s="4">
        <f>IF(ISERROR(VLOOKUP($S$112,'TAR FIN'!$A$1:$O$92,15,0)),0,VLOOKUP($S$112,'TAR FIN'!$A$1:$O$92,15,0))</f>
        <v>14.64</v>
      </c>
      <c r="W112" s="4">
        <f>IF(ISERROR(VLOOKUP($T$112,'TAR FIN'!$A$1:$O$92,15,0)),0,VLOOKUP($T$112,'TAR FIN'!$A$1:$O$92,15,0))</f>
        <v>87.73</v>
      </c>
      <c r="X112" s="4">
        <f>IF(ISERROR(VLOOKUP($U$112,'TAR FIN'!$A$1:$O$92,15,0)),0,VLOOKUP($U$112,'TAR FIN'!$A$1:$O$92,15,0))</f>
        <v>253.9</v>
      </c>
      <c r="Y112" s="4">
        <f ca="1">('TUSD BE'!$AM$6+'TUSD BF'!$AM$6+'TUSD CVA'!$AM$6)*1</f>
        <v>19.024476785546895</v>
      </c>
      <c r="Z112" s="4">
        <f ca="1">('TUSD BE'!$AM$7+'TUSD BF'!$AM$7+'TUSD CVA'!$AM$7)*1</f>
        <v>109.44196476324252</v>
      </c>
      <c r="AA112" s="4">
        <f>('TE BE'!$AB$6+'TE BF'!$AB$6+'TE CVA'!$AB$6)*1</f>
        <v>317.3874512882154</v>
      </c>
      <c r="AB112" s="4">
        <f>$K$112*$V$112</f>
        <v>10570.08</v>
      </c>
      <c r="AC112" s="4">
        <f>$M$112*$W$112</f>
        <v>16607.025809999999</v>
      </c>
      <c r="AD112" s="4">
        <f>$O$112*$X$112</f>
        <v>48062.508300000001</v>
      </c>
      <c r="AE112" s="4">
        <f ca="1">$K$112*$Y$112</f>
        <v>13735.672239164858</v>
      </c>
      <c r="AF112" s="4">
        <f ca="1">$M$112*$Z$112</f>
        <v>20717.035603787521</v>
      </c>
      <c r="AG112" s="4">
        <f>$O$112*$AA$112</f>
        <v>60080.492366505307</v>
      </c>
    </row>
    <row r="113" spans="1:33" ht="11.25" customHeight="1" x14ac:dyDescent="0.25">
      <c r="A113" s="3" t="s">
        <v>21</v>
      </c>
      <c r="B113" s="3" t="s">
        <v>39</v>
      </c>
      <c r="C113" s="3" t="s">
        <v>40</v>
      </c>
      <c r="D113" s="3" t="s">
        <v>45</v>
      </c>
      <c r="E113" s="3" t="s">
        <v>25</v>
      </c>
      <c r="F113" s="3" t="s">
        <v>25</v>
      </c>
      <c r="G113" s="3" t="s">
        <v>25</v>
      </c>
      <c r="H113" s="3" t="s">
        <v>35</v>
      </c>
      <c r="I113" s="6">
        <v>44652</v>
      </c>
      <c r="J113" s="4">
        <v>4733</v>
      </c>
      <c r="K113" s="4">
        <v>4733</v>
      </c>
      <c r="L113" s="4">
        <v>954.505</v>
      </c>
      <c r="M113" s="4">
        <v>954.505</v>
      </c>
      <c r="N113" s="4">
        <v>954.505</v>
      </c>
      <c r="O113" s="4">
        <v>954.505</v>
      </c>
      <c r="P113" s="4">
        <v>0</v>
      </c>
      <c r="Q113" s="3" t="s">
        <v>26</v>
      </c>
      <c r="R113" s="3">
        <v>0</v>
      </c>
      <c r="S113" s="4">
        <v>27</v>
      </c>
      <c r="T113" s="4">
        <v>23</v>
      </c>
      <c r="U113" s="4">
        <v>59</v>
      </c>
      <c r="V113" s="4">
        <f>IF(ISERROR(VLOOKUP($S$113,'TAR FIN'!$A$1:$O$92,15,0)),0,VLOOKUP($S$113,'TAR FIN'!$A$1:$O$92,15,0))</f>
        <v>14.64</v>
      </c>
      <c r="W113" s="4">
        <f>IF(ISERROR(VLOOKUP($T$113,'TAR FIN'!$A$1:$O$92,15,0)),0,VLOOKUP($T$113,'TAR FIN'!$A$1:$O$92,15,0))</f>
        <v>87.73</v>
      </c>
      <c r="X113" s="4">
        <f>IF(ISERROR(VLOOKUP($U$113,'TAR FIN'!$A$1:$O$92,15,0)),0,VLOOKUP($U$113,'TAR FIN'!$A$1:$O$92,15,0))</f>
        <v>253.9</v>
      </c>
      <c r="Y113" s="4">
        <f ca="1">('TUSD BE'!$AM$6+'TUSD BF'!$AM$6+'TUSD CVA'!$AM$6)*1</f>
        <v>19.024476785546895</v>
      </c>
      <c r="Z113" s="4">
        <f ca="1">('TUSD BE'!$AM$7+'TUSD BF'!$AM$7+'TUSD CVA'!$AM$7)*1</f>
        <v>109.44196476324252</v>
      </c>
      <c r="AA113" s="4">
        <f>('TE BE'!$AB$6+'TE BF'!$AB$6+'TE CVA'!$AB$6)*1</f>
        <v>317.3874512882154</v>
      </c>
      <c r="AB113" s="4">
        <f>$K$113*$V$113</f>
        <v>69291.12000000001</v>
      </c>
      <c r="AC113" s="4">
        <f>$M$113*$W$113</f>
        <v>83738.72365</v>
      </c>
      <c r="AD113" s="4">
        <f>$O$113*$X$113</f>
        <v>242348.81950000001</v>
      </c>
      <c r="AE113" s="4">
        <f ca="1">$K$113*$Y$113</f>
        <v>90042.848625993458</v>
      </c>
      <c r="AF113" s="4">
        <f ca="1">$M$113*$Z$113</f>
        <v>104462.90257633881</v>
      </c>
      <c r="AG113" s="4">
        <f>$O$113*$AA$113</f>
        <v>302947.90919185802</v>
      </c>
    </row>
    <row r="114" spans="1:33" ht="11.25" customHeight="1" x14ac:dyDescent="0.25">
      <c r="A114" s="3" t="s">
        <v>28</v>
      </c>
      <c r="B114" s="3" t="s">
        <v>39</v>
      </c>
      <c r="C114" s="3" t="s">
        <v>40</v>
      </c>
      <c r="D114" s="3" t="s">
        <v>45</v>
      </c>
      <c r="E114" s="3" t="s">
        <v>25</v>
      </c>
      <c r="F114" s="3" t="s">
        <v>25</v>
      </c>
      <c r="G114" s="3" t="s">
        <v>25</v>
      </c>
      <c r="H114" s="3" t="s">
        <v>35</v>
      </c>
      <c r="I114" s="6">
        <v>44652</v>
      </c>
      <c r="J114" s="4">
        <v>722</v>
      </c>
      <c r="K114" s="4">
        <v>722</v>
      </c>
      <c r="L114" s="4">
        <v>189.297</v>
      </c>
      <c r="M114" s="4">
        <v>189.297</v>
      </c>
      <c r="N114" s="4">
        <v>189.297</v>
      </c>
      <c r="O114" s="4">
        <v>189.297</v>
      </c>
      <c r="P114" s="4">
        <v>0</v>
      </c>
      <c r="Q114" s="3" t="s">
        <v>26</v>
      </c>
      <c r="R114" s="3">
        <v>0</v>
      </c>
      <c r="S114" s="4">
        <v>27</v>
      </c>
      <c r="T114" s="4">
        <v>23</v>
      </c>
      <c r="U114" s="4">
        <v>59</v>
      </c>
      <c r="V114" s="4">
        <f>IF(ISERROR(VLOOKUP($S$114,'TAR FIN'!$A$1:$O$92,15,0)),0,VLOOKUP($S$114,'TAR FIN'!$A$1:$O$92,15,0))</f>
        <v>14.64</v>
      </c>
      <c r="W114" s="4">
        <f>IF(ISERROR(VLOOKUP($T$114,'TAR FIN'!$A$1:$O$92,15,0)),0,VLOOKUP($T$114,'TAR FIN'!$A$1:$O$92,15,0))</f>
        <v>87.73</v>
      </c>
      <c r="X114" s="4">
        <f>IF(ISERROR(VLOOKUP($U$114,'TAR FIN'!$A$1:$O$92,15,0)),0,VLOOKUP($U$114,'TAR FIN'!$A$1:$O$92,15,0))</f>
        <v>253.9</v>
      </c>
      <c r="Y114" s="4">
        <f ca="1">('TUSD BE'!$AM$6+'TUSD BF'!$AM$6+'TUSD CVA'!$AM$6)*1</f>
        <v>19.024476785546895</v>
      </c>
      <c r="Z114" s="4">
        <f ca="1">('TUSD BE'!$AM$7+'TUSD BF'!$AM$7+'TUSD CVA'!$AM$7)*1</f>
        <v>109.44196476324252</v>
      </c>
      <c r="AA114" s="4">
        <f>('TE BE'!$AB$6+'TE BF'!$AB$6+'TE CVA'!$AB$6)*1</f>
        <v>317.3874512882154</v>
      </c>
      <c r="AB114" s="4">
        <f>$K$114*$V$114</f>
        <v>10570.08</v>
      </c>
      <c r="AC114" s="4">
        <f>$M$114*$W$114</f>
        <v>16607.025809999999</v>
      </c>
      <c r="AD114" s="4">
        <f>$O$114*$X$114</f>
        <v>48062.508300000001</v>
      </c>
      <c r="AE114" s="4">
        <f ca="1">$K$114*$Y$114</f>
        <v>13735.672239164858</v>
      </c>
      <c r="AF114" s="4">
        <f ca="1">$M$114*$Z$114</f>
        <v>20717.035603787521</v>
      </c>
      <c r="AG114" s="4">
        <f>$O$114*$AA$114</f>
        <v>60080.492366505307</v>
      </c>
    </row>
    <row r="115" spans="1:33" ht="11.25" customHeight="1" x14ac:dyDescent="0.25">
      <c r="A115" s="3" t="s">
        <v>21</v>
      </c>
      <c r="B115" s="3" t="s">
        <v>39</v>
      </c>
      <c r="C115" s="3" t="s">
        <v>40</v>
      </c>
      <c r="D115" s="3" t="s">
        <v>45</v>
      </c>
      <c r="E115" s="3" t="s">
        <v>25</v>
      </c>
      <c r="F115" s="3" t="s">
        <v>25</v>
      </c>
      <c r="G115" s="3" t="s">
        <v>25</v>
      </c>
      <c r="H115" s="3" t="s">
        <v>35</v>
      </c>
      <c r="I115" s="6">
        <v>44682</v>
      </c>
      <c r="J115" s="4">
        <v>4733</v>
      </c>
      <c r="K115" s="4">
        <v>4733</v>
      </c>
      <c r="L115" s="4">
        <v>822.01</v>
      </c>
      <c r="M115" s="4">
        <v>822.01</v>
      </c>
      <c r="N115" s="4">
        <v>822.01</v>
      </c>
      <c r="O115" s="4">
        <v>822.01</v>
      </c>
      <c r="P115" s="4">
        <v>0</v>
      </c>
      <c r="Q115" s="3" t="s">
        <v>26</v>
      </c>
      <c r="R115" s="3">
        <v>0</v>
      </c>
      <c r="S115" s="4">
        <v>27</v>
      </c>
      <c r="T115" s="4">
        <v>23</v>
      </c>
      <c r="U115" s="4">
        <v>59</v>
      </c>
      <c r="V115" s="4">
        <f>IF(ISERROR(VLOOKUP($S$115,'TAR FIN'!$A$1:$O$92,15,0)),0,VLOOKUP($S$115,'TAR FIN'!$A$1:$O$92,15,0))</f>
        <v>14.64</v>
      </c>
      <c r="W115" s="4">
        <f>IF(ISERROR(VLOOKUP($T$115,'TAR FIN'!$A$1:$O$92,15,0)),0,VLOOKUP($T$115,'TAR FIN'!$A$1:$O$92,15,0))</f>
        <v>87.73</v>
      </c>
      <c r="X115" s="4">
        <f>IF(ISERROR(VLOOKUP($U$115,'TAR FIN'!$A$1:$O$92,15,0)),0,VLOOKUP($U$115,'TAR FIN'!$A$1:$O$92,15,0))</f>
        <v>253.9</v>
      </c>
      <c r="Y115" s="4">
        <f ca="1">('TUSD BE'!$AM$6+'TUSD BF'!$AM$6+'TUSD CVA'!$AM$6)*1</f>
        <v>19.024476785546895</v>
      </c>
      <c r="Z115" s="4">
        <f ca="1">('TUSD BE'!$AM$7+'TUSD BF'!$AM$7+'TUSD CVA'!$AM$7)*1</f>
        <v>109.44196476324252</v>
      </c>
      <c r="AA115" s="4">
        <f>('TE BE'!$AB$6+'TE BF'!$AB$6+'TE CVA'!$AB$6)*1</f>
        <v>317.3874512882154</v>
      </c>
      <c r="AB115" s="4">
        <f>$K$115*$V$115</f>
        <v>69291.12000000001</v>
      </c>
      <c r="AC115" s="4">
        <f>$M$115*$W$115</f>
        <v>72114.937300000005</v>
      </c>
      <c r="AD115" s="4">
        <f>$O$115*$X$115</f>
        <v>208708.33900000001</v>
      </c>
      <c r="AE115" s="4">
        <f ca="1">$K$115*$Y$115</f>
        <v>90042.848625993458</v>
      </c>
      <c r="AF115" s="4">
        <f ca="1">$M$115*$Z$115</f>
        <v>89962.389455032986</v>
      </c>
      <c r="AG115" s="4">
        <f>$O$115*$AA$115</f>
        <v>260895.65883342593</v>
      </c>
    </row>
    <row r="116" spans="1:33" ht="11.25" customHeight="1" x14ac:dyDescent="0.25">
      <c r="A116" s="3" t="s">
        <v>28</v>
      </c>
      <c r="B116" s="3" t="s">
        <v>39</v>
      </c>
      <c r="C116" s="3" t="s">
        <v>40</v>
      </c>
      <c r="D116" s="3" t="s">
        <v>45</v>
      </c>
      <c r="E116" s="3" t="s">
        <v>25</v>
      </c>
      <c r="F116" s="3" t="s">
        <v>25</v>
      </c>
      <c r="G116" s="3" t="s">
        <v>25</v>
      </c>
      <c r="H116" s="3" t="s">
        <v>35</v>
      </c>
      <c r="I116" s="6">
        <v>44682</v>
      </c>
      <c r="J116" s="4">
        <v>948</v>
      </c>
      <c r="K116" s="4">
        <v>948</v>
      </c>
      <c r="L116" s="4">
        <v>64.331999999999994</v>
      </c>
      <c r="M116" s="4">
        <v>64.331999999999994</v>
      </c>
      <c r="N116" s="4">
        <v>64.331999999999994</v>
      </c>
      <c r="O116" s="4">
        <v>64.331999999999994</v>
      </c>
      <c r="P116" s="4">
        <v>0</v>
      </c>
      <c r="Q116" s="3" t="s">
        <v>26</v>
      </c>
      <c r="R116" s="3">
        <v>0</v>
      </c>
      <c r="S116" s="4">
        <v>27</v>
      </c>
      <c r="T116" s="4">
        <v>23</v>
      </c>
      <c r="U116" s="4">
        <v>59</v>
      </c>
      <c r="V116" s="4">
        <f>IF(ISERROR(VLOOKUP($S$116,'TAR FIN'!$A$1:$O$92,15,0)),0,VLOOKUP($S$116,'TAR FIN'!$A$1:$O$92,15,0))</f>
        <v>14.64</v>
      </c>
      <c r="W116" s="4">
        <f>IF(ISERROR(VLOOKUP($T$116,'TAR FIN'!$A$1:$O$92,15,0)),0,VLOOKUP($T$116,'TAR FIN'!$A$1:$O$92,15,0))</f>
        <v>87.73</v>
      </c>
      <c r="X116" s="4">
        <f>IF(ISERROR(VLOOKUP($U$116,'TAR FIN'!$A$1:$O$92,15,0)),0,VLOOKUP($U$116,'TAR FIN'!$A$1:$O$92,15,0))</f>
        <v>253.9</v>
      </c>
      <c r="Y116" s="4">
        <f ca="1">('TUSD BE'!$AM$6+'TUSD BF'!$AM$6+'TUSD CVA'!$AM$6)*1</f>
        <v>19.024476785546895</v>
      </c>
      <c r="Z116" s="4">
        <f ca="1">('TUSD BE'!$AM$7+'TUSD BF'!$AM$7+'TUSD CVA'!$AM$7)*1</f>
        <v>109.44196476324252</v>
      </c>
      <c r="AA116" s="4">
        <f>('TE BE'!$AB$6+'TE BF'!$AB$6+'TE CVA'!$AB$6)*1</f>
        <v>317.3874512882154</v>
      </c>
      <c r="AB116" s="4">
        <f>$K$116*$V$116</f>
        <v>13878.720000000001</v>
      </c>
      <c r="AC116" s="4">
        <f>$M$116*$W$116</f>
        <v>5643.8463599999995</v>
      </c>
      <c r="AD116" s="4">
        <f>$O$116*$X$116</f>
        <v>16333.894799999998</v>
      </c>
      <c r="AE116" s="4">
        <f ca="1">$K$116*$Y$116</f>
        <v>18035.203992698458</v>
      </c>
      <c r="AF116" s="4">
        <f ca="1">$M$116*$Z$116</f>
        <v>7040.6204771489174</v>
      </c>
      <c r="AG116" s="4">
        <f>$O$116*$AA$116</f>
        <v>20418.169516273472</v>
      </c>
    </row>
    <row r="117" spans="1:33" ht="11.25" customHeight="1" x14ac:dyDescent="0.25">
      <c r="A117" s="3" t="s">
        <v>21</v>
      </c>
      <c r="B117" s="3" t="s">
        <v>39</v>
      </c>
      <c r="C117" s="3" t="s">
        <v>40</v>
      </c>
      <c r="D117" s="3" t="s">
        <v>45</v>
      </c>
      <c r="E117" s="3" t="s">
        <v>25</v>
      </c>
      <c r="F117" s="3" t="s">
        <v>25</v>
      </c>
      <c r="G117" s="3" t="s">
        <v>25</v>
      </c>
      <c r="H117" s="3" t="s">
        <v>35</v>
      </c>
      <c r="I117" s="6">
        <v>44713</v>
      </c>
      <c r="J117" s="4">
        <v>4733</v>
      </c>
      <c r="K117" s="4">
        <v>4733</v>
      </c>
      <c r="L117" s="4">
        <v>802.68799999999999</v>
      </c>
      <c r="M117" s="4">
        <v>802.68799999999999</v>
      </c>
      <c r="N117" s="4">
        <v>802.68799999999999</v>
      </c>
      <c r="O117" s="4">
        <v>802.68799999999999</v>
      </c>
      <c r="P117" s="4">
        <v>0</v>
      </c>
      <c r="Q117" s="3" t="s">
        <v>26</v>
      </c>
      <c r="R117" s="3">
        <v>0</v>
      </c>
      <c r="S117" s="4">
        <v>27</v>
      </c>
      <c r="T117" s="4">
        <v>23</v>
      </c>
      <c r="U117" s="4">
        <v>59</v>
      </c>
      <c r="V117" s="4">
        <f>IF(ISERROR(VLOOKUP($S$117,'TAR FIN'!$A$1:$O$92,15,0)),0,VLOOKUP($S$117,'TAR FIN'!$A$1:$O$92,15,0))</f>
        <v>14.64</v>
      </c>
      <c r="W117" s="4">
        <f>IF(ISERROR(VLOOKUP($T$117,'TAR FIN'!$A$1:$O$92,15,0)),0,VLOOKUP($T$117,'TAR FIN'!$A$1:$O$92,15,0))</f>
        <v>87.73</v>
      </c>
      <c r="X117" s="4">
        <f>IF(ISERROR(VLOOKUP($U$117,'TAR FIN'!$A$1:$O$92,15,0)),0,VLOOKUP($U$117,'TAR FIN'!$A$1:$O$92,15,0))</f>
        <v>253.9</v>
      </c>
      <c r="Y117" s="4">
        <f ca="1">('TUSD BE'!$AM$6+'TUSD BF'!$AM$6+'TUSD CVA'!$AM$6)*1</f>
        <v>19.024476785546895</v>
      </c>
      <c r="Z117" s="4">
        <f ca="1">('TUSD BE'!$AM$7+'TUSD BF'!$AM$7+'TUSD CVA'!$AM$7)*1</f>
        <v>109.44196476324252</v>
      </c>
      <c r="AA117" s="4">
        <f>('TE BE'!$AB$6+'TE BF'!$AB$6+'TE CVA'!$AB$6)*1</f>
        <v>317.3874512882154</v>
      </c>
      <c r="AB117" s="4">
        <f>$K$117*$V$117</f>
        <v>69291.12000000001</v>
      </c>
      <c r="AC117" s="4">
        <f>$M$117*$W$117</f>
        <v>70419.818240000008</v>
      </c>
      <c r="AD117" s="4">
        <f>$O$117*$X$117</f>
        <v>203802.48319999999</v>
      </c>
      <c r="AE117" s="4">
        <f ca="1">$K$117*$Y$117</f>
        <v>90042.848625993458</v>
      </c>
      <c r="AF117" s="4">
        <f ca="1">$M$117*$Z$117</f>
        <v>87847.751811877621</v>
      </c>
      <c r="AG117" s="4">
        <f>$O$117*$AA$117</f>
        <v>254763.09849963503</v>
      </c>
    </row>
    <row r="118" spans="1:33" ht="11.25" customHeight="1" x14ac:dyDescent="0.25">
      <c r="A118" s="3" t="s">
        <v>28</v>
      </c>
      <c r="B118" s="3" t="s">
        <v>39</v>
      </c>
      <c r="C118" s="3" t="s">
        <v>40</v>
      </c>
      <c r="D118" s="3" t="s">
        <v>45</v>
      </c>
      <c r="E118" s="3" t="s">
        <v>25</v>
      </c>
      <c r="F118" s="3" t="s">
        <v>25</v>
      </c>
      <c r="G118" s="3" t="s">
        <v>25</v>
      </c>
      <c r="H118" s="3" t="s">
        <v>35</v>
      </c>
      <c r="I118" s="6">
        <v>44713</v>
      </c>
      <c r="J118" s="4">
        <v>237</v>
      </c>
      <c r="K118" s="4">
        <v>237</v>
      </c>
      <c r="L118" s="4">
        <v>15.904999999999999</v>
      </c>
      <c r="M118" s="4">
        <v>15.904999999999999</v>
      </c>
      <c r="N118" s="4">
        <v>15.904999999999999</v>
      </c>
      <c r="O118" s="4">
        <v>15.904999999999999</v>
      </c>
      <c r="P118" s="4">
        <v>0</v>
      </c>
      <c r="Q118" s="3" t="s">
        <v>26</v>
      </c>
      <c r="R118" s="3">
        <v>0</v>
      </c>
      <c r="S118" s="4">
        <v>27</v>
      </c>
      <c r="T118" s="4">
        <v>23</v>
      </c>
      <c r="U118" s="4">
        <v>59</v>
      </c>
      <c r="V118" s="4">
        <f>IF(ISERROR(VLOOKUP($S$118,'TAR FIN'!$A$1:$O$92,15,0)),0,VLOOKUP($S$118,'TAR FIN'!$A$1:$O$92,15,0))</f>
        <v>14.64</v>
      </c>
      <c r="W118" s="4">
        <f>IF(ISERROR(VLOOKUP($T$118,'TAR FIN'!$A$1:$O$92,15,0)),0,VLOOKUP($T$118,'TAR FIN'!$A$1:$O$92,15,0))</f>
        <v>87.73</v>
      </c>
      <c r="X118" s="4">
        <f>IF(ISERROR(VLOOKUP($U$118,'TAR FIN'!$A$1:$O$92,15,0)),0,VLOOKUP($U$118,'TAR FIN'!$A$1:$O$92,15,0))</f>
        <v>253.9</v>
      </c>
      <c r="Y118" s="4">
        <f ca="1">('TUSD BE'!$AM$6+'TUSD BF'!$AM$6+'TUSD CVA'!$AM$6)*1</f>
        <v>19.024476785546895</v>
      </c>
      <c r="Z118" s="4">
        <f ca="1">('TUSD BE'!$AM$7+'TUSD BF'!$AM$7+'TUSD CVA'!$AM$7)*1</f>
        <v>109.44196476324252</v>
      </c>
      <c r="AA118" s="4">
        <f>('TE BE'!$AB$6+'TE BF'!$AB$6+'TE CVA'!$AB$6)*1</f>
        <v>317.3874512882154</v>
      </c>
      <c r="AB118" s="4">
        <f>$K$118*$V$118</f>
        <v>3469.6800000000003</v>
      </c>
      <c r="AC118" s="4">
        <f>$M$118*$W$118</f>
        <v>1395.34565</v>
      </c>
      <c r="AD118" s="4">
        <f>$O$118*$X$118</f>
        <v>4038.2795000000001</v>
      </c>
      <c r="AE118" s="4">
        <f ca="1">$K$118*$Y$118</f>
        <v>4508.8009981746145</v>
      </c>
      <c r="AF118" s="4">
        <f ca="1">$M$118*$Z$118</f>
        <v>1740.6744495593723</v>
      </c>
      <c r="AG118" s="4">
        <f>$O$118*$AA$118</f>
        <v>5048.0474127390662</v>
      </c>
    </row>
    <row r="119" spans="1:33" ht="11.25" customHeight="1" x14ac:dyDescent="0.25">
      <c r="A119" s="3" t="s">
        <v>21</v>
      </c>
      <c r="B119" s="3" t="s">
        <v>39</v>
      </c>
      <c r="C119" s="3" t="s">
        <v>40</v>
      </c>
      <c r="D119" s="3" t="s">
        <v>45</v>
      </c>
      <c r="E119" s="3" t="s">
        <v>25</v>
      </c>
      <c r="F119" s="3" t="s">
        <v>25</v>
      </c>
      <c r="G119" s="3" t="s">
        <v>25</v>
      </c>
      <c r="H119" s="3" t="s">
        <v>35</v>
      </c>
      <c r="I119" s="6">
        <v>44743</v>
      </c>
      <c r="J119" s="4">
        <v>4733</v>
      </c>
      <c r="K119" s="4">
        <v>4733</v>
      </c>
      <c r="L119" s="4">
        <v>921.52200000000005</v>
      </c>
      <c r="M119" s="4">
        <v>921.52200000000005</v>
      </c>
      <c r="N119" s="4">
        <v>921.52200000000005</v>
      </c>
      <c r="O119" s="4">
        <v>921.52200000000005</v>
      </c>
      <c r="P119" s="4">
        <v>0</v>
      </c>
      <c r="Q119" s="3" t="s">
        <v>26</v>
      </c>
      <c r="R119" s="3">
        <v>0</v>
      </c>
      <c r="S119" s="4">
        <v>27</v>
      </c>
      <c r="T119" s="4">
        <v>23</v>
      </c>
      <c r="U119" s="4">
        <v>59</v>
      </c>
      <c r="V119" s="4">
        <f>IF(ISERROR(VLOOKUP($S$119,'TAR FIN'!$A$1:$O$92,15,0)),0,VLOOKUP($S$119,'TAR FIN'!$A$1:$O$92,15,0))</f>
        <v>14.64</v>
      </c>
      <c r="W119" s="4">
        <f>IF(ISERROR(VLOOKUP($T$119,'TAR FIN'!$A$1:$O$92,15,0)),0,VLOOKUP($T$119,'TAR FIN'!$A$1:$O$92,15,0))</f>
        <v>87.73</v>
      </c>
      <c r="X119" s="4">
        <f>IF(ISERROR(VLOOKUP($U$119,'TAR FIN'!$A$1:$O$92,15,0)),0,VLOOKUP($U$119,'TAR FIN'!$A$1:$O$92,15,0))</f>
        <v>253.9</v>
      </c>
      <c r="Y119" s="4">
        <f ca="1">('TUSD BE'!$AM$6+'TUSD BF'!$AM$6+'TUSD CVA'!$AM$6)*1</f>
        <v>19.024476785546895</v>
      </c>
      <c r="Z119" s="4">
        <f ca="1">('TUSD BE'!$AM$7+'TUSD BF'!$AM$7+'TUSD CVA'!$AM$7)*1</f>
        <v>109.44196476324252</v>
      </c>
      <c r="AA119" s="4">
        <f>('TE BE'!$AB$6+'TE BF'!$AB$6+'TE CVA'!$AB$6)*1</f>
        <v>317.3874512882154</v>
      </c>
      <c r="AB119" s="4">
        <f>$K$119*$V$119</f>
        <v>69291.12000000001</v>
      </c>
      <c r="AC119" s="4">
        <f>$M$119*$W$119</f>
        <v>80845.125060000006</v>
      </c>
      <c r="AD119" s="4">
        <f>$O$119*$X$119</f>
        <v>233974.43580000001</v>
      </c>
      <c r="AE119" s="4">
        <f ca="1">$K$119*$Y$119</f>
        <v>90042.848625993458</v>
      </c>
      <c r="AF119" s="4">
        <f ca="1">$M$119*$Z$119</f>
        <v>100853.17825255278</v>
      </c>
      <c r="AG119" s="4">
        <f>$O$119*$AA$119</f>
        <v>292479.51888601884</v>
      </c>
    </row>
    <row r="120" spans="1:33" ht="11.25" customHeight="1" x14ac:dyDescent="0.25">
      <c r="A120" s="3" t="s">
        <v>28</v>
      </c>
      <c r="B120" s="3" t="s">
        <v>39</v>
      </c>
      <c r="C120" s="3" t="s">
        <v>40</v>
      </c>
      <c r="D120" s="3" t="s">
        <v>45</v>
      </c>
      <c r="E120" s="3" t="s">
        <v>25</v>
      </c>
      <c r="F120" s="3" t="s">
        <v>25</v>
      </c>
      <c r="G120" s="3" t="s">
        <v>25</v>
      </c>
      <c r="H120" s="3" t="s">
        <v>35</v>
      </c>
      <c r="I120" s="6">
        <v>44743</v>
      </c>
      <c r="J120" s="4">
        <v>237</v>
      </c>
      <c r="K120" s="4">
        <v>237</v>
      </c>
      <c r="L120" s="4">
        <v>17.039000000000001</v>
      </c>
      <c r="M120" s="4">
        <v>17.039000000000001</v>
      </c>
      <c r="N120" s="4">
        <v>17.039000000000001</v>
      </c>
      <c r="O120" s="4">
        <v>17.039000000000001</v>
      </c>
      <c r="P120" s="4">
        <v>0</v>
      </c>
      <c r="Q120" s="3" t="s">
        <v>26</v>
      </c>
      <c r="R120" s="3">
        <v>0</v>
      </c>
      <c r="S120" s="4">
        <v>27</v>
      </c>
      <c r="T120" s="4">
        <v>23</v>
      </c>
      <c r="U120" s="4">
        <v>59</v>
      </c>
      <c r="V120" s="4">
        <f>IF(ISERROR(VLOOKUP($S$120,'TAR FIN'!$A$1:$O$92,15,0)),0,VLOOKUP($S$120,'TAR FIN'!$A$1:$O$92,15,0))</f>
        <v>14.64</v>
      </c>
      <c r="W120" s="4">
        <f>IF(ISERROR(VLOOKUP($T$120,'TAR FIN'!$A$1:$O$92,15,0)),0,VLOOKUP($T$120,'TAR FIN'!$A$1:$O$92,15,0))</f>
        <v>87.73</v>
      </c>
      <c r="X120" s="4">
        <f>IF(ISERROR(VLOOKUP($U$120,'TAR FIN'!$A$1:$O$92,15,0)),0,VLOOKUP($U$120,'TAR FIN'!$A$1:$O$92,15,0))</f>
        <v>253.9</v>
      </c>
      <c r="Y120" s="4">
        <f ca="1">('TUSD BE'!$AM$6+'TUSD BF'!$AM$6+'TUSD CVA'!$AM$6)*1</f>
        <v>19.024476785546895</v>
      </c>
      <c r="Z120" s="4">
        <f ca="1">('TUSD BE'!$AM$7+'TUSD BF'!$AM$7+'TUSD CVA'!$AM$7)*1</f>
        <v>109.44196476324252</v>
      </c>
      <c r="AA120" s="4">
        <f>('TE BE'!$AB$6+'TE BF'!$AB$6+'TE CVA'!$AB$6)*1</f>
        <v>317.3874512882154</v>
      </c>
      <c r="AB120" s="4">
        <f>$K$120*$V$120</f>
        <v>3469.6800000000003</v>
      </c>
      <c r="AC120" s="4">
        <f>$M$120*$W$120</f>
        <v>1494.8314700000003</v>
      </c>
      <c r="AD120" s="4">
        <f>$O$120*$X$120</f>
        <v>4326.2021000000004</v>
      </c>
      <c r="AE120" s="4">
        <f ca="1">$K$120*$Y$120</f>
        <v>4508.8009981746145</v>
      </c>
      <c r="AF120" s="4">
        <f ca="1">$M$120*$Z$120</f>
        <v>1864.7816376008896</v>
      </c>
      <c r="AG120" s="4">
        <f>$O$120*$AA$120</f>
        <v>5407.9647824999029</v>
      </c>
    </row>
    <row r="121" spans="1:33" ht="11.25" customHeight="1" x14ac:dyDescent="0.25">
      <c r="A121" s="3" t="s">
        <v>21</v>
      </c>
      <c r="B121" s="3" t="s">
        <v>39</v>
      </c>
      <c r="C121" s="3" t="s">
        <v>40</v>
      </c>
      <c r="D121" s="3" t="s">
        <v>45</v>
      </c>
      <c r="E121" s="3" t="s">
        <v>25</v>
      </c>
      <c r="F121" s="3" t="s">
        <v>25</v>
      </c>
      <c r="G121" s="3" t="s">
        <v>25</v>
      </c>
      <c r="H121" s="3" t="s">
        <v>35</v>
      </c>
      <c r="I121" s="6">
        <v>44774</v>
      </c>
      <c r="J121" s="4">
        <v>4741</v>
      </c>
      <c r="K121" s="4">
        <v>4741</v>
      </c>
      <c r="L121" s="4">
        <v>996.81</v>
      </c>
      <c r="M121" s="4">
        <v>996.81</v>
      </c>
      <c r="N121" s="4">
        <v>996.81</v>
      </c>
      <c r="O121" s="4">
        <v>996.81</v>
      </c>
      <c r="P121" s="4">
        <v>0</v>
      </c>
      <c r="Q121" s="3" t="s">
        <v>26</v>
      </c>
      <c r="R121" s="3">
        <v>0</v>
      </c>
      <c r="S121" s="4">
        <v>27</v>
      </c>
      <c r="T121" s="4">
        <v>23</v>
      </c>
      <c r="U121" s="4">
        <v>59</v>
      </c>
      <c r="V121" s="4">
        <f>IF(ISERROR(VLOOKUP($S$121,'TAR FIN'!$A$1:$O$92,15,0)),0,VLOOKUP($S$121,'TAR FIN'!$A$1:$O$92,15,0))</f>
        <v>14.64</v>
      </c>
      <c r="W121" s="4">
        <f>IF(ISERROR(VLOOKUP($T$121,'TAR FIN'!$A$1:$O$92,15,0)),0,VLOOKUP($T$121,'TAR FIN'!$A$1:$O$92,15,0))</f>
        <v>87.73</v>
      </c>
      <c r="X121" s="4">
        <f>IF(ISERROR(VLOOKUP($U$121,'TAR FIN'!$A$1:$O$92,15,0)),0,VLOOKUP($U$121,'TAR FIN'!$A$1:$O$92,15,0))</f>
        <v>253.9</v>
      </c>
      <c r="Y121" s="4">
        <f ca="1">('TUSD BE'!$AM$6+'TUSD BF'!$AM$6+'TUSD CVA'!$AM$6)*1</f>
        <v>19.024476785546895</v>
      </c>
      <c r="Z121" s="4">
        <f ca="1">('TUSD BE'!$AM$7+'TUSD BF'!$AM$7+'TUSD CVA'!$AM$7)*1</f>
        <v>109.44196476324252</v>
      </c>
      <c r="AA121" s="4">
        <f>('TE BE'!$AB$6+'TE BF'!$AB$6+'TE CVA'!$AB$6)*1</f>
        <v>317.3874512882154</v>
      </c>
      <c r="AB121" s="4">
        <f>$K$121*$V$121</f>
        <v>69408.240000000005</v>
      </c>
      <c r="AC121" s="4">
        <f>$M$121*$W$121</f>
        <v>87450.141300000003</v>
      </c>
      <c r="AD121" s="4">
        <f>$O$121*$X$121</f>
        <v>253090.05899999998</v>
      </c>
      <c r="AE121" s="4">
        <f ca="1">$K$121*$Y$121</f>
        <v>90195.044440277823</v>
      </c>
      <c r="AF121" s="4">
        <f ca="1">$M$121*$Z$121</f>
        <v>109092.84489564778</v>
      </c>
      <c r="AG121" s="4">
        <f>$O$121*$AA$121</f>
        <v>316374.98531860596</v>
      </c>
    </row>
    <row r="122" spans="1:33" ht="11.25" customHeight="1" x14ac:dyDescent="0.25">
      <c r="A122" s="3" t="s">
        <v>28</v>
      </c>
      <c r="B122" s="3" t="s">
        <v>39</v>
      </c>
      <c r="C122" s="3" t="s">
        <v>40</v>
      </c>
      <c r="D122" s="3" t="s">
        <v>45</v>
      </c>
      <c r="E122" s="3" t="s">
        <v>25</v>
      </c>
      <c r="F122" s="3" t="s">
        <v>25</v>
      </c>
      <c r="G122" s="3" t="s">
        <v>25</v>
      </c>
      <c r="H122" s="3" t="s">
        <v>35</v>
      </c>
      <c r="I122" s="6">
        <v>44774</v>
      </c>
      <c r="J122" s="4">
        <v>237</v>
      </c>
      <c r="K122" s="4">
        <v>237</v>
      </c>
      <c r="L122" s="4">
        <v>18.137</v>
      </c>
      <c r="M122" s="4">
        <v>18.137</v>
      </c>
      <c r="N122" s="4">
        <v>18.137</v>
      </c>
      <c r="O122" s="4">
        <v>18.137</v>
      </c>
      <c r="P122" s="4">
        <v>0</v>
      </c>
      <c r="Q122" s="3" t="s">
        <v>26</v>
      </c>
      <c r="R122" s="3">
        <v>0</v>
      </c>
      <c r="S122" s="4">
        <v>27</v>
      </c>
      <c r="T122" s="4">
        <v>23</v>
      </c>
      <c r="U122" s="4">
        <v>59</v>
      </c>
      <c r="V122" s="4">
        <f>IF(ISERROR(VLOOKUP($S$122,'TAR FIN'!$A$1:$O$92,15,0)),0,VLOOKUP($S$122,'TAR FIN'!$A$1:$O$92,15,0))</f>
        <v>14.64</v>
      </c>
      <c r="W122" s="4">
        <f>IF(ISERROR(VLOOKUP($T$122,'TAR FIN'!$A$1:$O$92,15,0)),0,VLOOKUP($T$122,'TAR FIN'!$A$1:$O$92,15,0))</f>
        <v>87.73</v>
      </c>
      <c r="X122" s="4">
        <f>IF(ISERROR(VLOOKUP($U$122,'TAR FIN'!$A$1:$O$92,15,0)),0,VLOOKUP($U$122,'TAR FIN'!$A$1:$O$92,15,0))</f>
        <v>253.9</v>
      </c>
      <c r="Y122" s="4">
        <f ca="1">('TUSD BE'!$AM$6+'TUSD BF'!$AM$6+'TUSD CVA'!$AM$6)*1</f>
        <v>19.024476785546895</v>
      </c>
      <c r="Z122" s="4">
        <f ca="1">('TUSD BE'!$AM$7+'TUSD BF'!$AM$7+'TUSD CVA'!$AM$7)*1</f>
        <v>109.44196476324252</v>
      </c>
      <c r="AA122" s="4">
        <f>('TE BE'!$AB$6+'TE BF'!$AB$6+'TE CVA'!$AB$6)*1</f>
        <v>317.3874512882154</v>
      </c>
      <c r="AB122" s="4">
        <f>$K$122*$V$122</f>
        <v>3469.6800000000003</v>
      </c>
      <c r="AC122" s="4">
        <f>$M$122*$W$122</f>
        <v>1591.1590100000001</v>
      </c>
      <c r="AD122" s="4">
        <f>$O$122*$X$122</f>
        <v>4604.9843000000001</v>
      </c>
      <c r="AE122" s="4">
        <f ca="1">$K$122*$Y$122</f>
        <v>4508.8009981746145</v>
      </c>
      <c r="AF122" s="4">
        <f ca="1">$M$122*$Z$122</f>
        <v>1984.9489149109297</v>
      </c>
      <c r="AG122" s="4">
        <f>$O$122*$AA$122</f>
        <v>5756.4562040143628</v>
      </c>
    </row>
    <row r="123" spans="1:33" ht="11.25" customHeight="1" x14ac:dyDescent="0.25">
      <c r="A123" s="3" t="s">
        <v>21</v>
      </c>
      <c r="B123" s="3" t="s">
        <v>39</v>
      </c>
      <c r="C123" s="3" t="s">
        <v>40</v>
      </c>
      <c r="D123" s="3" t="s">
        <v>45</v>
      </c>
      <c r="E123" s="3" t="s">
        <v>25</v>
      </c>
      <c r="F123" s="3" t="s">
        <v>25</v>
      </c>
      <c r="G123" s="3" t="s">
        <v>25</v>
      </c>
      <c r="H123" s="3" t="s">
        <v>35</v>
      </c>
      <c r="I123" s="6">
        <v>44805</v>
      </c>
      <c r="J123" s="4">
        <v>4742</v>
      </c>
      <c r="K123" s="4">
        <v>4742</v>
      </c>
      <c r="L123" s="4">
        <v>1045.837</v>
      </c>
      <c r="M123" s="4">
        <v>1045.837</v>
      </c>
      <c r="N123" s="4">
        <v>1045.837</v>
      </c>
      <c r="O123" s="4">
        <v>1045.837</v>
      </c>
      <c r="P123" s="4">
        <v>0</v>
      </c>
      <c r="Q123" s="3" t="s">
        <v>26</v>
      </c>
      <c r="R123" s="3">
        <v>0</v>
      </c>
      <c r="S123" s="4">
        <v>27</v>
      </c>
      <c r="T123" s="4">
        <v>23</v>
      </c>
      <c r="U123" s="4">
        <v>59</v>
      </c>
      <c r="V123" s="4">
        <f>IF(ISERROR(VLOOKUP($S$123,'TAR FIN'!$A$1:$O$92,15,0)),0,VLOOKUP($S$123,'TAR FIN'!$A$1:$O$92,15,0))</f>
        <v>14.64</v>
      </c>
      <c r="W123" s="4">
        <f>IF(ISERROR(VLOOKUP($T$123,'TAR FIN'!$A$1:$O$92,15,0)),0,VLOOKUP($T$123,'TAR FIN'!$A$1:$O$92,15,0))</f>
        <v>87.73</v>
      </c>
      <c r="X123" s="4">
        <f>IF(ISERROR(VLOOKUP($U$123,'TAR FIN'!$A$1:$O$92,15,0)),0,VLOOKUP($U$123,'TAR FIN'!$A$1:$O$92,15,0))</f>
        <v>253.9</v>
      </c>
      <c r="Y123" s="4">
        <f ca="1">('TUSD BE'!$AM$6+'TUSD BF'!$AM$6+'TUSD CVA'!$AM$6)*1</f>
        <v>19.024476785546895</v>
      </c>
      <c r="Z123" s="4">
        <f ca="1">('TUSD BE'!$AM$7+'TUSD BF'!$AM$7+'TUSD CVA'!$AM$7)*1</f>
        <v>109.44196476324252</v>
      </c>
      <c r="AA123" s="4">
        <f>('TE BE'!$AB$6+'TE BF'!$AB$6+'TE CVA'!$AB$6)*1</f>
        <v>317.3874512882154</v>
      </c>
      <c r="AB123" s="4">
        <f>$K$123*$V$123</f>
        <v>69422.880000000005</v>
      </c>
      <c r="AC123" s="4">
        <f>$M$123*$W$123</f>
        <v>91751.280010000002</v>
      </c>
      <c r="AD123" s="4">
        <f>$O$123*$X$123</f>
        <v>265538.01429999998</v>
      </c>
      <c r="AE123" s="4">
        <f ca="1">$K$123*$Y$123</f>
        <v>90214.06891706337</v>
      </c>
      <c r="AF123" s="4">
        <f ca="1">$M$123*$Z$123</f>
        <v>114458.45610209527</v>
      </c>
      <c r="AG123" s="4">
        <f>$O$123*$AA$123</f>
        <v>331935.53989291331</v>
      </c>
    </row>
    <row r="124" spans="1:33" ht="11.25" customHeight="1" x14ac:dyDescent="0.25">
      <c r="A124" s="3" t="s">
        <v>28</v>
      </c>
      <c r="B124" s="3" t="s">
        <v>39</v>
      </c>
      <c r="C124" s="3" t="s">
        <v>40</v>
      </c>
      <c r="D124" s="3" t="s">
        <v>45</v>
      </c>
      <c r="E124" s="3" t="s">
        <v>25</v>
      </c>
      <c r="F124" s="3" t="s">
        <v>25</v>
      </c>
      <c r="G124" s="3" t="s">
        <v>25</v>
      </c>
      <c r="H124" s="3" t="s">
        <v>35</v>
      </c>
      <c r="I124" s="6">
        <v>44805</v>
      </c>
      <c r="J124" s="4">
        <v>237</v>
      </c>
      <c r="K124" s="4">
        <v>237</v>
      </c>
      <c r="L124" s="4">
        <v>16.814</v>
      </c>
      <c r="M124" s="4">
        <v>16.814</v>
      </c>
      <c r="N124" s="4">
        <v>16.814</v>
      </c>
      <c r="O124" s="4">
        <v>16.814</v>
      </c>
      <c r="P124" s="4">
        <v>0</v>
      </c>
      <c r="Q124" s="3" t="s">
        <v>26</v>
      </c>
      <c r="R124" s="3">
        <v>0</v>
      </c>
      <c r="S124" s="4">
        <v>27</v>
      </c>
      <c r="T124" s="4">
        <v>23</v>
      </c>
      <c r="U124" s="4">
        <v>59</v>
      </c>
      <c r="V124" s="4">
        <f>IF(ISERROR(VLOOKUP($S$124,'TAR FIN'!$A$1:$O$92,15,0)),0,VLOOKUP($S$124,'TAR FIN'!$A$1:$O$92,15,0))</f>
        <v>14.64</v>
      </c>
      <c r="W124" s="4">
        <f>IF(ISERROR(VLOOKUP($T$124,'TAR FIN'!$A$1:$O$92,15,0)),0,VLOOKUP($T$124,'TAR FIN'!$A$1:$O$92,15,0))</f>
        <v>87.73</v>
      </c>
      <c r="X124" s="4">
        <f>IF(ISERROR(VLOOKUP($U$124,'TAR FIN'!$A$1:$O$92,15,0)),0,VLOOKUP($U$124,'TAR FIN'!$A$1:$O$92,15,0))</f>
        <v>253.9</v>
      </c>
      <c r="Y124" s="4">
        <f ca="1">('TUSD BE'!$AM$6+'TUSD BF'!$AM$6+'TUSD CVA'!$AM$6)*1</f>
        <v>19.024476785546895</v>
      </c>
      <c r="Z124" s="4">
        <f ca="1">('TUSD BE'!$AM$7+'TUSD BF'!$AM$7+'TUSD CVA'!$AM$7)*1</f>
        <v>109.44196476324252</v>
      </c>
      <c r="AA124" s="4">
        <f>('TE BE'!$AB$6+'TE BF'!$AB$6+'TE CVA'!$AB$6)*1</f>
        <v>317.3874512882154</v>
      </c>
      <c r="AB124" s="4">
        <f>$K$124*$V$124</f>
        <v>3469.6800000000003</v>
      </c>
      <c r="AC124" s="4">
        <f>$M$124*$W$124</f>
        <v>1475.09222</v>
      </c>
      <c r="AD124" s="4">
        <f>$O$124*$X$124</f>
        <v>4269.0745999999999</v>
      </c>
      <c r="AE124" s="4">
        <f ca="1">$K$124*$Y$124</f>
        <v>4508.8009981746145</v>
      </c>
      <c r="AF124" s="4">
        <f ca="1">$M$124*$Z$124</f>
        <v>1840.1571955291597</v>
      </c>
      <c r="AG124" s="4">
        <f>$O$124*$AA$124</f>
        <v>5336.5526059600534</v>
      </c>
    </row>
    <row r="125" spans="1:33" ht="11.25" customHeight="1" x14ac:dyDescent="0.25">
      <c r="A125" s="3" t="s">
        <v>55</v>
      </c>
      <c r="B125" s="3" t="s">
        <v>39</v>
      </c>
      <c r="C125" s="3" t="s">
        <v>40</v>
      </c>
      <c r="D125" s="3" t="s">
        <v>45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44835</v>
      </c>
      <c r="J125" s="4">
        <v>4742</v>
      </c>
      <c r="K125" s="4">
        <v>4742</v>
      </c>
      <c r="L125" s="4">
        <v>1045.837</v>
      </c>
      <c r="M125" s="4">
        <v>1045.837</v>
      </c>
      <c r="N125" s="4">
        <v>1045.837</v>
      </c>
      <c r="O125" s="4">
        <v>1045.837</v>
      </c>
      <c r="P125" s="4">
        <v>0</v>
      </c>
      <c r="Q125" s="3" t="s">
        <v>26</v>
      </c>
      <c r="R125" s="3">
        <v>0</v>
      </c>
      <c r="S125" s="4">
        <v>27</v>
      </c>
      <c r="T125" s="4">
        <v>23</v>
      </c>
      <c r="U125" s="4">
        <v>59</v>
      </c>
      <c r="V125" s="4">
        <f>IF(ISERROR(VLOOKUP($S$125,'TAR FIN'!$A$1:$O$92,15,0)),0,VLOOKUP($S$125,'TAR FIN'!$A$1:$O$92,15,0))</f>
        <v>14.64</v>
      </c>
      <c r="W125" s="4">
        <f>IF(ISERROR(VLOOKUP($T$125,'TAR FIN'!$A$1:$O$92,15,0)),0,VLOOKUP($T$125,'TAR FIN'!$A$1:$O$92,15,0))</f>
        <v>87.73</v>
      </c>
      <c r="X125" s="4">
        <f>IF(ISERROR(VLOOKUP($U$125,'TAR FIN'!$A$1:$O$92,15,0)),0,VLOOKUP($U$125,'TAR FIN'!$A$1:$O$92,15,0))</f>
        <v>253.9</v>
      </c>
      <c r="Y125" s="4">
        <f ca="1">('TUSD BE'!$AM$6+'TUSD BF'!$AM$6+'TUSD CVA'!$AM$6)*1</f>
        <v>19.024476785546895</v>
      </c>
      <c r="Z125" s="4">
        <f ca="1">('TUSD BE'!$AM$7+'TUSD BF'!$AM$7+'TUSD CVA'!$AM$7)*1</f>
        <v>109.44196476324252</v>
      </c>
      <c r="AA125" s="4">
        <f>('TE BE'!$AB$6+'TE BF'!$AB$6+'TE CVA'!$AB$6)*1</f>
        <v>317.3874512882154</v>
      </c>
      <c r="AB125" s="4">
        <f>$K$125*$V$125</f>
        <v>69422.880000000005</v>
      </c>
      <c r="AC125" s="4">
        <f>$M$125*$W$125</f>
        <v>91751.280010000002</v>
      </c>
      <c r="AD125" s="4">
        <f>$O$125*$X$125</f>
        <v>265538.01429999998</v>
      </c>
      <c r="AE125" s="4">
        <f ca="1">$K$125*$Y$125</f>
        <v>90214.06891706337</v>
      </c>
      <c r="AF125" s="4">
        <f ca="1">$M$125*$Z$125</f>
        <v>114458.45610209527</v>
      </c>
      <c r="AG125" s="4">
        <f>$O$125*$AA$125</f>
        <v>331935.53989291331</v>
      </c>
    </row>
    <row r="126" spans="1:33" ht="11.25" customHeight="1" x14ac:dyDescent="0.25">
      <c r="A126" s="3" t="s">
        <v>55</v>
      </c>
      <c r="B126" s="3" t="s">
        <v>39</v>
      </c>
      <c r="C126" s="3" t="s">
        <v>40</v>
      </c>
      <c r="D126" s="3" t="s">
        <v>45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44835</v>
      </c>
      <c r="J126" s="4">
        <v>237</v>
      </c>
      <c r="K126" s="4">
        <v>237</v>
      </c>
      <c r="L126" s="4">
        <v>16.814</v>
      </c>
      <c r="M126" s="4">
        <v>16.814</v>
      </c>
      <c r="N126" s="4">
        <v>16.814</v>
      </c>
      <c r="O126" s="4">
        <v>16.814</v>
      </c>
      <c r="P126" s="4">
        <v>0</v>
      </c>
      <c r="Q126" s="3" t="s">
        <v>26</v>
      </c>
      <c r="R126" s="3">
        <v>0</v>
      </c>
      <c r="S126" s="4">
        <v>27</v>
      </c>
      <c r="T126" s="4">
        <v>23</v>
      </c>
      <c r="U126" s="4">
        <v>59</v>
      </c>
      <c r="V126" s="4">
        <f>IF(ISERROR(VLOOKUP($S$126,'TAR FIN'!$A$1:$O$92,15,0)),0,VLOOKUP($S$126,'TAR FIN'!$A$1:$O$92,15,0))</f>
        <v>14.64</v>
      </c>
      <c r="W126" s="4">
        <f>IF(ISERROR(VLOOKUP($T$126,'TAR FIN'!$A$1:$O$92,15,0)),0,VLOOKUP($T$126,'TAR FIN'!$A$1:$O$92,15,0))</f>
        <v>87.73</v>
      </c>
      <c r="X126" s="4">
        <f>IF(ISERROR(VLOOKUP($U$126,'TAR FIN'!$A$1:$O$92,15,0)),0,VLOOKUP($U$126,'TAR FIN'!$A$1:$O$92,15,0))</f>
        <v>253.9</v>
      </c>
      <c r="Y126" s="4">
        <f ca="1">('TUSD BE'!$AM$6+'TUSD BF'!$AM$6+'TUSD CVA'!$AM$6)*1</f>
        <v>19.024476785546895</v>
      </c>
      <c r="Z126" s="4">
        <f ca="1">('TUSD BE'!$AM$7+'TUSD BF'!$AM$7+'TUSD CVA'!$AM$7)*1</f>
        <v>109.44196476324252</v>
      </c>
      <c r="AA126" s="4">
        <f>('TE BE'!$AB$6+'TE BF'!$AB$6+'TE CVA'!$AB$6)*1</f>
        <v>317.3874512882154</v>
      </c>
      <c r="AB126" s="4">
        <f>$K$126*$V$126</f>
        <v>3469.6800000000003</v>
      </c>
      <c r="AC126" s="4">
        <f>$M$126*$W$126</f>
        <v>1475.09222</v>
      </c>
      <c r="AD126" s="4">
        <f>$O$126*$X$126</f>
        <v>4269.0745999999999</v>
      </c>
      <c r="AE126" s="4">
        <f ca="1">$K$126*$Y$126</f>
        <v>4508.8009981746145</v>
      </c>
      <c r="AF126" s="4">
        <f ca="1">$M$126*$Z$126</f>
        <v>1840.1571955291597</v>
      </c>
      <c r="AG126" s="4">
        <f>$O$126*$AA$126</f>
        <v>5336.5526059600534</v>
      </c>
    </row>
    <row r="127" spans="1:33" ht="11.25" customHeight="1" x14ac:dyDescent="0.25">
      <c r="A127" s="3" t="s">
        <v>21</v>
      </c>
      <c r="B127" s="3" t="s">
        <v>39</v>
      </c>
      <c r="C127" s="3" t="s">
        <v>40</v>
      </c>
      <c r="D127" s="3" t="s">
        <v>45</v>
      </c>
      <c r="E127" s="3" t="s">
        <v>25</v>
      </c>
      <c r="F127" s="3" t="s">
        <v>25</v>
      </c>
      <c r="G127" s="3" t="s">
        <v>25</v>
      </c>
      <c r="H127" s="3" t="s">
        <v>34</v>
      </c>
      <c r="I127" s="6">
        <v>44501</v>
      </c>
      <c r="J127" s="4">
        <v>2338</v>
      </c>
      <c r="K127" s="4">
        <v>2338</v>
      </c>
      <c r="L127" s="4">
        <v>71.968999999999994</v>
      </c>
      <c r="M127" s="4">
        <v>71.968999999999994</v>
      </c>
      <c r="N127" s="4">
        <v>71.968999999999994</v>
      </c>
      <c r="O127" s="4">
        <v>71.968999999999994</v>
      </c>
      <c r="P127" s="4">
        <v>0</v>
      </c>
      <c r="Q127" s="3" t="s">
        <v>26</v>
      </c>
      <c r="R127" s="3">
        <v>0</v>
      </c>
      <c r="S127" s="4">
        <v>34</v>
      </c>
      <c r="T127" s="4">
        <v>23</v>
      </c>
      <c r="U127" s="4">
        <v>71</v>
      </c>
      <c r="V127" s="4">
        <f>IF(ISERROR(VLOOKUP($S$127,'TAR FIN'!$A$1:$O$92,15,0)),0,VLOOKUP($S$127,'TAR FIN'!$A$1:$O$92,15,0))</f>
        <v>44</v>
      </c>
      <c r="W127" s="4">
        <f>IF(ISERROR(VLOOKUP($T$127,'TAR FIN'!$A$1:$O$92,15,0)),0,VLOOKUP($T$127,'TAR FIN'!$A$1:$O$92,15,0))</f>
        <v>87.73</v>
      </c>
      <c r="X127" s="4">
        <f>IF(ISERROR(VLOOKUP($U$127,'TAR FIN'!$A$1:$O$92,15,0)),0,VLOOKUP($U$127,'TAR FIN'!$A$1:$O$92,15,0))</f>
        <v>433.77</v>
      </c>
      <c r="Y127" s="4">
        <f ca="1">('TUSD BE'!$AM$5+'TUSD BF'!$AM$5+'TUSD CVA'!$AM$5)*1</f>
        <v>57.091253741473494</v>
      </c>
      <c r="Z127" s="4">
        <f ca="1">('TUSD BE'!$AM$7+'TUSD BF'!$AM$7+'TUSD CVA'!$AM$7)*1</f>
        <v>109.44196476324252</v>
      </c>
      <c r="AA127" s="4">
        <f>('TE BE'!$AB$5+'TE BF'!$AB$5+'TE CVA'!$AB$5)*1</f>
        <v>542.84414704984056</v>
      </c>
      <c r="AB127" s="4">
        <f>$K$127*$V$127</f>
        <v>102872</v>
      </c>
      <c r="AC127" s="4">
        <f>$M$127*$W$127</f>
        <v>6313.8403699999999</v>
      </c>
      <c r="AD127" s="4">
        <f>$O$127*$X$127</f>
        <v>31217.993129999995</v>
      </c>
      <c r="AE127" s="4">
        <f ca="1">$K$127*$Y$127</f>
        <v>133479.35124756504</v>
      </c>
      <c r="AF127" s="4">
        <f ca="1">$M$127*$Z$127</f>
        <v>7876.4287620458008</v>
      </c>
      <c r="AG127" s="4">
        <f>$O$127*$AA$127</f>
        <v>39067.95041902997</v>
      </c>
    </row>
    <row r="128" spans="1:33" ht="11.25" customHeight="1" x14ac:dyDescent="0.25">
      <c r="A128" s="3" t="s">
        <v>27</v>
      </c>
      <c r="B128" s="3" t="s">
        <v>39</v>
      </c>
      <c r="C128" s="3" t="s">
        <v>40</v>
      </c>
      <c r="D128" s="3" t="s">
        <v>45</v>
      </c>
      <c r="E128" s="3" t="s">
        <v>25</v>
      </c>
      <c r="F128" s="3" t="s">
        <v>25</v>
      </c>
      <c r="G128" s="3" t="s">
        <v>25</v>
      </c>
      <c r="H128" s="3" t="s">
        <v>34</v>
      </c>
      <c r="I128" s="6">
        <v>44501</v>
      </c>
      <c r="J128" s="4">
        <v>-1113</v>
      </c>
      <c r="K128" s="4">
        <v>-1113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26</v>
      </c>
      <c r="R128" s="3">
        <v>0</v>
      </c>
      <c r="S128" s="4">
        <v>34</v>
      </c>
      <c r="T128" s="4">
        <v>0</v>
      </c>
      <c r="U128" s="4">
        <v>0</v>
      </c>
      <c r="V128" s="4">
        <f>IF(ISERROR(VLOOKUP($S$128,'TAR FIN'!$A$1:$O$92,15,0)),0,VLOOKUP($S$128,'TAR FIN'!$A$1:$O$92,15,0))</f>
        <v>44</v>
      </c>
      <c r="W128" s="4">
        <f>IF(ISERROR(VLOOKUP($T$128,'TAR FIN'!$A$1:$O$92,15,0)),0,VLOOKUP($T$128,'TAR FIN'!$A$1:$O$92,15,0))</f>
        <v>0</v>
      </c>
      <c r="X128" s="4">
        <f>IF(ISERROR(VLOOKUP($U$128,'TAR FIN'!$A$1:$O$92,15,0)),0,VLOOKUP($U$128,'TAR FIN'!$A$1:$O$92,15,0))</f>
        <v>0</v>
      </c>
      <c r="Y128" s="4">
        <f ca="1">('TUSD BE'!$AM$5+'TUSD BF'!$AM$5+'TUSD CVA'!$AM$5)*1</f>
        <v>57.091253741473494</v>
      </c>
      <c r="Z128" s="4">
        <f ca="1">('TUSD BE'!$AM$7+'TUSD BF'!$AM$7+'TUSD CVA'!$AM$7)*1</f>
        <v>109.44196476324252</v>
      </c>
      <c r="AA128" s="4">
        <f>('TE BE'!$AB$5+'TE BF'!$AB$5+'TE CVA'!$AB$5)*1</f>
        <v>542.84414704984056</v>
      </c>
      <c r="AB128" s="4">
        <f>$K$128*$V$128</f>
        <v>-48972</v>
      </c>
      <c r="AC128" s="4">
        <f>$M$128*$W$128</f>
        <v>0</v>
      </c>
      <c r="AD128" s="4">
        <f>$O$128*$X$128</f>
        <v>0</v>
      </c>
      <c r="AE128" s="4">
        <f ca="1">$K$128*$Y$128</f>
        <v>-63542.565414259996</v>
      </c>
      <c r="AF128" s="4">
        <f ca="1">$M$128*$Z$128</f>
        <v>0</v>
      </c>
      <c r="AG128" s="4">
        <f>$O$128*$AA$128</f>
        <v>0</v>
      </c>
    </row>
    <row r="129" spans="1:33" ht="11.25" customHeight="1" x14ac:dyDescent="0.25">
      <c r="A129" s="3" t="s">
        <v>28</v>
      </c>
      <c r="B129" s="3" t="s">
        <v>39</v>
      </c>
      <c r="C129" s="3" t="s">
        <v>40</v>
      </c>
      <c r="D129" s="3" t="s">
        <v>45</v>
      </c>
      <c r="E129" s="3" t="s">
        <v>25</v>
      </c>
      <c r="F129" s="3" t="s">
        <v>25</v>
      </c>
      <c r="G129" s="3" t="s">
        <v>25</v>
      </c>
      <c r="H129" s="3" t="s">
        <v>34</v>
      </c>
      <c r="I129" s="6">
        <v>44501</v>
      </c>
      <c r="J129" s="4">
        <v>402</v>
      </c>
      <c r="K129" s="4">
        <v>402</v>
      </c>
      <c r="L129" s="4">
        <v>17.434000000000001</v>
      </c>
      <c r="M129" s="4">
        <v>17.434000000000001</v>
      </c>
      <c r="N129" s="4">
        <v>17.434000000000001</v>
      </c>
      <c r="O129" s="4">
        <v>17.434000000000001</v>
      </c>
      <c r="P129" s="4">
        <v>0</v>
      </c>
      <c r="Q129" s="3" t="s">
        <v>26</v>
      </c>
      <c r="R129" s="3">
        <v>0</v>
      </c>
      <c r="S129" s="4">
        <v>34</v>
      </c>
      <c r="T129" s="4">
        <v>23</v>
      </c>
      <c r="U129" s="4">
        <v>71</v>
      </c>
      <c r="V129" s="4">
        <f>IF(ISERROR(VLOOKUP($S$129,'TAR FIN'!$A$1:$O$92,15,0)),0,VLOOKUP($S$129,'TAR FIN'!$A$1:$O$92,15,0))</f>
        <v>44</v>
      </c>
      <c r="W129" s="4">
        <f>IF(ISERROR(VLOOKUP($T$129,'TAR FIN'!$A$1:$O$92,15,0)),0,VLOOKUP($T$129,'TAR FIN'!$A$1:$O$92,15,0))</f>
        <v>87.73</v>
      </c>
      <c r="X129" s="4">
        <f>IF(ISERROR(VLOOKUP($U$129,'TAR FIN'!$A$1:$O$92,15,0)),0,VLOOKUP($U$129,'TAR FIN'!$A$1:$O$92,15,0))</f>
        <v>433.77</v>
      </c>
      <c r="Y129" s="4">
        <f ca="1">('TUSD BE'!$AM$5+'TUSD BF'!$AM$5+'TUSD CVA'!$AM$5)*1</f>
        <v>57.091253741473494</v>
      </c>
      <c r="Z129" s="4">
        <f ca="1">('TUSD BE'!$AM$7+'TUSD BF'!$AM$7+'TUSD CVA'!$AM$7)*1</f>
        <v>109.44196476324252</v>
      </c>
      <c r="AA129" s="4">
        <f>('TE BE'!$AB$5+'TE BF'!$AB$5+'TE CVA'!$AB$5)*1</f>
        <v>542.84414704984056</v>
      </c>
      <c r="AB129" s="4">
        <f>$K$129*$V$129</f>
        <v>17688</v>
      </c>
      <c r="AC129" s="4">
        <f>$M$129*$W$129</f>
        <v>1529.4848200000001</v>
      </c>
      <c r="AD129" s="4">
        <f>$O$129*$X$129</f>
        <v>7562.3461800000005</v>
      </c>
      <c r="AE129" s="4">
        <f ca="1">$K$129*$Y$129</f>
        <v>22950.684004072344</v>
      </c>
      <c r="AF129" s="4">
        <f ca="1">$M$129*$Z$129</f>
        <v>1908.0112136823702</v>
      </c>
      <c r="AG129" s="4">
        <f>$O$129*$AA$129</f>
        <v>9463.9448596669208</v>
      </c>
    </row>
    <row r="130" spans="1:33" ht="11.25" customHeight="1" x14ac:dyDescent="0.25">
      <c r="A130" s="3" t="s">
        <v>21</v>
      </c>
      <c r="B130" s="3" t="s">
        <v>39</v>
      </c>
      <c r="C130" s="3" t="s">
        <v>40</v>
      </c>
      <c r="D130" s="3" t="s">
        <v>45</v>
      </c>
      <c r="E130" s="3" t="s">
        <v>25</v>
      </c>
      <c r="F130" s="3" t="s">
        <v>25</v>
      </c>
      <c r="G130" s="3" t="s">
        <v>25</v>
      </c>
      <c r="H130" s="3" t="s">
        <v>34</v>
      </c>
      <c r="I130" s="6">
        <v>44531</v>
      </c>
      <c r="J130" s="4">
        <v>2305</v>
      </c>
      <c r="K130" s="4">
        <v>2305</v>
      </c>
      <c r="L130" s="4">
        <v>75.283000000000001</v>
      </c>
      <c r="M130" s="4">
        <v>75.283000000000001</v>
      </c>
      <c r="N130" s="4">
        <v>75.283000000000001</v>
      </c>
      <c r="O130" s="4">
        <v>75.283000000000001</v>
      </c>
      <c r="P130" s="4">
        <v>0</v>
      </c>
      <c r="Q130" s="3" t="s">
        <v>26</v>
      </c>
      <c r="R130" s="3">
        <v>0</v>
      </c>
      <c r="S130" s="4">
        <v>34</v>
      </c>
      <c r="T130" s="4">
        <v>23</v>
      </c>
      <c r="U130" s="4">
        <v>71</v>
      </c>
      <c r="V130" s="4">
        <f>IF(ISERROR(VLOOKUP($S$130,'TAR FIN'!$A$1:$O$92,15,0)),0,VLOOKUP($S$130,'TAR FIN'!$A$1:$O$92,15,0))</f>
        <v>44</v>
      </c>
      <c r="W130" s="4">
        <f>IF(ISERROR(VLOOKUP($T$130,'TAR FIN'!$A$1:$O$92,15,0)),0,VLOOKUP($T$130,'TAR FIN'!$A$1:$O$92,15,0))</f>
        <v>87.73</v>
      </c>
      <c r="X130" s="4">
        <f>IF(ISERROR(VLOOKUP($U$130,'TAR FIN'!$A$1:$O$92,15,0)),0,VLOOKUP($U$130,'TAR FIN'!$A$1:$O$92,15,0))</f>
        <v>433.77</v>
      </c>
      <c r="Y130" s="4">
        <f ca="1">('TUSD BE'!$AM$5+'TUSD BF'!$AM$5+'TUSD CVA'!$AM$5)*1</f>
        <v>57.091253741473494</v>
      </c>
      <c r="Z130" s="4">
        <f ca="1">('TUSD BE'!$AM$7+'TUSD BF'!$AM$7+'TUSD CVA'!$AM$7)*1</f>
        <v>109.44196476324252</v>
      </c>
      <c r="AA130" s="4">
        <f>('TE BE'!$AB$5+'TE BF'!$AB$5+'TE CVA'!$AB$5)*1</f>
        <v>542.84414704984056</v>
      </c>
      <c r="AB130" s="4">
        <f>$K$130*$V$130</f>
        <v>101420</v>
      </c>
      <c r="AC130" s="4">
        <f>$M$130*$W$130</f>
        <v>6604.5775900000008</v>
      </c>
      <c r="AD130" s="4">
        <f>$O$130*$X$130</f>
        <v>32655.50691</v>
      </c>
      <c r="AE130" s="4">
        <f ca="1">$K$130*$Y$130</f>
        <v>131595.33987409642</v>
      </c>
      <c r="AF130" s="4">
        <f ca="1">$M$130*$Z$130</f>
        <v>8239.1194332711875</v>
      </c>
      <c r="AG130" s="4">
        <f>$O$130*$AA$130</f>
        <v>40866.93592235315</v>
      </c>
    </row>
    <row r="131" spans="1:33" ht="11.25" customHeight="1" x14ac:dyDescent="0.25">
      <c r="A131" s="3" t="s">
        <v>28</v>
      </c>
      <c r="B131" s="3" t="s">
        <v>39</v>
      </c>
      <c r="C131" s="3" t="s">
        <v>40</v>
      </c>
      <c r="D131" s="3" t="s">
        <v>45</v>
      </c>
      <c r="E131" s="3" t="s">
        <v>25</v>
      </c>
      <c r="F131" s="3" t="s">
        <v>25</v>
      </c>
      <c r="G131" s="3" t="s">
        <v>25</v>
      </c>
      <c r="H131" s="3" t="s">
        <v>34</v>
      </c>
      <c r="I131" s="6">
        <v>44531</v>
      </c>
      <c r="J131" s="4">
        <v>408</v>
      </c>
      <c r="K131" s="4">
        <v>408</v>
      </c>
      <c r="L131" s="4">
        <v>19.268000000000001</v>
      </c>
      <c r="M131" s="4">
        <v>19.268000000000001</v>
      </c>
      <c r="N131" s="4">
        <v>19.268000000000001</v>
      </c>
      <c r="O131" s="4">
        <v>19.268000000000001</v>
      </c>
      <c r="P131" s="4">
        <v>0</v>
      </c>
      <c r="Q131" s="3" t="s">
        <v>26</v>
      </c>
      <c r="R131" s="3">
        <v>0</v>
      </c>
      <c r="S131" s="4">
        <v>34</v>
      </c>
      <c r="T131" s="4">
        <v>23</v>
      </c>
      <c r="U131" s="4">
        <v>71</v>
      </c>
      <c r="V131" s="4">
        <f>IF(ISERROR(VLOOKUP($S$131,'TAR FIN'!$A$1:$O$92,15,0)),0,VLOOKUP($S$131,'TAR FIN'!$A$1:$O$92,15,0))</f>
        <v>44</v>
      </c>
      <c r="W131" s="4">
        <f>IF(ISERROR(VLOOKUP($T$131,'TAR FIN'!$A$1:$O$92,15,0)),0,VLOOKUP($T$131,'TAR FIN'!$A$1:$O$92,15,0))</f>
        <v>87.73</v>
      </c>
      <c r="X131" s="4">
        <f>IF(ISERROR(VLOOKUP($U$131,'TAR FIN'!$A$1:$O$92,15,0)),0,VLOOKUP($U$131,'TAR FIN'!$A$1:$O$92,15,0))</f>
        <v>433.77</v>
      </c>
      <c r="Y131" s="4">
        <f ca="1">('TUSD BE'!$AM$5+'TUSD BF'!$AM$5+'TUSD CVA'!$AM$5)*1</f>
        <v>57.091253741473494</v>
      </c>
      <c r="Z131" s="4">
        <f ca="1">('TUSD BE'!$AM$7+'TUSD BF'!$AM$7+'TUSD CVA'!$AM$7)*1</f>
        <v>109.44196476324252</v>
      </c>
      <c r="AA131" s="4">
        <f>('TE BE'!$AB$5+'TE BF'!$AB$5+'TE CVA'!$AB$5)*1</f>
        <v>542.84414704984056</v>
      </c>
      <c r="AB131" s="4">
        <f>$K$131*$V$131</f>
        <v>17952</v>
      </c>
      <c r="AC131" s="4">
        <f>$M$131*$W$131</f>
        <v>1690.3816400000001</v>
      </c>
      <c r="AD131" s="4">
        <f>$O$131*$X$131</f>
        <v>8357.8803599999992</v>
      </c>
      <c r="AE131" s="4">
        <f ca="1">$K$131*$Y$131</f>
        <v>23293.231526521187</v>
      </c>
      <c r="AF131" s="4">
        <f ca="1">$M$131*$Z$131</f>
        <v>2108.7277770581572</v>
      </c>
      <c r="AG131" s="4">
        <f>$O$131*$AA$131</f>
        <v>10459.521025356329</v>
      </c>
    </row>
    <row r="132" spans="1:33" ht="11.25" customHeight="1" x14ac:dyDescent="0.25">
      <c r="A132" s="3" t="s">
        <v>21</v>
      </c>
      <c r="B132" s="3" t="s">
        <v>39</v>
      </c>
      <c r="C132" s="3" t="s">
        <v>40</v>
      </c>
      <c r="D132" s="3" t="s">
        <v>45</v>
      </c>
      <c r="E132" s="3" t="s">
        <v>25</v>
      </c>
      <c r="F132" s="3" t="s">
        <v>25</v>
      </c>
      <c r="G132" s="3" t="s">
        <v>25</v>
      </c>
      <c r="H132" s="3" t="s">
        <v>34</v>
      </c>
      <c r="I132" s="6">
        <v>44562</v>
      </c>
      <c r="J132" s="4">
        <v>3158</v>
      </c>
      <c r="K132" s="4">
        <v>3158</v>
      </c>
      <c r="L132" s="4">
        <v>74.051000000000002</v>
      </c>
      <c r="M132" s="4">
        <v>74.051000000000002</v>
      </c>
      <c r="N132" s="4">
        <v>74.051000000000002</v>
      </c>
      <c r="O132" s="4">
        <v>74.051000000000002</v>
      </c>
      <c r="P132" s="4">
        <v>0</v>
      </c>
      <c r="Q132" s="3" t="s">
        <v>26</v>
      </c>
      <c r="R132" s="3">
        <v>0</v>
      </c>
      <c r="S132" s="4">
        <v>34</v>
      </c>
      <c r="T132" s="4">
        <v>23</v>
      </c>
      <c r="U132" s="4">
        <v>71</v>
      </c>
      <c r="V132" s="4">
        <f>IF(ISERROR(VLOOKUP($S$132,'TAR FIN'!$A$1:$O$92,15,0)),0,VLOOKUP($S$132,'TAR FIN'!$A$1:$O$92,15,0))</f>
        <v>44</v>
      </c>
      <c r="W132" s="4">
        <f>IF(ISERROR(VLOOKUP($T$132,'TAR FIN'!$A$1:$O$92,15,0)),0,VLOOKUP($T$132,'TAR FIN'!$A$1:$O$92,15,0))</f>
        <v>87.73</v>
      </c>
      <c r="X132" s="4">
        <f>IF(ISERROR(VLOOKUP($U$132,'TAR FIN'!$A$1:$O$92,15,0)),0,VLOOKUP($U$132,'TAR FIN'!$A$1:$O$92,15,0))</f>
        <v>433.77</v>
      </c>
      <c r="Y132" s="4">
        <f ca="1">('TUSD BE'!$AM$5+'TUSD BF'!$AM$5+'TUSD CVA'!$AM$5)*1</f>
        <v>57.091253741473494</v>
      </c>
      <c r="Z132" s="4">
        <f ca="1">('TUSD BE'!$AM$7+'TUSD BF'!$AM$7+'TUSD CVA'!$AM$7)*1</f>
        <v>109.44196476324252</v>
      </c>
      <c r="AA132" s="4">
        <f>('TE BE'!$AB$5+'TE BF'!$AB$5+'TE CVA'!$AB$5)*1</f>
        <v>542.84414704984056</v>
      </c>
      <c r="AB132" s="4">
        <f>$K$132*$V$132</f>
        <v>138952</v>
      </c>
      <c r="AC132" s="4">
        <f>$M$132*$W$132</f>
        <v>6496.4942300000002</v>
      </c>
      <c r="AD132" s="4">
        <f>$O$132*$X$132</f>
        <v>32121.102269999999</v>
      </c>
      <c r="AE132" s="4">
        <f ca="1">$K$132*$Y$132</f>
        <v>180294.1793155733</v>
      </c>
      <c r="AF132" s="4">
        <f ca="1">$M$132*$Z$132</f>
        <v>8104.2869326828722</v>
      </c>
      <c r="AG132" s="4">
        <f>$O$132*$AA$132</f>
        <v>40198.151933187743</v>
      </c>
    </row>
    <row r="133" spans="1:33" ht="11.25" customHeight="1" x14ac:dyDescent="0.25">
      <c r="A133" s="3" t="s">
        <v>28</v>
      </c>
      <c r="B133" s="3" t="s">
        <v>39</v>
      </c>
      <c r="C133" s="3" t="s">
        <v>40</v>
      </c>
      <c r="D133" s="3" t="s">
        <v>45</v>
      </c>
      <c r="E133" s="3" t="s">
        <v>25</v>
      </c>
      <c r="F133" s="3" t="s">
        <v>25</v>
      </c>
      <c r="G133" s="3" t="s">
        <v>25</v>
      </c>
      <c r="H133" s="3" t="s">
        <v>34</v>
      </c>
      <c r="I133" s="6">
        <v>44562</v>
      </c>
      <c r="J133" s="4">
        <v>433</v>
      </c>
      <c r="K133" s="4">
        <v>433</v>
      </c>
      <c r="L133" s="4">
        <v>18.643000000000001</v>
      </c>
      <c r="M133" s="4">
        <v>18.643000000000001</v>
      </c>
      <c r="N133" s="4">
        <v>18.643000000000001</v>
      </c>
      <c r="O133" s="4">
        <v>18.643000000000001</v>
      </c>
      <c r="P133" s="4">
        <v>0</v>
      </c>
      <c r="Q133" s="3" t="s">
        <v>26</v>
      </c>
      <c r="R133" s="3">
        <v>0</v>
      </c>
      <c r="S133" s="4">
        <v>34</v>
      </c>
      <c r="T133" s="4">
        <v>23</v>
      </c>
      <c r="U133" s="4">
        <v>71</v>
      </c>
      <c r="V133" s="4">
        <f>IF(ISERROR(VLOOKUP($S$133,'TAR FIN'!$A$1:$O$92,15,0)),0,VLOOKUP($S$133,'TAR FIN'!$A$1:$O$92,15,0))</f>
        <v>44</v>
      </c>
      <c r="W133" s="4">
        <f>IF(ISERROR(VLOOKUP($T$133,'TAR FIN'!$A$1:$O$92,15,0)),0,VLOOKUP($T$133,'TAR FIN'!$A$1:$O$92,15,0))</f>
        <v>87.73</v>
      </c>
      <c r="X133" s="4">
        <f>IF(ISERROR(VLOOKUP($U$133,'TAR FIN'!$A$1:$O$92,15,0)),0,VLOOKUP($U$133,'TAR FIN'!$A$1:$O$92,15,0))</f>
        <v>433.77</v>
      </c>
      <c r="Y133" s="4">
        <f ca="1">('TUSD BE'!$AM$5+'TUSD BF'!$AM$5+'TUSD CVA'!$AM$5)*1</f>
        <v>57.091253741473494</v>
      </c>
      <c r="Z133" s="4">
        <f ca="1">('TUSD BE'!$AM$7+'TUSD BF'!$AM$7+'TUSD CVA'!$AM$7)*1</f>
        <v>109.44196476324252</v>
      </c>
      <c r="AA133" s="4">
        <f>('TE BE'!$AB$5+'TE BF'!$AB$5+'TE CVA'!$AB$5)*1</f>
        <v>542.84414704984056</v>
      </c>
      <c r="AB133" s="4">
        <f>$K$133*$V$133</f>
        <v>19052</v>
      </c>
      <c r="AC133" s="4">
        <f>$M$133*$W$133</f>
        <v>1635.5503900000001</v>
      </c>
      <c r="AD133" s="4">
        <f>$O$133*$X$133</f>
        <v>8086.7741100000003</v>
      </c>
      <c r="AE133" s="4">
        <f ca="1">$K$133*$Y$133</f>
        <v>24720.512870058024</v>
      </c>
      <c r="AF133" s="4">
        <f ca="1">$M$133*$Z$133</f>
        <v>2040.3265490811305</v>
      </c>
      <c r="AG133" s="4">
        <f>$O$133*$AA$133</f>
        <v>10120.243433450178</v>
      </c>
    </row>
    <row r="134" spans="1:33" ht="11.25" customHeight="1" x14ac:dyDescent="0.25">
      <c r="A134" s="3" t="s">
        <v>21</v>
      </c>
      <c r="B134" s="3" t="s">
        <v>39</v>
      </c>
      <c r="C134" s="3" t="s">
        <v>40</v>
      </c>
      <c r="D134" s="3" t="s">
        <v>45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44593</v>
      </c>
      <c r="J134" s="4">
        <v>3157</v>
      </c>
      <c r="K134" s="4">
        <v>3157</v>
      </c>
      <c r="L134" s="4">
        <v>77.923000000000002</v>
      </c>
      <c r="M134" s="4">
        <v>77.923000000000002</v>
      </c>
      <c r="N134" s="4">
        <v>77.923000000000002</v>
      </c>
      <c r="O134" s="4">
        <v>77.923000000000002</v>
      </c>
      <c r="P134" s="4">
        <v>0</v>
      </c>
      <c r="Q134" s="3" t="s">
        <v>26</v>
      </c>
      <c r="R134" s="3">
        <v>0</v>
      </c>
      <c r="S134" s="4">
        <v>34</v>
      </c>
      <c r="T134" s="4">
        <v>23</v>
      </c>
      <c r="U134" s="4">
        <v>71</v>
      </c>
      <c r="V134" s="4">
        <f>IF(ISERROR(VLOOKUP($S$134,'TAR FIN'!$A$1:$O$92,15,0)),0,VLOOKUP($S$134,'TAR FIN'!$A$1:$O$92,15,0))</f>
        <v>44</v>
      </c>
      <c r="W134" s="4">
        <f>IF(ISERROR(VLOOKUP($T$134,'TAR FIN'!$A$1:$O$92,15,0)),0,VLOOKUP($T$134,'TAR FIN'!$A$1:$O$92,15,0))</f>
        <v>87.73</v>
      </c>
      <c r="X134" s="4">
        <f>IF(ISERROR(VLOOKUP($U$134,'TAR FIN'!$A$1:$O$92,15,0)),0,VLOOKUP($U$134,'TAR FIN'!$A$1:$O$92,15,0))</f>
        <v>433.77</v>
      </c>
      <c r="Y134" s="4">
        <f ca="1">('TUSD BE'!$AM$5+'TUSD BF'!$AM$5+'TUSD CVA'!$AM$5)*1</f>
        <v>57.091253741473494</v>
      </c>
      <c r="Z134" s="4">
        <f ca="1">('TUSD BE'!$AM$7+'TUSD BF'!$AM$7+'TUSD CVA'!$AM$7)*1</f>
        <v>109.44196476324252</v>
      </c>
      <c r="AA134" s="4">
        <f>('TE BE'!$AB$5+'TE BF'!$AB$5+'TE CVA'!$AB$5)*1</f>
        <v>542.84414704984056</v>
      </c>
      <c r="AB134" s="4">
        <f>$K$134*$V$134</f>
        <v>138908</v>
      </c>
      <c r="AC134" s="4">
        <f>$M$134*$W$134</f>
        <v>6836.1847900000002</v>
      </c>
      <c r="AD134" s="4">
        <f>$O$134*$X$134</f>
        <v>33800.65971</v>
      </c>
      <c r="AE134" s="4">
        <f ca="1">$K$134*$Y$134</f>
        <v>180237.08806183183</v>
      </c>
      <c r="AF134" s="4">
        <f ca="1">$M$134*$Z$134</f>
        <v>8528.0462202461476</v>
      </c>
      <c r="AG134" s="4">
        <f>$O$134*$AA$134</f>
        <v>42300.044470564724</v>
      </c>
    </row>
    <row r="135" spans="1:33" ht="11.25" customHeight="1" x14ac:dyDescent="0.25">
      <c r="A135" s="3" t="s">
        <v>28</v>
      </c>
      <c r="B135" s="3" t="s">
        <v>39</v>
      </c>
      <c r="C135" s="3" t="s">
        <v>40</v>
      </c>
      <c r="D135" s="3" t="s">
        <v>45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44593</v>
      </c>
      <c r="J135" s="4">
        <v>439</v>
      </c>
      <c r="K135" s="4">
        <v>439</v>
      </c>
      <c r="L135" s="4">
        <v>17.885999999999999</v>
      </c>
      <c r="M135" s="4">
        <v>17.885999999999999</v>
      </c>
      <c r="N135" s="4">
        <v>17.885999999999999</v>
      </c>
      <c r="O135" s="4">
        <v>17.885999999999999</v>
      </c>
      <c r="P135" s="4">
        <v>0</v>
      </c>
      <c r="Q135" s="3" t="s">
        <v>26</v>
      </c>
      <c r="R135" s="3">
        <v>0</v>
      </c>
      <c r="S135" s="4">
        <v>34</v>
      </c>
      <c r="T135" s="4">
        <v>23</v>
      </c>
      <c r="U135" s="4">
        <v>71</v>
      </c>
      <c r="V135" s="4">
        <f>IF(ISERROR(VLOOKUP($S$135,'TAR FIN'!$A$1:$O$92,15,0)),0,VLOOKUP($S$135,'TAR FIN'!$A$1:$O$92,15,0))</f>
        <v>44</v>
      </c>
      <c r="W135" s="4">
        <f>IF(ISERROR(VLOOKUP($T$135,'TAR FIN'!$A$1:$O$92,15,0)),0,VLOOKUP($T$135,'TAR FIN'!$A$1:$O$92,15,0))</f>
        <v>87.73</v>
      </c>
      <c r="X135" s="4">
        <f>IF(ISERROR(VLOOKUP($U$135,'TAR FIN'!$A$1:$O$92,15,0)),0,VLOOKUP($U$135,'TAR FIN'!$A$1:$O$92,15,0))</f>
        <v>433.77</v>
      </c>
      <c r="Y135" s="4">
        <f ca="1">('TUSD BE'!$AM$5+'TUSD BF'!$AM$5+'TUSD CVA'!$AM$5)*1</f>
        <v>57.091253741473494</v>
      </c>
      <c r="Z135" s="4">
        <f ca="1">('TUSD BE'!$AM$7+'TUSD BF'!$AM$7+'TUSD CVA'!$AM$7)*1</f>
        <v>109.44196476324252</v>
      </c>
      <c r="AA135" s="4">
        <f>('TE BE'!$AB$5+'TE BF'!$AB$5+'TE CVA'!$AB$5)*1</f>
        <v>542.84414704984056</v>
      </c>
      <c r="AB135" s="4">
        <f>$K$135*$V$135</f>
        <v>19316</v>
      </c>
      <c r="AC135" s="4">
        <f>$M$135*$W$135</f>
        <v>1569.13878</v>
      </c>
      <c r="AD135" s="4">
        <f>$O$135*$X$135</f>
        <v>7758.4102199999998</v>
      </c>
      <c r="AE135" s="4">
        <f ca="1">$K$135*$Y$135</f>
        <v>25063.060392506864</v>
      </c>
      <c r="AF135" s="4">
        <f ca="1">$M$135*$Z$135</f>
        <v>1957.4789817553558</v>
      </c>
      <c r="AG135" s="4">
        <f>$O$135*$AA$135</f>
        <v>9709.3104141334479</v>
      </c>
    </row>
    <row r="136" spans="1:33" ht="11.25" customHeight="1" x14ac:dyDescent="0.25">
      <c r="A136" s="3" t="s">
        <v>21</v>
      </c>
      <c r="B136" s="3" t="s">
        <v>39</v>
      </c>
      <c r="C136" s="3" t="s">
        <v>40</v>
      </c>
      <c r="D136" s="3" t="s">
        <v>45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44621</v>
      </c>
      <c r="J136" s="4">
        <v>3156</v>
      </c>
      <c r="K136" s="4">
        <v>3156</v>
      </c>
      <c r="L136" s="4">
        <v>85.768000000000001</v>
      </c>
      <c r="M136" s="4">
        <v>85.768000000000001</v>
      </c>
      <c r="N136" s="4">
        <v>85.768000000000001</v>
      </c>
      <c r="O136" s="4">
        <v>85.768000000000001</v>
      </c>
      <c r="P136" s="4">
        <v>0</v>
      </c>
      <c r="Q136" s="3" t="s">
        <v>26</v>
      </c>
      <c r="R136" s="3">
        <v>0</v>
      </c>
      <c r="S136" s="4">
        <v>34</v>
      </c>
      <c r="T136" s="4">
        <v>23</v>
      </c>
      <c r="U136" s="4">
        <v>71</v>
      </c>
      <c r="V136" s="4">
        <f>IF(ISERROR(VLOOKUP($S$136,'TAR FIN'!$A$1:$O$92,15,0)),0,VLOOKUP($S$136,'TAR FIN'!$A$1:$O$92,15,0))</f>
        <v>44</v>
      </c>
      <c r="W136" s="4">
        <f>IF(ISERROR(VLOOKUP($T$136,'TAR FIN'!$A$1:$O$92,15,0)),0,VLOOKUP($T$136,'TAR FIN'!$A$1:$O$92,15,0))</f>
        <v>87.73</v>
      </c>
      <c r="X136" s="4">
        <f>IF(ISERROR(VLOOKUP($U$136,'TAR FIN'!$A$1:$O$92,15,0)),0,VLOOKUP($U$136,'TAR FIN'!$A$1:$O$92,15,0))</f>
        <v>433.77</v>
      </c>
      <c r="Y136" s="4">
        <f ca="1">('TUSD BE'!$AM$5+'TUSD BF'!$AM$5+'TUSD CVA'!$AM$5)*1</f>
        <v>57.091253741473494</v>
      </c>
      <c r="Z136" s="4">
        <f ca="1">('TUSD BE'!$AM$7+'TUSD BF'!$AM$7+'TUSD CVA'!$AM$7)*1</f>
        <v>109.44196476324252</v>
      </c>
      <c r="AA136" s="4">
        <f>('TE BE'!$AB$5+'TE BF'!$AB$5+'TE CVA'!$AB$5)*1</f>
        <v>542.84414704984056</v>
      </c>
      <c r="AB136" s="4">
        <f>$K$136*$V$136</f>
        <v>138864</v>
      </c>
      <c r="AC136" s="4">
        <f>$M$136*$W$136</f>
        <v>7524.4266400000006</v>
      </c>
      <c r="AD136" s="4">
        <f>$O$136*$X$136</f>
        <v>37203.585359999997</v>
      </c>
      <c r="AE136" s="4">
        <f ca="1">$K$136*$Y$136</f>
        <v>180179.99680809033</v>
      </c>
      <c r="AF136" s="4">
        <f ca="1">$M$136*$Z$136</f>
        <v>9386.6184338137846</v>
      </c>
      <c r="AG136" s="4">
        <f>$O$136*$AA$136</f>
        <v>46558.656804170729</v>
      </c>
    </row>
    <row r="137" spans="1:33" ht="11.25" customHeight="1" x14ac:dyDescent="0.25">
      <c r="A137" s="3" t="s">
        <v>28</v>
      </c>
      <c r="B137" s="3" t="s">
        <v>39</v>
      </c>
      <c r="C137" s="3" t="s">
        <v>40</v>
      </c>
      <c r="D137" s="3" t="s">
        <v>45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44621</v>
      </c>
      <c r="J137" s="4">
        <v>425</v>
      </c>
      <c r="K137" s="4">
        <v>425</v>
      </c>
      <c r="L137" s="4">
        <v>18.375</v>
      </c>
      <c r="M137" s="4">
        <v>18.375</v>
      </c>
      <c r="N137" s="4">
        <v>18.375</v>
      </c>
      <c r="O137" s="4">
        <v>18.375</v>
      </c>
      <c r="P137" s="4">
        <v>0</v>
      </c>
      <c r="Q137" s="3" t="s">
        <v>26</v>
      </c>
      <c r="R137" s="3">
        <v>0</v>
      </c>
      <c r="S137" s="4">
        <v>34</v>
      </c>
      <c r="T137" s="4">
        <v>23</v>
      </c>
      <c r="U137" s="4">
        <v>71</v>
      </c>
      <c r="V137" s="4">
        <f>IF(ISERROR(VLOOKUP($S$137,'TAR FIN'!$A$1:$O$92,15,0)),0,VLOOKUP($S$137,'TAR FIN'!$A$1:$O$92,15,0))</f>
        <v>44</v>
      </c>
      <c r="W137" s="4">
        <f>IF(ISERROR(VLOOKUP($T$137,'TAR FIN'!$A$1:$O$92,15,0)),0,VLOOKUP($T$137,'TAR FIN'!$A$1:$O$92,15,0))</f>
        <v>87.73</v>
      </c>
      <c r="X137" s="4">
        <f>IF(ISERROR(VLOOKUP($U$137,'TAR FIN'!$A$1:$O$92,15,0)),0,VLOOKUP($U$137,'TAR FIN'!$A$1:$O$92,15,0))</f>
        <v>433.77</v>
      </c>
      <c r="Y137" s="4">
        <f ca="1">('TUSD BE'!$AM$5+'TUSD BF'!$AM$5+'TUSD CVA'!$AM$5)*1</f>
        <v>57.091253741473494</v>
      </c>
      <c r="Z137" s="4">
        <f ca="1">('TUSD BE'!$AM$7+'TUSD BF'!$AM$7+'TUSD CVA'!$AM$7)*1</f>
        <v>109.44196476324252</v>
      </c>
      <c r="AA137" s="4">
        <f>('TE BE'!$AB$5+'TE BF'!$AB$5+'TE CVA'!$AB$5)*1</f>
        <v>542.84414704984056</v>
      </c>
      <c r="AB137" s="4">
        <f>$K$137*$V$137</f>
        <v>18700</v>
      </c>
      <c r="AC137" s="4">
        <f>$M$137*$W$137</f>
        <v>1612.0387500000002</v>
      </c>
      <c r="AD137" s="4">
        <f>$O$137*$X$137</f>
        <v>7970.5237499999994</v>
      </c>
      <c r="AE137" s="4">
        <f ca="1">$K$137*$Y$137</f>
        <v>24263.782840126234</v>
      </c>
      <c r="AF137" s="4">
        <f ca="1">$M$137*$Z$137</f>
        <v>2010.9961025245814</v>
      </c>
      <c r="AG137" s="4">
        <f>$O$137*$AA$137</f>
        <v>9974.7612020408196</v>
      </c>
    </row>
    <row r="138" spans="1:33" ht="11.25" customHeight="1" x14ac:dyDescent="0.25">
      <c r="A138" s="3" t="s">
        <v>21</v>
      </c>
      <c r="B138" s="3" t="s">
        <v>39</v>
      </c>
      <c r="C138" s="3" t="s">
        <v>40</v>
      </c>
      <c r="D138" s="3" t="s">
        <v>45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44652</v>
      </c>
      <c r="J138" s="4">
        <v>3156</v>
      </c>
      <c r="K138" s="4">
        <v>3156</v>
      </c>
      <c r="L138" s="4">
        <v>85.768000000000001</v>
      </c>
      <c r="M138" s="4">
        <v>85.768000000000001</v>
      </c>
      <c r="N138" s="4">
        <v>85.768000000000001</v>
      </c>
      <c r="O138" s="4">
        <v>85.768000000000001</v>
      </c>
      <c r="P138" s="4">
        <v>0</v>
      </c>
      <c r="Q138" s="3" t="s">
        <v>26</v>
      </c>
      <c r="R138" s="3">
        <v>0</v>
      </c>
      <c r="S138" s="4">
        <v>34</v>
      </c>
      <c r="T138" s="4">
        <v>23</v>
      </c>
      <c r="U138" s="4">
        <v>71</v>
      </c>
      <c r="V138" s="4">
        <f>IF(ISERROR(VLOOKUP($S$138,'TAR FIN'!$A$1:$O$92,15,0)),0,VLOOKUP($S$138,'TAR FIN'!$A$1:$O$92,15,0))</f>
        <v>44</v>
      </c>
      <c r="W138" s="4">
        <f>IF(ISERROR(VLOOKUP($T$138,'TAR FIN'!$A$1:$O$92,15,0)),0,VLOOKUP($T$138,'TAR FIN'!$A$1:$O$92,15,0))</f>
        <v>87.73</v>
      </c>
      <c r="X138" s="4">
        <f>IF(ISERROR(VLOOKUP($U$138,'TAR FIN'!$A$1:$O$92,15,0)),0,VLOOKUP($U$138,'TAR FIN'!$A$1:$O$92,15,0))</f>
        <v>433.77</v>
      </c>
      <c r="Y138" s="4">
        <f ca="1">('TUSD BE'!$AM$5+'TUSD BF'!$AM$5+'TUSD CVA'!$AM$5)*1</f>
        <v>57.091253741473494</v>
      </c>
      <c r="Z138" s="4">
        <f ca="1">('TUSD BE'!$AM$7+'TUSD BF'!$AM$7+'TUSD CVA'!$AM$7)*1</f>
        <v>109.44196476324252</v>
      </c>
      <c r="AA138" s="4">
        <f>('TE BE'!$AB$5+'TE BF'!$AB$5+'TE CVA'!$AB$5)*1</f>
        <v>542.84414704984056</v>
      </c>
      <c r="AB138" s="4">
        <f>$K$138*$V$138</f>
        <v>138864</v>
      </c>
      <c r="AC138" s="4">
        <f>$M$138*$W$138</f>
        <v>7524.4266400000006</v>
      </c>
      <c r="AD138" s="4">
        <f>$O$138*$X$138</f>
        <v>37203.585359999997</v>
      </c>
      <c r="AE138" s="4">
        <f ca="1">$K$138*$Y$138</f>
        <v>180179.99680809033</v>
      </c>
      <c r="AF138" s="4">
        <f ca="1">$M$138*$Z$138</f>
        <v>9386.6184338137846</v>
      </c>
      <c r="AG138" s="4">
        <f>$O$138*$AA$138</f>
        <v>46558.656804170729</v>
      </c>
    </row>
    <row r="139" spans="1:33" ht="11.25" customHeight="1" x14ac:dyDescent="0.25">
      <c r="A139" s="3" t="s">
        <v>28</v>
      </c>
      <c r="B139" s="3" t="s">
        <v>39</v>
      </c>
      <c r="C139" s="3" t="s">
        <v>40</v>
      </c>
      <c r="D139" s="3" t="s">
        <v>45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44652</v>
      </c>
      <c r="J139" s="4">
        <v>425</v>
      </c>
      <c r="K139" s="4">
        <v>425</v>
      </c>
      <c r="L139" s="4">
        <v>18.375</v>
      </c>
      <c r="M139" s="4">
        <v>18.375</v>
      </c>
      <c r="N139" s="4">
        <v>18.375</v>
      </c>
      <c r="O139" s="4">
        <v>18.375</v>
      </c>
      <c r="P139" s="4">
        <v>0</v>
      </c>
      <c r="Q139" s="3" t="s">
        <v>26</v>
      </c>
      <c r="R139" s="3">
        <v>0</v>
      </c>
      <c r="S139" s="4">
        <v>34</v>
      </c>
      <c r="T139" s="4">
        <v>23</v>
      </c>
      <c r="U139" s="4">
        <v>71</v>
      </c>
      <c r="V139" s="4">
        <f>IF(ISERROR(VLOOKUP($S$139,'TAR FIN'!$A$1:$O$92,15,0)),0,VLOOKUP($S$139,'TAR FIN'!$A$1:$O$92,15,0))</f>
        <v>44</v>
      </c>
      <c r="W139" s="4">
        <f>IF(ISERROR(VLOOKUP($T$139,'TAR FIN'!$A$1:$O$92,15,0)),0,VLOOKUP($T$139,'TAR FIN'!$A$1:$O$92,15,0))</f>
        <v>87.73</v>
      </c>
      <c r="X139" s="4">
        <f>IF(ISERROR(VLOOKUP($U$139,'TAR FIN'!$A$1:$O$92,15,0)),0,VLOOKUP($U$139,'TAR FIN'!$A$1:$O$92,15,0))</f>
        <v>433.77</v>
      </c>
      <c r="Y139" s="4">
        <f ca="1">('TUSD BE'!$AM$5+'TUSD BF'!$AM$5+'TUSD CVA'!$AM$5)*1</f>
        <v>57.091253741473494</v>
      </c>
      <c r="Z139" s="4">
        <f ca="1">('TUSD BE'!$AM$7+'TUSD BF'!$AM$7+'TUSD CVA'!$AM$7)*1</f>
        <v>109.44196476324252</v>
      </c>
      <c r="AA139" s="4">
        <f>('TE BE'!$AB$5+'TE BF'!$AB$5+'TE CVA'!$AB$5)*1</f>
        <v>542.84414704984056</v>
      </c>
      <c r="AB139" s="4">
        <f>$K$139*$V$139</f>
        <v>18700</v>
      </c>
      <c r="AC139" s="4">
        <f>$M$139*$W$139</f>
        <v>1612.0387500000002</v>
      </c>
      <c r="AD139" s="4">
        <f>$O$139*$X$139</f>
        <v>7970.5237499999994</v>
      </c>
      <c r="AE139" s="4">
        <f ca="1">$K$139*$Y$139</f>
        <v>24263.782840126234</v>
      </c>
      <c r="AF139" s="4">
        <f ca="1">$M$139*$Z$139</f>
        <v>2010.9961025245814</v>
      </c>
      <c r="AG139" s="4">
        <f>$O$139*$AA$139</f>
        <v>9974.7612020408196</v>
      </c>
    </row>
    <row r="140" spans="1:33" ht="11.25" customHeight="1" x14ac:dyDescent="0.25">
      <c r="A140" s="3" t="s">
        <v>21</v>
      </c>
      <c r="B140" s="3" t="s">
        <v>39</v>
      </c>
      <c r="C140" s="3" t="s">
        <v>40</v>
      </c>
      <c r="D140" s="3" t="s">
        <v>45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44682</v>
      </c>
      <c r="J140" s="4">
        <v>3089</v>
      </c>
      <c r="K140" s="4">
        <v>3089</v>
      </c>
      <c r="L140" s="4">
        <v>73.552000000000007</v>
      </c>
      <c r="M140" s="4">
        <v>73.552000000000007</v>
      </c>
      <c r="N140" s="4">
        <v>73.552000000000007</v>
      </c>
      <c r="O140" s="4">
        <v>73.552000000000007</v>
      </c>
      <c r="P140" s="4">
        <v>0</v>
      </c>
      <c r="Q140" s="3" t="s">
        <v>26</v>
      </c>
      <c r="R140" s="3">
        <v>0</v>
      </c>
      <c r="S140" s="4">
        <v>34</v>
      </c>
      <c r="T140" s="4">
        <v>23</v>
      </c>
      <c r="U140" s="4">
        <v>71</v>
      </c>
      <c r="V140" s="4">
        <f>IF(ISERROR(VLOOKUP($S$140,'TAR FIN'!$A$1:$O$92,15,0)),0,VLOOKUP($S$140,'TAR FIN'!$A$1:$O$92,15,0))</f>
        <v>44</v>
      </c>
      <c r="W140" s="4">
        <f>IF(ISERROR(VLOOKUP($T$140,'TAR FIN'!$A$1:$O$92,15,0)),0,VLOOKUP($T$140,'TAR FIN'!$A$1:$O$92,15,0))</f>
        <v>87.73</v>
      </c>
      <c r="X140" s="4">
        <f>IF(ISERROR(VLOOKUP($U$140,'TAR FIN'!$A$1:$O$92,15,0)),0,VLOOKUP($U$140,'TAR FIN'!$A$1:$O$92,15,0))</f>
        <v>433.77</v>
      </c>
      <c r="Y140" s="4">
        <f ca="1">('TUSD BE'!$AM$5+'TUSD BF'!$AM$5+'TUSD CVA'!$AM$5)*1</f>
        <v>57.091253741473494</v>
      </c>
      <c r="Z140" s="4">
        <f ca="1">('TUSD BE'!$AM$7+'TUSD BF'!$AM$7+'TUSD CVA'!$AM$7)*1</f>
        <v>109.44196476324252</v>
      </c>
      <c r="AA140" s="4">
        <f>('TE BE'!$AB$5+'TE BF'!$AB$5+'TE CVA'!$AB$5)*1</f>
        <v>542.84414704984056</v>
      </c>
      <c r="AB140" s="4">
        <f>$K$140*$V$140</f>
        <v>135916</v>
      </c>
      <c r="AC140" s="4">
        <f>$M$140*$W$140</f>
        <v>6452.7169600000007</v>
      </c>
      <c r="AD140" s="4">
        <f>$O$140*$X$140</f>
        <v>31904.651040000001</v>
      </c>
      <c r="AE140" s="4">
        <f ca="1">$K$140*$Y$140</f>
        <v>176354.88280741163</v>
      </c>
      <c r="AF140" s="4">
        <f ca="1">$M$140*$Z$140</f>
        <v>8049.6753922660146</v>
      </c>
      <c r="AG140" s="4">
        <f>$O$140*$AA$140</f>
        <v>39927.272703809875</v>
      </c>
    </row>
    <row r="141" spans="1:33" ht="11.25" customHeight="1" x14ac:dyDescent="0.25">
      <c r="A141" s="3" t="s">
        <v>28</v>
      </c>
      <c r="B141" s="3" t="s">
        <v>39</v>
      </c>
      <c r="C141" s="3" t="s">
        <v>40</v>
      </c>
      <c r="D141" s="3" t="s">
        <v>45</v>
      </c>
      <c r="E141" s="3" t="s">
        <v>25</v>
      </c>
      <c r="F141" s="3" t="s">
        <v>25</v>
      </c>
      <c r="G141" s="3" t="s">
        <v>25</v>
      </c>
      <c r="H141" s="3" t="s">
        <v>34</v>
      </c>
      <c r="I141" s="6">
        <v>44682</v>
      </c>
      <c r="J141" s="4">
        <v>208</v>
      </c>
      <c r="K141" s="4">
        <v>208</v>
      </c>
      <c r="L141" s="4">
        <v>6.7119999999999997</v>
      </c>
      <c r="M141" s="4">
        <v>6.7119999999999997</v>
      </c>
      <c r="N141" s="4">
        <v>6.7119999999999997</v>
      </c>
      <c r="O141" s="4">
        <v>6.7119999999999997</v>
      </c>
      <c r="P141" s="4">
        <v>0</v>
      </c>
      <c r="Q141" s="3" t="s">
        <v>26</v>
      </c>
      <c r="R141" s="3">
        <v>0</v>
      </c>
      <c r="S141" s="4">
        <v>34</v>
      </c>
      <c r="T141" s="4">
        <v>23</v>
      </c>
      <c r="U141" s="4">
        <v>71</v>
      </c>
      <c r="V141" s="4">
        <f>IF(ISERROR(VLOOKUP($S$141,'TAR FIN'!$A$1:$O$92,15,0)),0,VLOOKUP($S$141,'TAR FIN'!$A$1:$O$92,15,0))</f>
        <v>44</v>
      </c>
      <c r="W141" s="4">
        <f>IF(ISERROR(VLOOKUP($T$141,'TAR FIN'!$A$1:$O$92,15,0)),0,VLOOKUP($T$141,'TAR FIN'!$A$1:$O$92,15,0))</f>
        <v>87.73</v>
      </c>
      <c r="X141" s="4">
        <f>IF(ISERROR(VLOOKUP($U$141,'TAR FIN'!$A$1:$O$92,15,0)),0,VLOOKUP($U$141,'TAR FIN'!$A$1:$O$92,15,0))</f>
        <v>433.77</v>
      </c>
      <c r="Y141" s="4">
        <f ca="1">('TUSD BE'!$AM$5+'TUSD BF'!$AM$5+'TUSD CVA'!$AM$5)*1</f>
        <v>57.091253741473494</v>
      </c>
      <c r="Z141" s="4">
        <f ca="1">('TUSD BE'!$AM$7+'TUSD BF'!$AM$7+'TUSD CVA'!$AM$7)*1</f>
        <v>109.44196476324252</v>
      </c>
      <c r="AA141" s="4">
        <f>('TE BE'!$AB$5+'TE BF'!$AB$5+'TE CVA'!$AB$5)*1</f>
        <v>542.84414704984056</v>
      </c>
      <c r="AB141" s="4">
        <f>$K$141*$V$141</f>
        <v>9152</v>
      </c>
      <c r="AC141" s="4">
        <f>$M$141*$W$141</f>
        <v>588.84375999999997</v>
      </c>
      <c r="AD141" s="4">
        <f>$O$141*$X$141</f>
        <v>2911.4642399999998</v>
      </c>
      <c r="AE141" s="4">
        <f ca="1">$K$141*$Y$141</f>
        <v>11874.980778226487</v>
      </c>
      <c r="AF141" s="4">
        <f ca="1">$M$141*$Z$141</f>
        <v>734.57446749088376</v>
      </c>
      <c r="AG141" s="4">
        <f>$O$141*$AA$141</f>
        <v>3643.5699149985298</v>
      </c>
    </row>
    <row r="142" spans="1:33" ht="11.25" customHeight="1" x14ac:dyDescent="0.25">
      <c r="A142" s="3" t="s">
        <v>21</v>
      </c>
      <c r="B142" s="3" t="s">
        <v>39</v>
      </c>
      <c r="C142" s="3" t="s">
        <v>40</v>
      </c>
      <c r="D142" s="3" t="s">
        <v>45</v>
      </c>
      <c r="E142" s="3" t="s">
        <v>25</v>
      </c>
      <c r="F142" s="3" t="s">
        <v>25</v>
      </c>
      <c r="G142" s="3" t="s">
        <v>25</v>
      </c>
      <c r="H142" s="3" t="s">
        <v>34</v>
      </c>
      <c r="I142" s="6">
        <v>44713</v>
      </c>
      <c r="J142" s="4">
        <v>3076</v>
      </c>
      <c r="K142" s="4">
        <v>3076</v>
      </c>
      <c r="L142" s="4">
        <v>70.945999999999998</v>
      </c>
      <c r="M142" s="4">
        <v>70.945999999999998</v>
      </c>
      <c r="N142" s="4">
        <v>70.945999999999998</v>
      </c>
      <c r="O142" s="4">
        <v>70.945999999999998</v>
      </c>
      <c r="P142" s="4">
        <v>0</v>
      </c>
      <c r="Q142" s="3" t="s">
        <v>26</v>
      </c>
      <c r="R142" s="3">
        <v>0</v>
      </c>
      <c r="S142" s="4">
        <v>34</v>
      </c>
      <c r="T142" s="4">
        <v>23</v>
      </c>
      <c r="U142" s="4">
        <v>71</v>
      </c>
      <c r="V142" s="4">
        <f>IF(ISERROR(VLOOKUP($S$142,'TAR FIN'!$A$1:$O$92,15,0)),0,VLOOKUP($S$142,'TAR FIN'!$A$1:$O$92,15,0))</f>
        <v>44</v>
      </c>
      <c r="W142" s="4">
        <f>IF(ISERROR(VLOOKUP($T$142,'TAR FIN'!$A$1:$O$92,15,0)),0,VLOOKUP($T$142,'TAR FIN'!$A$1:$O$92,15,0))</f>
        <v>87.73</v>
      </c>
      <c r="X142" s="4">
        <f>IF(ISERROR(VLOOKUP($U$142,'TAR FIN'!$A$1:$O$92,15,0)),0,VLOOKUP($U$142,'TAR FIN'!$A$1:$O$92,15,0))</f>
        <v>433.77</v>
      </c>
      <c r="Y142" s="4">
        <f ca="1">('TUSD BE'!$AM$5+'TUSD BF'!$AM$5+'TUSD CVA'!$AM$5)*1</f>
        <v>57.091253741473494</v>
      </c>
      <c r="Z142" s="4">
        <f ca="1">('TUSD BE'!$AM$7+'TUSD BF'!$AM$7+'TUSD CVA'!$AM$7)*1</f>
        <v>109.44196476324252</v>
      </c>
      <c r="AA142" s="4">
        <f>('TE BE'!$AB$5+'TE BF'!$AB$5+'TE CVA'!$AB$5)*1</f>
        <v>542.84414704984056</v>
      </c>
      <c r="AB142" s="4">
        <f>$K$142*$V$142</f>
        <v>135344</v>
      </c>
      <c r="AC142" s="4">
        <f>$M$142*$W$142</f>
        <v>6224.0925800000005</v>
      </c>
      <c r="AD142" s="4">
        <f>$O$142*$X$142</f>
        <v>30774.246419999999</v>
      </c>
      <c r="AE142" s="4">
        <f ca="1">$K$142*$Y$142</f>
        <v>175612.69650877247</v>
      </c>
      <c r="AF142" s="4">
        <f ca="1">$M$142*$Z$142</f>
        <v>7764.4696320930043</v>
      </c>
      <c r="AG142" s="4">
        <f>$O$142*$AA$142</f>
        <v>38512.62085659799</v>
      </c>
    </row>
    <row r="143" spans="1:33" ht="11.25" customHeight="1" x14ac:dyDescent="0.25">
      <c r="A143" s="3" t="s">
        <v>28</v>
      </c>
      <c r="B143" s="3" t="s">
        <v>39</v>
      </c>
      <c r="C143" s="3" t="s">
        <v>40</v>
      </c>
      <c r="D143" s="3" t="s">
        <v>45</v>
      </c>
      <c r="E143" s="3" t="s">
        <v>25</v>
      </c>
      <c r="F143" s="3" t="s">
        <v>25</v>
      </c>
      <c r="G143" s="3" t="s">
        <v>25</v>
      </c>
      <c r="H143" s="3" t="s">
        <v>34</v>
      </c>
      <c r="I143" s="6">
        <v>44713</v>
      </c>
      <c r="J143" s="4">
        <v>53</v>
      </c>
      <c r="K143" s="4">
        <v>53</v>
      </c>
      <c r="L143" s="4">
        <v>1.643</v>
      </c>
      <c r="M143" s="4">
        <v>1.643</v>
      </c>
      <c r="N143" s="4">
        <v>1.643</v>
      </c>
      <c r="O143" s="4">
        <v>1.643</v>
      </c>
      <c r="P143" s="4">
        <v>0</v>
      </c>
      <c r="Q143" s="3" t="s">
        <v>26</v>
      </c>
      <c r="R143" s="3">
        <v>0</v>
      </c>
      <c r="S143" s="4">
        <v>34</v>
      </c>
      <c r="T143" s="4">
        <v>23</v>
      </c>
      <c r="U143" s="4">
        <v>71</v>
      </c>
      <c r="V143" s="4">
        <f>IF(ISERROR(VLOOKUP($S$143,'TAR FIN'!$A$1:$O$92,15,0)),0,VLOOKUP($S$143,'TAR FIN'!$A$1:$O$92,15,0))</f>
        <v>44</v>
      </c>
      <c r="W143" s="4">
        <f>IF(ISERROR(VLOOKUP($T$143,'TAR FIN'!$A$1:$O$92,15,0)),0,VLOOKUP($T$143,'TAR FIN'!$A$1:$O$92,15,0))</f>
        <v>87.73</v>
      </c>
      <c r="X143" s="4">
        <f>IF(ISERROR(VLOOKUP($U$143,'TAR FIN'!$A$1:$O$92,15,0)),0,VLOOKUP($U$143,'TAR FIN'!$A$1:$O$92,15,0))</f>
        <v>433.77</v>
      </c>
      <c r="Y143" s="4">
        <f ca="1">('TUSD BE'!$AM$5+'TUSD BF'!$AM$5+'TUSD CVA'!$AM$5)*1</f>
        <v>57.091253741473494</v>
      </c>
      <c r="Z143" s="4">
        <f ca="1">('TUSD BE'!$AM$7+'TUSD BF'!$AM$7+'TUSD CVA'!$AM$7)*1</f>
        <v>109.44196476324252</v>
      </c>
      <c r="AA143" s="4">
        <f>('TE BE'!$AB$5+'TE BF'!$AB$5+'TE CVA'!$AB$5)*1</f>
        <v>542.84414704984056</v>
      </c>
      <c r="AB143" s="4">
        <f>$K$143*$V$143</f>
        <v>2332</v>
      </c>
      <c r="AC143" s="4">
        <f>$M$143*$W$143</f>
        <v>144.14039</v>
      </c>
      <c r="AD143" s="4">
        <f>$O$143*$X$143</f>
        <v>712.68411000000003</v>
      </c>
      <c r="AE143" s="4">
        <f ca="1">$K$143*$Y$143</f>
        <v>3025.8364482980951</v>
      </c>
      <c r="AF143" s="4">
        <f ca="1">$M$143*$Z$143</f>
        <v>179.81314810600747</v>
      </c>
      <c r="AG143" s="4">
        <f>$O$143*$AA$143</f>
        <v>891.89293360288809</v>
      </c>
    </row>
    <row r="144" spans="1:33" ht="11.25" customHeight="1" x14ac:dyDescent="0.25">
      <c r="A144" s="3" t="s">
        <v>21</v>
      </c>
      <c r="B144" s="3" t="s">
        <v>39</v>
      </c>
      <c r="C144" s="3" t="s">
        <v>40</v>
      </c>
      <c r="D144" s="3" t="s">
        <v>45</v>
      </c>
      <c r="E144" s="3" t="s">
        <v>25</v>
      </c>
      <c r="F144" s="3" t="s">
        <v>25</v>
      </c>
      <c r="G144" s="3" t="s">
        <v>25</v>
      </c>
      <c r="H144" s="3" t="s">
        <v>34</v>
      </c>
      <c r="I144" s="6">
        <v>44743</v>
      </c>
      <c r="J144" s="4">
        <v>3100</v>
      </c>
      <c r="K144" s="4">
        <v>3100</v>
      </c>
      <c r="L144" s="4">
        <v>78.704999999999998</v>
      </c>
      <c r="M144" s="4">
        <v>78.704999999999998</v>
      </c>
      <c r="N144" s="4">
        <v>78.704999999999998</v>
      </c>
      <c r="O144" s="4">
        <v>78.704999999999998</v>
      </c>
      <c r="P144" s="4">
        <v>0</v>
      </c>
      <c r="Q144" s="3" t="s">
        <v>26</v>
      </c>
      <c r="R144" s="3">
        <v>0</v>
      </c>
      <c r="S144" s="4">
        <v>34</v>
      </c>
      <c r="T144" s="4">
        <v>23</v>
      </c>
      <c r="U144" s="4">
        <v>71</v>
      </c>
      <c r="V144" s="4">
        <f>IF(ISERROR(VLOOKUP($S$144,'TAR FIN'!$A$1:$O$92,15,0)),0,VLOOKUP($S$144,'TAR FIN'!$A$1:$O$92,15,0))</f>
        <v>44</v>
      </c>
      <c r="W144" s="4">
        <f>IF(ISERROR(VLOOKUP($T$144,'TAR FIN'!$A$1:$O$92,15,0)),0,VLOOKUP($T$144,'TAR FIN'!$A$1:$O$92,15,0))</f>
        <v>87.73</v>
      </c>
      <c r="X144" s="4">
        <f>IF(ISERROR(VLOOKUP($U$144,'TAR FIN'!$A$1:$O$92,15,0)),0,VLOOKUP($U$144,'TAR FIN'!$A$1:$O$92,15,0))</f>
        <v>433.77</v>
      </c>
      <c r="Y144" s="4">
        <f ca="1">('TUSD BE'!$AM$5+'TUSD BF'!$AM$5+'TUSD CVA'!$AM$5)*1</f>
        <v>57.091253741473494</v>
      </c>
      <c r="Z144" s="4">
        <f ca="1">('TUSD BE'!$AM$7+'TUSD BF'!$AM$7+'TUSD CVA'!$AM$7)*1</f>
        <v>109.44196476324252</v>
      </c>
      <c r="AA144" s="4">
        <f>('TE BE'!$AB$5+'TE BF'!$AB$5+'TE CVA'!$AB$5)*1</f>
        <v>542.84414704984056</v>
      </c>
      <c r="AB144" s="4">
        <f>$K$144*$V$144</f>
        <v>136400</v>
      </c>
      <c r="AC144" s="4">
        <f>$M$144*$W$144</f>
        <v>6904.7896499999997</v>
      </c>
      <c r="AD144" s="4">
        <f>$O$144*$X$144</f>
        <v>34139.867849999995</v>
      </c>
      <c r="AE144" s="4">
        <f ca="1">$K$144*$Y$144</f>
        <v>176982.88659856783</v>
      </c>
      <c r="AF144" s="4">
        <f ca="1">$M$144*$Z$144</f>
        <v>8613.6298366910032</v>
      </c>
      <c r="AG144" s="4">
        <f>$O$144*$AA$144</f>
        <v>42724.548593557702</v>
      </c>
    </row>
    <row r="145" spans="1:33" ht="11.25" customHeight="1" x14ac:dyDescent="0.25">
      <c r="A145" s="3" t="s">
        <v>28</v>
      </c>
      <c r="B145" s="3" t="s">
        <v>39</v>
      </c>
      <c r="C145" s="3" t="s">
        <v>40</v>
      </c>
      <c r="D145" s="3" t="s">
        <v>45</v>
      </c>
      <c r="E145" s="3" t="s">
        <v>25</v>
      </c>
      <c r="F145" s="3" t="s">
        <v>25</v>
      </c>
      <c r="G145" s="3" t="s">
        <v>25</v>
      </c>
      <c r="H145" s="3" t="s">
        <v>34</v>
      </c>
      <c r="I145" s="6">
        <v>44743</v>
      </c>
      <c r="J145" s="4">
        <v>53</v>
      </c>
      <c r="K145" s="4">
        <v>53</v>
      </c>
      <c r="L145" s="4">
        <v>1.6970000000000001</v>
      </c>
      <c r="M145" s="4">
        <v>1.6970000000000001</v>
      </c>
      <c r="N145" s="4">
        <v>1.6970000000000001</v>
      </c>
      <c r="O145" s="4">
        <v>1.6970000000000001</v>
      </c>
      <c r="P145" s="4">
        <v>0</v>
      </c>
      <c r="Q145" s="3" t="s">
        <v>26</v>
      </c>
      <c r="R145" s="3">
        <v>0</v>
      </c>
      <c r="S145" s="4">
        <v>34</v>
      </c>
      <c r="T145" s="4">
        <v>23</v>
      </c>
      <c r="U145" s="4">
        <v>71</v>
      </c>
      <c r="V145" s="4">
        <f>IF(ISERROR(VLOOKUP($S$145,'TAR FIN'!$A$1:$O$92,15,0)),0,VLOOKUP($S$145,'TAR FIN'!$A$1:$O$92,15,0))</f>
        <v>44</v>
      </c>
      <c r="W145" s="4">
        <f>IF(ISERROR(VLOOKUP($T$145,'TAR FIN'!$A$1:$O$92,15,0)),0,VLOOKUP($T$145,'TAR FIN'!$A$1:$O$92,15,0))</f>
        <v>87.73</v>
      </c>
      <c r="X145" s="4">
        <f>IF(ISERROR(VLOOKUP($U$145,'TAR FIN'!$A$1:$O$92,15,0)),0,VLOOKUP($U$145,'TAR FIN'!$A$1:$O$92,15,0))</f>
        <v>433.77</v>
      </c>
      <c r="Y145" s="4">
        <f ca="1">('TUSD BE'!$AM$5+'TUSD BF'!$AM$5+'TUSD CVA'!$AM$5)*1</f>
        <v>57.091253741473494</v>
      </c>
      <c r="Z145" s="4">
        <f ca="1">('TUSD BE'!$AM$7+'TUSD BF'!$AM$7+'TUSD CVA'!$AM$7)*1</f>
        <v>109.44196476324252</v>
      </c>
      <c r="AA145" s="4">
        <f>('TE BE'!$AB$5+'TE BF'!$AB$5+'TE CVA'!$AB$5)*1</f>
        <v>542.84414704984056</v>
      </c>
      <c r="AB145" s="4">
        <f>$K$145*$V$145</f>
        <v>2332</v>
      </c>
      <c r="AC145" s="4">
        <f>$M$145*$W$145</f>
        <v>148.87781000000001</v>
      </c>
      <c r="AD145" s="4">
        <f>$O$145*$X$145</f>
        <v>736.10769000000005</v>
      </c>
      <c r="AE145" s="4">
        <f ca="1">$K$145*$Y$145</f>
        <v>3025.8364482980951</v>
      </c>
      <c r="AF145" s="4">
        <f ca="1">$M$145*$Z$145</f>
        <v>185.72301420322256</v>
      </c>
      <c r="AG145" s="4">
        <f>$O$145*$AA$145</f>
        <v>921.20651754357948</v>
      </c>
    </row>
    <row r="146" spans="1:33" ht="11.25" customHeight="1" x14ac:dyDescent="0.25">
      <c r="A146" s="3" t="s">
        <v>21</v>
      </c>
      <c r="B146" s="3" t="s">
        <v>39</v>
      </c>
      <c r="C146" s="3" t="s">
        <v>40</v>
      </c>
      <c r="D146" s="3" t="s">
        <v>45</v>
      </c>
      <c r="E146" s="3" t="s">
        <v>25</v>
      </c>
      <c r="F146" s="3" t="s">
        <v>25</v>
      </c>
      <c r="G146" s="3" t="s">
        <v>25</v>
      </c>
      <c r="H146" s="3" t="s">
        <v>34</v>
      </c>
      <c r="I146" s="6">
        <v>44774</v>
      </c>
      <c r="J146" s="4">
        <v>3120</v>
      </c>
      <c r="K146" s="4">
        <v>3120</v>
      </c>
      <c r="L146" s="4">
        <v>93.415000000000006</v>
      </c>
      <c r="M146" s="4">
        <v>93.415000000000006</v>
      </c>
      <c r="N146" s="4">
        <v>93.415000000000006</v>
      </c>
      <c r="O146" s="4">
        <v>93.415000000000006</v>
      </c>
      <c r="P146" s="4">
        <v>0</v>
      </c>
      <c r="Q146" s="3" t="s">
        <v>26</v>
      </c>
      <c r="R146" s="3">
        <v>0</v>
      </c>
      <c r="S146" s="4">
        <v>34</v>
      </c>
      <c r="T146" s="4">
        <v>23</v>
      </c>
      <c r="U146" s="4">
        <v>71</v>
      </c>
      <c r="V146" s="4">
        <f>IF(ISERROR(VLOOKUP($S$146,'TAR FIN'!$A$1:$O$92,15,0)),0,VLOOKUP($S$146,'TAR FIN'!$A$1:$O$92,15,0))</f>
        <v>44</v>
      </c>
      <c r="W146" s="4">
        <f>IF(ISERROR(VLOOKUP($T$146,'TAR FIN'!$A$1:$O$92,15,0)),0,VLOOKUP($T$146,'TAR FIN'!$A$1:$O$92,15,0))</f>
        <v>87.73</v>
      </c>
      <c r="X146" s="4">
        <f>IF(ISERROR(VLOOKUP($U$146,'TAR FIN'!$A$1:$O$92,15,0)),0,VLOOKUP($U$146,'TAR FIN'!$A$1:$O$92,15,0))</f>
        <v>433.77</v>
      </c>
      <c r="Y146" s="4">
        <f ca="1">('TUSD BE'!$AM$5+'TUSD BF'!$AM$5+'TUSD CVA'!$AM$5)*1</f>
        <v>57.091253741473494</v>
      </c>
      <c r="Z146" s="4">
        <f ca="1">('TUSD BE'!$AM$7+'TUSD BF'!$AM$7+'TUSD CVA'!$AM$7)*1</f>
        <v>109.44196476324252</v>
      </c>
      <c r="AA146" s="4">
        <f>('TE BE'!$AB$5+'TE BF'!$AB$5+'TE CVA'!$AB$5)*1</f>
        <v>542.84414704984056</v>
      </c>
      <c r="AB146" s="4">
        <f>$K$146*$V$146</f>
        <v>137280</v>
      </c>
      <c r="AC146" s="4">
        <f>$M$146*$W$146</f>
        <v>8195.2979500000001</v>
      </c>
      <c r="AD146" s="4">
        <f>$O$146*$X$146</f>
        <v>40520.62455</v>
      </c>
      <c r="AE146" s="4">
        <f ca="1">$K$146*$Y$146</f>
        <v>178124.71167339731</v>
      </c>
      <c r="AF146" s="4">
        <f ca="1">$M$146*$Z$146</f>
        <v>10223.521138358301</v>
      </c>
      <c r="AG146" s="4">
        <f>$O$146*$AA$146</f>
        <v>50709.785996660859</v>
      </c>
    </row>
    <row r="147" spans="1:33" ht="11.25" customHeight="1" x14ac:dyDescent="0.25">
      <c r="A147" s="3" t="s">
        <v>28</v>
      </c>
      <c r="B147" s="3" t="s">
        <v>39</v>
      </c>
      <c r="C147" s="3" t="s">
        <v>40</v>
      </c>
      <c r="D147" s="3" t="s">
        <v>45</v>
      </c>
      <c r="E147" s="3" t="s">
        <v>25</v>
      </c>
      <c r="F147" s="3" t="s">
        <v>25</v>
      </c>
      <c r="G147" s="3" t="s">
        <v>25</v>
      </c>
      <c r="H147" s="3" t="s">
        <v>34</v>
      </c>
      <c r="I147" s="6">
        <v>44774</v>
      </c>
      <c r="J147" s="4">
        <v>54</v>
      </c>
      <c r="K147" s="4">
        <v>54</v>
      </c>
      <c r="L147" s="4">
        <v>1.8480000000000001</v>
      </c>
      <c r="M147" s="4">
        <v>1.8480000000000001</v>
      </c>
      <c r="N147" s="4">
        <v>1.8480000000000001</v>
      </c>
      <c r="O147" s="4">
        <v>1.8480000000000001</v>
      </c>
      <c r="P147" s="4">
        <v>0</v>
      </c>
      <c r="Q147" s="3" t="s">
        <v>26</v>
      </c>
      <c r="R147" s="3">
        <v>0</v>
      </c>
      <c r="S147" s="4">
        <v>34</v>
      </c>
      <c r="T147" s="4">
        <v>23</v>
      </c>
      <c r="U147" s="4">
        <v>71</v>
      </c>
      <c r="V147" s="4">
        <f>IF(ISERROR(VLOOKUP($S$147,'TAR FIN'!$A$1:$O$92,15,0)),0,VLOOKUP($S$147,'TAR FIN'!$A$1:$O$92,15,0))</f>
        <v>44</v>
      </c>
      <c r="W147" s="4">
        <f>IF(ISERROR(VLOOKUP($T$147,'TAR FIN'!$A$1:$O$92,15,0)),0,VLOOKUP($T$147,'TAR FIN'!$A$1:$O$92,15,0))</f>
        <v>87.73</v>
      </c>
      <c r="X147" s="4">
        <f>IF(ISERROR(VLOOKUP($U$147,'TAR FIN'!$A$1:$O$92,15,0)),0,VLOOKUP($U$147,'TAR FIN'!$A$1:$O$92,15,0))</f>
        <v>433.77</v>
      </c>
      <c r="Y147" s="4">
        <f ca="1">('TUSD BE'!$AM$5+'TUSD BF'!$AM$5+'TUSD CVA'!$AM$5)*1</f>
        <v>57.091253741473494</v>
      </c>
      <c r="Z147" s="4">
        <f ca="1">('TUSD BE'!$AM$7+'TUSD BF'!$AM$7+'TUSD CVA'!$AM$7)*1</f>
        <v>109.44196476324252</v>
      </c>
      <c r="AA147" s="4">
        <f>('TE BE'!$AB$5+'TE BF'!$AB$5+'TE CVA'!$AB$5)*1</f>
        <v>542.84414704984056</v>
      </c>
      <c r="AB147" s="4">
        <f>$K$147*$V$147</f>
        <v>2376</v>
      </c>
      <c r="AC147" s="4">
        <f>$M$147*$W$147</f>
        <v>162.12504000000001</v>
      </c>
      <c r="AD147" s="4">
        <f>$O$147*$X$147</f>
        <v>801.60695999999996</v>
      </c>
      <c r="AE147" s="4">
        <f ca="1">$K$147*$Y$147</f>
        <v>3082.9277020395689</v>
      </c>
      <c r="AF147" s="4">
        <f ca="1">$M$147*$Z$147</f>
        <v>202.24875088247219</v>
      </c>
      <c r="AG147" s="4">
        <f>$O$147*$AA$147</f>
        <v>1003.1759837481054</v>
      </c>
    </row>
    <row r="148" spans="1:33" ht="11.25" customHeight="1" x14ac:dyDescent="0.25">
      <c r="A148" s="3" t="s">
        <v>21</v>
      </c>
      <c r="B148" s="3" t="s">
        <v>39</v>
      </c>
      <c r="C148" s="3" t="s">
        <v>40</v>
      </c>
      <c r="D148" s="3" t="s">
        <v>45</v>
      </c>
      <c r="E148" s="3" t="s">
        <v>25</v>
      </c>
      <c r="F148" s="3" t="s">
        <v>25</v>
      </c>
      <c r="G148" s="3" t="s">
        <v>25</v>
      </c>
      <c r="H148" s="3" t="s">
        <v>34</v>
      </c>
      <c r="I148" s="6">
        <v>44805</v>
      </c>
      <c r="J148" s="4">
        <v>3192</v>
      </c>
      <c r="K148" s="4">
        <v>3192</v>
      </c>
      <c r="L148" s="4">
        <v>94.150999999999996</v>
      </c>
      <c r="M148" s="4">
        <v>94.150999999999996</v>
      </c>
      <c r="N148" s="4">
        <v>94.150999999999996</v>
      </c>
      <c r="O148" s="4">
        <v>94.150999999999996</v>
      </c>
      <c r="P148" s="4">
        <v>0</v>
      </c>
      <c r="Q148" s="3" t="s">
        <v>26</v>
      </c>
      <c r="R148" s="3">
        <v>0</v>
      </c>
      <c r="S148" s="4">
        <v>34</v>
      </c>
      <c r="T148" s="4">
        <v>23</v>
      </c>
      <c r="U148" s="4">
        <v>71</v>
      </c>
      <c r="V148" s="4">
        <f>IF(ISERROR(VLOOKUP($S$148,'TAR FIN'!$A$1:$O$92,15,0)),0,VLOOKUP($S$148,'TAR FIN'!$A$1:$O$92,15,0))</f>
        <v>44</v>
      </c>
      <c r="W148" s="4">
        <f>IF(ISERROR(VLOOKUP($T$148,'TAR FIN'!$A$1:$O$92,15,0)),0,VLOOKUP($T$148,'TAR FIN'!$A$1:$O$92,15,0))</f>
        <v>87.73</v>
      </c>
      <c r="X148" s="4">
        <f>IF(ISERROR(VLOOKUP($U$148,'TAR FIN'!$A$1:$O$92,15,0)),0,VLOOKUP($U$148,'TAR FIN'!$A$1:$O$92,15,0))</f>
        <v>433.77</v>
      </c>
      <c r="Y148" s="4">
        <f ca="1">('TUSD BE'!$AM$5+'TUSD BF'!$AM$5+'TUSD CVA'!$AM$5)*1</f>
        <v>57.091253741473494</v>
      </c>
      <c r="Z148" s="4">
        <f ca="1">('TUSD BE'!$AM$7+'TUSD BF'!$AM$7+'TUSD CVA'!$AM$7)*1</f>
        <v>109.44196476324252</v>
      </c>
      <c r="AA148" s="4">
        <f>('TE BE'!$AB$5+'TE BF'!$AB$5+'TE CVA'!$AB$5)*1</f>
        <v>542.84414704984056</v>
      </c>
      <c r="AB148" s="4">
        <f>$K$148*$V$148</f>
        <v>140448</v>
      </c>
      <c r="AC148" s="4">
        <f>$M$148*$W$148</f>
        <v>8259.8672299999998</v>
      </c>
      <c r="AD148" s="4">
        <f>$O$148*$X$148</f>
        <v>40839.879269999998</v>
      </c>
      <c r="AE148" s="4">
        <f ca="1">$K$148*$Y$148</f>
        <v>182235.28194278339</v>
      </c>
      <c r="AF148" s="4">
        <f ca="1">$M$148*$Z$148</f>
        <v>10304.070424424046</v>
      </c>
      <c r="AG148" s="4">
        <f>$O$148*$AA$148</f>
        <v>51109.319288889536</v>
      </c>
    </row>
    <row r="149" spans="1:33" ht="11.25" customHeight="1" x14ac:dyDescent="0.25">
      <c r="A149" s="3" t="s">
        <v>28</v>
      </c>
      <c r="B149" s="3" t="s">
        <v>39</v>
      </c>
      <c r="C149" s="3" t="s">
        <v>40</v>
      </c>
      <c r="D149" s="3" t="s">
        <v>45</v>
      </c>
      <c r="E149" s="3" t="s">
        <v>25</v>
      </c>
      <c r="F149" s="3" t="s">
        <v>25</v>
      </c>
      <c r="G149" s="3" t="s">
        <v>25</v>
      </c>
      <c r="H149" s="3" t="s">
        <v>34</v>
      </c>
      <c r="I149" s="6">
        <v>44805</v>
      </c>
      <c r="J149" s="4">
        <v>52</v>
      </c>
      <c r="K149" s="4">
        <v>52</v>
      </c>
      <c r="L149" s="4">
        <v>1.6319999999999999</v>
      </c>
      <c r="M149" s="4">
        <v>1.6319999999999999</v>
      </c>
      <c r="N149" s="4">
        <v>1.6319999999999999</v>
      </c>
      <c r="O149" s="4">
        <v>1.6319999999999999</v>
      </c>
      <c r="P149" s="4">
        <v>0</v>
      </c>
      <c r="Q149" s="3" t="s">
        <v>26</v>
      </c>
      <c r="R149" s="3">
        <v>0</v>
      </c>
      <c r="S149" s="4">
        <v>34</v>
      </c>
      <c r="T149" s="4">
        <v>23</v>
      </c>
      <c r="U149" s="4">
        <v>71</v>
      </c>
      <c r="V149" s="4">
        <f>IF(ISERROR(VLOOKUP($S$149,'TAR FIN'!$A$1:$O$92,15,0)),0,VLOOKUP($S$149,'TAR FIN'!$A$1:$O$92,15,0))</f>
        <v>44</v>
      </c>
      <c r="W149" s="4">
        <f>IF(ISERROR(VLOOKUP($T$149,'TAR FIN'!$A$1:$O$92,15,0)),0,VLOOKUP($T$149,'TAR FIN'!$A$1:$O$92,15,0))</f>
        <v>87.73</v>
      </c>
      <c r="X149" s="4">
        <f>IF(ISERROR(VLOOKUP($U$149,'TAR FIN'!$A$1:$O$92,15,0)),0,VLOOKUP($U$149,'TAR FIN'!$A$1:$O$92,15,0))</f>
        <v>433.77</v>
      </c>
      <c r="Y149" s="4">
        <f ca="1">('TUSD BE'!$AM$5+'TUSD BF'!$AM$5+'TUSD CVA'!$AM$5)*1</f>
        <v>57.091253741473494</v>
      </c>
      <c r="Z149" s="4">
        <f ca="1">('TUSD BE'!$AM$7+'TUSD BF'!$AM$7+'TUSD CVA'!$AM$7)*1</f>
        <v>109.44196476324252</v>
      </c>
      <c r="AA149" s="4">
        <f>('TE BE'!$AB$5+'TE BF'!$AB$5+'TE CVA'!$AB$5)*1</f>
        <v>542.84414704984056</v>
      </c>
      <c r="AB149" s="4">
        <f>$K$149*$V$149</f>
        <v>2288</v>
      </c>
      <c r="AC149" s="4">
        <f>$M$149*$W$149</f>
        <v>143.17535999999998</v>
      </c>
      <c r="AD149" s="4">
        <f>$O$149*$X$149</f>
        <v>707.9126399999999</v>
      </c>
      <c r="AE149" s="4">
        <f ca="1">$K$149*$Y$149</f>
        <v>2968.7451945566218</v>
      </c>
      <c r="AF149" s="4">
        <f ca="1">$M$149*$Z$149</f>
        <v>178.60928649361179</v>
      </c>
      <c r="AG149" s="4">
        <f>$O$149*$AA$149</f>
        <v>885.92164798533975</v>
      </c>
    </row>
    <row r="150" spans="1:33" ht="11.25" customHeight="1" x14ac:dyDescent="0.25">
      <c r="A150" s="3" t="s">
        <v>55</v>
      </c>
      <c r="B150" s="3" t="s">
        <v>39</v>
      </c>
      <c r="C150" s="3" t="s">
        <v>40</v>
      </c>
      <c r="D150" s="3" t="s">
        <v>45</v>
      </c>
      <c r="E150" s="3" t="s">
        <v>25</v>
      </c>
      <c r="F150" s="3" t="s">
        <v>25</v>
      </c>
      <c r="G150" s="3" t="s">
        <v>25</v>
      </c>
      <c r="H150" s="3" t="s">
        <v>34</v>
      </c>
      <c r="I150" s="6">
        <v>44835</v>
      </c>
      <c r="J150" s="4">
        <v>3192</v>
      </c>
      <c r="K150" s="4">
        <v>3192</v>
      </c>
      <c r="L150" s="4">
        <v>94.150999999999996</v>
      </c>
      <c r="M150" s="4">
        <v>94.150999999999996</v>
      </c>
      <c r="N150" s="4">
        <v>94.150999999999996</v>
      </c>
      <c r="O150" s="4">
        <v>94.150999999999996</v>
      </c>
      <c r="P150" s="4">
        <v>0</v>
      </c>
      <c r="Q150" s="3" t="s">
        <v>26</v>
      </c>
      <c r="R150" s="3">
        <v>0</v>
      </c>
      <c r="S150" s="4">
        <v>34</v>
      </c>
      <c r="T150" s="4">
        <v>23</v>
      </c>
      <c r="U150" s="4">
        <v>71</v>
      </c>
      <c r="V150" s="4">
        <f>IF(ISERROR(VLOOKUP($S$150,'TAR FIN'!$A$1:$O$92,15,0)),0,VLOOKUP($S$150,'TAR FIN'!$A$1:$O$92,15,0))</f>
        <v>44</v>
      </c>
      <c r="W150" s="4">
        <f>IF(ISERROR(VLOOKUP($T$150,'TAR FIN'!$A$1:$O$92,15,0)),0,VLOOKUP($T$150,'TAR FIN'!$A$1:$O$92,15,0))</f>
        <v>87.73</v>
      </c>
      <c r="X150" s="4">
        <f>IF(ISERROR(VLOOKUP($U$150,'TAR FIN'!$A$1:$O$92,15,0)),0,VLOOKUP($U$150,'TAR FIN'!$A$1:$O$92,15,0))</f>
        <v>433.77</v>
      </c>
      <c r="Y150" s="4">
        <f ca="1">('TUSD BE'!$AM$5+'TUSD BF'!$AM$5+'TUSD CVA'!$AM$5)*1</f>
        <v>57.091253741473494</v>
      </c>
      <c r="Z150" s="4">
        <f ca="1">('TUSD BE'!$AM$7+'TUSD BF'!$AM$7+'TUSD CVA'!$AM$7)*1</f>
        <v>109.44196476324252</v>
      </c>
      <c r="AA150" s="4">
        <f>('TE BE'!$AB$5+'TE BF'!$AB$5+'TE CVA'!$AB$5)*1</f>
        <v>542.84414704984056</v>
      </c>
      <c r="AB150" s="4">
        <f>$K$150*$V$150</f>
        <v>140448</v>
      </c>
      <c r="AC150" s="4">
        <f>$M$150*$W$150</f>
        <v>8259.8672299999998</v>
      </c>
      <c r="AD150" s="4">
        <f>$O$150*$X$150</f>
        <v>40839.879269999998</v>
      </c>
      <c r="AE150" s="4">
        <f ca="1">$K$150*$Y$150</f>
        <v>182235.28194278339</v>
      </c>
      <c r="AF150" s="4">
        <f ca="1">$M$150*$Z$150</f>
        <v>10304.070424424046</v>
      </c>
      <c r="AG150" s="4">
        <f>$O$150*$AA$150</f>
        <v>51109.319288889536</v>
      </c>
    </row>
    <row r="151" spans="1:33" ht="11.25" customHeight="1" x14ac:dyDescent="0.25">
      <c r="A151" s="3" t="s">
        <v>55</v>
      </c>
      <c r="B151" s="3" t="s">
        <v>39</v>
      </c>
      <c r="C151" s="3" t="s">
        <v>40</v>
      </c>
      <c r="D151" s="3" t="s">
        <v>45</v>
      </c>
      <c r="E151" s="3" t="s">
        <v>25</v>
      </c>
      <c r="F151" s="3" t="s">
        <v>25</v>
      </c>
      <c r="G151" s="3" t="s">
        <v>25</v>
      </c>
      <c r="H151" s="3" t="s">
        <v>34</v>
      </c>
      <c r="I151" s="6">
        <v>44835</v>
      </c>
      <c r="J151" s="4">
        <v>52</v>
      </c>
      <c r="K151" s="4">
        <v>52</v>
      </c>
      <c r="L151" s="4">
        <v>1.6319999999999999</v>
      </c>
      <c r="M151" s="4">
        <v>1.6319999999999999</v>
      </c>
      <c r="N151" s="4">
        <v>1.6319999999999999</v>
      </c>
      <c r="O151" s="4">
        <v>1.6319999999999999</v>
      </c>
      <c r="P151" s="4">
        <v>0</v>
      </c>
      <c r="Q151" s="3" t="s">
        <v>26</v>
      </c>
      <c r="R151" s="3">
        <v>0</v>
      </c>
      <c r="S151" s="4">
        <v>34</v>
      </c>
      <c r="T151" s="4">
        <v>23</v>
      </c>
      <c r="U151" s="4">
        <v>71</v>
      </c>
      <c r="V151" s="4">
        <f>IF(ISERROR(VLOOKUP($S$151,'TAR FIN'!$A$1:$O$92,15,0)),0,VLOOKUP($S$151,'TAR FIN'!$A$1:$O$92,15,0))</f>
        <v>44</v>
      </c>
      <c r="W151" s="4">
        <f>IF(ISERROR(VLOOKUP($T$151,'TAR FIN'!$A$1:$O$92,15,0)),0,VLOOKUP($T$151,'TAR FIN'!$A$1:$O$92,15,0))</f>
        <v>87.73</v>
      </c>
      <c r="X151" s="4">
        <f>IF(ISERROR(VLOOKUP($U$151,'TAR FIN'!$A$1:$O$92,15,0)),0,VLOOKUP($U$151,'TAR FIN'!$A$1:$O$92,15,0))</f>
        <v>433.77</v>
      </c>
      <c r="Y151" s="4">
        <f ca="1">('TUSD BE'!$AM$5+'TUSD BF'!$AM$5+'TUSD CVA'!$AM$5)*1</f>
        <v>57.091253741473494</v>
      </c>
      <c r="Z151" s="4">
        <f ca="1">('TUSD BE'!$AM$7+'TUSD BF'!$AM$7+'TUSD CVA'!$AM$7)*1</f>
        <v>109.44196476324252</v>
      </c>
      <c r="AA151" s="4">
        <f>('TE BE'!$AB$5+'TE BF'!$AB$5+'TE CVA'!$AB$5)*1</f>
        <v>542.84414704984056</v>
      </c>
      <c r="AB151" s="4">
        <f>$K$151*$V$151</f>
        <v>2288</v>
      </c>
      <c r="AC151" s="4">
        <f>$M$151*$W$151</f>
        <v>143.17535999999998</v>
      </c>
      <c r="AD151" s="4">
        <f>$O$151*$X$151</f>
        <v>707.9126399999999</v>
      </c>
      <c r="AE151" s="4">
        <f ca="1">$K$151*$Y$151</f>
        <v>2968.7451945566218</v>
      </c>
      <c r="AF151" s="4">
        <f ca="1">$M$151*$Z$151</f>
        <v>178.60928649361179</v>
      </c>
      <c r="AG151" s="4">
        <f>$O$151*$AA$151</f>
        <v>885.92164798533975</v>
      </c>
    </row>
    <row r="152" spans="1:33" ht="11.25" customHeight="1" x14ac:dyDescent="0.25">
      <c r="A152" s="3" t="s">
        <v>21</v>
      </c>
      <c r="B152" s="3" t="s">
        <v>39</v>
      </c>
      <c r="C152" s="3" t="s">
        <v>40</v>
      </c>
      <c r="D152" s="3" t="s">
        <v>49</v>
      </c>
      <c r="E152" s="3" t="s">
        <v>50</v>
      </c>
      <c r="F152" s="3" t="s">
        <v>25</v>
      </c>
      <c r="G152" s="3" t="s">
        <v>25</v>
      </c>
      <c r="H152" s="3" t="s">
        <v>35</v>
      </c>
      <c r="I152" s="6">
        <v>44501</v>
      </c>
      <c r="J152" s="4">
        <v>2202</v>
      </c>
      <c r="K152" s="63">
        <v>2202</v>
      </c>
      <c r="L152" s="4">
        <v>1090.395</v>
      </c>
      <c r="M152" s="64">
        <v>1090.395</v>
      </c>
      <c r="N152" s="4">
        <v>1090.395</v>
      </c>
      <c r="O152" s="64">
        <v>1090.395</v>
      </c>
      <c r="P152" s="4">
        <v>0</v>
      </c>
      <c r="Q152" s="3" t="s">
        <v>26</v>
      </c>
      <c r="R152" s="3">
        <v>0</v>
      </c>
      <c r="S152" s="4">
        <v>27</v>
      </c>
      <c r="T152" s="4">
        <v>23</v>
      </c>
      <c r="U152" s="4">
        <v>59</v>
      </c>
      <c r="V152" s="64">
        <f>IF(ISERROR(VLOOKUP($S$152,'TAR FIN'!$A$1:$O$92,15,0)),0,VLOOKUP($S$152,'TAR FIN'!$A$1:$O$92,15,0))*(1-0.06)</f>
        <v>13.7616</v>
      </c>
      <c r="W152" s="64">
        <f>IF(ISERROR(VLOOKUP($T$152,'TAR FIN'!$A$1:$O$92,15,0)),0,VLOOKUP($T$152,'TAR FIN'!$A$1:$O$92,15,0))*(1-0.06)</f>
        <v>82.466200000000001</v>
      </c>
      <c r="X152" s="64">
        <f>IF(ISERROR(VLOOKUP($U$152,'TAR FIN'!$A$1:$O$92,15,0)),0,VLOOKUP($U$152,'TAR FIN'!$A$1:$O$92,15,0))*(1-0.06)</f>
        <v>238.666</v>
      </c>
      <c r="Y152" s="64">
        <f ca="1">('TUSD BE'!$AM$6+'TUSD BF'!$AM$6+'TUSD CVA'!$AM$6)*1*(1-0.03)</f>
        <v>18.453742481980488</v>
      </c>
      <c r="Z152" s="64">
        <f ca="1">('TUSD BE'!$AM$7+'TUSD BF'!$AM$7+'TUSD CVA'!$AM$7)*1*(1-0.03)</f>
        <v>106.15870582034525</v>
      </c>
      <c r="AA152" s="64">
        <f>('TE BE'!$AB$6+'TE BF'!$AB$6+'TE CVA'!$AB$6)*1*(1-0.03)</f>
        <v>307.86582774956895</v>
      </c>
      <c r="AB152" s="4">
        <f>$K$152*$V$152</f>
        <v>30303.0432</v>
      </c>
      <c r="AC152" s="4">
        <f>$M$152*$W$152</f>
        <v>89920.732149000003</v>
      </c>
      <c r="AD152" s="4">
        <f>$O$152*$X$152</f>
        <v>260240.21307</v>
      </c>
      <c r="AE152" s="4">
        <f ca="1">$K$152*$Y$152</f>
        <v>40635.140945321036</v>
      </c>
      <c r="AF152" s="4">
        <f ca="1">$M$152*$Z$152</f>
        <v>115754.92203297536</v>
      </c>
      <c r="AG152" s="4">
        <f>$O$152*$AA$152</f>
        <v>335695.35924899124</v>
      </c>
    </row>
    <row r="153" spans="1:33" ht="11.25" customHeight="1" x14ac:dyDescent="0.25">
      <c r="A153" s="3" t="s">
        <v>21</v>
      </c>
      <c r="B153" s="3" t="s">
        <v>39</v>
      </c>
      <c r="C153" s="3" t="s">
        <v>40</v>
      </c>
      <c r="D153" s="3" t="s">
        <v>49</v>
      </c>
      <c r="E153" s="3" t="s">
        <v>50</v>
      </c>
      <c r="F153" s="3" t="s">
        <v>25</v>
      </c>
      <c r="G153" s="3" t="s">
        <v>25</v>
      </c>
      <c r="H153" s="3" t="s">
        <v>35</v>
      </c>
      <c r="I153" s="6">
        <v>44531</v>
      </c>
      <c r="J153" s="4">
        <v>2253</v>
      </c>
      <c r="K153" s="63">
        <v>2253</v>
      </c>
      <c r="L153" s="4">
        <v>1100.5360000000001</v>
      </c>
      <c r="M153" s="64">
        <v>1100.5360000000001</v>
      </c>
      <c r="N153" s="4">
        <v>1100.5360000000001</v>
      </c>
      <c r="O153" s="64">
        <v>1100.5360000000001</v>
      </c>
      <c r="P153" s="4">
        <v>0</v>
      </c>
      <c r="Q153" s="3" t="s">
        <v>26</v>
      </c>
      <c r="R153" s="3">
        <v>0</v>
      </c>
      <c r="S153" s="4">
        <v>27</v>
      </c>
      <c r="T153" s="4">
        <v>23</v>
      </c>
      <c r="U153" s="4">
        <v>59</v>
      </c>
      <c r="V153" s="64">
        <f>IF(ISERROR(VLOOKUP($S$153,'TAR FIN'!$A$1:$O$92,15,0)),0,VLOOKUP($S$153,'TAR FIN'!$A$1:$O$92,15,0))*(1-0.06)</f>
        <v>13.7616</v>
      </c>
      <c r="W153" s="64">
        <f>IF(ISERROR(VLOOKUP($T$153,'TAR FIN'!$A$1:$O$92,15,0)),0,VLOOKUP($T$153,'TAR FIN'!$A$1:$O$92,15,0))*(1-0.06)</f>
        <v>82.466200000000001</v>
      </c>
      <c r="X153" s="64">
        <f>IF(ISERROR(VLOOKUP($U$153,'TAR FIN'!$A$1:$O$92,15,0)),0,VLOOKUP($U$153,'TAR FIN'!$A$1:$O$92,15,0))*(1-0.06)</f>
        <v>238.666</v>
      </c>
      <c r="Y153" s="64">
        <f ca="1">('TUSD BE'!$AM$6+'TUSD BF'!$AM$6+'TUSD CVA'!$AM$6)*1*(1-0.03)</f>
        <v>18.453742481980488</v>
      </c>
      <c r="Z153" s="64">
        <f ca="1">('TUSD BE'!$AM$7+'TUSD BF'!$AM$7+'TUSD CVA'!$AM$7)*1*(1-0.03)</f>
        <v>106.15870582034525</v>
      </c>
      <c r="AA153" s="64">
        <f>('TE BE'!$AB$6+'TE BF'!$AB$6+'TE CVA'!$AB$6)*1*(1-0.03)</f>
        <v>307.86582774956895</v>
      </c>
      <c r="AB153" s="4">
        <f>$K$153*$V$153</f>
        <v>31004.8848</v>
      </c>
      <c r="AC153" s="4">
        <f>$M$153*$W$153</f>
        <v>90757.02188320001</v>
      </c>
      <c r="AD153" s="4">
        <f>$O$153*$X$153</f>
        <v>262660.52497600002</v>
      </c>
      <c r="AE153" s="4">
        <f ca="1">$K$153*$Y$153</f>
        <v>41576.281811902038</v>
      </c>
      <c r="AF153" s="4">
        <f ca="1">$M$153*$Z$153</f>
        <v>116831.47746869948</v>
      </c>
      <c r="AG153" s="4">
        <f>$O$153*$AA$153</f>
        <v>338817.42660819966</v>
      </c>
    </row>
    <row r="154" spans="1:33" ht="11.25" customHeight="1" x14ac:dyDescent="0.25">
      <c r="A154" s="3" t="s">
        <v>21</v>
      </c>
      <c r="B154" s="3" t="s">
        <v>39</v>
      </c>
      <c r="C154" s="3" t="s">
        <v>40</v>
      </c>
      <c r="D154" s="3" t="s">
        <v>49</v>
      </c>
      <c r="E154" s="3" t="s">
        <v>50</v>
      </c>
      <c r="F154" s="3" t="s">
        <v>25</v>
      </c>
      <c r="G154" s="3" t="s">
        <v>25</v>
      </c>
      <c r="H154" s="3" t="s">
        <v>35</v>
      </c>
      <c r="I154" s="6">
        <v>44562</v>
      </c>
      <c r="J154" s="4">
        <v>2175</v>
      </c>
      <c r="K154" s="63">
        <v>2175</v>
      </c>
      <c r="L154" s="4">
        <v>1078.173</v>
      </c>
      <c r="M154" s="64">
        <v>1078.173</v>
      </c>
      <c r="N154" s="4">
        <v>1078.173</v>
      </c>
      <c r="O154" s="64">
        <v>1078.173</v>
      </c>
      <c r="P154" s="4">
        <v>0</v>
      </c>
      <c r="Q154" s="3" t="s">
        <v>26</v>
      </c>
      <c r="R154" s="3">
        <v>0</v>
      </c>
      <c r="S154" s="4">
        <v>27</v>
      </c>
      <c r="T154" s="4">
        <v>23</v>
      </c>
      <c r="U154" s="4">
        <v>59</v>
      </c>
      <c r="V154" s="64">
        <f>IF(ISERROR(VLOOKUP($S$154,'TAR FIN'!$A$1:$O$92,15,0)),0,VLOOKUP($S$154,'TAR FIN'!$A$1:$O$92,15,0))*(1-0.06)</f>
        <v>13.7616</v>
      </c>
      <c r="W154" s="64">
        <f>IF(ISERROR(VLOOKUP($T$154,'TAR FIN'!$A$1:$O$92,15,0)),0,VLOOKUP($T$154,'TAR FIN'!$A$1:$O$92,15,0))*(1-0.06)</f>
        <v>82.466200000000001</v>
      </c>
      <c r="X154" s="64">
        <f>IF(ISERROR(VLOOKUP($U$154,'TAR FIN'!$A$1:$O$92,15,0)),0,VLOOKUP($U$154,'TAR FIN'!$A$1:$O$92,15,0))*(1-0.06)</f>
        <v>238.666</v>
      </c>
      <c r="Y154" s="64">
        <f ca="1">('TUSD BE'!$AM$6+'TUSD BF'!$AM$6+'TUSD CVA'!$AM$6)*1*(1-0.03)</f>
        <v>18.453742481980488</v>
      </c>
      <c r="Z154" s="64">
        <f ca="1">('TUSD BE'!$AM$7+'TUSD BF'!$AM$7+'TUSD CVA'!$AM$7)*1*(1-0.03)</f>
        <v>106.15870582034525</v>
      </c>
      <c r="AA154" s="64">
        <f>('TE BE'!$AB$6+'TE BF'!$AB$6+'TE CVA'!$AB$6)*1*(1-0.03)</f>
        <v>307.86582774956895</v>
      </c>
      <c r="AB154" s="4">
        <f>$K$154*$V$154</f>
        <v>29931.48</v>
      </c>
      <c r="AC154" s="4">
        <f>$M$154*$W$154</f>
        <v>88912.830252600004</v>
      </c>
      <c r="AD154" s="4">
        <f>$O$154*$X$154</f>
        <v>257323.23721799999</v>
      </c>
      <c r="AE154" s="4">
        <f ca="1">$K$154*$Y$154</f>
        <v>40136.889898307563</v>
      </c>
      <c r="AF154" s="4">
        <f ca="1">$M$154*$Z$154</f>
        <v>114457.4503304391</v>
      </c>
      <c r="AG154" s="4">
        <f>$O$154*$AA$154</f>
        <v>331932.62310223602</v>
      </c>
    </row>
    <row r="155" spans="1:33" ht="11.25" customHeight="1" x14ac:dyDescent="0.25">
      <c r="A155" s="3" t="s">
        <v>21</v>
      </c>
      <c r="B155" s="3" t="s">
        <v>39</v>
      </c>
      <c r="C155" s="3" t="s">
        <v>40</v>
      </c>
      <c r="D155" s="3" t="s">
        <v>49</v>
      </c>
      <c r="E155" s="3" t="s">
        <v>50</v>
      </c>
      <c r="F155" s="3" t="s">
        <v>25</v>
      </c>
      <c r="G155" s="3" t="s">
        <v>25</v>
      </c>
      <c r="H155" s="3" t="s">
        <v>35</v>
      </c>
      <c r="I155" s="6">
        <v>44593</v>
      </c>
      <c r="J155" s="4">
        <v>2198</v>
      </c>
      <c r="K155" s="63">
        <v>2198</v>
      </c>
      <c r="L155" s="4">
        <v>1021.213</v>
      </c>
      <c r="M155" s="64">
        <v>1021.213</v>
      </c>
      <c r="N155" s="4">
        <v>1021.213</v>
      </c>
      <c r="O155" s="64">
        <v>1021.213</v>
      </c>
      <c r="P155" s="4">
        <v>0</v>
      </c>
      <c r="Q155" s="3" t="s">
        <v>26</v>
      </c>
      <c r="R155" s="3">
        <v>0</v>
      </c>
      <c r="S155" s="4">
        <v>27</v>
      </c>
      <c r="T155" s="4">
        <v>23</v>
      </c>
      <c r="U155" s="4">
        <v>59</v>
      </c>
      <c r="V155" s="64">
        <f>IF(ISERROR(VLOOKUP($S$155,'TAR FIN'!$A$1:$O$92,15,0)),0,VLOOKUP($S$155,'TAR FIN'!$A$1:$O$92,15,0))*(1-0.06)</f>
        <v>13.7616</v>
      </c>
      <c r="W155" s="64">
        <f>IF(ISERROR(VLOOKUP($T$155,'TAR FIN'!$A$1:$O$92,15,0)),0,VLOOKUP($T$155,'TAR FIN'!$A$1:$O$92,15,0))*(1-0.06)</f>
        <v>82.466200000000001</v>
      </c>
      <c r="X155" s="64">
        <f>IF(ISERROR(VLOOKUP($U$155,'TAR FIN'!$A$1:$O$92,15,0)),0,VLOOKUP($U$155,'TAR FIN'!$A$1:$O$92,15,0))*(1-0.06)</f>
        <v>238.666</v>
      </c>
      <c r="Y155" s="64">
        <f ca="1">('TUSD BE'!$AM$6+'TUSD BF'!$AM$6+'TUSD CVA'!$AM$6)*1*(1-0.03)</f>
        <v>18.453742481980488</v>
      </c>
      <c r="Z155" s="64">
        <f ca="1">('TUSD BE'!$AM$7+'TUSD BF'!$AM$7+'TUSD CVA'!$AM$7)*1*(1-0.03)</f>
        <v>106.15870582034525</v>
      </c>
      <c r="AA155" s="64">
        <f>('TE BE'!$AB$6+'TE BF'!$AB$6+'TE CVA'!$AB$6)*1*(1-0.03)</f>
        <v>307.86582774956895</v>
      </c>
      <c r="AB155" s="4">
        <f>$K$155*$V$155</f>
        <v>30247.996800000001</v>
      </c>
      <c r="AC155" s="4">
        <f>$M$155*$W$155</f>
        <v>84215.555500599992</v>
      </c>
      <c r="AD155" s="4">
        <f>$O$155*$X$155</f>
        <v>243728.82185799998</v>
      </c>
      <c r="AE155" s="4">
        <f ca="1">$K$155*$Y$155</f>
        <v>40561.325975393112</v>
      </c>
      <c r="AF155" s="4">
        <f ca="1">$M$155*$Z$155</f>
        <v>108410.65044691223</v>
      </c>
      <c r="AG155" s="4">
        <f>$O$155*$AA$155</f>
        <v>314396.58555362053</v>
      </c>
    </row>
    <row r="156" spans="1:33" ht="11.25" customHeight="1" x14ac:dyDescent="0.25">
      <c r="A156" s="3" t="s">
        <v>21</v>
      </c>
      <c r="B156" s="3" t="s">
        <v>39</v>
      </c>
      <c r="C156" s="3" t="s">
        <v>40</v>
      </c>
      <c r="D156" s="3" t="s">
        <v>49</v>
      </c>
      <c r="E156" s="3" t="s">
        <v>50</v>
      </c>
      <c r="F156" s="3" t="s">
        <v>25</v>
      </c>
      <c r="G156" s="3" t="s">
        <v>25</v>
      </c>
      <c r="H156" s="3" t="s">
        <v>35</v>
      </c>
      <c r="I156" s="6">
        <v>44621</v>
      </c>
      <c r="J156" s="4">
        <v>2223</v>
      </c>
      <c r="K156" s="63">
        <v>2223</v>
      </c>
      <c r="L156" s="4">
        <v>1125.261</v>
      </c>
      <c r="M156" s="64">
        <v>1125.261</v>
      </c>
      <c r="N156" s="4">
        <v>1125.261</v>
      </c>
      <c r="O156" s="64">
        <v>1125.261</v>
      </c>
      <c r="P156" s="4">
        <v>0</v>
      </c>
      <c r="Q156" s="3" t="s">
        <v>26</v>
      </c>
      <c r="R156" s="3">
        <v>0</v>
      </c>
      <c r="S156" s="4">
        <v>27</v>
      </c>
      <c r="T156" s="4">
        <v>23</v>
      </c>
      <c r="U156" s="4">
        <v>59</v>
      </c>
      <c r="V156" s="64">
        <f>IF(ISERROR(VLOOKUP($S$156,'TAR FIN'!$A$1:$O$92,15,0)),0,VLOOKUP($S$156,'TAR FIN'!$A$1:$O$92,15,0))*(1-0.06)</f>
        <v>13.7616</v>
      </c>
      <c r="W156" s="64">
        <f>IF(ISERROR(VLOOKUP($T$156,'TAR FIN'!$A$1:$O$92,15,0)),0,VLOOKUP($T$156,'TAR FIN'!$A$1:$O$92,15,0))*(1-0.06)</f>
        <v>82.466200000000001</v>
      </c>
      <c r="X156" s="64">
        <f>IF(ISERROR(VLOOKUP($U$156,'TAR FIN'!$A$1:$O$92,15,0)),0,VLOOKUP($U$156,'TAR FIN'!$A$1:$O$92,15,0))*(1-0.06)</f>
        <v>238.666</v>
      </c>
      <c r="Y156" s="64">
        <f ca="1">('TUSD BE'!$AM$6+'TUSD BF'!$AM$6+'TUSD CVA'!$AM$6)*1*(1-0.03)</f>
        <v>18.453742481980488</v>
      </c>
      <c r="Z156" s="64">
        <f ca="1">('TUSD BE'!$AM$7+'TUSD BF'!$AM$7+'TUSD CVA'!$AM$7)*1*(1-0.03)</f>
        <v>106.15870582034525</v>
      </c>
      <c r="AA156" s="64">
        <f>('TE BE'!$AB$6+'TE BF'!$AB$6+'TE CVA'!$AB$6)*1*(1-0.03)</f>
        <v>307.86582774956895</v>
      </c>
      <c r="AB156" s="4">
        <f>$K$156*$V$156</f>
        <v>30592.036799999998</v>
      </c>
      <c r="AC156" s="4">
        <f>$M$156*$W$156</f>
        <v>92795.998678200005</v>
      </c>
      <c r="AD156" s="4">
        <f>$O$156*$X$156</f>
        <v>268561.54182599997</v>
      </c>
      <c r="AE156" s="4">
        <f ca="1">$K$156*$Y$156</f>
        <v>41022.669537442627</v>
      </c>
      <c r="AF156" s="4">
        <f ca="1">$M$156*$Z$156</f>
        <v>119456.25147010751</v>
      </c>
      <c r="AG156" s="4">
        <f>$O$156*$AA$156</f>
        <v>346429.40919930767</v>
      </c>
    </row>
    <row r="157" spans="1:33" ht="11.25" customHeight="1" x14ac:dyDescent="0.25">
      <c r="A157" s="3" t="s">
        <v>21</v>
      </c>
      <c r="B157" s="3" t="s">
        <v>39</v>
      </c>
      <c r="C157" s="3" t="s">
        <v>40</v>
      </c>
      <c r="D157" s="3" t="s">
        <v>49</v>
      </c>
      <c r="E157" s="3" t="s">
        <v>50</v>
      </c>
      <c r="F157" s="3" t="s">
        <v>25</v>
      </c>
      <c r="G157" s="3" t="s">
        <v>25</v>
      </c>
      <c r="H157" s="3" t="s">
        <v>35</v>
      </c>
      <c r="I157" s="6">
        <v>44652</v>
      </c>
      <c r="J157" s="4">
        <v>2223</v>
      </c>
      <c r="K157" s="63">
        <v>2223</v>
      </c>
      <c r="L157" s="4">
        <v>1125.261</v>
      </c>
      <c r="M157" s="64">
        <v>1125.261</v>
      </c>
      <c r="N157" s="4">
        <v>1125.261</v>
      </c>
      <c r="O157" s="64">
        <v>1125.261</v>
      </c>
      <c r="P157" s="4">
        <v>0</v>
      </c>
      <c r="Q157" s="3" t="s">
        <v>26</v>
      </c>
      <c r="R157" s="3">
        <v>0</v>
      </c>
      <c r="S157" s="4">
        <v>27</v>
      </c>
      <c r="T157" s="4">
        <v>23</v>
      </c>
      <c r="U157" s="4">
        <v>59</v>
      </c>
      <c r="V157" s="64">
        <f>IF(ISERROR(VLOOKUP($S$157,'TAR FIN'!$A$1:$O$92,15,0)),0,VLOOKUP($S$157,'TAR FIN'!$A$1:$O$92,15,0))*(1-0.06)</f>
        <v>13.7616</v>
      </c>
      <c r="W157" s="64">
        <f>IF(ISERROR(VLOOKUP($T$157,'TAR FIN'!$A$1:$O$92,15,0)),0,VLOOKUP($T$157,'TAR FIN'!$A$1:$O$92,15,0))*(1-0.06)</f>
        <v>82.466200000000001</v>
      </c>
      <c r="X157" s="64">
        <f>IF(ISERROR(VLOOKUP($U$157,'TAR FIN'!$A$1:$O$92,15,0)),0,VLOOKUP($U$157,'TAR FIN'!$A$1:$O$92,15,0))*(1-0.06)</f>
        <v>238.666</v>
      </c>
      <c r="Y157" s="64">
        <f ca="1">('TUSD BE'!$AM$6+'TUSD BF'!$AM$6+'TUSD CVA'!$AM$6)*1*(1-0.03)</f>
        <v>18.453742481980488</v>
      </c>
      <c r="Z157" s="64">
        <f ca="1">('TUSD BE'!$AM$7+'TUSD BF'!$AM$7+'TUSD CVA'!$AM$7)*1*(1-0.03)</f>
        <v>106.15870582034525</v>
      </c>
      <c r="AA157" s="64">
        <f>('TE BE'!$AB$6+'TE BF'!$AB$6+'TE CVA'!$AB$6)*1*(1-0.03)</f>
        <v>307.86582774956895</v>
      </c>
      <c r="AB157" s="4">
        <f>$K$157*$V$157</f>
        <v>30592.036799999998</v>
      </c>
      <c r="AC157" s="4">
        <f>$M$157*$W$157</f>
        <v>92795.998678200005</v>
      </c>
      <c r="AD157" s="4">
        <f>$O$157*$X$157</f>
        <v>268561.54182599997</v>
      </c>
      <c r="AE157" s="4">
        <f ca="1">$K$157*$Y$157</f>
        <v>41022.669537442627</v>
      </c>
      <c r="AF157" s="4">
        <f ca="1">$M$157*$Z$157</f>
        <v>119456.25147010751</v>
      </c>
      <c r="AG157" s="4">
        <f>$O$157*$AA$157</f>
        <v>346429.40919930767</v>
      </c>
    </row>
    <row r="158" spans="1:33" ht="11.25" customHeight="1" x14ac:dyDescent="0.25">
      <c r="A158" s="3" t="s">
        <v>21</v>
      </c>
      <c r="B158" s="3" t="s">
        <v>39</v>
      </c>
      <c r="C158" s="3" t="s">
        <v>40</v>
      </c>
      <c r="D158" s="3" t="s">
        <v>49</v>
      </c>
      <c r="E158" s="3" t="s">
        <v>50</v>
      </c>
      <c r="F158" s="3" t="s">
        <v>25</v>
      </c>
      <c r="G158" s="3" t="s">
        <v>25</v>
      </c>
      <c r="H158" s="3" t="s">
        <v>35</v>
      </c>
      <c r="I158" s="6">
        <v>44682</v>
      </c>
      <c r="J158" s="4">
        <v>2164</v>
      </c>
      <c r="K158" s="63">
        <v>2164</v>
      </c>
      <c r="L158" s="4">
        <v>1054.4939999999999</v>
      </c>
      <c r="M158" s="64">
        <v>1054.4939999999999</v>
      </c>
      <c r="N158" s="4">
        <v>1054.4939999999999</v>
      </c>
      <c r="O158" s="64">
        <v>1054.4939999999999</v>
      </c>
      <c r="P158" s="4">
        <v>0</v>
      </c>
      <c r="Q158" s="3" t="s">
        <v>26</v>
      </c>
      <c r="R158" s="3">
        <v>0</v>
      </c>
      <c r="S158" s="4">
        <v>27</v>
      </c>
      <c r="T158" s="4">
        <v>23</v>
      </c>
      <c r="U158" s="4">
        <v>59</v>
      </c>
      <c r="V158" s="64">
        <f>IF(ISERROR(VLOOKUP($S$158,'TAR FIN'!$A$1:$O$92,15,0)),0,VLOOKUP($S$158,'TAR FIN'!$A$1:$O$92,15,0))*(1-0.06)</f>
        <v>13.7616</v>
      </c>
      <c r="W158" s="64">
        <f>IF(ISERROR(VLOOKUP($T$158,'TAR FIN'!$A$1:$O$92,15,0)),0,VLOOKUP($T$158,'TAR FIN'!$A$1:$O$92,15,0))*(1-0.06)</f>
        <v>82.466200000000001</v>
      </c>
      <c r="X158" s="64">
        <f>IF(ISERROR(VLOOKUP($U$158,'TAR FIN'!$A$1:$O$92,15,0)),0,VLOOKUP($U$158,'TAR FIN'!$A$1:$O$92,15,0))*(1-0.06)</f>
        <v>238.666</v>
      </c>
      <c r="Y158" s="64">
        <f ca="1">('TUSD BE'!$AM$6+'TUSD BF'!$AM$6+'TUSD CVA'!$AM$6)*1*(1-0.03)</f>
        <v>18.453742481980488</v>
      </c>
      <c r="Z158" s="64">
        <f ca="1">('TUSD BE'!$AM$7+'TUSD BF'!$AM$7+'TUSD CVA'!$AM$7)*1*(1-0.03)</f>
        <v>106.15870582034525</v>
      </c>
      <c r="AA158" s="64">
        <f>('TE BE'!$AB$6+'TE BF'!$AB$6+'TE CVA'!$AB$6)*1*(1-0.03)</f>
        <v>307.86582774956895</v>
      </c>
      <c r="AB158" s="4">
        <f>$K$158*$V$158</f>
        <v>29780.1024</v>
      </c>
      <c r="AC158" s="4">
        <f>$M$158*$W$158</f>
        <v>86960.113102799995</v>
      </c>
      <c r="AD158" s="4">
        <f>$O$158*$X$158</f>
        <v>251671.86500399996</v>
      </c>
      <c r="AE158" s="4">
        <f ca="1">$K$158*$Y$158</f>
        <v>39933.898731005778</v>
      </c>
      <c r="AF158" s="4">
        <f ca="1">$M$158*$Z$158</f>
        <v>111943.71833531914</v>
      </c>
      <c r="AG158" s="4">
        <f>$O$158*$AA$158</f>
        <v>324642.66816695395</v>
      </c>
    </row>
    <row r="159" spans="1:33" ht="11.25" customHeight="1" x14ac:dyDescent="0.25">
      <c r="A159" s="3" t="s">
        <v>21</v>
      </c>
      <c r="B159" s="3" t="s">
        <v>39</v>
      </c>
      <c r="C159" s="3" t="s">
        <v>40</v>
      </c>
      <c r="D159" s="3" t="s">
        <v>49</v>
      </c>
      <c r="E159" s="3" t="s">
        <v>50</v>
      </c>
      <c r="F159" s="3" t="s">
        <v>25</v>
      </c>
      <c r="G159" s="3" t="s">
        <v>25</v>
      </c>
      <c r="H159" s="3" t="s">
        <v>35</v>
      </c>
      <c r="I159" s="6">
        <v>44713</v>
      </c>
      <c r="J159" s="4">
        <v>2162</v>
      </c>
      <c r="K159" s="63">
        <v>2162</v>
      </c>
      <c r="L159" s="4">
        <v>1015.821</v>
      </c>
      <c r="M159" s="64">
        <v>1015.821</v>
      </c>
      <c r="N159" s="4">
        <v>1015.821</v>
      </c>
      <c r="O159" s="64">
        <v>1015.821</v>
      </c>
      <c r="P159" s="4">
        <v>0</v>
      </c>
      <c r="Q159" s="3" t="s">
        <v>26</v>
      </c>
      <c r="R159" s="3">
        <v>0</v>
      </c>
      <c r="S159" s="4">
        <v>27</v>
      </c>
      <c r="T159" s="4">
        <v>23</v>
      </c>
      <c r="U159" s="4">
        <v>59</v>
      </c>
      <c r="V159" s="64">
        <f>IF(ISERROR(VLOOKUP($S$159,'TAR FIN'!$A$1:$O$92,15,0)),0,VLOOKUP($S$159,'TAR FIN'!$A$1:$O$92,15,0))*(1-0.06)</f>
        <v>13.7616</v>
      </c>
      <c r="W159" s="64">
        <f>IF(ISERROR(VLOOKUP($T$159,'TAR FIN'!$A$1:$O$92,15,0)),0,VLOOKUP($T$159,'TAR FIN'!$A$1:$O$92,15,0))*(1-0.06)</f>
        <v>82.466200000000001</v>
      </c>
      <c r="X159" s="64">
        <f>IF(ISERROR(VLOOKUP($U$159,'TAR FIN'!$A$1:$O$92,15,0)),0,VLOOKUP($U$159,'TAR FIN'!$A$1:$O$92,15,0))*(1-0.06)</f>
        <v>238.666</v>
      </c>
      <c r="Y159" s="64">
        <f ca="1">('TUSD BE'!$AM$6+'TUSD BF'!$AM$6+'TUSD CVA'!$AM$6)*1*(1-0.03)</f>
        <v>18.453742481980488</v>
      </c>
      <c r="Z159" s="64">
        <f ca="1">('TUSD BE'!$AM$7+'TUSD BF'!$AM$7+'TUSD CVA'!$AM$7)*1*(1-0.03)</f>
        <v>106.15870582034525</v>
      </c>
      <c r="AA159" s="64">
        <f>('TE BE'!$AB$6+'TE BF'!$AB$6+'TE CVA'!$AB$6)*1*(1-0.03)</f>
        <v>307.86582774956895</v>
      </c>
      <c r="AB159" s="4">
        <f>$K$159*$V$159</f>
        <v>29752.5792</v>
      </c>
      <c r="AC159" s="4">
        <f>$M$159*$W$159</f>
        <v>83770.897750200005</v>
      </c>
      <c r="AD159" s="4">
        <f>$O$159*$X$159</f>
        <v>242441.934786</v>
      </c>
      <c r="AE159" s="4">
        <f ca="1">$K$159*$Y$159</f>
        <v>39896.991246041813</v>
      </c>
      <c r="AF159" s="4">
        <f ca="1">$M$159*$Z$159</f>
        <v>107838.24270512893</v>
      </c>
      <c r="AG159" s="4">
        <f>$O$159*$AA$159</f>
        <v>312736.57301039487</v>
      </c>
    </row>
    <row r="160" spans="1:33" ht="11.25" customHeight="1" x14ac:dyDescent="0.25">
      <c r="A160" s="3" t="s">
        <v>21</v>
      </c>
      <c r="B160" s="3" t="s">
        <v>39</v>
      </c>
      <c r="C160" s="3" t="s">
        <v>40</v>
      </c>
      <c r="D160" s="3" t="s">
        <v>49</v>
      </c>
      <c r="E160" s="3" t="s">
        <v>50</v>
      </c>
      <c r="F160" s="3" t="s">
        <v>25</v>
      </c>
      <c r="G160" s="3" t="s">
        <v>25</v>
      </c>
      <c r="H160" s="3" t="s">
        <v>35</v>
      </c>
      <c r="I160" s="6">
        <v>44743</v>
      </c>
      <c r="J160" s="4">
        <v>2199</v>
      </c>
      <c r="K160" s="63">
        <v>2199</v>
      </c>
      <c r="L160" s="4">
        <v>998.71199999999999</v>
      </c>
      <c r="M160" s="64">
        <v>998.71199999999999</v>
      </c>
      <c r="N160" s="4">
        <v>998.71199999999999</v>
      </c>
      <c r="O160" s="64">
        <v>998.71199999999999</v>
      </c>
      <c r="P160" s="4">
        <v>0</v>
      </c>
      <c r="Q160" s="3" t="s">
        <v>26</v>
      </c>
      <c r="R160" s="3">
        <v>0</v>
      </c>
      <c r="S160" s="4">
        <v>27</v>
      </c>
      <c r="T160" s="4">
        <v>23</v>
      </c>
      <c r="U160" s="4">
        <v>59</v>
      </c>
      <c r="V160" s="64">
        <f>IF(ISERROR(VLOOKUP($S$160,'TAR FIN'!$A$1:$O$92,15,0)),0,VLOOKUP($S$160,'TAR FIN'!$A$1:$O$92,15,0))*(1-0.06)</f>
        <v>13.7616</v>
      </c>
      <c r="W160" s="64">
        <f>IF(ISERROR(VLOOKUP($T$160,'TAR FIN'!$A$1:$O$92,15,0)),0,VLOOKUP($T$160,'TAR FIN'!$A$1:$O$92,15,0))*(1-0.06)</f>
        <v>82.466200000000001</v>
      </c>
      <c r="X160" s="64">
        <f>IF(ISERROR(VLOOKUP($U$160,'TAR FIN'!$A$1:$O$92,15,0)),0,VLOOKUP($U$160,'TAR FIN'!$A$1:$O$92,15,0))*(1-0.06)</f>
        <v>238.666</v>
      </c>
      <c r="Y160" s="64">
        <f ca="1">('TUSD BE'!$AM$6+'TUSD BF'!$AM$6+'TUSD CVA'!$AM$6)*1*(1-0.03)</f>
        <v>18.453742481980488</v>
      </c>
      <c r="Z160" s="64">
        <f ca="1">('TUSD BE'!$AM$7+'TUSD BF'!$AM$7+'TUSD CVA'!$AM$7)*1*(1-0.03)</f>
        <v>106.15870582034525</v>
      </c>
      <c r="AA160" s="64">
        <f>('TE BE'!$AB$6+'TE BF'!$AB$6+'TE CVA'!$AB$6)*1*(1-0.03)</f>
        <v>307.86582774956895</v>
      </c>
      <c r="AB160" s="4">
        <f>$K$160*$V$160</f>
        <v>30261.758399999999</v>
      </c>
      <c r="AC160" s="4">
        <f>$M$160*$W$160</f>
        <v>82359.983534400002</v>
      </c>
      <c r="AD160" s="4">
        <f>$O$160*$X$160</f>
        <v>238358.598192</v>
      </c>
      <c r="AE160" s="4">
        <f ca="1">$K$160*$Y$160</f>
        <v>40579.779717875092</v>
      </c>
      <c r="AF160" s="4">
        <f ca="1">$M$160*$Z$160</f>
        <v>106021.97340724865</v>
      </c>
      <c r="AG160" s="4">
        <f>$O$160*$AA$160</f>
        <v>307469.29656342749</v>
      </c>
    </row>
    <row r="161" spans="1:33" ht="11.25" customHeight="1" x14ac:dyDescent="0.25">
      <c r="A161" s="3" t="s">
        <v>21</v>
      </c>
      <c r="B161" s="3" t="s">
        <v>39</v>
      </c>
      <c r="C161" s="3" t="s">
        <v>40</v>
      </c>
      <c r="D161" s="3" t="s">
        <v>49</v>
      </c>
      <c r="E161" s="3" t="s">
        <v>50</v>
      </c>
      <c r="F161" s="3" t="s">
        <v>25</v>
      </c>
      <c r="G161" s="3" t="s">
        <v>25</v>
      </c>
      <c r="H161" s="3" t="s">
        <v>35</v>
      </c>
      <c r="I161" s="6">
        <v>44774</v>
      </c>
      <c r="J161" s="4">
        <v>2176</v>
      </c>
      <c r="K161" s="63">
        <v>2176</v>
      </c>
      <c r="L161" s="4">
        <v>1021.486</v>
      </c>
      <c r="M161" s="64">
        <v>1021.486</v>
      </c>
      <c r="N161" s="4">
        <v>1021.486</v>
      </c>
      <c r="O161" s="64">
        <v>1021.486</v>
      </c>
      <c r="P161" s="4">
        <v>0</v>
      </c>
      <c r="Q161" s="3" t="s">
        <v>26</v>
      </c>
      <c r="R161" s="3">
        <v>0</v>
      </c>
      <c r="S161" s="4">
        <v>27</v>
      </c>
      <c r="T161" s="4">
        <v>23</v>
      </c>
      <c r="U161" s="4">
        <v>59</v>
      </c>
      <c r="V161" s="64">
        <f>IF(ISERROR(VLOOKUP($S$161,'TAR FIN'!$A$1:$O$92,15,0)),0,VLOOKUP($S$161,'TAR FIN'!$A$1:$O$92,15,0))*(1-0.06)</f>
        <v>13.7616</v>
      </c>
      <c r="W161" s="64">
        <f>IF(ISERROR(VLOOKUP($T$161,'TAR FIN'!$A$1:$O$92,15,0)),0,VLOOKUP($T$161,'TAR FIN'!$A$1:$O$92,15,0))*(1-0.06)</f>
        <v>82.466200000000001</v>
      </c>
      <c r="X161" s="64">
        <f>IF(ISERROR(VLOOKUP($U$161,'TAR FIN'!$A$1:$O$92,15,0)),0,VLOOKUP($U$161,'TAR FIN'!$A$1:$O$92,15,0))*(1-0.06)</f>
        <v>238.666</v>
      </c>
      <c r="Y161" s="64">
        <f ca="1">('TUSD BE'!$AM$6+'TUSD BF'!$AM$6+'TUSD CVA'!$AM$6)*1*(1-0.03)</f>
        <v>18.453742481980488</v>
      </c>
      <c r="Z161" s="64">
        <f ca="1">('TUSD BE'!$AM$7+'TUSD BF'!$AM$7+'TUSD CVA'!$AM$7)*1*(1-0.03)</f>
        <v>106.15870582034525</v>
      </c>
      <c r="AA161" s="64">
        <f>('TE BE'!$AB$6+'TE BF'!$AB$6+'TE CVA'!$AB$6)*1*(1-0.03)</f>
        <v>307.86582774956895</v>
      </c>
      <c r="AB161" s="4">
        <f>$K$161*$V$161</f>
        <v>29945.241599999998</v>
      </c>
      <c r="AC161" s="4">
        <f>$M$161*$W$161</f>
        <v>84238.068773199993</v>
      </c>
      <c r="AD161" s="4">
        <f>$O$161*$X$161</f>
        <v>243793.97767599998</v>
      </c>
      <c r="AE161" s="4">
        <f ca="1">$K$161*$Y$161</f>
        <v>40155.343640789542</v>
      </c>
      <c r="AF161" s="4">
        <f ca="1">$M$161*$Z$161</f>
        <v>108439.63177360118</v>
      </c>
      <c r="AG161" s="4">
        <f>$O$161*$AA$161</f>
        <v>314480.6329245962</v>
      </c>
    </row>
    <row r="162" spans="1:33" ht="11.25" customHeight="1" x14ac:dyDescent="0.25">
      <c r="A162" s="3" t="s">
        <v>21</v>
      </c>
      <c r="B162" s="3" t="s">
        <v>39</v>
      </c>
      <c r="C162" s="3" t="s">
        <v>40</v>
      </c>
      <c r="D162" s="3" t="s">
        <v>49</v>
      </c>
      <c r="E162" s="3" t="s">
        <v>50</v>
      </c>
      <c r="F162" s="3" t="s">
        <v>25</v>
      </c>
      <c r="G162" s="3" t="s">
        <v>25</v>
      </c>
      <c r="H162" s="3" t="s">
        <v>35</v>
      </c>
      <c r="I162" s="6">
        <v>44805</v>
      </c>
      <c r="J162" s="4">
        <v>2196</v>
      </c>
      <c r="K162" s="63">
        <v>2196</v>
      </c>
      <c r="L162" s="4">
        <v>1073.4110000000001</v>
      </c>
      <c r="M162" s="64">
        <v>1073.4110000000001</v>
      </c>
      <c r="N162" s="4">
        <v>1073.4110000000001</v>
      </c>
      <c r="O162" s="64">
        <v>1073.4110000000001</v>
      </c>
      <c r="P162" s="4">
        <v>0</v>
      </c>
      <c r="Q162" s="3" t="s">
        <v>26</v>
      </c>
      <c r="R162" s="3">
        <v>0</v>
      </c>
      <c r="S162" s="4">
        <v>27</v>
      </c>
      <c r="T162" s="4">
        <v>23</v>
      </c>
      <c r="U162" s="4">
        <v>59</v>
      </c>
      <c r="V162" s="64">
        <f>IF(ISERROR(VLOOKUP($S$162,'TAR FIN'!$A$1:$O$92,15,0)),0,VLOOKUP($S$162,'TAR FIN'!$A$1:$O$92,15,0))*(1-0.06)</f>
        <v>13.7616</v>
      </c>
      <c r="W162" s="64">
        <f>IF(ISERROR(VLOOKUP($T$162,'TAR FIN'!$A$1:$O$92,15,0)),0,VLOOKUP($T$162,'TAR FIN'!$A$1:$O$92,15,0))*(1-0.06)</f>
        <v>82.466200000000001</v>
      </c>
      <c r="X162" s="64">
        <f>IF(ISERROR(VLOOKUP($U$162,'TAR FIN'!$A$1:$O$92,15,0)),0,VLOOKUP($U$162,'TAR FIN'!$A$1:$O$92,15,0))*(1-0.06)</f>
        <v>238.666</v>
      </c>
      <c r="Y162" s="64">
        <f ca="1">('TUSD BE'!$AM$6+'TUSD BF'!$AM$6+'TUSD CVA'!$AM$6)*1*(1-0.03)</f>
        <v>18.453742481980488</v>
      </c>
      <c r="Z162" s="64">
        <f ca="1">('TUSD BE'!$AM$7+'TUSD BF'!$AM$7+'TUSD CVA'!$AM$7)*1*(1-0.03)</f>
        <v>106.15870582034525</v>
      </c>
      <c r="AA162" s="64">
        <f>('TE BE'!$AB$6+'TE BF'!$AB$6+'TE CVA'!$AB$6)*1*(1-0.03)</f>
        <v>307.86582774956895</v>
      </c>
      <c r="AB162" s="4">
        <f>$K$162*$V$162</f>
        <v>30220.473599999998</v>
      </c>
      <c r="AC162" s="4">
        <f>$M$162*$W$162</f>
        <v>88520.126208200003</v>
      </c>
      <c r="AD162" s="4">
        <f>$O$162*$X$162</f>
        <v>256186.709726</v>
      </c>
      <c r="AE162" s="4">
        <f ca="1">$K$162*$Y$162</f>
        <v>40524.418490429154</v>
      </c>
      <c r="AF162" s="4">
        <f ca="1">$M$162*$Z$162</f>
        <v>113951.92257332262</v>
      </c>
      <c r="AG162" s="4">
        <f>$O$162*$AA$162</f>
        <v>330466.5660304926</v>
      </c>
    </row>
    <row r="163" spans="1:33" ht="11.25" customHeight="1" x14ac:dyDescent="0.25">
      <c r="A163" s="3" t="s">
        <v>55</v>
      </c>
      <c r="B163" s="3" t="s">
        <v>39</v>
      </c>
      <c r="C163" s="3" t="s">
        <v>40</v>
      </c>
      <c r="D163" s="3" t="s">
        <v>49</v>
      </c>
      <c r="E163" s="3" t="s">
        <v>50</v>
      </c>
      <c r="F163" s="3" t="s">
        <v>25</v>
      </c>
      <c r="G163" s="3" t="s">
        <v>25</v>
      </c>
      <c r="H163" s="3" t="s">
        <v>35</v>
      </c>
      <c r="I163" s="6">
        <v>44835</v>
      </c>
      <c r="J163" s="4">
        <v>2196</v>
      </c>
      <c r="K163" s="63">
        <v>2196</v>
      </c>
      <c r="L163" s="4">
        <v>1073.4110000000001</v>
      </c>
      <c r="M163" s="64">
        <v>1073.4110000000001</v>
      </c>
      <c r="N163" s="4">
        <v>1073.4110000000001</v>
      </c>
      <c r="O163" s="64">
        <v>1073.4110000000001</v>
      </c>
      <c r="P163" s="4">
        <v>0</v>
      </c>
      <c r="Q163" s="3" t="s">
        <v>26</v>
      </c>
      <c r="R163" s="3">
        <v>0</v>
      </c>
      <c r="S163" s="4">
        <v>27</v>
      </c>
      <c r="T163" s="4">
        <v>23</v>
      </c>
      <c r="U163" s="4">
        <v>59</v>
      </c>
      <c r="V163" s="64">
        <f>IF(ISERROR(VLOOKUP($S$163,'TAR FIN'!$A$1:$O$92,15,0)),0,VLOOKUP($S$163,'TAR FIN'!$A$1:$O$92,15,0))*(1-0.06)</f>
        <v>13.7616</v>
      </c>
      <c r="W163" s="64">
        <f>IF(ISERROR(VLOOKUP($T$163,'TAR FIN'!$A$1:$O$92,15,0)),0,VLOOKUP($T$163,'TAR FIN'!$A$1:$O$92,15,0))*(1-0.06)</f>
        <v>82.466200000000001</v>
      </c>
      <c r="X163" s="64">
        <f>IF(ISERROR(VLOOKUP($U$163,'TAR FIN'!$A$1:$O$92,15,0)),0,VLOOKUP($U$163,'TAR FIN'!$A$1:$O$92,15,0))*(1-0.06)</f>
        <v>238.666</v>
      </c>
      <c r="Y163" s="64">
        <f ca="1">('TUSD BE'!$AM$6+'TUSD BF'!$AM$6+'TUSD CVA'!$AM$6)*1*(1-0.03)</f>
        <v>18.453742481980488</v>
      </c>
      <c r="Z163" s="64">
        <f ca="1">('TUSD BE'!$AM$7+'TUSD BF'!$AM$7+'TUSD CVA'!$AM$7)*1*(1-0.03)</f>
        <v>106.15870582034525</v>
      </c>
      <c r="AA163" s="64">
        <f>('TE BE'!$AB$6+'TE BF'!$AB$6+'TE CVA'!$AB$6)*1*(1-0.03)</f>
        <v>307.86582774956895</v>
      </c>
      <c r="AB163" s="4">
        <f>$K$163*$V$163</f>
        <v>30220.473599999998</v>
      </c>
      <c r="AC163" s="4">
        <f>$M$163*$W$163</f>
        <v>88520.126208200003</v>
      </c>
      <c r="AD163" s="4">
        <f>$O$163*$X$163</f>
        <v>256186.709726</v>
      </c>
      <c r="AE163" s="4">
        <f ca="1">$K$163*$Y$163</f>
        <v>40524.418490429154</v>
      </c>
      <c r="AF163" s="4">
        <f ca="1">$M$163*$Z$163</f>
        <v>113951.92257332262</v>
      </c>
      <c r="AG163" s="4">
        <f>$O$163*$AA$163</f>
        <v>330466.5660304926</v>
      </c>
    </row>
    <row r="164" spans="1:33" ht="11.25" customHeight="1" x14ac:dyDescent="0.25">
      <c r="A164" s="3" t="s">
        <v>21</v>
      </c>
      <c r="B164" s="3" t="s">
        <v>39</v>
      </c>
      <c r="C164" s="3" t="s">
        <v>40</v>
      </c>
      <c r="D164" s="3" t="s">
        <v>49</v>
      </c>
      <c r="E164" s="3" t="s">
        <v>50</v>
      </c>
      <c r="F164" s="3" t="s">
        <v>25</v>
      </c>
      <c r="G164" s="3" t="s">
        <v>25</v>
      </c>
      <c r="H164" s="3" t="s">
        <v>34</v>
      </c>
      <c r="I164" s="6">
        <v>44501</v>
      </c>
      <c r="J164" s="4">
        <v>2125</v>
      </c>
      <c r="K164" s="63">
        <v>2125</v>
      </c>
      <c r="L164" s="4">
        <v>102.19199999999999</v>
      </c>
      <c r="M164" s="64">
        <v>102.19199999999999</v>
      </c>
      <c r="N164" s="4">
        <v>102.19199999999999</v>
      </c>
      <c r="O164" s="64">
        <v>102.19199999999999</v>
      </c>
      <c r="P164" s="4">
        <v>0</v>
      </c>
      <c r="Q164" s="3" t="s">
        <v>26</v>
      </c>
      <c r="R164" s="3">
        <v>0</v>
      </c>
      <c r="S164" s="4">
        <v>34</v>
      </c>
      <c r="T164" s="4">
        <v>23</v>
      </c>
      <c r="U164" s="4">
        <v>71</v>
      </c>
      <c r="V164" s="64">
        <f>IF(ISERROR(VLOOKUP($S$164,'TAR FIN'!$A$1:$O$92,15,0)),0,VLOOKUP($S$164,'TAR FIN'!$A$1:$O$92,15,0))*(1-0.06)</f>
        <v>41.36</v>
      </c>
      <c r="W164" s="64">
        <f>IF(ISERROR(VLOOKUP($T$164,'TAR FIN'!$A$1:$O$92,15,0)),0,VLOOKUP($T$164,'TAR FIN'!$A$1:$O$92,15,0))*(1-0.06)</f>
        <v>82.466200000000001</v>
      </c>
      <c r="X164" s="64">
        <f>IF(ISERROR(VLOOKUP($U$164,'TAR FIN'!$A$1:$O$92,15,0)),0,VLOOKUP($U$164,'TAR FIN'!$A$1:$O$92,15,0))*(1-0.06)</f>
        <v>407.74379999999996</v>
      </c>
      <c r="Y164" s="64">
        <f ca="1">('TUSD BE'!$AM$5+'TUSD BF'!$AM$5+'TUSD CVA'!$AM$5)*1*(1-0.03)</f>
        <v>55.37851612922929</v>
      </c>
      <c r="Z164" s="64">
        <f ca="1">('TUSD BE'!$AM$7+'TUSD BF'!$AM$7+'TUSD CVA'!$AM$7)*1*(1-0.03)</f>
        <v>106.15870582034525</v>
      </c>
      <c r="AA164" s="64">
        <f>('TE BE'!$AB$5+'TE BF'!$AB$5+'TE CVA'!$AB$5)*1*(1-0.03)</f>
        <v>526.5588226383453</v>
      </c>
      <c r="AB164" s="4">
        <f>$K$164*$V$164</f>
        <v>87890</v>
      </c>
      <c r="AC164" s="4">
        <f>$M$164*$W$164</f>
        <v>8427.3859104000003</v>
      </c>
      <c r="AD164" s="4">
        <f>$O$164*$X$164</f>
        <v>41668.154409599993</v>
      </c>
      <c r="AE164" s="4">
        <f ca="1">$K$164*$Y$164</f>
        <v>117679.34677461225</v>
      </c>
      <c r="AF164" s="4">
        <f ca="1">$M$164*$Z$164</f>
        <v>10848.570465192721</v>
      </c>
      <c r="AG164" s="4">
        <f>$O$164*$AA$164</f>
        <v>53810.099203057776</v>
      </c>
    </row>
    <row r="165" spans="1:33" ht="11.25" customHeight="1" x14ac:dyDescent="0.25">
      <c r="A165" s="3" t="s">
        <v>21</v>
      </c>
      <c r="B165" s="3" t="s">
        <v>39</v>
      </c>
      <c r="C165" s="3" t="s">
        <v>40</v>
      </c>
      <c r="D165" s="3" t="s">
        <v>49</v>
      </c>
      <c r="E165" s="3" t="s">
        <v>50</v>
      </c>
      <c r="F165" s="3" t="s">
        <v>25</v>
      </c>
      <c r="G165" s="3" t="s">
        <v>25</v>
      </c>
      <c r="H165" s="3" t="s">
        <v>34</v>
      </c>
      <c r="I165" s="6">
        <v>44531</v>
      </c>
      <c r="J165" s="4">
        <v>2097</v>
      </c>
      <c r="K165" s="63">
        <v>2097</v>
      </c>
      <c r="L165" s="4">
        <v>114.267</v>
      </c>
      <c r="M165" s="64">
        <v>114.267</v>
      </c>
      <c r="N165" s="4">
        <v>114.267</v>
      </c>
      <c r="O165" s="64">
        <v>114.267</v>
      </c>
      <c r="P165" s="4">
        <v>0</v>
      </c>
      <c r="Q165" s="3" t="s">
        <v>26</v>
      </c>
      <c r="R165" s="3">
        <v>0</v>
      </c>
      <c r="S165" s="4">
        <v>34</v>
      </c>
      <c r="T165" s="4">
        <v>23</v>
      </c>
      <c r="U165" s="4">
        <v>71</v>
      </c>
      <c r="V165" s="64">
        <f>IF(ISERROR(VLOOKUP($S$165,'TAR FIN'!$A$1:$O$92,15,0)),0,VLOOKUP($S$165,'TAR FIN'!$A$1:$O$92,15,0))*(1-0.06)</f>
        <v>41.36</v>
      </c>
      <c r="W165" s="64">
        <f>IF(ISERROR(VLOOKUP($T$165,'TAR FIN'!$A$1:$O$92,15,0)),0,VLOOKUP($T$165,'TAR FIN'!$A$1:$O$92,15,0))*(1-0.06)</f>
        <v>82.466200000000001</v>
      </c>
      <c r="X165" s="64">
        <f>IF(ISERROR(VLOOKUP($U$165,'TAR FIN'!$A$1:$O$92,15,0)),0,VLOOKUP($U$165,'TAR FIN'!$A$1:$O$92,15,0))*(1-0.06)</f>
        <v>407.74379999999996</v>
      </c>
      <c r="Y165" s="64">
        <f ca="1">('TUSD BE'!$AM$5+'TUSD BF'!$AM$5+'TUSD CVA'!$AM$5)*1*(1-0.03)</f>
        <v>55.37851612922929</v>
      </c>
      <c r="Z165" s="64">
        <f ca="1">('TUSD BE'!$AM$7+'TUSD BF'!$AM$7+'TUSD CVA'!$AM$7)*1*(1-0.03)</f>
        <v>106.15870582034525</v>
      </c>
      <c r="AA165" s="64">
        <f>('TE BE'!$AB$5+'TE BF'!$AB$5+'TE CVA'!$AB$5)*1*(1-0.03)</f>
        <v>526.5588226383453</v>
      </c>
      <c r="AB165" s="4">
        <f>$K$165*$V$165</f>
        <v>86731.92</v>
      </c>
      <c r="AC165" s="4">
        <f>$M$165*$W$165</f>
        <v>9423.1652754000006</v>
      </c>
      <c r="AD165" s="4">
        <f>$O$165*$X$165</f>
        <v>46591.660794599993</v>
      </c>
      <c r="AE165" s="4">
        <f ca="1">$K$165*$Y$165</f>
        <v>116128.74832299382</v>
      </c>
      <c r="AF165" s="4">
        <f ca="1">$M$165*$Z$165</f>
        <v>12130.43683797339</v>
      </c>
      <c r="AG165" s="4">
        <f>$O$165*$AA$165</f>
        <v>60168.2969864158</v>
      </c>
    </row>
    <row r="166" spans="1:33" ht="11.25" customHeight="1" x14ac:dyDescent="0.25">
      <c r="A166" s="3" t="s">
        <v>21</v>
      </c>
      <c r="B166" s="3" t="s">
        <v>39</v>
      </c>
      <c r="C166" s="3" t="s">
        <v>40</v>
      </c>
      <c r="D166" s="3" t="s">
        <v>49</v>
      </c>
      <c r="E166" s="3" t="s">
        <v>50</v>
      </c>
      <c r="F166" s="3" t="s">
        <v>25</v>
      </c>
      <c r="G166" s="3" t="s">
        <v>25</v>
      </c>
      <c r="H166" s="3" t="s">
        <v>34</v>
      </c>
      <c r="I166" s="6">
        <v>44562</v>
      </c>
      <c r="J166" s="4">
        <v>2096</v>
      </c>
      <c r="K166" s="63">
        <v>2096</v>
      </c>
      <c r="L166" s="4">
        <v>105.336</v>
      </c>
      <c r="M166" s="64">
        <v>105.336</v>
      </c>
      <c r="N166" s="4">
        <v>105.336</v>
      </c>
      <c r="O166" s="64">
        <v>105.336</v>
      </c>
      <c r="P166" s="4">
        <v>0</v>
      </c>
      <c r="Q166" s="3" t="s">
        <v>26</v>
      </c>
      <c r="R166" s="3">
        <v>0</v>
      </c>
      <c r="S166" s="4">
        <v>34</v>
      </c>
      <c r="T166" s="4">
        <v>23</v>
      </c>
      <c r="U166" s="4">
        <v>71</v>
      </c>
      <c r="V166" s="64">
        <f>IF(ISERROR(VLOOKUP($S$166,'TAR FIN'!$A$1:$O$92,15,0)),0,VLOOKUP($S$166,'TAR FIN'!$A$1:$O$92,15,0))*(1-0.06)</f>
        <v>41.36</v>
      </c>
      <c r="W166" s="64">
        <f>IF(ISERROR(VLOOKUP($T$166,'TAR FIN'!$A$1:$O$92,15,0)),0,VLOOKUP($T$166,'TAR FIN'!$A$1:$O$92,15,0))*(1-0.06)</f>
        <v>82.466200000000001</v>
      </c>
      <c r="X166" s="64">
        <f>IF(ISERROR(VLOOKUP($U$166,'TAR FIN'!$A$1:$O$92,15,0)),0,VLOOKUP($U$166,'TAR FIN'!$A$1:$O$92,15,0))*(1-0.06)</f>
        <v>407.74379999999996</v>
      </c>
      <c r="Y166" s="64">
        <f ca="1">('TUSD BE'!$AM$5+'TUSD BF'!$AM$5+'TUSD CVA'!$AM$5)*1*(1-0.03)</f>
        <v>55.37851612922929</v>
      </c>
      <c r="Z166" s="64">
        <f ca="1">('TUSD BE'!$AM$7+'TUSD BF'!$AM$7+'TUSD CVA'!$AM$7)*1*(1-0.03)</f>
        <v>106.15870582034525</v>
      </c>
      <c r="AA166" s="64">
        <f>('TE BE'!$AB$5+'TE BF'!$AB$5+'TE CVA'!$AB$5)*1*(1-0.03)</f>
        <v>526.5588226383453</v>
      </c>
      <c r="AB166" s="4">
        <f>$K$166*$V$166</f>
        <v>86690.559999999998</v>
      </c>
      <c r="AC166" s="4">
        <f>$M$166*$W$166</f>
        <v>8686.6596432000006</v>
      </c>
      <c r="AD166" s="4">
        <f>$O$166*$X$166</f>
        <v>42950.100916799995</v>
      </c>
      <c r="AE166" s="4">
        <f ca="1">$K$166*$Y$166</f>
        <v>116073.36980686459</v>
      </c>
      <c r="AF166" s="4">
        <f ca="1">$M$166*$Z$166</f>
        <v>11182.333436291887</v>
      </c>
      <c r="AG166" s="4">
        <f>$O$166*$AA$166</f>
        <v>55465.60014143274</v>
      </c>
    </row>
    <row r="167" spans="1:33" ht="11.25" customHeight="1" x14ac:dyDescent="0.25">
      <c r="A167" s="3" t="s">
        <v>21</v>
      </c>
      <c r="B167" s="3" t="s">
        <v>39</v>
      </c>
      <c r="C167" s="3" t="s">
        <v>40</v>
      </c>
      <c r="D167" s="3" t="s">
        <v>49</v>
      </c>
      <c r="E167" s="3" t="s">
        <v>50</v>
      </c>
      <c r="F167" s="3" t="s">
        <v>25</v>
      </c>
      <c r="G167" s="3" t="s">
        <v>25</v>
      </c>
      <c r="H167" s="3" t="s">
        <v>34</v>
      </c>
      <c r="I167" s="6">
        <v>44593</v>
      </c>
      <c r="J167" s="4">
        <v>2122</v>
      </c>
      <c r="K167" s="63">
        <v>2122</v>
      </c>
      <c r="L167" s="4">
        <v>102.905</v>
      </c>
      <c r="M167" s="64">
        <v>102.905</v>
      </c>
      <c r="N167" s="4">
        <v>102.905</v>
      </c>
      <c r="O167" s="64">
        <v>102.905</v>
      </c>
      <c r="P167" s="4">
        <v>0</v>
      </c>
      <c r="Q167" s="3" t="s">
        <v>26</v>
      </c>
      <c r="R167" s="3">
        <v>0</v>
      </c>
      <c r="S167" s="4">
        <v>34</v>
      </c>
      <c r="T167" s="4">
        <v>23</v>
      </c>
      <c r="U167" s="4">
        <v>71</v>
      </c>
      <c r="V167" s="64">
        <f>IF(ISERROR(VLOOKUP($S$167,'TAR FIN'!$A$1:$O$92,15,0)),0,VLOOKUP($S$167,'TAR FIN'!$A$1:$O$92,15,0))*(1-0.06)</f>
        <v>41.36</v>
      </c>
      <c r="W167" s="64">
        <f>IF(ISERROR(VLOOKUP($T$167,'TAR FIN'!$A$1:$O$92,15,0)),0,VLOOKUP($T$167,'TAR FIN'!$A$1:$O$92,15,0))*(1-0.06)</f>
        <v>82.466200000000001</v>
      </c>
      <c r="X167" s="64">
        <f>IF(ISERROR(VLOOKUP($U$167,'TAR FIN'!$A$1:$O$92,15,0)),0,VLOOKUP($U$167,'TAR FIN'!$A$1:$O$92,15,0))*(1-0.06)</f>
        <v>407.74379999999996</v>
      </c>
      <c r="Y167" s="64">
        <f ca="1">('TUSD BE'!$AM$5+'TUSD BF'!$AM$5+'TUSD CVA'!$AM$5)*1*(1-0.03)</f>
        <v>55.37851612922929</v>
      </c>
      <c r="Z167" s="64">
        <f ca="1">('TUSD BE'!$AM$7+'TUSD BF'!$AM$7+'TUSD CVA'!$AM$7)*1*(1-0.03)</f>
        <v>106.15870582034525</v>
      </c>
      <c r="AA167" s="64">
        <f>('TE BE'!$AB$5+'TE BF'!$AB$5+'TE CVA'!$AB$5)*1*(1-0.03)</f>
        <v>526.5588226383453</v>
      </c>
      <c r="AB167" s="4">
        <f>$K$167*$V$167</f>
        <v>87765.92</v>
      </c>
      <c r="AC167" s="4">
        <f>$M$167*$W$167</f>
        <v>8486.1843110000009</v>
      </c>
      <c r="AD167" s="4">
        <f>$O$167*$X$167</f>
        <v>41958.875738999996</v>
      </c>
      <c r="AE167" s="4">
        <f ca="1">$K$167*$Y$167</f>
        <v>117513.21122622455</v>
      </c>
      <c r="AF167" s="4">
        <f ca="1">$M$167*$Z$167</f>
        <v>10924.261622442627</v>
      </c>
      <c r="AG167" s="4">
        <f>$O$167*$AA$167</f>
        <v>54185.535643598923</v>
      </c>
    </row>
    <row r="168" spans="1:33" ht="11.25" customHeight="1" x14ac:dyDescent="0.25">
      <c r="A168" s="3" t="s">
        <v>21</v>
      </c>
      <c r="B168" s="3" t="s">
        <v>39</v>
      </c>
      <c r="C168" s="3" t="s">
        <v>40</v>
      </c>
      <c r="D168" s="3" t="s">
        <v>49</v>
      </c>
      <c r="E168" s="3" t="s">
        <v>50</v>
      </c>
      <c r="F168" s="3" t="s">
        <v>25</v>
      </c>
      <c r="G168" s="3" t="s">
        <v>25</v>
      </c>
      <c r="H168" s="3" t="s">
        <v>34</v>
      </c>
      <c r="I168" s="6">
        <v>44621</v>
      </c>
      <c r="J168" s="4">
        <v>2159</v>
      </c>
      <c r="K168" s="63">
        <v>2159</v>
      </c>
      <c r="L168" s="4">
        <v>112.5</v>
      </c>
      <c r="M168" s="64">
        <v>112.5</v>
      </c>
      <c r="N168" s="4">
        <v>112.5</v>
      </c>
      <c r="O168" s="64">
        <v>112.5</v>
      </c>
      <c r="P168" s="4">
        <v>0</v>
      </c>
      <c r="Q168" s="3" t="s">
        <v>26</v>
      </c>
      <c r="R168" s="3">
        <v>0</v>
      </c>
      <c r="S168" s="4">
        <v>34</v>
      </c>
      <c r="T168" s="4">
        <v>23</v>
      </c>
      <c r="U168" s="4">
        <v>71</v>
      </c>
      <c r="V168" s="64">
        <f>IF(ISERROR(VLOOKUP($S$168,'TAR FIN'!$A$1:$O$92,15,0)),0,VLOOKUP($S$168,'TAR FIN'!$A$1:$O$92,15,0))*(1-0.06)</f>
        <v>41.36</v>
      </c>
      <c r="W168" s="64">
        <f>IF(ISERROR(VLOOKUP($T$168,'TAR FIN'!$A$1:$O$92,15,0)),0,VLOOKUP($T$168,'TAR FIN'!$A$1:$O$92,15,0))*(1-0.06)</f>
        <v>82.466200000000001</v>
      </c>
      <c r="X168" s="64">
        <f>IF(ISERROR(VLOOKUP($U$168,'TAR FIN'!$A$1:$O$92,15,0)),0,VLOOKUP($U$168,'TAR FIN'!$A$1:$O$92,15,0))*(1-0.06)</f>
        <v>407.74379999999996</v>
      </c>
      <c r="Y168" s="64">
        <f ca="1">('TUSD BE'!$AM$5+'TUSD BF'!$AM$5+'TUSD CVA'!$AM$5)*1*(1-0.03)</f>
        <v>55.37851612922929</v>
      </c>
      <c r="Z168" s="64">
        <f ca="1">('TUSD BE'!$AM$7+'TUSD BF'!$AM$7+'TUSD CVA'!$AM$7)*1*(1-0.03)</f>
        <v>106.15870582034525</v>
      </c>
      <c r="AA168" s="64">
        <f>('TE BE'!$AB$5+'TE BF'!$AB$5+'TE CVA'!$AB$5)*1*(1-0.03)</f>
        <v>526.5588226383453</v>
      </c>
      <c r="AB168" s="4">
        <f>$K$168*$V$168</f>
        <v>89296.24</v>
      </c>
      <c r="AC168" s="4">
        <f>$M$168*$W$168</f>
        <v>9277.4475000000002</v>
      </c>
      <c r="AD168" s="4">
        <f>$O$168*$X$168</f>
        <v>45871.177499999998</v>
      </c>
      <c r="AE168" s="4">
        <f ca="1">$K$168*$Y$168</f>
        <v>119562.21632300604</v>
      </c>
      <c r="AF168" s="4">
        <f ca="1">$M$168*$Z$168</f>
        <v>11942.854404788841</v>
      </c>
      <c r="AG168" s="4">
        <f>$O$168*$AA$168</f>
        <v>59237.867546813846</v>
      </c>
    </row>
    <row r="169" spans="1:33" ht="11.25" customHeight="1" x14ac:dyDescent="0.25">
      <c r="A169" s="3" t="s">
        <v>21</v>
      </c>
      <c r="B169" s="3" t="s">
        <v>39</v>
      </c>
      <c r="C169" s="3" t="s">
        <v>40</v>
      </c>
      <c r="D169" s="3" t="s">
        <v>49</v>
      </c>
      <c r="E169" s="3" t="s">
        <v>50</v>
      </c>
      <c r="F169" s="3" t="s">
        <v>25</v>
      </c>
      <c r="G169" s="3" t="s">
        <v>25</v>
      </c>
      <c r="H169" s="3" t="s">
        <v>34</v>
      </c>
      <c r="I169" s="6">
        <v>44652</v>
      </c>
      <c r="J169" s="4">
        <v>2159</v>
      </c>
      <c r="K169" s="63">
        <v>2159</v>
      </c>
      <c r="L169" s="4">
        <v>112.5</v>
      </c>
      <c r="M169" s="64">
        <v>112.5</v>
      </c>
      <c r="N169" s="4">
        <v>112.5</v>
      </c>
      <c r="O169" s="64">
        <v>112.5</v>
      </c>
      <c r="P169" s="4">
        <v>0</v>
      </c>
      <c r="Q169" s="3" t="s">
        <v>26</v>
      </c>
      <c r="R169" s="3">
        <v>0</v>
      </c>
      <c r="S169" s="4">
        <v>34</v>
      </c>
      <c r="T169" s="4">
        <v>23</v>
      </c>
      <c r="U169" s="4">
        <v>71</v>
      </c>
      <c r="V169" s="64">
        <f>IF(ISERROR(VLOOKUP($S$169,'TAR FIN'!$A$1:$O$92,15,0)),0,VLOOKUP($S$169,'TAR FIN'!$A$1:$O$92,15,0))*(1-0.06)</f>
        <v>41.36</v>
      </c>
      <c r="W169" s="64">
        <f>IF(ISERROR(VLOOKUP($T$169,'TAR FIN'!$A$1:$O$92,15,0)),0,VLOOKUP($T$169,'TAR FIN'!$A$1:$O$92,15,0))*(1-0.06)</f>
        <v>82.466200000000001</v>
      </c>
      <c r="X169" s="64">
        <f>IF(ISERROR(VLOOKUP($U$169,'TAR FIN'!$A$1:$O$92,15,0)),0,VLOOKUP($U$169,'TAR FIN'!$A$1:$O$92,15,0))*(1-0.06)</f>
        <v>407.74379999999996</v>
      </c>
      <c r="Y169" s="64">
        <f ca="1">('TUSD BE'!$AM$5+'TUSD BF'!$AM$5+'TUSD CVA'!$AM$5)*1*(1-0.03)</f>
        <v>55.37851612922929</v>
      </c>
      <c r="Z169" s="64">
        <f ca="1">('TUSD BE'!$AM$7+'TUSD BF'!$AM$7+'TUSD CVA'!$AM$7)*1*(1-0.03)</f>
        <v>106.15870582034525</v>
      </c>
      <c r="AA169" s="64">
        <f>('TE BE'!$AB$5+'TE BF'!$AB$5+'TE CVA'!$AB$5)*1*(1-0.03)</f>
        <v>526.5588226383453</v>
      </c>
      <c r="AB169" s="4">
        <f>$K$169*$V$169</f>
        <v>89296.24</v>
      </c>
      <c r="AC169" s="4">
        <f>$M$169*$W$169</f>
        <v>9277.4475000000002</v>
      </c>
      <c r="AD169" s="4">
        <f>$O$169*$X$169</f>
        <v>45871.177499999998</v>
      </c>
      <c r="AE169" s="4">
        <f ca="1">$K$169*$Y$169</f>
        <v>119562.21632300604</v>
      </c>
      <c r="AF169" s="4">
        <f ca="1">$M$169*$Z$169</f>
        <v>11942.854404788841</v>
      </c>
      <c r="AG169" s="4">
        <f>$O$169*$AA$169</f>
        <v>59237.867546813846</v>
      </c>
    </row>
    <row r="170" spans="1:33" ht="11.25" customHeight="1" x14ac:dyDescent="0.25">
      <c r="A170" s="3" t="s">
        <v>21</v>
      </c>
      <c r="B170" s="3" t="s">
        <v>39</v>
      </c>
      <c r="C170" s="3" t="s">
        <v>40</v>
      </c>
      <c r="D170" s="3" t="s">
        <v>49</v>
      </c>
      <c r="E170" s="3" t="s">
        <v>50</v>
      </c>
      <c r="F170" s="3" t="s">
        <v>25</v>
      </c>
      <c r="G170" s="3" t="s">
        <v>25</v>
      </c>
      <c r="H170" s="3" t="s">
        <v>34</v>
      </c>
      <c r="I170" s="6">
        <v>44682</v>
      </c>
      <c r="J170" s="4">
        <v>2087</v>
      </c>
      <c r="K170" s="63">
        <v>2087</v>
      </c>
      <c r="L170" s="4">
        <v>106.291</v>
      </c>
      <c r="M170" s="64">
        <v>106.291</v>
      </c>
      <c r="N170" s="4">
        <v>106.291</v>
      </c>
      <c r="O170" s="64">
        <v>106.291</v>
      </c>
      <c r="P170" s="4">
        <v>0</v>
      </c>
      <c r="Q170" s="3" t="s">
        <v>26</v>
      </c>
      <c r="R170" s="3">
        <v>0</v>
      </c>
      <c r="S170" s="4">
        <v>34</v>
      </c>
      <c r="T170" s="4">
        <v>23</v>
      </c>
      <c r="U170" s="4">
        <v>71</v>
      </c>
      <c r="V170" s="64">
        <f>IF(ISERROR(VLOOKUP($S$170,'TAR FIN'!$A$1:$O$92,15,0)),0,VLOOKUP($S$170,'TAR FIN'!$A$1:$O$92,15,0))*(1-0.06)</f>
        <v>41.36</v>
      </c>
      <c r="W170" s="64">
        <f>IF(ISERROR(VLOOKUP($T$170,'TAR FIN'!$A$1:$O$92,15,0)),0,VLOOKUP($T$170,'TAR FIN'!$A$1:$O$92,15,0))*(1-0.06)</f>
        <v>82.466200000000001</v>
      </c>
      <c r="X170" s="64">
        <f>IF(ISERROR(VLOOKUP($U$170,'TAR FIN'!$A$1:$O$92,15,0)),0,VLOOKUP($U$170,'TAR FIN'!$A$1:$O$92,15,0))*(1-0.06)</f>
        <v>407.74379999999996</v>
      </c>
      <c r="Y170" s="64">
        <f ca="1">('TUSD BE'!$AM$5+'TUSD BF'!$AM$5+'TUSD CVA'!$AM$5)*1*(1-0.03)</f>
        <v>55.37851612922929</v>
      </c>
      <c r="Z170" s="64">
        <f ca="1">('TUSD BE'!$AM$7+'TUSD BF'!$AM$7+'TUSD CVA'!$AM$7)*1*(1-0.03)</f>
        <v>106.15870582034525</v>
      </c>
      <c r="AA170" s="64">
        <f>('TE BE'!$AB$5+'TE BF'!$AB$5+'TE CVA'!$AB$5)*1*(1-0.03)</f>
        <v>526.5588226383453</v>
      </c>
      <c r="AB170" s="4">
        <f>$K$170*$V$170</f>
        <v>86318.319999999992</v>
      </c>
      <c r="AC170" s="4">
        <f>$M$170*$W$170</f>
        <v>8765.4148642</v>
      </c>
      <c r="AD170" s="4">
        <f>$O$170*$X$170</f>
        <v>43339.496245799994</v>
      </c>
      <c r="AE170" s="4">
        <f ca="1">$K$170*$Y$170</f>
        <v>115574.96316170153</v>
      </c>
      <c r="AF170" s="4">
        <f ca="1">$M$170*$Z$170</f>
        <v>11283.715000350316</v>
      </c>
      <c r="AG170" s="4">
        <f>$O$170*$AA$170</f>
        <v>55968.463817052361</v>
      </c>
    </row>
    <row r="171" spans="1:33" ht="11.25" customHeight="1" x14ac:dyDescent="0.25">
      <c r="A171" s="3" t="s">
        <v>21</v>
      </c>
      <c r="B171" s="3" t="s">
        <v>39</v>
      </c>
      <c r="C171" s="3" t="s">
        <v>40</v>
      </c>
      <c r="D171" s="3" t="s">
        <v>49</v>
      </c>
      <c r="E171" s="3" t="s">
        <v>50</v>
      </c>
      <c r="F171" s="3" t="s">
        <v>25</v>
      </c>
      <c r="G171" s="3" t="s">
        <v>25</v>
      </c>
      <c r="H171" s="3" t="s">
        <v>34</v>
      </c>
      <c r="I171" s="6">
        <v>44713</v>
      </c>
      <c r="J171" s="4">
        <v>2100</v>
      </c>
      <c r="K171" s="63">
        <v>2100</v>
      </c>
      <c r="L171" s="4">
        <v>97.468999999999994</v>
      </c>
      <c r="M171" s="64">
        <v>97.468999999999994</v>
      </c>
      <c r="N171" s="4">
        <v>97.468999999999994</v>
      </c>
      <c r="O171" s="64">
        <v>97.468999999999994</v>
      </c>
      <c r="P171" s="4">
        <v>0</v>
      </c>
      <c r="Q171" s="3" t="s">
        <v>26</v>
      </c>
      <c r="R171" s="3">
        <v>0</v>
      </c>
      <c r="S171" s="4">
        <v>34</v>
      </c>
      <c r="T171" s="4">
        <v>23</v>
      </c>
      <c r="U171" s="4">
        <v>71</v>
      </c>
      <c r="V171" s="64">
        <f>IF(ISERROR(VLOOKUP($S$171,'TAR FIN'!$A$1:$O$92,15,0)),0,VLOOKUP($S$171,'TAR FIN'!$A$1:$O$92,15,0))*(1-0.06)</f>
        <v>41.36</v>
      </c>
      <c r="W171" s="64">
        <f>IF(ISERROR(VLOOKUP($T$171,'TAR FIN'!$A$1:$O$92,15,0)),0,VLOOKUP($T$171,'TAR FIN'!$A$1:$O$92,15,0))*(1-0.06)</f>
        <v>82.466200000000001</v>
      </c>
      <c r="X171" s="64">
        <f>IF(ISERROR(VLOOKUP($U$171,'TAR FIN'!$A$1:$O$92,15,0)),0,VLOOKUP($U$171,'TAR FIN'!$A$1:$O$92,15,0))*(1-0.06)</f>
        <v>407.74379999999996</v>
      </c>
      <c r="Y171" s="64">
        <f ca="1">('TUSD BE'!$AM$5+'TUSD BF'!$AM$5+'TUSD CVA'!$AM$5)*1*(1-0.03)</f>
        <v>55.37851612922929</v>
      </c>
      <c r="Z171" s="64">
        <f ca="1">('TUSD BE'!$AM$7+'TUSD BF'!$AM$7+'TUSD CVA'!$AM$7)*1*(1-0.03)</f>
        <v>106.15870582034525</v>
      </c>
      <c r="AA171" s="64">
        <f>('TE BE'!$AB$5+'TE BF'!$AB$5+'TE CVA'!$AB$5)*1*(1-0.03)</f>
        <v>526.5588226383453</v>
      </c>
      <c r="AB171" s="4">
        <f>$K$171*$V$171</f>
        <v>86856</v>
      </c>
      <c r="AC171" s="4">
        <f>$M$171*$W$171</f>
        <v>8037.8980477999994</v>
      </c>
      <c r="AD171" s="4">
        <f>$O$171*$X$171</f>
        <v>39742.380442199996</v>
      </c>
      <c r="AE171" s="4">
        <f ca="1">$K$171*$Y$171</f>
        <v>116294.88387138151</v>
      </c>
      <c r="AF171" s="4">
        <f ca="1">$M$171*$Z$171</f>
        <v>10347.18289760323</v>
      </c>
      <c r="AG171" s="4">
        <f>$O$171*$AA$171</f>
        <v>51323.161883736873</v>
      </c>
    </row>
    <row r="172" spans="1:33" ht="11.25" customHeight="1" x14ac:dyDescent="0.25">
      <c r="A172" s="3" t="s">
        <v>21</v>
      </c>
      <c r="B172" s="3" t="s">
        <v>39</v>
      </c>
      <c r="C172" s="3" t="s">
        <v>40</v>
      </c>
      <c r="D172" s="3" t="s">
        <v>49</v>
      </c>
      <c r="E172" s="3" t="s">
        <v>50</v>
      </c>
      <c r="F172" s="3" t="s">
        <v>25</v>
      </c>
      <c r="G172" s="3" t="s">
        <v>25</v>
      </c>
      <c r="H172" s="3" t="s">
        <v>34</v>
      </c>
      <c r="I172" s="6">
        <v>44743</v>
      </c>
      <c r="J172" s="4">
        <v>2110</v>
      </c>
      <c r="K172" s="63">
        <v>2110</v>
      </c>
      <c r="L172" s="4">
        <v>93.695999999999998</v>
      </c>
      <c r="M172" s="64">
        <v>93.695999999999998</v>
      </c>
      <c r="N172" s="4">
        <v>93.695999999999998</v>
      </c>
      <c r="O172" s="64">
        <v>93.695999999999998</v>
      </c>
      <c r="P172" s="4">
        <v>0</v>
      </c>
      <c r="Q172" s="3" t="s">
        <v>26</v>
      </c>
      <c r="R172" s="3">
        <v>0</v>
      </c>
      <c r="S172" s="4">
        <v>34</v>
      </c>
      <c r="T172" s="4">
        <v>23</v>
      </c>
      <c r="U172" s="4">
        <v>71</v>
      </c>
      <c r="V172" s="64">
        <f>IF(ISERROR(VLOOKUP($S$172,'TAR FIN'!$A$1:$O$92,15,0)),0,VLOOKUP($S$172,'TAR FIN'!$A$1:$O$92,15,0))*(1-0.06)</f>
        <v>41.36</v>
      </c>
      <c r="W172" s="64">
        <f>IF(ISERROR(VLOOKUP($T$172,'TAR FIN'!$A$1:$O$92,15,0)),0,VLOOKUP($T$172,'TAR FIN'!$A$1:$O$92,15,0))*(1-0.06)</f>
        <v>82.466200000000001</v>
      </c>
      <c r="X172" s="64">
        <f>IF(ISERROR(VLOOKUP($U$172,'TAR FIN'!$A$1:$O$92,15,0)),0,VLOOKUP($U$172,'TAR FIN'!$A$1:$O$92,15,0))*(1-0.06)</f>
        <v>407.74379999999996</v>
      </c>
      <c r="Y172" s="64">
        <f ca="1">('TUSD BE'!$AM$5+'TUSD BF'!$AM$5+'TUSD CVA'!$AM$5)*1*(1-0.03)</f>
        <v>55.37851612922929</v>
      </c>
      <c r="Z172" s="64">
        <f ca="1">('TUSD BE'!$AM$7+'TUSD BF'!$AM$7+'TUSD CVA'!$AM$7)*1*(1-0.03)</f>
        <v>106.15870582034525</v>
      </c>
      <c r="AA172" s="64">
        <f>('TE BE'!$AB$5+'TE BF'!$AB$5+'TE CVA'!$AB$5)*1*(1-0.03)</f>
        <v>526.5588226383453</v>
      </c>
      <c r="AB172" s="4">
        <f>$K$172*$V$172</f>
        <v>87269.6</v>
      </c>
      <c r="AC172" s="4">
        <f>$M$172*$W$172</f>
        <v>7726.7530752000002</v>
      </c>
      <c r="AD172" s="4">
        <f>$O$172*$X$172</f>
        <v>38203.963084799994</v>
      </c>
      <c r="AE172" s="4">
        <f ca="1">$K$172*$Y$172</f>
        <v>116848.6690326738</v>
      </c>
      <c r="AF172" s="4">
        <f ca="1">$M$172*$Z$172</f>
        <v>9946.6461005430683</v>
      </c>
      <c r="AG172" s="4">
        <f>$O$172*$AA$172</f>
        <v>49336.455445922402</v>
      </c>
    </row>
    <row r="173" spans="1:33" ht="11.25" customHeight="1" x14ac:dyDescent="0.25">
      <c r="A173" s="3" t="s">
        <v>21</v>
      </c>
      <c r="B173" s="3" t="s">
        <v>39</v>
      </c>
      <c r="C173" s="3" t="s">
        <v>40</v>
      </c>
      <c r="D173" s="3" t="s">
        <v>49</v>
      </c>
      <c r="E173" s="3" t="s">
        <v>50</v>
      </c>
      <c r="F173" s="3" t="s">
        <v>25</v>
      </c>
      <c r="G173" s="3" t="s">
        <v>25</v>
      </c>
      <c r="H173" s="3" t="s">
        <v>34</v>
      </c>
      <c r="I173" s="6">
        <v>44774</v>
      </c>
      <c r="J173" s="4">
        <v>2101</v>
      </c>
      <c r="K173" s="63">
        <v>2101</v>
      </c>
      <c r="L173" s="4">
        <v>105.64</v>
      </c>
      <c r="M173" s="64">
        <v>105.64</v>
      </c>
      <c r="N173" s="4">
        <v>105.64</v>
      </c>
      <c r="O173" s="64">
        <v>105.64</v>
      </c>
      <c r="P173" s="4">
        <v>0</v>
      </c>
      <c r="Q173" s="3" t="s">
        <v>26</v>
      </c>
      <c r="R173" s="3">
        <v>0</v>
      </c>
      <c r="S173" s="4">
        <v>34</v>
      </c>
      <c r="T173" s="4">
        <v>23</v>
      </c>
      <c r="U173" s="4">
        <v>71</v>
      </c>
      <c r="V173" s="64">
        <f>IF(ISERROR(VLOOKUP($S$173,'TAR FIN'!$A$1:$O$92,15,0)),0,VLOOKUP($S$173,'TAR FIN'!$A$1:$O$92,15,0))*(1-0.06)</f>
        <v>41.36</v>
      </c>
      <c r="W173" s="64">
        <f>IF(ISERROR(VLOOKUP($T$173,'TAR FIN'!$A$1:$O$92,15,0)),0,VLOOKUP($T$173,'TAR FIN'!$A$1:$O$92,15,0))*(1-0.06)</f>
        <v>82.466200000000001</v>
      </c>
      <c r="X173" s="64">
        <f>IF(ISERROR(VLOOKUP($U$173,'TAR FIN'!$A$1:$O$92,15,0)),0,VLOOKUP($U$173,'TAR FIN'!$A$1:$O$92,15,0))*(1-0.06)</f>
        <v>407.74379999999996</v>
      </c>
      <c r="Y173" s="64">
        <f ca="1">('TUSD BE'!$AM$5+'TUSD BF'!$AM$5+'TUSD CVA'!$AM$5)*1*(1-0.03)</f>
        <v>55.37851612922929</v>
      </c>
      <c r="Z173" s="64">
        <f ca="1">('TUSD BE'!$AM$7+'TUSD BF'!$AM$7+'TUSD CVA'!$AM$7)*1*(1-0.03)</f>
        <v>106.15870582034525</v>
      </c>
      <c r="AA173" s="64">
        <f>('TE BE'!$AB$5+'TE BF'!$AB$5+'TE CVA'!$AB$5)*1*(1-0.03)</f>
        <v>526.5588226383453</v>
      </c>
      <c r="AB173" s="4">
        <f>$K$173*$V$173</f>
        <v>86897.36</v>
      </c>
      <c r="AC173" s="4">
        <f>$M$173*$W$173</f>
        <v>8711.7293680000002</v>
      </c>
      <c r="AD173" s="4">
        <f>$O$173*$X$173</f>
        <v>43074.055031999997</v>
      </c>
      <c r="AE173" s="4">
        <f ca="1">$K$173*$Y$173</f>
        <v>116350.26238751074</v>
      </c>
      <c r="AF173" s="4">
        <f ca="1">$M$173*$Z$173</f>
        <v>11214.605682861273</v>
      </c>
      <c r="AG173" s="4">
        <f>$O$173*$AA$173</f>
        <v>55625.674023514795</v>
      </c>
    </row>
    <row r="174" spans="1:33" ht="11.25" customHeight="1" x14ac:dyDescent="0.25">
      <c r="A174" s="3" t="s">
        <v>21</v>
      </c>
      <c r="B174" s="3" t="s">
        <v>39</v>
      </c>
      <c r="C174" s="3" t="s">
        <v>40</v>
      </c>
      <c r="D174" s="3" t="s">
        <v>49</v>
      </c>
      <c r="E174" s="3" t="s">
        <v>50</v>
      </c>
      <c r="F174" s="3" t="s">
        <v>25</v>
      </c>
      <c r="G174" s="3" t="s">
        <v>25</v>
      </c>
      <c r="H174" s="3" t="s">
        <v>34</v>
      </c>
      <c r="I174" s="6">
        <v>44805</v>
      </c>
      <c r="J174" s="4">
        <v>2131</v>
      </c>
      <c r="K174" s="63">
        <v>2131</v>
      </c>
      <c r="L174" s="4">
        <v>106.55</v>
      </c>
      <c r="M174" s="64">
        <v>106.55</v>
      </c>
      <c r="N174" s="4">
        <v>106.55</v>
      </c>
      <c r="O174" s="64">
        <v>106.55</v>
      </c>
      <c r="P174" s="4">
        <v>0</v>
      </c>
      <c r="Q174" s="3" t="s">
        <v>26</v>
      </c>
      <c r="R174" s="3">
        <v>0</v>
      </c>
      <c r="S174" s="4">
        <v>34</v>
      </c>
      <c r="T174" s="4">
        <v>23</v>
      </c>
      <c r="U174" s="4">
        <v>71</v>
      </c>
      <c r="V174" s="64">
        <f>IF(ISERROR(VLOOKUP($S$174,'TAR FIN'!$A$1:$O$92,15,0)),0,VLOOKUP($S$174,'TAR FIN'!$A$1:$O$92,15,0))*(1-0.06)</f>
        <v>41.36</v>
      </c>
      <c r="W174" s="64">
        <f>IF(ISERROR(VLOOKUP($T$174,'TAR FIN'!$A$1:$O$92,15,0)),0,VLOOKUP($T$174,'TAR FIN'!$A$1:$O$92,15,0))*(1-0.06)</f>
        <v>82.466200000000001</v>
      </c>
      <c r="X174" s="64">
        <f>IF(ISERROR(VLOOKUP($U$174,'TAR FIN'!$A$1:$O$92,15,0)),0,VLOOKUP($U$174,'TAR FIN'!$A$1:$O$92,15,0))*(1-0.06)</f>
        <v>407.74379999999996</v>
      </c>
      <c r="Y174" s="64">
        <f ca="1">('TUSD BE'!$AM$5+'TUSD BF'!$AM$5+'TUSD CVA'!$AM$5)*1*(1-0.03)</f>
        <v>55.37851612922929</v>
      </c>
      <c r="Z174" s="64">
        <f ca="1">('TUSD BE'!$AM$7+'TUSD BF'!$AM$7+'TUSD CVA'!$AM$7)*1*(1-0.03)</f>
        <v>106.15870582034525</v>
      </c>
      <c r="AA174" s="64">
        <f>('TE BE'!$AB$5+'TE BF'!$AB$5+'TE CVA'!$AB$5)*1*(1-0.03)</f>
        <v>526.5588226383453</v>
      </c>
      <c r="AB174" s="4">
        <f>$K$174*$V$174</f>
        <v>88138.16</v>
      </c>
      <c r="AC174" s="4">
        <f>$M$174*$W$174</f>
        <v>8786.7736100000002</v>
      </c>
      <c r="AD174" s="4">
        <f>$O$174*$X$174</f>
        <v>43445.101889999998</v>
      </c>
      <c r="AE174" s="4">
        <f ca="1">$K$174*$Y$174</f>
        <v>118011.61787138761</v>
      </c>
      <c r="AF174" s="4">
        <f ca="1">$M$174*$Z$174</f>
        <v>11311.210105157787</v>
      </c>
      <c r="AG174" s="4">
        <f>$O$174*$AA$174</f>
        <v>56104.84255211569</v>
      </c>
    </row>
    <row r="175" spans="1:33" ht="11.25" customHeight="1" x14ac:dyDescent="0.25">
      <c r="A175" s="3" t="s">
        <v>55</v>
      </c>
      <c r="B175" s="3" t="s">
        <v>39</v>
      </c>
      <c r="C175" s="3" t="s">
        <v>40</v>
      </c>
      <c r="D175" s="3" t="s">
        <v>49</v>
      </c>
      <c r="E175" s="3" t="s">
        <v>50</v>
      </c>
      <c r="F175" s="3" t="s">
        <v>25</v>
      </c>
      <c r="G175" s="3" t="s">
        <v>25</v>
      </c>
      <c r="H175" s="3" t="s">
        <v>34</v>
      </c>
      <c r="I175" s="6">
        <v>44835</v>
      </c>
      <c r="J175" s="4">
        <v>2131</v>
      </c>
      <c r="K175" s="63">
        <v>2131</v>
      </c>
      <c r="L175" s="4">
        <v>106.55</v>
      </c>
      <c r="M175" s="64">
        <v>106.55</v>
      </c>
      <c r="N175" s="4">
        <v>106.55</v>
      </c>
      <c r="O175" s="64">
        <v>106.55</v>
      </c>
      <c r="P175" s="4">
        <v>0</v>
      </c>
      <c r="Q175" s="3" t="s">
        <v>26</v>
      </c>
      <c r="R175" s="3">
        <v>0</v>
      </c>
      <c r="S175" s="4">
        <v>34</v>
      </c>
      <c r="T175" s="4">
        <v>23</v>
      </c>
      <c r="U175" s="4">
        <v>71</v>
      </c>
      <c r="V175" s="64">
        <f>IF(ISERROR(VLOOKUP($S$175,'TAR FIN'!$A$1:$O$92,15,0)),0,VLOOKUP($S$175,'TAR FIN'!$A$1:$O$92,15,0))*(1-0.06)</f>
        <v>41.36</v>
      </c>
      <c r="W175" s="64">
        <f>IF(ISERROR(VLOOKUP($T$175,'TAR FIN'!$A$1:$O$92,15,0)),0,VLOOKUP($T$175,'TAR FIN'!$A$1:$O$92,15,0))*(1-0.06)</f>
        <v>82.466200000000001</v>
      </c>
      <c r="X175" s="64">
        <f>IF(ISERROR(VLOOKUP($U$175,'TAR FIN'!$A$1:$O$92,15,0)),0,VLOOKUP($U$175,'TAR FIN'!$A$1:$O$92,15,0))*(1-0.06)</f>
        <v>407.74379999999996</v>
      </c>
      <c r="Y175" s="64">
        <f ca="1">('TUSD BE'!$AM$5+'TUSD BF'!$AM$5+'TUSD CVA'!$AM$5)*1*(1-0.03)</f>
        <v>55.37851612922929</v>
      </c>
      <c r="Z175" s="64">
        <f ca="1">('TUSD BE'!$AM$7+'TUSD BF'!$AM$7+'TUSD CVA'!$AM$7)*1*(1-0.03)</f>
        <v>106.15870582034525</v>
      </c>
      <c r="AA175" s="64">
        <f>('TE BE'!$AB$5+'TE BF'!$AB$5+'TE CVA'!$AB$5)*1*(1-0.03)</f>
        <v>526.5588226383453</v>
      </c>
      <c r="AB175" s="4">
        <f>$K$175*$V$175</f>
        <v>88138.16</v>
      </c>
      <c r="AC175" s="4">
        <f>$M$175*$W$175</f>
        <v>8786.7736100000002</v>
      </c>
      <c r="AD175" s="4">
        <f>$O$175*$X$175</f>
        <v>43445.101889999998</v>
      </c>
      <c r="AE175" s="4">
        <f ca="1">$K$175*$Y$175</f>
        <v>118011.61787138761</v>
      </c>
      <c r="AF175" s="4">
        <f ca="1">$M$175*$Z$175</f>
        <v>11311.210105157787</v>
      </c>
      <c r="AG175" s="4">
        <f>$O$175*$AA$175</f>
        <v>56104.84255211569</v>
      </c>
    </row>
    <row r="176" spans="1:33" ht="11.25" customHeight="1" x14ac:dyDescent="0.25">
      <c r="A176" s="3" t="s">
        <v>21</v>
      </c>
      <c r="B176" s="3" t="s">
        <v>39</v>
      </c>
      <c r="C176" s="3" t="s">
        <v>41</v>
      </c>
      <c r="D176" s="3" t="s">
        <v>42</v>
      </c>
      <c r="E176" s="3" t="s">
        <v>25</v>
      </c>
      <c r="F176" s="3" t="s">
        <v>25</v>
      </c>
      <c r="G176" s="3" t="s">
        <v>25</v>
      </c>
      <c r="H176" s="3" t="s">
        <v>35</v>
      </c>
      <c r="I176" s="6">
        <v>44501</v>
      </c>
      <c r="J176" s="4">
        <v>0</v>
      </c>
      <c r="K176" s="4">
        <v>0</v>
      </c>
      <c r="L176" s="4">
        <v>6809.9110000000001</v>
      </c>
      <c r="M176" s="4">
        <v>6809.9110000000001</v>
      </c>
      <c r="N176" s="4">
        <v>6809.9110000000001</v>
      </c>
      <c r="O176" s="4">
        <v>6809.9110000000001</v>
      </c>
      <c r="P176" s="4">
        <v>0</v>
      </c>
      <c r="Q176" s="3" t="s">
        <v>26</v>
      </c>
      <c r="R176" s="3">
        <v>0</v>
      </c>
      <c r="S176" s="4">
        <v>0</v>
      </c>
      <c r="T176" s="4">
        <v>31</v>
      </c>
      <c r="U176" s="4">
        <v>59</v>
      </c>
      <c r="V176" s="4">
        <f>IF(ISERROR(VLOOKUP($S$176,'TAR FIN'!$A$1:$O$92,15,0)),0,VLOOKUP($S$176,'TAR FIN'!$A$1:$O$92,15,0))</f>
        <v>0</v>
      </c>
      <c r="W176" s="4">
        <f>IF(ISERROR(VLOOKUP($T$176,'TAR FIN'!$A$1:$O$92,15,0)),0,VLOOKUP($T$176,'TAR FIN'!$A$1:$O$92,15,0))</f>
        <v>87.73</v>
      </c>
      <c r="X176" s="4">
        <f>IF(ISERROR(VLOOKUP($U$176,'TAR FIN'!$A$1:$O$92,15,0)),0,VLOOKUP($U$176,'TAR FIN'!$A$1:$O$92,15,0))</f>
        <v>253.9</v>
      </c>
      <c r="Y176" s="4"/>
      <c r="Z176" s="4">
        <f ca="1">('TUSD BE'!$AM$12+'TUSD BF'!$AM$12+'TUSD CVA'!$AM$12)*1</f>
        <v>109.44196476324252</v>
      </c>
      <c r="AA176" s="4">
        <f>('TE BE'!$AB$6+'TE BF'!$AB$6+'TE CVA'!$AB$6)*1</f>
        <v>317.3874512882154</v>
      </c>
      <c r="AB176" s="4">
        <f>$K$176*$V$176</f>
        <v>0</v>
      </c>
      <c r="AC176" s="4">
        <f>$M$176*$W$176</f>
        <v>597433.49203000008</v>
      </c>
      <c r="AD176" s="4">
        <f>$O$176*$X$176</f>
        <v>1729036.4029000001</v>
      </c>
      <c r="AE176" s="4">
        <f>$K$176*$Y$176</f>
        <v>0</v>
      </c>
      <c r="AF176" s="4">
        <f ca="1">$M$176*$Z$176</f>
        <v>745290.03970281768</v>
      </c>
      <c r="AG176" s="4">
        <f>$O$176*$AA$176</f>
        <v>2161380.2957895822</v>
      </c>
    </row>
    <row r="177" spans="1:33" ht="11.25" customHeight="1" x14ac:dyDescent="0.25">
      <c r="A177" s="3" t="s">
        <v>27</v>
      </c>
      <c r="B177" s="3" t="s">
        <v>39</v>
      </c>
      <c r="C177" s="3" t="s">
        <v>41</v>
      </c>
      <c r="D177" s="3" t="s">
        <v>42</v>
      </c>
      <c r="E177" s="3" t="s">
        <v>25</v>
      </c>
      <c r="F177" s="3" t="s">
        <v>25</v>
      </c>
      <c r="G177" s="3" t="s">
        <v>25</v>
      </c>
      <c r="H177" s="3" t="s">
        <v>35</v>
      </c>
      <c r="I177" s="6">
        <v>44501</v>
      </c>
      <c r="J177" s="4">
        <v>0</v>
      </c>
      <c r="K177" s="4">
        <v>0</v>
      </c>
      <c r="L177" s="4">
        <v>-37.392000000000003</v>
      </c>
      <c r="M177" s="4">
        <v>-37.392000000000003</v>
      </c>
      <c r="N177" s="4">
        <v>-37.392000000000003</v>
      </c>
      <c r="O177" s="4">
        <v>-37.392000000000003</v>
      </c>
      <c r="P177" s="4">
        <v>0</v>
      </c>
      <c r="Q177" s="3" t="s">
        <v>26</v>
      </c>
      <c r="R177" s="3">
        <v>0</v>
      </c>
      <c r="S177" s="4">
        <v>0</v>
      </c>
      <c r="T177" s="4">
        <v>31</v>
      </c>
      <c r="U177" s="4">
        <v>59</v>
      </c>
      <c r="V177" s="4">
        <f>IF(ISERROR(VLOOKUP($S$177,'TAR FIN'!$A$1:$O$92,15,0)),0,VLOOKUP($S$177,'TAR FIN'!$A$1:$O$92,15,0))</f>
        <v>0</v>
      </c>
      <c r="W177" s="4">
        <f>IF(ISERROR(VLOOKUP($T$177,'TAR FIN'!$A$1:$O$92,15,0)),0,VLOOKUP($T$177,'TAR FIN'!$A$1:$O$92,15,0))</f>
        <v>87.73</v>
      </c>
      <c r="X177" s="4">
        <f>IF(ISERROR(VLOOKUP($U$177,'TAR FIN'!$A$1:$O$92,15,0)),0,VLOOKUP($U$177,'TAR FIN'!$A$1:$O$92,15,0))</f>
        <v>253.9</v>
      </c>
      <c r="Y177" s="4"/>
      <c r="Z177" s="4">
        <f ca="1">('TUSD BE'!$AM$12+'TUSD BF'!$AM$12+'TUSD CVA'!$AM$12)*1</f>
        <v>109.44196476324252</v>
      </c>
      <c r="AA177" s="4">
        <f>('TE BE'!$AB$6+'TE BF'!$AB$6+'TE CVA'!$AB$6)*1</f>
        <v>317.3874512882154</v>
      </c>
      <c r="AB177" s="4">
        <f>$K$177*$V$177</f>
        <v>0</v>
      </c>
      <c r="AC177" s="4">
        <f>$M$177*$W$177</f>
        <v>-3280.4001600000006</v>
      </c>
      <c r="AD177" s="4">
        <f>$O$177*$X$177</f>
        <v>-9493.8288000000011</v>
      </c>
      <c r="AE177" s="4">
        <f>$K$177*$Y$177</f>
        <v>0</v>
      </c>
      <c r="AF177" s="4">
        <f ca="1">$M$177*$Z$177</f>
        <v>-4092.2539464271649</v>
      </c>
      <c r="AG177" s="4">
        <f>$O$177*$AA$177</f>
        <v>-11867.751578568952</v>
      </c>
    </row>
    <row r="178" spans="1:33" ht="11.25" customHeight="1" x14ac:dyDescent="0.25">
      <c r="A178" s="3" t="s">
        <v>28</v>
      </c>
      <c r="B178" s="3" t="s">
        <v>39</v>
      </c>
      <c r="C178" s="3" t="s">
        <v>41</v>
      </c>
      <c r="D178" s="3" t="s">
        <v>42</v>
      </c>
      <c r="E178" s="3" t="s">
        <v>25</v>
      </c>
      <c r="F178" s="3" t="s">
        <v>25</v>
      </c>
      <c r="G178" s="3" t="s">
        <v>25</v>
      </c>
      <c r="H178" s="3" t="s">
        <v>35</v>
      </c>
      <c r="I178" s="6">
        <v>44501</v>
      </c>
      <c r="J178" s="4">
        <v>0</v>
      </c>
      <c r="K178" s="4">
        <v>0</v>
      </c>
      <c r="L178" s="4">
        <v>177.82599999999999</v>
      </c>
      <c r="M178" s="4">
        <v>177.82599999999999</v>
      </c>
      <c r="N178" s="4">
        <v>177.82599999999999</v>
      </c>
      <c r="O178" s="4">
        <v>177.82599999999999</v>
      </c>
      <c r="P178" s="4">
        <v>0</v>
      </c>
      <c r="Q178" s="3" t="s">
        <v>26</v>
      </c>
      <c r="R178" s="3">
        <v>0</v>
      </c>
      <c r="S178" s="4">
        <v>0</v>
      </c>
      <c r="T178" s="4">
        <v>31</v>
      </c>
      <c r="U178" s="4">
        <v>59</v>
      </c>
      <c r="V178" s="4">
        <f>IF(ISERROR(VLOOKUP($S$178,'TAR FIN'!$A$1:$O$92,15,0)),0,VLOOKUP($S$178,'TAR FIN'!$A$1:$O$92,15,0))</f>
        <v>0</v>
      </c>
      <c r="W178" s="4">
        <f>IF(ISERROR(VLOOKUP($T$178,'TAR FIN'!$A$1:$O$92,15,0)),0,VLOOKUP($T$178,'TAR FIN'!$A$1:$O$92,15,0))</f>
        <v>87.73</v>
      </c>
      <c r="X178" s="4">
        <f>IF(ISERROR(VLOOKUP($U$178,'TAR FIN'!$A$1:$O$92,15,0)),0,VLOOKUP($U$178,'TAR FIN'!$A$1:$O$92,15,0))</f>
        <v>253.9</v>
      </c>
      <c r="Y178" s="4"/>
      <c r="Z178" s="4">
        <f ca="1">('TUSD BE'!$AM$12+'TUSD BF'!$AM$12+'TUSD CVA'!$AM$12)*1</f>
        <v>109.44196476324252</v>
      </c>
      <c r="AA178" s="4">
        <f>('TE BE'!$AB$6+'TE BF'!$AB$6+'TE CVA'!$AB$6)*1</f>
        <v>317.3874512882154</v>
      </c>
      <c r="AB178" s="4">
        <f>$K$178*$V$178</f>
        <v>0</v>
      </c>
      <c r="AC178" s="4">
        <f>$M$178*$W$178</f>
        <v>15600.67498</v>
      </c>
      <c r="AD178" s="4">
        <f>$O$178*$X$178</f>
        <v>45150.021399999998</v>
      </c>
      <c r="AE178" s="4">
        <f>$K$178*$Y$178</f>
        <v>0</v>
      </c>
      <c r="AF178" s="4">
        <f ca="1">$M$178*$Z$178</f>
        <v>19461.626825988365</v>
      </c>
      <c r="AG178" s="4">
        <f>$O$178*$AA$178</f>
        <v>56439.740912778187</v>
      </c>
    </row>
    <row r="179" spans="1:33" ht="11.25" customHeight="1" x14ac:dyDescent="0.25">
      <c r="A179" s="3" t="s">
        <v>21</v>
      </c>
      <c r="B179" s="3" t="s">
        <v>39</v>
      </c>
      <c r="C179" s="3" t="s">
        <v>41</v>
      </c>
      <c r="D179" s="3" t="s">
        <v>42</v>
      </c>
      <c r="E179" s="3" t="s">
        <v>25</v>
      </c>
      <c r="F179" s="3" t="s">
        <v>25</v>
      </c>
      <c r="G179" s="3" t="s">
        <v>25</v>
      </c>
      <c r="H179" s="3" t="s">
        <v>35</v>
      </c>
      <c r="I179" s="6">
        <v>44531</v>
      </c>
      <c r="J179" s="4">
        <v>0</v>
      </c>
      <c r="K179" s="4">
        <v>0</v>
      </c>
      <c r="L179" s="4">
        <v>6410.3909999999996</v>
      </c>
      <c r="M179" s="4">
        <v>6410.3909999999996</v>
      </c>
      <c r="N179" s="4">
        <v>6410.3909999999996</v>
      </c>
      <c r="O179" s="4">
        <v>6410.3909999999996</v>
      </c>
      <c r="P179" s="4">
        <v>0</v>
      </c>
      <c r="Q179" s="3" t="s">
        <v>26</v>
      </c>
      <c r="R179" s="3">
        <v>0</v>
      </c>
      <c r="S179" s="4">
        <v>0</v>
      </c>
      <c r="T179" s="4">
        <v>31</v>
      </c>
      <c r="U179" s="4">
        <v>59</v>
      </c>
      <c r="V179" s="4">
        <f>IF(ISERROR(VLOOKUP($S$179,'TAR FIN'!$A$1:$O$92,15,0)),0,VLOOKUP($S$179,'TAR FIN'!$A$1:$O$92,15,0))</f>
        <v>0</v>
      </c>
      <c r="W179" s="4">
        <f>IF(ISERROR(VLOOKUP($T$179,'TAR FIN'!$A$1:$O$92,15,0)),0,VLOOKUP($T$179,'TAR FIN'!$A$1:$O$92,15,0))</f>
        <v>87.73</v>
      </c>
      <c r="X179" s="4">
        <f>IF(ISERROR(VLOOKUP($U$179,'TAR FIN'!$A$1:$O$92,15,0)),0,VLOOKUP($U$179,'TAR FIN'!$A$1:$O$92,15,0))</f>
        <v>253.9</v>
      </c>
      <c r="Y179" s="4"/>
      <c r="Z179" s="4">
        <f ca="1">('TUSD BE'!$AM$12+'TUSD BF'!$AM$12+'TUSD CVA'!$AM$12)*1</f>
        <v>109.44196476324252</v>
      </c>
      <c r="AA179" s="4">
        <f>('TE BE'!$AB$6+'TE BF'!$AB$6+'TE CVA'!$AB$6)*1</f>
        <v>317.3874512882154</v>
      </c>
      <c r="AB179" s="4">
        <f>$K$179*$V$179</f>
        <v>0</v>
      </c>
      <c r="AC179" s="4">
        <f>$M$179*$W$179</f>
        <v>562383.60242999997</v>
      </c>
      <c r="AD179" s="4">
        <f>$O$179*$X$179</f>
        <v>1627598.2748999998</v>
      </c>
      <c r="AE179" s="4">
        <f>$K$179*$Y$179</f>
        <v>0</v>
      </c>
      <c r="AF179" s="4">
        <f ca="1">$M$179*$Z$179</f>
        <v>701565.78594060696</v>
      </c>
      <c r="AG179" s="4">
        <f>$O$179*$AA$179</f>
        <v>2034577.6612509142</v>
      </c>
    </row>
    <row r="180" spans="1:33" ht="11.25" customHeight="1" x14ac:dyDescent="0.25">
      <c r="A180" s="3" t="s">
        <v>27</v>
      </c>
      <c r="B180" s="3" t="s">
        <v>39</v>
      </c>
      <c r="C180" s="3" t="s">
        <v>41</v>
      </c>
      <c r="D180" s="3" t="s">
        <v>42</v>
      </c>
      <c r="E180" s="3" t="s">
        <v>25</v>
      </c>
      <c r="F180" s="3" t="s">
        <v>25</v>
      </c>
      <c r="G180" s="3" t="s">
        <v>25</v>
      </c>
      <c r="H180" s="3" t="s">
        <v>35</v>
      </c>
      <c r="I180" s="6">
        <v>44531</v>
      </c>
      <c r="J180" s="4">
        <v>0</v>
      </c>
      <c r="K180" s="4">
        <v>0</v>
      </c>
      <c r="L180" s="4">
        <v>4.2889999999999997</v>
      </c>
      <c r="M180" s="4">
        <v>4.2889999999999997</v>
      </c>
      <c r="N180" s="4">
        <v>4.2889999999999997</v>
      </c>
      <c r="O180" s="4">
        <v>4.2889999999999997</v>
      </c>
      <c r="P180" s="4">
        <v>0</v>
      </c>
      <c r="Q180" s="3" t="s">
        <v>26</v>
      </c>
      <c r="R180" s="3">
        <v>0</v>
      </c>
      <c r="S180" s="4">
        <v>0</v>
      </c>
      <c r="T180" s="4">
        <v>31</v>
      </c>
      <c r="U180" s="4">
        <v>59</v>
      </c>
      <c r="V180" s="4">
        <f>IF(ISERROR(VLOOKUP($S$180,'TAR FIN'!$A$1:$O$92,15,0)),0,VLOOKUP($S$180,'TAR FIN'!$A$1:$O$92,15,0))</f>
        <v>0</v>
      </c>
      <c r="W180" s="4">
        <f>IF(ISERROR(VLOOKUP($T$180,'TAR FIN'!$A$1:$O$92,15,0)),0,VLOOKUP($T$180,'TAR FIN'!$A$1:$O$92,15,0))</f>
        <v>87.73</v>
      </c>
      <c r="X180" s="4">
        <f>IF(ISERROR(VLOOKUP($U$180,'TAR FIN'!$A$1:$O$92,15,0)),0,VLOOKUP($U$180,'TAR FIN'!$A$1:$O$92,15,0))</f>
        <v>253.9</v>
      </c>
      <c r="Y180" s="4"/>
      <c r="Z180" s="4">
        <f ca="1">('TUSD BE'!$AM$12+'TUSD BF'!$AM$12+'TUSD CVA'!$AM$12)*1</f>
        <v>109.44196476324252</v>
      </c>
      <c r="AA180" s="4">
        <f>('TE BE'!$AB$6+'TE BF'!$AB$6+'TE CVA'!$AB$6)*1</f>
        <v>317.3874512882154</v>
      </c>
      <c r="AB180" s="4">
        <f>$K$180*$V$180</f>
        <v>0</v>
      </c>
      <c r="AC180" s="4">
        <f>$M$180*$W$180</f>
        <v>376.27396999999996</v>
      </c>
      <c r="AD180" s="4">
        <f>$O$180*$X$180</f>
        <v>1088.9770999999998</v>
      </c>
      <c r="AE180" s="4">
        <f>$K$180*$Y$180</f>
        <v>0</v>
      </c>
      <c r="AF180" s="4">
        <f ca="1">$M$180*$Z$180</f>
        <v>469.39658686954715</v>
      </c>
      <c r="AG180" s="4">
        <f>$O$180*$AA$180</f>
        <v>1361.2747785751558</v>
      </c>
    </row>
    <row r="181" spans="1:33" ht="11.25" customHeight="1" x14ac:dyDescent="0.25">
      <c r="A181" s="3" t="s">
        <v>28</v>
      </c>
      <c r="B181" s="3" t="s">
        <v>39</v>
      </c>
      <c r="C181" s="3" t="s">
        <v>41</v>
      </c>
      <c r="D181" s="3" t="s">
        <v>42</v>
      </c>
      <c r="E181" s="3" t="s">
        <v>25</v>
      </c>
      <c r="F181" s="3" t="s">
        <v>25</v>
      </c>
      <c r="G181" s="3" t="s">
        <v>25</v>
      </c>
      <c r="H181" s="3" t="s">
        <v>35</v>
      </c>
      <c r="I181" s="6">
        <v>44531</v>
      </c>
      <c r="J181" s="4">
        <v>0</v>
      </c>
      <c r="K181" s="4">
        <v>0</v>
      </c>
      <c r="L181" s="4">
        <v>157.99299999999999</v>
      </c>
      <c r="M181" s="4">
        <v>157.99299999999999</v>
      </c>
      <c r="N181" s="4">
        <v>157.99299999999999</v>
      </c>
      <c r="O181" s="4">
        <v>157.99299999999999</v>
      </c>
      <c r="P181" s="4">
        <v>0</v>
      </c>
      <c r="Q181" s="3" t="s">
        <v>26</v>
      </c>
      <c r="R181" s="3">
        <v>0</v>
      </c>
      <c r="S181" s="4">
        <v>0</v>
      </c>
      <c r="T181" s="4">
        <v>31</v>
      </c>
      <c r="U181" s="4">
        <v>59</v>
      </c>
      <c r="V181" s="4">
        <f>IF(ISERROR(VLOOKUP($S$181,'TAR FIN'!$A$1:$O$92,15,0)),0,VLOOKUP($S$181,'TAR FIN'!$A$1:$O$92,15,0))</f>
        <v>0</v>
      </c>
      <c r="W181" s="4">
        <f>IF(ISERROR(VLOOKUP($T$181,'TAR FIN'!$A$1:$O$92,15,0)),0,VLOOKUP($T$181,'TAR FIN'!$A$1:$O$92,15,0))</f>
        <v>87.73</v>
      </c>
      <c r="X181" s="4">
        <f>IF(ISERROR(VLOOKUP($U$181,'TAR FIN'!$A$1:$O$92,15,0)),0,VLOOKUP($U$181,'TAR FIN'!$A$1:$O$92,15,0))</f>
        <v>253.9</v>
      </c>
      <c r="Y181" s="4"/>
      <c r="Z181" s="4">
        <f ca="1">('TUSD BE'!$AM$12+'TUSD BF'!$AM$12+'TUSD CVA'!$AM$12)*1</f>
        <v>109.44196476324252</v>
      </c>
      <c r="AA181" s="4">
        <f>('TE BE'!$AB$6+'TE BF'!$AB$6+'TE CVA'!$AB$6)*1</f>
        <v>317.3874512882154</v>
      </c>
      <c r="AB181" s="4">
        <f>$K$181*$V$181</f>
        <v>0</v>
      </c>
      <c r="AC181" s="4">
        <f>$M$181*$W$181</f>
        <v>13860.72589</v>
      </c>
      <c r="AD181" s="4">
        <f>$O$181*$X$181</f>
        <v>40114.422700000003</v>
      </c>
      <c r="AE181" s="4">
        <f>$K$181*$Y$181</f>
        <v>0</v>
      </c>
      <c r="AF181" s="4">
        <f ca="1">$M$181*$Z$181</f>
        <v>17291.064338838976</v>
      </c>
      <c r="AG181" s="4">
        <f>$O$181*$AA$181</f>
        <v>50144.995591379011</v>
      </c>
    </row>
    <row r="182" spans="1:33" ht="11.25" customHeight="1" x14ac:dyDescent="0.25">
      <c r="A182" s="3" t="s">
        <v>21</v>
      </c>
      <c r="B182" s="3" t="s">
        <v>39</v>
      </c>
      <c r="C182" s="3" t="s">
        <v>41</v>
      </c>
      <c r="D182" s="3" t="s">
        <v>42</v>
      </c>
      <c r="E182" s="3" t="s">
        <v>25</v>
      </c>
      <c r="F182" s="3" t="s">
        <v>25</v>
      </c>
      <c r="G182" s="3" t="s">
        <v>25</v>
      </c>
      <c r="H182" s="3" t="s">
        <v>35</v>
      </c>
      <c r="I182" s="6">
        <v>44562</v>
      </c>
      <c r="J182" s="4">
        <v>0</v>
      </c>
      <c r="K182" s="4">
        <v>0</v>
      </c>
      <c r="L182" s="4">
        <v>6164.0429999999997</v>
      </c>
      <c r="M182" s="4">
        <v>6164.0429999999997</v>
      </c>
      <c r="N182" s="4">
        <v>6164.0429999999997</v>
      </c>
      <c r="O182" s="4">
        <v>6164.0429999999997</v>
      </c>
      <c r="P182" s="4">
        <v>0</v>
      </c>
      <c r="Q182" s="3" t="s">
        <v>26</v>
      </c>
      <c r="R182" s="3">
        <v>0</v>
      </c>
      <c r="S182" s="4">
        <v>0</v>
      </c>
      <c r="T182" s="4">
        <v>31</v>
      </c>
      <c r="U182" s="4">
        <v>59</v>
      </c>
      <c r="V182" s="4">
        <f>IF(ISERROR(VLOOKUP($S$182,'TAR FIN'!$A$1:$O$92,15,0)),0,VLOOKUP($S$182,'TAR FIN'!$A$1:$O$92,15,0))</f>
        <v>0</v>
      </c>
      <c r="W182" s="4">
        <f>IF(ISERROR(VLOOKUP($T$182,'TAR FIN'!$A$1:$O$92,15,0)),0,VLOOKUP($T$182,'TAR FIN'!$A$1:$O$92,15,0))</f>
        <v>87.73</v>
      </c>
      <c r="X182" s="4">
        <f>IF(ISERROR(VLOOKUP($U$182,'TAR FIN'!$A$1:$O$92,15,0)),0,VLOOKUP($U$182,'TAR FIN'!$A$1:$O$92,15,0))</f>
        <v>253.9</v>
      </c>
      <c r="Y182" s="4"/>
      <c r="Z182" s="4">
        <f ca="1">('TUSD BE'!$AM$12+'TUSD BF'!$AM$12+'TUSD CVA'!$AM$12)*1</f>
        <v>109.44196476324252</v>
      </c>
      <c r="AA182" s="4">
        <f>('TE BE'!$AB$6+'TE BF'!$AB$6+'TE CVA'!$AB$6)*1</f>
        <v>317.3874512882154</v>
      </c>
      <c r="AB182" s="4">
        <f>$K$182*$V$182</f>
        <v>0</v>
      </c>
      <c r="AC182" s="4">
        <f>$M$182*$W$182</f>
        <v>540771.49239000003</v>
      </c>
      <c r="AD182" s="4">
        <f>$O$182*$X$182</f>
        <v>1565050.5177</v>
      </c>
      <c r="AE182" s="4">
        <f>$K$182*$Y$182</f>
        <v>0</v>
      </c>
      <c r="AF182" s="4">
        <f ca="1">$M$182*$Z$182</f>
        <v>674604.97680511174</v>
      </c>
      <c r="AG182" s="4">
        <f>$O$182*$AA$182</f>
        <v>1956389.897400965</v>
      </c>
    </row>
    <row r="183" spans="1:33" ht="11.25" customHeight="1" x14ac:dyDescent="0.25">
      <c r="A183" s="3" t="s">
        <v>28</v>
      </c>
      <c r="B183" s="3" t="s">
        <v>39</v>
      </c>
      <c r="C183" s="3" t="s">
        <v>41</v>
      </c>
      <c r="D183" s="3" t="s">
        <v>42</v>
      </c>
      <c r="E183" s="3" t="s">
        <v>25</v>
      </c>
      <c r="F183" s="3" t="s">
        <v>25</v>
      </c>
      <c r="G183" s="3" t="s">
        <v>25</v>
      </c>
      <c r="H183" s="3" t="s">
        <v>35</v>
      </c>
      <c r="I183" s="6">
        <v>44562</v>
      </c>
      <c r="J183" s="4">
        <v>0</v>
      </c>
      <c r="K183" s="4">
        <v>0</v>
      </c>
      <c r="L183" s="4">
        <v>148.446</v>
      </c>
      <c r="M183" s="4">
        <v>148.446</v>
      </c>
      <c r="N183" s="4">
        <v>148.446</v>
      </c>
      <c r="O183" s="4">
        <v>148.446</v>
      </c>
      <c r="P183" s="4">
        <v>0</v>
      </c>
      <c r="Q183" s="3" t="s">
        <v>26</v>
      </c>
      <c r="R183" s="3">
        <v>0</v>
      </c>
      <c r="S183" s="4">
        <v>0</v>
      </c>
      <c r="T183" s="4">
        <v>31</v>
      </c>
      <c r="U183" s="4">
        <v>59</v>
      </c>
      <c r="V183" s="4">
        <f>IF(ISERROR(VLOOKUP($S$183,'TAR FIN'!$A$1:$O$92,15,0)),0,VLOOKUP($S$183,'TAR FIN'!$A$1:$O$92,15,0))</f>
        <v>0</v>
      </c>
      <c r="W183" s="4">
        <f>IF(ISERROR(VLOOKUP($T$183,'TAR FIN'!$A$1:$O$92,15,0)),0,VLOOKUP($T$183,'TAR FIN'!$A$1:$O$92,15,0))</f>
        <v>87.73</v>
      </c>
      <c r="X183" s="4">
        <f>IF(ISERROR(VLOOKUP($U$183,'TAR FIN'!$A$1:$O$92,15,0)),0,VLOOKUP($U$183,'TAR FIN'!$A$1:$O$92,15,0))</f>
        <v>253.9</v>
      </c>
      <c r="Y183" s="4"/>
      <c r="Z183" s="4">
        <f ca="1">('TUSD BE'!$AM$12+'TUSD BF'!$AM$12+'TUSD CVA'!$AM$12)*1</f>
        <v>109.44196476324252</v>
      </c>
      <c r="AA183" s="4">
        <f>('TE BE'!$AB$6+'TE BF'!$AB$6+'TE CVA'!$AB$6)*1</f>
        <v>317.3874512882154</v>
      </c>
      <c r="AB183" s="4">
        <f>$K$183*$V$183</f>
        <v>0</v>
      </c>
      <c r="AC183" s="4">
        <f>$M$183*$W$183</f>
        <v>13023.167580000001</v>
      </c>
      <c r="AD183" s="4">
        <f>$O$183*$X$183</f>
        <v>37690.439400000003</v>
      </c>
      <c r="AE183" s="4">
        <f>$K$183*$Y$183</f>
        <v>0</v>
      </c>
      <c r="AF183" s="4">
        <f ca="1">$M$183*$Z$183</f>
        <v>16246.2219012443</v>
      </c>
      <c r="AG183" s="4">
        <f>$O$183*$AA$183</f>
        <v>47114.897593930422</v>
      </c>
    </row>
    <row r="184" spans="1:33" ht="11.25" customHeight="1" x14ac:dyDescent="0.25">
      <c r="A184" s="3" t="s">
        <v>21</v>
      </c>
      <c r="B184" s="3" t="s">
        <v>39</v>
      </c>
      <c r="C184" s="3" t="s">
        <v>41</v>
      </c>
      <c r="D184" s="3" t="s">
        <v>42</v>
      </c>
      <c r="E184" s="3" t="s">
        <v>25</v>
      </c>
      <c r="F184" s="3" t="s">
        <v>25</v>
      </c>
      <c r="G184" s="3" t="s">
        <v>25</v>
      </c>
      <c r="H184" s="3" t="s">
        <v>35</v>
      </c>
      <c r="I184" s="6">
        <v>44593</v>
      </c>
      <c r="J184" s="4">
        <v>0</v>
      </c>
      <c r="K184" s="4">
        <v>0</v>
      </c>
      <c r="L184" s="4">
        <v>6002.0990000000002</v>
      </c>
      <c r="M184" s="4">
        <v>6002.0990000000002</v>
      </c>
      <c r="N184" s="4">
        <v>6002.0990000000002</v>
      </c>
      <c r="O184" s="4">
        <v>6002.0990000000002</v>
      </c>
      <c r="P184" s="4">
        <v>0</v>
      </c>
      <c r="Q184" s="3" t="s">
        <v>26</v>
      </c>
      <c r="R184" s="3">
        <v>0</v>
      </c>
      <c r="S184" s="4">
        <v>0</v>
      </c>
      <c r="T184" s="4">
        <v>31</v>
      </c>
      <c r="U184" s="4">
        <v>59</v>
      </c>
      <c r="V184" s="4">
        <f>IF(ISERROR(VLOOKUP($S$184,'TAR FIN'!$A$1:$O$92,15,0)),0,VLOOKUP($S$184,'TAR FIN'!$A$1:$O$92,15,0))</f>
        <v>0</v>
      </c>
      <c r="W184" s="4">
        <f>IF(ISERROR(VLOOKUP($T$184,'TAR FIN'!$A$1:$O$92,15,0)),0,VLOOKUP($T$184,'TAR FIN'!$A$1:$O$92,15,0))</f>
        <v>87.73</v>
      </c>
      <c r="X184" s="4">
        <f>IF(ISERROR(VLOOKUP($U$184,'TAR FIN'!$A$1:$O$92,15,0)),0,VLOOKUP($U$184,'TAR FIN'!$A$1:$O$92,15,0))</f>
        <v>253.9</v>
      </c>
      <c r="Y184" s="4"/>
      <c r="Z184" s="4">
        <f ca="1">('TUSD BE'!$AM$12+'TUSD BF'!$AM$12+'TUSD CVA'!$AM$12)*1</f>
        <v>109.44196476324252</v>
      </c>
      <c r="AA184" s="4">
        <f>('TE BE'!$AB$6+'TE BF'!$AB$6+'TE CVA'!$AB$6)*1</f>
        <v>317.3874512882154</v>
      </c>
      <c r="AB184" s="4">
        <f>$K$184*$V$184</f>
        <v>0</v>
      </c>
      <c r="AC184" s="4">
        <f>$M$184*$W$184</f>
        <v>526564.1452700001</v>
      </c>
      <c r="AD184" s="4">
        <f>$O$184*$X$184</f>
        <v>1523932.9361</v>
      </c>
      <c r="AE184" s="4">
        <f>$K$184*$Y$184</f>
        <v>0</v>
      </c>
      <c r="AF184" s="4">
        <f ca="1">$M$184*$Z$184</f>
        <v>656881.50726349326</v>
      </c>
      <c r="AG184" s="4">
        <f>$O$184*$AA$184</f>
        <v>1904990.9039895465</v>
      </c>
    </row>
    <row r="185" spans="1:33" ht="11.25" customHeight="1" x14ac:dyDescent="0.25">
      <c r="A185" s="3" t="s">
        <v>28</v>
      </c>
      <c r="B185" s="3" t="s">
        <v>39</v>
      </c>
      <c r="C185" s="3" t="s">
        <v>41</v>
      </c>
      <c r="D185" s="3" t="s">
        <v>42</v>
      </c>
      <c r="E185" s="3" t="s">
        <v>25</v>
      </c>
      <c r="F185" s="3" t="s">
        <v>25</v>
      </c>
      <c r="G185" s="3" t="s">
        <v>25</v>
      </c>
      <c r="H185" s="3" t="s">
        <v>35</v>
      </c>
      <c r="I185" s="6">
        <v>44593</v>
      </c>
      <c r="J185" s="4">
        <v>0</v>
      </c>
      <c r="K185" s="4">
        <v>0</v>
      </c>
      <c r="L185" s="4">
        <v>143.85599999999999</v>
      </c>
      <c r="M185" s="4">
        <v>143.85599999999999</v>
      </c>
      <c r="N185" s="4">
        <v>143.85599999999999</v>
      </c>
      <c r="O185" s="4">
        <v>143.85599999999999</v>
      </c>
      <c r="P185" s="4">
        <v>0</v>
      </c>
      <c r="Q185" s="3" t="s">
        <v>26</v>
      </c>
      <c r="R185" s="3">
        <v>0</v>
      </c>
      <c r="S185" s="4">
        <v>0</v>
      </c>
      <c r="T185" s="4">
        <v>31</v>
      </c>
      <c r="U185" s="4">
        <v>59</v>
      </c>
      <c r="V185" s="4">
        <f>IF(ISERROR(VLOOKUP($S$185,'TAR FIN'!$A$1:$O$92,15,0)),0,VLOOKUP($S$185,'TAR FIN'!$A$1:$O$92,15,0))</f>
        <v>0</v>
      </c>
      <c r="W185" s="4">
        <f>IF(ISERROR(VLOOKUP($T$185,'TAR FIN'!$A$1:$O$92,15,0)),0,VLOOKUP($T$185,'TAR FIN'!$A$1:$O$92,15,0))</f>
        <v>87.73</v>
      </c>
      <c r="X185" s="4">
        <f>IF(ISERROR(VLOOKUP($U$185,'TAR FIN'!$A$1:$O$92,15,0)),0,VLOOKUP($U$185,'TAR FIN'!$A$1:$O$92,15,0))</f>
        <v>253.9</v>
      </c>
      <c r="Y185" s="4"/>
      <c r="Z185" s="4">
        <f ca="1">('TUSD BE'!$AM$12+'TUSD BF'!$AM$12+'TUSD CVA'!$AM$12)*1</f>
        <v>109.44196476324252</v>
      </c>
      <c r="AA185" s="4">
        <f>('TE BE'!$AB$6+'TE BF'!$AB$6+'TE CVA'!$AB$6)*1</f>
        <v>317.3874512882154</v>
      </c>
      <c r="AB185" s="4">
        <f>$K$185*$V$185</f>
        <v>0</v>
      </c>
      <c r="AC185" s="4">
        <f>$M$185*$W$185</f>
        <v>12620.48688</v>
      </c>
      <c r="AD185" s="4">
        <f>$O$185*$X$185</f>
        <v>36525.038399999998</v>
      </c>
      <c r="AE185" s="4">
        <f>$K$185*$Y$185</f>
        <v>0</v>
      </c>
      <c r="AF185" s="4">
        <f ca="1">$M$185*$Z$185</f>
        <v>15743.883282981016</v>
      </c>
      <c r="AG185" s="4">
        <f>$O$185*$AA$185</f>
        <v>45658.089192517516</v>
      </c>
    </row>
    <row r="186" spans="1:33" ht="11.25" customHeight="1" x14ac:dyDescent="0.25">
      <c r="A186" s="3" t="s">
        <v>21</v>
      </c>
      <c r="B186" s="3" t="s">
        <v>39</v>
      </c>
      <c r="C186" s="3" t="s">
        <v>41</v>
      </c>
      <c r="D186" s="3" t="s">
        <v>42</v>
      </c>
      <c r="E186" s="3" t="s">
        <v>25</v>
      </c>
      <c r="F186" s="3" t="s">
        <v>25</v>
      </c>
      <c r="G186" s="3" t="s">
        <v>25</v>
      </c>
      <c r="H186" s="3" t="s">
        <v>35</v>
      </c>
      <c r="I186" s="6">
        <v>44621</v>
      </c>
      <c r="J186" s="4">
        <v>0</v>
      </c>
      <c r="K186" s="4">
        <v>0</v>
      </c>
      <c r="L186" s="4">
        <v>6383.768</v>
      </c>
      <c r="M186" s="4">
        <v>6383.768</v>
      </c>
      <c r="N186" s="4">
        <v>6383.768</v>
      </c>
      <c r="O186" s="4">
        <v>6383.768</v>
      </c>
      <c r="P186" s="4">
        <v>0</v>
      </c>
      <c r="Q186" s="3" t="s">
        <v>26</v>
      </c>
      <c r="R186" s="3">
        <v>0</v>
      </c>
      <c r="S186" s="4">
        <v>0</v>
      </c>
      <c r="T186" s="4">
        <v>31</v>
      </c>
      <c r="U186" s="4">
        <v>59</v>
      </c>
      <c r="V186" s="4">
        <f>IF(ISERROR(VLOOKUP($S$186,'TAR FIN'!$A$1:$O$92,15,0)),0,VLOOKUP($S$186,'TAR FIN'!$A$1:$O$92,15,0))</f>
        <v>0</v>
      </c>
      <c r="W186" s="4">
        <f>IF(ISERROR(VLOOKUP($T$186,'TAR FIN'!$A$1:$O$92,15,0)),0,VLOOKUP($T$186,'TAR FIN'!$A$1:$O$92,15,0))</f>
        <v>87.73</v>
      </c>
      <c r="X186" s="4">
        <f>IF(ISERROR(VLOOKUP($U$186,'TAR FIN'!$A$1:$O$92,15,0)),0,VLOOKUP($U$186,'TAR FIN'!$A$1:$O$92,15,0))</f>
        <v>253.9</v>
      </c>
      <c r="Y186" s="4"/>
      <c r="Z186" s="4">
        <f ca="1">('TUSD BE'!$AM$12+'TUSD BF'!$AM$12+'TUSD CVA'!$AM$12)*1</f>
        <v>109.44196476324252</v>
      </c>
      <c r="AA186" s="4">
        <f>('TE BE'!$AB$6+'TE BF'!$AB$6+'TE CVA'!$AB$6)*1</f>
        <v>317.3874512882154</v>
      </c>
      <c r="AB186" s="4">
        <f>$K$186*$V$186</f>
        <v>0</v>
      </c>
      <c r="AC186" s="4">
        <f>$M$186*$W$186</f>
        <v>560047.96664</v>
      </c>
      <c r="AD186" s="4">
        <f>$O$186*$X$186</f>
        <v>1620838.6952</v>
      </c>
      <c r="AE186" s="4">
        <f>$K$186*$Y$186</f>
        <v>0</v>
      </c>
      <c r="AF186" s="4">
        <f ca="1">$M$186*$Z$186</f>
        <v>698652.11251271516</v>
      </c>
      <c r="AG186" s="4">
        <f>$O$186*$AA$186</f>
        <v>2026127.8551352683</v>
      </c>
    </row>
    <row r="187" spans="1:33" ht="11.25" customHeight="1" x14ac:dyDescent="0.25">
      <c r="A187" s="3" t="s">
        <v>28</v>
      </c>
      <c r="B187" s="3" t="s">
        <v>39</v>
      </c>
      <c r="C187" s="3" t="s">
        <v>41</v>
      </c>
      <c r="D187" s="3" t="s">
        <v>42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44621</v>
      </c>
      <c r="J187" s="4">
        <v>0</v>
      </c>
      <c r="K187" s="4">
        <v>0</v>
      </c>
      <c r="L187" s="4">
        <v>248.077</v>
      </c>
      <c r="M187" s="4">
        <v>248.077</v>
      </c>
      <c r="N187" s="4">
        <v>248.077</v>
      </c>
      <c r="O187" s="4">
        <v>248.077</v>
      </c>
      <c r="P187" s="4">
        <v>0</v>
      </c>
      <c r="Q187" s="3" t="s">
        <v>26</v>
      </c>
      <c r="R187" s="3">
        <v>0</v>
      </c>
      <c r="S187" s="4">
        <v>0</v>
      </c>
      <c r="T187" s="4">
        <v>31</v>
      </c>
      <c r="U187" s="4">
        <v>59</v>
      </c>
      <c r="V187" s="4">
        <f>IF(ISERROR(VLOOKUP($S$187,'TAR FIN'!$A$1:$O$92,15,0)),0,VLOOKUP($S$187,'TAR FIN'!$A$1:$O$92,15,0))</f>
        <v>0</v>
      </c>
      <c r="W187" s="4">
        <f>IF(ISERROR(VLOOKUP($T$187,'TAR FIN'!$A$1:$O$92,15,0)),0,VLOOKUP($T$187,'TAR FIN'!$A$1:$O$92,15,0))</f>
        <v>87.73</v>
      </c>
      <c r="X187" s="4">
        <f>IF(ISERROR(VLOOKUP($U$187,'TAR FIN'!$A$1:$O$92,15,0)),0,VLOOKUP($U$187,'TAR FIN'!$A$1:$O$92,15,0))</f>
        <v>253.9</v>
      </c>
      <c r="Y187" s="4"/>
      <c r="Z187" s="4">
        <f ca="1">('TUSD BE'!$AM$12+'TUSD BF'!$AM$12+'TUSD CVA'!$AM$12)*1</f>
        <v>109.44196476324252</v>
      </c>
      <c r="AA187" s="4">
        <f>('TE BE'!$AB$6+'TE BF'!$AB$6+'TE CVA'!$AB$6)*1</f>
        <v>317.3874512882154</v>
      </c>
      <c r="AB187" s="4">
        <f>$K$187*$V$187</f>
        <v>0</v>
      </c>
      <c r="AC187" s="4">
        <f>$M$187*$W$187</f>
        <v>21763.79521</v>
      </c>
      <c r="AD187" s="4">
        <f>$O$187*$X$187</f>
        <v>62986.7503</v>
      </c>
      <c r="AE187" s="4">
        <f>$K$187*$Y$187</f>
        <v>0</v>
      </c>
      <c r="AF187" s="4">
        <f ca="1">$M$187*$Z$187</f>
        <v>27150.034292570916</v>
      </c>
      <c r="AG187" s="4">
        <f>$O$187*$AA$187</f>
        <v>78736.526753226615</v>
      </c>
    </row>
    <row r="188" spans="1:33" ht="11.25" customHeight="1" x14ac:dyDescent="0.25">
      <c r="A188" s="3" t="s">
        <v>28</v>
      </c>
      <c r="B188" s="3" t="s">
        <v>39</v>
      </c>
      <c r="C188" s="3" t="s">
        <v>41</v>
      </c>
      <c r="D188" s="3" t="s">
        <v>42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44621</v>
      </c>
      <c r="J188" s="4">
        <v>0</v>
      </c>
      <c r="K188" s="4">
        <v>0</v>
      </c>
      <c r="L188" s="4">
        <v>1.6850000000000001</v>
      </c>
      <c r="M188" s="4">
        <v>1.6850000000000001</v>
      </c>
      <c r="N188" s="4">
        <v>1.6850000000000001</v>
      </c>
      <c r="O188" s="4">
        <v>1.6850000000000001</v>
      </c>
      <c r="P188" s="4">
        <v>0</v>
      </c>
      <c r="Q188" s="3" t="s">
        <v>26</v>
      </c>
      <c r="R188" s="3">
        <v>0</v>
      </c>
      <c r="S188" s="4">
        <v>0</v>
      </c>
      <c r="T188" s="4">
        <v>31</v>
      </c>
      <c r="U188" s="4">
        <v>59</v>
      </c>
      <c r="V188" s="4">
        <f>IF(ISERROR(VLOOKUP($S$188,'TAR FIN'!$A$1:$O$92,15,0)),0,VLOOKUP($S$188,'TAR FIN'!$A$1:$O$92,15,0))</f>
        <v>0</v>
      </c>
      <c r="W188" s="4">
        <f>IF(ISERROR(VLOOKUP($T$188,'TAR FIN'!$A$1:$O$92,15,0)),0,VLOOKUP($T$188,'TAR FIN'!$A$1:$O$92,15,0))</f>
        <v>87.73</v>
      </c>
      <c r="X188" s="4">
        <f>IF(ISERROR(VLOOKUP($U$188,'TAR FIN'!$A$1:$O$92,15,0)),0,VLOOKUP($U$188,'TAR FIN'!$A$1:$O$92,15,0))</f>
        <v>253.9</v>
      </c>
      <c r="Y188" s="4"/>
      <c r="Z188" s="4">
        <f ca="1">('TUSD BE'!$AM$12+'TUSD BF'!$AM$12+'TUSD CVA'!$AM$12)*1</f>
        <v>109.44196476324252</v>
      </c>
      <c r="AA188" s="4">
        <f>('TE BE'!$AB$6+'TE BF'!$AB$6+'TE CVA'!$AB$6)*1</f>
        <v>317.3874512882154</v>
      </c>
      <c r="AB188" s="4">
        <f>$K$188*$V$188</f>
        <v>0</v>
      </c>
      <c r="AC188" s="4">
        <f>$M$188*$W$188</f>
        <v>147.82505</v>
      </c>
      <c r="AD188" s="4">
        <f>$O$188*$X$188</f>
        <v>427.82150000000001</v>
      </c>
      <c r="AE188" s="4">
        <f>$K$188*$Y$188</f>
        <v>0</v>
      </c>
      <c r="AF188" s="4">
        <f ca="1">$M$188*$Z$188</f>
        <v>184.40971062606366</v>
      </c>
      <c r="AG188" s="4">
        <f>$O$188*$AA$188</f>
        <v>534.79785542064292</v>
      </c>
    </row>
    <row r="189" spans="1:33" ht="11.25" customHeight="1" x14ac:dyDescent="0.25">
      <c r="A189" s="3" t="s">
        <v>21</v>
      </c>
      <c r="B189" s="3" t="s">
        <v>39</v>
      </c>
      <c r="C189" s="3" t="s">
        <v>41</v>
      </c>
      <c r="D189" s="3" t="s">
        <v>42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44652</v>
      </c>
      <c r="J189" s="4">
        <v>0</v>
      </c>
      <c r="K189" s="4">
        <v>0</v>
      </c>
      <c r="L189" s="4">
        <v>6383.768</v>
      </c>
      <c r="M189" s="4">
        <v>6383.768</v>
      </c>
      <c r="N189" s="4">
        <v>6383.768</v>
      </c>
      <c r="O189" s="4">
        <v>6383.768</v>
      </c>
      <c r="P189" s="4">
        <v>0</v>
      </c>
      <c r="Q189" s="3" t="s">
        <v>26</v>
      </c>
      <c r="R189" s="3">
        <v>0</v>
      </c>
      <c r="S189" s="4">
        <v>0</v>
      </c>
      <c r="T189" s="4">
        <v>31</v>
      </c>
      <c r="U189" s="4">
        <v>59</v>
      </c>
      <c r="V189" s="4">
        <f>IF(ISERROR(VLOOKUP($S$189,'TAR FIN'!$A$1:$O$92,15,0)),0,VLOOKUP($S$189,'TAR FIN'!$A$1:$O$92,15,0))</f>
        <v>0</v>
      </c>
      <c r="W189" s="4">
        <f>IF(ISERROR(VLOOKUP($T$189,'TAR FIN'!$A$1:$O$92,15,0)),0,VLOOKUP($T$189,'TAR FIN'!$A$1:$O$92,15,0))</f>
        <v>87.73</v>
      </c>
      <c r="X189" s="4">
        <f>IF(ISERROR(VLOOKUP($U$189,'TAR FIN'!$A$1:$O$92,15,0)),0,VLOOKUP($U$189,'TAR FIN'!$A$1:$O$92,15,0))</f>
        <v>253.9</v>
      </c>
      <c r="Y189" s="4"/>
      <c r="Z189" s="4">
        <f ca="1">('TUSD BE'!$AM$12+'TUSD BF'!$AM$12+'TUSD CVA'!$AM$12)*1</f>
        <v>109.44196476324252</v>
      </c>
      <c r="AA189" s="4">
        <f>('TE BE'!$AB$6+'TE BF'!$AB$6+'TE CVA'!$AB$6)*1</f>
        <v>317.3874512882154</v>
      </c>
      <c r="AB189" s="4">
        <f>$K$189*$V$189</f>
        <v>0</v>
      </c>
      <c r="AC189" s="4">
        <f>$M$189*$W$189</f>
        <v>560047.96664</v>
      </c>
      <c r="AD189" s="4">
        <f>$O$189*$X$189</f>
        <v>1620838.6952</v>
      </c>
      <c r="AE189" s="4">
        <f>$K$189*$Y$189</f>
        <v>0</v>
      </c>
      <c r="AF189" s="4">
        <f ca="1">$M$189*$Z$189</f>
        <v>698652.11251271516</v>
      </c>
      <c r="AG189" s="4">
        <f>$O$189*$AA$189</f>
        <v>2026127.8551352683</v>
      </c>
    </row>
    <row r="190" spans="1:33" ht="11.25" customHeight="1" x14ac:dyDescent="0.25">
      <c r="A190" s="3" t="s">
        <v>28</v>
      </c>
      <c r="B190" s="3" t="s">
        <v>39</v>
      </c>
      <c r="C190" s="3" t="s">
        <v>41</v>
      </c>
      <c r="D190" s="3" t="s">
        <v>42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44652</v>
      </c>
      <c r="J190" s="4">
        <v>0</v>
      </c>
      <c r="K190" s="4">
        <v>0</v>
      </c>
      <c r="L190" s="4">
        <v>248.077</v>
      </c>
      <c r="M190" s="4">
        <v>248.077</v>
      </c>
      <c r="N190" s="4">
        <v>248.077</v>
      </c>
      <c r="O190" s="4">
        <v>248.077</v>
      </c>
      <c r="P190" s="4">
        <v>0</v>
      </c>
      <c r="Q190" s="3" t="s">
        <v>26</v>
      </c>
      <c r="R190" s="3">
        <v>0</v>
      </c>
      <c r="S190" s="4">
        <v>0</v>
      </c>
      <c r="T190" s="4">
        <v>31</v>
      </c>
      <c r="U190" s="4">
        <v>59</v>
      </c>
      <c r="V190" s="4">
        <f>IF(ISERROR(VLOOKUP($S$190,'TAR FIN'!$A$1:$O$92,15,0)),0,VLOOKUP($S$190,'TAR FIN'!$A$1:$O$92,15,0))</f>
        <v>0</v>
      </c>
      <c r="W190" s="4">
        <f>IF(ISERROR(VLOOKUP($T$190,'TAR FIN'!$A$1:$O$92,15,0)),0,VLOOKUP($T$190,'TAR FIN'!$A$1:$O$92,15,0))</f>
        <v>87.73</v>
      </c>
      <c r="X190" s="4">
        <f>IF(ISERROR(VLOOKUP($U$190,'TAR FIN'!$A$1:$O$92,15,0)),0,VLOOKUP($U$190,'TAR FIN'!$A$1:$O$92,15,0))</f>
        <v>253.9</v>
      </c>
      <c r="Y190" s="4"/>
      <c r="Z190" s="4">
        <f ca="1">('TUSD BE'!$AM$12+'TUSD BF'!$AM$12+'TUSD CVA'!$AM$12)*1</f>
        <v>109.44196476324252</v>
      </c>
      <c r="AA190" s="4">
        <f>('TE BE'!$AB$6+'TE BF'!$AB$6+'TE CVA'!$AB$6)*1</f>
        <v>317.3874512882154</v>
      </c>
      <c r="AB190" s="4">
        <f>$K$190*$V$190</f>
        <v>0</v>
      </c>
      <c r="AC190" s="4">
        <f>$M$190*$W$190</f>
        <v>21763.79521</v>
      </c>
      <c r="AD190" s="4">
        <f>$O$190*$X$190</f>
        <v>62986.7503</v>
      </c>
      <c r="AE190" s="4">
        <f>$K$190*$Y$190</f>
        <v>0</v>
      </c>
      <c r="AF190" s="4">
        <f ca="1">$M$190*$Z$190</f>
        <v>27150.034292570916</v>
      </c>
      <c r="AG190" s="4">
        <f>$O$190*$AA$190</f>
        <v>78736.526753226615</v>
      </c>
    </row>
    <row r="191" spans="1:33" ht="11.25" customHeight="1" x14ac:dyDescent="0.25">
      <c r="A191" s="3" t="s">
        <v>28</v>
      </c>
      <c r="B191" s="3" t="s">
        <v>39</v>
      </c>
      <c r="C191" s="3" t="s">
        <v>41</v>
      </c>
      <c r="D191" s="3" t="s">
        <v>42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44652</v>
      </c>
      <c r="J191" s="4">
        <v>0</v>
      </c>
      <c r="K191" s="4">
        <v>0</v>
      </c>
      <c r="L191" s="4">
        <v>1.6850000000000001</v>
      </c>
      <c r="M191" s="4">
        <v>1.6850000000000001</v>
      </c>
      <c r="N191" s="4">
        <v>1.6850000000000001</v>
      </c>
      <c r="O191" s="4">
        <v>1.6850000000000001</v>
      </c>
      <c r="P191" s="4">
        <v>0</v>
      </c>
      <c r="Q191" s="3" t="s">
        <v>26</v>
      </c>
      <c r="R191" s="3">
        <v>0</v>
      </c>
      <c r="S191" s="4">
        <v>0</v>
      </c>
      <c r="T191" s="4">
        <v>31</v>
      </c>
      <c r="U191" s="4">
        <v>59</v>
      </c>
      <c r="V191" s="4">
        <f>IF(ISERROR(VLOOKUP($S$191,'TAR FIN'!$A$1:$O$92,15,0)),0,VLOOKUP($S$191,'TAR FIN'!$A$1:$O$92,15,0))</f>
        <v>0</v>
      </c>
      <c r="W191" s="4">
        <f>IF(ISERROR(VLOOKUP($T$191,'TAR FIN'!$A$1:$O$92,15,0)),0,VLOOKUP($T$191,'TAR FIN'!$A$1:$O$92,15,0))</f>
        <v>87.73</v>
      </c>
      <c r="X191" s="4">
        <f>IF(ISERROR(VLOOKUP($U$191,'TAR FIN'!$A$1:$O$92,15,0)),0,VLOOKUP($U$191,'TAR FIN'!$A$1:$O$92,15,0))</f>
        <v>253.9</v>
      </c>
      <c r="Y191" s="4"/>
      <c r="Z191" s="4">
        <f ca="1">('TUSD BE'!$AM$12+'TUSD BF'!$AM$12+'TUSD CVA'!$AM$12)*1</f>
        <v>109.44196476324252</v>
      </c>
      <c r="AA191" s="4">
        <f>('TE BE'!$AB$6+'TE BF'!$AB$6+'TE CVA'!$AB$6)*1</f>
        <v>317.3874512882154</v>
      </c>
      <c r="AB191" s="4">
        <f>$K$191*$V$191</f>
        <v>0</v>
      </c>
      <c r="AC191" s="4">
        <f>$M$191*$W$191</f>
        <v>147.82505</v>
      </c>
      <c r="AD191" s="4">
        <f>$O$191*$X$191</f>
        <v>427.82150000000001</v>
      </c>
      <c r="AE191" s="4">
        <f>$K$191*$Y$191</f>
        <v>0</v>
      </c>
      <c r="AF191" s="4">
        <f ca="1">$M$191*$Z$191</f>
        <v>184.40971062606366</v>
      </c>
      <c r="AG191" s="4">
        <f>$O$191*$AA$191</f>
        <v>534.79785542064292</v>
      </c>
    </row>
    <row r="192" spans="1:33" ht="11.25" customHeight="1" x14ac:dyDescent="0.25">
      <c r="A192" s="3" t="s">
        <v>21</v>
      </c>
      <c r="B192" s="3" t="s">
        <v>39</v>
      </c>
      <c r="C192" s="3" t="s">
        <v>41</v>
      </c>
      <c r="D192" s="3" t="s">
        <v>42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44682</v>
      </c>
      <c r="J192" s="4">
        <v>0</v>
      </c>
      <c r="K192" s="4">
        <v>0</v>
      </c>
      <c r="L192" s="4">
        <v>6144.48</v>
      </c>
      <c r="M192" s="4">
        <v>6144.48</v>
      </c>
      <c r="N192" s="4">
        <v>6144.48</v>
      </c>
      <c r="O192" s="4">
        <v>6144.48</v>
      </c>
      <c r="P192" s="4">
        <v>0</v>
      </c>
      <c r="Q192" s="3" t="s">
        <v>26</v>
      </c>
      <c r="R192" s="3">
        <v>0</v>
      </c>
      <c r="S192" s="4">
        <v>0</v>
      </c>
      <c r="T192" s="4">
        <v>31</v>
      </c>
      <c r="U192" s="4">
        <v>59</v>
      </c>
      <c r="V192" s="4">
        <f>IF(ISERROR(VLOOKUP($S$192,'TAR FIN'!$A$1:$O$92,15,0)),0,VLOOKUP($S$192,'TAR FIN'!$A$1:$O$92,15,0))</f>
        <v>0</v>
      </c>
      <c r="W192" s="4">
        <f>IF(ISERROR(VLOOKUP($T$192,'TAR FIN'!$A$1:$O$92,15,0)),0,VLOOKUP($T$192,'TAR FIN'!$A$1:$O$92,15,0))</f>
        <v>87.73</v>
      </c>
      <c r="X192" s="4">
        <f>IF(ISERROR(VLOOKUP($U$192,'TAR FIN'!$A$1:$O$92,15,0)),0,VLOOKUP($U$192,'TAR FIN'!$A$1:$O$92,15,0))</f>
        <v>253.9</v>
      </c>
      <c r="Y192" s="4"/>
      <c r="Z192" s="4">
        <f ca="1">('TUSD BE'!$AM$12+'TUSD BF'!$AM$12+'TUSD CVA'!$AM$12)*1</f>
        <v>109.44196476324252</v>
      </c>
      <c r="AA192" s="4">
        <f>('TE BE'!$AB$6+'TE BF'!$AB$6+'TE CVA'!$AB$6)*1</f>
        <v>317.3874512882154</v>
      </c>
      <c r="AB192" s="4">
        <f>$K$192*$V$192</f>
        <v>0</v>
      </c>
      <c r="AC192" s="4">
        <f>$M$192*$W$192</f>
        <v>539055.2304</v>
      </c>
      <c r="AD192" s="4">
        <f>$O$192*$X$192</f>
        <v>1560083.4719999998</v>
      </c>
      <c r="AE192" s="4">
        <f>$K$192*$Y$192</f>
        <v>0</v>
      </c>
      <c r="AF192" s="4">
        <f ca="1">$M$192*$Z$192</f>
        <v>672463.96364844835</v>
      </c>
      <c r="AG192" s="4">
        <f>$O$192*$AA$192</f>
        <v>1950180.8466914135</v>
      </c>
    </row>
    <row r="193" spans="1:33" ht="11.25" customHeight="1" x14ac:dyDescent="0.25">
      <c r="A193" s="3" t="s">
        <v>27</v>
      </c>
      <c r="B193" s="3" t="s">
        <v>39</v>
      </c>
      <c r="C193" s="3" t="s">
        <v>41</v>
      </c>
      <c r="D193" s="3" t="s">
        <v>42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44682</v>
      </c>
      <c r="J193" s="4">
        <v>0</v>
      </c>
      <c r="K193" s="4">
        <v>0</v>
      </c>
      <c r="L193" s="4">
        <v>-70.224000000000004</v>
      </c>
      <c r="M193" s="4">
        <v>-70.224000000000004</v>
      </c>
      <c r="N193" s="4">
        <v>-70.224000000000004</v>
      </c>
      <c r="O193" s="4">
        <v>-70.224000000000004</v>
      </c>
      <c r="P193" s="4">
        <v>0</v>
      </c>
      <c r="Q193" s="3" t="s">
        <v>26</v>
      </c>
      <c r="R193" s="3">
        <v>0</v>
      </c>
      <c r="S193" s="4">
        <v>0</v>
      </c>
      <c r="T193" s="4">
        <v>31</v>
      </c>
      <c r="U193" s="4">
        <v>59</v>
      </c>
      <c r="V193" s="4">
        <f>IF(ISERROR(VLOOKUP($S$193,'TAR FIN'!$A$1:$O$92,15,0)),0,VLOOKUP($S$193,'TAR FIN'!$A$1:$O$92,15,0))</f>
        <v>0</v>
      </c>
      <c r="W193" s="4">
        <f>IF(ISERROR(VLOOKUP($T$193,'TAR FIN'!$A$1:$O$92,15,0)),0,VLOOKUP($T$193,'TAR FIN'!$A$1:$O$92,15,0))</f>
        <v>87.73</v>
      </c>
      <c r="X193" s="4">
        <f>IF(ISERROR(VLOOKUP($U$193,'TAR FIN'!$A$1:$O$92,15,0)),0,VLOOKUP($U$193,'TAR FIN'!$A$1:$O$92,15,0))</f>
        <v>253.9</v>
      </c>
      <c r="Y193" s="4"/>
      <c r="Z193" s="4">
        <f ca="1">('TUSD BE'!$AM$12+'TUSD BF'!$AM$12+'TUSD CVA'!$AM$12)*1</f>
        <v>109.44196476324252</v>
      </c>
      <c r="AA193" s="4">
        <f>('TE BE'!$AB$6+'TE BF'!$AB$6+'TE CVA'!$AB$6)*1</f>
        <v>317.3874512882154</v>
      </c>
      <c r="AB193" s="4">
        <f>$K$193*$V$193</f>
        <v>0</v>
      </c>
      <c r="AC193" s="4">
        <f>$M$193*$W$193</f>
        <v>-6160.7515200000007</v>
      </c>
      <c r="AD193" s="4">
        <f>$O$193*$X$193</f>
        <v>-17829.873600000003</v>
      </c>
      <c r="AE193" s="4">
        <f>$K$193*$Y$193</f>
        <v>0</v>
      </c>
      <c r="AF193" s="4">
        <f ca="1">$M$193*$Z$193</f>
        <v>-7685.4525335339431</v>
      </c>
      <c r="AG193" s="4">
        <f>$O$193*$AA$193</f>
        <v>-22288.216379263638</v>
      </c>
    </row>
    <row r="194" spans="1:33" ht="11.25" customHeight="1" x14ac:dyDescent="0.25">
      <c r="A194" s="3" t="s">
        <v>28</v>
      </c>
      <c r="B194" s="3" t="s">
        <v>39</v>
      </c>
      <c r="C194" s="3" t="s">
        <v>41</v>
      </c>
      <c r="D194" s="3" t="s">
        <v>42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44682</v>
      </c>
      <c r="J194" s="4">
        <v>0</v>
      </c>
      <c r="K194" s="4">
        <v>0</v>
      </c>
      <c r="L194" s="4">
        <v>994.24400000000003</v>
      </c>
      <c r="M194" s="4">
        <v>994.24400000000003</v>
      </c>
      <c r="N194" s="4">
        <v>994.24400000000003</v>
      </c>
      <c r="O194" s="4">
        <v>994.24400000000003</v>
      </c>
      <c r="P194" s="4">
        <v>0</v>
      </c>
      <c r="Q194" s="3" t="s">
        <v>26</v>
      </c>
      <c r="R194" s="3">
        <v>0</v>
      </c>
      <c r="S194" s="4">
        <v>0</v>
      </c>
      <c r="T194" s="4">
        <v>31</v>
      </c>
      <c r="U194" s="4">
        <v>59</v>
      </c>
      <c r="V194" s="4">
        <f>IF(ISERROR(VLOOKUP($S$194,'TAR FIN'!$A$1:$O$92,15,0)),0,VLOOKUP($S$194,'TAR FIN'!$A$1:$O$92,15,0))</f>
        <v>0</v>
      </c>
      <c r="W194" s="4">
        <f>IF(ISERROR(VLOOKUP($T$194,'TAR FIN'!$A$1:$O$92,15,0)),0,VLOOKUP($T$194,'TAR FIN'!$A$1:$O$92,15,0))</f>
        <v>87.73</v>
      </c>
      <c r="X194" s="4">
        <f>IF(ISERROR(VLOOKUP($U$194,'TAR FIN'!$A$1:$O$92,15,0)),0,VLOOKUP($U$194,'TAR FIN'!$A$1:$O$92,15,0))</f>
        <v>253.9</v>
      </c>
      <c r="Y194" s="4"/>
      <c r="Z194" s="4">
        <f ca="1">('TUSD BE'!$AM$12+'TUSD BF'!$AM$12+'TUSD CVA'!$AM$12)*1</f>
        <v>109.44196476324252</v>
      </c>
      <c r="AA194" s="4">
        <f>('TE BE'!$AB$6+'TE BF'!$AB$6+'TE CVA'!$AB$6)*1</f>
        <v>317.3874512882154</v>
      </c>
      <c r="AB194" s="4">
        <f>$K$194*$V$194</f>
        <v>0</v>
      </c>
      <c r="AC194" s="4">
        <f>$M$194*$W$194</f>
        <v>87225.02612000001</v>
      </c>
      <c r="AD194" s="4">
        <f>$O$194*$X$194</f>
        <v>252438.55160000001</v>
      </c>
      <c r="AE194" s="4">
        <f>$K$194*$Y$194</f>
        <v>0</v>
      </c>
      <c r="AF194" s="4">
        <f ca="1">$M$194*$Z$194</f>
        <v>108812.0168140653</v>
      </c>
      <c r="AG194" s="4">
        <f>$O$194*$AA$194</f>
        <v>315560.56911860046</v>
      </c>
    </row>
    <row r="195" spans="1:33" ht="11.25" customHeight="1" x14ac:dyDescent="0.25">
      <c r="A195" s="3" t="s">
        <v>21</v>
      </c>
      <c r="B195" s="3" t="s">
        <v>39</v>
      </c>
      <c r="C195" s="3" t="s">
        <v>41</v>
      </c>
      <c r="D195" s="3" t="s">
        <v>42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44713</v>
      </c>
      <c r="J195" s="4">
        <v>0</v>
      </c>
      <c r="K195" s="4">
        <v>0</v>
      </c>
      <c r="L195" s="4">
        <v>5800.8450000000003</v>
      </c>
      <c r="M195" s="4">
        <v>5800.8450000000003</v>
      </c>
      <c r="N195" s="4">
        <v>5800.8450000000003</v>
      </c>
      <c r="O195" s="4">
        <v>5800.8450000000003</v>
      </c>
      <c r="P195" s="4">
        <v>0</v>
      </c>
      <c r="Q195" s="3" t="s">
        <v>26</v>
      </c>
      <c r="R195" s="3">
        <v>0</v>
      </c>
      <c r="S195" s="4">
        <v>0</v>
      </c>
      <c r="T195" s="4">
        <v>31</v>
      </c>
      <c r="U195" s="4">
        <v>59</v>
      </c>
      <c r="V195" s="4">
        <f>IF(ISERROR(VLOOKUP($S$195,'TAR FIN'!$A$1:$O$92,15,0)),0,VLOOKUP($S$195,'TAR FIN'!$A$1:$O$92,15,0))</f>
        <v>0</v>
      </c>
      <c r="W195" s="4">
        <f>IF(ISERROR(VLOOKUP($T$195,'TAR FIN'!$A$1:$O$92,15,0)),0,VLOOKUP($T$195,'TAR FIN'!$A$1:$O$92,15,0))</f>
        <v>87.73</v>
      </c>
      <c r="X195" s="4">
        <f>IF(ISERROR(VLOOKUP($U$195,'TAR FIN'!$A$1:$O$92,15,0)),0,VLOOKUP($U$195,'TAR FIN'!$A$1:$O$92,15,0))</f>
        <v>253.9</v>
      </c>
      <c r="Y195" s="4"/>
      <c r="Z195" s="4">
        <f ca="1">('TUSD BE'!$AM$12+'TUSD BF'!$AM$12+'TUSD CVA'!$AM$12)*1</f>
        <v>109.44196476324252</v>
      </c>
      <c r="AA195" s="4">
        <f>('TE BE'!$AB$6+'TE BF'!$AB$6+'TE CVA'!$AB$6)*1</f>
        <v>317.3874512882154</v>
      </c>
      <c r="AB195" s="4">
        <f>$K$195*$V$195</f>
        <v>0</v>
      </c>
      <c r="AC195" s="4">
        <f>$M$195*$W$195</f>
        <v>508908.13185000006</v>
      </c>
      <c r="AD195" s="4">
        <f>$O$195*$X$195</f>
        <v>1472834.5455</v>
      </c>
      <c r="AE195" s="4">
        <f>$K$195*$Y$195</f>
        <v>0</v>
      </c>
      <c r="AF195" s="4">
        <f ca="1">$M$195*$Z$195</f>
        <v>634855.87408703158</v>
      </c>
      <c r="AG195" s="4">
        <f>$O$195*$AA$195</f>
        <v>1841115.409867988</v>
      </c>
    </row>
    <row r="196" spans="1:33" ht="11.25" customHeight="1" x14ac:dyDescent="0.25">
      <c r="A196" s="3" t="s">
        <v>27</v>
      </c>
      <c r="B196" s="3" t="s">
        <v>39</v>
      </c>
      <c r="C196" s="3" t="s">
        <v>41</v>
      </c>
      <c r="D196" s="3" t="s">
        <v>42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44713</v>
      </c>
      <c r="J196" s="4">
        <v>0</v>
      </c>
      <c r="K196" s="4">
        <v>0</v>
      </c>
      <c r="L196" s="4">
        <v>-75.244</v>
      </c>
      <c r="M196" s="4">
        <v>-75.244</v>
      </c>
      <c r="N196" s="4">
        <v>-75.244</v>
      </c>
      <c r="O196" s="4">
        <v>-75.244</v>
      </c>
      <c r="P196" s="4">
        <v>0</v>
      </c>
      <c r="Q196" s="3" t="s">
        <v>26</v>
      </c>
      <c r="R196" s="3">
        <v>0</v>
      </c>
      <c r="S196" s="4">
        <v>0</v>
      </c>
      <c r="T196" s="4">
        <v>31</v>
      </c>
      <c r="U196" s="4">
        <v>59</v>
      </c>
      <c r="V196" s="4">
        <f>IF(ISERROR(VLOOKUP($S$196,'TAR FIN'!$A$1:$O$92,15,0)),0,VLOOKUP($S$196,'TAR FIN'!$A$1:$O$92,15,0))</f>
        <v>0</v>
      </c>
      <c r="W196" s="4">
        <f>IF(ISERROR(VLOOKUP($T$196,'TAR FIN'!$A$1:$O$92,15,0)),0,VLOOKUP($T$196,'TAR FIN'!$A$1:$O$92,15,0))</f>
        <v>87.73</v>
      </c>
      <c r="X196" s="4">
        <f>IF(ISERROR(VLOOKUP($U$196,'TAR FIN'!$A$1:$O$92,15,0)),0,VLOOKUP($U$196,'TAR FIN'!$A$1:$O$92,15,0))</f>
        <v>253.9</v>
      </c>
      <c r="Y196" s="4"/>
      <c r="Z196" s="4">
        <f ca="1">('TUSD BE'!$AM$12+'TUSD BF'!$AM$12+'TUSD CVA'!$AM$12)*1</f>
        <v>109.44196476324252</v>
      </c>
      <c r="AA196" s="4">
        <f>('TE BE'!$AB$6+'TE BF'!$AB$6+'TE CVA'!$AB$6)*1</f>
        <v>317.3874512882154</v>
      </c>
      <c r="AB196" s="4">
        <f>$K$196*$V$196</f>
        <v>0</v>
      </c>
      <c r="AC196" s="4">
        <f>$M$196*$W$196</f>
        <v>-6601.1561200000006</v>
      </c>
      <c r="AD196" s="4">
        <f>$O$196*$X$196</f>
        <v>-19104.4516</v>
      </c>
      <c r="AE196" s="4">
        <f>$K$196*$Y$196</f>
        <v>0</v>
      </c>
      <c r="AF196" s="4">
        <f ca="1">$M$196*$Z$196</f>
        <v>-8234.8511966454207</v>
      </c>
      <c r="AG196" s="4">
        <f>$O$196*$AA$196</f>
        <v>-23881.50138473048</v>
      </c>
    </row>
    <row r="197" spans="1:33" ht="11.25" customHeight="1" x14ac:dyDescent="0.25">
      <c r="A197" s="3" t="s">
        <v>28</v>
      </c>
      <c r="B197" s="3" t="s">
        <v>39</v>
      </c>
      <c r="C197" s="3" t="s">
        <v>41</v>
      </c>
      <c r="D197" s="3" t="s">
        <v>42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44713</v>
      </c>
      <c r="J197" s="4">
        <v>0</v>
      </c>
      <c r="K197" s="4">
        <v>0</v>
      </c>
      <c r="L197" s="4">
        <v>252.102</v>
      </c>
      <c r="M197" s="4">
        <v>252.102</v>
      </c>
      <c r="N197" s="4">
        <v>252.102</v>
      </c>
      <c r="O197" s="4">
        <v>252.102</v>
      </c>
      <c r="P197" s="4">
        <v>0</v>
      </c>
      <c r="Q197" s="3" t="s">
        <v>26</v>
      </c>
      <c r="R197" s="3">
        <v>0</v>
      </c>
      <c r="S197" s="4">
        <v>0</v>
      </c>
      <c r="T197" s="4">
        <v>31</v>
      </c>
      <c r="U197" s="4">
        <v>59</v>
      </c>
      <c r="V197" s="4">
        <f>IF(ISERROR(VLOOKUP($S$197,'TAR FIN'!$A$1:$O$92,15,0)),0,VLOOKUP($S$197,'TAR FIN'!$A$1:$O$92,15,0))</f>
        <v>0</v>
      </c>
      <c r="W197" s="4">
        <f>IF(ISERROR(VLOOKUP($T$197,'TAR FIN'!$A$1:$O$92,15,0)),0,VLOOKUP($T$197,'TAR FIN'!$A$1:$O$92,15,0))</f>
        <v>87.73</v>
      </c>
      <c r="X197" s="4">
        <f>IF(ISERROR(VLOOKUP($U$197,'TAR FIN'!$A$1:$O$92,15,0)),0,VLOOKUP($U$197,'TAR FIN'!$A$1:$O$92,15,0))</f>
        <v>253.9</v>
      </c>
      <c r="Y197" s="4"/>
      <c r="Z197" s="4">
        <f ca="1">('TUSD BE'!$AM$12+'TUSD BF'!$AM$12+'TUSD CVA'!$AM$12)*1</f>
        <v>109.44196476324252</v>
      </c>
      <c r="AA197" s="4">
        <f>('TE BE'!$AB$6+'TE BF'!$AB$6+'TE CVA'!$AB$6)*1</f>
        <v>317.3874512882154</v>
      </c>
      <c r="AB197" s="4">
        <f>$K$197*$V$197</f>
        <v>0</v>
      </c>
      <c r="AC197" s="4">
        <f>$M$197*$W$197</f>
        <v>22116.908460000002</v>
      </c>
      <c r="AD197" s="4">
        <f>$O$197*$X$197</f>
        <v>64008.697800000002</v>
      </c>
      <c r="AE197" s="4">
        <f>$K$197*$Y$197</f>
        <v>0</v>
      </c>
      <c r="AF197" s="4">
        <f ca="1">$M$197*$Z$197</f>
        <v>27590.538200742969</v>
      </c>
      <c r="AG197" s="4">
        <f>$O$197*$AA$197</f>
        <v>80014.011244661684</v>
      </c>
    </row>
    <row r="198" spans="1:33" ht="11.25" customHeight="1" x14ac:dyDescent="0.25">
      <c r="A198" s="3" t="s">
        <v>21</v>
      </c>
      <c r="B198" s="3" t="s">
        <v>39</v>
      </c>
      <c r="C198" s="3" t="s">
        <v>41</v>
      </c>
      <c r="D198" s="3" t="s">
        <v>42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44743</v>
      </c>
      <c r="J198" s="4">
        <v>0</v>
      </c>
      <c r="K198" s="4">
        <v>0</v>
      </c>
      <c r="L198" s="4">
        <v>6057.7290000000003</v>
      </c>
      <c r="M198" s="4">
        <v>6057.7290000000003</v>
      </c>
      <c r="N198" s="4">
        <v>6057.7290000000003</v>
      </c>
      <c r="O198" s="4">
        <v>6057.7290000000003</v>
      </c>
      <c r="P198" s="4">
        <v>0</v>
      </c>
      <c r="Q198" s="3" t="s">
        <v>26</v>
      </c>
      <c r="R198" s="3">
        <v>0</v>
      </c>
      <c r="S198" s="4">
        <v>0</v>
      </c>
      <c r="T198" s="4">
        <v>31</v>
      </c>
      <c r="U198" s="4">
        <v>59</v>
      </c>
      <c r="V198" s="4">
        <f>IF(ISERROR(VLOOKUP($S$198,'TAR FIN'!$A$1:$O$92,15,0)),0,VLOOKUP($S$198,'TAR FIN'!$A$1:$O$92,15,0))</f>
        <v>0</v>
      </c>
      <c r="W198" s="4">
        <f>IF(ISERROR(VLOOKUP($T$198,'TAR FIN'!$A$1:$O$92,15,0)),0,VLOOKUP($T$198,'TAR FIN'!$A$1:$O$92,15,0))</f>
        <v>87.73</v>
      </c>
      <c r="X198" s="4">
        <f>IF(ISERROR(VLOOKUP($U$198,'TAR FIN'!$A$1:$O$92,15,0)),0,VLOOKUP($U$198,'TAR FIN'!$A$1:$O$92,15,0))</f>
        <v>253.9</v>
      </c>
      <c r="Y198" s="4"/>
      <c r="Z198" s="4">
        <f ca="1">('TUSD BE'!$AM$12+'TUSD BF'!$AM$12+'TUSD CVA'!$AM$12)*1</f>
        <v>109.44196476324252</v>
      </c>
      <c r="AA198" s="4">
        <f>('TE BE'!$AB$6+'TE BF'!$AB$6+'TE CVA'!$AB$6)*1</f>
        <v>317.3874512882154</v>
      </c>
      <c r="AB198" s="4">
        <f>$K$198*$V$198</f>
        <v>0</v>
      </c>
      <c r="AC198" s="4">
        <f>$M$198*$W$198</f>
        <v>531444.56517000007</v>
      </c>
      <c r="AD198" s="4">
        <f>$O$198*$X$198</f>
        <v>1538057.3931</v>
      </c>
      <c r="AE198" s="4">
        <f>$K$198*$Y$198</f>
        <v>0</v>
      </c>
      <c r="AF198" s="4">
        <f ca="1">$M$198*$Z$198</f>
        <v>662969.76376327244</v>
      </c>
      <c r="AG198" s="4">
        <f>$O$198*$AA$198</f>
        <v>1922647.1679047099</v>
      </c>
    </row>
    <row r="199" spans="1:33" ht="11.25" customHeight="1" x14ac:dyDescent="0.25">
      <c r="A199" s="3" t="s">
        <v>27</v>
      </c>
      <c r="B199" s="3" t="s">
        <v>39</v>
      </c>
      <c r="C199" s="3" t="s">
        <v>41</v>
      </c>
      <c r="D199" s="3" t="s">
        <v>42</v>
      </c>
      <c r="E199" s="3" t="s">
        <v>25</v>
      </c>
      <c r="F199" s="3" t="s">
        <v>25</v>
      </c>
      <c r="G199" s="3" t="s">
        <v>25</v>
      </c>
      <c r="H199" s="3" t="s">
        <v>35</v>
      </c>
      <c r="I199" s="6">
        <v>44743</v>
      </c>
      <c r="J199" s="4">
        <v>0</v>
      </c>
      <c r="K199" s="4">
        <v>0</v>
      </c>
      <c r="L199" s="4">
        <v>-5.9569999999999999</v>
      </c>
      <c r="M199" s="4">
        <v>-5.9569999999999999</v>
      </c>
      <c r="N199" s="4">
        <v>-5.9569999999999999</v>
      </c>
      <c r="O199" s="4">
        <v>-5.9569999999999999</v>
      </c>
      <c r="P199" s="4">
        <v>0</v>
      </c>
      <c r="Q199" s="3" t="s">
        <v>26</v>
      </c>
      <c r="R199" s="3">
        <v>0</v>
      </c>
      <c r="S199" s="4">
        <v>0</v>
      </c>
      <c r="T199" s="4">
        <v>31</v>
      </c>
      <c r="U199" s="4">
        <v>59</v>
      </c>
      <c r="V199" s="4">
        <f>IF(ISERROR(VLOOKUP($S$199,'TAR FIN'!$A$1:$O$92,15,0)),0,VLOOKUP($S$199,'TAR FIN'!$A$1:$O$92,15,0))</f>
        <v>0</v>
      </c>
      <c r="W199" s="4">
        <f>IF(ISERROR(VLOOKUP($T$199,'TAR FIN'!$A$1:$O$92,15,0)),0,VLOOKUP($T$199,'TAR FIN'!$A$1:$O$92,15,0))</f>
        <v>87.73</v>
      </c>
      <c r="X199" s="4">
        <f>IF(ISERROR(VLOOKUP($U$199,'TAR FIN'!$A$1:$O$92,15,0)),0,VLOOKUP($U$199,'TAR FIN'!$A$1:$O$92,15,0))</f>
        <v>253.9</v>
      </c>
      <c r="Y199" s="4"/>
      <c r="Z199" s="4">
        <f ca="1">('TUSD BE'!$AM$12+'TUSD BF'!$AM$12+'TUSD CVA'!$AM$12)*1</f>
        <v>109.44196476324252</v>
      </c>
      <c r="AA199" s="4">
        <f>('TE BE'!$AB$6+'TE BF'!$AB$6+'TE CVA'!$AB$6)*1</f>
        <v>317.3874512882154</v>
      </c>
      <c r="AB199" s="4">
        <f>$K$199*$V$199</f>
        <v>0</v>
      </c>
      <c r="AC199" s="4">
        <f>$M$199*$W$199</f>
        <v>-522.60761000000002</v>
      </c>
      <c r="AD199" s="4">
        <f>$O$199*$X$199</f>
        <v>-1512.4822999999999</v>
      </c>
      <c r="AE199" s="4">
        <f>$K$199*$Y$199</f>
        <v>0</v>
      </c>
      <c r="AF199" s="4">
        <f ca="1">$M$199*$Z$199</f>
        <v>-651.94578409463566</v>
      </c>
      <c r="AG199" s="4">
        <f>$O$199*$AA$199</f>
        <v>-1890.6770473238992</v>
      </c>
    </row>
    <row r="200" spans="1:33" ht="11.25" customHeight="1" x14ac:dyDescent="0.25">
      <c r="A200" s="3" t="s">
        <v>28</v>
      </c>
      <c r="B200" s="3" t="s">
        <v>39</v>
      </c>
      <c r="C200" s="3" t="s">
        <v>41</v>
      </c>
      <c r="D200" s="3" t="s">
        <v>42</v>
      </c>
      <c r="E200" s="3" t="s">
        <v>25</v>
      </c>
      <c r="F200" s="3" t="s">
        <v>25</v>
      </c>
      <c r="G200" s="3" t="s">
        <v>25</v>
      </c>
      <c r="H200" s="3" t="s">
        <v>35</v>
      </c>
      <c r="I200" s="6">
        <v>44743</v>
      </c>
      <c r="J200" s="4">
        <v>0</v>
      </c>
      <c r="K200" s="4">
        <v>0</v>
      </c>
      <c r="L200" s="4">
        <v>278.245</v>
      </c>
      <c r="M200" s="4">
        <v>278.245</v>
      </c>
      <c r="N200" s="4">
        <v>278.245</v>
      </c>
      <c r="O200" s="4">
        <v>278.245</v>
      </c>
      <c r="P200" s="4">
        <v>0</v>
      </c>
      <c r="Q200" s="3" t="s">
        <v>26</v>
      </c>
      <c r="R200" s="3">
        <v>0</v>
      </c>
      <c r="S200" s="4">
        <v>0</v>
      </c>
      <c r="T200" s="4">
        <v>31</v>
      </c>
      <c r="U200" s="4">
        <v>59</v>
      </c>
      <c r="V200" s="4">
        <f>IF(ISERROR(VLOOKUP($S$200,'TAR FIN'!$A$1:$O$92,15,0)),0,VLOOKUP($S$200,'TAR FIN'!$A$1:$O$92,15,0))</f>
        <v>0</v>
      </c>
      <c r="W200" s="4">
        <f>IF(ISERROR(VLOOKUP($T$200,'TAR FIN'!$A$1:$O$92,15,0)),0,VLOOKUP($T$200,'TAR FIN'!$A$1:$O$92,15,0))</f>
        <v>87.73</v>
      </c>
      <c r="X200" s="4">
        <f>IF(ISERROR(VLOOKUP($U$200,'TAR FIN'!$A$1:$O$92,15,0)),0,VLOOKUP($U$200,'TAR FIN'!$A$1:$O$92,15,0))</f>
        <v>253.9</v>
      </c>
      <c r="Y200" s="4"/>
      <c r="Z200" s="4">
        <f ca="1">('TUSD BE'!$AM$12+'TUSD BF'!$AM$12+'TUSD CVA'!$AM$12)*1</f>
        <v>109.44196476324252</v>
      </c>
      <c r="AA200" s="4">
        <f>('TE BE'!$AB$6+'TE BF'!$AB$6+'TE CVA'!$AB$6)*1</f>
        <v>317.3874512882154</v>
      </c>
      <c r="AB200" s="4">
        <f>$K$200*$V$200</f>
        <v>0</v>
      </c>
      <c r="AC200" s="4">
        <f>$M$200*$W$200</f>
        <v>24410.433850000001</v>
      </c>
      <c r="AD200" s="4">
        <f>$O$200*$X$200</f>
        <v>70646.405500000008</v>
      </c>
      <c r="AE200" s="4">
        <f>$K$200*$Y$200</f>
        <v>0</v>
      </c>
      <c r="AF200" s="4">
        <f ca="1">$M$200*$Z$200</f>
        <v>30451.679485548415</v>
      </c>
      <c r="AG200" s="4">
        <f>$O$200*$AA$200</f>
        <v>88311.471383689495</v>
      </c>
    </row>
    <row r="201" spans="1:33" ht="11.25" customHeight="1" x14ac:dyDescent="0.25">
      <c r="A201" s="3" t="s">
        <v>21</v>
      </c>
      <c r="B201" s="3" t="s">
        <v>39</v>
      </c>
      <c r="C201" s="3" t="s">
        <v>41</v>
      </c>
      <c r="D201" s="3" t="s">
        <v>42</v>
      </c>
      <c r="E201" s="3" t="s">
        <v>25</v>
      </c>
      <c r="F201" s="3" t="s">
        <v>25</v>
      </c>
      <c r="G201" s="3" t="s">
        <v>25</v>
      </c>
      <c r="H201" s="3" t="s">
        <v>35</v>
      </c>
      <c r="I201" s="6">
        <v>44774</v>
      </c>
      <c r="J201" s="4">
        <v>0</v>
      </c>
      <c r="K201" s="4">
        <v>0</v>
      </c>
      <c r="L201" s="4">
        <v>6658.6329999999998</v>
      </c>
      <c r="M201" s="4">
        <v>6658.6329999999998</v>
      </c>
      <c r="N201" s="4">
        <v>6658.6329999999998</v>
      </c>
      <c r="O201" s="4">
        <v>6658.6329999999998</v>
      </c>
      <c r="P201" s="4">
        <v>0</v>
      </c>
      <c r="Q201" s="3" t="s">
        <v>26</v>
      </c>
      <c r="R201" s="3">
        <v>0</v>
      </c>
      <c r="S201" s="4">
        <v>0</v>
      </c>
      <c r="T201" s="4">
        <v>31</v>
      </c>
      <c r="U201" s="4">
        <v>59</v>
      </c>
      <c r="V201" s="4">
        <f>IF(ISERROR(VLOOKUP($S$201,'TAR FIN'!$A$1:$O$92,15,0)),0,VLOOKUP($S$201,'TAR FIN'!$A$1:$O$92,15,0))</f>
        <v>0</v>
      </c>
      <c r="W201" s="4">
        <f>IF(ISERROR(VLOOKUP($T$201,'TAR FIN'!$A$1:$O$92,15,0)),0,VLOOKUP($T$201,'TAR FIN'!$A$1:$O$92,15,0))</f>
        <v>87.73</v>
      </c>
      <c r="X201" s="4">
        <f>IF(ISERROR(VLOOKUP($U$201,'TAR FIN'!$A$1:$O$92,15,0)),0,VLOOKUP($U$201,'TAR FIN'!$A$1:$O$92,15,0))</f>
        <v>253.9</v>
      </c>
      <c r="Y201" s="4"/>
      <c r="Z201" s="4">
        <f ca="1">('TUSD BE'!$AM$12+'TUSD BF'!$AM$12+'TUSD CVA'!$AM$12)*1</f>
        <v>109.44196476324252</v>
      </c>
      <c r="AA201" s="4">
        <f>('TE BE'!$AB$6+'TE BF'!$AB$6+'TE CVA'!$AB$6)*1</f>
        <v>317.3874512882154</v>
      </c>
      <c r="AB201" s="4">
        <f>$K$201*$V$201</f>
        <v>0</v>
      </c>
      <c r="AC201" s="4">
        <f>$M$201*$W$201</f>
        <v>584161.87309000001</v>
      </c>
      <c r="AD201" s="4">
        <f>$O$201*$X$201</f>
        <v>1690626.9187</v>
      </c>
      <c r="AE201" s="4">
        <f>$K$201*$Y$201</f>
        <v>0</v>
      </c>
      <c r="AF201" s="4">
        <f ca="1">$M$201*$Z$201</f>
        <v>728733.87815736386</v>
      </c>
      <c r="AG201" s="4">
        <f>$O$201*$AA$201</f>
        <v>2113366.5569336037</v>
      </c>
    </row>
    <row r="202" spans="1:33" ht="11.25" customHeight="1" x14ac:dyDescent="0.25">
      <c r="A202" s="3" t="s">
        <v>28</v>
      </c>
      <c r="B202" s="3" t="s">
        <v>39</v>
      </c>
      <c r="C202" s="3" t="s">
        <v>41</v>
      </c>
      <c r="D202" s="3" t="s">
        <v>42</v>
      </c>
      <c r="E202" s="3" t="s">
        <v>25</v>
      </c>
      <c r="F202" s="3" t="s">
        <v>25</v>
      </c>
      <c r="G202" s="3" t="s">
        <v>25</v>
      </c>
      <c r="H202" s="3" t="s">
        <v>35</v>
      </c>
      <c r="I202" s="6">
        <v>44774</v>
      </c>
      <c r="J202" s="4">
        <v>0</v>
      </c>
      <c r="K202" s="4">
        <v>0</v>
      </c>
      <c r="L202" s="4">
        <v>297.27300000000002</v>
      </c>
      <c r="M202" s="4">
        <v>297.27300000000002</v>
      </c>
      <c r="N202" s="4">
        <v>297.27300000000002</v>
      </c>
      <c r="O202" s="4">
        <v>297.27300000000002</v>
      </c>
      <c r="P202" s="4">
        <v>0</v>
      </c>
      <c r="Q202" s="3" t="s">
        <v>26</v>
      </c>
      <c r="R202" s="3">
        <v>0</v>
      </c>
      <c r="S202" s="4">
        <v>0</v>
      </c>
      <c r="T202" s="4">
        <v>31</v>
      </c>
      <c r="U202" s="4">
        <v>59</v>
      </c>
      <c r="V202" s="4">
        <f>IF(ISERROR(VLOOKUP($S$202,'TAR FIN'!$A$1:$O$92,15,0)),0,VLOOKUP($S$202,'TAR FIN'!$A$1:$O$92,15,0))</f>
        <v>0</v>
      </c>
      <c r="W202" s="4">
        <f>IF(ISERROR(VLOOKUP($T$202,'TAR FIN'!$A$1:$O$92,15,0)),0,VLOOKUP($T$202,'TAR FIN'!$A$1:$O$92,15,0))</f>
        <v>87.73</v>
      </c>
      <c r="X202" s="4">
        <f>IF(ISERROR(VLOOKUP($U$202,'TAR FIN'!$A$1:$O$92,15,0)),0,VLOOKUP($U$202,'TAR FIN'!$A$1:$O$92,15,0))</f>
        <v>253.9</v>
      </c>
      <c r="Y202" s="4"/>
      <c r="Z202" s="4">
        <f ca="1">('TUSD BE'!$AM$12+'TUSD BF'!$AM$12+'TUSD CVA'!$AM$12)*1</f>
        <v>109.44196476324252</v>
      </c>
      <c r="AA202" s="4">
        <f>('TE BE'!$AB$6+'TE BF'!$AB$6+'TE CVA'!$AB$6)*1</f>
        <v>317.3874512882154</v>
      </c>
      <c r="AB202" s="4">
        <f>$K$202*$V$202</f>
        <v>0</v>
      </c>
      <c r="AC202" s="4">
        <f>$M$202*$W$202</f>
        <v>26079.760290000002</v>
      </c>
      <c r="AD202" s="4">
        <f>$O$202*$X$202</f>
        <v>75477.614700000006</v>
      </c>
      <c r="AE202" s="4">
        <f>$K$202*$Y$202</f>
        <v>0</v>
      </c>
      <c r="AF202" s="4">
        <f ca="1">$M$202*$Z$202</f>
        <v>32534.141191063398</v>
      </c>
      <c r="AG202" s="4">
        <f>$O$202*$AA$202</f>
        <v>94350.719806801659</v>
      </c>
    </row>
    <row r="203" spans="1:33" ht="11.25" customHeight="1" x14ac:dyDescent="0.25">
      <c r="A203" s="3" t="s">
        <v>21</v>
      </c>
      <c r="B203" s="3" t="s">
        <v>39</v>
      </c>
      <c r="C203" s="3" t="s">
        <v>41</v>
      </c>
      <c r="D203" s="3" t="s">
        <v>42</v>
      </c>
      <c r="E203" s="3" t="s">
        <v>25</v>
      </c>
      <c r="F203" s="3" t="s">
        <v>25</v>
      </c>
      <c r="G203" s="3" t="s">
        <v>25</v>
      </c>
      <c r="H203" s="3" t="s">
        <v>35</v>
      </c>
      <c r="I203" s="6">
        <v>44805</v>
      </c>
      <c r="J203" s="4">
        <v>0</v>
      </c>
      <c r="K203" s="4">
        <v>0</v>
      </c>
      <c r="L203" s="4">
        <v>7128.01</v>
      </c>
      <c r="M203" s="4">
        <v>7128.01</v>
      </c>
      <c r="N203" s="4">
        <v>7128.01</v>
      </c>
      <c r="O203" s="4">
        <v>7128.01</v>
      </c>
      <c r="P203" s="4">
        <v>0</v>
      </c>
      <c r="Q203" s="3" t="s">
        <v>26</v>
      </c>
      <c r="R203" s="3">
        <v>0</v>
      </c>
      <c r="S203" s="4">
        <v>0</v>
      </c>
      <c r="T203" s="4">
        <v>31</v>
      </c>
      <c r="U203" s="4">
        <v>59</v>
      </c>
      <c r="V203" s="4">
        <f>IF(ISERROR(VLOOKUP($S$203,'TAR FIN'!$A$1:$O$92,15,0)),0,VLOOKUP($S$203,'TAR FIN'!$A$1:$O$92,15,0))</f>
        <v>0</v>
      </c>
      <c r="W203" s="4">
        <f>IF(ISERROR(VLOOKUP($T$203,'TAR FIN'!$A$1:$O$92,15,0)),0,VLOOKUP($T$203,'TAR FIN'!$A$1:$O$92,15,0))</f>
        <v>87.73</v>
      </c>
      <c r="X203" s="4">
        <f>IF(ISERROR(VLOOKUP($U$203,'TAR FIN'!$A$1:$O$92,15,0)),0,VLOOKUP($U$203,'TAR FIN'!$A$1:$O$92,15,0))</f>
        <v>253.9</v>
      </c>
      <c r="Y203" s="4"/>
      <c r="Z203" s="4">
        <f ca="1">('TUSD BE'!$AM$12+'TUSD BF'!$AM$12+'TUSD CVA'!$AM$12)*1</f>
        <v>109.44196476324252</v>
      </c>
      <c r="AA203" s="4">
        <f>('TE BE'!$AB$6+'TE BF'!$AB$6+'TE CVA'!$AB$6)*1</f>
        <v>317.3874512882154</v>
      </c>
      <c r="AB203" s="4">
        <f>$K$203*$V$203</f>
        <v>0</v>
      </c>
      <c r="AC203" s="4">
        <f>$M$203*$W$203</f>
        <v>625340.3173</v>
      </c>
      <c r="AD203" s="4">
        <f>$O$203*$X$203</f>
        <v>1809801.7390000001</v>
      </c>
      <c r="AE203" s="4">
        <f>$K$203*$Y$203</f>
        <v>0</v>
      </c>
      <c r="AF203" s="4">
        <f ca="1">$M$203*$Z$203</f>
        <v>780103.41925204033</v>
      </c>
      <c r="AG203" s="4">
        <f>$O$203*$AA$203</f>
        <v>2262340.9266569125</v>
      </c>
    </row>
    <row r="204" spans="1:33" ht="11.25" customHeight="1" x14ac:dyDescent="0.25">
      <c r="A204" s="3" t="s">
        <v>27</v>
      </c>
      <c r="B204" s="3" t="s">
        <v>39</v>
      </c>
      <c r="C204" s="3" t="s">
        <v>41</v>
      </c>
      <c r="D204" s="3" t="s">
        <v>42</v>
      </c>
      <c r="E204" s="3" t="s">
        <v>25</v>
      </c>
      <c r="F204" s="3" t="s">
        <v>25</v>
      </c>
      <c r="G204" s="3" t="s">
        <v>25</v>
      </c>
      <c r="H204" s="3" t="s">
        <v>35</v>
      </c>
      <c r="I204" s="6">
        <v>44805</v>
      </c>
      <c r="J204" s="4">
        <v>0</v>
      </c>
      <c r="K204" s="4">
        <v>0</v>
      </c>
      <c r="L204" s="4">
        <v>-8.9740000000000002</v>
      </c>
      <c r="M204" s="4">
        <v>-8.9740000000000002</v>
      </c>
      <c r="N204" s="4">
        <v>-8.9740000000000002</v>
      </c>
      <c r="O204" s="4">
        <v>-8.9740000000000002</v>
      </c>
      <c r="P204" s="4">
        <v>0</v>
      </c>
      <c r="Q204" s="3" t="s">
        <v>26</v>
      </c>
      <c r="R204" s="3">
        <v>0</v>
      </c>
      <c r="S204" s="4">
        <v>0</v>
      </c>
      <c r="T204" s="4">
        <v>31</v>
      </c>
      <c r="U204" s="4">
        <v>59</v>
      </c>
      <c r="V204" s="4">
        <f>IF(ISERROR(VLOOKUP($S$204,'TAR FIN'!$A$1:$O$92,15,0)),0,VLOOKUP($S$204,'TAR FIN'!$A$1:$O$92,15,0))</f>
        <v>0</v>
      </c>
      <c r="W204" s="4">
        <f>IF(ISERROR(VLOOKUP($T$204,'TAR FIN'!$A$1:$O$92,15,0)),0,VLOOKUP($T$204,'TAR FIN'!$A$1:$O$92,15,0))</f>
        <v>87.73</v>
      </c>
      <c r="X204" s="4">
        <f>IF(ISERROR(VLOOKUP($U$204,'TAR FIN'!$A$1:$O$92,15,0)),0,VLOOKUP($U$204,'TAR FIN'!$A$1:$O$92,15,0))</f>
        <v>253.9</v>
      </c>
      <c r="Y204" s="4"/>
      <c r="Z204" s="4">
        <f ca="1">('TUSD BE'!$AM$12+'TUSD BF'!$AM$12+'TUSD CVA'!$AM$12)*1</f>
        <v>109.44196476324252</v>
      </c>
      <c r="AA204" s="4">
        <f>('TE BE'!$AB$6+'TE BF'!$AB$6+'TE CVA'!$AB$6)*1</f>
        <v>317.3874512882154</v>
      </c>
      <c r="AB204" s="4">
        <f>$K$204*$V$204</f>
        <v>0</v>
      </c>
      <c r="AC204" s="4">
        <f>$M$204*$W$204</f>
        <v>-787.28902000000005</v>
      </c>
      <c r="AD204" s="4">
        <f>$O$204*$X$204</f>
        <v>-2278.4985999999999</v>
      </c>
      <c r="AE204" s="4">
        <f>$K$204*$Y$204</f>
        <v>0</v>
      </c>
      <c r="AF204" s="4">
        <f ca="1">$M$204*$Z$204</f>
        <v>-982.13219178533848</v>
      </c>
      <c r="AG204" s="4">
        <f>$O$204*$AA$204</f>
        <v>-2848.234987860445</v>
      </c>
    </row>
    <row r="205" spans="1:33" ht="11.25" customHeight="1" x14ac:dyDescent="0.25">
      <c r="A205" s="3" t="s">
        <v>28</v>
      </c>
      <c r="B205" s="3" t="s">
        <v>39</v>
      </c>
      <c r="C205" s="3" t="s">
        <v>41</v>
      </c>
      <c r="D205" s="3" t="s">
        <v>42</v>
      </c>
      <c r="E205" s="3" t="s">
        <v>25</v>
      </c>
      <c r="F205" s="3" t="s">
        <v>25</v>
      </c>
      <c r="G205" s="3" t="s">
        <v>25</v>
      </c>
      <c r="H205" s="3" t="s">
        <v>35</v>
      </c>
      <c r="I205" s="6">
        <v>44805</v>
      </c>
      <c r="J205" s="4">
        <v>0</v>
      </c>
      <c r="K205" s="4">
        <v>0</v>
      </c>
      <c r="L205" s="4">
        <v>293.23500000000001</v>
      </c>
      <c r="M205" s="4">
        <v>293.23500000000001</v>
      </c>
      <c r="N205" s="4">
        <v>293.23500000000001</v>
      </c>
      <c r="O205" s="4">
        <v>293.23500000000001</v>
      </c>
      <c r="P205" s="4">
        <v>0</v>
      </c>
      <c r="Q205" s="3" t="s">
        <v>26</v>
      </c>
      <c r="R205" s="3">
        <v>0</v>
      </c>
      <c r="S205" s="4">
        <v>0</v>
      </c>
      <c r="T205" s="4">
        <v>31</v>
      </c>
      <c r="U205" s="4">
        <v>59</v>
      </c>
      <c r="V205" s="4">
        <f>IF(ISERROR(VLOOKUP($S$205,'TAR FIN'!$A$1:$O$92,15,0)),0,VLOOKUP($S$205,'TAR FIN'!$A$1:$O$92,15,0))</f>
        <v>0</v>
      </c>
      <c r="W205" s="4">
        <f>IF(ISERROR(VLOOKUP($T$205,'TAR FIN'!$A$1:$O$92,15,0)),0,VLOOKUP($T$205,'TAR FIN'!$A$1:$O$92,15,0))</f>
        <v>87.73</v>
      </c>
      <c r="X205" s="4">
        <f>IF(ISERROR(VLOOKUP($U$205,'TAR FIN'!$A$1:$O$92,15,0)),0,VLOOKUP($U$205,'TAR FIN'!$A$1:$O$92,15,0))</f>
        <v>253.9</v>
      </c>
      <c r="Y205" s="4"/>
      <c r="Z205" s="4">
        <f ca="1">('TUSD BE'!$AM$12+'TUSD BF'!$AM$12+'TUSD CVA'!$AM$12)*1</f>
        <v>109.44196476324252</v>
      </c>
      <c r="AA205" s="4">
        <f>('TE BE'!$AB$6+'TE BF'!$AB$6+'TE CVA'!$AB$6)*1</f>
        <v>317.3874512882154</v>
      </c>
      <c r="AB205" s="4">
        <f>$K$205*$V$205</f>
        <v>0</v>
      </c>
      <c r="AC205" s="4">
        <f>$M$205*$W$205</f>
        <v>25725.506550000002</v>
      </c>
      <c r="AD205" s="4">
        <f>$O$205*$X$205</f>
        <v>74452.366500000004</v>
      </c>
      <c r="AE205" s="4">
        <f>$K$205*$Y$205</f>
        <v>0</v>
      </c>
      <c r="AF205" s="4">
        <f ca="1">$M$205*$Z$205</f>
        <v>32092.214537349424</v>
      </c>
      <c r="AG205" s="4">
        <f>$O$205*$AA$205</f>
        <v>93069.109278499847</v>
      </c>
    </row>
    <row r="206" spans="1:33" ht="11.25" customHeight="1" x14ac:dyDescent="0.25">
      <c r="A206" s="3" t="s">
        <v>55</v>
      </c>
      <c r="B206" s="3" t="s">
        <v>39</v>
      </c>
      <c r="C206" s="3" t="s">
        <v>41</v>
      </c>
      <c r="D206" s="3" t="s">
        <v>42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44835</v>
      </c>
      <c r="J206" s="4">
        <v>0</v>
      </c>
      <c r="K206" s="4">
        <v>0</v>
      </c>
      <c r="L206" s="4">
        <v>7128.01</v>
      </c>
      <c r="M206" s="4">
        <v>7128.01</v>
      </c>
      <c r="N206" s="4">
        <v>7128.01</v>
      </c>
      <c r="O206" s="4">
        <v>7128.01</v>
      </c>
      <c r="P206" s="4">
        <v>0</v>
      </c>
      <c r="Q206" s="3" t="s">
        <v>26</v>
      </c>
      <c r="R206" s="3">
        <v>0</v>
      </c>
      <c r="S206" s="4">
        <v>0</v>
      </c>
      <c r="T206" s="4">
        <v>31</v>
      </c>
      <c r="U206" s="4">
        <v>59</v>
      </c>
      <c r="V206" s="4">
        <f>IF(ISERROR(VLOOKUP($S$206,'TAR FIN'!$A$1:$O$92,15,0)),0,VLOOKUP($S$206,'TAR FIN'!$A$1:$O$92,15,0))</f>
        <v>0</v>
      </c>
      <c r="W206" s="4">
        <f>IF(ISERROR(VLOOKUP($T$206,'TAR FIN'!$A$1:$O$92,15,0)),0,VLOOKUP($T$206,'TAR FIN'!$A$1:$O$92,15,0))</f>
        <v>87.73</v>
      </c>
      <c r="X206" s="4">
        <f>IF(ISERROR(VLOOKUP($U$206,'TAR FIN'!$A$1:$O$92,15,0)),0,VLOOKUP($U$206,'TAR FIN'!$A$1:$O$92,15,0))</f>
        <v>253.9</v>
      </c>
      <c r="Y206" s="4"/>
      <c r="Z206" s="4">
        <f ca="1">('TUSD BE'!$AM$12+'TUSD BF'!$AM$12+'TUSD CVA'!$AM$12)*1</f>
        <v>109.44196476324252</v>
      </c>
      <c r="AA206" s="4">
        <f>('TE BE'!$AB$6+'TE BF'!$AB$6+'TE CVA'!$AB$6)*1</f>
        <v>317.3874512882154</v>
      </c>
      <c r="AB206" s="4">
        <f>$K$206*$V$206</f>
        <v>0</v>
      </c>
      <c r="AC206" s="4">
        <f>$M$206*$W$206</f>
        <v>625340.3173</v>
      </c>
      <c r="AD206" s="4">
        <f>$O$206*$X$206</f>
        <v>1809801.7390000001</v>
      </c>
      <c r="AE206" s="4">
        <f>$K$206*$Y$206</f>
        <v>0</v>
      </c>
      <c r="AF206" s="4">
        <f ca="1">$M$206*$Z$206</f>
        <v>780103.41925204033</v>
      </c>
      <c r="AG206" s="4">
        <f>$O$206*$AA$206</f>
        <v>2262340.9266569125</v>
      </c>
    </row>
    <row r="207" spans="1:33" ht="11.25" customHeight="1" x14ac:dyDescent="0.25">
      <c r="A207" s="3" t="s">
        <v>55</v>
      </c>
      <c r="B207" s="3" t="s">
        <v>39</v>
      </c>
      <c r="C207" s="3" t="s">
        <v>41</v>
      </c>
      <c r="D207" s="3" t="s">
        <v>42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44835</v>
      </c>
      <c r="J207" s="4">
        <v>0</v>
      </c>
      <c r="K207" s="4">
        <v>0</v>
      </c>
      <c r="L207" s="4">
        <v>-8.9740000000000002</v>
      </c>
      <c r="M207" s="4">
        <v>-8.9740000000000002</v>
      </c>
      <c r="N207" s="4">
        <v>-8.9740000000000002</v>
      </c>
      <c r="O207" s="4">
        <v>-8.9740000000000002</v>
      </c>
      <c r="P207" s="4">
        <v>0</v>
      </c>
      <c r="Q207" s="3" t="s">
        <v>26</v>
      </c>
      <c r="R207" s="3">
        <v>0</v>
      </c>
      <c r="S207" s="4">
        <v>0</v>
      </c>
      <c r="T207" s="4">
        <v>31</v>
      </c>
      <c r="U207" s="4">
        <v>59</v>
      </c>
      <c r="V207" s="4">
        <f>IF(ISERROR(VLOOKUP($S$207,'TAR FIN'!$A$1:$O$92,15,0)),0,VLOOKUP($S$207,'TAR FIN'!$A$1:$O$92,15,0))</f>
        <v>0</v>
      </c>
      <c r="W207" s="4">
        <f>IF(ISERROR(VLOOKUP($T$207,'TAR FIN'!$A$1:$O$92,15,0)),0,VLOOKUP($T$207,'TAR FIN'!$A$1:$O$92,15,0))</f>
        <v>87.73</v>
      </c>
      <c r="X207" s="4">
        <f>IF(ISERROR(VLOOKUP($U$207,'TAR FIN'!$A$1:$O$92,15,0)),0,VLOOKUP($U$207,'TAR FIN'!$A$1:$O$92,15,0))</f>
        <v>253.9</v>
      </c>
      <c r="Y207" s="4"/>
      <c r="Z207" s="4">
        <f ca="1">('TUSD BE'!$AM$12+'TUSD BF'!$AM$12+'TUSD CVA'!$AM$12)*1</f>
        <v>109.44196476324252</v>
      </c>
      <c r="AA207" s="4">
        <f>('TE BE'!$AB$6+'TE BF'!$AB$6+'TE CVA'!$AB$6)*1</f>
        <v>317.3874512882154</v>
      </c>
      <c r="AB207" s="4">
        <f>$K$207*$V$207</f>
        <v>0</v>
      </c>
      <c r="AC207" s="4">
        <f>$M$207*$W$207</f>
        <v>-787.28902000000005</v>
      </c>
      <c r="AD207" s="4">
        <f>$O$207*$X$207</f>
        <v>-2278.4985999999999</v>
      </c>
      <c r="AE207" s="4">
        <f>$K$207*$Y$207</f>
        <v>0</v>
      </c>
      <c r="AF207" s="4">
        <f ca="1">$M$207*$Z$207</f>
        <v>-982.13219178533848</v>
      </c>
      <c r="AG207" s="4">
        <f>$O$207*$AA$207</f>
        <v>-2848.234987860445</v>
      </c>
    </row>
    <row r="208" spans="1:33" ht="11.25" customHeight="1" x14ac:dyDescent="0.25">
      <c r="A208" s="3" t="s">
        <v>55</v>
      </c>
      <c r="B208" s="3" t="s">
        <v>39</v>
      </c>
      <c r="C208" s="3" t="s">
        <v>41</v>
      </c>
      <c r="D208" s="3" t="s">
        <v>42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44835</v>
      </c>
      <c r="J208" s="4">
        <v>0</v>
      </c>
      <c r="K208" s="4">
        <v>0</v>
      </c>
      <c r="L208" s="4">
        <v>293.23500000000001</v>
      </c>
      <c r="M208" s="4">
        <v>293.23500000000001</v>
      </c>
      <c r="N208" s="4">
        <v>293.23500000000001</v>
      </c>
      <c r="O208" s="4">
        <v>293.23500000000001</v>
      </c>
      <c r="P208" s="4">
        <v>0</v>
      </c>
      <c r="Q208" s="3" t="s">
        <v>26</v>
      </c>
      <c r="R208" s="3">
        <v>0</v>
      </c>
      <c r="S208" s="4">
        <v>0</v>
      </c>
      <c r="T208" s="4">
        <v>31</v>
      </c>
      <c r="U208" s="4">
        <v>59</v>
      </c>
      <c r="V208" s="4">
        <f>IF(ISERROR(VLOOKUP($S$208,'TAR FIN'!$A$1:$O$92,15,0)),0,VLOOKUP($S$208,'TAR FIN'!$A$1:$O$92,15,0))</f>
        <v>0</v>
      </c>
      <c r="W208" s="4">
        <f>IF(ISERROR(VLOOKUP($T$208,'TAR FIN'!$A$1:$O$92,15,0)),0,VLOOKUP($T$208,'TAR FIN'!$A$1:$O$92,15,0))</f>
        <v>87.73</v>
      </c>
      <c r="X208" s="4">
        <f>IF(ISERROR(VLOOKUP($U$208,'TAR FIN'!$A$1:$O$92,15,0)),0,VLOOKUP($U$208,'TAR FIN'!$A$1:$O$92,15,0))</f>
        <v>253.9</v>
      </c>
      <c r="Y208" s="4"/>
      <c r="Z208" s="4">
        <f ca="1">('TUSD BE'!$AM$12+'TUSD BF'!$AM$12+'TUSD CVA'!$AM$12)*1</f>
        <v>109.44196476324252</v>
      </c>
      <c r="AA208" s="4">
        <f>('TE BE'!$AB$6+'TE BF'!$AB$6+'TE CVA'!$AB$6)*1</f>
        <v>317.3874512882154</v>
      </c>
      <c r="AB208" s="4">
        <f>$K$208*$V$208</f>
        <v>0</v>
      </c>
      <c r="AC208" s="4">
        <f>$M$208*$W$208</f>
        <v>25725.506550000002</v>
      </c>
      <c r="AD208" s="4">
        <f>$O$208*$X$208</f>
        <v>74452.366500000004</v>
      </c>
      <c r="AE208" s="4">
        <f>$K$208*$Y$208</f>
        <v>0</v>
      </c>
      <c r="AF208" s="4">
        <f ca="1">$M$208*$Z$208</f>
        <v>32092.214537349424</v>
      </c>
      <c r="AG208" s="4">
        <f>$O$208*$AA$208</f>
        <v>93069.109278499847</v>
      </c>
    </row>
    <row r="209" spans="1:33" ht="11.25" customHeight="1" x14ac:dyDescent="0.25">
      <c r="A209" s="3" t="s">
        <v>21</v>
      </c>
      <c r="B209" s="3" t="s">
        <v>39</v>
      </c>
      <c r="C209" s="3" t="s">
        <v>41</v>
      </c>
      <c r="D209" s="3" t="s">
        <v>42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44501</v>
      </c>
      <c r="J209" s="4">
        <v>34108</v>
      </c>
      <c r="K209" s="4">
        <v>34108</v>
      </c>
      <c r="L209" s="4">
        <v>0</v>
      </c>
      <c r="M209" s="4">
        <v>0</v>
      </c>
      <c r="N209" s="4">
        <v>0</v>
      </c>
      <c r="O209" s="4">
        <v>0</v>
      </c>
      <c r="P209" s="4">
        <v>237</v>
      </c>
      <c r="Q209" s="3" t="s">
        <v>26</v>
      </c>
      <c r="R209" s="3">
        <v>0</v>
      </c>
      <c r="S209" s="4">
        <v>18</v>
      </c>
      <c r="T209" s="4">
        <v>0</v>
      </c>
      <c r="U209" s="4">
        <v>0</v>
      </c>
      <c r="V209" s="4">
        <f>IF(ISERROR(VLOOKUP($S$209,'TAR FIN'!$A$1:$O$92,15,0)),0,VLOOKUP($S$209,'TAR FIN'!$A$1:$O$92,15,0))</f>
        <v>14.64</v>
      </c>
      <c r="W209" s="4">
        <f>IF(ISERROR(VLOOKUP($T$209,'TAR FIN'!$A$1:$O$92,15,0)),0,VLOOKUP($T$209,'TAR FIN'!$A$1:$O$92,15,0))</f>
        <v>0</v>
      </c>
      <c r="X209" s="4">
        <f>IF(ISERROR(VLOOKUP($U$209,'TAR FIN'!$A$1:$O$92,15,0)),0,VLOOKUP($U$209,'TAR FIN'!$A$1:$O$92,15,0))</f>
        <v>0</v>
      </c>
      <c r="Y209" s="4">
        <f ca="1">('TUSD BE'!$AM$10+'TUSD BF'!$AM$10+'TUSD CVA'!$AM$10)*1</f>
        <v>19.024476785546895</v>
      </c>
      <c r="Z209" s="4"/>
      <c r="AA209" s="4"/>
      <c r="AB209" s="4">
        <f>$K$209*$V$209</f>
        <v>499341.12</v>
      </c>
      <c r="AC209" s="4">
        <f>$M$209*$W$209</f>
        <v>0</v>
      </c>
      <c r="AD209" s="4">
        <f>$O$209*$X$209</f>
        <v>0</v>
      </c>
      <c r="AE209" s="4">
        <f ca="1">$K$209*$Y$209</f>
        <v>648886.85420143348</v>
      </c>
      <c r="AF209" s="4">
        <f>$M$209*$Z$209</f>
        <v>0</v>
      </c>
      <c r="AG209" s="4">
        <f>$O$209*$AA$209</f>
        <v>0</v>
      </c>
    </row>
    <row r="210" spans="1:33" ht="11.25" customHeight="1" x14ac:dyDescent="0.25">
      <c r="A210" s="3" t="s">
        <v>27</v>
      </c>
      <c r="B210" s="3" t="s">
        <v>39</v>
      </c>
      <c r="C210" s="3" t="s">
        <v>41</v>
      </c>
      <c r="D210" s="3" t="s">
        <v>42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44501</v>
      </c>
      <c r="J210" s="4">
        <v>-220</v>
      </c>
      <c r="K210" s="4">
        <v>-220</v>
      </c>
      <c r="L210" s="4">
        <v>0</v>
      </c>
      <c r="M210" s="4">
        <v>0</v>
      </c>
      <c r="N210" s="4">
        <v>0</v>
      </c>
      <c r="O210" s="4">
        <v>0</v>
      </c>
      <c r="P210" s="4">
        <v>-3</v>
      </c>
      <c r="Q210" s="3" t="s">
        <v>26</v>
      </c>
      <c r="R210" s="3">
        <v>0</v>
      </c>
      <c r="S210" s="4">
        <v>18</v>
      </c>
      <c r="T210" s="4">
        <v>0</v>
      </c>
      <c r="U210" s="4">
        <v>0</v>
      </c>
      <c r="V210" s="4">
        <f>IF(ISERROR(VLOOKUP($S$210,'TAR FIN'!$A$1:$O$92,15,0)),0,VLOOKUP($S$210,'TAR FIN'!$A$1:$O$92,15,0))</f>
        <v>14.64</v>
      </c>
      <c r="W210" s="4">
        <f>IF(ISERROR(VLOOKUP($T$210,'TAR FIN'!$A$1:$O$92,15,0)),0,VLOOKUP($T$210,'TAR FIN'!$A$1:$O$92,15,0))</f>
        <v>0</v>
      </c>
      <c r="X210" s="4">
        <f>IF(ISERROR(VLOOKUP($U$210,'TAR FIN'!$A$1:$O$92,15,0)),0,VLOOKUP($U$210,'TAR FIN'!$A$1:$O$92,15,0))</f>
        <v>0</v>
      </c>
      <c r="Y210" s="4">
        <f ca="1">('TUSD BE'!$AM$10+'TUSD BF'!$AM$10+'TUSD CVA'!$AM$10)*1</f>
        <v>19.024476785546895</v>
      </c>
      <c r="Z210" s="4"/>
      <c r="AA210" s="4"/>
      <c r="AB210" s="4">
        <f>$K$210*$V$210</f>
        <v>-3220.8</v>
      </c>
      <c r="AC210" s="4">
        <f>$M$210*$W$210</f>
        <v>0</v>
      </c>
      <c r="AD210" s="4">
        <f>$O$210*$X$210</f>
        <v>0</v>
      </c>
      <c r="AE210" s="4">
        <f ca="1">$K$210*$Y$210</f>
        <v>-4185.384892820317</v>
      </c>
      <c r="AF210" s="4">
        <f>$M$210*$Z$210</f>
        <v>0</v>
      </c>
      <c r="AG210" s="4">
        <f>$O$210*$AA$210</f>
        <v>0</v>
      </c>
    </row>
    <row r="211" spans="1:33" ht="11.25" customHeight="1" x14ac:dyDescent="0.25">
      <c r="A211" s="3" t="s">
        <v>28</v>
      </c>
      <c r="B211" s="3" t="s">
        <v>39</v>
      </c>
      <c r="C211" s="3" t="s">
        <v>41</v>
      </c>
      <c r="D211" s="3" t="s">
        <v>42</v>
      </c>
      <c r="E211" s="3" t="s">
        <v>25</v>
      </c>
      <c r="F211" s="3" t="s">
        <v>25</v>
      </c>
      <c r="G211" s="3" t="s">
        <v>25</v>
      </c>
      <c r="H211" s="3" t="s">
        <v>25</v>
      </c>
      <c r="I211" s="6">
        <v>44501</v>
      </c>
      <c r="J211" s="4">
        <v>1165</v>
      </c>
      <c r="K211" s="4">
        <v>1165</v>
      </c>
      <c r="L211" s="4">
        <v>0</v>
      </c>
      <c r="M211" s="4">
        <v>0</v>
      </c>
      <c r="N211" s="4">
        <v>0</v>
      </c>
      <c r="O211" s="4">
        <v>0</v>
      </c>
      <c r="P211" s="4">
        <v>11</v>
      </c>
      <c r="Q211" s="3" t="s">
        <v>26</v>
      </c>
      <c r="R211" s="3">
        <v>0</v>
      </c>
      <c r="S211" s="4">
        <v>18</v>
      </c>
      <c r="T211" s="4">
        <v>0</v>
      </c>
      <c r="U211" s="4">
        <v>0</v>
      </c>
      <c r="V211" s="4">
        <f>IF(ISERROR(VLOOKUP($S$211,'TAR FIN'!$A$1:$O$92,15,0)),0,VLOOKUP($S$211,'TAR FIN'!$A$1:$O$92,15,0))</f>
        <v>14.64</v>
      </c>
      <c r="W211" s="4">
        <f>IF(ISERROR(VLOOKUP($T$211,'TAR FIN'!$A$1:$O$92,15,0)),0,VLOOKUP($T$211,'TAR FIN'!$A$1:$O$92,15,0))</f>
        <v>0</v>
      </c>
      <c r="X211" s="4">
        <f>IF(ISERROR(VLOOKUP($U$211,'TAR FIN'!$A$1:$O$92,15,0)),0,VLOOKUP($U$211,'TAR FIN'!$A$1:$O$92,15,0))</f>
        <v>0</v>
      </c>
      <c r="Y211" s="4">
        <f ca="1">('TUSD BE'!$AM$10+'TUSD BF'!$AM$10+'TUSD CVA'!$AM$10)*1</f>
        <v>19.024476785546895</v>
      </c>
      <c r="Z211" s="4"/>
      <c r="AA211" s="4"/>
      <c r="AB211" s="4">
        <f>$K$211*$V$211</f>
        <v>17055.600000000002</v>
      </c>
      <c r="AC211" s="4">
        <f>$M$211*$W$211</f>
        <v>0</v>
      </c>
      <c r="AD211" s="4">
        <f>$O$211*$X$211</f>
        <v>0</v>
      </c>
      <c r="AE211" s="4">
        <f ca="1">$K$211*$Y$211</f>
        <v>22163.515455162134</v>
      </c>
      <c r="AF211" s="4">
        <f>$M$211*$Z$211</f>
        <v>0</v>
      </c>
      <c r="AG211" s="4">
        <f>$O$211*$AA$211</f>
        <v>0</v>
      </c>
    </row>
    <row r="212" spans="1:33" ht="11.25" customHeight="1" x14ac:dyDescent="0.25">
      <c r="A212" s="3" t="s">
        <v>21</v>
      </c>
      <c r="B212" s="3" t="s">
        <v>39</v>
      </c>
      <c r="C212" s="3" t="s">
        <v>41</v>
      </c>
      <c r="D212" s="3" t="s">
        <v>42</v>
      </c>
      <c r="E212" s="3" t="s">
        <v>25</v>
      </c>
      <c r="F212" s="3" t="s">
        <v>25</v>
      </c>
      <c r="G212" s="3" t="s">
        <v>25</v>
      </c>
      <c r="H212" s="3" t="s">
        <v>25</v>
      </c>
      <c r="I212" s="6">
        <v>44531</v>
      </c>
      <c r="J212" s="4">
        <v>33916</v>
      </c>
      <c r="K212" s="4">
        <v>33916</v>
      </c>
      <c r="L212" s="4">
        <v>0</v>
      </c>
      <c r="M212" s="4">
        <v>0</v>
      </c>
      <c r="N212" s="4">
        <v>0</v>
      </c>
      <c r="O212" s="4">
        <v>0</v>
      </c>
      <c r="P212" s="4">
        <v>238</v>
      </c>
      <c r="Q212" s="3" t="s">
        <v>26</v>
      </c>
      <c r="R212" s="3">
        <v>0</v>
      </c>
      <c r="S212" s="4">
        <v>18</v>
      </c>
      <c r="T212" s="4">
        <v>0</v>
      </c>
      <c r="U212" s="4">
        <v>0</v>
      </c>
      <c r="V212" s="4">
        <f>IF(ISERROR(VLOOKUP($S$212,'TAR FIN'!$A$1:$O$92,15,0)),0,VLOOKUP($S$212,'TAR FIN'!$A$1:$O$92,15,0))</f>
        <v>14.64</v>
      </c>
      <c r="W212" s="4">
        <f>IF(ISERROR(VLOOKUP($T$212,'TAR FIN'!$A$1:$O$92,15,0)),0,VLOOKUP($T$212,'TAR FIN'!$A$1:$O$92,15,0))</f>
        <v>0</v>
      </c>
      <c r="X212" s="4">
        <f>IF(ISERROR(VLOOKUP($U$212,'TAR FIN'!$A$1:$O$92,15,0)),0,VLOOKUP($U$212,'TAR FIN'!$A$1:$O$92,15,0))</f>
        <v>0</v>
      </c>
      <c r="Y212" s="4">
        <f ca="1">('TUSD BE'!$AM$10+'TUSD BF'!$AM$10+'TUSD CVA'!$AM$10)*1</f>
        <v>19.024476785546895</v>
      </c>
      <c r="Z212" s="4"/>
      <c r="AA212" s="4"/>
      <c r="AB212" s="4">
        <f>$K$212*$V$212</f>
        <v>496530.24</v>
      </c>
      <c r="AC212" s="4">
        <f>$M$212*$W$212</f>
        <v>0</v>
      </c>
      <c r="AD212" s="4">
        <f>$O$212*$X$212</f>
        <v>0</v>
      </c>
      <c r="AE212" s="4">
        <f ca="1">$K$212*$Y$212</f>
        <v>645234.15465860849</v>
      </c>
      <c r="AF212" s="4">
        <f>$M$212*$Z$212</f>
        <v>0</v>
      </c>
      <c r="AG212" s="4">
        <f>$O$212*$AA$212</f>
        <v>0</v>
      </c>
    </row>
    <row r="213" spans="1:33" ht="11.25" customHeight="1" x14ac:dyDescent="0.25">
      <c r="A213" s="3" t="s">
        <v>27</v>
      </c>
      <c r="B213" s="3" t="s">
        <v>39</v>
      </c>
      <c r="C213" s="3" t="s">
        <v>41</v>
      </c>
      <c r="D213" s="3" t="s">
        <v>42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44531</v>
      </c>
      <c r="J213" s="4">
        <v>52</v>
      </c>
      <c r="K213" s="4">
        <v>52</v>
      </c>
      <c r="L213" s="4">
        <v>0</v>
      </c>
      <c r="M213" s="4">
        <v>0</v>
      </c>
      <c r="N213" s="4">
        <v>0</v>
      </c>
      <c r="O213" s="4">
        <v>0</v>
      </c>
      <c r="P213" s="4">
        <v>1</v>
      </c>
      <c r="Q213" s="3" t="s">
        <v>26</v>
      </c>
      <c r="R213" s="3">
        <v>0</v>
      </c>
      <c r="S213" s="4">
        <v>18</v>
      </c>
      <c r="T213" s="4">
        <v>0</v>
      </c>
      <c r="U213" s="4">
        <v>0</v>
      </c>
      <c r="V213" s="4">
        <f>IF(ISERROR(VLOOKUP($S$213,'TAR FIN'!$A$1:$O$92,15,0)),0,VLOOKUP($S$213,'TAR FIN'!$A$1:$O$92,15,0))</f>
        <v>14.64</v>
      </c>
      <c r="W213" s="4">
        <f>IF(ISERROR(VLOOKUP($T$213,'TAR FIN'!$A$1:$O$92,15,0)),0,VLOOKUP($T$213,'TAR FIN'!$A$1:$O$92,15,0))</f>
        <v>0</v>
      </c>
      <c r="X213" s="4">
        <f>IF(ISERROR(VLOOKUP($U$213,'TAR FIN'!$A$1:$O$92,15,0)),0,VLOOKUP($U$213,'TAR FIN'!$A$1:$O$92,15,0))</f>
        <v>0</v>
      </c>
      <c r="Y213" s="4">
        <f ca="1">('TUSD BE'!$AM$10+'TUSD BF'!$AM$10+'TUSD CVA'!$AM$10)*1</f>
        <v>19.024476785546895</v>
      </c>
      <c r="Z213" s="4"/>
      <c r="AA213" s="4"/>
      <c r="AB213" s="4">
        <f>$K$213*$V$213</f>
        <v>761.28</v>
      </c>
      <c r="AC213" s="4">
        <f>$M$213*$W$213</f>
        <v>0</v>
      </c>
      <c r="AD213" s="4">
        <f>$O$213*$X$213</f>
        <v>0</v>
      </c>
      <c r="AE213" s="4">
        <f ca="1">$K$213*$Y$213</f>
        <v>989.27279284843848</v>
      </c>
      <c r="AF213" s="4">
        <f>$M$213*$Z$213</f>
        <v>0</v>
      </c>
      <c r="AG213" s="4">
        <f>$O$213*$AA$213</f>
        <v>0</v>
      </c>
    </row>
    <row r="214" spans="1:33" ht="11.25" customHeight="1" x14ac:dyDescent="0.25">
      <c r="A214" s="3" t="s">
        <v>28</v>
      </c>
      <c r="B214" s="3" t="s">
        <v>39</v>
      </c>
      <c r="C214" s="3" t="s">
        <v>41</v>
      </c>
      <c r="D214" s="3" t="s">
        <v>42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44531</v>
      </c>
      <c r="J214" s="4">
        <v>1230</v>
      </c>
      <c r="K214" s="4">
        <v>1230</v>
      </c>
      <c r="L214" s="4">
        <v>0</v>
      </c>
      <c r="M214" s="4">
        <v>0</v>
      </c>
      <c r="N214" s="4">
        <v>0</v>
      </c>
      <c r="O214" s="4">
        <v>0</v>
      </c>
      <c r="P214" s="4">
        <v>12</v>
      </c>
      <c r="Q214" s="3" t="s">
        <v>26</v>
      </c>
      <c r="R214" s="3">
        <v>0</v>
      </c>
      <c r="S214" s="4">
        <v>18</v>
      </c>
      <c r="T214" s="4">
        <v>0</v>
      </c>
      <c r="U214" s="4">
        <v>0</v>
      </c>
      <c r="V214" s="4">
        <f>IF(ISERROR(VLOOKUP($S$214,'TAR FIN'!$A$1:$O$92,15,0)),0,VLOOKUP($S$214,'TAR FIN'!$A$1:$O$92,15,0))</f>
        <v>14.64</v>
      </c>
      <c r="W214" s="4">
        <f>IF(ISERROR(VLOOKUP($T$214,'TAR FIN'!$A$1:$O$92,15,0)),0,VLOOKUP($T$214,'TAR FIN'!$A$1:$O$92,15,0))</f>
        <v>0</v>
      </c>
      <c r="X214" s="4">
        <f>IF(ISERROR(VLOOKUP($U$214,'TAR FIN'!$A$1:$O$92,15,0)),0,VLOOKUP($U$214,'TAR FIN'!$A$1:$O$92,15,0))</f>
        <v>0</v>
      </c>
      <c r="Y214" s="4">
        <f ca="1">('TUSD BE'!$AM$10+'TUSD BF'!$AM$10+'TUSD CVA'!$AM$10)*1</f>
        <v>19.024476785546895</v>
      </c>
      <c r="Z214" s="4"/>
      <c r="AA214" s="4"/>
      <c r="AB214" s="4">
        <f>$K$214*$V$214</f>
        <v>18007.2</v>
      </c>
      <c r="AC214" s="4">
        <f>$M$214*$W$214</f>
        <v>0</v>
      </c>
      <c r="AD214" s="4">
        <f>$O$214*$X$214</f>
        <v>0</v>
      </c>
      <c r="AE214" s="4">
        <f ca="1">$K$214*$Y$214</f>
        <v>23400.106446222682</v>
      </c>
      <c r="AF214" s="4">
        <f>$M$214*$Z$214</f>
        <v>0</v>
      </c>
      <c r="AG214" s="4">
        <f>$O$214*$AA$214</f>
        <v>0</v>
      </c>
    </row>
    <row r="215" spans="1:33" ht="11.25" customHeight="1" x14ac:dyDescent="0.25">
      <c r="A215" s="3" t="s">
        <v>21</v>
      </c>
      <c r="B215" s="3" t="s">
        <v>39</v>
      </c>
      <c r="C215" s="3" t="s">
        <v>41</v>
      </c>
      <c r="D215" s="3" t="s">
        <v>42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44562</v>
      </c>
      <c r="J215" s="4">
        <v>34045</v>
      </c>
      <c r="K215" s="4">
        <v>34045</v>
      </c>
      <c r="L215" s="4">
        <v>0</v>
      </c>
      <c r="M215" s="4">
        <v>0</v>
      </c>
      <c r="N215" s="4">
        <v>0</v>
      </c>
      <c r="O215" s="4">
        <v>0</v>
      </c>
      <c r="P215" s="4">
        <v>237</v>
      </c>
      <c r="Q215" s="3" t="s">
        <v>26</v>
      </c>
      <c r="R215" s="3">
        <v>0</v>
      </c>
      <c r="S215" s="4">
        <v>18</v>
      </c>
      <c r="T215" s="4">
        <v>0</v>
      </c>
      <c r="U215" s="4">
        <v>0</v>
      </c>
      <c r="V215" s="4">
        <f>IF(ISERROR(VLOOKUP($S$215,'TAR FIN'!$A$1:$O$92,15,0)),0,VLOOKUP($S$215,'TAR FIN'!$A$1:$O$92,15,0))</f>
        <v>14.64</v>
      </c>
      <c r="W215" s="4">
        <f>IF(ISERROR(VLOOKUP($T$215,'TAR FIN'!$A$1:$O$92,15,0)),0,VLOOKUP($T$215,'TAR FIN'!$A$1:$O$92,15,0))</f>
        <v>0</v>
      </c>
      <c r="X215" s="4">
        <f>IF(ISERROR(VLOOKUP($U$215,'TAR FIN'!$A$1:$O$92,15,0)),0,VLOOKUP($U$215,'TAR FIN'!$A$1:$O$92,15,0))</f>
        <v>0</v>
      </c>
      <c r="Y215" s="4">
        <f ca="1">('TUSD BE'!$AM$10+'TUSD BF'!$AM$10+'TUSD CVA'!$AM$10)*1</f>
        <v>19.024476785546895</v>
      </c>
      <c r="Z215" s="4"/>
      <c r="AA215" s="4"/>
      <c r="AB215" s="4">
        <f>$K$215*$V$215</f>
        <v>498418.80000000005</v>
      </c>
      <c r="AC215" s="4">
        <f>$M$215*$W$215</f>
        <v>0</v>
      </c>
      <c r="AD215" s="4">
        <f>$O$215*$X$215</f>
        <v>0</v>
      </c>
      <c r="AE215" s="4">
        <f ca="1">$K$215*$Y$215</f>
        <v>647688.31216394401</v>
      </c>
      <c r="AF215" s="4">
        <f>$M$215*$Z$215</f>
        <v>0</v>
      </c>
      <c r="AG215" s="4">
        <f>$O$215*$AA$215</f>
        <v>0</v>
      </c>
    </row>
    <row r="216" spans="1:33" ht="11.25" customHeight="1" x14ac:dyDescent="0.25">
      <c r="A216" s="3" t="s">
        <v>28</v>
      </c>
      <c r="B216" s="3" t="s">
        <v>39</v>
      </c>
      <c r="C216" s="3" t="s">
        <v>41</v>
      </c>
      <c r="D216" s="3" t="s">
        <v>42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44562</v>
      </c>
      <c r="J216" s="4">
        <v>1236</v>
      </c>
      <c r="K216" s="4">
        <v>1236</v>
      </c>
      <c r="L216" s="4">
        <v>0</v>
      </c>
      <c r="M216" s="4">
        <v>0</v>
      </c>
      <c r="N216" s="4">
        <v>0</v>
      </c>
      <c r="O216" s="4">
        <v>0</v>
      </c>
      <c r="P216" s="4">
        <v>12</v>
      </c>
      <c r="Q216" s="3" t="s">
        <v>26</v>
      </c>
      <c r="R216" s="3">
        <v>0</v>
      </c>
      <c r="S216" s="4">
        <v>18</v>
      </c>
      <c r="T216" s="4">
        <v>0</v>
      </c>
      <c r="U216" s="4">
        <v>0</v>
      </c>
      <c r="V216" s="4">
        <f>IF(ISERROR(VLOOKUP($S$216,'TAR FIN'!$A$1:$O$92,15,0)),0,VLOOKUP($S$216,'TAR FIN'!$A$1:$O$92,15,0))</f>
        <v>14.64</v>
      </c>
      <c r="W216" s="4">
        <f>IF(ISERROR(VLOOKUP($T$216,'TAR FIN'!$A$1:$O$92,15,0)),0,VLOOKUP($T$216,'TAR FIN'!$A$1:$O$92,15,0))</f>
        <v>0</v>
      </c>
      <c r="X216" s="4">
        <f>IF(ISERROR(VLOOKUP($U$216,'TAR FIN'!$A$1:$O$92,15,0)),0,VLOOKUP($U$216,'TAR FIN'!$A$1:$O$92,15,0))</f>
        <v>0</v>
      </c>
      <c r="Y216" s="4">
        <f ca="1">('TUSD BE'!$AM$10+'TUSD BF'!$AM$10+'TUSD CVA'!$AM$10)*1</f>
        <v>19.024476785546895</v>
      </c>
      <c r="Z216" s="4"/>
      <c r="AA216" s="4"/>
      <c r="AB216" s="4">
        <f>$K$216*$V$216</f>
        <v>18095.04</v>
      </c>
      <c r="AC216" s="4">
        <f>$M$216*$W$216</f>
        <v>0</v>
      </c>
      <c r="AD216" s="4">
        <f>$O$216*$X$216</f>
        <v>0</v>
      </c>
      <c r="AE216" s="4">
        <f ca="1">$K$216*$Y$216</f>
        <v>23514.253306935963</v>
      </c>
      <c r="AF216" s="4">
        <f>$M$216*$Z$216</f>
        <v>0</v>
      </c>
      <c r="AG216" s="4">
        <f>$O$216*$AA$216</f>
        <v>0</v>
      </c>
    </row>
    <row r="217" spans="1:33" ht="11.25" customHeight="1" x14ac:dyDescent="0.25">
      <c r="A217" s="3" t="s">
        <v>21</v>
      </c>
      <c r="B217" s="3" t="s">
        <v>39</v>
      </c>
      <c r="C217" s="3" t="s">
        <v>41</v>
      </c>
      <c r="D217" s="3" t="s">
        <v>42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44593</v>
      </c>
      <c r="J217" s="4">
        <v>34079</v>
      </c>
      <c r="K217" s="4">
        <v>34079</v>
      </c>
      <c r="L217" s="4">
        <v>0</v>
      </c>
      <c r="M217" s="4">
        <v>0</v>
      </c>
      <c r="N217" s="4">
        <v>0</v>
      </c>
      <c r="O217" s="4">
        <v>0</v>
      </c>
      <c r="P217" s="4">
        <v>237</v>
      </c>
      <c r="Q217" s="3" t="s">
        <v>26</v>
      </c>
      <c r="R217" s="3">
        <v>0</v>
      </c>
      <c r="S217" s="4">
        <v>18</v>
      </c>
      <c r="T217" s="4">
        <v>0</v>
      </c>
      <c r="U217" s="4">
        <v>0</v>
      </c>
      <c r="V217" s="4">
        <f>IF(ISERROR(VLOOKUP($S$217,'TAR FIN'!$A$1:$O$92,15,0)),0,VLOOKUP($S$217,'TAR FIN'!$A$1:$O$92,15,0))</f>
        <v>14.64</v>
      </c>
      <c r="W217" s="4">
        <f>IF(ISERROR(VLOOKUP($T$217,'TAR FIN'!$A$1:$O$92,15,0)),0,VLOOKUP($T$217,'TAR FIN'!$A$1:$O$92,15,0))</f>
        <v>0</v>
      </c>
      <c r="X217" s="4">
        <f>IF(ISERROR(VLOOKUP($U$217,'TAR FIN'!$A$1:$O$92,15,0)),0,VLOOKUP($U$217,'TAR FIN'!$A$1:$O$92,15,0))</f>
        <v>0</v>
      </c>
      <c r="Y217" s="4">
        <f ca="1">('TUSD BE'!$AM$10+'TUSD BF'!$AM$10+'TUSD CVA'!$AM$10)*1</f>
        <v>19.024476785546895</v>
      </c>
      <c r="Z217" s="4"/>
      <c r="AA217" s="4"/>
      <c r="AB217" s="4">
        <f>$K$217*$V$217</f>
        <v>498916.56</v>
      </c>
      <c r="AC217" s="4">
        <f>$M$217*$W$217</f>
        <v>0</v>
      </c>
      <c r="AD217" s="4">
        <f>$O$217*$X$217</f>
        <v>0</v>
      </c>
      <c r="AE217" s="4">
        <f ca="1">$K$217*$Y$217</f>
        <v>648335.14437465265</v>
      </c>
      <c r="AF217" s="4">
        <f>$M$217*$Z$217</f>
        <v>0</v>
      </c>
      <c r="AG217" s="4">
        <f>$O$217*$AA$217</f>
        <v>0</v>
      </c>
    </row>
    <row r="218" spans="1:33" ht="11.25" customHeight="1" x14ac:dyDescent="0.25">
      <c r="A218" s="3" t="s">
        <v>28</v>
      </c>
      <c r="B218" s="3" t="s">
        <v>39</v>
      </c>
      <c r="C218" s="3" t="s">
        <v>41</v>
      </c>
      <c r="D218" s="3" t="s">
        <v>42</v>
      </c>
      <c r="E218" s="3" t="s">
        <v>25</v>
      </c>
      <c r="F218" s="3" t="s">
        <v>25</v>
      </c>
      <c r="G218" s="3" t="s">
        <v>25</v>
      </c>
      <c r="H218" s="3" t="s">
        <v>25</v>
      </c>
      <c r="I218" s="6">
        <v>44593</v>
      </c>
      <c r="J218" s="4">
        <v>1230</v>
      </c>
      <c r="K218" s="4">
        <v>1230</v>
      </c>
      <c r="L218" s="4">
        <v>0</v>
      </c>
      <c r="M218" s="4">
        <v>0</v>
      </c>
      <c r="N218" s="4">
        <v>0</v>
      </c>
      <c r="O218" s="4">
        <v>0</v>
      </c>
      <c r="P218" s="4">
        <v>13</v>
      </c>
      <c r="Q218" s="3" t="s">
        <v>26</v>
      </c>
      <c r="R218" s="3">
        <v>0</v>
      </c>
      <c r="S218" s="4">
        <v>18</v>
      </c>
      <c r="T218" s="4">
        <v>0</v>
      </c>
      <c r="U218" s="4">
        <v>0</v>
      </c>
      <c r="V218" s="4">
        <f>IF(ISERROR(VLOOKUP($S$218,'TAR FIN'!$A$1:$O$92,15,0)),0,VLOOKUP($S$218,'TAR FIN'!$A$1:$O$92,15,0))</f>
        <v>14.64</v>
      </c>
      <c r="W218" s="4">
        <f>IF(ISERROR(VLOOKUP($T$218,'TAR FIN'!$A$1:$O$92,15,0)),0,VLOOKUP($T$218,'TAR FIN'!$A$1:$O$92,15,0))</f>
        <v>0</v>
      </c>
      <c r="X218" s="4">
        <f>IF(ISERROR(VLOOKUP($U$218,'TAR FIN'!$A$1:$O$92,15,0)),0,VLOOKUP($U$218,'TAR FIN'!$A$1:$O$92,15,0))</f>
        <v>0</v>
      </c>
      <c r="Y218" s="4">
        <f ca="1">('TUSD BE'!$AM$10+'TUSD BF'!$AM$10+'TUSD CVA'!$AM$10)*1</f>
        <v>19.024476785546895</v>
      </c>
      <c r="Z218" s="4"/>
      <c r="AA218" s="4"/>
      <c r="AB218" s="4">
        <f>$K$218*$V$218</f>
        <v>18007.2</v>
      </c>
      <c r="AC218" s="4">
        <f>$M$218*$W$218</f>
        <v>0</v>
      </c>
      <c r="AD218" s="4">
        <f>$O$218*$X$218</f>
        <v>0</v>
      </c>
      <c r="AE218" s="4">
        <f ca="1">$K$218*$Y$218</f>
        <v>23400.106446222682</v>
      </c>
      <c r="AF218" s="4">
        <f>$M$218*$Z$218</f>
        <v>0</v>
      </c>
      <c r="AG218" s="4">
        <f>$O$218*$AA$218</f>
        <v>0</v>
      </c>
    </row>
    <row r="219" spans="1:33" ht="11.25" customHeight="1" x14ac:dyDescent="0.25">
      <c r="A219" s="3" t="s">
        <v>21</v>
      </c>
      <c r="B219" s="3" t="s">
        <v>39</v>
      </c>
      <c r="C219" s="3" t="s">
        <v>41</v>
      </c>
      <c r="D219" s="3" t="s">
        <v>42</v>
      </c>
      <c r="E219" s="3" t="s">
        <v>25</v>
      </c>
      <c r="F219" s="3" t="s">
        <v>25</v>
      </c>
      <c r="G219" s="3" t="s">
        <v>25</v>
      </c>
      <c r="H219" s="3" t="s">
        <v>25</v>
      </c>
      <c r="I219" s="6">
        <v>44621</v>
      </c>
      <c r="J219" s="4">
        <v>33747</v>
      </c>
      <c r="K219" s="4">
        <v>33747</v>
      </c>
      <c r="L219" s="4">
        <v>0</v>
      </c>
      <c r="M219" s="4">
        <v>0</v>
      </c>
      <c r="N219" s="4">
        <v>0</v>
      </c>
      <c r="O219" s="4">
        <v>0</v>
      </c>
      <c r="P219" s="4">
        <v>237</v>
      </c>
      <c r="Q219" s="3" t="s">
        <v>26</v>
      </c>
      <c r="R219" s="3">
        <v>0</v>
      </c>
      <c r="S219" s="4">
        <v>18</v>
      </c>
      <c r="T219" s="4">
        <v>0</v>
      </c>
      <c r="U219" s="4">
        <v>0</v>
      </c>
      <c r="V219" s="4">
        <f>IF(ISERROR(VLOOKUP($S$219,'TAR FIN'!$A$1:$O$92,15,0)),0,VLOOKUP($S$219,'TAR FIN'!$A$1:$O$92,15,0))</f>
        <v>14.64</v>
      </c>
      <c r="W219" s="4">
        <f>IF(ISERROR(VLOOKUP($T$219,'TAR FIN'!$A$1:$O$92,15,0)),0,VLOOKUP($T$219,'TAR FIN'!$A$1:$O$92,15,0))</f>
        <v>0</v>
      </c>
      <c r="X219" s="4">
        <f>IF(ISERROR(VLOOKUP($U$219,'TAR FIN'!$A$1:$O$92,15,0)),0,VLOOKUP($U$219,'TAR FIN'!$A$1:$O$92,15,0))</f>
        <v>0</v>
      </c>
      <c r="Y219" s="4">
        <f ca="1">('TUSD BE'!$AM$10+'TUSD BF'!$AM$10+'TUSD CVA'!$AM$10)*1</f>
        <v>19.024476785546895</v>
      </c>
      <c r="Z219" s="4"/>
      <c r="AA219" s="4"/>
      <c r="AB219" s="4">
        <f>$K$219*$V$219</f>
        <v>494056.08</v>
      </c>
      <c r="AC219" s="4">
        <f>$M$219*$W$219</f>
        <v>0</v>
      </c>
      <c r="AD219" s="4">
        <f>$O$219*$X$219</f>
        <v>0</v>
      </c>
      <c r="AE219" s="4">
        <f ca="1">$K$219*$Y$219</f>
        <v>642019.01808185107</v>
      </c>
      <c r="AF219" s="4">
        <f>$M$219*$Z$219</f>
        <v>0</v>
      </c>
      <c r="AG219" s="4">
        <f>$O$219*$AA$219</f>
        <v>0</v>
      </c>
    </row>
    <row r="220" spans="1:33" ht="11.25" customHeight="1" x14ac:dyDescent="0.25">
      <c r="A220" s="3" t="s">
        <v>27</v>
      </c>
      <c r="B220" s="3" t="s">
        <v>39</v>
      </c>
      <c r="C220" s="3" t="s">
        <v>41</v>
      </c>
      <c r="D220" s="3" t="s">
        <v>42</v>
      </c>
      <c r="E220" s="3" t="s">
        <v>25</v>
      </c>
      <c r="F220" s="3" t="s">
        <v>25</v>
      </c>
      <c r="G220" s="3" t="s">
        <v>25</v>
      </c>
      <c r="H220" s="3" t="s">
        <v>25</v>
      </c>
      <c r="I220" s="6">
        <v>44621</v>
      </c>
      <c r="J220" s="4">
        <v>225</v>
      </c>
      <c r="K220" s="4">
        <v>225</v>
      </c>
      <c r="L220" s="4">
        <v>0</v>
      </c>
      <c r="M220" s="4">
        <v>0</v>
      </c>
      <c r="N220" s="4">
        <v>0</v>
      </c>
      <c r="O220" s="4">
        <v>0</v>
      </c>
      <c r="P220" s="4">
        <v>1</v>
      </c>
      <c r="Q220" s="3" t="s">
        <v>26</v>
      </c>
      <c r="R220" s="3">
        <v>0</v>
      </c>
      <c r="S220" s="4">
        <v>18</v>
      </c>
      <c r="T220" s="4">
        <v>0</v>
      </c>
      <c r="U220" s="4">
        <v>0</v>
      </c>
      <c r="V220" s="4">
        <f>IF(ISERROR(VLOOKUP($S$220,'TAR FIN'!$A$1:$O$92,15,0)),0,VLOOKUP($S$220,'TAR FIN'!$A$1:$O$92,15,0))</f>
        <v>14.64</v>
      </c>
      <c r="W220" s="4">
        <f>IF(ISERROR(VLOOKUP($T$220,'TAR FIN'!$A$1:$O$92,15,0)),0,VLOOKUP($T$220,'TAR FIN'!$A$1:$O$92,15,0))</f>
        <v>0</v>
      </c>
      <c r="X220" s="4">
        <f>IF(ISERROR(VLOOKUP($U$220,'TAR FIN'!$A$1:$O$92,15,0)),0,VLOOKUP($U$220,'TAR FIN'!$A$1:$O$92,15,0))</f>
        <v>0</v>
      </c>
      <c r="Y220" s="4">
        <f ca="1">('TUSD BE'!$AM$10+'TUSD BF'!$AM$10+'TUSD CVA'!$AM$10)*1</f>
        <v>19.024476785546895</v>
      </c>
      <c r="Z220" s="4"/>
      <c r="AA220" s="4"/>
      <c r="AB220" s="4">
        <f>$K$220*$V$220</f>
        <v>3294</v>
      </c>
      <c r="AC220" s="4">
        <f>$M$220*$W$220</f>
        <v>0</v>
      </c>
      <c r="AD220" s="4">
        <f>$O$220*$X$220</f>
        <v>0</v>
      </c>
      <c r="AE220" s="4">
        <f ca="1">$K$220*$Y$220</f>
        <v>4280.5072767480515</v>
      </c>
      <c r="AF220" s="4">
        <f>$M$220*$Z$220</f>
        <v>0</v>
      </c>
      <c r="AG220" s="4">
        <f>$O$220*$AA$220</f>
        <v>0</v>
      </c>
    </row>
    <row r="221" spans="1:33" ht="11.25" customHeight="1" x14ac:dyDescent="0.25">
      <c r="A221" s="3" t="s">
        <v>28</v>
      </c>
      <c r="B221" s="3" t="s">
        <v>39</v>
      </c>
      <c r="C221" s="3" t="s">
        <v>41</v>
      </c>
      <c r="D221" s="3" t="s">
        <v>42</v>
      </c>
      <c r="E221" s="3" t="s">
        <v>25</v>
      </c>
      <c r="F221" s="3" t="s">
        <v>25</v>
      </c>
      <c r="G221" s="3" t="s">
        <v>25</v>
      </c>
      <c r="H221" s="3" t="s">
        <v>25</v>
      </c>
      <c r="I221" s="6">
        <v>44621</v>
      </c>
      <c r="J221" s="4">
        <v>4280</v>
      </c>
      <c r="K221" s="4">
        <v>4280</v>
      </c>
      <c r="L221" s="4">
        <v>0</v>
      </c>
      <c r="M221" s="4">
        <v>0</v>
      </c>
      <c r="N221" s="4">
        <v>0</v>
      </c>
      <c r="O221" s="4">
        <v>0</v>
      </c>
      <c r="P221" s="4">
        <v>14</v>
      </c>
      <c r="Q221" s="3" t="s">
        <v>26</v>
      </c>
      <c r="R221" s="3">
        <v>0</v>
      </c>
      <c r="S221" s="4">
        <v>18</v>
      </c>
      <c r="T221" s="4">
        <v>0</v>
      </c>
      <c r="U221" s="4">
        <v>0</v>
      </c>
      <c r="V221" s="4">
        <f>IF(ISERROR(VLOOKUP($S$221,'TAR FIN'!$A$1:$O$92,15,0)),0,VLOOKUP($S$221,'TAR FIN'!$A$1:$O$92,15,0))</f>
        <v>14.64</v>
      </c>
      <c r="W221" s="4">
        <f>IF(ISERROR(VLOOKUP($T$221,'TAR FIN'!$A$1:$O$92,15,0)),0,VLOOKUP($T$221,'TAR FIN'!$A$1:$O$92,15,0))</f>
        <v>0</v>
      </c>
      <c r="X221" s="4">
        <f>IF(ISERROR(VLOOKUP($U$221,'TAR FIN'!$A$1:$O$92,15,0)),0,VLOOKUP($U$221,'TAR FIN'!$A$1:$O$92,15,0))</f>
        <v>0</v>
      </c>
      <c r="Y221" s="4">
        <f ca="1">('TUSD BE'!$AM$10+'TUSD BF'!$AM$10+'TUSD CVA'!$AM$10)*1</f>
        <v>19.024476785546895</v>
      </c>
      <c r="Z221" s="4"/>
      <c r="AA221" s="4"/>
      <c r="AB221" s="4">
        <f>$K$221*$V$221</f>
        <v>62659.200000000004</v>
      </c>
      <c r="AC221" s="4">
        <f>$M$221*$W$221</f>
        <v>0</v>
      </c>
      <c r="AD221" s="4">
        <f>$O$221*$X$221</f>
        <v>0</v>
      </c>
      <c r="AE221" s="4">
        <f ca="1">$K$221*$Y$221</f>
        <v>81424.760642140711</v>
      </c>
      <c r="AF221" s="4">
        <f>$M$221*$Z$221</f>
        <v>0</v>
      </c>
      <c r="AG221" s="4">
        <f>$O$221*$AA$221</f>
        <v>0</v>
      </c>
    </row>
    <row r="222" spans="1:33" ht="11.25" customHeight="1" x14ac:dyDescent="0.25">
      <c r="A222" s="3" t="s">
        <v>28</v>
      </c>
      <c r="B222" s="3" t="s">
        <v>39</v>
      </c>
      <c r="C222" s="3" t="s">
        <v>41</v>
      </c>
      <c r="D222" s="3" t="s">
        <v>42</v>
      </c>
      <c r="E222" s="3" t="s">
        <v>25</v>
      </c>
      <c r="F222" s="3" t="s">
        <v>25</v>
      </c>
      <c r="G222" s="3" t="s">
        <v>25</v>
      </c>
      <c r="H222" s="3" t="s">
        <v>25</v>
      </c>
      <c r="I222" s="6">
        <v>44621</v>
      </c>
      <c r="J222" s="4">
        <v>1200</v>
      </c>
      <c r="K222" s="4">
        <v>1200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3" t="s">
        <v>26</v>
      </c>
      <c r="R222" s="3">
        <v>0</v>
      </c>
      <c r="S222" s="4">
        <v>18</v>
      </c>
      <c r="T222" s="4">
        <v>0</v>
      </c>
      <c r="U222" s="4">
        <v>0</v>
      </c>
      <c r="V222" s="4">
        <f>IF(ISERROR(VLOOKUP($S$222,'TAR FIN'!$A$1:$O$92,15,0)),0,VLOOKUP($S$222,'TAR FIN'!$A$1:$O$92,15,0))</f>
        <v>14.64</v>
      </c>
      <c r="W222" s="4">
        <f>IF(ISERROR(VLOOKUP($T$222,'TAR FIN'!$A$1:$O$92,15,0)),0,VLOOKUP($T$222,'TAR FIN'!$A$1:$O$92,15,0))</f>
        <v>0</v>
      </c>
      <c r="X222" s="4">
        <f>IF(ISERROR(VLOOKUP($U$222,'TAR FIN'!$A$1:$O$92,15,0)),0,VLOOKUP($U$222,'TAR FIN'!$A$1:$O$92,15,0))</f>
        <v>0</v>
      </c>
      <c r="Y222" s="4">
        <f ca="1">('TUSD BE'!$AM$10+'TUSD BF'!$AM$10+'TUSD CVA'!$AM$10)*1</f>
        <v>19.024476785546895</v>
      </c>
      <c r="Z222" s="4"/>
      <c r="AA222" s="4"/>
      <c r="AB222" s="4">
        <f>$K$222*$V$222</f>
        <v>17568</v>
      </c>
      <c r="AC222" s="4">
        <f>$M$222*$W$222</f>
        <v>0</v>
      </c>
      <c r="AD222" s="4">
        <f>$O$222*$X$222</f>
        <v>0</v>
      </c>
      <c r="AE222" s="4">
        <f ca="1">$K$222*$Y$222</f>
        <v>22829.372142656273</v>
      </c>
      <c r="AF222" s="4">
        <f>$M$222*$Z$222</f>
        <v>0</v>
      </c>
      <c r="AG222" s="4">
        <f>$O$222*$AA$222</f>
        <v>0</v>
      </c>
    </row>
    <row r="223" spans="1:33" ht="11.25" customHeight="1" x14ac:dyDescent="0.25">
      <c r="A223" s="3" t="s">
        <v>21</v>
      </c>
      <c r="B223" s="3" t="s">
        <v>39</v>
      </c>
      <c r="C223" s="3" t="s">
        <v>41</v>
      </c>
      <c r="D223" s="3" t="s">
        <v>42</v>
      </c>
      <c r="E223" s="3" t="s">
        <v>25</v>
      </c>
      <c r="F223" s="3" t="s">
        <v>25</v>
      </c>
      <c r="G223" s="3" t="s">
        <v>25</v>
      </c>
      <c r="H223" s="3" t="s">
        <v>25</v>
      </c>
      <c r="I223" s="6">
        <v>44652</v>
      </c>
      <c r="J223" s="4">
        <v>33747</v>
      </c>
      <c r="K223" s="4">
        <v>33747</v>
      </c>
      <c r="L223" s="4">
        <v>0</v>
      </c>
      <c r="M223" s="4">
        <v>0</v>
      </c>
      <c r="N223" s="4">
        <v>0</v>
      </c>
      <c r="O223" s="4">
        <v>0</v>
      </c>
      <c r="P223" s="4">
        <v>237</v>
      </c>
      <c r="Q223" s="3" t="s">
        <v>26</v>
      </c>
      <c r="R223" s="3">
        <v>0</v>
      </c>
      <c r="S223" s="4">
        <v>18</v>
      </c>
      <c r="T223" s="4">
        <v>0</v>
      </c>
      <c r="U223" s="4">
        <v>0</v>
      </c>
      <c r="V223" s="4">
        <f>IF(ISERROR(VLOOKUP($S$223,'TAR FIN'!$A$1:$O$92,15,0)),0,VLOOKUP($S$223,'TAR FIN'!$A$1:$O$92,15,0))</f>
        <v>14.64</v>
      </c>
      <c r="W223" s="4">
        <f>IF(ISERROR(VLOOKUP($T$223,'TAR FIN'!$A$1:$O$92,15,0)),0,VLOOKUP($T$223,'TAR FIN'!$A$1:$O$92,15,0))</f>
        <v>0</v>
      </c>
      <c r="X223" s="4">
        <f>IF(ISERROR(VLOOKUP($U$223,'TAR FIN'!$A$1:$O$92,15,0)),0,VLOOKUP($U$223,'TAR FIN'!$A$1:$O$92,15,0))</f>
        <v>0</v>
      </c>
      <c r="Y223" s="4">
        <f ca="1">('TUSD BE'!$AM$10+'TUSD BF'!$AM$10+'TUSD CVA'!$AM$10)*1</f>
        <v>19.024476785546895</v>
      </c>
      <c r="Z223" s="4"/>
      <c r="AA223" s="4"/>
      <c r="AB223" s="4">
        <f>$K$223*$V$223</f>
        <v>494056.08</v>
      </c>
      <c r="AC223" s="4">
        <f>$M$223*$W$223</f>
        <v>0</v>
      </c>
      <c r="AD223" s="4">
        <f>$O$223*$X$223</f>
        <v>0</v>
      </c>
      <c r="AE223" s="4">
        <f ca="1">$K$223*$Y$223</f>
        <v>642019.01808185107</v>
      </c>
      <c r="AF223" s="4">
        <f>$M$223*$Z$223</f>
        <v>0</v>
      </c>
      <c r="AG223" s="4">
        <f>$O$223*$AA$223</f>
        <v>0</v>
      </c>
    </row>
    <row r="224" spans="1:33" ht="11.25" customHeight="1" x14ac:dyDescent="0.25">
      <c r="A224" s="3" t="s">
        <v>27</v>
      </c>
      <c r="B224" s="3" t="s">
        <v>39</v>
      </c>
      <c r="C224" s="3" t="s">
        <v>41</v>
      </c>
      <c r="D224" s="3" t="s">
        <v>42</v>
      </c>
      <c r="E224" s="3" t="s">
        <v>25</v>
      </c>
      <c r="F224" s="3" t="s">
        <v>25</v>
      </c>
      <c r="G224" s="3" t="s">
        <v>25</v>
      </c>
      <c r="H224" s="3" t="s">
        <v>25</v>
      </c>
      <c r="I224" s="6">
        <v>44652</v>
      </c>
      <c r="J224" s="4">
        <v>225</v>
      </c>
      <c r="K224" s="4">
        <v>225</v>
      </c>
      <c r="L224" s="4">
        <v>0</v>
      </c>
      <c r="M224" s="4">
        <v>0</v>
      </c>
      <c r="N224" s="4">
        <v>0</v>
      </c>
      <c r="O224" s="4">
        <v>0</v>
      </c>
      <c r="P224" s="4">
        <v>1</v>
      </c>
      <c r="Q224" s="3" t="s">
        <v>26</v>
      </c>
      <c r="R224" s="3">
        <v>0</v>
      </c>
      <c r="S224" s="4">
        <v>18</v>
      </c>
      <c r="T224" s="4">
        <v>0</v>
      </c>
      <c r="U224" s="4">
        <v>0</v>
      </c>
      <c r="V224" s="4">
        <f>IF(ISERROR(VLOOKUP($S$224,'TAR FIN'!$A$1:$O$92,15,0)),0,VLOOKUP($S$224,'TAR FIN'!$A$1:$O$92,15,0))</f>
        <v>14.64</v>
      </c>
      <c r="W224" s="4">
        <f>IF(ISERROR(VLOOKUP($T$224,'TAR FIN'!$A$1:$O$92,15,0)),0,VLOOKUP($T$224,'TAR FIN'!$A$1:$O$92,15,0))</f>
        <v>0</v>
      </c>
      <c r="X224" s="4">
        <f>IF(ISERROR(VLOOKUP($U$224,'TAR FIN'!$A$1:$O$92,15,0)),0,VLOOKUP($U$224,'TAR FIN'!$A$1:$O$92,15,0))</f>
        <v>0</v>
      </c>
      <c r="Y224" s="4">
        <f ca="1">('TUSD BE'!$AM$10+'TUSD BF'!$AM$10+'TUSD CVA'!$AM$10)*1</f>
        <v>19.024476785546895</v>
      </c>
      <c r="Z224" s="4"/>
      <c r="AA224" s="4"/>
      <c r="AB224" s="4">
        <f>$K$224*$V$224</f>
        <v>3294</v>
      </c>
      <c r="AC224" s="4">
        <f>$M$224*$W$224</f>
        <v>0</v>
      </c>
      <c r="AD224" s="4">
        <f>$O$224*$X$224</f>
        <v>0</v>
      </c>
      <c r="AE224" s="4">
        <f ca="1">$K$224*$Y$224</f>
        <v>4280.5072767480515</v>
      </c>
      <c r="AF224" s="4">
        <f>$M$224*$Z$224</f>
        <v>0</v>
      </c>
      <c r="AG224" s="4">
        <f>$O$224*$AA$224</f>
        <v>0</v>
      </c>
    </row>
    <row r="225" spans="1:33" ht="11.25" customHeight="1" x14ac:dyDescent="0.25">
      <c r="A225" s="3" t="s">
        <v>28</v>
      </c>
      <c r="B225" s="3" t="s">
        <v>39</v>
      </c>
      <c r="C225" s="3" t="s">
        <v>41</v>
      </c>
      <c r="D225" s="3" t="s">
        <v>42</v>
      </c>
      <c r="E225" s="3" t="s">
        <v>25</v>
      </c>
      <c r="F225" s="3" t="s">
        <v>25</v>
      </c>
      <c r="G225" s="3" t="s">
        <v>25</v>
      </c>
      <c r="H225" s="3" t="s">
        <v>25</v>
      </c>
      <c r="I225" s="6">
        <v>44652</v>
      </c>
      <c r="J225" s="4">
        <v>4280</v>
      </c>
      <c r="K225" s="4">
        <v>4280</v>
      </c>
      <c r="L225" s="4">
        <v>0</v>
      </c>
      <c r="M225" s="4">
        <v>0</v>
      </c>
      <c r="N225" s="4">
        <v>0</v>
      </c>
      <c r="O225" s="4">
        <v>0</v>
      </c>
      <c r="P225" s="4">
        <v>14</v>
      </c>
      <c r="Q225" s="3" t="s">
        <v>26</v>
      </c>
      <c r="R225" s="3">
        <v>0</v>
      </c>
      <c r="S225" s="4">
        <v>18</v>
      </c>
      <c r="T225" s="4">
        <v>0</v>
      </c>
      <c r="U225" s="4">
        <v>0</v>
      </c>
      <c r="V225" s="4">
        <f>IF(ISERROR(VLOOKUP($S$225,'TAR FIN'!$A$1:$O$92,15,0)),0,VLOOKUP($S$225,'TAR FIN'!$A$1:$O$92,15,0))</f>
        <v>14.64</v>
      </c>
      <c r="W225" s="4">
        <f>IF(ISERROR(VLOOKUP($T$225,'TAR FIN'!$A$1:$O$92,15,0)),0,VLOOKUP($T$225,'TAR FIN'!$A$1:$O$92,15,0))</f>
        <v>0</v>
      </c>
      <c r="X225" s="4">
        <f>IF(ISERROR(VLOOKUP($U$225,'TAR FIN'!$A$1:$O$92,15,0)),0,VLOOKUP($U$225,'TAR FIN'!$A$1:$O$92,15,0))</f>
        <v>0</v>
      </c>
      <c r="Y225" s="4">
        <f ca="1">('TUSD BE'!$AM$10+'TUSD BF'!$AM$10+'TUSD CVA'!$AM$10)*1</f>
        <v>19.024476785546895</v>
      </c>
      <c r="Z225" s="4"/>
      <c r="AA225" s="4"/>
      <c r="AB225" s="4">
        <f>$K$225*$V$225</f>
        <v>62659.200000000004</v>
      </c>
      <c r="AC225" s="4">
        <f>$M$225*$W$225</f>
        <v>0</v>
      </c>
      <c r="AD225" s="4">
        <f>$O$225*$X$225</f>
        <v>0</v>
      </c>
      <c r="AE225" s="4">
        <f ca="1">$K$225*$Y$225</f>
        <v>81424.760642140711</v>
      </c>
      <c r="AF225" s="4">
        <f>$M$225*$Z$225</f>
        <v>0</v>
      </c>
      <c r="AG225" s="4">
        <f>$O$225*$AA$225</f>
        <v>0</v>
      </c>
    </row>
    <row r="226" spans="1:33" ht="11.25" customHeight="1" x14ac:dyDescent="0.25">
      <c r="A226" s="3" t="s">
        <v>28</v>
      </c>
      <c r="B226" s="3" t="s">
        <v>39</v>
      </c>
      <c r="C226" s="3" t="s">
        <v>41</v>
      </c>
      <c r="D226" s="3" t="s">
        <v>42</v>
      </c>
      <c r="E226" s="3" t="s">
        <v>25</v>
      </c>
      <c r="F226" s="3" t="s">
        <v>25</v>
      </c>
      <c r="G226" s="3" t="s">
        <v>25</v>
      </c>
      <c r="H226" s="3" t="s">
        <v>25</v>
      </c>
      <c r="I226" s="6">
        <v>44652</v>
      </c>
      <c r="J226" s="4">
        <v>1200</v>
      </c>
      <c r="K226" s="4">
        <v>1200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3" t="s">
        <v>26</v>
      </c>
      <c r="R226" s="3">
        <v>0</v>
      </c>
      <c r="S226" s="4">
        <v>18</v>
      </c>
      <c r="T226" s="4">
        <v>0</v>
      </c>
      <c r="U226" s="4">
        <v>0</v>
      </c>
      <c r="V226" s="4">
        <f>IF(ISERROR(VLOOKUP($S$226,'TAR FIN'!$A$1:$O$92,15,0)),0,VLOOKUP($S$226,'TAR FIN'!$A$1:$O$92,15,0))</f>
        <v>14.64</v>
      </c>
      <c r="W226" s="4">
        <f>IF(ISERROR(VLOOKUP($T$226,'TAR FIN'!$A$1:$O$92,15,0)),0,VLOOKUP($T$226,'TAR FIN'!$A$1:$O$92,15,0))</f>
        <v>0</v>
      </c>
      <c r="X226" s="4">
        <f>IF(ISERROR(VLOOKUP($U$226,'TAR FIN'!$A$1:$O$92,15,0)),0,VLOOKUP($U$226,'TAR FIN'!$A$1:$O$92,15,0))</f>
        <v>0</v>
      </c>
      <c r="Y226" s="4">
        <f ca="1">('TUSD BE'!$AM$10+'TUSD BF'!$AM$10+'TUSD CVA'!$AM$10)*1</f>
        <v>19.024476785546895</v>
      </c>
      <c r="Z226" s="4"/>
      <c r="AA226" s="4"/>
      <c r="AB226" s="4">
        <f>$K$226*$V$226</f>
        <v>17568</v>
      </c>
      <c r="AC226" s="4">
        <f>$M$226*$W$226</f>
        <v>0</v>
      </c>
      <c r="AD226" s="4">
        <f>$O$226*$X$226</f>
        <v>0</v>
      </c>
      <c r="AE226" s="4">
        <f ca="1">$K$226*$Y$226</f>
        <v>22829.372142656273</v>
      </c>
      <c r="AF226" s="4">
        <f>$M$226*$Z$226</f>
        <v>0</v>
      </c>
      <c r="AG226" s="4">
        <f>$O$226*$AA$226</f>
        <v>0</v>
      </c>
    </row>
    <row r="227" spans="1:33" ht="11.25" customHeight="1" x14ac:dyDescent="0.25">
      <c r="A227" s="3" t="s">
        <v>21</v>
      </c>
      <c r="B227" s="3" t="s">
        <v>39</v>
      </c>
      <c r="C227" s="3" t="s">
        <v>41</v>
      </c>
      <c r="D227" s="3" t="s">
        <v>42</v>
      </c>
      <c r="E227" s="3" t="s">
        <v>25</v>
      </c>
      <c r="F227" s="3" t="s">
        <v>25</v>
      </c>
      <c r="G227" s="3" t="s">
        <v>25</v>
      </c>
      <c r="H227" s="3" t="s">
        <v>25</v>
      </c>
      <c r="I227" s="6">
        <v>44682</v>
      </c>
      <c r="J227" s="4">
        <v>33657</v>
      </c>
      <c r="K227" s="4">
        <v>33657</v>
      </c>
      <c r="L227" s="4">
        <v>0</v>
      </c>
      <c r="M227" s="4">
        <v>0</v>
      </c>
      <c r="N227" s="4">
        <v>0</v>
      </c>
      <c r="O227" s="4">
        <v>0</v>
      </c>
      <c r="P227" s="4">
        <v>238</v>
      </c>
      <c r="Q227" s="3" t="s">
        <v>26</v>
      </c>
      <c r="R227" s="3">
        <v>0</v>
      </c>
      <c r="S227" s="4">
        <v>18</v>
      </c>
      <c r="T227" s="4">
        <v>0</v>
      </c>
      <c r="U227" s="4">
        <v>0</v>
      </c>
      <c r="V227" s="4">
        <f>IF(ISERROR(VLOOKUP($S$227,'TAR FIN'!$A$1:$O$92,15,0)),0,VLOOKUP($S$227,'TAR FIN'!$A$1:$O$92,15,0))</f>
        <v>14.64</v>
      </c>
      <c r="W227" s="4">
        <f>IF(ISERROR(VLOOKUP($T$227,'TAR FIN'!$A$1:$O$92,15,0)),0,VLOOKUP($T$227,'TAR FIN'!$A$1:$O$92,15,0))</f>
        <v>0</v>
      </c>
      <c r="X227" s="4">
        <f>IF(ISERROR(VLOOKUP($U$227,'TAR FIN'!$A$1:$O$92,15,0)),0,VLOOKUP($U$227,'TAR FIN'!$A$1:$O$92,15,0))</f>
        <v>0</v>
      </c>
      <c r="Y227" s="4">
        <f ca="1">('TUSD BE'!$AM$10+'TUSD BF'!$AM$10+'TUSD CVA'!$AM$10)*1</f>
        <v>19.024476785546895</v>
      </c>
      <c r="Z227" s="4"/>
      <c r="AA227" s="4"/>
      <c r="AB227" s="4">
        <f>$K$227*$V$227</f>
        <v>492738.48000000004</v>
      </c>
      <c r="AC227" s="4">
        <f>$M$227*$W$227</f>
        <v>0</v>
      </c>
      <c r="AD227" s="4">
        <f>$O$227*$X$227</f>
        <v>0</v>
      </c>
      <c r="AE227" s="4">
        <f ca="1">$K$227*$Y$227</f>
        <v>640306.81517115189</v>
      </c>
      <c r="AF227" s="4">
        <f>$M$227*$Z$227</f>
        <v>0</v>
      </c>
      <c r="AG227" s="4">
        <f>$O$227*$AA$227</f>
        <v>0</v>
      </c>
    </row>
    <row r="228" spans="1:33" ht="11.25" customHeight="1" x14ac:dyDescent="0.25">
      <c r="A228" s="3" t="s">
        <v>27</v>
      </c>
      <c r="B228" s="3" t="s">
        <v>39</v>
      </c>
      <c r="C228" s="3" t="s">
        <v>41</v>
      </c>
      <c r="D228" s="3" t="s">
        <v>42</v>
      </c>
      <c r="E228" s="3" t="s">
        <v>25</v>
      </c>
      <c r="F228" s="3" t="s">
        <v>25</v>
      </c>
      <c r="G228" s="3" t="s">
        <v>25</v>
      </c>
      <c r="H228" s="3" t="s">
        <v>25</v>
      </c>
      <c r="I228" s="6">
        <v>44682</v>
      </c>
      <c r="J228" s="4">
        <v>-644</v>
      </c>
      <c r="K228" s="4">
        <v>-644</v>
      </c>
      <c r="L228" s="4">
        <v>0</v>
      </c>
      <c r="M228" s="4">
        <v>0</v>
      </c>
      <c r="N228" s="4">
        <v>0</v>
      </c>
      <c r="O228" s="4">
        <v>0</v>
      </c>
      <c r="P228" s="4">
        <v>-4</v>
      </c>
      <c r="Q228" s="3" t="s">
        <v>26</v>
      </c>
      <c r="R228" s="3">
        <v>0</v>
      </c>
      <c r="S228" s="4">
        <v>18</v>
      </c>
      <c r="T228" s="4">
        <v>0</v>
      </c>
      <c r="U228" s="4">
        <v>0</v>
      </c>
      <c r="V228" s="4">
        <f>IF(ISERROR(VLOOKUP($S$228,'TAR FIN'!$A$1:$O$92,15,0)),0,VLOOKUP($S$228,'TAR FIN'!$A$1:$O$92,15,0))</f>
        <v>14.64</v>
      </c>
      <c r="W228" s="4">
        <f>IF(ISERROR(VLOOKUP($T$228,'TAR FIN'!$A$1:$O$92,15,0)),0,VLOOKUP($T$228,'TAR FIN'!$A$1:$O$92,15,0))</f>
        <v>0</v>
      </c>
      <c r="X228" s="4">
        <f>IF(ISERROR(VLOOKUP($U$228,'TAR FIN'!$A$1:$O$92,15,0)),0,VLOOKUP($U$228,'TAR FIN'!$A$1:$O$92,15,0))</f>
        <v>0</v>
      </c>
      <c r="Y228" s="4">
        <f ca="1">('TUSD BE'!$AM$10+'TUSD BF'!$AM$10+'TUSD CVA'!$AM$10)*1</f>
        <v>19.024476785546895</v>
      </c>
      <c r="Z228" s="4"/>
      <c r="AA228" s="4"/>
      <c r="AB228" s="4">
        <f>$K$228*$V$228</f>
        <v>-9428.16</v>
      </c>
      <c r="AC228" s="4">
        <f>$M$228*$W$228</f>
        <v>0</v>
      </c>
      <c r="AD228" s="4">
        <f>$O$228*$X$228</f>
        <v>0</v>
      </c>
      <c r="AE228" s="4">
        <f ca="1">$K$228*$Y$228</f>
        <v>-12251.763049892201</v>
      </c>
      <c r="AF228" s="4">
        <f>$M$228*$Z$228</f>
        <v>0</v>
      </c>
      <c r="AG228" s="4">
        <f>$O$228*$AA$228</f>
        <v>0</v>
      </c>
    </row>
    <row r="229" spans="1:33" ht="11.25" customHeight="1" x14ac:dyDescent="0.25">
      <c r="A229" s="3" t="s">
        <v>28</v>
      </c>
      <c r="B229" s="3" t="s">
        <v>39</v>
      </c>
      <c r="C229" s="3" t="s">
        <v>41</v>
      </c>
      <c r="D229" s="3" t="s">
        <v>42</v>
      </c>
      <c r="E229" s="3" t="s">
        <v>25</v>
      </c>
      <c r="F229" s="3" t="s">
        <v>25</v>
      </c>
      <c r="G229" s="3" t="s">
        <v>25</v>
      </c>
      <c r="H229" s="3" t="s">
        <v>25</v>
      </c>
      <c r="I229" s="6">
        <v>44682</v>
      </c>
      <c r="J229" s="4">
        <v>12036</v>
      </c>
      <c r="K229" s="4">
        <v>12036</v>
      </c>
      <c r="L229" s="4">
        <v>0</v>
      </c>
      <c r="M229" s="4">
        <v>0</v>
      </c>
      <c r="N229" s="4">
        <v>0</v>
      </c>
      <c r="O229" s="4">
        <v>0</v>
      </c>
      <c r="P229" s="4">
        <v>56</v>
      </c>
      <c r="Q229" s="3" t="s">
        <v>26</v>
      </c>
      <c r="R229" s="3">
        <v>0</v>
      </c>
      <c r="S229" s="4">
        <v>18</v>
      </c>
      <c r="T229" s="4">
        <v>0</v>
      </c>
      <c r="U229" s="4">
        <v>0</v>
      </c>
      <c r="V229" s="4">
        <f>IF(ISERROR(VLOOKUP($S$229,'TAR FIN'!$A$1:$O$92,15,0)),0,VLOOKUP($S$229,'TAR FIN'!$A$1:$O$92,15,0))</f>
        <v>14.64</v>
      </c>
      <c r="W229" s="4">
        <f>IF(ISERROR(VLOOKUP($T$229,'TAR FIN'!$A$1:$O$92,15,0)),0,VLOOKUP($T$229,'TAR FIN'!$A$1:$O$92,15,0))</f>
        <v>0</v>
      </c>
      <c r="X229" s="4">
        <f>IF(ISERROR(VLOOKUP($U$229,'TAR FIN'!$A$1:$O$92,15,0)),0,VLOOKUP($U$229,'TAR FIN'!$A$1:$O$92,15,0))</f>
        <v>0</v>
      </c>
      <c r="Y229" s="4">
        <f ca="1">('TUSD BE'!$AM$10+'TUSD BF'!$AM$10+'TUSD CVA'!$AM$10)*1</f>
        <v>19.024476785546895</v>
      </c>
      <c r="Z229" s="4"/>
      <c r="AA229" s="4"/>
      <c r="AB229" s="4">
        <f>$K$229*$V$229</f>
        <v>176207.04</v>
      </c>
      <c r="AC229" s="4">
        <f>$M$229*$W$229</f>
        <v>0</v>
      </c>
      <c r="AD229" s="4">
        <f>$O$229*$X$229</f>
        <v>0</v>
      </c>
      <c r="AE229" s="4">
        <f ca="1">$K$229*$Y$229</f>
        <v>228978.60259084243</v>
      </c>
      <c r="AF229" s="4">
        <f>$M$229*$Z$229</f>
        <v>0</v>
      </c>
      <c r="AG229" s="4">
        <f>$O$229*$AA$229</f>
        <v>0</v>
      </c>
    </row>
    <row r="230" spans="1:33" ht="11.25" customHeight="1" x14ac:dyDescent="0.25">
      <c r="A230" s="3" t="s">
        <v>21</v>
      </c>
      <c r="B230" s="3" t="s">
        <v>39</v>
      </c>
      <c r="C230" s="3" t="s">
        <v>41</v>
      </c>
      <c r="D230" s="3" t="s">
        <v>42</v>
      </c>
      <c r="E230" s="3" t="s">
        <v>25</v>
      </c>
      <c r="F230" s="3" t="s">
        <v>25</v>
      </c>
      <c r="G230" s="3" t="s">
        <v>25</v>
      </c>
      <c r="H230" s="3" t="s">
        <v>25</v>
      </c>
      <c r="I230" s="6">
        <v>44713</v>
      </c>
      <c r="J230" s="4">
        <v>33727</v>
      </c>
      <c r="K230" s="4">
        <v>33727</v>
      </c>
      <c r="L230" s="4">
        <v>0</v>
      </c>
      <c r="M230" s="4">
        <v>0</v>
      </c>
      <c r="N230" s="4">
        <v>0</v>
      </c>
      <c r="O230" s="4">
        <v>0</v>
      </c>
      <c r="P230" s="4">
        <v>236</v>
      </c>
      <c r="Q230" s="3" t="s">
        <v>26</v>
      </c>
      <c r="R230" s="3">
        <v>0</v>
      </c>
      <c r="S230" s="4">
        <v>18</v>
      </c>
      <c r="T230" s="4">
        <v>0</v>
      </c>
      <c r="U230" s="4">
        <v>0</v>
      </c>
      <c r="V230" s="4">
        <f>IF(ISERROR(VLOOKUP($S$230,'TAR FIN'!$A$1:$O$92,15,0)),0,VLOOKUP($S$230,'TAR FIN'!$A$1:$O$92,15,0))</f>
        <v>14.64</v>
      </c>
      <c r="W230" s="4">
        <f>IF(ISERROR(VLOOKUP($T$230,'TAR FIN'!$A$1:$O$92,15,0)),0,VLOOKUP($T$230,'TAR FIN'!$A$1:$O$92,15,0))</f>
        <v>0</v>
      </c>
      <c r="X230" s="4">
        <f>IF(ISERROR(VLOOKUP($U$230,'TAR FIN'!$A$1:$O$92,15,0)),0,VLOOKUP($U$230,'TAR FIN'!$A$1:$O$92,15,0))</f>
        <v>0</v>
      </c>
      <c r="Y230" s="4">
        <f ca="1">('TUSD BE'!$AM$10+'TUSD BF'!$AM$10+'TUSD CVA'!$AM$10)*1</f>
        <v>19.024476785546895</v>
      </c>
      <c r="Z230" s="4"/>
      <c r="AA230" s="4"/>
      <c r="AB230" s="4">
        <f>$K$230*$V$230</f>
        <v>493763.28</v>
      </c>
      <c r="AC230" s="4">
        <f>$M$230*$W$230</f>
        <v>0</v>
      </c>
      <c r="AD230" s="4">
        <f>$O$230*$X$230</f>
        <v>0</v>
      </c>
      <c r="AE230" s="4">
        <f ca="1">$K$230*$Y$230</f>
        <v>641638.52854614018</v>
      </c>
      <c r="AF230" s="4">
        <f>$M$230*$Z$230</f>
        <v>0</v>
      </c>
      <c r="AG230" s="4">
        <f>$O$230*$AA$230</f>
        <v>0</v>
      </c>
    </row>
    <row r="231" spans="1:33" ht="11.25" customHeight="1" x14ac:dyDescent="0.25">
      <c r="A231" s="3" t="s">
        <v>27</v>
      </c>
      <c r="B231" s="3" t="s">
        <v>39</v>
      </c>
      <c r="C231" s="3" t="s">
        <v>41</v>
      </c>
      <c r="D231" s="3" t="s">
        <v>42</v>
      </c>
      <c r="E231" s="3" t="s">
        <v>25</v>
      </c>
      <c r="F231" s="3" t="s">
        <v>25</v>
      </c>
      <c r="G231" s="3" t="s">
        <v>25</v>
      </c>
      <c r="H231" s="3" t="s">
        <v>25</v>
      </c>
      <c r="I231" s="6">
        <v>44713</v>
      </c>
      <c r="J231" s="4">
        <v>-1911</v>
      </c>
      <c r="K231" s="4">
        <v>-1911</v>
      </c>
      <c r="L231" s="4">
        <v>0</v>
      </c>
      <c r="M231" s="4">
        <v>0</v>
      </c>
      <c r="N231" s="4">
        <v>0</v>
      </c>
      <c r="O231" s="4">
        <v>0</v>
      </c>
      <c r="P231" s="4">
        <v>-5</v>
      </c>
      <c r="Q231" s="3" t="s">
        <v>26</v>
      </c>
      <c r="R231" s="3">
        <v>0</v>
      </c>
      <c r="S231" s="4">
        <v>18</v>
      </c>
      <c r="T231" s="4">
        <v>0</v>
      </c>
      <c r="U231" s="4">
        <v>0</v>
      </c>
      <c r="V231" s="4">
        <f>IF(ISERROR(VLOOKUP($S$231,'TAR FIN'!$A$1:$O$92,15,0)),0,VLOOKUP($S$231,'TAR FIN'!$A$1:$O$92,15,0))</f>
        <v>14.64</v>
      </c>
      <c r="W231" s="4">
        <f>IF(ISERROR(VLOOKUP($T$231,'TAR FIN'!$A$1:$O$92,15,0)),0,VLOOKUP($T$231,'TAR FIN'!$A$1:$O$92,15,0))</f>
        <v>0</v>
      </c>
      <c r="X231" s="4">
        <f>IF(ISERROR(VLOOKUP($U$231,'TAR FIN'!$A$1:$O$92,15,0)),0,VLOOKUP($U$231,'TAR FIN'!$A$1:$O$92,15,0))</f>
        <v>0</v>
      </c>
      <c r="Y231" s="4">
        <f ca="1">('TUSD BE'!$AM$10+'TUSD BF'!$AM$10+'TUSD CVA'!$AM$10)*1</f>
        <v>19.024476785546895</v>
      </c>
      <c r="Z231" s="4"/>
      <c r="AA231" s="4"/>
      <c r="AB231" s="4">
        <f>$K$231*$V$231</f>
        <v>-27977.040000000001</v>
      </c>
      <c r="AC231" s="4">
        <f>$M$231*$W$231</f>
        <v>0</v>
      </c>
      <c r="AD231" s="4">
        <f>$O$231*$X$231</f>
        <v>0</v>
      </c>
      <c r="AE231" s="4">
        <f ca="1">$K$231*$Y$231</f>
        <v>-36355.775137180113</v>
      </c>
      <c r="AF231" s="4">
        <f>$M$231*$Z$231</f>
        <v>0</v>
      </c>
      <c r="AG231" s="4">
        <f>$O$231*$AA$231</f>
        <v>0</v>
      </c>
    </row>
    <row r="232" spans="1:33" ht="11.25" customHeight="1" x14ac:dyDescent="0.25">
      <c r="A232" s="3" t="s">
        <v>28</v>
      </c>
      <c r="B232" s="3" t="s">
        <v>39</v>
      </c>
      <c r="C232" s="3" t="s">
        <v>41</v>
      </c>
      <c r="D232" s="3" t="s">
        <v>42</v>
      </c>
      <c r="E232" s="3" t="s">
        <v>25</v>
      </c>
      <c r="F232" s="3" t="s">
        <v>25</v>
      </c>
      <c r="G232" s="3" t="s">
        <v>25</v>
      </c>
      <c r="H232" s="3" t="s">
        <v>25</v>
      </c>
      <c r="I232" s="6">
        <v>44713</v>
      </c>
      <c r="J232" s="4">
        <v>3905</v>
      </c>
      <c r="K232" s="4">
        <v>3905</v>
      </c>
      <c r="L232" s="4">
        <v>0</v>
      </c>
      <c r="M232" s="4">
        <v>0</v>
      </c>
      <c r="N232" s="4">
        <v>0</v>
      </c>
      <c r="O232" s="4">
        <v>0</v>
      </c>
      <c r="P232" s="4">
        <v>16</v>
      </c>
      <c r="Q232" s="3" t="s">
        <v>26</v>
      </c>
      <c r="R232" s="3">
        <v>0</v>
      </c>
      <c r="S232" s="4">
        <v>18</v>
      </c>
      <c r="T232" s="4">
        <v>0</v>
      </c>
      <c r="U232" s="4">
        <v>0</v>
      </c>
      <c r="V232" s="4">
        <f>IF(ISERROR(VLOOKUP($S$232,'TAR FIN'!$A$1:$O$92,15,0)),0,VLOOKUP($S$232,'TAR FIN'!$A$1:$O$92,15,0))</f>
        <v>14.64</v>
      </c>
      <c r="W232" s="4">
        <f>IF(ISERROR(VLOOKUP($T$232,'TAR FIN'!$A$1:$O$92,15,0)),0,VLOOKUP($T$232,'TAR FIN'!$A$1:$O$92,15,0))</f>
        <v>0</v>
      </c>
      <c r="X232" s="4">
        <f>IF(ISERROR(VLOOKUP($U$232,'TAR FIN'!$A$1:$O$92,15,0)),0,VLOOKUP($U$232,'TAR FIN'!$A$1:$O$92,15,0))</f>
        <v>0</v>
      </c>
      <c r="Y232" s="4">
        <f ca="1">('TUSD BE'!$AM$10+'TUSD BF'!$AM$10+'TUSD CVA'!$AM$10)*1</f>
        <v>19.024476785546895</v>
      </c>
      <c r="Z232" s="4"/>
      <c r="AA232" s="4"/>
      <c r="AB232" s="4">
        <f>$K$232*$V$232</f>
        <v>57169.200000000004</v>
      </c>
      <c r="AC232" s="4">
        <f>$M$232*$W$232</f>
        <v>0</v>
      </c>
      <c r="AD232" s="4">
        <f>$O$232*$X$232</f>
        <v>0</v>
      </c>
      <c r="AE232" s="4">
        <f ca="1">$K$232*$Y$232</f>
        <v>74290.581847560621</v>
      </c>
      <c r="AF232" s="4">
        <f>$M$232*$Z$232</f>
        <v>0</v>
      </c>
      <c r="AG232" s="4">
        <f>$O$232*$AA$232</f>
        <v>0</v>
      </c>
    </row>
    <row r="233" spans="1:33" ht="11.25" customHeight="1" x14ac:dyDescent="0.25">
      <c r="A233" s="3" t="s">
        <v>21</v>
      </c>
      <c r="B233" s="3" t="s">
        <v>39</v>
      </c>
      <c r="C233" s="3" t="s">
        <v>41</v>
      </c>
      <c r="D233" s="3" t="s">
        <v>42</v>
      </c>
      <c r="E233" s="3" t="s">
        <v>25</v>
      </c>
      <c r="F233" s="3" t="s">
        <v>25</v>
      </c>
      <c r="G233" s="3" t="s">
        <v>25</v>
      </c>
      <c r="H233" s="3" t="s">
        <v>25</v>
      </c>
      <c r="I233" s="6">
        <v>44743</v>
      </c>
      <c r="J233" s="4">
        <v>34866</v>
      </c>
      <c r="K233" s="4">
        <v>34866</v>
      </c>
      <c r="L233" s="4">
        <v>0</v>
      </c>
      <c r="M233" s="4">
        <v>0</v>
      </c>
      <c r="N233" s="4">
        <v>0</v>
      </c>
      <c r="O233" s="4">
        <v>0</v>
      </c>
      <c r="P233" s="4">
        <v>236</v>
      </c>
      <c r="Q233" s="3" t="s">
        <v>26</v>
      </c>
      <c r="R233" s="3">
        <v>0</v>
      </c>
      <c r="S233" s="4">
        <v>18</v>
      </c>
      <c r="T233" s="4">
        <v>0</v>
      </c>
      <c r="U233" s="4">
        <v>0</v>
      </c>
      <c r="V233" s="4">
        <f>IF(ISERROR(VLOOKUP($S$233,'TAR FIN'!$A$1:$O$92,15,0)),0,VLOOKUP($S$233,'TAR FIN'!$A$1:$O$92,15,0))</f>
        <v>14.64</v>
      </c>
      <c r="W233" s="4">
        <f>IF(ISERROR(VLOOKUP($T$233,'TAR FIN'!$A$1:$O$92,15,0)),0,VLOOKUP($T$233,'TAR FIN'!$A$1:$O$92,15,0))</f>
        <v>0</v>
      </c>
      <c r="X233" s="4">
        <f>IF(ISERROR(VLOOKUP($U$233,'TAR FIN'!$A$1:$O$92,15,0)),0,VLOOKUP($U$233,'TAR FIN'!$A$1:$O$92,15,0))</f>
        <v>0</v>
      </c>
      <c r="Y233" s="4">
        <f ca="1">('TUSD BE'!$AM$10+'TUSD BF'!$AM$10+'TUSD CVA'!$AM$10)*1</f>
        <v>19.024476785546895</v>
      </c>
      <c r="Z233" s="4"/>
      <c r="AA233" s="4"/>
      <c r="AB233" s="4">
        <f>$K$233*$V$233</f>
        <v>510438.24000000005</v>
      </c>
      <c r="AC233" s="4">
        <f>$M$233*$W$233</f>
        <v>0</v>
      </c>
      <c r="AD233" s="4">
        <f>$O$233*$X$233</f>
        <v>0</v>
      </c>
      <c r="AE233" s="4">
        <f ca="1">$K$233*$Y$233</f>
        <v>663307.40760487807</v>
      </c>
      <c r="AF233" s="4">
        <f>$M$233*$Z$233</f>
        <v>0</v>
      </c>
      <c r="AG233" s="4">
        <f>$O$233*$AA$233</f>
        <v>0</v>
      </c>
    </row>
    <row r="234" spans="1:33" ht="11.25" customHeight="1" x14ac:dyDescent="0.25">
      <c r="A234" s="3" t="s">
        <v>27</v>
      </c>
      <c r="B234" s="3" t="s">
        <v>39</v>
      </c>
      <c r="C234" s="3" t="s">
        <v>41</v>
      </c>
      <c r="D234" s="3" t="s">
        <v>42</v>
      </c>
      <c r="E234" s="3" t="s">
        <v>25</v>
      </c>
      <c r="F234" s="3" t="s">
        <v>25</v>
      </c>
      <c r="G234" s="3" t="s">
        <v>25</v>
      </c>
      <c r="H234" s="3" t="s">
        <v>25</v>
      </c>
      <c r="I234" s="6">
        <v>44743</v>
      </c>
      <c r="J234" s="4">
        <v>-100</v>
      </c>
      <c r="K234" s="4">
        <v>-100</v>
      </c>
      <c r="L234" s="4">
        <v>0</v>
      </c>
      <c r="M234" s="4">
        <v>0</v>
      </c>
      <c r="N234" s="4">
        <v>0</v>
      </c>
      <c r="O234" s="4">
        <v>0</v>
      </c>
      <c r="P234" s="4">
        <v>-2</v>
      </c>
      <c r="Q234" s="3" t="s">
        <v>26</v>
      </c>
      <c r="R234" s="3">
        <v>0</v>
      </c>
      <c r="S234" s="4">
        <v>18</v>
      </c>
      <c r="T234" s="4">
        <v>0</v>
      </c>
      <c r="U234" s="4">
        <v>0</v>
      </c>
      <c r="V234" s="4">
        <f>IF(ISERROR(VLOOKUP($S$234,'TAR FIN'!$A$1:$O$92,15,0)),0,VLOOKUP($S$234,'TAR FIN'!$A$1:$O$92,15,0))</f>
        <v>14.64</v>
      </c>
      <c r="W234" s="4">
        <f>IF(ISERROR(VLOOKUP($T$234,'TAR FIN'!$A$1:$O$92,15,0)),0,VLOOKUP($T$234,'TAR FIN'!$A$1:$O$92,15,0))</f>
        <v>0</v>
      </c>
      <c r="X234" s="4">
        <f>IF(ISERROR(VLOOKUP($U$234,'TAR FIN'!$A$1:$O$92,15,0)),0,VLOOKUP($U$234,'TAR FIN'!$A$1:$O$92,15,0))</f>
        <v>0</v>
      </c>
      <c r="Y234" s="4">
        <f ca="1">('TUSD BE'!$AM$10+'TUSD BF'!$AM$10+'TUSD CVA'!$AM$10)*1</f>
        <v>19.024476785546895</v>
      </c>
      <c r="Z234" s="4"/>
      <c r="AA234" s="4"/>
      <c r="AB234" s="4">
        <f>$K$234*$V$234</f>
        <v>-1464</v>
      </c>
      <c r="AC234" s="4">
        <f>$M$234*$W$234</f>
        <v>0</v>
      </c>
      <c r="AD234" s="4">
        <f>$O$234*$X$234</f>
        <v>0</v>
      </c>
      <c r="AE234" s="4">
        <f ca="1">$K$234*$Y$234</f>
        <v>-1902.4476785546894</v>
      </c>
      <c r="AF234" s="4">
        <f>$M$234*$Z$234</f>
        <v>0</v>
      </c>
      <c r="AG234" s="4">
        <f>$O$234*$AA$234</f>
        <v>0</v>
      </c>
    </row>
    <row r="235" spans="1:33" ht="11.25" customHeight="1" x14ac:dyDescent="0.25">
      <c r="A235" s="3" t="s">
        <v>28</v>
      </c>
      <c r="B235" s="3" t="s">
        <v>39</v>
      </c>
      <c r="C235" s="3" t="s">
        <v>41</v>
      </c>
      <c r="D235" s="3" t="s">
        <v>42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44743</v>
      </c>
      <c r="J235" s="4">
        <v>3905</v>
      </c>
      <c r="K235" s="4">
        <v>3905</v>
      </c>
      <c r="L235" s="4">
        <v>0</v>
      </c>
      <c r="M235" s="4">
        <v>0</v>
      </c>
      <c r="N235" s="4">
        <v>0</v>
      </c>
      <c r="O235" s="4">
        <v>0</v>
      </c>
      <c r="P235" s="4">
        <v>16</v>
      </c>
      <c r="Q235" s="3" t="s">
        <v>26</v>
      </c>
      <c r="R235" s="3">
        <v>0</v>
      </c>
      <c r="S235" s="4">
        <v>18</v>
      </c>
      <c r="T235" s="4">
        <v>0</v>
      </c>
      <c r="U235" s="4">
        <v>0</v>
      </c>
      <c r="V235" s="4">
        <f>IF(ISERROR(VLOOKUP($S$235,'TAR FIN'!$A$1:$O$92,15,0)),0,VLOOKUP($S$235,'TAR FIN'!$A$1:$O$92,15,0))</f>
        <v>14.64</v>
      </c>
      <c r="W235" s="4">
        <f>IF(ISERROR(VLOOKUP($T$235,'TAR FIN'!$A$1:$O$92,15,0)),0,VLOOKUP($T$235,'TAR FIN'!$A$1:$O$92,15,0))</f>
        <v>0</v>
      </c>
      <c r="X235" s="4">
        <f>IF(ISERROR(VLOOKUP($U$235,'TAR FIN'!$A$1:$O$92,15,0)),0,VLOOKUP($U$235,'TAR FIN'!$A$1:$O$92,15,0))</f>
        <v>0</v>
      </c>
      <c r="Y235" s="4">
        <f ca="1">('TUSD BE'!$AM$10+'TUSD BF'!$AM$10+'TUSD CVA'!$AM$10)*1</f>
        <v>19.024476785546895</v>
      </c>
      <c r="Z235" s="4"/>
      <c r="AA235" s="4"/>
      <c r="AB235" s="4">
        <f>$K$235*$V$235</f>
        <v>57169.200000000004</v>
      </c>
      <c r="AC235" s="4">
        <f>$M$235*$W$235</f>
        <v>0</v>
      </c>
      <c r="AD235" s="4">
        <f>$O$235*$X$235</f>
        <v>0</v>
      </c>
      <c r="AE235" s="4">
        <f ca="1">$K$235*$Y$235</f>
        <v>74290.581847560621</v>
      </c>
      <c r="AF235" s="4">
        <f>$M$235*$Z$235</f>
        <v>0</v>
      </c>
      <c r="AG235" s="4">
        <f>$O$235*$AA$235</f>
        <v>0</v>
      </c>
    </row>
    <row r="236" spans="1:33" ht="11.25" customHeight="1" x14ac:dyDescent="0.25">
      <c r="A236" s="3" t="s">
        <v>21</v>
      </c>
      <c r="B236" s="3" t="s">
        <v>39</v>
      </c>
      <c r="C236" s="3" t="s">
        <v>41</v>
      </c>
      <c r="D236" s="3" t="s">
        <v>42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44774</v>
      </c>
      <c r="J236" s="4">
        <v>33848</v>
      </c>
      <c r="K236" s="4">
        <v>33848</v>
      </c>
      <c r="L236" s="4">
        <v>0</v>
      </c>
      <c r="M236" s="4">
        <v>0</v>
      </c>
      <c r="N236" s="4">
        <v>0</v>
      </c>
      <c r="O236" s="4">
        <v>0</v>
      </c>
      <c r="P236" s="4">
        <v>236</v>
      </c>
      <c r="Q236" s="3" t="s">
        <v>26</v>
      </c>
      <c r="R236" s="3">
        <v>0</v>
      </c>
      <c r="S236" s="4">
        <v>18</v>
      </c>
      <c r="T236" s="4">
        <v>0</v>
      </c>
      <c r="U236" s="4">
        <v>0</v>
      </c>
      <c r="V236" s="4">
        <f>IF(ISERROR(VLOOKUP($S$236,'TAR FIN'!$A$1:$O$92,15,0)),0,VLOOKUP($S$236,'TAR FIN'!$A$1:$O$92,15,0))</f>
        <v>14.64</v>
      </c>
      <c r="W236" s="4">
        <f>IF(ISERROR(VLOOKUP($T$236,'TAR FIN'!$A$1:$O$92,15,0)),0,VLOOKUP($T$236,'TAR FIN'!$A$1:$O$92,15,0))</f>
        <v>0</v>
      </c>
      <c r="X236" s="4">
        <f>IF(ISERROR(VLOOKUP($U$236,'TAR FIN'!$A$1:$O$92,15,0)),0,VLOOKUP($U$236,'TAR FIN'!$A$1:$O$92,15,0))</f>
        <v>0</v>
      </c>
      <c r="Y236" s="4">
        <f ca="1">('TUSD BE'!$AM$10+'TUSD BF'!$AM$10+'TUSD CVA'!$AM$10)*1</f>
        <v>19.024476785546895</v>
      </c>
      <c r="Z236" s="4"/>
      <c r="AA236" s="4"/>
      <c r="AB236" s="4">
        <f>$K$236*$V$236</f>
        <v>495534.72000000003</v>
      </c>
      <c r="AC236" s="4">
        <f>$M$236*$W$236</f>
        <v>0</v>
      </c>
      <c r="AD236" s="4">
        <f>$O$236*$X$236</f>
        <v>0</v>
      </c>
      <c r="AE236" s="4">
        <f ca="1">$K$236*$Y$236</f>
        <v>643940.49023719132</v>
      </c>
      <c r="AF236" s="4">
        <f>$M$236*$Z$236</f>
        <v>0</v>
      </c>
      <c r="AG236" s="4">
        <f>$O$236*$AA$236</f>
        <v>0</v>
      </c>
    </row>
    <row r="237" spans="1:33" ht="11.25" customHeight="1" x14ac:dyDescent="0.25">
      <c r="A237" s="3" t="s">
        <v>27</v>
      </c>
      <c r="B237" s="3" t="s">
        <v>39</v>
      </c>
      <c r="C237" s="3" t="s">
        <v>41</v>
      </c>
      <c r="D237" s="3" t="s">
        <v>42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44774</v>
      </c>
      <c r="J237" s="4">
        <v>-94</v>
      </c>
      <c r="K237" s="4">
        <v>-94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26</v>
      </c>
      <c r="R237" s="3">
        <v>0</v>
      </c>
      <c r="S237" s="4">
        <v>18</v>
      </c>
      <c r="T237" s="4">
        <v>0</v>
      </c>
      <c r="U237" s="4">
        <v>0</v>
      </c>
      <c r="V237" s="4">
        <f>IF(ISERROR(VLOOKUP($S$237,'TAR FIN'!$A$1:$O$92,15,0)),0,VLOOKUP($S$237,'TAR FIN'!$A$1:$O$92,15,0))</f>
        <v>14.64</v>
      </c>
      <c r="W237" s="4">
        <f>IF(ISERROR(VLOOKUP($T$237,'TAR FIN'!$A$1:$O$92,15,0)),0,VLOOKUP($T$237,'TAR FIN'!$A$1:$O$92,15,0))</f>
        <v>0</v>
      </c>
      <c r="X237" s="4">
        <f>IF(ISERROR(VLOOKUP($U$237,'TAR FIN'!$A$1:$O$92,15,0)),0,VLOOKUP($U$237,'TAR FIN'!$A$1:$O$92,15,0))</f>
        <v>0</v>
      </c>
      <c r="Y237" s="4">
        <f ca="1">('TUSD BE'!$AM$10+'TUSD BF'!$AM$10+'TUSD CVA'!$AM$10)*1</f>
        <v>19.024476785546895</v>
      </c>
      <c r="Z237" s="4"/>
      <c r="AA237" s="4"/>
      <c r="AB237" s="4">
        <f>$K$237*$V$237</f>
        <v>-1376.16</v>
      </c>
      <c r="AC237" s="4">
        <f>$M$237*$W$237</f>
        <v>0</v>
      </c>
      <c r="AD237" s="4">
        <f>$O$237*$X$237</f>
        <v>0</v>
      </c>
      <c r="AE237" s="4">
        <f ca="1">$K$237*$Y$237</f>
        <v>-1788.3008178414082</v>
      </c>
      <c r="AF237" s="4">
        <f>$M$237*$Z$237</f>
        <v>0</v>
      </c>
      <c r="AG237" s="4">
        <f>$O$237*$AA$237</f>
        <v>0</v>
      </c>
    </row>
    <row r="238" spans="1:33" ht="11.25" customHeight="1" x14ac:dyDescent="0.25">
      <c r="A238" s="3" t="s">
        <v>28</v>
      </c>
      <c r="B238" s="3" t="s">
        <v>39</v>
      </c>
      <c r="C238" s="3" t="s">
        <v>41</v>
      </c>
      <c r="D238" s="3" t="s">
        <v>42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44774</v>
      </c>
      <c r="J238" s="4">
        <v>3971</v>
      </c>
      <c r="K238" s="4">
        <v>3971</v>
      </c>
      <c r="L238" s="4">
        <v>0</v>
      </c>
      <c r="M238" s="4">
        <v>0</v>
      </c>
      <c r="N238" s="4">
        <v>0</v>
      </c>
      <c r="O238" s="4">
        <v>0</v>
      </c>
      <c r="P238" s="4">
        <v>17</v>
      </c>
      <c r="Q238" s="3" t="s">
        <v>26</v>
      </c>
      <c r="R238" s="3">
        <v>0</v>
      </c>
      <c r="S238" s="4">
        <v>18</v>
      </c>
      <c r="T238" s="4">
        <v>0</v>
      </c>
      <c r="U238" s="4">
        <v>0</v>
      </c>
      <c r="V238" s="4">
        <f>IF(ISERROR(VLOOKUP($S$238,'TAR FIN'!$A$1:$O$92,15,0)),0,VLOOKUP($S$238,'TAR FIN'!$A$1:$O$92,15,0))</f>
        <v>14.64</v>
      </c>
      <c r="W238" s="4">
        <f>IF(ISERROR(VLOOKUP($T$238,'TAR FIN'!$A$1:$O$92,15,0)),0,VLOOKUP($T$238,'TAR FIN'!$A$1:$O$92,15,0))</f>
        <v>0</v>
      </c>
      <c r="X238" s="4">
        <f>IF(ISERROR(VLOOKUP($U$238,'TAR FIN'!$A$1:$O$92,15,0)),0,VLOOKUP($U$238,'TAR FIN'!$A$1:$O$92,15,0))</f>
        <v>0</v>
      </c>
      <c r="Y238" s="4">
        <f ca="1">('TUSD BE'!$AM$10+'TUSD BF'!$AM$10+'TUSD CVA'!$AM$10)*1</f>
        <v>19.024476785546895</v>
      </c>
      <c r="Z238" s="4"/>
      <c r="AA238" s="4"/>
      <c r="AB238" s="4">
        <f>$K$238*$V$238</f>
        <v>58135.44</v>
      </c>
      <c r="AC238" s="4">
        <f>$M$238*$W$238</f>
        <v>0</v>
      </c>
      <c r="AD238" s="4">
        <f>$O$238*$X$238</f>
        <v>0</v>
      </c>
      <c r="AE238" s="4">
        <f ca="1">$K$238*$Y$238</f>
        <v>75546.197315406724</v>
      </c>
      <c r="AF238" s="4">
        <f>$M$238*$Z$238</f>
        <v>0</v>
      </c>
      <c r="AG238" s="4">
        <f>$O$238*$AA$238</f>
        <v>0</v>
      </c>
    </row>
    <row r="239" spans="1:33" ht="11.25" customHeight="1" x14ac:dyDescent="0.25">
      <c r="A239" s="3" t="s">
        <v>21</v>
      </c>
      <c r="B239" s="3" t="s">
        <v>39</v>
      </c>
      <c r="C239" s="3" t="s">
        <v>41</v>
      </c>
      <c r="D239" s="3" t="s">
        <v>42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44805</v>
      </c>
      <c r="J239" s="4">
        <v>34132</v>
      </c>
      <c r="K239" s="4">
        <v>34132</v>
      </c>
      <c r="L239" s="4">
        <v>0</v>
      </c>
      <c r="M239" s="4">
        <v>0</v>
      </c>
      <c r="N239" s="4">
        <v>0</v>
      </c>
      <c r="O239" s="4">
        <v>0</v>
      </c>
      <c r="P239" s="4">
        <v>233</v>
      </c>
      <c r="Q239" s="3" t="s">
        <v>26</v>
      </c>
      <c r="R239" s="3">
        <v>0</v>
      </c>
      <c r="S239" s="4">
        <v>18</v>
      </c>
      <c r="T239" s="4">
        <v>0</v>
      </c>
      <c r="U239" s="4">
        <v>0</v>
      </c>
      <c r="V239" s="4">
        <f>IF(ISERROR(VLOOKUP($S$239,'TAR FIN'!$A$1:$O$92,15,0)),0,VLOOKUP($S$239,'TAR FIN'!$A$1:$O$92,15,0))</f>
        <v>14.64</v>
      </c>
      <c r="W239" s="4">
        <f>IF(ISERROR(VLOOKUP($T$239,'TAR FIN'!$A$1:$O$92,15,0)),0,VLOOKUP($T$239,'TAR FIN'!$A$1:$O$92,15,0))</f>
        <v>0</v>
      </c>
      <c r="X239" s="4">
        <f>IF(ISERROR(VLOOKUP($U$239,'TAR FIN'!$A$1:$O$92,15,0)),0,VLOOKUP($U$239,'TAR FIN'!$A$1:$O$92,15,0))</f>
        <v>0</v>
      </c>
      <c r="Y239" s="4">
        <f ca="1">('TUSD BE'!$AM$10+'TUSD BF'!$AM$10+'TUSD CVA'!$AM$10)*1</f>
        <v>19.024476785546895</v>
      </c>
      <c r="Z239" s="4"/>
      <c r="AA239" s="4"/>
      <c r="AB239" s="4">
        <f>$K$239*$V$239</f>
        <v>499692.48000000004</v>
      </c>
      <c r="AC239" s="4">
        <f>$M$239*$W$239</f>
        <v>0</v>
      </c>
      <c r="AD239" s="4">
        <f>$O$239*$X$239</f>
        <v>0</v>
      </c>
      <c r="AE239" s="4">
        <f ca="1">$K$239*$Y$239</f>
        <v>649343.44164428662</v>
      </c>
      <c r="AF239" s="4">
        <f>$M$239*$Z$239</f>
        <v>0</v>
      </c>
      <c r="AG239" s="4">
        <f>$O$239*$AA$239</f>
        <v>0</v>
      </c>
    </row>
    <row r="240" spans="1:33" ht="11.25" customHeight="1" x14ac:dyDescent="0.25">
      <c r="A240" s="3" t="s">
        <v>27</v>
      </c>
      <c r="B240" s="3" t="s">
        <v>39</v>
      </c>
      <c r="C240" s="3" t="s">
        <v>41</v>
      </c>
      <c r="D240" s="3" t="s">
        <v>42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44805</v>
      </c>
      <c r="J240" s="4">
        <v>-50</v>
      </c>
      <c r="K240" s="4">
        <v>-50</v>
      </c>
      <c r="L240" s="4">
        <v>0</v>
      </c>
      <c r="M240" s="4">
        <v>0</v>
      </c>
      <c r="N240" s="4">
        <v>0</v>
      </c>
      <c r="O240" s="4">
        <v>0</v>
      </c>
      <c r="P240" s="4">
        <v>-1</v>
      </c>
      <c r="Q240" s="3" t="s">
        <v>26</v>
      </c>
      <c r="R240" s="3">
        <v>0</v>
      </c>
      <c r="S240" s="4">
        <v>18</v>
      </c>
      <c r="T240" s="4">
        <v>0</v>
      </c>
      <c r="U240" s="4">
        <v>0</v>
      </c>
      <c r="V240" s="4">
        <f>IF(ISERROR(VLOOKUP($S$240,'TAR FIN'!$A$1:$O$92,15,0)),0,VLOOKUP($S$240,'TAR FIN'!$A$1:$O$92,15,0))</f>
        <v>14.64</v>
      </c>
      <c r="W240" s="4">
        <f>IF(ISERROR(VLOOKUP($T$240,'TAR FIN'!$A$1:$O$92,15,0)),0,VLOOKUP($T$240,'TAR FIN'!$A$1:$O$92,15,0))</f>
        <v>0</v>
      </c>
      <c r="X240" s="4">
        <f>IF(ISERROR(VLOOKUP($U$240,'TAR FIN'!$A$1:$O$92,15,0)),0,VLOOKUP($U$240,'TAR FIN'!$A$1:$O$92,15,0))</f>
        <v>0</v>
      </c>
      <c r="Y240" s="4">
        <f ca="1">('TUSD BE'!$AM$10+'TUSD BF'!$AM$10+'TUSD CVA'!$AM$10)*1</f>
        <v>19.024476785546895</v>
      </c>
      <c r="Z240" s="4"/>
      <c r="AA240" s="4"/>
      <c r="AB240" s="4">
        <f>$K$240*$V$240</f>
        <v>-732</v>
      </c>
      <c r="AC240" s="4">
        <f>$M$240*$W$240</f>
        <v>0</v>
      </c>
      <c r="AD240" s="4">
        <f>$O$240*$X$240</f>
        <v>0</v>
      </c>
      <c r="AE240" s="4">
        <f ca="1">$K$240*$Y$240</f>
        <v>-951.22383927734472</v>
      </c>
      <c r="AF240" s="4">
        <f>$M$240*$Z$240</f>
        <v>0</v>
      </c>
      <c r="AG240" s="4">
        <f>$O$240*$AA$240</f>
        <v>0</v>
      </c>
    </row>
    <row r="241" spans="1:33" ht="11.25" customHeight="1" x14ac:dyDescent="0.25">
      <c r="A241" s="3" t="s">
        <v>28</v>
      </c>
      <c r="B241" s="3" t="s">
        <v>39</v>
      </c>
      <c r="C241" s="3" t="s">
        <v>41</v>
      </c>
      <c r="D241" s="3" t="s">
        <v>42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44805</v>
      </c>
      <c r="J241" s="4">
        <v>3843</v>
      </c>
      <c r="K241" s="4">
        <v>3843</v>
      </c>
      <c r="L241" s="4">
        <v>0</v>
      </c>
      <c r="M241" s="4">
        <v>0</v>
      </c>
      <c r="N241" s="4">
        <v>0</v>
      </c>
      <c r="O241" s="4">
        <v>0</v>
      </c>
      <c r="P241" s="4">
        <v>18</v>
      </c>
      <c r="Q241" s="3" t="s">
        <v>26</v>
      </c>
      <c r="R241" s="3">
        <v>0</v>
      </c>
      <c r="S241" s="4">
        <v>18</v>
      </c>
      <c r="T241" s="4">
        <v>0</v>
      </c>
      <c r="U241" s="4">
        <v>0</v>
      </c>
      <c r="V241" s="4">
        <f>IF(ISERROR(VLOOKUP($S$241,'TAR FIN'!$A$1:$O$92,15,0)),0,VLOOKUP($S$241,'TAR FIN'!$A$1:$O$92,15,0))</f>
        <v>14.64</v>
      </c>
      <c r="W241" s="4">
        <f>IF(ISERROR(VLOOKUP($T$241,'TAR FIN'!$A$1:$O$92,15,0)),0,VLOOKUP($T$241,'TAR FIN'!$A$1:$O$92,15,0))</f>
        <v>0</v>
      </c>
      <c r="X241" s="4">
        <f>IF(ISERROR(VLOOKUP($U$241,'TAR FIN'!$A$1:$O$92,15,0)),0,VLOOKUP($U$241,'TAR FIN'!$A$1:$O$92,15,0))</f>
        <v>0</v>
      </c>
      <c r="Y241" s="4">
        <f ca="1">('TUSD BE'!$AM$10+'TUSD BF'!$AM$10+'TUSD CVA'!$AM$10)*1</f>
        <v>19.024476785546895</v>
      </c>
      <c r="Z241" s="4"/>
      <c r="AA241" s="4"/>
      <c r="AB241" s="4">
        <f>$K$241*$V$241</f>
        <v>56261.520000000004</v>
      </c>
      <c r="AC241" s="4">
        <f>$M$241*$W$241</f>
        <v>0</v>
      </c>
      <c r="AD241" s="4">
        <f>$O$241*$X$241</f>
        <v>0</v>
      </c>
      <c r="AE241" s="4">
        <f ca="1">$K$241*$Y$241</f>
        <v>73111.064286856723</v>
      </c>
      <c r="AF241" s="4">
        <f>$M$241*$Z$241</f>
        <v>0</v>
      </c>
      <c r="AG241" s="4">
        <f>$O$241*$AA$241</f>
        <v>0</v>
      </c>
    </row>
    <row r="242" spans="1:33" ht="11.25" customHeight="1" x14ac:dyDescent="0.25">
      <c r="A242" s="3" t="s">
        <v>55</v>
      </c>
      <c r="B242" s="3" t="s">
        <v>39</v>
      </c>
      <c r="C242" s="3" t="s">
        <v>41</v>
      </c>
      <c r="D242" s="3" t="s">
        <v>42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44835</v>
      </c>
      <c r="J242" s="4">
        <v>34132</v>
      </c>
      <c r="K242" s="4">
        <v>34132</v>
      </c>
      <c r="L242" s="4">
        <v>0</v>
      </c>
      <c r="M242" s="4">
        <v>0</v>
      </c>
      <c r="N242" s="4">
        <v>0</v>
      </c>
      <c r="O242" s="4">
        <v>0</v>
      </c>
      <c r="P242" s="4">
        <v>233</v>
      </c>
      <c r="Q242" s="3" t="s">
        <v>26</v>
      </c>
      <c r="R242" s="3">
        <v>0</v>
      </c>
      <c r="S242" s="4">
        <v>18</v>
      </c>
      <c r="T242" s="4">
        <v>0</v>
      </c>
      <c r="U242" s="4">
        <v>0</v>
      </c>
      <c r="V242" s="4">
        <f>IF(ISERROR(VLOOKUP($S$242,'TAR FIN'!$A$1:$O$92,15,0)),0,VLOOKUP($S$242,'TAR FIN'!$A$1:$O$92,15,0))</f>
        <v>14.64</v>
      </c>
      <c r="W242" s="4">
        <f>IF(ISERROR(VLOOKUP($T$242,'TAR FIN'!$A$1:$O$92,15,0)),0,VLOOKUP($T$242,'TAR FIN'!$A$1:$O$92,15,0))</f>
        <v>0</v>
      </c>
      <c r="X242" s="4">
        <f>IF(ISERROR(VLOOKUP($U$242,'TAR FIN'!$A$1:$O$92,15,0)),0,VLOOKUP($U$242,'TAR FIN'!$A$1:$O$92,15,0))</f>
        <v>0</v>
      </c>
      <c r="Y242" s="4">
        <f ca="1">('TUSD BE'!$AM$10+'TUSD BF'!$AM$10+'TUSD CVA'!$AM$10)*1</f>
        <v>19.024476785546895</v>
      </c>
      <c r="Z242" s="4"/>
      <c r="AA242" s="4"/>
      <c r="AB242" s="4">
        <f>$K$242*$V$242</f>
        <v>499692.48000000004</v>
      </c>
      <c r="AC242" s="4">
        <f>$M$242*$W$242</f>
        <v>0</v>
      </c>
      <c r="AD242" s="4">
        <f>$O$242*$X$242</f>
        <v>0</v>
      </c>
      <c r="AE242" s="4">
        <f ca="1">$K$242*$Y$242</f>
        <v>649343.44164428662</v>
      </c>
      <c r="AF242" s="4">
        <f>$M$242*$Z$242</f>
        <v>0</v>
      </c>
      <c r="AG242" s="4">
        <f>$O$242*$AA$242</f>
        <v>0</v>
      </c>
    </row>
    <row r="243" spans="1:33" ht="11.25" customHeight="1" x14ac:dyDescent="0.25">
      <c r="A243" s="3" t="s">
        <v>55</v>
      </c>
      <c r="B243" s="3" t="s">
        <v>39</v>
      </c>
      <c r="C243" s="3" t="s">
        <v>41</v>
      </c>
      <c r="D243" s="3" t="s">
        <v>42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44835</v>
      </c>
      <c r="J243" s="4">
        <v>-50</v>
      </c>
      <c r="K243" s="4">
        <v>-50</v>
      </c>
      <c r="L243" s="4">
        <v>0</v>
      </c>
      <c r="M243" s="4">
        <v>0</v>
      </c>
      <c r="N243" s="4">
        <v>0</v>
      </c>
      <c r="O243" s="4">
        <v>0</v>
      </c>
      <c r="P243" s="4">
        <v>-1</v>
      </c>
      <c r="Q243" s="3" t="s">
        <v>26</v>
      </c>
      <c r="R243" s="3">
        <v>0</v>
      </c>
      <c r="S243" s="4">
        <v>18</v>
      </c>
      <c r="T243" s="4">
        <v>0</v>
      </c>
      <c r="U243" s="4">
        <v>0</v>
      </c>
      <c r="V243" s="4">
        <f>IF(ISERROR(VLOOKUP($S$243,'TAR FIN'!$A$1:$O$92,15,0)),0,VLOOKUP($S$243,'TAR FIN'!$A$1:$O$92,15,0))</f>
        <v>14.64</v>
      </c>
      <c r="W243" s="4">
        <f>IF(ISERROR(VLOOKUP($T$243,'TAR FIN'!$A$1:$O$92,15,0)),0,VLOOKUP($T$243,'TAR FIN'!$A$1:$O$92,15,0))</f>
        <v>0</v>
      </c>
      <c r="X243" s="4">
        <f>IF(ISERROR(VLOOKUP($U$243,'TAR FIN'!$A$1:$O$92,15,0)),0,VLOOKUP($U$243,'TAR FIN'!$A$1:$O$92,15,0))</f>
        <v>0</v>
      </c>
      <c r="Y243" s="4">
        <f ca="1">('TUSD BE'!$AM$10+'TUSD BF'!$AM$10+'TUSD CVA'!$AM$10)*1</f>
        <v>19.024476785546895</v>
      </c>
      <c r="Z243" s="4"/>
      <c r="AA243" s="4"/>
      <c r="AB243" s="4">
        <f>$K$243*$V$243</f>
        <v>-732</v>
      </c>
      <c r="AC243" s="4">
        <f>$M$243*$W$243</f>
        <v>0</v>
      </c>
      <c r="AD243" s="4">
        <f>$O$243*$X$243</f>
        <v>0</v>
      </c>
      <c r="AE243" s="4">
        <f ca="1">$K$243*$Y$243</f>
        <v>-951.22383927734472</v>
      </c>
      <c r="AF243" s="4">
        <f>$M$243*$Z$243</f>
        <v>0</v>
      </c>
      <c r="AG243" s="4">
        <f>$O$243*$AA$243</f>
        <v>0</v>
      </c>
    </row>
    <row r="244" spans="1:33" ht="11.25" customHeight="1" x14ac:dyDescent="0.25">
      <c r="A244" s="3" t="s">
        <v>55</v>
      </c>
      <c r="B244" s="3" t="s">
        <v>39</v>
      </c>
      <c r="C244" s="3" t="s">
        <v>41</v>
      </c>
      <c r="D244" s="3" t="s">
        <v>42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44835</v>
      </c>
      <c r="J244" s="4">
        <v>3843</v>
      </c>
      <c r="K244" s="4">
        <v>3843</v>
      </c>
      <c r="L244" s="4">
        <v>0</v>
      </c>
      <c r="M244" s="4">
        <v>0</v>
      </c>
      <c r="N244" s="4">
        <v>0</v>
      </c>
      <c r="O244" s="4">
        <v>0</v>
      </c>
      <c r="P244" s="4">
        <v>18</v>
      </c>
      <c r="Q244" s="3" t="s">
        <v>26</v>
      </c>
      <c r="R244" s="3">
        <v>0</v>
      </c>
      <c r="S244" s="4">
        <v>18</v>
      </c>
      <c r="T244" s="4">
        <v>0</v>
      </c>
      <c r="U244" s="4">
        <v>0</v>
      </c>
      <c r="V244" s="4">
        <f>IF(ISERROR(VLOOKUP($S$244,'TAR FIN'!$A$1:$O$92,15,0)),0,VLOOKUP($S$244,'TAR FIN'!$A$1:$O$92,15,0))</f>
        <v>14.64</v>
      </c>
      <c r="W244" s="4">
        <f>IF(ISERROR(VLOOKUP($T$244,'TAR FIN'!$A$1:$O$92,15,0)),0,VLOOKUP($T$244,'TAR FIN'!$A$1:$O$92,15,0))</f>
        <v>0</v>
      </c>
      <c r="X244" s="4">
        <f>IF(ISERROR(VLOOKUP($U$244,'TAR FIN'!$A$1:$O$92,15,0)),0,VLOOKUP($U$244,'TAR FIN'!$A$1:$O$92,15,0))</f>
        <v>0</v>
      </c>
      <c r="Y244" s="4">
        <f ca="1">('TUSD BE'!$AM$10+'TUSD BF'!$AM$10+'TUSD CVA'!$AM$10)*1</f>
        <v>19.024476785546895</v>
      </c>
      <c r="Z244" s="4"/>
      <c r="AA244" s="4"/>
      <c r="AB244" s="4">
        <f>$K$244*$V$244</f>
        <v>56261.520000000004</v>
      </c>
      <c r="AC244" s="4">
        <f>$M$244*$W$244</f>
        <v>0</v>
      </c>
      <c r="AD244" s="4">
        <f>$O$244*$X$244</f>
        <v>0</v>
      </c>
      <c r="AE244" s="4">
        <f ca="1">$K$244*$Y$244</f>
        <v>73111.064286856723</v>
      </c>
      <c r="AF244" s="4">
        <f>$M$244*$Z$244</f>
        <v>0</v>
      </c>
      <c r="AG244" s="4">
        <f>$O$244*$AA$244</f>
        <v>0</v>
      </c>
    </row>
    <row r="245" spans="1:33" ht="11.25" customHeight="1" x14ac:dyDescent="0.25">
      <c r="A245" s="3" t="s">
        <v>21</v>
      </c>
      <c r="B245" s="3" t="s">
        <v>39</v>
      </c>
      <c r="C245" s="3" t="s">
        <v>41</v>
      </c>
      <c r="D245" s="3" t="s">
        <v>42</v>
      </c>
      <c r="E245" s="3" t="s">
        <v>25</v>
      </c>
      <c r="F245" s="3" t="s">
        <v>25</v>
      </c>
      <c r="G245" s="3" t="s">
        <v>25</v>
      </c>
      <c r="H245" s="3" t="s">
        <v>34</v>
      </c>
      <c r="I245" s="6">
        <v>44501</v>
      </c>
      <c r="J245" s="4">
        <v>0</v>
      </c>
      <c r="K245" s="4">
        <v>0</v>
      </c>
      <c r="L245" s="4">
        <v>422.923</v>
      </c>
      <c r="M245" s="4">
        <v>422.923</v>
      </c>
      <c r="N245" s="4">
        <v>422.923</v>
      </c>
      <c r="O245" s="4">
        <v>422.923</v>
      </c>
      <c r="P245" s="4">
        <v>0</v>
      </c>
      <c r="Q245" s="3" t="s">
        <v>26</v>
      </c>
      <c r="R245" s="3">
        <v>0</v>
      </c>
      <c r="S245" s="4">
        <v>0</v>
      </c>
      <c r="T245" s="4">
        <v>11</v>
      </c>
      <c r="U245" s="4">
        <v>71</v>
      </c>
      <c r="V245" s="4">
        <f>IF(ISERROR(VLOOKUP($S$245,'TAR FIN'!$A$1:$O$92,15,0)),0,VLOOKUP($S$245,'TAR FIN'!$A$1:$O$92,15,0))</f>
        <v>0</v>
      </c>
      <c r="W245" s="4">
        <f>IF(ISERROR(VLOOKUP($T$245,'TAR FIN'!$A$1:$O$92,15,0)),0,VLOOKUP($T$245,'TAR FIN'!$A$1:$O$92,15,0))</f>
        <v>1155.51</v>
      </c>
      <c r="X245" s="4">
        <f>IF(ISERROR(VLOOKUP($U$245,'TAR FIN'!$A$1:$O$92,15,0)),0,VLOOKUP($U$245,'TAR FIN'!$A$1:$O$92,15,0))</f>
        <v>433.77</v>
      </c>
      <c r="Y245" s="4"/>
      <c r="Z245" s="4">
        <f ca="1">('TUSD BE'!$AM$11+'TUSD BF'!$AM$11+'TUSD CVA'!$AM$11)*1</f>
        <v>1493.7817824374656</v>
      </c>
      <c r="AA245" s="4">
        <f>('TE BE'!$AB$5+'TE BF'!$AB$5+'TE CVA'!$AB$5)*1</f>
        <v>542.84414704984056</v>
      </c>
      <c r="AB245" s="4">
        <f>$K$245*$V$245</f>
        <v>0</v>
      </c>
      <c r="AC245" s="4">
        <f>$M$245*$W$245</f>
        <v>488691.75572999998</v>
      </c>
      <c r="AD245" s="4">
        <f>$O$245*$X$245</f>
        <v>183451.30971</v>
      </c>
      <c r="AE245" s="4">
        <f>$K$245*$Y$245</f>
        <v>0</v>
      </c>
      <c r="AF245" s="4">
        <f ca="1">$M$245*$Z$245</f>
        <v>631754.67277380032</v>
      </c>
      <c r="AG245" s="4">
        <f>$O$245*$AA$245</f>
        <v>229581.27520275972</v>
      </c>
    </row>
    <row r="246" spans="1:33" ht="11.25" customHeight="1" x14ac:dyDescent="0.25">
      <c r="A246" s="3" t="s">
        <v>27</v>
      </c>
      <c r="B246" s="3" t="s">
        <v>39</v>
      </c>
      <c r="C246" s="3" t="s">
        <v>41</v>
      </c>
      <c r="D246" s="3" t="s">
        <v>42</v>
      </c>
      <c r="E246" s="3" t="s">
        <v>25</v>
      </c>
      <c r="F246" s="3" t="s">
        <v>25</v>
      </c>
      <c r="G246" s="3" t="s">
        <v>25</v>
      </c>
      <c r="H246" s="3" t="s">
        <v>34</v>
      </c>
      <c r="I246" s="6">
        <v>44501</v>
      </c>
      <c r="J246" s="4">
        <v>0</v>
      </c>
      <c r="K246" s="4">
        <v>0</v>
      </c>
      <c r="L246" s="4">
        <v>-2.3340000000000001</v>
      </c>
      <c r="M246" s="4">
        <v>-2.3340000000000001</v>
      </c>
      <c r="N246" s="4">
        <v>-2.3340000000000001</v>
      </c>
      <c r="O246" s="4">
        <v>-2.3340000000000001</v>
      </c>
      <c r="P246" s="4">
        <v>0</v>
      </c>
      <c r="Q246" s="3" t="s">
        <v>26</v>
      </c>
      <c r="R246" s="3">
        <v>0</v>
      </c>
      <c r="S246" s="4">
        <v>0</v>
      </c>
      <c r="T246" s="4">
        <v>11</v>
      </c>
      <c r="U246" s="4">
        <v>71</v>
      </c>
      <c r="V246" s="4">
        <f>IF(ISERROR(VLOOKUP($S$246,'TAR FIN'!$A$1:$O$92,15,0)),0,VLOOKUP($S$246,'TAR FIN'!$A$1:$O$92,15,0))</f>
        <v>0</v>
      </c>
      <c r="W246" s="4">
        <f>IF(ISERROR(VLOOKUP($T$246,'TAR FIN'!$A$1:$O$92,15,0)),0,VLOOKUP($T$246,'TAR FIN'!$A$1:$O$92,15,0))</f>
        <v>1155.51</v>
      </c>
      <c r="X246" s="4">
        <f>IF(ISERROR(VLOOKUP($U$246,'TAR FIN'!$A$1:$O$92,15,0)),0,VLOOKUP($U$246,'TAR FIN'!$A$1:$O$92,15,0))</f>
        <v>433.77</v>
      </c>
      <c r="Y246" s="4"/>
      <c r="Z246" s="4">
        <f ca="1">('TUSD BE'!$AM$11+'TUSD BF'!$AM$11+'TUSD CVA'!$AM$11)*1</f>
        <v>1493.7817824374656</v>
      </c>
      <c r="AA246" s="4">
        <f>('TE BE'!$AB$5+'TE BF'!$AB$5+'TE CVA'!$AB$5)*1</f>
        <v>542.84414704984056</v>
      </c>
      <c r="AB246" s="4">
        <f>$K$246*$V$246</f>
        <v>0</v>
      </c>
      <c r="AC246" s="4">
        <f>$M$246*$W$246</f>
        <v>-2696.9603400000001</v>
      </c>
      <c r="AD246" s="4">
        <f>$O$246*$X$246</f>
        <v>-1012.41918</v>
      </c>
      <c r="AE246" s="4">
        <f>$K$246*$Y$246</f>
        <v>0</v>
      </c>
      <c r="AF246" s="4">
        <f ca="1">$M$246*$Z$246</f>
        <v>-3486.4866802090451</v>
      </c>
      <c r="AG246" s="4">
        <f>$O$246*$AA$246</f>
        <v>-1266.9982392143279</v>
      </c>
    </row>
    <row r="247" spans="1:33" ht="11.25" customHeight="1" x14ac:dyDescent="0.25">
      <c r="A247" s="3" t="s">
        <v>28</v>
      </c>
      <c r="B247" s="3" t="s">
        <v>39</v>
      </c>
      <c r="C247" s="3" t="s">
        <v>41</v>
      </c>
      <c r="D247" s="3" t="s">
        <v>42</v>
      </c>
      <c r="E247" s="3" t="s">
        <v>25</v>
      </c>
      <c r="F247" s="3" t="s">
        <v>25</v>
      </c>
      <c r="G247" s="3" t="s">
        <v>25</v>
      </c>
      <c r="H247" s="3" t="s">
        <v>34</v>
      </c>
      <c r="I247" s="6">
        <v>44501</v>
      </c>
      <c r="J247" s="4">
        <v>0</v>
      </c>
      <c r="K247" s="4">
        <v>0</v>
      </c>
      <c r="L247" s="4">
        <v>16.125</v>
      </c>
      <c r="M247" s="4">
        <v>16.125</v>
      </c>
      <c r="N247" s="4">
        <v>16.125</v>
      </c>
      <c r="O247" s="4">
        <v>16.125</v>
      </c>
      <c r="P247" s="4">
        <v>0</v>
      </c>
      <c r="Q247" s="3" t="s">
        <v>26</v>
      </c>
      <c r="R247" s="3">
        <v>0</v>
      </c>
      <c r="S247" s="4">
        <v>0</v>
      </c>
      <c r="T247" s="4">
        <v>11</v>
      </c>
      <c r="U247" s="4">
        <v>71</v>
      </c>
      <c r="V247" s="4">
        <f>IF(ISERROR(VLOOKUP($S$247,'TAR FIN'!$A$1:$O$92,15,0)),0,VLOOKUP($S$247,'TAR FIN'!$A$1:$O$92,15,0))</f>
        <v>0</v>
      </c>
      <c r="W247" s="4">
        <f>IF(ISERROR(VLOOKUP($T$247,'TAR FIN'!$A$1:$O$92,15,0)),0,VLOOKUP($T$247,'TAR FIN'!$A$1:$O$92,15,0))</f>
        <v>1155.51</v>
      </c>
      <c r="X247" s="4">
        <f>IF(ISERROR(VLOOKUP($U$247,'TAR FIN'!$A$1:$O$92,15,0)),0,VLOOKUP($U$247,'TAR FIN'!$A$1:$O$92,15,0))</f>
        <v>433.77</v>
      </c>
      <c r="Y247" s="4"/>
      <c r="Z247" s="4">
        <f ca="1">('TUSD BE'!$AM$11+'TUSD BF'!$AM$11+'TUSD CVA'!$AM$11)*1</f>
        <v>1493.7817824374656</v>
      </c>
      <c r="AA247" s="4">
        <f>('TE BE'!$AB$5+'TE BF'!$AB$5+'TE CVA'!$AB$5)*1</f>
        <v>542.84414704984056</v>
      </c>
      <c r="AB247" s="4">
        <f>$K$247*$V$247</f>
        <v>0</v>
      </c>
      <c r="AC247" s="4">
        <f>$M$247*$W$247</f>
        <v>18632.598750000001</v>
      </c>
      <c r="AD247" s="4">
        <f>$O$247*$X$247</f>
        <v>6994.5412499999993</v>
      </c>
      <c r="AE247" s="4">
        <f>$K$247*$Y$247</f>
        <v>0</v>
      </c>
      <c r="AF247" s="4">
        <f ca="1">$M$247*$Z$247</f>
        <v>24087.231241804133</v>
      </c>
      <c r="AG247" s="4">
        <f>$O$247*$AA$247</f>
        <v>8753.3618711786785</v>
      </c>
    </row>
    <row r="248" spans="1:33" ht="11.25" customHeight="1" x14ac:dyDescent="0.25">
      <c r="A248" s="3" t="s">
        <v>21</v>
      </c>
      <c r="B248" s="3" t="s">
        <v>39</v>
      </c>
      <c r="C248" s="3" t="s">
        <v>41</v>
      </c>
      <c r="D248" s="3" t="s">
        <v>42</v>
      </c>
      <c r="E248" s="3" t="s">
        <v>25</v>
      </c>
      <c r="F248" s="3" t="s">
        <v>25</v>
      </c>
      <c r="G248" s="3" t="s">
        <v>25</v>
      </c>
      <c r="H248" s="3" t="s">
        <v>34</v>
      </c>
      <c r="I248" s="6">
        <v>44531</v>
      </c>
      <c r="J248" s="4">
        <v>0</v>
      </c>
      <c r="K248" s="4">
        <v>0</v>
      </c>
      <c r="L248" s="4">
        <v>460.81099999999998</v>
      </c>
      <c r="M248" s="4">
        <v>460.81099999999998</v>
      </c>
      <c r="N248" s="4">
        <v>460.81099999999998</v>
      </c>
      <c r="O248" s="4">
        <v>460.81099999999998</v>
      </c>
      <c r="P248" s="4">
        <v>0</v>
      </c>
      <c r="Q248" s="3" t="s">
        <v>26</v>
      </c>
      <c r="R248" s="3">
        <v>0</v>
      </c>
      <c r="S248" s="4">
        <v>0</v>
      </c>
      <c r="T248" s="4">
        <v>11</v>
      </c>
      <c r="U248" s="4">
        <v>71</v>
      </c>
      <c r="V248" s="4">
        <f>IF(ISERROR(VLOOKUP($S$248,'TAR FIN'!$A$1:$O$92,15,0)),0,VLOOKUP($S$248,'TAR FIN'!$A$1:$O$92,15,0))</f>
        <v>0</v>
      </c>
      <c r="W248" s="4">
        <f>IF(ISERROR(VLOOKUP($T$248,'TAR FIN'!$A$1:$O$92,15,0)),0,VLOOKUP($T$248,'TAR FIN'!$A$1:$O$92,15,0))</f>
        <v>1155.51</v>
      </c>
      <c r="X248" s="4">
        <f>IF(ISERROR(VLOOKUP($U$248,'TAR FIN'!$A$1:$O$92,15,0)),0,VLOOKUP($U$248,'TAR FIN'!$A$1:$O$92,15,0))</f>
        <v>433.77</v>
      </c>
      <c r="Y248" s="4"/>
      <c r="Z248" s="4">
        <f ca="1">('TUSD BE'!$AM$11+'TUSD BF'!$AM$11+'TUSD CVA'!$AM$11)*1</f>
        <v>1493.7817824374656</v>
      </c>
      <c r="AA248" s="4">
        <f>('TE BE'!$AB$5+'TE BF'!$AB$5+'TE CVA'!$AB$5)*1</f>
        <v>542.84414704984056</v>
      </c>
      <c r="AB248" s="4">
        <f>$K$248*$V$248</f>
        <v>0</v>
      </c>
      <c r="AC248" s="4">
        <f>$M$248*$W$248</f>
        <v>532471.71860999998</v>
      </c>
      <c r="AD248" s="4">
        <f>$O$248*$X$248</f>
        <v>199885.98746999999</v>
      </c>
      <c r="AE248" s="4">
        <f>$K$248*$Y$248</f>
        <v>0</v>
      </c>
      <c r="AF248" s="4">
        <f ca="1">$M$248*$Z$248</f>
        <v>688351.07694679091</v>
      </c>
      <c r="AG248" s="4">
        <f>$O$248*$AA$248</f>
        <v>250148.55424618407</v>
      </c>
    </row>
    <row r="249" spans="1:33" ht="11.25" customHeight="1" x14ac:dyDescent="0.25">
      <c r="A249" s="3" t="s">
        <v>27</v>
      </c>
      <c r="B249" s="3" t="s">
        <v>39</v>
      </c>
      <c r="C249" s="3" t="s">
        <v>41</v>
      </c>
      <c r="D249" s="3" t="s">
        <v>42</v>
      </c>
      <c r="E249" s="3" t="s">
        <v>25</v>
      </c>
      <c r="F249" s="3" t="s">
        <v>25</v>
      </c>
      <c r="G249" s="3" t="s">
        <v>25</v>
      </c>
      <c r="H249" s="3" t="s">
        <v>34</v>
      </c>
      <c r="I249" s="6">
        <v>44531</v>
      </c>
      <c r="J249" s="4">
        <v>0</v>
      </c>
      <c r="K249" s="4">
        <v>0</v>
      </c>
      <c r="L249" s="4">
        <v>0.129</v>
      </c>
      <c r="M249" s="4">
        <v>0.129</v>
      </c>
      <c r="N249" s="4">
        <v>0.129</v>
      </c>
      <c r="O249" s="4">
        <v>0.129</v>
      </c>
      <c r="P249" s="4">
        <v>0</v>
      </c>
      <c r="Q249" s="3" t="s">
        <v>26</v>
      </c>
      <c r="R249" s="3">
        <v>0</v>
      </c>
      <c r="S249" s="4">
        <v>0</v>
      </c>
      <c r="T249" s="4">
        <v>11</v>
      </c>
      <c r="U249" s="4">
        <v>71</v>
      </c>
      <c r="V249" s="4">
        <f>IF(ISERROR(VLOOKUP($S$249,'TAR FIN'!$A$1:$O$92,15,0)),0,VLOOKUP($S$249,'TAR FIN'!$A$1:$O$92,15,0))</f>
        <v>0</v>
      </c>
      <c r="W249" s="4">
        <f>IF(ISERROR(VLOOKUP($T$249,'TAR FIN'!$A$1:$O$92,15,0)),0,VLOOKUP($T$249,'TAR FIN'!$A$1:$O$92,15,0))</f>
        <v>1155.51</v>
      </c>
      <c r="X249" s="4">
        <f>IF(ISERROR(VLOOKUP($U$249,'TAR FIN'!$A$1:$O$92,15,0)),0,VLOOKUP($U$249,'TAR FIN'!$A$1:$O$92,15,0))</f>
        <v>433.77</v>
      </c>
      <c r="Y249" s="4"/>
      <c r="Z249" s="4">
        <f ca="1">('TUSD BE'!$AM$11+'TUSD BF'!$AM$11+'TUSD CVA'!$AM$11)*1</f>
        <v>1493.7817824374656</v>
      </c>
      <c r="AA249" s="4">
        <f>('TE BE'!$AB$5+'TE BF'!$AB$5+'TE CVA'!$AB$5)*1</f>
        <v>542.84414704984056</v>
      </c>
      <c r="AB249" s="4">
        <f>$K$249*$V$249</f>
        <v>0</v>
      </c>
      <c r="AC249" s="4">
        <f>$M$249*$W$249</f>
        <v>149.06079</v>
      </c>
      <c r="AD249" s="4">
        <f>$O$249*$X$249</f>
        <v>55.956330000000001</v>
      </c>
      <c r="AE249" s="4">
        <f>$K$249*$Y$249</f>
        <v>0</v>
      </c>
      <c r="AF249" s="4">
        <f ca="1">$M$249*$Z$249</f>
        <v>192.69784993443307</v>
      </c>
      <c r="AG249" s="4">
        <f>$O$249*$AA$249</f>
        <v>70.026894969429435</v>
      </c>
    </row>
    <row r="250" spans="1:33" ht="11.25" customHeight="1" x14ac:dyDescent="0.25">
      <c r="A250" s="3" t="s">
        <v>28</v>
      </c>
      <c r="B250" s="3" t="s">
        <v>39</v>
      </c>
      <c r="C250" s="3" t="s">
        <v>41</v>
      </c>
      <c r="D250" s="3" t="s">
        <v>42</v>
      </c>
      <c r="E250" s="3" t="s">
        <v>25</v>
      </c>
      <c r="F250" s="3" t="s">
        <v>25</v>
      </c>
      <c r="G250" s="3" t="s">
        <v>25</v>
      </c>
      <c r="H250" s="3" t="s">
        <v>34</v>
      </c>
      <c r="I250" s="6">
        <v>44531</v>
      </c>
      <c r="J250" s="4">
        <v>0</v>
      </c>
      <c r="K250" s="4">
        <v>0</v>
      </c>
      <c r="L250" s="4">
        <v>19.236999999999998</v>
      </c>
      <c r="M250" s="4">
        <v>19.236999999999998</v>
      </c>
      <c r="N250" s="4">
        <v>19.236999999999998</v>
      </c>
      <c r="O250" s="4">
        <v>19.236999999999998</v>
      </c>
      <c r="P250" s="4">
        <v>0</v>
      </c>
      <c r="Q250" s="3" t="s">
        <v>26</v>
      </c>
      <c r="R250" s="3">
        <v>0</v>
      </c>
      <c r="S250" s="4">
        <v>0</v>
      </c>
      <c r="T250" s="4">
        <v>11</v>
      </c>
      <c r="U250" s="4">
        <v>71</v>
      </c>
      <c r="V250" s="4">
        <f>IF(ISERROR(VLOOKUP($S$250,'TAR FIN'!$A$1:$O$92,15,0)),0,VLOOKUP($S$250,'TAR FIN'!$A$1:$O$92,15,0))</f>
        <v>0</v>
      </c>
      <c r="W250" s="4">
        <f>IF(ISERROR(VLOOKUP($T$250,'TAR FIN'!$A$1:$O$92,15,0)),0,VLOOKUP($T$250,'TAR FIN'!$A$1:$O$92,15,0))</f>
        <v>1155.51</v>
      </c>
      <c r="X250" s="4">
        <f>IF(ISERROR(VLOOKUP($U$250,'TAR FIN'!$A$1:$O$92,15,0)),0,VLOOKUP($U$250,'TAR FIN'!$A$1:$O$92,15,0))</f>
        <v>433.77</v>
      </c>
      <c r="Y250" s="4"/>
      <c r="Z250" s="4">
        <f ca="1">('TUSD BE'!$AM$11+'TUSD BF'!$AM$11+'TUSD CVA'!$AM$11)*1</f>
        <v>1493.7817824374656</v>
      </c>
      <c r="AA250" s="4">
        <f>('TE BE'!$AB$5+'TE BF'!$AB$5+'TE CVA'!$AB$5)*1</f>
        <v>542.84414704984056</v>
      </c>
      <c r="AB250" s="4">
        <f>$K$250*$V$250</f>
        <v>0</v>
      </c>
      <c r="AC250" s="4">
        <f>$M$250*$W$250</f>
        <v>22228.545869999998</v>
      </c>
      <c r="AD250" s="4">
        <f>$O$250*$X$250</f>
        <v>8344.4334899999994</v>
      </c>
      <c r="AE250" s="4">
        <f>$K$250*$Y$250</f>
        <v>0</v>
      </c>
      <c r="AF250" s="4">
        <f ca="1">$M$250*$Z$250</f>
        <v>28735.880148749522</v>
      </c>
      <c r="AG250" s="4">
        <f>$O$250*$AA$250</f>
        <v>10442.692856797781</v>
      </c>
    </row>
    <row r="251" spans="1:33" ht="11.25" customHeight="1" x14ac:dyDescent="0.25">
      <c r="A251" s="3" t="s">
        <v>21</v>
      </c>
      <c r="B251" s="3" t="s">
        <v>39</v>
      </c>
      <c r="C251" s="3" t="s">
        <v>41</v>
      </c>
      <c r="D251" s="3" t="s">
        <v>42</v>
      </c>
      <c r="E251" s="3" t="s">
        <v>25</v>
      </c>
      <c r="F251" s="3" t="s">
        <v>25</v>
      </c>
      <c r="G251" s="3" t="s">
        <v>25</v>
      </c>
      <c r="H251" s="3" t="s">
        <v>34</v>
      </c>
      <c r="I251" s="6">
        <v>44562</v>
      </c>
      <c r="J251" s="4">
        <v>0</v>
      </c>
      <c r="K251" s="4">
        <v>0</v>
      </c>
      <c r="L251" s="4">
        <v>411.53300000000002</v>
      </c>
      <c r="M251" s="4">
        <v>411.53300000000002</v>
      </c>
      <c r="N251" s="4">
        <v>411.53300000000002</v>
      </c>
      <c r="O251" s="4">
        <v>411.53300000000002</v>
      </c>
      <c r="P251" s="4">
        <v>0</v>
      </c>
      <c r="Q251" s="3" t="s">
        <v>26</v>
      </c>
      <c r="R251" s="3">
        <v>0</v>
      </c>
      <c r="S251" s="4">
        <v>0</v>
      </c>
      <c r="T251" s="4">
        <v>11</v>
      </c>
      <c r="U251" s="4">
        <v>71</v>
      </c>
      <c r="V251" s="4">
        <f>IF(ISERROR(VLOOKUP($S$251,'TAR FIN'!$A$1:$O$92,15,0)),0,VLOOKUP($S$251,'TAR FIN'!$A$1:$O$92,15,0))</f>
        <v>0</v>
      </c>
      <c r="W251" s="4">
        <f>IF(ISERROR(VLOOKUP($T$251,'TAR FIN'!$A$1:$O$92,15,0)),0,VLOOKUP($T$251,'TAR FIN'!$A$1:$O$92,15,0))</f>
        <v>1155.51</v>
      </c>
      <c r="X251" s="4">
        <f>IF(ISERROR(VLOOKUP($U$251,'TAR FIN'!$A$1:$O$92,15,0)),0,VLOOKUP($U$251,'TAR FIN'!$A$1:$O$92,15,0))</f>
        <v>433.77</v>
      </c>
      <c r="Y251" s="4"/>
      <c r="Z251" s="4">
        <f ca="1">('TUSD BE'!$AM$11+'TUSD BF'!$AM$11+'TUSD CVA'!$AM$11)*1</f>
        <v>1493.7817824374656</v>
      </c>
      <c r="AA251" s="4">
        <f>('TE BE'!$AB$5+'TE BF'!$AB$5+'TE CVA'!$AB$5)*1</f>
        <v>542.84414704984056</v>
      </c>
      <c r="AB251" s="4">
        <f>$K$251*$V$251</f>
        <v>0</v>
      </c>
      <c r="AC251" s="4">
        <f>$M$251*$W$251</f>
        <v>475530.49683000002</v>
      </c>
      <c r="AD251" s="4">
        <f>$O$251*$X$251</f>
        <v>178510.66941</v>
      </c>
      <c r="AE251" s="4">
        <f>$K$251*$Y$251</f>
        <v>0</v>
      </c>
      <c r="AF251" s="4">
        <f ca="1">$M$251*$Z$251</f>
        <v>614740.4982718376</v>
      </c>
      <c r="AG251" s="4">
        <f>$O$251*$AA$251</f>
        <v>223398.28036786205</v>
      </c>
    </row>
    <row r="252" spans="1:33" ht="11.25" customHeight="1" x14ac:dyDescent="0.25">
      <c r="A252" s="3" t="s">
        <v>28</v>
      </c>
      <c r="B252" s="3" t="s">
        <v>39</v>
      </c>
      <c r="C252" s="3" t="s">
        <v>41</v>
      </c>
      <c r="D252" s="3" t="s">
        <v>42</v>
      </c>
      <c r="E252" s="3" t="s">
        <v>25</v>
      </c>
      <c r="F252" s="3" t="s">
        <v>25</v>
      </c>
      <c r="G252" s="3" t="s">
        <v>25</v>
      </c>
      <c r="H252" s="3" t="s">
        <v>34</v>
      </c>
      <c r="I252" s="6">
        <v>44562</v>
      </c>
      <c r="J252" s="4">
        <v>0</v>
      </c>
      <c r="K252" s="4">
        <v>0</v>
      </c>
      <c r="L252" s="4">
        <v>16.678000000000001</v>
      </c>
      <c r="M252" s="4">
        <v>16.678000000000001</v>
      </c>
      <c r="N252" s="4">
        <v>16.678000000000001</v>
      </c>
      <c r="O252" s="4">
        <v>16.678000000000001</v>
      </c>
      <c r="P252" s="4">
        <v>0</v>
      </c>
      <c r="Q252" s="3" t="s">
        <v>26</v>
      </c>
      <c r="R252" s="3">
        <v>0</v>
      </c>
      <c r="S252" s="4">
        <v>0</v>
      </c>
      <c r="T252" s="4">
        <v>11</v>
      </c>
      <c r="U252" s="4">
        <v>71</v>
      </c>
      <c r="V252" s="4">
        <f>IF(ISERROR(VLOOKUP($S$252,'TAR FIN'!$A$1:$O$92,15,0)),0,VLOOKUP($S$252,'TAR FIN'!$A$1:$O$92,15,0))</f>
        <v>0</v>
      </c>
      <c r="W252" s="4">
        <f>IF(ISERROR(VLOOKUP($T$252,'TAR FIN'!$A$1:$O$92,15,0)),0,VLOOKUP($T$252,'TAR FIN'!$A$1:$O$92,15,0))</f>
        <v>1155.51</v>
      </c>
      <c r="X252" s="4">
        <f>IF(ISERROR(VLOOKUP($U$252,'TAR FIN'!$A$1:$O$92,15,0)),0,VLOOKUP($U$252,'TAR FIN'!$A$1:$O$92,15,0))</f>
        <v>433.77</v>
      </c>
      <c r="Y252" s="4"/>
      <c r="Z252" s="4">
        <f ca="1">('TUSD BE'!$AM$11+'TUSD BF'!$AM$11+'TUSD CVA'!$AM$11)*1</f>
        <v>1493.7817824374656</v>
      </c>
      <c r="AA252" s="4">
        <f>('TE BE'!$AB$5+'TE BF'!$AB$5+'TE CVA'!$AB$5)*1</f>
        <v>542.84414704984056</v>
      </c>
      <c r="AB252" s="4">
        <f>$K$252*$V$252</f>
        <v>0</v>
      </c>
      <c r="AC252" s="4">
        <f>$M$252*$W$252</f>
        <v>19271.59578</v>
      </c>
      <c r="AD252" s="4">
        <f>$O$252*$X$252</f>
        <v>7234.4160600000005</v>
      </c>
      <c r="AE252" s="4">
        <f>$K$252*$Y$252</f>
        <v>0</v>
      </c>
      <c r="AF252" s="4">
        <f ca="1">$M$252*$Z$252</f>
        <v>24913.292567492052</v>
      </c>
      <c r="AG252" s="4">
        <f>$O$252*$AA$252</f>
        <v>9053.5546844972414</v>
      </c>
    </row>
    <row r="253" spans="1:33" ht="11.25" customHeight="1" x14ac:dyDescent="0.25">
      <c r="A253" s="3" t="s">
        <v>21</v>
      </c>
      <c r="B253" s="3" t="s">
        <v>39</v>
      </c>
      <c r="C253" s="3" t="s">
        <v>41</v>
      </c>
      <c r="D253" s="3" t="s">
        <v>42</v>
      </c>
      <c r="E253" s="3" t="s">
        <v>25</v>
      </c>
      <c r="F253" s="3" t="s">
        <v>25</v>
      </c>
      <c r="G253" s="3" t="s">
        <v>25</v>
      </c>
      <c r="H253" s="3" t="s">
        <v>34</v>
      </c>
      <c r="I253" s="6">
        <v>44593</v>
      </c>
      <c r="J253" s="4">
        <v>0</v>
      </c>
      <c r="K253" s="4">
        <v>0</v>
      </c>
      <c r="L253" s="4">
        <v>419.44</v>
      </c>
      <c r="M253" s="4">
        <v>419.44</v>
      </c>
      <c r="N253" s="4">
        <v>419.44</v>
      </c>
      <c r="O253" s="4">
        <v>419.44</v>
      </c>
      <c r="P253" s="4">
        <v>0</v>
      </c>
      <c r="Q253" s="3" t="s">
        <v>26</v>
      </c>
      <c r="R253" s="3">
        <v>0</v>
      </c>
      <c r="S253" s="4">
        <v>0</v>
      </c>
      <c r="T253" s="4">
        <v>11</v>
      </c>
      <c r="U253" s="4">
        <v>71</v>
      </c>
      <c r="V253" s="4">
        <f>IF(ISERROR(VLOOKUP($S$253,'TAR FIN'!$A$1:$O$92,15,0)),0,VLOOKUP($S$253,'TAR FIN'!$A$1:$O$92,15,0))</f>
        <v>0</v>
      </c>
      <c r="W253" s="4">
        <f>IF(ISERROR(VLOOKUP($T$253,'TAR FIN'!$A$1:$O$92,15,0)),0,VLOOKUP($T$253,'TAR FIN'!$A$1:$O$92,15,0))</f>
        <v>1155.51</v>
      </c>
      <c r="X253" s="4">
        <f>IF(ISERROR(VLOOKUP($U$253,'TAR FIN'!$A$1:$O$92,15,0)),0,VLOOKUP($U$253,'TAR FIN'!$A$1:$O$92,15,0))</f>
        <v>433.77</v>
      </c>
      <c r="Y253" s="4"/>
      <c r="Z253" s="4">
        <f ca="1">('TUSD BE'!$AM$11+'TUSD BF'!$AM$11+'TUSD CVA'!$AM$11)*1</f>
        <v>1493.7817824374656</v>
      </c>
      <c r="AA253" s="4">
        <f>('TE BE'!$AB$5+'TE BF'!$AB$5+'TE CVA'!$AB$5)*1</f>
        <v>542.84414704984056</v>
      </c>
      <c r="AB253" s="4">
        <f>$K$253*$V$253</f>
        <v>0</v>
      </c>
      <c r="AC253" s="4">
        <f>$M$253*$W$253</f>
        <v>484667.11440000002</v>
      </c>
      <c r="AD253" s="4">
        <f>$O$253*$X$253</f>
        <v>181940.48879999999</v>
      </c>
      <c r="AE253" s="4">
        <f>$K$253*$Y$253</f>
        <v>0</v>
      </c>
      <c r="AF253" s="4">
        <f ca="1">$M$253*$Z$253</f>
        <v>626551.83082557062</v>
      </c>
      <c r="AG253" s="4">
        <f>$O$253*$AA$253</f>
        <v>227690.54903858513</v>
      </c>
    </row>
    <row r="254" spans="1:33" ht="11.25" customHeight="1" x14ac:dyDescent="0.25">
      <c r="A254" s="3" t="s">
        <v>28</v>
      </c>
      <c r="B254" s="3" t="s">
        <v>39</v>
      </c>
      <c r="C254" s="3" t="s">
        <v>41</v>
      </c>
      <c r="D254" s="3" t="s">
        <v>42</v>
      </c>
      <c r="E254" s="3" t="s">
        <v>25</v>
      </c>
      <c r="F254" s="3" t="s">
        <v>25</v>
      </c>
      <c r="G254" s="3" t="s">
        <v>25</v>
      </c>
      <c r="H254" s="3" t="s">
        <v>34</v>
      </c>
      <c r="I254" s="6">
        <v>44593</v>
      </c>
      <c r="J254" s="4">
        <v>0</v>
      </c>
      <c r="K254" s="4">
        <v>0</v>
      </c>
      <c r="L254" s="4">
        <v>15.936</v>
      </c>
      <c r="M254" s="4">
        <v>15.936</v>
      </c>
      <c r="N254" s="4">
        <v>15.936</v>
      </c>
      <c r="O254" s="4">
        <v>15.936</v>
      </c>
      <c r="P254" s="4">
        <v>0</v>
      </c>
      <c r="Q254" s="3" t="s">
        <v>26</v>
      </c>
      <c r="R254" s="3">
        <v>0</v>
      </c>
      <c r="S254" s="4">
        <v>0</v>
      </c>
      <c r="T254" s="4">
        <v>11</v>
      </c>
      <c r="U254" s="4">
        <v>71</v>
      </c>
      <c r="V254" s="4">
        <f>IF(ISERROR(VLOOKUP($S$254,'TAR FIN'!$A$1:$O$92,15,0)),0,VLOOKUP($S$254,'TAR FIN'!$A$1:$O$92,15,0))</f>
        <v>0</v>
      </c>
      <c r="W254" s="4">
        <f>IF(ISERROR(VLOOKUP($T$254,'TAR FIN'!$A$1:$O$92,15,0)),0,VLOOKUP($T$254,'TAR FIN'!$A$1:$O$92,15,0))</f>
        <v>1155.51</v>
      </c>
      <c r="X254" s="4">
        <f>IF(ISERROR(VLOOKUP($U$254,'TAR FIN'!$A$1:$O$92,15,0)),0,VLOOKUP($U$254,'TAR FIN'!$A$1:$O$92,15,0))</f>
        <v>433.77</v>
      </c>
      <c r="Y254" s="4"/>
      <c r="Z254" s="4">
        <f ca="1">('TUSD BE'!$AM$11+'TUSD BF'!$AM$11+'TUSD CVA'!$AM$11)*1</f>
        <v>1493.7817824374656</v>
      </c>
      <c r="AA254" s="4">
        <f>('TE BE'!$AB$5+'TE BF'!$AB$5+'TE CVA'!$AB$5)*1</f>
        <v>542.84414704984056</v>
      </c>
      <c r="AB254" s="4">
        <f>$K$254*$V$254</f>
        <v>0</v>
      </c>
      <c r="AC254" s="4">
        <f>$M$254*$W$254</f>
        <v>18414.20736</v>
      </c>
      <c r="AD254" s="4">
        <f>$O$254*$X$254</f>
        <v>6912.55872</v>
      </c>
      <c r="AE254" s="4">
        <f>$K$254*$Y$254</f>
        <v>0</v>
      </c>
      <c r="AF254" s="4">
        <f ca="1">$M$254*$Z$254</f>
        <v>23804.906484923453</v>
      </c>
      <c r="AG254" s="4">
        <f>$O$254*$AA$254</f>
        <v>8650.7643273862595</v>
      </c>
    </row>
    <row r="255" spans="1:33" ht="11.25" customHeight="1" x14ac:dyDescent="0.25">
      <c r="A255" s="3" t="s">
        <v>21</v>
      </c>
      <c r="B255" s="3" t="s">
        <v>39</v>
      </c>
      <c r="C255" s="3" t="s">
        <v>41</v>
      </c>
      <c r="D255" s="3" t="s">
        <v>42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44621</v>
      </c>
      <c r="J255" s="4">
        <v>0</v>
      </c>
      <c r="K255" s="4">
        <v>0</v>
      </c>
      <c r="L255" s="4">
        <v>456.226</v>
      </c>
      <c r="M255" s="4">
        <v>456.226</v>
      </c>
      <c r="N255" s="4">
        <v>456.226</v>
      </c>
      <c r="O255" s="4">
        <v>456.226</v>
      </c>
      <c r="P255" s="4">
        <v>0</v>
      </c>
      <c r="Q255" s="3" t="s">
        <v>26</v>
      </c>
      <c r="R255" s="3">
        <v>0</v>
      </c>
      <c r="S255" s="4">
        <v>0</v>
      </c>
      <c r="T255" s="4">
        <v>11</v>
      </c>
      <c r="U255" s="4">
        <v>71</v>
      </c>
      <c r="V255" s="4">
        <f>IF(ISERROR(VLOOKUP($S$255,'TAR FIN'!$A$1:$O$92,15,0)),0,VLOOKUP($S$255,'TAR FIN'!$A$1:$O$92,15,0))</f>
        <v>0</v>
      </c>
      <c r="W255" s="4">
        <f>IF(ISERROR(VLOOKUP($T$255,'TAR FIN'!$A$1:$O$92,15,0)),0,VLOOKUP($T$255,'TAR FIN'!$A$1:$O$92,15,0))</f>
        <v>1155.51</v>
      </c>
      <c r="X255" s="4">
        <f>IF(ISERROR(VLOOKUP($U$255,'TAR FIN'!$A$1:$O$92,15,0)),0,VLOOKUP($U$255,'TAR FIN'!$A$1:$O$92,15,0))</f>
        <v>433.77</v>
      </c>
      <c r="Y255" s="4"/>
      <c r="Z255" s="4">
        <f ca="1">('TUSD BE'!$AM$11+'TUSD BF'!$AM$11+'TUSD CVA'!$AM$11)*1</f>
        <v>1493.7817824374656</v>
      </c>
      <c r="AA255" s="4">
        <f>('TE BE'!$AB$5+'TE BF'!$AB$5+'TE CVA'!$AB$5)*1</f>
        <v>542.84414704984056</v>
      </c>
      <c r="AB255" s="4">
        <f>$K$255*$V$255</f>
        <v>0</v>
      </c>
      <c r="AC255" s="4">
        <f>$M$255*$W$255</f>
        <v>527173.70525999996</v>
      </c>
      <c r="AD255" s="4">
        <f>$O$255*$X$255</f>
        <v>197897.15201999998</v>
      </c>
      <c r="AE255" s="4">
        <f>$K$255*$Y$255</f>
        <v>0</v>
      </c>
      <c r="AF255" s="4">
        <f ca="1">$M$255*$Z$255</f>
        <v>681502.08747431519</v>
      </c>
      <c r="AG255" s="4">
        <f>$O$255*$AA$255</f>
        <v>247659.61383196057</v>
      </c>
    </row>
    <row r="256" spans="1:33" ht="11.25" customHeight="1" x14ac:dyDescent="0.25">
      <c r="A256" s="3" t="s">
        <v>28</v>
      </c>
      <c r="B256" s="3" t="s">
        <v>39</v>
      </c>
      <c r="C256" s="3" t="s">
        <v>41</v>
      </c>
      <c r="D256" s="3" t="s">
        <v>42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44621</v>
      </c>
      <c r="J256" s="4">
        <v>0</v>
      </c>
      <c r="K256" s="4">
        <v>0</v>
      </c>
      <c r="L256" s="4">
        <v>25.986999999999998</v>
      </c>
      <c r="M256" s="4">
        <v>25.986999999999998</v>
      </c>
      <c r="N256" s="4">
        <v>25.986999999999998</v>
      </c>
      <c r="O256" s="4">
        <v>25.986999999999998</v>
      </c>
      <c r="P256" s="4">
        <v>0</v>
      </c>
      <c r="Q256" s="3" t="s">
        <v>26</v>
      </c>
      <c r="R256" s="3">
        <v>0</v>
      </c>
      <c r="S256" s="4">
        <v>0</v>
      </c>
      <c r="T256" s="4">
        <v>11</v>
      </c>
      <c r="U256" s="4">
        <v>71</v>
      </c>
      <c r="V256" s="4">
        <f>IF(ISERROR(VLOOKUP($S$256,'TAR FIN'!$A$1:$O$92,15,0)),0,VLOOKUP($S$256,'TAR FIN'!$A$1:$O$92,15,0))</f>
        <v>0</v>
      </c>
      <c r="W256" s="4">
        <f>IF(ISERROR(VLOOKUP($T$256,'TAR FIN'!$A$1:$O$92,15,0)),0,VLOOKUP($T$256,'TAR FIN'!$A$1:$O$92,15,0))</f>
        <v>1155.51</v>
      </c>
      <c r="X256" s="4">
        <f>IF(ISERROR(VLOOKUP($U$256,'TAR FIN'!$A$1:$O$92,15,0)),0,VLOOKUP($U$256,'TAR FIN'!$A$1:$O$92,15,0))</f>
        <v>433.77</v>
      </c>
      <c r="Y256" s="4"/>
      <c r="Z256" s="4">
        <f ca="1">('TUSD BE'!$AM$11+'TUSD BF'!$AM$11+'TUSD CVA'!$AM$11)*1</f>
        <v>1493.7817824374656</v>
      </c>
      <c r="AA256" s="4">
        <f>('TE BE'!$AB$5+'TE BF'!$AB$5+'TE CVA'!$AB$5)*1</f>
        <v>542.84414704984056</v>
      </c>
      <c r="AB256" s="4">
        <f>$K$256*$V$256</f>
        <v>0</v>
      </c>
      <c r="AC256" s="4">
        <f>$M$256*$W$256</f>
        <v>30028.238369999999</v>
      </c>
      <c r="AD256" s="4">
        <f>$O$256*$X$256</f>
        <v>11272.38099</v>
      </c>
      <c r="AE256" s="4">
        <f>$K$256*$Y$256</f>
        <v>0</v>
      </c>
      <c r="AF256" s="4">
        <f ca="1">$M$256*$Z$256</f>
        <v>38818.907180202419</v>
      </c>
      <c r="AG256" s="4">
        <f>$O$256*$AA$256</f>
        <v>14106.890849384206</v>
      </c>
    </row>
    <row r="257" spans="1:33" ht="11.25" customHeight="1" x14ac:dyDescent="0.25">
      <c r="A257" s="3" t="s">
        <v>28</v>
      </c>
      <c r="B257" s="3" t="s">
        <v>39</v>
      </c>
      <c r="C257" s="3" t="s">
        <v>41</v>
      </c>
      <c r="D257" s="3" t="s">
        <v>42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44621</v>
      </c>
      <c r="J257" s="4">
        <v>0</v>
      </c>
      <c r="K257" s="4">
        <v>0</v>
      </c>
      <c r="L257" s="4">
        <v>0.19500000000000001</v>
      </c>
      <c r="M257" s="4">
        <v>0.19500000000000001</v>
      </c>
      <c r="N257" s="4">
        <v>0.19500000000000001</v>
      </c>
      <c r="O257" s="4">
        <v>0.19500000000000001</v>
      </c>
      <c r="P257" s="4">
        <v>0</v>
      </c>
      <c r="Q257" s="3" t="s">
        <v>26</v>
      </c>
      <c r="R257" s="3">
        <v>0</v>
      </c>
      <c r="S257" s="4">
        <v>0</v>
      </c>
      <c r="T257" s="4">
        <v>11</v>
      </c>
      <c r="U257" s="4">
        <v>71</v>
      </c>
      <c r="V257" s="4">
        <f>IF(ISERROR(VLOOKUP($S$257,'TAR FIN'!$A$1:$O$92,15,0)),0,VLOOKUP($S$257,'TAR FIN'!$A$1:$O$92,15,0))</f>
        <v>0</v>
      </c>
      <c r="W257" s="4">
        <f>IF(ISERROR(VLOOKUP($T$257,'TAR FIN'!$A$1:$O$92,15,0)),0,VLOOKUP($T$257,'TAR FIN'!$A$1:$O$92,15,0))</f>
        <v>1155.51</v>
      </c>
      <c r="X257" s="4">
        <f>IF(ISERROR(VLOOKUP($U$257,'TAR FIN'!$A$1:$O$92,15,0)),0,VLOOKUP($U$257,'TAR FIN'!$A$1:$O$92,15,0))</f>
        <v>433.77</v>
      </c>
      <c r="Y257" s="4"/>
      <c r="Z257" s="4">
        <f ca="1">('TUSD BE'!$AM$11+'TUSD BF'!$AM$11+'TUSD CVA'!$AM$11)*1</f>
        <v>1493.7817824374656</v>
      </c>
      <c r="AA257" s="4">
        <f>('TE BE'!$AB$5+'TE BF'!$AB$5+'TE CVA'!$AB$5)*1</f>
        <v>542.84414704984056</v>
      </c>
      <c r="AB257" s="4">
        <f>$K$257*$V$257</f>
        <v>0</v>
      </c>
      <c r="AC257" s="4">
        <f>$M$257*$W$257</f>
        <v>225.32445000000001</v>
      </c>
      <c r="AD257" s="4">
        <f>$O$257*$X$257</f>
        <v>84.585149999999999</v>
      </c>
      <c r="AE257" s="4">
        <f>$K$257*$Y$257</f>
        <v>0</v>
      </c>
      <c r="AF257" s="4">
        <f ca="1">$M$257*$Z$257</f>
        <v>291.28744757530581</v>
      </c>
      <c r="AG257" s="4">
        <f>$O$257*$AA$257</f>
        <v>105.85460867471892</v>
      </c>
    </row>
    <row r="258" spans="1:33" ht="11.25" customHeight="1" x14ac:dyDescent="0.25">
      <c r="A258" s="3" t="s">
        <v>21</v>
      </c>
      <c r="B258" s="3" t="s">
        <v>39</v>
      </c>
      <c r="C258" s="3" t="s">
        <v>41</v>
      </c>
      <c r="D258" s="3" t="s">
        <v>42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44652</v>
      </c>
      <c r="J258" s="4">
        <v>0</v>
      </c>
      <c r="K258" s="4">
        <v>0</v>
      </c>
      <c r="L258" s="4">
        <v>456.226</v>
      </c>
      <c r="M258" s="4">
        <v>456.226</v>
      </c>
      <c r="N258" s="4">
        <v>456.226</v>
      </c>
      <c r="O258" s="4">
        <v>456.226</v>
      </c>
      <c r="P258" s="4">
        <v>0</v>
      </c>
      <c r="Q258" s="3" t="s">
        <v>26</v>
      </c>
      <c r="R258" s="3">
        <v>0</v>
      </c>
      <c r="S258" s="4">
        <v>0</v>
      </c>
      <c r="T258" s="4">
        <v>11</v>
      </c>
      <c r="U258" s="4">
        <v>71</v>
      </c>
      <c r="V258" s="4">
        <f>IF(ISERROR(VLOOKUP($S$258,'TAR FIN'!$A$1:$O$92,15,0)),0,VLOOKUP($S$258,'TAR FIN'!$A$1:$O$92,15,0))</f>
        <v>0</v>
      </c>
      <c r="W258" s="4">
        <f>IF(ISERROR(VLOOKUP($T$258,'TAR FIN'!$A$1:$O$92,15,0)),0,VLOOKUP($T$258,'TAR FIN'!$A$1:$O$92,15,0))</f>
        <v>1155.51</v>
      </c>
      <c r="X258" s="4">
        <f>IF(ISERROR(VLOOKUP($U$258,'TAR FIN'!$A$1:$O$92,15,0)),0,VLOOKUP($U$258,'TAR FIN'!$A$1:$O$92,15,0))</f>
        <v>433.77</v>
      </c>
      <c r="Y258" s="4"/>
      <c r="Z258" s="4">
        <f ca="1">('TUSD BE'!$AM$11+'TUSD BF'!$AM$11+'TUSD CVA'!$AM$11)*1</f>
        <v>1493.7817824374656</v>
      </c>
      <c r="AA258" s="4">
        <f>('TE BE'!$AB$5+'TE BF'!$AB$5+'TE CVA'!$AB$5)*1</f>
        <v>542.84414704984056</v>
      </c>
      <c r="AB258" s="4">
        <f>$K$258*$V$258</f>
        <v>0</v>
      </c>
      <c r="AC258" s="4">
        <f>$M$258*$W$258</f>
        <v>527173.70525999996</v>
      </c>
      <c r="AD258" s="4">
        <f>$O$258*$X$258</f>
        <v>197897.15201999998</v>
      </c>
      <c r="AE258" s="4">
        <f>$K$258*$Y$258</f>
        <v>0</v>
      </c>
      <c r="AF258" s="4">
        <f ca="1">$M$258*$Z$258</f>
        <v>681502.08747431519</v>
      </c>
      <c r="AG258" s="4">
        <f>$O$258*$AA$258</f>
        <v>247659.61383196057</v>
      </c>
    </row>
    <row r="259" spans="1:33" ht="11.25" customHeight="1" x14ac:dyDescent="0.25">
      <c r="A259" s="3" t="s">
        <v>28</v>
      </c>
      <c r="B259" s="3" t="s">
        <v>39</v>
      </c>
      <c r="C259" s="3" t="s">
        <v>41</v>
      </c>
      <c r="D259" s="3" t="s">
        <v>42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44652</v>
      </c>
      <c r="J259" s="4">
        <v>0</v>
      </c>
      <c r="K259" s="4">
        <v>0</v>
      </c>
      <c r="L259" s="4">
        <v>25.986999999999998</v>
      </c>
      <c r="M259" s="4">
        <v>25.986999999999998</v>
      </c>
      <c r="N259" s="4">
        <v>25.986999999999998</v>
      </c>
      <c r="O259" s="4">
        <v>25.986999999999998</v>
      </c>
      <c r="P259" s="4">
        <v>0</v>
      </c>
      <c r="Q259" s="3" t="s">
        <v>26</v>
      </c>
      <c r="R259" s="3">
        <v>0</v>
      </c>
      <c r="S259" s="4">
        <v>0</v>
      </c>
      <c r="T259" s="4">
        <v>11</v>
      </c>
      <c r="U259" s="4">
        <v>71</v>
      </c>
      <c r="V259" s="4">
        <f>IF(ISERROR(VLOOKUP($S$259,'TAR FIN'!$A$1:$O$92,15,0)),0,VLOOKUP($S$259,'TAR FIN'!$A$1:$O$92,15,0))</f>
        <v>0</v>
      </c>
      <c r="W259" s="4">
        <f>IF(ISERROR(VLOOKUP($T$259,'TAR FIN'!$A$1:$O$92,15,0)),0,VLOOKUP($T$259,'TAR FIN'!$A$1:$O$92,15,0))</f>
        <v>1155.51</v>
      </c>
      <c r="X259" s="4">
        <f>IF(ISERROR(VLOOKUP($U$259,'TAR FIN'!$A$1:$O$92,15,0)),0,VLOOKUP($U$259,'TAR FIN'!$A$1:$O$92,15,0))</f>
        <v>433.77</v>
      </c>
      <c r="Y259" s="4"/>
      <c r="Z259" s="4">
        <f ca="1">('TUSD BE'!$AM$11+'TUSD BF'!$AM$11+'TUSD CVA'!$AM$11)*1</f>
        <v>1493.7817824374656</v>
      </c>
      <c r="AA259" s="4">
        <f>('TE BE'!$AB$5+'TE BF'!$AB$5+'TE CVA'!$AB$5)*1</f>
        <v>542.84414704984056</v>
      </c>
      <c r="AB259" s="4">
        <f>$K$259*$V$259</f>
        <v>0</v>
      </c>
      <c r="AC259" s="4">
        <f>$M$259*$W$259</f>
        <v>30028.238369999999</v>
      </c>
      <c r="AD259" s="4">
        <f>$O$259*$X$259</f>
        <v>11272.38099</v>
      </c>
      <c r="AE259" s="4">
        <f>$K$259*$Y$259</f>
        <v>0</v>
      </c>
      <c r="AF259" s="4">
        <f ca="1">$M$259*$Z$259</f>
        <v>38818.907180202419</v>
      </c>
      <c r="AG259" s="4">
        <f>$O$259*$AA$259</f>
        <v>14106.890849384206</v>
      </c>
    </row>
    <row r="260" spans="1:33" ht="11.25" customHeight="1" x14ac:dyDescent="0.25">
      <c r="A260" s="3" t="s">
        <v>28</v>
      </c>
      <c r="B260" s="3" t="s">
        <v>39</v>
      </c>
      <c r="C260" s="3" t="s">
        <v>41</v>
      </c>
      <c r="D260" s="3" t="s">
        <v>42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44652</v>
      </c>
      <c r="J260" s="4">
        <v>0</v>
      </c>
      <c r="K260" s="4">
        <v>0</v>
      </c>
      <c r="L260" s="4">
        <v>0.19500000000000001</v>
      </c>
      <c r="M260" s="4">
        <v>0.19500000000000001</v>
      </c>
      <c r="N260" s="4">
        <v>0.19500000000000001</v>
      </c>
      <c r="O260" s="4">
        <v>0.19500000000000001</v>
      </c>
      <c r="P260" s="4">
        <v>0</v>
      </c>
      <c r="Q260" s="3" t="s">
        <v>26</v>
      </c>
      <c r="R260" s="3">
        <v>0</v>
      </c>
      <c r="S260" s="4">
        <v>0</v>
      </c>
      <c r="T260" s="4">
        <v>11</v>
      </c>
      <c r="U260" s="4">
        <v>71</v>
      </c>
      <c r="V260" s="4">
        <f>IF(ISERROR(VLOOKUP($S$260,'TAR FIN'!$A$1:$O$92,15,0)),0,VLOOKUP($S$260,'TAR FIN'!$A$1:$O$92,15,0))</f>
        <v>0</v>
      </c>
      <c r="W260" s="4">
        <f>IF(ISERROR(VLOOKUP($T$260,'TAR FIN'!$A$1:$O$92,15,0)),0,VLOOKUP($T$260,'TAR FIN'!$A$1:$O$92,15,0))</f>
        <v>1155.51</v>
      </c>
      <c r="X260" s="4">
        <f>IF(ISERROR(VLOOKUP($U$260,'TAR FIN'!$A$1:$O$92,15,0)),0,VLOOKUP($U$260,'TAR FIN'!$A$1:$O$92,15,0))</f>
        <v>433.77</v>
      </c>
      <c r="Y260" s="4"/>
      <c r="Z260" s="4">
        <f ca="1">('TUSD BE'!$AM$11+'TUSD BF'!$AM$11+'TUSD CVA'!$AM$11)*1</f>
        <v>1493.7817824374656</v>
      </c>
      <c r="AA260" s="4">
        <f>('TE BE'!$AB$5+'TE BF'!$AB$5+'TE CVA'!$AB$5)*1</f>
        <v>542.84414704984056</v>
      </c>
      <c r="AB260" s="4">
        <f>$K$260*$V$260</f>
        <v>0</v>
      </c>
      <c r="AC260" s="4">
        <f>$M$260*$W$260</f>
        <v>225.32445000000001</v>
      </c>
      <c r="AD260" s="4">
        <f>$O$260*$X$260</f>
        <v>84.585149999999999</v>
      </c>
      <c r="AE260" s="4">
        <f>$K$260*$Y$260</f>
        <v>0</v>
      </c>
      <c r="AF260" s="4">
        <f ca="1">$M$260*$Z$260</f>
        <v>291.28744757530581</v>
      </c>
      <c r="AG260" s="4">
        <f>$O$260*$AA$260</f>
        <v>105.85460867471892</v>
      </c>
    </row>
    <row r="261" spans="1:33" ht="11.25" customHeight="1" x14ac:dyDescent="0.25">
      <c r="A261" s="3" t="s">
        <v>21</v>
      </c>
      <c r="B261" s="3" t="s">
        <v>39</v>
      </c>
      <c r="C261" s="3" t="s">
        <v>41</v>
      </c>
      <c r="D261" s="3" t="s">
        <v>42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44682</v>
      </c>
      <c r="J261" s="4">
        <v>0</v>
      </c>
      <c r="K261" s="4">
        <v>0</v>
      </c>
      <c r="L261" s="4">
        <v>440.673</v>
      </c>
      <c r="M261" s="4">
        <v>440.673</v>
      </c>
      <c r="N261" s="4">
        <v>440.673</v>
      </c>
      <c r="O261" s="4">
        <v>440.673</v>
      </c>
      <c r="P261" s="4">
        <v>0</v>
      </c>
      <c r="Q261" s="3" t="s">
        <v>26</v>
      </c>
      <c r="R261" s="3">
        <v>0</v>
      </c>
      <c r="S261" s="4">
        <v>0</v>
      </c>
      <c r="T261" s="4">
        <v>11</v>
      </c>
      <c r="U261" s="4">
        <v>71</v>
      </c>
      <c r="V261" s="4">
        <f>IF(ISERROR(VLOOKUP($S$261,'TAR FIN'!$A$1:$O$92,15,0)),0,VLOOKUP($S$261,'TAR FIN'!$A$1:$O$92,15,0))</f>
        <v>0</v>
      </c>
      <c r="W261" s="4">
        <f>IF(ISERROR(VLOOKUP($T$261,'TAR FIN'!$A$1:$O$92,15,0)),0,VLOOKUP($T$261,'TAR FIN'!$A$1:$O$92,15,0))</f>
        <v>1155.51</v>
      </c>
      <c r="X261" s="4">
        <f>IF(ISERROR(VLOOKUP($U$261,'TAR FIN'!$A$1:$O$92,15,0)),0,VLOOKUP($U$261,'TAR FIN'!$A$1:$O$92,15,0))</f>
        <v>433.77</v>
      </c>
      <c r="Y261" s="4"/>
      <c r="Z261" s="4">
        <f ca="1">('TUSD BE'!$AM$11+'TUSD BF'!$AM$11+'TUSD CVA'!$AM$11)*1</f>
        <v>1493.7817824374656</v>
      </c>
      <c r="AA261" s="4">
        <f>('TE BE'!$AB$5+'TE BF'!$AB$5+'TE CVA'!$AB$5)*1</f>
        <v>542.84414704984056</v>
      </c>
      <c r="AB261" s="4">
        <f>$K$261*$V$261</f>
        <v>0</v>
      </c>
      <c r="AC261" s="4">
        <f>$M$261*$W$261</f>
        <v>509202.05823000002</v>
      </c>
      <c r="AD261" s="4">
        <f>$O$261*$X$261</f>
        <v>191150.72720999998</v>
      </c>
      <c r="AE261" s="4">
        <f>$K$261*$Y$261</f>
        <v>0</v>
      </c>
      <c r="AF261" s="4">
        <f ca="1">$M$261*$Z$261</f>
        <v>658269.2994120653</v>
      </c>
      <c r="AG261" s="4">
        <f>$O$261*$AA$261</f>
        <v>239216.75881289438</v>
      </c>
    </row>
    <row r="262" spans="1:33" ht="11.25" customHeight="1" x14ac:dyDescent="0.25">
      <c r="A262" s="3" t="s">
        <v>27</v>
      </c>
      <c r="B262" s="3" t="s">
        <v>39</v>
      </c>
      <c r="C262" s="3" t="s">
        <v>41</v>
      </c>
      <c r="D262" s="3" t="s">
        <v>42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44682</v>
      </c>
      <c r="J262" s="4">
        <v>0</v>
      </c>
      <c r="K262" s="4">
        <v>0</v>
      </c>
      <c r="L262" s="4">
        <v>-7.2320000000000002</v>
      </c>
      <c r="M262" s="4">
        <v>-7.2320000000000002</v>
      </c>
      <c r="N262" s="4">
        <v>-7.2320000000000002</v>
      </c>
      <c r="O262" s="4">
        <v>-7.2320000000000002</v>
      </c>
      <c r="P262" s="4">
        <v>0</v>
      </c>
      <c r="Q262" s="3" t="s">
        <v>26</v>
      </c>
      <c r="R262" s="3">
        <v>0</v>
      </c>
      <c r="S262" s="4">
        <v>0</v>
      </c>
      <c r="T262" s="4">
        <v>11</v>
      </c>
      <c r="U262" s="4">
        <v>71</v>
      </c>
      <c r="V262" s="4">
        <f>IF(ISERROR(VLOOKUP($S$262,'TAR FIN'!$A$1:$O$92,15,0)),0,VLOOKUP($S$262,'TAR FIN'!$A$1:$O$92,15,0))</f>
        <v>0</v>
      </c>
      <c r="W262" s="4">
        <f>IF(ISERROR(VLOOKUP($T$262,'TAR FIN'!$A$1:$O$92,15,0)),0,VLOOKUP($T$262,'TAR FIN'!$A$1:$O$92,15,0))</f>
        <v>1155.51</v>
      </c>
      <c r="X262" s="4">
        <f>IF(ISERROR(VLOOKUP($U$262,'TAR FIN'!$A$1:$O$92,15,0)),0,VLOOKUP($U$262,'TAR FIN'!$A$1:$O$92,15,0))</f>
        <v>433.77</v>
      </c>
      <c r="Y262" s="4"/>
      <c r="Z262" s="4">
        <f ca="1">('TUSD BE'!$AM$11+'TUSD BF'!$AM$11+'TUSD CVA'!$AM$11)*1</f>
        <v>1493.7817824374656</v>
      </c>
      <c r="AA262" s="4">
        <f>('TE BE'!$AB$5+'TE BF'!$AB$5+'TE CVA'!$AB$5)*1</f>
        <v>542.84414704984056</v>
      </c>
      <c r="AB262" s="4">
        <f>$K$262*$V$262</f>
        <v>0</v>
      </c>
      <c r="AC262" s="4">
        <f>$M$262*$W$262</f>
        <v>-8356.6483200000002</v>
      </c>
      <c r="AD262" s="4">
        <f>$O$262*$X$262</f>
        <v>-3137.0246400000001</v>
      </c>
      <c r="AE262" s="4">
        <f>$K$262*$Y$262</f>
        <v>0</v>
      </c>
      <c r="AF262" s="4">
        <f ca="1">$M$262*$Z$262</f>
        <v>-10803.029850587751</v>
      </c>
      <c r="AG262" s="4">
        <f>$O$262*$AA$262</f>
        <v>-3925.8488714644468</v>
      </c>
    </row>
    <row r="263" spans="1:33" ht="11.25" customHeight="1" x14ac:dyDescent="0.25">
      <c r="A263" s="3" t="s">
        <v>28</v>
      </c>
      <c r="B263" s="3" t="s">
        <v>39</v>
      </c>
      <c r="C263" s="3" t="s">
        <v>41</v>
      </c>
      <c r="D263" s="3" t="s">
        <v>42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44682</v>
      </c>
      <c r="J263" s="4">
        <v>0</v>
      </c>
      <c r="K263" s="4">
        <v>0</v>
      </c>
      <c r="L263" s="4">
        <v>98.111999999999995</v>
      </c>
      <c r="M263" s="4">
        <v>98.111999999999995</v>
      </c>
      <c r="N263" s="4">
        <v>98.111999999999995</v>
      </c>
      <c r="O263" s="4">
        <v>98.111999999999995</v>
      </c>
      <c r="P263" s="4">
        <v>0</v>
      </c>
      <c r="Q263" s="3" t="s">
        <v>26</v>
      </c>
      <c r="R263" s="3">
        <v>0</v>
      </c>
      <c r="S263" s="4">
        <v>0</v>
      </c>
      <c r="T263" s="4">
        <v>11</v>
      </c>
      <c r="U263" s="4">
        <v>71</v>
      </c>
      <c r="V263" s="4">
        <f>IF(ISERROR(VLOOKUP($S$263,'TAR FIN'!$A$1:$O$92,15,0)),0,VLOOKUP($S$263,'TAR FIN'!$A$1:$O$92,15,0))</f>
        <v>0</v>
      </c>
      <c r="W263" s="4">
        <f>IF(ISERROR(VLOOKUP($T$263,'TAR FIN'!$A$1:$O$92,15,0)),0,VLOOKUP($T$263,'TAR FIN'!$A$1:$O$92,15,0))</f>
        <v>1155.51</v>
      </c>
      <c r="X263" s="4">
        <f>IF(ISERROR(VLOOKUP($U$263,'TAR FIN'!$A$1:$O$92,15,0)),0,VLOOKUP($U$263,'TAR FIN'!$A$1:$O$92,15,0))</f>
        <v>433.77</v>
      </c>
      <c r="Y263" s="4"/>
      <c r="Z263" s="4">
        <f ca="1">('TUSD BE'!$AM$11+'TUSD BF'!$AM$11+'TUSD CVA'!$AM$11)*1</f>
        <v>1493.7817824374656</v>
      </c>
      <c r="AA263" s="4">
        <f>('TE BE'!$AB$5+'TE BF'!$AB$5+'TE CVA'!$AB$5)*1</f>
        <v>542.84414704984056</v>
      </c>
      <c r="AB263" s="4">
        <f>$K$263*$V$263</f>
        <v>0</v>
      </c>
      <c r="AC263" s="4">
        <f>$M$263*$W$263</f>
        <v>113369.39711999999</v>
      </c>
      <c r="AD263" s="4">
        <f>$O$263*$X$263</f>
        <v>42558.042239999995</v>
      </c>
      <c r="AE263" s="4">
        <f>$K$263*$Y$263</f>
        <v>0</v>
      </c>
      <c r="AF263" s="4">
        <f ca="1">$M$263*$Z$263</f>
        <v>146557.91823850462</v>
      </c>
      <c r="AG263" s="4">
        <f>$O$263*$AA$263</f>
        <v>53259.524955353954</v>
      </c>
    </row>
    <row r="264" spans="1:33" ht="11.25" customHeight="1" x14ac:dyDescent="0.25">
      <c r="A264" s="3" t="s">
        <v>21</v>
      </c>
      <c r="B264" s="3" t="s">
        <v>39</v>
      </c>
      <c r="C264" s="3" t="s">
        <v>41</v>
      </c>
      <c r="D264" s="3" t="s">
        <v>42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44713</v>
      </c>
      <c r="J264" s="4">
        <v>0</v>
      </c>
      <c r="K264" s="4">
        <v>0</v>
      </c>
      <c r="L264" s="4">
        <v>406.15199999999999</v>
      </c>
      <c r="M264" s="4">
        <v>406.15199999999999</v>
      </c>
      <c r="N264" s="4">
        <v>406.15199999999999</v>
      </c>
      <c r="O264" s="4">
        <v>406.15199999999999</v>
      </c>
      <c r="P264" s="4">
        <v>0</v>
      </c>
      <c r="Q264" s="3" t="s">
        <v>26</v>
      </c>
      <c r="R264" s="3">
        <v>0</v>
      </c>
      <c r="S264" s="4">
        <v>0</v>
      </c>
      <c r="T264" s="4">
        <v>11</v>
      </c>
      <c r="U264" s="4">
        <v>71</v>
      </c>
      <c r="V264" s="4">
        <f>IF(ISERROR(VLOOKUP($S$264,'TAR FIN'!$A$1:$O$92,15,0)),0,VLOOKUP($S$264,'TAR FIN'!$A$1:$O$92,15,0))</f>
        <v>0</v>
      </c>
      <c r="W264" s="4">
        <f>IF(ISERROR(VLOOKUP($T$264,'TAR FIN'!$A$1:$O$92,15,0)),0,VLOOKUP($T$264,'TAR FIN'!$A$1:$O$92,15,0))</f>
        <v>1155.51</v>
      </c>
      <c r="X264" s="4">
        <f>IF(ISERROR(VLOOKUP($U$264,'TAR FIN'!$A$1:$O$92,15,0)),0,VLOOKUP($U$264,'TAR FIN'!$A$1:$O$92,15,0))</f>
        <v>433.77</v>
      </c>
      <c r="Y264" s="4"/>
      <c r="Z264" s="4">
        <f ca="1">('TUSD BE'!$AM$11+'TUSD BF'!$AM$11+'TUSD CVA'!$AM$11)*1</f>
        <v>1493.7817824374656</v>
      </c>
      <c r="AA264" s="4">
        <f>('TE BE'!$AB$5+'TE BF'!$AB$5+'TE CVA'!$AB$5)*1</f>
        <v>542.84414704984056</v>
      </c>
      <c r="AB264" s="4">
        <f>$K$264*$V$264</f>
        <v>0</v>
      </c>
      <c r="AC264" s="4">
        <f>$M$264*$W$264</f>
        <v>469312.69751999999</v>
      </c>
      <c r="AD264" s="4">
        <f>$O$264*$X$264</f>
        <v>176176.55304</v>
      </c>
      <c r="AE264" s="4">
        <f>$K$264*$Y$264</f>
        <v>0</v>
      </c>
      <c r="AF264" s="4">
        <f ca="1">$M$264*$Z$264</f>
        <v>606702.45850054151</v>
      </c>
      <c r="AG264" s="4">
        <f>$O$264*$AA$264</f>
        <v>220477.23601258683</v>
      </c>
    </row>
    <row r="265" spans="1:33" ht="11.25" customHeight="1" x14ac:dyDescent="0.25">
      <c r="A265" s="3" t="s">
        <v>27</v>
      </c>
      <c r="B265" s="3" t="s">
        <v>39</v>
      </c>
      <c r="C265" s="3" t="s">
        <v>41</v>
      </c>
      <c r="D265" s="3" t="s">
        <v>42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44713</v>
      </c>
      <c r="J265" s="4">
        <v>0</v>
      </c>
      <c r="K265" s="4">
        <v>0</v>
      </c>
      <c r="L265" s="4">
        <v>-6.3170000000000002</v>
      </c>
      <c r="M265" s="4">
        <v>-6.3170000000000002</v>
      </c>
      <c r="N265" s="4">
        <v>-6.3170000000000002</v>
      </c>
      <c r="O265" s="4">
        <v>-6.3170000000000002</v>
      </c>
      <c r="P265" s="4">
        <v>0</v>
      </c>
      <c r="Q265" s="3" t="s">
        <v>26</v>
      </c>
      <c r="R265" s="3">
        <v>0</v>
      </c>
      <c r="S265" s="4">
        <v>0</v>
      </c>
      <c r="T265" s="4">
        <v>11</v>
      </c>
      <c r="U265" s="4">
        <v>71</v>
      </c>
      <c r="V265" s="4">
        <f>IF(ISERROR(VLOOKUP($S$265,'TAR FIN'!$A$1:$O$92,15,0)),0,VLOOKUP($S$265,'TAR FIN'!$A$1:$O$92,15,0))</f>
        <v>0</v>
      </c>
      <c r="W265" s="4">
        <f>IF(ISERROR(VLOOKUP($T$265,'TAR FIN'!$A$1:$O$92,15,0)),0,VLOOKUP($T$265,'TAR FIN'!$A$1:$O$92,15,0))</f>
        <v>1155.51</v>
      </c>
      <c r="X265" s="4">
        <f>IF(ISERROR(VLOOKUP($U$265,'TAR FIN'!$A$1:$O$92,15,0)),0,VLOOKUP($U$265,'TAR FIN'!$A$1:$O$92,15,0))</f>
        <v>433.77</v>
      </c>
      <c r="Y265" s="4"/>
      <c r="Z265" s="4">
        <f ca="1">('TUSD BE'!$AM$11+'TUSD BF'!$AM$11+'TUSD CVA'!$AM$11)*1</f>
        <v>1493.7817824374656</v>
      </c>
      <c r="AA265" s="4">
        <f>('TE BE'!$AB$5+'TE BF'!$AB$5+'TE CVA'!$AB$5)*1</f>
        <v>542.84414704984056</v>
      </c>
      <c r="AB265" s="4">
        <f>$K$265*$V$265</f>
        <v>0</v>
      </c>
      <c r="AC265" s="4">
        <f>$M$265*$W$265</f>
        <v>-7299.3566700000001</v>
      </c>
      <c r="AD265" s="4">
        <f>$O$265*$X$265</f>
        <v>-2740.12509</v>
      </c>
      <c r="AE265" s="4">
        <f>$K$265*$Y$265</f>
        <v>0</v>
      </c>
      <c r="AF265" s="4">
        <f ca="1">$M$265*$Z$265</f>
        <v>-9436.2195196574703</v>
      </c>
      <c r="AG265" s="4">
        <f>$O$265*$AA$265</f>
        <v>-3429.1464769138429</v>
      </c>
    </row>
    <row r="266" spans="1:33" ht="11.25" customHeight="1" x14ac:dyDescent="0.25">
      <c r="A266" s="3" t="s">
        <v>28</v>
      </c>
      <c r="B266" s="3" t="s">
        <v>39</v>
      </c>
      <c r="C266" s="3" t="s">
        <v>41</v>
      </c>
      <c r="D266" s="3" t="s">
        <v>42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44713</v>
      </c>
      <c r="J266" s="4">
        <v>0</v>
      </c>
      <c r="K266" s="4">
        <v>0</v>
      </c>
      <c r="L266" s="4">
        <v>24.965</v>
      </c>
      <c r="M266" s="4">
        <v>24.965</v>
      </c>
      <c r="N266" s="4">
        <v>24.965</v>
      </c>
      <c r="O266" s="4">
        <v>24.965</v>
      </c>
      <c r="P266" s="4">
        <v>0</v>
      </c>
      <c r="Q266" s="3" t="s">
        <v>26</v>
      </c>
      <c r="R266" s="3">
        <v>0</v>
      </c>
      <c r="S266" s="4">
        <v>0</v>
      </c>
      <c r="T266" s="4">
        <v>11</v>
      </c>
      <c r="U266" s="4">
        <v>71</v>
      </c>
      <c r="V266" s="4">
        <f>IF(ISERROR(VLOOKUP($S$266,'TAR FIN'!$A$1:$O$92,15,0)),0,VLOOKUP($S$266,'TAR FIN'!$A$1:$O$92,15,0))</f>
        <v>0</v>
      </c>
      <c r="W266" s="4">
        <f>IF(ISERROR(VLOOKUP($T$266,'TAR FIN'!$A$1:$O$92,15,0)),0,VLOOKUP($T$266,'TAR FIN'!$A$1:$O$92,15,0))</f>
        <v>1155.51</v>
      </c>
      <c r="X266" s="4">
        <f>IF(ISERROR(VLOOKUP($U$266,'TAR FIN'!$A$1:$O$92,15,0)),0,VLOOKUP($U$266,'TAR FIN'!$A$1:$O$92,15,0))</f>
        <v>433.77</v>
      </c>
      <c r="Y266" s="4"/>
      <c r="Z266" s="4">
        <f ca="1">('TUSD BE'!$AM$11+'TUSD BF'!$AM$11+'TUSD CVA'!$AM$11)*1</f>
        <v>1493.7817824374656</v>
      </c>
      <c r="AA266" s="4">
        <f>('TE BE'!$AB$5+'TE BF'!$AB$5+'TE CVA'!$AB$5)*1</f>
        <v>542.84414704984056</v>
      </c>
      <c r="AB266" s="4">
        <f>$K$266*$V$266</f>
        <v>0</v>
      </c>
      <c r="AC266" s="4">
        <f>$M$266*$W$266</f>
        <v>28847.307150000001</v>
      </c>
      <c r="AD266" s="4">
        <f>$O$266*$X$266</f>
        <v>10829.06805</v>
      </c>
      <c r="AE266" s="4">
        <f>$K$266*$Y$266</f>
        <v>0</v>
      </c>
      <c r="AF266" s="4">
        <f ca="1">$M$266*$Z$266</f>
        <v>37292.262198551325</v>
      </c>
      <c r="AG266" s="4">
        <f>$O$266*$AA$266</f>
        <v>13552.10413109927</v>
      </c>
    </row>
    <row r="267" spans="1:33" ht="11.25" customHeight="1" x14ac:dyDescent="0.25">
      <c r="A267" s="3" t="s">
        <v>21</v>
      </c>
      <c r="B267" s="3" t="s">
        <v>39</v>
      </c>
      <c r="C267" s="3" t="s">
        <v>41</v>
      </c>
      <c r="D267" s="3" t="s">
        <v>42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44743</v>
      </c>
      <c r="J267" s="4">
        <v>0</v>
      </c>
      <c r="K267" s="4">
        <v>0</v>
      </c>
      <c r="L267" s="4">
        <v>420.48500000000001</v>
      </c>
      <c r="M267" s="4">
        <v>420.48500000000001</v>
      </c>
      <c r="N267" s="4">
        <v>420.48500000000001</v>
      </c>
      <c r="O267" s="4">
        <v>420.48500000000001</v>
      </c>
      <c r="P267" s="4">
        <v>0</v>
      </c>
      <c r="Q267" s="3" t="s">
        <v>26</v>
      </c>
      <c r="R267" s="3">
        <v>0</v>
      </c>
      <c r="S267" s="4">
        <v>0</v>
      </c>
      <c r="T267" s="4">
        <v>11</v>
      </c>
      <c r="U267" s="4">
        <v>71</v>
      </c>
      <c r="V267" s="4">
        <f>IF(ISERROR(VLOOKUP($S$267,'TAR FIN'!$A$1:$O$92,15,0)),0,VLOOKUP($S$267,'TAR FIN'!$A$1:$O$92,15,0))</f>
        <v>0</v>
      </c>
      <c r="W267" s="4">
        <f>IF(ISERROR(VLOOKUP($T$267,'TAR FIN'!$A$1:$O$92,15,0)),0,VLOOKUP($T$267,'TAR FIN'!$A$1:$O$92,15,0))</f>
        <v>1155.51</v>
      </c>
      <c r="X267" s="4">
        <f>IF(ISERROR(VLOOKUP($U$267,'TAR FIN'!$A$1:$O$92,15,0)),0,VLOOKUP($U$267,'TAR FIN'!$A$1:$O$92,15,0))</f>
        <v>433.77</v>
      </c>
      <c r="Y267" s="4"/>
      <c r="Z267" s="4">
        <f ca="1">('TUSD BE'!$AM$11+'TUSD BF'!$AM$11+'TUSD CVA'!$AM$11)*1</f>
        <v>1493.7817824374656</v>
      </c>
      <c r="AA267" s="4">
        <f>('TE BE'!$AB$5+'TE BF'!$AB$5+'TE CVA'!$AB$5)*1</f>
        <v>542.84414704984056</v>
      </c>
      <c r="AB267" s="4">
        <f>$K$267*$V$267</f>
        <v>0</v>
      </c>
      <c r="AC267" s="4">
        <f>$M$267*$W$267</f>
        <v>485874.62235000002</v>
      </c>
      <c r="AD267" s="4">
        <f>$O$267*$X$267</f>
        <v>182393.77845000001</v>
      </c>
      <c r="AE267" s="4">
        <f>$K$267*$Y$267</f>
        <v>0</v>
      </c>
      <c r="AF267" s="4">
        <f ca="1">$M$267*$Z$267</f>
        <v>628112.8327882177</v>
      </c>
      <c r="AG267" s="4">
        <f>$O$267*$AA$267</f>
        <v>228257.82117225221</v>
      </c>
    </row>
    <row r="268" spans="1:33" ht="11.25" customHeight="1" x14ac:dyDescent="0.25">
      <c r="A268" s="3" t="s">
        <v>27</v>
      </c>
      <c r="B268" s="3" t="s">
        <v>39</v>
      </c>
      <c r="C268" s="3" t="s">
        <v>41</v>
      </c>
      <c r="D268" s="3" t="s">
        <v>42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44743</v>
      </c>
      <c r="J268" s="4">
        <v>0</v>
      </c>
      <c r="K268" s="4">
        <v>0</v>
      </c>
      <c r="L268" s="4">
        <v>-0.41</v>
      </c>
      <c r="M268" s="4">
        <v>-0.41</v>
      </c>
      <c r="N268" s="4">
        <v>-0.41</v>
      </c>
      <c r="O268" s="4">
        <v>-0.41</v>
      </c>
      <c r="P268" s="4">
        <v>0</v>
      </c>
      <c r="Q268" s="3" t="s">
        <v>26</v>
      </c>
      <c r="R268" s="3">
        <v>0</v>
      </c>
      <c r="S268" s="4">
        <v>0</v>
      </c>
      <c r="T268" s="4">
        <v>11</v>
      </c>
      <c r="U268" s="4">
        <v>71</v>
      </c>
      <c r="V268" s="4">
        <f>IF(ISERROR(VLOOKUP($S$268,'TAR FIN'!$A$1:$O$92,15,0)),0,VLOOKUP($S$268,'TAR FIN'!$A$1:$O$92,15,0))</f>
        <v>0</v>
      </c>
      <c r="W268" s="4">
        <f>IF(ISERROR(VLOOKUP($T$268,'TAR FIN'!$A$1:$O$92,15,0)),0,VLOOKUP($T$268,'TAR FIN'!$A$1:$O$92,15,0))</f>
        <v>1155.51</v>
      </c>
      <c r="X268" s="4">
        <f>IF(ISERROR(VLOOKUP($U$268,'TAR FIN'!$A$1:$O$92,15,0)),0,VLOOKUP($U$268,'TAR FIN'!$A$1:$O$92,15,0))</f>
        <v>433.77</v>
      </c>
      <c r="Y268" s="4"/>
      <c r="Z268" s="4">
        <f ca="1">('TUSD BE'!$AM$11+'TUSD BF'!$AM$11+'TUSD CVA'!$AM$11)*1</f>
        <v>1493.7817824374656</v>
      </c>
      <c r="AA268" s="4">
        <f>('TE BE'!$AB$5+'TE BF'!$AB$5+'TE CVA'!$AB$5)*1</f>
        <v>542.84414704984056</v>
      </c>
      <c r="AB268" s="4">
        <f>$K$268*$V$268</f>
        <v>0</v>
      </c>
      <c r="AC268" s="4">
        <f>$M$268*$W$268</f>
        <v>-473.75909999999999</v>
      </c>
      <c r="AD268" s="4">
        <f>$O$268*$X$268</f>
        <v>-177.84569999999999</v>
      </c>
      <c r="AE268" s="4">
        <f>$K$268*$Y$268</f>
        <v>0</v>
      </c>
      <c r="AF268" s="4">
        <f ca="1">$M$268*$Z$268</f>
        <v>-612.45053079936088</v>
      </c>
      <c r="AG268" s="4">
        <f>$O$268*$AA$268</f>
        <v>-222.5661002904346</v>
      </c>
    </row>
    <row r="269" spans="1:33" ht="11.25" customHeight="1" x14ac:dyDescent="0.25">
      <c r="A269" s="3" t="s">
        <v>28</v>
      </c>
      <c r="B269" s="3" t="s">
        <v>39</v>
      </c>
      <c r="C269" s="3" t="s">
        <v>41</v>
      </c>
      <c r="D269" s="3" t="s">
        <v>42</v>
      </c>
      <c r="E269" s="3" t="s">
        <v>25</v>
      </c>
      <c r="F269" s="3" t="s">
        <v>25</v>
      </c>
      <c r="G269" s="3" t="s">
        <v>25</v>
      </c>
      <c r="H269" s="3" t="s">
        <v>34</v>
      </c>
      <c r="I269" s="6">
        <v>44743</v>
      </c>
      <c r="J269" s="4">
        <v>0</v>
      </c>
      <c r="K269" s="4">
        <v>0</v>
      </c>
      <c r="L269" s="4">
        <v>26.582000000000001</v>
      </c>
      <c r="M269" s="4">
        <v>26.582000000000001</v>
      </c>
      <c r="N269" s="4">
        <v>26.582000000000001</v>
      </c>
      <c r="O269" s="4">
        <v>26.582000000000001</v>
      </c>
      <c r="P269" s="4">
        <v>0</v>
      </c>
      <c r="Q269" s="3" t="s">
        <v>26</v>
      </c>
      <c r="R269" s="3">
        <v>0</v>
      </c>
      <c r="S269" s="4">
        <v>0</v>
      </c>
      <c r="T269" s="4">
        <v>11</v>
      </c>
      <c r="U269" s="4">
        <v>71</v>
      </c>
      <c r="V269" s="4">
        <f>IF(ISERROR(VLOOKUP($S$269,'TAR FIN'!$A$1:$O$92,15,0)),0,VLOOKUP($S$269,'TAR FIN'!$A$1:$O$92,15,0))</f>
        <v>0</v>
      </c>
      <c r="W269" s="4">
        <f>IF(ISERROR(VLOOKUP($T$269,'TAR FIN'!$A$1:$O$92,15,0)),0,VLOOKUP($T$269,'TAR FIN'!$A$1:$O$92,15,0))</f>
        <v>1155.51</v>
      </c>
      <c r="X269" s="4">
        <f>IF(ISERROR(VLOOKUP($U$269,'TAR FIN'!$A$1:$O$92,15,0)),0,VLOOKUP($U$269,'TAR FIN'!$A$1:$O$92,15,0))</f>
        <v>433.77</v>
      </c>
      <c r="Y269" s="4"/>
      <c r="Z269" s="4">
        <f ca="1">('TUSD BE'!$AM$11+'TUSD BF'!$AM$11+'TUSD CVA'!$AM$11)*1</f>
        <v>1493.7817824374656</v>
      </c>
      <c r="AA269" s="4">
        <f>('TE BE'!$AB$5+'TE BF'!$AB$5+'TE CVA'!$AB$5)*1</f>
        <v>542.84414704984056</v>
      </c>
      <c r="AB269" s="4">
        <f>$K$269*$V$269</f>
        <v>0</v>
      </c>
      <c r="AC269" s="4">
        <f>$M$269*$W$269</f>
        <v>30715.766820000001</v>
      </c>
      <c r="AD269" s="4">
        <f>$O$269*$X$269</f>
        <v>11530.47414</v>
      </c>
      <c r="AE269" s="4">
        <f>$K$269*$Y$269</f>
        <v>0</v>
      </c>
      <c r="AF269" s="4">
        <f ca="1">$M$269*$Z$269</f>
        <v>39707.707340752713</v>
      </c>
      <c r="AG269" s="4">
        <f>$O$269*$AA$269</f>
        <v>14429.883116878862</v>
      </c>
    </row>
    <row r="270" spans="1:33" ht="11.25" customHeight="1" x14ac:dyDescent="0.25">
      <c r="A270" s="3" t="s">
        <v>21</v>
      </c>
      <c r="B270" s="3" t="s">
        <v>39</v>
      </c>
      <c r="C270" s="3" t="s">
        <v>41</v>
      </c>
      <c r="D270" s="3" t="s">
        <v>42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44774</v>
      </c>
      <c r="J270" s="4">
        <v>0</v>
      </c>
      <c r="K270" s="4">
        <v>0</v>
      </c>
      <c r="L270" s="4">
        <v>483.17500000000001</v>
      </c>
      <c r="M270" s="4">
        <v>483.17500000000001</v>
      </c>
      <c r="N270" s="4">
        <v>483.17500000000001</v>
      </c>
      <c r="O270" s="4">
        <v>483.17500000000001</v>
      </c>
      <c r="P270" s="4">
        <v>0</v>
      </c>
      <c r="Q270" s="3" t="s">
        <v>26</v>
      </c>
      <c r="R270" s="3">
        <v>0</v>
      </c>
      <c r="S270" s="4">
        <v>0</v>
      </c>
      <c r="T270" s="4">
        <v>11</v>
      </c>
      <c r="U270" s="4">
        <v>71</v>
      </c>
      <c r="V270" s="4">
        <f>IF(ISERROR(VLOOKUP($S$270,'TAR FIN'!$A$1:$O$92,15,0)),0,VLOOKUP($S$270,'TAR FIN'!$A$1:$O$92,15,0))</f>
        <v>0</v>
      </c>
      <c r="W270" s="4">
        <f>IF(ISERROR(VLOOKUP($T$270,'TAR FIN'!$A$1:$O$92,15,0)),0,VLOOKUP($T$270,'TAR FIN'!$A$1:$O$92,15,0))</f>
        <v>1155.51</v>
      </c>
      <c r="X270" s="4">
        <f>IF(ISERROR(VLOOKUP($U$270,'TAR FIN'!$A$1:$O$92,15,0)),0,VLOOKUP($U$270,'TAR FIN'!$A$1:$O$92,15,0))</f>
        <v>433.77</v>
      </c>
      <c r="Y270" s="4"/>
      <c r="Z270" s="4">
        <f ca="1">('TUSD BE'!$AM$11+'TUSD BF'!$AM$11+'TUSD CVA'!$AM$11)*1</f>
        <v>1493.7817824374656</v>
      </c>
      <c r="AA270" s="4">
        <f>('TE BE'!$AB$5+'TE BF'!$AB$5+'TE CVA'!$AB$5)*1</f>
        <v>542.84414704984056</v>
      </c>
      <c r="AB270" s="4">
        <f>$K$270*$V$270</f>
        <v>0</v>
      </c>
      <c r="AC270" s="4">
        <f>$M$270*$W$270</f>
        <v>558313.54425000004</v>
      </c>
      <c r="AD270" s="4">
        <f>$O$270*$X$270</f>
        <v>209586.81975</v>
      </c>
      <c r="AE270" s="4">
        <f>$K$270*$Y$270</f>
        <v>0</v>
      </c>
      <c r="AF270" s="4">
        <f ca="1">$M$270*$Z$270</f>
        <v>721758.01272922242</v>
      </c>
      <c r="AG270" s="4">
        <f>$O$270*$AA$270</f>
        <v>262288.72075080674</v>
      </c>
    </row>
    <row r="271" spans="1:33" ht="11.25" customHeight="1" x14ac:dyDescent="0.25">
      <c r="A271" s="3" t="s">
        <v>28</v>
      </c>
      <c r="B271" s="3" t="s">
        <v>39</v>
      </c>
      <c r="C271" s="3" t="s">
        <v>41</v>
      </c>
      <c r="D271" s="3" t="s">
        <v>42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44774</v>
      </c>
      <c r="J271" s="4">
        <v>0</v>
      </c>
      <c r="K271" s="4">
        <v>0</v>
      </c>
      <c r="L271" s="4">
        <v>30.756</v>
      </c>
      <c r="M271" s="4">
        <v>30.756</v>
      </c>
      <c r="N271" s="4">
        <v>30.756</v>
      </c>
      <c r="O271" s="4">
        <v>30.756</v>
      </c>
      <c r="P271" s="4">
        <v>0</v>
      </c>
      <c r="Q271" s="3" t="s">
        <v>26</v>
      </c>
      <c r="R271" s="3">
        <v>0</v>
      </c>
      <c r="S271" s="4">
        <v>0</v>
      </c>
      <c r="T271" s="4">
        <v>11</v>
      </c>
      <c r="U271" s="4">
        <v>71</v>
      </c>
      <c r="V271" s="4">
        <f>IF(ISERROR(VLOOKUP($S$271,'TAR FIN'!$A$1:$O$92,15,0)),0,VLOOKUP($S$271,'TAR FIN'!$A$1:$O$92,15,0))</f>
        <v>0</v>
      </c>
      <c r="W271" s="4">
        <f>IF(ISERROR(VLOOKUP($T$271,'TAR FIN'!$A$1:$O$92,15,0)),0,VLOOKUP($T$271,'TAR FIN'!$A$1:$O$92,15,0))</f>
        <v>1155.51</v>
      </c>
      <c r="X271" s="4">
        <f>IF(ISERROR(VLOOKUP($U$271,'TAR FIN'!$A$1:$O$92,15,0)),0,VLOOKUP($U$271,'TAR FIN'!$A$1:$O$92,15,0))</f>
        <v>433.77</v>
      </c>
      <c r="Y271" s="4"/>
      <c r="Z271" s="4">
        <f ca="1">('TUSD BE'!$AM$11+'TUSD BF'!$AM$11+'TUSD CVA'!$AM$11)*1</f>
        <v>1493.7817824374656</v>
      </c>
      <c r="AA271" s="4">
        <f>('TE BE'!$AB$5+'TE BF'!$AB$5+'TE CVA'!$AB$5)*1</f>
        <v>542.84414704984056</v>
      </c>
      <c r="AB271" s="4">
        <f>$K$271*$V$271</f>
        <v>0</v>
      </c>
      <c r="AC271" s="4">
        <f>$M$271*$W$271</f>
        <v>35538.865559999998</v>
      </c>
      <c r="AD271" s="4">
        <f>$O$271*$X$271</f>
        <v>13341.030119999999</v>
      </c>
      <c r="AE271" s="4">
        <f>$K$271*$Y$271</f>
        <v>0</v>
      </c>
      <c r="AF271" s="4">
        <f ca="1">$M$271*$Z$271</f>
        <v>45942.752500646689</v>
      </c>
      <c r="AG271" s="4">
        <f>$O$271*$AA$271</f>
        <v>16695.714586664897</v>
      </c>
    </row>
    <row r="272" spans="1:33" ht="11.25" customHeight="1" x14ac:dyDescent="0.25">
      <c r="A272" s="3" t="s">
        <v>21</v>
      </c>
      <c r="B272" s="3" t="s">
        <v>39</v>
      </c>
      <c r="C272" s="3" t="s">
        <v>41</v>
      </c>
      <c r="D272" s="3" t="s">
        <v>42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44805</v>
      </c>
      <c r="J272" s="4">
        <v>0</v>
      </c>
      <c r="K272" s="4">
        <v>0</v>
      </c>
      <c r="L272" s="4">
        <v>503.858</v>
      </c>
      <c r="M272" s="4">
        <v>503.858</v>
      </c>
      <c r="N272" s="4">
        <v>503.858</v>
      </c>
      <c r="O272" s="4">
        <v>503.858</v>
      </c>
      <c r="P272" s="4">
        <v>0</v>
      </c>
      <c r="Q272" s="3" t="s">
        <v>26</v>
      </c>
      <c r="R272" s="3">
        <v>0</v>
      </c>
      <c r="S272" s="4">
        <v>0</v>
      </c>
      <c r="T272" s="4">
        <v>11</v>
      </c>
      <c r="U272" s="4">
        <v>71</v>
      </c>
      <c r="V272" s="4">
        <f>IF(ISERROR(VLOOKUP($S$272,'TAR FIN'!$A$1:$O$92,15,0)),0,VLOOKUP($S$272,'TAR FIN'!$A$1:$O$92,15,0))</f>
        <v>0</v>
      </c>
      <c r="W272" s="4">
        <f>IF(ISERROR(VLOOKUP($T$272,'TAR FIN'!$A$1:$O$92,15,0)),0,VLOOKUP($T$272,'TAR FIN'!$A$1:$O$92,15,0))</f>
        <v>1155.51</v>
      </c>
      <c r="X272" s="4">
        <f>IF(ISERROR(VLOOKUP($U$272,'TAR FIN'!$A$1:$O$92,15,0)),0,VLOOKUP($U$272,'TAR FIN'!$A$1:$O$92,15,0))</f>
        <v>433.77</v>
      </c>
      <c r="Y272" s="4"/>
      <c r="Z272" s="4">
        <f ca="1">('TUSD BE'!$AM$11+'TUSD BF'!$AM$11+'TUSD CVA'!$AM$11)*1</f>
        <v>1493.7817824374656</v>
      </c>
      <c r="AA272" s="4">
        <f>('TE BE'!$AB$5+'TE BF'!$AB$5+'TE CVA'!$AB$5)*1</f>
        <v>542.84414704984056</v>
      </c>
      <c r="AB272" s="4">
        <f>$K$272*$V$272</f>
        <v>0</v>
      </c>
      <c r="AC272" s="4">
        <f>$M$272*$W$272</f>
        <v>582212.95758000005</v>
      </c>
      <c r="AD272" s="4">
        <f>$O$272*$X$272</f>
        <v>218558.48465999999</v>
      </c>
      <c r="AE272" s="4">
        <f>$K$272*$Y$272</f>
        <v>0</v>
      </c>
      <c r="AF272" s="4">
        <f ca="1">$M$272*$Z$272</f>
        <v>752653.90133537655</v>
      </c>
      <c r="AG272" s="4">
        <f>$O$272*$AA$272</f>
        <v>273516.36624423857</v>
      </c>
    </row>
    <row r="273" spans="1:33" ht="11.25" customHeight="1" x14ac:dyDescent="0.25">
      <c r="A273" s="3" t="s">
        <v>27</v>
      </c>
      <c r="B273" s="3" t="s">
        <v>39</v>
      </c>
      <c r="C273" s="3" t="s">
        <v>41</v>
      </c>
      <c r="D273" s="3" t="s">
        <v>42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44805</v>
      </c>
      <c r="J273" s="4">
        <v>0</v>
      </c>
      <c r="K273" s="4">
        <v>0</v>
      </c>
      <c r="L273" s="4">
        <v>-0.33200000000000002</v>
      </c>
      <c r="M273" s="4">
        <v>-0.33200000000000002</v>
      </c>
      <c r="N273" s="4">
        <v>-0.33200000000000002</v>
      </c>
      <c r="O273" s="4">
        <v>-0.33200000000000002</v>
      </c>
      <c r="P273" s="4">
        <v>0</v>
      </c>
      <c r="Q273" s="3" t="s">
        <v>26</v>
      </c>
      <c r="R273" s="3">
        <v>0</v>
      </c>
      <c r="S273" s="4">
        <v>0</v>
      </c>
      <c r="T273" s="4">
        <v>11</v>
      </c>
      <c r="U273" s="4">
        <v>71</v>
      </c>
      <c r="V273" s="4">
        <f>IF(ISERROR(VLOOKUP($S$273,'TAR FIN'!$A$1:$O$92,15,0)),0,VLOOKUP($S$273,'TAR FIN'!$A$1:$O$92,15,0))</f>
        <v>0</v>
      </c>
      <c r="W273" s="4">
        <f>IF(ISERROR(VLOOKUP($T$273,'TAR FIN'!$A$1:$O$92,15,0)),0,VLOOKUP($T$273,'TAR FIN'!$A$1:$O$92,15,0))</f>
        <v>1155.51</v>
      </c>
      <c r="X273" s="4">
        <f>IF(ISERROR(VLOOKUP($U$273,'TAR FIN'!$A$1:$O$92,15,0)),0,VLOOKUP($U$273,'TAR FIN'!$A$1:$O$92,15,0))</f>
        <v>433.77</v>
      </c>
      <c r="Y273" s="4"/>
      <c r="Z273" s="4">
        <f ca="1">('TUSD BE'!$AM$11+'TUSD BF'!$AM$11+'TUSD CVA'!$AM$11)*1</f>
        <v>1493.7817824374656</v>
      </c>
      <c r="AA273" s="4">
        <f>('TE BE'!$AB$5+'TE BF'!$AB$5+'TE CVA'!$AB$5)*1</f>
        <v>542.84414704984056</v>
      </c>
      <c r="AB273" s="4">
        <f>$K$273*$V$273</f>
        <v>0</v>
      </c>
      <c r="AC273" s="4">
        <f>$M$273*$W$273</f>
        <v>-383.62932000000001</v>
      </c>
      <c r="AD273" s="4">
        <f>$O$273*$X$273</f>
        <v>-144.01164</v>
      </c>
      <c r="AE273" s="4">
        <f>$K$273*$Y$273</f>
        <v>0</v>
      </c>
      <c r="AF273" s="4">
        <f ca="1">$M$273*$Z$273</f>
        <v>-495.9355517692386</v>
      </c>
      <c r="AG273" s="4">
        <f>$O$273*$AA$273</f>
        <v>-180.22425682054708</v>
      </c>
    </row>
    <row r="274" spans="1:33" ht="11.25" customHeight="1" x14ac:dyDescent="0.25">
      <c r="A274" s="3" t="s">
        <v>28</v>
      </c>
      <c r="B274" s="3" t="s">
        <v>39</v>
      </c>
      <c r="C274" s="3" t="s">
        <v>41</v>
      </c>
      <c r="D274" s="3" t="s">
        <v>42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44805</v>
      </c>
      <c r="J274" s="4">
        <v>0</v>
      </c>
      <c r="K274" s="4">
        <v>0</v>
      </c>
      <c r="L274" s="4">
        <v>33.107999999999997</v>
      </c>
      <c r="M274" s="4">
        <v>33.107999999999997</v>
      </c>
      <c r="N274" s="4">
        <v>33.107999999999997</v>
      </c>
      <c r="O274" s="4">
        <v>33.107999999999997</v>
      </c>
      <c r="P274" s="4">
        <v>0</v>
      </c>
      <c r="Q274" s="3" t="s">
        <v>26</v>
      </c>
      <c r="R274" s="3">
        <v>0</v>
      </c>
      <c r="S274" s="4">
        <v>0</v>
      </c>
      <c r="T274" s="4">
        <v>11</v>
      </c>
      <c r="U274" s="4">
        <v>71</v>
      </c>
      <c r="V274" s="4">
        <f>IF(ISERROR(VLOOKUP($S$274,'TAR FIN'!$A$1:$O$92,15,0)),0,VLOOKUP($S$274,'TAR FIN'!$A$1:$O$92,15,0))</f>
        <v>0</v>
      </c>
      <c r="W274" s="4">
        <f>IF(ISERROR(VLOOKUP($T$274,'TAR FIN'!$A$1:$O$92,15,0)),0,VLOOKUP($T$274,'TAR FIN'!$A$1:$O$92,15,0))</f>
        <v>1155.51</v>
      </c>
      <c r="X274" s="4">
        <f>IF(ISERROR(VLOOKUP($U$274,'TAR FIN'!$A$1:$O$92,15,0)),0,VLOOKUP($U$274,'TAR FIN'!$A$1:$O$92,15,0))</f>
        <v>433.77</v>
      </c>
      <c r="Y274" s="4"/>
      <c r="Z274" s="4">
        <f ca="1">('TUSD BE'!$AM$11+'TUSD BF'!$AM$11+'TUSD CVA'!$AM$11)*1</f>
        <v>1493.7817824374656</v>
      </c>
      <c r="AA274" s="4">
        <f>('TE BE'!$AB$5+'TE BF'!$AB$5+'TE CVA'!$AB$5)*1</f>
        <v>542.84414704984056</v>
      </c>
      <c r="AB274" s="4">
        <f>$K$274*$V$274</f>
        <v>0</v>
      </c>
      <c r="AC274" s="4">
        <f>$M$274*$W$274</f>
        <v>38256.625079999998</v>
      </c>
      <c r="AD274" s="4">
        <f>$O$274*$X$274</f>
        <v>14361.257159999997</v>
      </c>
      <c r="AE274" s="4">
        <f>$K$274*$Y$274</f>
        <v>0</v>
      </c>
      <c r="AF274" s="4">
        <f ca="1">$M$274*$Z$274</f>
        <v>49456.127252939608</v>
      </c>
      <c r="AG274" s="4">
        <f>$O$274*$AA$274</f>
        <v>17972.484020526121</v>
      </c>
    </row>
    <row r="275" spans="1:33" ht="11.25" customHeight="1" x14ac:dyDescent="0.25">
      <c r="A275" s="3" t="s">
        <v>55</v>
      </c>
      <c r="B275" s="3" t="s">
        <v>39</v>
      </c>
      <c r="C275" s="3" t="s">
        <v>41</v>
      </c>
      <c r="D275" s="3" t="s">
        <v>42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44835</v>
      </c>
      <c r="J275" s="4">
        <v>0</v>
      </c>
      <c r="K275" s="4">
        <v>0</v>
      </c>
      <c r="L275" s="4">
        <v>503.858</v>
      </c>
      <c r="M275" s="4">
        <v>503.858</v>
      </c>
      <c r="N275" s="4">
        <v>503.858</v>
      </c>
      <c r="O275" s="4">
        <v>503.858</v>
      </c>
      <c r="P275" s="4">
        <v>0</v>
      </c>
      <c r="Q275" s="3" t="s">
        <v>26</v>
      </c>
      <c r="R275" s="3">
        <v>0</v>
      </c>
      <c r="S275" s="4">
        <v>0</v>
      </c>
      <c r="T275" s="4">
        <v>11</v>
      </c>
      <c r="U275" s="4">
        <v>71</v>
      </c>
      <c r="V275" s="4">
        <f>IF(ISERROR(VLOOKUP($S$275,'TAR FIN'!$A$1:$O$92,15,0)),0,VLOOKUP($S$275,'TAR FIN'!$A$1:$O$92,15,0))</f>
        <v>0</v>
      </c>
      <c r="W275" s="4">
        <f>IF(ISERROR(VLOOKUP($T$275,'TAR FIN'!$A$1:$O$92,15,0)),0,VLOOKUP($T$275,'TAR FIN'!$A$1:$O$92,15,0))</f>
        <v>1155.51</v>
      </c>
      <c r="X275" s="4">
        <f>IF(ISERROR(VLOOKUP($U$275,'TAR FIN'!$A$1:$O$92,15,0)),0,VLOOKUP($U$275,'TAR FIN'!$A$1:$O$92,15,0))</f>
        <v>433.77</v>
      </c>
      <c r="Y275" s="4"/>
      <c r="Z275" s="4">
        <f ca="1">('TUSD BE'!$AM$11+'TUSD BF'!$AM$11+'TUSD CVA'!$AM$11)*1</f>
        <v>1493.7817824374656</v>
      </c>
      <c r="AA275" s="4">
        <f>('TE BE'!$AB$5+'TE BF'!$AB$5+'TE CVA'!$AB$5)*1</f>
        <v>542.84414704984056</v>
      </c>
      <c r="AB275" s="4">
        <f>$K$275*$V$275</f>
        <v>0</v>
      </c>
      <c r="AC275" s="4">
        <f>$M$275*$W$275</f>
        <v>582212.95758000005</v>
      </c>
      <c r="AD275" s="4">
        <f>$O$275*$X$275</f>
        <v>218558.48465999999</v>
      </c>
      <c r="AE275" s="4">
        <f>$K$275*$Y$275</f>
        <v>0</v>
      </c>
      <c r="AF275" s="4">
        <f ca="1">$M$275*$Z$275</f>
        <v>752653.90133537655</v>
      </c>
      <c r="AG275" s="4">
        <f>$O$275*$AA$275</f>
        <v>273516.36624423857</v>
      </c>
    </row>
    <row r="276" spans="1:33" ht="11.25" customHeight="1" x14ac:dyDescent="0.25">
      <c r="A276" s="3" t="s">
        <v>55</v>
      </c>
      <c r="B276" s="3" t="s">
        <v>39</v>
      </c>
      <c r="C276" s="3" t="s">
        <v>41</v>
      </c>
      <c r="D276" s="3" t="s">
        <v>42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44835</v>
      </c>
      <c r="J276" s="4">
        <v>0</v>
      </c>
      <c r="K276" s="4">
        <v>0</v>
      </c>
      <c r="L276" s="4">
        <v>-0.33200000000000002</v>
      </c>
      <c r="M276" s="4">
        <v>-0.33200000000000002</v>
      </c>
      <c r="N276" s="4">
        <v>-0.33200000000000002</v>
      </c>
      <c r="O276" s="4">
        <v>-0.33200000000000002</v>
      </c>
      <c r="P276" s="4">
        <v>0</v>
      </c>
      <c r="Q276" s="3" t="s">
        <v>26</v>
      </c>
      <c r="R276" s="3">
        <v>0</v>
      </c>
      <c r="S276" s="4">
        <v>0</v>
      </c>
      <c r="T276" s="4">
        <v>11</v>
      </c>
      <c r="U276" s="4">
        <v>71</v>
      </c>
      <c r="V276" s="4">
        <f>IF(ISERROR(VLOOKUP($S$276,'TAR FIN'!$A$1:$O$92,15,0)),0,VLOOKUP($S$276,'TAR FIN'!$A$1:$O$92,15,0))</f>
        <v>0</v>
      </c>
      <c r="W276" s="4">
        <f>IF(ISERROR(VLOOKUP($T$276,'TAR FIN'!$A$1:$O$92,15,0)),0,VLOOKUP($T$276,'TAR FIN'!$A$1:$O$92,15,0))</f>
        <v>1155.51</v>
      </c>
      <c r="X276" s="4">
        <f>IF(ISERROR(VLOOKUP($U$276,'TAR FIN'!$A$1:$O$92,15,0)),0,VLOOKUP($U$276,'TAR FIN'!$A$1:$O$92,15,0))</f>
        <v>433.77</v>
      </c>
      <c r="Y276" s="4"/>
      <c r="Z276" s="4">
        <f ca="1">('TUSD BE'!$AM$11+'TUSD BF'!$AM$11+'TUSD CVA'!$AM$11)*1</f>
        <v>1493.7817824374656</v>
      </c>
      <c r="AA276" s="4">
        <f>('TE BE'!$AB$5+'TE BF'!$AB$5+'TE CVA'!$AB$5)*1</f>
        <v>542.84414704984056</v>
      </c>
      <c r="AB276" s="4">
        <f>$K$276*$V$276</f>
        <v>0</v>
      </c>
      <c r="AC276" s="4">
        <f>$M$276*$W$276</f>
        <v>-383.62932000000001</v>
      </c>
      <c r="AD276" s="4">
        <f>$O$276*$X$276</f>
        <v>-144.01164</v>
      </c>
      <c r="AE276" s="4">
        <f>$K$276*$Y$276</f>
        <v>0</v>
      </c>
      <c r="AF276" s="4">
        <f ca="1">$M$276*$Z$276</f>
        <v>-495.9355517692386</v>
      </c>
      <c r="AG276" s="4">
        <f>$O$276*$AA$276</f>
        <v>-180.22425682054708</v>
      </c>
    </row>
    <row r="277" spans="1:33" ht="11.25" customHeight="1" x14ac:dyDescent="0.25">
      <c r="A277" s="3" t="s">
        <v>55</v>
      </c>
      <c r="B277" s="3" t="s">
        <v>39</v>
      </c>
      <c r="C277" s="3" t="s">
        <v>41</v>
      </c>
      <c r="D277" s="3" t="s">
        <v>42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44835</v>
      </c>
      <c r="J277" s="4">
        <v>0</v>
      </c>
      <c r="K277" s="4">
        <v>0</v>
      </c>
      <c r="L277" s="4">
        <v>33.107999999999997</v>
      </c>
      <c r="M277" s="4">
        <v>33.107999999999997</v>
      </c>
      <c r="N277" s="4">
        <v>33.107999999999997</v>
      </c>
      <c r="O277" s="4">
        <v>33.107999999999997</v>
      </c>
      <c r="P277" s="4">
        <v>0</v>
      </c>
      <c r="Q277" s="3" t="s">
        <v>26</v>
      </c>
      <c r="R277" s="3">
        <v>0</v>
      </c>
      <c r="S277" s="4">
        <v>0</v>
      </c>
      <c r="T277" s="4">
        <v>11</v>
      </c>
      <c r="U277" s="4">
        <v>71</v>
      </c>
      <c r="V277" s="4">
        <f>IF(ISERROR(VLOOKUP($S$277,'TAR FIN'!$A$1:$O$92,15,0)),0,VLOOKUP($S$277,'TAR FIN'!$A$1:$O$92,15,0))</f>
        <v>0</v>
      </c>
      <c r="W277" s="4">
        <f>IF(ISERROR(VLOOKUP($T$277,'TAR FIN'!$A$1:$O$92,15,0)),0,VLOOKUP($T$277,'TAR FIN'!$A$1:$O$92,15,0))</f>
        <v>1155.51</v>
      </c>
      <c r="X277" s="4">
        <f>IF(ISERROR(VLOOKUP($U$277,'TAR FIN'!$A$1:$O$92,15,0)),0,VLOOKUP($U$277,'TAR FIN'!$A$1:$O$92,15,0))</f>
        <v>433.77</v>
      </c>
      <c r="Y277" s="4"/>
      <c r="Z277" s="4">
        <f ca="1">('TUSD BE'!$AM$11+'TUSD BF'!$AM$11+'TUSD CVA'!$AM$11)*1</f>
        <v>1493.7817824374656</v>
      </c>
      <c r="AA277" s="4">
        <f>('TE BE'!$AB$5+'TE BF'!$AB$5+'TE CVA'!$AB$5)*1</f>
        <v>542.84414704984056</v>
      </c>
      <c r="AB277" s="4">
        <f>$K$277*$V$277</f>
        <v>0</v>
      </c>
      <c r="AC277" s="4">
        <f>$M$277*$W$277</f>
        <v>38256.625079999998</v>
      </c>
      <c r="AD277" s="4">
        <f>$O$277*$X$277</f>
        <v>14361.257159999997</v>
      </c>
      <c r="AE277" s="4">
        <f>$K$277*$Y$277</f>
        <v>0</v>
      </c>
      <c r="AF277" s="4">
        <f ca="1">$M$277*$Z$277</f>
        <v>49456.127252939608</v>
      </c>
      <c r="AG277" s="4">
        <f>$O$277*$AA$277</f>
        <v>17972.484020526121</v>
      </c>
    </row>
    <row r="278" spans="1:33" ht="11.25" customHeight="1" x14ac:dyDescent="0.25">
      <c r="A278" s="3" t="s">
        <v>21</v>
      </c>
      <c r="B278" s="3" t="s">
        <v>39</v>
      </c>
      <c r="C278" s="3" t="s">
        <v>41</v>
      </c>
      <c r="D278" s="3" t="s">
        <v>51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44501</v>
      </c>
      <c r="J278" s="4">
        <v>0</v>
      </c>
      <c r="K278" s="4">
        <v>0</v>
      </c>
      <c r="L278" s="4">
        <v>81.537000000000006</v>
      </c>
      <c r="M278" s="4">
        <v>81.537000000000006</v>
      </c>
      <c r="N278" s="4">
        <v>81.537000000000006</v>
      </c>
      <c r="O278" s="4">
        <v>81.537000000000006</v>
      </c>
      <c r="P278" s="4">
        <v>0</v>
      </c>
      <c r="Q278" s="3" t="s">
        <v>26</v>
      </c>
      <c r="R278" s="3">
        <v>0</v>
      </c>
      <c r="S278" s="4">
        <v>0</v>
      </c>
      <c r="T278" s="4">
        <v>31</v>
      </c>
      <c r="U278" s="4">
        <v>59</v>
      </c>
      <c r="V278" s="4">
        <f>IF(ISERROR(VLOOKUP($S$278,'TAR FIN'!$A$1:$O$92,15,0)),0,VLOOKUP($S$278,'TAR FIN'!$A$1:$O$92,15,0))</f>
        <v>0</v>
      </c>
      <c r="W278" s="4">
        <f>IF(ISERROR(VLOOKUP($T$278,'TAR FIN'!$A$1:$O$92,15,0)),0,VLOOKUP($T$278,'TAR FIN'!$A$1:$O$92,15,0))</f>
        <v>87.73</v>
      </c>
      <c r="X278" s="4">
        <f>IF(ISERROR(VLOOKUP($U$278,'TAR FIN'!$A$1:$O$92,15,0)),0,VLOOKUP($U$278,'TAR FIN'!$A$1:$O$92,15,0))</f>
        <v>253.9</v>
      </c>
      <c r="Y278" s="4"/>
      <c r="Z278" s="4">
        <f ca="1">('TUSD BE'!$AM$12+'TUSD BF'!$AM$12+'TUSD CVA'!$AM$12)*1</f>
        <v>109.44196476324252</v>
      </c>
      <c r="AA278" s="4">
        <f>('TE BE'!$AB$6+'TE BF'!$AB$6+'TE CVA'!$AB$6)*1</f>
        <v>317.3874512882154</v>
      </c>
      <c r="AB278" s="4">
        <f>$K$278*$V$278</f>
        <v>0</v>
      </c>
      <c r="AC278" s="4">
        <f>$M$278*$W$278</f>
        <v>7153.2410100000006</v>
      </c>
      <c r="AD278" s="4">
        <f>$O$278*$X$278</f>
        <v>20702.244300000002</v>
      </c>
      <c r="AE278" s="4">
        <f>$K$278*$Y$278</f>
        <v>0</v>
      </c>
      <c r="AF278" s="4">
        <f ca="1">$M$278*$Z$278</f>
        <v>8923.5694809005072</v>
      </c>
      <c r="AG278" s="4">
        <f>$O$278*$AA$278</f>
        <v>25878.820615687222</v>
      </c>
    </row>
    <row r="279" spans="1:33" ht="11.25" customHeight="1" x14ac:dyDescent="0.25">
      <c r="A279" s="3" t="s">
        <v>21</v>
      </c>
      <c r="B279" s="3" t="s">
        <v>39</v>
      </c>
      <c r="C279" s="3" t="s">
        <v>41</v>
      </c>
      <c r="D279" s="3" t="s">
        <v>51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44531</v>
      </c>
      <c r="J279" s="4">
        <v>0</v>
      </c>
      <c r="K279" s="4">
        <v>0</v>
      </c>
      <c r="L279" s="4">
        <v>80.653000000000006</v>
      </c>
      <c r="M279" s="4">
        <v>80.653000000000006</v>
      </c>
      <c r="N279" s="4">
        <v>80.653000000000006</v>
      </c>
      <c r="O279" s="4">
        <v>80.653000000000006</v>
      </c>
      <c r="P279" s="4">
        <v>0</v>
      </c>
      <c r="Q279" s="3" t="s">
        <v>26</v>
      </c>
      <c r="R279" s="3">
        <v>0</v>
      </c>
      <c r="S279" s="4">
        <v>0</v>
      </c>
      <c r="T279" s="4">
        <v>31</v>
      </c>
      <c r="U279" s="4">
        <v>59</v>
      </c>
      <c r="V279" s="4">
        <f>IF(ISERROR(VLOOKUP($S$279,'TAR FIN'!$A$1:$O$92,15,0)),0,VLOOKUP($S$279,'TAR FIN'!$A$1:$O$92,15,0))</f>
        <v>0</v>
      </c>
      <c r="W279" s="4">
        <f>IF(ISERROR(VLOOKUP($T$279,'TAR FIN'!$A$1:$O$92,15,0)),0,VLOOKUP($T$279,'TAR FIN'!$A$1:$O$92,15,0))</f>
        <v>87.73</v>
      </c>
      <c r="X279" s="4">
        <f>IF(ISERROR(VLOOKUP($U$279,'TAR FIN'!$A$1:$O$92,15,0)),0,VLOOKUP($U$279,'TAR FIN'!$A$1:$O$92,15,0))</f>
        <v>253.9</v>
      </c>
      <c r="Y279" s="4"/>
      <c r="Z279" s="4">
        <f ca="1">('TUSD BE'!$AM$12+'TUSD BF'!$AM$12+'TUSD CVA'!$AM$12)*1</f>
        <v>109.44196476324252</v>
      </c>
      <c r="AA279" s="4">
        <f>('TE BE'!$AB$6+'TE BF'!$AB$6+'TE CVA'!$AB$6)*1</f>
        <v>317.3874512882154</v>
      </c>
      <c r="AB279" s="4">
        <f>$K$279*$V$279</f>
        <v>0</v>
      </c>
      <c r="AC279" s="4">
        <f>$M$279*$W$279</f>
        <v>7075.6876900000007</v>
      </c>
      <c r="AD279" s="4">
        <f>$O$279*$X$279</f>
        <v>20477.796700000003</v>
      </c>
      <c r="AE279" s="4">
        <f>$K$279*$Y$279</f>
        <v>0</v>
      </c>
      <c r="AF279" s="4">
        <f ca="1">$M$279*$Z$279</f>
        <v>8826.8227840498002</v>
      </c>
      <c r="AG279" s="4">
        <f>$O$279*$AA$279</f>
        <v>25598.250108748438</v>
      </c>
    </row>
    <row r="280" spans="1:33" ht="11.25" customHeight="1" x14ac:dyDescent="0.25">
      <c r="A280" s="3" t="s">
        <v>21</v>
      </c>
      <c r="B280" s="3" t="s">
        <v>39</v>
      </c>
      <c r="C280" s="3" t="s">
        <v>41</v>
      </c>
      <c r="D280" s="3" t="s">
        <v>51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44562</v>
      </c>
      <c r="J280" s="4">
        <v>0</v>
      </c>
      <c r="K280" s="4">
        <v>0</v>
      </c>
      <c r="L280" s="4">
        <v>80.429000000000002</v>
      </c>
      <c r="M280" s="4">
        <v>80.429000000000002</v>
      </c>
      <c r="N280" s="4">
        <v>80.429000000000002</v>
      </c>
      <c r="O280" s="4">
        <v>80.429000000000002</v>
      </c>
      <c r="P280" s="4">
        <v>0</v>
      </c>
      <c r="Q280" s="3" t="s">
        <v>26</v>
      </c>
      <c r="R280" s="3">
        <v>0</v>
      </c>
      <c r="S280" s="4">
        <v>0</v>
      </c>
      <c r="T280" s="4">
        <v>31</v>
      </c>
      <c r="U280" s="4">
        <v>59</v>
      </c>
      <c r="V280" s="4">
        <f>IF(ISERROR(VLOOKUP($S$280,'TAR FIN'!$A$1:$O$92,15,0)),0,VLOOKUP($S$280,'TAR FIN'!$A$1:$O$92,15,0))</f>
        <v>0</v>
      </c>
      <c r="W280" s="4">
        <f>IF(ISERROR(VLOOKUP($T$280,'TAR FIN'!$A$1:$O$92,15,0)),0,VLOOKUP($T$280,'TAR FIN'!$A$1:$O$92,15,0))</f>
        <v>87.73</v>
      </c>
      <c r="X280" s="4">
        <f>IF(ISERROR(VLOOKUP($U$280,'TAR FIN'!$A$1:$O$92,15,0)),0,VLOOKUP($U$280,'TAR FIN'!$A$1:$O$92,15,0))</f>
        <v>253.9</v>
      </c>
      <c r="Y280" s="4"/>
      <c r="Z280" s="4">
        <f ca="1">('TUSD BE'!$AM$12+'TUSD BF'!$AM$12+'TUSD CVA'!$AM$12)*1</f>
        <v>109.44196476324252</v>
      </c>
      <c r="AA280" s="4">
        <f>('TE BE'!$AB$6+'TE BF'!$AB$6+'TE CVA'!$AB$6)*1</f>
        <v>317.3874512882154</v>
      </c>
      <c r="AB280" s="4">
        <f>$K$280*$V$280</f>
        <v>0</v>
      </c>
      <c r="AC280" s="4">
        <f>$M$280*$W$280</f>
        <v>7056.0361700000003</v>
      </c>
      <c r="AD280" s="4">
        <f>$O$280*$X$280</f>
        <v>20420.9231</v>
      </c>
      <c r="AE280" s="4">
        <f>$K$280*$Y$280</f>
        <v>0</v>
      </c>
      <c r="AF280" s="4">
        <f ca="1">$M$280*$Z$280</f>
        <v>8802.3077839428333</v>
      </c>
      <c r="AG280" s="4">
        <f>$O$280*$AA$280</f>
        <v>25527.155319659876</v>
      </c>
    </row>
    <row r="281" spans="1:33" ht="11.25" customHeight="1" x14ac:dyDescent="0.25">
      <c r="A281" s="3" t="s">
        <v>21</v>
      </c>
      <c r="B281" s="3" t="s">
        <v>39</v>
      </c>
      <c r="C281" s="3" t="s">
        <v>41</v>
      </c>
      <c r="D281" s="3" t="s">
        <v>51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44593</v>
      </c>
      <c r="J281" s="4">
        <v>0</v>
      </c>
      <c r="K281" s="4">
        <v>0</v>
      </c>
      <c r="L281" s="4">
        <v>73.647000000000006</v>
      </c>
      <c r="M281" s="4">
        <v>73.647000000000006</v>
      </c>
      <c r="N281" s="4">
        <v>73.647000000000006</v>
      </c>
      <c r="O281" s="4">
        <v>73.647000000000006</v>
      </c>
      <c r="P281" s="4">
        <v>0</v>
      </c>
      <c r="Q281" s="3" t="s">
        <v>26</v>
      </c>
      <c r="R281" s="3">
        <v>0</v>
      </c>
      <c r="S281" s="4">
        <v>0</v>
      </c>
      <c r="T281" s="4">
        <v>31</v>
      </c>
      <c r="U281" s="4">
        <v>59</v>
      </c>
      <c r="V281" s="4">
        <f>IF(ISERROR(VLOOKUP($S$281,'TAR FIN'!$A$1:$O$92,15,0)),0,VLOOKUP($S$281,'TAR FIN'!$A$1:$O$92,15,0))</f>
        <v>0</v>
      </c>
      <c r="W281" s="4">
        <f>IF(ISERROR(VLOOKUP($T$281,'TAR FIN'!$A$1:$O$92,15,0)),0,VLOOKUP($T$281,'TAR FIN'!$A$1:$O$92,15,0))</f>
        <v>87.73</v>
      </c>
      <c r="X281" s="4">
        <f>IF(ISERROR(VLOOKUP($U$281,'TAR FIN'!$A$1:$O$92,15,0)),0,VLOOKUP($U$281,'TAR FIN'!$A$1:$O$92,15,0))</f>
        <v>253.9</v>
      </c>
      <c r="Y281" s="4"/>
      <c r="Z281" s="4">
        <f ca="1">('TUSD BE'!$AM$12+'TUSD BF'!$AM$12+'TUSD CVA'!$AM$12)*1</f>
        <v>109.44196476324252</v>
      </c>
      <c r="AA281" s="4">
        <f>('TE BE'!$AB$6+'TE BF'!$AB$6+'TE CVA'!$AB$6)*1</f>
        <v>317.3874512882154</v>
      </c>
      <c r="AB281" s="4">
        <f>$K$281*$V$281</f>
        <v>0</v>
      </c>
      <c r="AC281" s="4">
        <f>$M$281*$W$281</f>
        <v>6461.0513100000007</v>
      </c>
      <c r="AD281" s="4">
        <f>$O$281*$X$281</f>
        <v>18698.973300000001</v>
      </c>
      <c r="AE281" s="4">
        <f>$K$281*$Y$281</f>
        <v>0</v>
      </c>
      <c r="AF281" s="4">
        <f ca="1">$M$281*$Z$281</f>
        <v>8060.0723789185231</v>
      </c>
      <c r="AG281" s="4">
        <f>$O$281*$AA$281</f>
        <v>23374.633625023202</v>
      </c>
    </row>
    <row r="282" spans="1:33" ht="11.25" customHeight="1" x14ac:dyDescent="0.25">
      <c r="A282" s="3" t="s">
        <v>21</v>
      </c>
      <c r="B282" s="3" t="s">
        <v>39</v>
      </c>
      <c r="C282" s="3" t="s">
        <v>41</v>
      </c>
      <c r="D282" s="3" t="s">
        <v>51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44621</v>
      </c>
      <c r="J282" s="4">
        <v>0</v>
      </c>
      <c r="K282" s="4">
        <v>0</v>
      </c>
      <c r="L282" s="4">
        <v>81.025999999999996</v>
      </c>
      <c r="M282" s="4">
        <v>81.025999999999996</v>
      </c>
      <c r="N282" s="4">
        <v>81.025999999999996</v>
      </c>
      <c r="O282" s="4">
        <v>81.025999999999996</v>
      </c>
      <c r="P282" s="4">
        <v>0</v>
      </c>
      <c r="Q282" s="3" t="s">
        <v>26</v>
      </c>
      <c r="R282" s="3">
        <v>0</v>
      </c>
      <c r="S282" s="4">
        <v>0</v>
      </c>
      <c r="T282" s="4">
        <v>31</v>
      </c>
      <c r="U282" s="4">
        <v>59</v>
      </c>
      <c r="V282" s="4">
        <f>IF(ISERROR(VLOOKUP($S$282,'TAR FIN'!$A$1:$O$92,15,0)),0,VLOOKUP($S$282,'TAR FIN'!$A$1:$O$92,15,0))</f>
        <v>0</v>
      </c>
      <c r="W282" s="4">
        <f>IF(ISERROR(VLOOKUP($T$282,'TAR FIN'!$A$1:$O$92,15,0)),0,VLOOKUP($T$282,'TAR FIN'!$A$1:$O$92,15,0))</f>
        <v>87.73</v>
      </c>
      <c r="X282" s="4">
        <f>IF(ISERROR(VLOOKUP($U$282,'TAR FIN'!$A$1:$O$92,15,0)),0,VLOOKUP($U$282,'TAR FIN'!$A$1:$O$92,15,0))</f>
        <v>253.9</v>
      </c>
      <c r="Y282" s="4"/>
      <c r="Z282" s="4">
        <f ca="1">('TUSD BE'!$AM$12+'TUSD BF'!$AM$12+'TUSD CVA'!$AM$12)*1</f>
        <v>109.44196476324252</v>
      </c>
      <c r="AA282" s="4">
        <f>('TE BE'!$AB$6+'TE BF'!$AB$6+'TE CVA'!$AB$6)*1</f>
        <v>317.3874512882154</v>
      </c>
      <c r="AB282" s="4">
        <f>$K$282*$V$282</f>
        <v>0</v>
      </c>
      <c r="AC282" s="4">
        <f>$M$282*$W$282</f>
        <v>7108.4109799999997</v>
      </c>
      <c r="AD282" s="4">
        <f>$O$282*$X$282</f>
        <v>20572.501400000001</v>
      </c>
      <c r="AE282" s="4">
        <f>$K$282*$Y$282</f>
        <v>0</v>
      </c>
      <c r="AF282" s="4">
        <f ca="1">$M$282*$Z$282</f>
        <v>8867.6446369064888</v>
      </c>
      <c r="AG282" s="4">
        <f>$O$282*$AA$282</f>
        <v>25716.63562807894</v>
      </c>
    </row>
    <row r="283" spans="1:33" ht="11.25" customHeight="1" x14ac:dyDescent="0.25">
      <c r="A283" s="3" t="s">
        <v>21</v>
      </c>
      <c r="B283" s="3" t="s">
        <v>39</v>
      </c>
      <c r="C283" s="3" t="s">
        <v>41</v>
      </c>
      <c r="D283" s="3" t="s">
        <v>51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44652</v>
      </c>
      <c r="J283" s="4">
        <v>0</v>
      </c>
      <c r="K283" s="4">
        <v>0</v>
      </c>
      <c r="L283" s="4">
        <v>81.025999999999996</v>
      </c>
      <c r="M283" s="4">
        <v>81.025999999999996</v>
      </c>
      <c r="N283" s="4">
        <v>81.025999999999996</v>
      </c>
      <c r="O283" s="4">
        <v>81.025999999999996</v>
      </c>
      <c r="P283" s="4">
        <v>0</v>
      </c>
      <c r="Q283" s="3" t="s">
        <v>26</v>
      </c>
      <c r="R283" s="3">
        <v>0</v>
      </c>
      <c r="S283" s="4">
        <v>0</v>
      </c>
      <c r="T283" s="4">
        <v>31</v>
      </c>
      <c r="U283" s="4">
        <v>59</v>
      </c>
      <c r="V283" s="4">
        <f>IF(ISERROR(VLOOKUP($S$283,'TAR FIN'!$A$1:$O$92,15,0)),0,VLOOKUP($S$283,'TAR FIN'!$A$1:$O$92,15,0))</f>
        <v>0</v>
      </c>
      <c r="W283" s="4">
        <f>IF(ISERROR(VLOOKUP($T$283,'TAR FIN'!$A$1:$O$92,15,0)),0,VLOOKUP($T$283,'TAR FIN'!$A$1:$O$92,15,0))</f>
        <v>87.73</v>
      </c>
      <c r="X283" s="4">
        <f>IF(ISERROR(VLOOKUP($U$283,'TAR FIN'!$A$1:$O$92,15,0)),0,VLOOKUP($U$283,'TAR FIN'!$A$1:$O$92,15,0))</f>
        <v>253.9</v>
      </c>
      <c r="Y283" s="4"/>
      <c r="Z283" s="4">
        <f ca="1">('TUSD BE'!$AM$12+'TUSD BF'!$AM$12+'TUSD CVA'!$AM$12)*1</f>
        <v>109.44196476324252</v>
      </c>
      <c r="AA283" s="4">
        <f>('TE BE'!$AB$6+'TE BF'!$AB$6+'TE CVA'!$AB$6)*1</f>
        <v>317.3874512882154</v>
      </c>
      <c r="AB283" s="4">
        <f>$K$283*$V$283</f>
        <v>0</v>
      </c>
      <c r="AC283" s="4">
        <f>$M$283*$W$283</f>
        <v>7108.4109799999997</v>
      </c>
      <c r="AD283" s="4">
        <f>$O$283*$X$283</f>
        <v>20572.501400000001</v>
      </c>
      <c r="AE283" s="4">
        <f>$K$283*$Y$283</f>
        <v>0</v>
      </c>
      <c r="AF283" s="4">
        <f ca="1">$M$283*$Z$283</f>
        <v>8867.6446369064888</v>
      </c>
      <c r="AG283" s="4">
        <f>$O$283*$AA$283</f>
        <v>25716.63562807894</v>
      </c>
    </row>
    <row r="284" spans="1:33" ht="11.25" customHeight="1" x14ac:dyDescent="0.25">
      <c r="A284" s="3" t="s">
        <v>21</v>
      </c>
      <c r="B284" s="3" t="s">
        <v>39</v>
      </c>
      <c r="C284" s="3" t="s">
        <v>41</v>
      </c>
      <c r="D284" s="3" t="s">
        <v>51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44682</v>
      </c>
      <c r="J284" s="4">
        <v>0</v>
      </c>
      <c r="K284" s="4">
        <v>0</v>
      </c>
      <c r="L284" s="4">
        <v>77.808999999999997</v>
      </c>
      <c r="M284" s="4">
        <v>77.808999999999997</v>
      </c>
      <c r="N284" s="4">
        <v>77.808999999999997</v>
      </c>
      <c r="O284" s="4">
        <v>77.808999999999997</v>
      </c>
      <c r="P284" s="4">
        <v>0</v>
      </c>
      <c r="Q284" s="3" t="s">
        <v>26</v>
      </c>
      <c r="R284" s="3">
        <v>0</v>
      </c>
      <c r="S284" s="4">
        <v>0</v>
      </c>
      <c r="T284" s="4">
        <v>31</v>
      </c>
      <c r="U284" s="4">
        <v>59</v>
      </c>
      <c r="V284" s="4">
        <f>IF(ISERROR(VLOOKUP($S$284,'TAR FIN'!$A$1:$O$92,15,0)),0,VLOOKUP($S$284,'TAR FIN'!$A$1:$O$92,15,0))</f>
        <v>0</v>
      </c>
      <c r="W284" s="4">
        <f>IF(ISERROR(VLOOKUP($T$284,'TAR FIN'!$A$1:$O$92,15,0)),0,VLOOKUP($T$284,'TAR FIN'!$A$1:$O$92,15,0))</f>
        <v>87.73</v>
      </c>
      <c r="X284" s="4">
        <f>IF(ISERROR(VLOOKUP($U$284,'TAR FIN'!$A$1:$O$92,15,0)),0,VLOOKUP($U$284,'TAR FIN'!$A$1:$O$92,15,0))</f>
        <v>253.9</v>
      </c>
      <c r="Y284" s="4"/>
      <c r="Z284" s="4">
        <f ca="1">('TUSD BE'!$AM$12+'TUSD BF'!$AM$12+'TUSD CVA'!$AM$12)*1</f>
        <v>109.44196476324252</v>
      </c>
      <c r="AA284" s="4">
        <f>('TE BE'!$AB$6+'TE BF'!$AB$6+'TE CVA'!$AB$6)*1</f>
        <v>317.3874512882154</v>
      </c>
      <c r="AB284" s="4">
        <f>$K$284*$V$284</f>
        <v>0</v>
      </c>
      <c r="AC284" s="4">
        <f>$M$284*$W$284</f>
        <v>6826.1835700000001</v>
      </c>
      <c r="AD284" s="4">
        <f>$O$284*$X$284</f>
        <v>19755.705099999999</v>
      </c>
      <c r="AE284" s="4">
        <f>$K$284*$Y$284</f>
        <v>0</v>
      </c>
      <c r="AF284" s="4">
        <f ca="1">$M$284*$Z$284</f>
        <v>8515.5698362631374</v>
      </c>
      <c r="AG284" s="4">
        <f>$O$284*$AA$284</f>
        <v>24695.600197284752</v>
      </c>
    </row>
    <row r="285" spans="1:33" ht="11.25" customHeight="1" x14ac:dyDescent="0.25">
      <c r="A285" s="3" t="s">
        <v>21</v>
      </c>
      <c r="B285" s="3" t="s">
        <v>39</v>
      </c>
      <c r="C285" s="3" t="s">
        <v>41</v>
      </c>
      <c r="D285" s="3" t="s">
        <v>51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44713</v>
      </c>
      <c r="J285" s="4">
        <v>0</v>
      </c>
      <c r="K285" s="4">
        <v>0</v>
      </c>
      <c r="L285" s="4">
        <v>74.793999999999997</v>
      </c>
      <c r="M285" s="4">
        <v>74.793999999999997</v>
      </c>
      <c r="N285" s="4">
        <v>74.793999999999997</v>
      </c>
      <c r="O285" s="4">
        <v>74.793999999999997</v>
      </c>
      <c r="P285" s="4">
        <v>0</v>
      </c>
      <c r="Q285" s="3" t="s">
        <v>26</v>
      </c>
      <c r="R285" s="3">
        <v>0</v>
      </c>
      <c r="S285" s="4">
        <v>0</v>
      </c>
      <c r="T285" s="4">
        <v>31</v>
      </c>
      <c r="U285" s="4">
        <v>59</v>
      </c>
      <c r="V285" s="4">
        <f>IF(ISERROR(VLOOKUP($S$285,'TAR FIN'!$A$1:$O$92,15,0)),0,VLOOKUP($S$285,'TAR FIN'!$A$1:$O$92,15,0))</f>
        <v>0</v>
      </c>
      <c r="W285" s="4">
        <f>IF(ISERROR(VLOOKUP($T$285,'TAR FIN'!$A$1:$O$92,15,0)),0,VLOOKUP($T$285,'TAR FIN'!$A$1:$O$92,15,0))</f>
        <v>87.73</v>
      </c>
      <c r="X285" s="4">
        <f>IF(ISERROR(VLOOKUP($U$285,'TAR FIN'!$A$1:$O$92,15,0)),0,VLOOKUP($U$285,'TAR FIN'!$A$1:$O$92,15,0))</f>
        <v>253.9</v>
      </c>
      <c r="Y285" s="4"/>
      <c r="Z285" s="4">
        <f ca="1">('TUSD BE'!$AM$12+'TUSD BF'!$AM$12+'TUSD CVA'!$AM$12)*1</f>
        <v>109.44196476324252</v>
      </c>
      <c r="AA285" s="4">
        <f>('TE BE'!$AB$6+'TE BF'!$AB$6+'TE CVA'!$AB$6)*1</f>
        <v>317.3874512882154</v>
      </c>
      <c r="AB285" s="4">
        <f>$K$285*$V$285</f>
        <v>0</v>
      </c>
      <c r="AC285" s="4">
        <f>$M$285*$W$285</f>
        <v>6561.6776200000004</v>
      </c>
      <c r="AD285" s="4">
        <f>$O$285*$X$285</f>
        <v>18990.196599999999</v>
      </c>
      <c r="AE285" s="4">
        <f>$K$285*$Y$285</f>
        <v>0</v>
      </c>
      <c r="AF285" s="4">
        <f ca="1">$M$285*$Z$285</f>
        <v>8185.602312501961</v>
      </c>
      <c r="AG285" s="4">
        <f>$O$285*$AA$285</f>
        <v>23738.677031650783</v>
      </c>
    </row>
    <row r="286" spans="1:33" ht="11.25" customHeight="1" x14ac:dyDescent="0.25">
      <c r="A286" s="3" t="s">
        <v>21</v>
      </c>
      <c r="B286" s="3" t="s">
        <v>39</v>
      </c>
      <c r="C286" s="3" t="s">
        <v>41</v>
      </c>
      <c r="D286" s="3" t="s">
        <v>51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44743</v>
      </c>
      <c r="J286" s="4">
        <v>0</v>
      </c>
      <c r="K286" s="4">
        <v>0</v>
      </c>
      <c r="L286" s="4">
        <v>80.94</v>
      </c>
      <c r="M286" s="4">
        <v>80.94</v>
      </c>
      <c r="N286" s="4">
        <v>80.94</v>
      </c>
      <c r="O286" s="4">
        <v>80.94</v>
      </c>
      <c r="P286" s="4">
        <v>0</v>
      </c>
      <c r="Q286" s="3" t="s">
        <v>26</v>
      </c>
      <c r="R286" s="3">
        <v>0</v>
      </c>
      <c r="S286" s="4">
        <v>0</v>
      </c>
      <c r="T286" s="4">
        <v>31</v>
      </c>
      <c r="U286" s="4">
        <v>59</v>
      </c>
      <c r="V286" s="4">
        <f>IF(ISERROR(VLOOKUP($S$286,'TAR FIN'!$A$1:$O$92,15,0)),0,VLOOKUP($S$286,'TAR FIN'!$A$1:$O$92,15,0))</f>
        <v>0</v>
      </c>
      <c r="W286" s="4">
        <f>IF(ISERROR(VLOOKUP($T$286,'TAR FIN'!$A$1:$O$92,15,0)),0,VLOOKUP($T$286,'TAR FIN'!$A$1:$O$92,15,0))</f>
        <v>87.73</v>
      </c>
      <c r="X286" s="4">
        <f>IF(ISERROR(VLOOKUP($U$286,'TAR FIN'!$A$1:$O$92,15,0)),0,VLOOKUP($U$286,'TAR FIN'!$A$1:$O$92,15,0))</f>
        <v>253.9</v>
      </c>
      <c r="Y286" s="4"/>
      <c r="Z286" s="4">
        <f ca="1">('TUSD BE'!$AM$12+'TUSD BF'!$AM$12+'TUSD CVA'!$AM$12)*1</f>
        <v>109.44196476324252</v>
      </c>
      <c r="AA286" s="4">
        <f>('TE BE'!$AB$6+'TE BF'!$AB$6+'TE CVA'!$AB$6)*1</f>
        <v>317.3874512882154</v>
      </c>
      <c r="AB286" s="4">
        <f>$K$286*$V$286</f>
        <v>0</v>
      </c>
      <c r="AC286" s="4">
        <f>$M$286*$W$286</f>
        <v>7100.8662000000004</v>
      </c>
      <c r="AD286" s="4">
        <f>$O$286*$X$286</f>
        <v>20550.666000000001</v>
      </c>
      <c r="AE286" s="4">
        <f>$K$286*$Y$286</f>
        <v>0</v>
      </c>
      <c r="AF286" s="4">
        <f ca="1">$M$286*$Z$286</f>
        <v>8858.2326279368499</v>
      </c>
      <c r="AG286" s="4">
        <f>$O$286*$AA$286</f>
        <v>25689.340307268154</v>
      </c>
    </row>
    <row r="287" spans="1:33" ht="11.25" customHeight="1" x14ac:dyDescent="0.25">
      <c r="A287" s="3" t="s">
        <v>21</v>
      </c>
      <c r="B287" s="3" t="s">
        <v>39</v>
      </c>
      <c r="C287" s="3" t="s">
        <v>41</v>
      </c>
      <c r="D287" s="3" t="s">
        <v>51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44774</v>
      </c>
      <c r="J287" s="4">
        <v>0</v>
      </c>
      <c r="K287" s="4">
        <v>0</v>
      </c>
      <c r="L287" s="4">
        <v>85.8</v>
      </c>
      <c r="M287" s="4">
        <v>85.8</v>
      </c>
      <c r="N287" s="4">
        <v>85.8</v>
      </c>
      <c r="O287" s="4">
        <v>85.8</v>
      </c>
      <c r="P287" s="4">
        <v>0</v>
      </c>
      <c r="Q287" s="3" t="s">
        <v>26</v>
      </c>
      <c r="R287" s="3">
        <v>0</v>
      </c>
      <c r="S287" s="4">
        <v>0</v>
      </c>
      <c r="T287" s="4">
        <v>31</v>
      </c>
      <c r="U287" s="4">
        <v>59</v>
      </c>
      <c r="V287" s="4">
        <f>IF(ISERROR(VLOOKUP($S$287,'TAR FIN'!$A$1:$O$92,15,0)),0,VLOOKUP($S$287,'TAR FIN'!$A$1:$O$92,15,0))</f>
        <v>0</v>
      </c>
      <c r="W287" s="4">
        <f>IF(ISERROR(VLOOKUP($T$287,'TAR FIN'!$A$1:$O$92,15,0)),0,VLOOKUP($T$287,'TAR FIN'!$A$1:$O$92,15,0))</f>
        <v>87.73</v>
      </c>
      <c r="X287" s="4">
        <f>IF(ISERROR(VLOOKUP($U$287,'TAR FIN'!$A$1:$O$92,15,0)),0,VLOOKUP($U$287,'TAR FIN'!$A$1:$O$92,15,0))</f>
        <v>253.9</v>
      </c>
      <c r="Y287" s="4"/>
      <c r="Z287" s="4">
        <f ca="1">('TUSD BE'!$AM$12+'TUSD BF'!$AM$12+'TUSD CVA'!$AM$12)*1</f>
        <v>109.44196476324252</v>
      </c>
      <c r="AA287" s="4">
        <f>('TE BE'!$AB$6+'TE BF'!$AB$6+'TE CVA'!$AB$6)*1</f>
        <v>317.3874512882154</v>
      </c>
      <c r="AB287" s="4">
        <f>$K$287*$V$287</f>
        <v>0</v>
      </c>
      <c r="AC287" s="4">
        <f>$M$287*$W$287</f>
        <v>7527.2340000000004</v>
      </c>
      <c r="AD287" s="4">
        <f>$O$287*$X$287</f>
        <v>21784.62</v>
      </c>
      <c r="AE287" s="4">
        <f>$K$287*$Y$287</f>
        <v>0</v>
      </c>
      <c r="AF287" s="4">
        <f ca="1">$M$287*$Z$287</f>
        <v>9390.1205766862076</v>
      </c>
      <c r="AG287" s="4">
        <f>$O$287*$AA$287</f>
        <v>27231.843320528882</v>
      </c>
    </row>
    <row r="288" spans="1:33" ht="11.25" customHeight="1" x14ac:dyDescent="0.25">
      <c r="A288" s="3" t="s">
        <v>21</v>
      </c>
      <c r="B288" s="3" t="s">
        <v>39</v>
      </c>
      <c r="C288" s="3" t="s">
        <v>41</v>
      </c>
      <c r="D288" s="3" t="s">
        <v>51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44805</v>
      </c>
      <c r="J288" s="4">
        <v>0</v>
      </c>
      <c r="K288" s="4">
        <v>0</v>
      </c>
      <c r="L288" s="4">
        <v>82.92</v>
      </c>
      <c r="M288" s="4">
        <v>82.92</v>
      </c>
      <c r="N288" s="4">
        <v>82.92</v>
      </c>
      <c r="O288" s="4">
        <v>82.92</v>
      </c>
      <c r="P288" s="4">
        <v>0</v>
      </c>
      <c r="Q288" s="3" t="s">
        <v>26</v>
      </c>
      <c r="R288" s="3">
        <v>0</v>
      </c>
      <c r="S288" s="4">
        <v>0</v>
      </c>
      <c r="T288" s="4">
        <v>31</v>
      </c>
      <c r="U288" s="4">
        <v>59</v>
      </c>
      <c r="V288" s="4">
        <f>IF(ISERROR(VLOOKUP($S$288,'TAR FIN'!$A$1:$O$92,15,0)),0,VLOOKUP($S$288,'TAR FIN'!$A$1:$O$92,15,0))</f>
        <v>0</v>
      </c>
      <c r="W288" s="4">
        <f>IF(ISERROR(VLOOKUP($T$288,'TAR FIN'!$A$1:$O$92,15,0)),0,VLOOKUP($T$288,'TAR FIN'!$A$1:$O$92,15,0))</f>
        <v>87.73</v>
      </c>
      <c r="X288" s="4">
        <f>IF(ISERROR(VLOOKUP($U$288,'TAR FIN'!$A$1:$O$92,15,0)),0,VLOOKUP($U$288,'TAR FIN'!$A$1:$O$92,15,0))</f>
        <v>253.9</v>
      </c>
      <c r="Y288" s="4"/>
      <c r="Z288" s="4">
        <f ca="1">('TUSD BE'!$AM$12+'TUSD BF'!$AM$12+'TUSD CVA'!$AM$12)*1</f>
        <v>109.44196476324252</v>
      </c>
      <c r="AA288" s="4">
        <f>('TE BE'!$AB$6+'TE BF'!$AB$6+'TE CVA'!$AB$6)*1</f>
        <v>317.3874512882154</v>
      </c>
      <c r="AB288" s="4">
        <f>$K$288*$V$288</f>
        <v>0</v>
      </c>
      <c r="AC288" s="4">
        <f>$M$288*$W$288</f>
        <v>7274.5716000000002</v>
      </c>
      <c r="AD288" s="4">
        <f>$O$288*$X$288</f>
        <v>21053.388000000003</v>
      </c>
      <c r="AE288" s="4">
        <f>$K$288*$Y$288</f>
        <v>0</v>
      </c>
      <c r="AF288" s="4">
        <f ca="1">$M$288*$Z$288</f>
        <v>9074.92771816807</v>
      </c>
      <c r="AG288" s="4">
        <f>$O$288*$AA$288</f>
        <v>26317.767460818821</v>
      </c>
    </row>
    <row r="289" spans="1:33" ht="11.25" customHeight="1" x14ac:dyDescent="0.25">
      <c r="A289" s="3" t="s">
        <v>55</v>
      </c>
      <c r="B289" s="3" t="s">
        <v>39</v>
      </c>
      <c r="C289" s="3" t="s">
        <v>41</v>
      </c>
      <c r="D289" s="3" t="s">
        <v>51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44835</v>
      </c>
      <c r="J289" s="4">
        <v>0</v>
      </c>
      <c r="K289" s="4">
        <v>0</v>
      </c>
      <c r="L289" s="4">
        <v>82.92</v>
      </c>
      <c r="M289" s="4">
        <v>82.92</v>
      </c>
      <c r="N289" s="4">
        <v>82.92</v>
      </c>
      <c r="O289" s="4">
        <v>82.92</v>
      </c>
      <c r="P289" s="4">
        <v>0</v>
      </c>
      <c r="Q289" s="3" t="s">
        <v>26</v>
      </c>
      <c r="R289" s="3">
        <v>0</v>
      </c>
      <c r="S289" s="4">
        <v>0</v>
      </c>
      <c r="T289" s="4">
        <v>31</v>
      </c>
      <c r="U289" s="4">
        <v>59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87.73</v>
      </c>
      <c r="X289" s="4">
        <f>IF(ISERROR(VLOOKUP($U$289,'TAR FIN'!$A$1:$O$92,15,0)),0,VLOOKUP($U$289,'TAR FIN'!$A$1:$O$92,15,0))</f>
        <v>253.9</v>
      </c>
      <c r="Y289" s="4"/>
      <c r="Z289" s="4">
        <f ca="1">('TUSD BE'!$AM$12+'TUSD BF'!$AM$12+'TUSD CVA'!$AM$12)*1</f>
        <v>109.44196476324252</v>
      </c>
      <c r="AA289" s="4">
        <f>('TE BE'!$AB$6+'TE BF'!$AB$6+'TE CVA'!$AB$6)*1</f>
        <v>317.3874512882154</v>
      </c>
      <c r="AB289" s="4">
        <f>$K$289*$V$289</f>
        <v>0</v>
      </c>
      <c r="AC289" s="4">
        <f>$M$289*$W$289</f>
        <v>7274.5716000000002</v>
      </c>
      <c r="AD289" s="4">
        <f>$O$289*$X$289</f>
        <v>21053.388000000003</v>
      </c>
      <c r="AE289" s="4">
        <f>$K$289*$Y$289</f>
        <v>0</v>
      </c>
      <c r="AF289" s="4">
        <f ca="1">$M$289*$Z$289</f>
        <v>9074.92771816807</v>
      </c>
      <c r="AG289" s="4">
        <f>$O$289*$AA$289</f>
        <v>26317.767460818821</v>
      </c>
    </row>
    <row r="290" spans="1:33" ht="11.25" customHeight="1" x14ac:dyDescent="0.25">
      <c r="A290" s="3" t="s">
        <v>21</v>
      </c>
      <c r="B290" s="3" t="s">
        <v>39</v>
      </c>
      <c r="C290" s="3" t="s">
        <v>41</v>
      </c>
      <c r="D290" s="3" t="s">
        <v>51</v>
      </c>
      <c r="E290" s="3" t="s">
        <v>25</v>
      </c>
      <c r="F290" s="3" t="s">
        <v>25</v>
      </c>
      <c r="G290" s="3" t="s">
        <v>25</v>
      </c>
      <c r="H290" s="3" t="s">
        <v>25</v>
      </c>
      <c r="I290" s="6">
        <v>44501</v>
      </c>
      <c r="J290" s="4">
        <v>281</v>
      </c>
      <c r="K290" s="4">
        <v>281</v>
      </c>
      <c r="L290" s="4">
        <v>0</v>
      </c>
      <c r="M290" s="4">
        <v>0</v>
      </c>
      <c r="N290" s="4">
        <v>0</v>
      </c>
      <c r="O290" s="4">
        <v>0</v>
      </c>
      <c r="P290" s="4">
        <v>8</v>
      </c>
      <c r="Q290" s="3" t="s">
        <v>26</v>
      </c>
      <c r="R290" s="3">
        <v>0</v>
      </c>
      <c r="S290" s="4">
        <v>18</v>
      </c>
      <c r="T290" s="4">
        <v>0</v>
      </c>
      <c r="U290" s="4">
        <v>0</v>
      </c>
      <c r="V290" s="4">
        <f>IF(ISERROR(VLOOKUP($S$290,'TAR FIN'!$A$1:$O$92,15,0)),0,VLOOKUP($S$290,'TAR FIN'!$A$1:$O$92,15,0))</f>
        <v>14.64</v>
      </c>
      <c r="W290" s="4">
        <f>IF(ISERROR(VLOOKUP($T$290,'TAR FIN'!$A$1:$O$92,15,0)),0,VLOOKUP($T$290,'TAR FIN'!$A$1:$O$92,15,0))</f>
        <v>0</v>
      </c>
      <c r="X290" s="4">
        <f>IF(ISERROR(VLOOKUP($U$290,'TAR FIN'!$A$1:$O$92,15,0)),0,VLOOKUP($U$290,'TAR FIN'!$A$1:$O$92,15,0))</f>
        <v>0</v>
      </c>
      <c r="Y290" s="4">
        <f ca="1">('TUSD BE'!$AM$10+'TUSD BF'!$AM$10+'TUSD CVA'!$AM$10)*1</f>
        <v>19.024476785546895</v>
      </c>
      <c r="Z290" s="4"/>
      <c r="AA290" s="4"/>
      <c r="AB290" s="4">
        <f>$K$290*$V$290</f>
        <v>4113.84</v>
      </c>
      <c r="AC290" s="4">
        <f>$M$290*$W$290</f>
        <v>0</v>
      </c>
      <c r="AD290" s="4">
        <f>$O$290*$X$290</f>
        <v>0</v>
      </c>
      <c r="AE290" s="4">
        <f ca="1">$K$290*$Y$290</f>
        <v>5345.8779767386777</v>
      </c>
      <c r="AF290" s="4">
        <f>$M$290*$Z$290</f>
        <v>0</v>
      </c>
      <c r="AG290" s="4">
        <f>$O$290*$AA$290</f>
        <v>0</v>
      </c>
    </row>
    <row r="291" spans="1:33" ht="11.25" customHeight="1" x14ac:dyDescent="0.25">
      <c r="A291" s="3" t="s">
        <v>21</v>
      </c>
      <c r="B291" s="3" t="s">
        <v>39</v>
      </c>
      <c r="C291" s="3" t="s">
        <v>41</v>
      </c>
      <c r="D291" s="3" t="s">
        <v>51</v>
      </c>
      <c r="E291" s="3" t="s">
        <v>25</v>
      </c>
      <c r="F291" s="3" t="s">
        <v>25</v>
      </c>
      <c r="G291" s="3" t="s">
        <v>25</v>
      </c>
      <c r="H291" s="3" t="s">
        <v>25</v>
      </c>
      <c r="I291" s="6">
        <v>44531</v>
      </c>
      <c r="J291" s="4">
        <v>371</v>
      </c>
      <c r="K291" s="4">
        <v>371</v>
      </c>
      <c r="L291" s="4">
        <v>0</v>
      </c>
      <c r="M291" s="4">
        <v>0</v>
      </c>
      <c r="N291" s="4">
        <v>0</v>
      </c>
      <c r="O291" s="4">
        <v>0</v>
      </c>
      <c r="P291" s="4">
        <v>8</v>
      </c>
      <c r="Q291" s="3" t="s">
        <v>26</v>
      </c>
      <c r="R291" s="3">
        <v>0</v>
      </c>
      <c r="S291" s="4">
        <v>18</v>
      </c>
      <c r="T291" s="4">
        <v>0</v>
      </c>
      <c r="U291" s="4">
        <v>0</v>
      </c>
      <c r="V291" s="4">
        <f>IF(ISERROR(VLOOKUP($S$291,'TAR FIN'!$A$1:$O$92,15,0)),0,VLOOKUP($S$291,'TAR FIN'!$A$1:$O$92,15,0))</f>
        <v>14.64</v>
      </c>
      <c r="W291" s="4">
        <f>IF(ISERROR(VLOOKUP($T$291,'TAR FIN'!$A$1:$O$92,15,0)),0,VLOOKUP($T$291,'TAR FIN'!$A$1:$O$92,15,0))</f>
        <v>0</v>
      </c>
      <c r="X291" s="4">
        <f>IF(ISERROR(VLOOKUP($U$291,'TAR FIN'!$A$1:$O$92,15,0)),0,VLOOKUP($U$291,'TAR FIN'!$A$1:$O$92,15,0))</f>
        <v>0</v>
      </c>
      <c r="Y291" s="4">
        <f ca="1">('TUSD BE'!$AM$10+'TUSD BF'!$AM$10+'TUSD CVA'!$AM$10)*1</f>
        <v>19.024476785546895</v>
      </c>
      <c r="Z291" s="4"/>
      <c r="AA291" s="4"/>
      <c r="AB291" s="4">
        <f>$K$291*$V$291</f>
        <v>5431.4400000000005</v>
      </c>
      <c r="AC291" s="4">
        <f>$M$291*$W$291</f>
        <v>0</v>
      </c>
      <c r="AD291" s="4">
        <f>$O$291*$X$291</f>
        <v>0</v>
      </c>
      <c r="AE291" s="4">
        <f ca="1">$K$291*$Y$291</f>
        <v>7058.0808874378981</v>
      </c>
      <c r="AF291" s="4">
        <f>$M$291*$Z$291</f>
        <v>0</v>
      </c>
      <c r="AG291" s="4">
        <f>$O$291*$AA$291</f>
        <v>0</v>
      </c>
    </row>
    <row r="292" spans="1:33" ht="11.25" customHeight="1" x14ac:dyDescent="0.25">
      <c r="A292" s="3" t="s">
        <v>21</v>
      </c>
      <c r="B292" s="3" t="s">
        <v>39</v>
      </c>
      <c r="C292" s="3" t="s">
        <v>41</v>
      </c>
      <c r="D292" s="3" t="s">
        <v>51</v>
      </c>
      <c r="E292" s="3" t="s">
        <v>25</v>
      </c>
      <c r="F292" s="3" t="s">
        <v>25</v>
      </c>
      <c r="G292" s="3" t="s">
        <v>25</v>
      </c>
      <c r="H292" s="3" t="s">
        <v>25</v>
      </c>
      <c r="I292" s="6">
        <v>44562</v>
      </c>
      <c r="J292" s="4">
        <v>261</v>
      </c>
      <c r="K292" s="4">
        <v>261</v>
      </c>
      <c r="L292" s="4">
        <v>0</v>
      </c>
      <c r="M292" s="4">
        <v>0</v>
      </c>
      <c r="N292" s="4">
        <v>0</v>
      </c>
      <c r="O292" s="4">
        <v>0</v>
      </c>
      <c r="P292" s="4">
        <v>8</v>
      </c>
      <c r="Q292" s="3" t="s">
        <v>26</v>
      </c>
      <c r="R292" s="3">
        <v>0</v>
      </c>
      <c r="S292" s="4">
        <v>18</v>
      </c>
      <c r="T292" s="4">
        <v>0</v>
      </c>
      <c r="U292" s="4">
        <v>0</v>
      </c>
      <c r="V292" s="4">
        <f>IF(ISERROR(VLOOKUP($S$292,'TAR FIN'!$A$1:$O$92,15,0)),0,VLOOKUP($S$292,'TAR FIN'!$A$1:$O$92,15,0))</f>
        <v>14.64</v>
      </c>
      <c r="W292" s="4">
        <f>IF(ISERROR(VLOOKUP($T$292,'TAR FIN'!$A$1:$O$92,15,0)),0,VLOOKUP($T$292,'TAR FIN'!$A$1:$O$92,15,0))</f>
        <v>0</v>
      </c>
      <c r="X292" s="4">
        <f>IF(ISERROR(VLOOKUP($U$292,'TAR FIN'!$A$1:$O$92,15,0)),0,VLOOKUP($U$292,'TAR FIN'!$A$1:$O$92,15,0))</f>
        <v>0</v>
      </c>
      <c r="Y292" s="4">
        <f ca="1">('TUSD BE'!$AM$10+'TUSD BF'!$AM$10+'TUSD CVA'!$AM$10)*1</f>
        <v>19.024476785546895</v>
      </c>
      <c r="Z292" s="4"/>
      <c r="AA292" s="4"/>
      <c r="AB292" s="4">
        <f>$K$292*$V$292</f>
        <v>3821.04</v>
      </c>
      <c r="AC292" s="4">
        <f>$M$292*$W$292</f>
        <v>0</v>
      </c>
      <c r="AD292" s="4">
        <f>$O$292*$X$292</f>
        <v>0</v>
      </c>
      <c r="AE292" s="4">
        <f ca="1">$K$292*$Y$292</f>
        <v>4965.3884410277396</v>
      </c>
      <c r="AF292" s="4">
        <f>$M$292*$Z$292</f>
        <v>0</v>
      </c>
      <c r="AG292" s="4">
        <f>$O$292*$AA$292</f>
        <v>0</v>
      </c>
    </row>
    <row r="293" spans="1:33" ht="11.25" customHeight="1" x14ac:dyDescent="0.25">
      <c r="A293" s="3" t="s">
        <v>21</v>
      </c>
      <c r="B293" s="3" t="s">
        <v>39</v>
      </c>
      <c r="C293" s="3" t="s">
        <v>41</v>
      </c>
      <c r="D293" s="3" t="s">
        <v>51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44593</v>
      </c>
      <c r="J293" s="4">
        <v>252</v>
      </c>
      <c r="K293" s="4">
        <v>252</v>
      </c>
      <c r="L293" s="4">
        <v>0</v>
      </c>
      <c r="M293" s="4">
        <v>0</v>
      </c>
      <c r="N293" s="4">
        <v>0</v>
      </c>
      <c r="O293" s="4">
        <v>0</v>
      </c>
      <c r="P293" s="4">
        <v>8</v>
      </c>
      <c r="Q293" s="3" t="s">
        <v>26</v>
      </c>
      <c r="R293" s="3">
        <v>0</v>
      </c>
      <c r="S293" s="4">
        <v>18</v>
      </c>
      <c r="T293" s="4">
        <v>0</v>
      </c>
      <c r="U293" s="4">
        <v>0</v>
      </c>
      <c r="V293" s="4">
        <f>IF(ISERROR(VLOOKUP($S$293,'TAR FIN'!$A$1:$O$92,15,0)),0,VLOOKUP($S$293,'TAR FIN'!$A$1:$O$92,15,0))</f>
        <v>14.64</v>
      </c>
      <c r="W293" s="4">
        <f>IF(ISERROR(VLOOKUP($T$293,'TAR FIN'!$A$1:$O$92,15,0)),0,VLOOKUP($T$293,'TAR FIN'!$A$1:$O$92,15,0))</f>
        <v>0</v>
      </c>
      <c r="X293" s="4">
        <f>IF(ISERROR(VLOOKUP($U$293,'TAR FIN'!$A$1:$O$92,15,0)),0,VLOOKUP($U$293,'TAR FIN'!$A$1:$O$92,15,0))</f>
        <v>0</v>
      </c>
      <c r="Y293" s="4">
        <f ca="1">('TUSD BE'!$AM$10+'TUSD BF'!$AM$10+'TUSD CVA'!$AM$10)*1</f>
        <v>19.024476785546895</v>
      </c>
      <c r="Z293" s="4"/>
      <c r="AA293" s="4"/>
      <c r="AB293" s="4">
        <f>$K$293*$V$293</f>
        <v>3689.28</v>
      </c>
      <c r="AC293" s="4">
        <f>$M$293*$W$293</f>
        <v>0</v>
      </c>
      <c r="AD293" s="4">
        <f>$O$293*$X$293</f>
        <v>0</v>
      </c>
      <c r="AE293" s="4">
        <f ca="1">$K$293*$Y$293</f>
        <v>4794.1681499578171</v>
      </c>
      <c r="AF293" s="4">
        <f>$M$293*$Z$293</f>
        <v>0</v>
      </c>
      <c r="AG293" s="4">
        <f>$O$293*$AA$293</f>
        <v>0</v>
      </c>
    </row>
    <row r="294" spans="1:33" ht="11.25" customHeight="1" x14ac:dyDescent="0.25">
      <c r="A294" s="3" t="s">
        <v>21</v>
      </c>
      <c r="B294" s="3" t="s">
        <v>39</v>
      </c>
      <c r="C294" s="3" t="s">
        <v>41</v>
      </c>
      <c r="D294" s="3" t="s">
        <v>51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44621</v>
      </c>
      <c r="J294" s="4">
        <v>269</v>
      </c>
      <c r="K294" s="4">
        <v>269</v>
      </c>
      <c r="L294" s="4">
        <v>0</v>
      </c>
      <c r="M294" s="4">
        <v>0</v>
      </c>
      <c r="N294" s="4">
        <v>0</v>
      </c>
      <c r="O294" s="4">
        <v>0</v>
      </c>
      <c r="P294" s="4">
        <v>8</v>
      </c>
      <c r="Q294" s="3" t="s">
        <v>26</v>
      </c>
      <c r="R294" s="3">
        <v>0</v>
      </c>
      <c r="S294" s="4">
        <v>18</v>
      </c>
      <c r="T294" s="4">
        <v>0</v>
      </c>
      <c r="U294" s="4">
        <v>0</v>
      </c>
      <c r="V294" s="4">
        <f>IF(ISERROR(VLOOKUP($S$294,'TAR FIN'!$A$1:$O$92,15,0)),0,VLOOKUP($S$294,'TAR FIN'!$A$1:$O$92,15,0))</f>
        <v>14.64</v>
      </c>
      <c r="W294" s="4">
        <f>IF(ISERROR(VLOOKUP($T$294,'TAR FIN'!$A$1:$O$92,15,0)),0,VLOOKUP($T$294,'TAR FIN'!$A$1:$O$92,15,0))</f>
        <v>0</v>
      </c>
      <c r="X294" s="4">
        <f>IF(ISERROR(VLOOKUP($U$294,'TAR FIN'!$A$1:$O$92,15,0)),0,VLOOKUP($U$294,'TAR FIN'!$A$1:$O$92,15,0))</f>
        <v>0</v>
      </c>
      <c r="Y294" s="4">
        <f ca="1">('TUSD BE'!$AM$10+'TUSD BF'!$AM$10+'TUSD CVA'!$AM$10)*1</f>
        <v>19.024476785546895</v>
      </c>
      <c r="Z294" s="4"/>
      <c r="AA294" s="4"/>
      <c r="AB294" s="4">
        <f>$K$294*$V$294</f>
        <v>3938.1600000000003</v>
      </c>
      <c r="AC294" s="4">
        <f>$M$294*$W$294</f>
        <v>0</v>
      </c>
      <c r="AD294" s="4">
        <f>$O$294*$X$294</f>
        <v>0</v>
      </c>
      <c r="AE294" s="4">
        <f ca="1">$K$294*$Y$294</f>
        <v>5117.5842553121147</v>
      </c>
      <c r="AF294" s="4">
        <f>$M$294*$Z$294</f>
        <v>0</v>
      </c>
      <c r="AG294" s="4">
        <f>$O$294*$AA$294</f>
        <v>0</v>
      </c>
    </row>
    <row r="295" spans="1:33" ht="11.25" customHeight="1" x14ac:dyDescent="0.25">
      <c r="A295" s="3" t="s">
        <v>21</v>
      </c>
      <c r="B295" s="3" t="s">
        <v>39</v>
      </c>
      <c r="C295" s="3" t="s">
        <v>41</v>
      </c>
      <c r="D295" s="3" t="s">
        <v>51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44652</v>
      </c>
      <c r="J295" s="4">
        <v>269</v>
      </c>
      <c r="K295" s="4">
        <v>269</v>
      </c>
      <c r="L295" s="4">
        <v>0</v>
      </c>
      <c r="M295" s="4">
        <v>0</v>
      </c>
      <c r="N295" s="4">
        <v>0</v>
      </c>
      <c r="O295" s="4">
        <v>0</v>
      </c>
      <c r="P295" s="4">
        <v>8</v>
      </c>
      <c r="Q295" s="3" t="s">
        <v>26</v>
      </c>
      <c r="R295" s="3">
        <v>0</v>
      </c>
      <c r="S295" s="4">
        <v>18</v>
      </c>
      <c r="T295" s="4">
        <v>0</v>
      </c>
      <c r="U295" s="4">
        <v>0</v>
      </c>
      <c r="V295" s="4">
        <f>IF(ISERROR(VLOOKUP($S$295,'TAR FIN'!$A$1:$O$92,15,0)),0,VLOOKUP($S$295,'TAR FIN'!$A$1:$O$92,15,0))</f>
        <v>14.64</v>
      </c>
      <c r="W295" s="4">
        <f>IF(ISERROR(VLOOKUP($T$295,'TAR FIN'!$A$1:$O$92,15,0)),0,VLOOKUP($T$295,'TAR FIN'!$A$1:$O$92,15,0))</f>
        <v>0</v>
      </c>
      <c r="X295" s="4">
        <f>IF(ISERROR(VLOOKUP($U$295,'TAR FIN'!$A$1:$O$92,15,0)),0,VLOOKUP($U$295,'TAR FIN'!$A$1:$O$92,15,0))</f>
        <v>0</v>
      </c>
      <c r="Y295" s="4">
        <f ca="1">('TUSD BE'!$AM$10+'TUSD BF'!$AM$10+'TUSD CVA'!$AM$10)*1</f>
        <v>19.024476785546895</v>
      </c>
      <c r="Z295" s="4"/>
      <c r="AA295" s="4"/>
      <c r="AB295" s="4">
        <f>$K$295*$V$295</f>
        <v>3938.1600000000003</v>
      </c>
      <c r="AC295" s="4">
        <f>$M$295*$W$295</f>
        <v>0</v>
      </c>
      <c r="AD295" s="4">
        <f>$O$295*$X$295</f>
        <v>0</v>
      </c>
      <c r="AE295" s="4">
        <f ca="1">$K$295*$Y$295</f>
        <v>5117.5842553121147</v>
      </c>
      <c r="AF295" s="4">
        <f>$M$295*$Z$295</f>
        <v>0</v>
      </c>
      <c r="AG295" s="4">
        <f>$O$295*$AA$295</f>
        <v>0</v>
      </c>
    </row>
    <row r="296" spans="1:33" ht="11.25" customHeight="1" x14ac:dyDescent="0.25">
      <c r="A296" s="3" t="s">
        <v>21</v>
      </c>
      <c r="B296" s="3" t="s">
        <v>39</v>
      </c>
      <c r="C296" s="3" t="s">
        <v>41</v>
      </c>
      <c r="D296" s="3" t="s">
        <v>51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44682</v>
      </c>
      <c r="J296" s="4">
        <v>283</v>
      </c>
      <c r="K296" s="4">
        <v>283</v>
      </c>
      <c r="L296" s="4">
        <v>0</v>
      </c>
      <c r="M296" s="4">
        <v>0</v>
      </c>
      <c r="N296" s="4">
        <v>0</v>
      </c>
      <c r="O296" s="4">
        <v>0</v>
      </c>
      <c r="P296" s="4">
        <v>8</v>
      </c>
      <c r="Q296" s="3" t="s">
        <v>26</v>
      </c>
      <c r="R296" s="3">
        <v>0</v>
      </c>
      <c r="S296" s="4">
        <v>18</v>
      </c>
      <c r="T296" s="4">
        <v>0</v>
      </c>
      <c r="U296" s="4">
        <v>0</v>
      </c>
      <c r="V296" s="4">
        <f>IF(ISERROR(VLOOKUP($S$296,'TAR FIN'!$A$1:$O$92,15,0)),0,VLOOKUP($S$296,'TAR FIN'!$A$1:$O$92,15,0))</f>
        <v>14.64</v>
      </c>
      <c r="W296" s="4">
        <f>IF(ISERROR(VLOOKUP($T$296,'TAR FIN'!$A$1:$O$92,15,0)),0,VLOOKUP($T$296,'TAR FIN'!$A$1:$O$92,15,0))</f>
        <v>0</v>
      </c>
      <c r="X296" s="4">
        <f>IF(ISERROR(VLOOKUP($U$296,'TAR FIN'!$A$1:$O$92,15,0)),0,VLOOKUP($U$296,'TAR FIN'!$A$1:$O$92,15,0))</f>
        <v>0</v>
      </c>
      <c r="Y296" s="4">
        <f ca="1">('TUSD BE'!$AM$10+'TUSD BF'!$AM$10+'TUSD CVA'!$AM$10)*1</f>
        <v>19.024476785546895</v>
      </c>
      <c r="Z296" s="4"/>
      <c r="AA296" s="4"/>
      <c r="AB296" s="4">
        <f>$K$296*$V$296</f>
        <v>4143.12</v>
      </c>
      <c r="AC296" s="4">
        <f>$M$296*$W$296</f>
        <v>0</v>
      </c>
      <c r="AD296" s="4">
        <f>$O$296*$X$296</f>
        <v>0</v>
      </c>
      <c r="AE296" s="4">
        <f ca="1">$K$296*$Y$296</f>
        <v>5383.9269303097717</v>
      </c>
      <c r="AF296" s="4">
        <f>$M$296*$Z$296</f>
        <v>0</v>
      </c>
      <c r="AG296" s="4">
        <f>$O$296*$AA$296</f>
        <v>0</v>
      </c>
    </row>
    <row r="297" spans="1:33" ht="11.25" customHeight="1" x14ac:dyDescent="0.25">
      <c r="A297" s="3" t="s">
        <v>21</v>
      </c>
      <c r="B297" s="3" t="s">
        <v>39</v>
      </c>
      <c r="C297" s="3" t="s">
        <v>41</v>
      </c>
      <c r="D297" s="3" t="s">
        <v>51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44713</v>
      </c>
      <c r="J297" s="4">
        <v>248</v>
      </c>
      <c r="K297" s="4">
        <v>248</v>
      </c>
      <c r="L297" s="4">
        <v>0</v>
      </c>
      <c r="M297" s="4">
        <v>0</v>
      </c>
      <c r="N297" s="4">
        <v>0</v>
      </c>
      <c r="O297" s="4">
        <v>0</v>
      </c>
      <c r="P297" s="4">
        <v>8</v>
      </c>
      <c r="Q297" s="3" t="s">
        <v>26</v>
      </c>
      <c r="R297" s="3">
        <v>0</v>
      </c>
      <c r="S297" s="4">
        <v>18</v>
      </c>
      <c r="T297" s="4">
        <v>0</v>
      </c>
      <c r="U297" s="4">
        <v>0</v>
      </c>
      <c r="V297" s="4">
        <f>IF(ISERROR(VLOOKUP($S$297,'TAR FIN'!$A$1:$O$92,15,0)),0,VLOOKUP($S$297,'TAR FIN'!$A$1:$O$92,15,0))</f>
        <v>14.64</v>
      </c>
      <c r="W297" s="4">
        <f>IF(ISERROR(VLOOKUP($T$297,'TAR FIN'!$A$1:$O$92,15,0)),0,VLOOKUP($T$297,'TAR FIN'!$A$1:$O$92,15,0))</f>
        <v>0</v>
      </c>
      <c r="X297" s="4">
        <f>IF(ISERROR(VLOOKUP($U$297,'TAR FIN'!$A$1:$O$92,15,0)),0,VLOOKUP($U$297,'TAR FIN'!$A$1:$O$92,15,0))</f>
        <v>0</v>
      </c>
      <c r="Y297" s="4">
        <f ca="1">('TUSD BE'!$AM$10+'TUSD BF'!$AM$10+'TUSD CVA'!$AM$10)*1</f>
        <v>19.024476785546895</v>
      </c>
      <c r="Z297" s="4"/>
      <c r="AA297" s="4"/>
      <c r="AB297" s="4">
        <f>$K$297*$V$297</f>
        <v>3630.7200000000003</v>
      </c>
      <c r="AC297" s="4">
        <f>$M$297*$W$297</f>
        <v>0</v>
      </c>
      <c r="AD297" s="4">
        <f>$O$297*$X$297</f>
        <v>0</v>
      </c>
      <c r="AE297" s="4">
        <f ca="1">$K$297*$Y$297</f>
        <v>4718.0702428156301</v>
      </c>
      <c r="AF297" s="4">
        <f>$M$297*$Z$297</f>
        <v>0</v>
      </c>
      <c r="AG297" s="4">
        <f>$O$297*$AA$297</f>
        <v>0</v>
      </c>
    </row>
    <row r="298" spans="1:33" ht="11.25" customHeight="1" x14ac:dyDescent="0.25">
      <c r="A298" s="3" t="s">
        <v>21</v>
      </c>
      <c r="B298" s="3" t="s">
        <v>39</v>
      </c>
      <c r="C298" s="3" t="s">
        <v>41</v>
      </c>
      <c r="D298" s="3" t="s">
        <v>51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44743</v>
      </c>
      <c r="J298" s="4">
        <v>255</v>
      </c>
      <c r="K298" s="4">
        <v>255</v>
      </c>
      <c r="L298" s="4">
        <v>0</v>
      </c>
      <c r="M298" s="4">
        <v>0</v>
      </c>
      <c r="N298" s="4">
        <v>0</v>
      </c>
      <c r="O298" s="4">
        <v>0</v>
      </c>
      <c r="P298" s="4">
        <v>8</v>
      </c>
      <c r="Q298" s="3" t="s">
        <v>26</v>
      </c>
      <c r="R298" s="3">
        <v>0</v>
      </c>
      <c r="S298" s="4">
        <v>18</v>
      </c>
      <c r="T298" s="4">
        <v>0</v>
      </c>
      <c r="U298" s="4">
        <v>0</v>
      </c>
      <c r="V298" s="4">
        <f>IF(ISERROR(VLOOKUP($S$298,'TAR FIN'!$A$1:$O$92,15,0)),0,VLOOKUP($S$298,'TAR FIN'!$A$1:$O$92,15,0))</f>
        <v>14.64</v>
      </c>
      <c r="W298" s="4">
        <f>IF(ISERROR(VLOOKUP($T$298,'TAR FIN'!$A$1:$O$92,15,0)),0,VLOOKUP($T$298,'TAR FIN'!$A$1:$O$92,15,0))</f>
        <v>0</v>
      </c>
      <c r="X298" s="4">
        <f>IF(ISERROR(VLOOKUP($U$298,'TAR FIN'!$A$1:$O$92,15,0)),0,VLOOKUP($U$298,'TAR FIN'!$A$1:$O$92,15,0))</f>
        <v>0</v>
      </c>
      <c r="Y298" s="4">
        <f ca="1">('TUSD BE'!$AM$10+'TUSD BF'!$AM$10+'TUSD CVA'!$AM$10)*1</f>
        <v>19.024476785546895</v>
      </c>
      <c r="Z298" s="4"/>
      <c r="AA298" s="4"/>
      <c r="AB298" s="4">
        <f>$K$298*$V$298</f>
        <v>3733.2000000000003</v>
      </c>
      <c r="AC298" s="4">
        <f>$M$298*$W$298</f>
        <v>0</v>
      </c>
      <c r="AD298" s="4">
        <f>$O$298*$X$298</f>
        <v>0</v>
      </c>
      <c r="AE298" s="4">
        <f ca="1">$K$298*$Y$298</f>
        <v>4851.2415803144586</v>
      </c>
      <c r="AF298" s="4">
        <f>$M$298*$Z$298</f>
        <v>0</v>
      </c>
      <c r="AG298" s="4">
        <f>$O$298*$AA$298</f>
        <v>0</v>
      </c>
    </row>
    <row r="299" spans="1:33" ht="11.25" customHeight="1" x14ac:dyDescent="0.25">
      <c r="A299" s="3" t="s">
        <v>21</v>
      </c>
      <c r="B299" s="3" t="s">
        <v>39</v>
      </c>
      <c r="C299" s="3" t="s">
        <v>41</v>
      </c>
      <c r="D299" s="3" t="s">
        <v>51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44774</v>
      </c>
      <c r="J299" s="4">
        <v>271</v>
      </c>
      <c r="K299" s="4">
        <v>271</v>
      </c>
      <c r="L299" s="4">
        <v>0</v>
      </c>
      <c r="M299" s="4">
        <v>0</v>
      </c>
      <c r="N299" s="4">
        <v>0</v>
      </c>
      <c r="O299" s="4">
        <v>0</v>
      </c>
      <c r="P299" s="4">
        <v>8</v>
      </c>
      <c r="Q299" s="3" t="s">
        <v>26</v>
      </c>
      <c r="R299" s="3">
        <v>0</v>
      </c>
      <c r="S299" s="4">
        <v>18</v>
      </c>
      <c r="T299" s="4">
        <v>0</v>
      </c>
      <c r="U299" s="4">
        <v>0</v>
      </c>
      <c r="V299" s="4">
        <f>IF(ISERROR(VLOOKUP($S$299,'TAR FIN'!$A$1:$O$92,15,0)),0,VLOOKUP($S$299,'TAR FIN'!$A$1:$O$92,15,0))</f>
        <v>14.64</v>
      </c>
      <c r="W299" s="4">
        <f>IF(ISERROR(VLOOKUP($T$299,'TAR FIN'!$A$1:$O$92,15,0)),0,VLOOKUP($T$299,'TAR FIN'!$A$1:$O$92,15,0))</f>
        <v>0</v>
      </c>
      <c r="X299" s="4">
        <f>IF(ISERROR(VLOOKUP($U$299,'TAR FIN'!$A$1:$O$92,15,0)),0,VLOOKUP($U$299,'TAR FIN'!$A$1:$O$92,15,0))</f>
        <v>0</v>
      </c>
      <c r="Y299" s="4">
        <f ca="1">('TUSD BE'!$AM$10+'TUSD BF'!$AM$10+'TUSD CVA'!$AM$10)*1</f>
        <v>19.024476785546895</v>
      </c>
      <c r="Z299" s="4"/>
      <c r="AA299" s="4"/>
      <c r="AB299" s="4">
        <f>$K$299*$V$299</f>
        <v>3967.44</v>
      </c>
      <c r="AC299" s="4">
        <f>$M$299*$W$299</f>
        <v>0</v>
      </c>
      <c r="AD299" s="4">
        <f>$O$299*$X$299</f>
        <v>0</v>
      </c>
      <c r="AE299" s="4">
        <f ca="1">$K$299*$Y$299</f>
        <v>5155.6332088832087</v>
      </c>
      <c r="AF299" s="4">
        <f>$M$299*$Z$299</f>
        <v>0</v>
      </c>
      <c r="AG299" s="4">
        <f>$O$299*$AA$299</f>
        <v>0</v>
      </c>
    </row>
    <row r="300" spans="1:33" ht="11.25" customHeight="1" x14ac:dyDescent="0.25">
      <c r="A300" s="3" t="s">
        <v>21</v>
      </c>
      <c r="B300" s="3" t="s">
        <v>39</v>
      </c>
      <c r="C300" s="3" t="s">
        <v>41</v>
      </c>
      <c r="D300" s="3" t="s">
        <v>51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44805</v>
      </c>
      <c r="J300" s="4">
        <v>303</v>
      </c>
      <c r="K300" s="4">
        <v>303</v>
      </c>
      <c r="L300" s="4">
        <v>0</v>
      </c>
      <c r="M300" s="4">
        <v>0</v>
      </c>
      <c r="N300" s="4">
        <v>0</v>
      </c>
      <c r="O300" s="4">
        <v>0</v>
      </c>
      <c r="P300" s="4">
        <v>8</v>
      </c>
      <c r="Q300" s="3" t="s">
        <v>26</v>
      </c>
      <c r="R300" s="3">
        <v>0</v>
      </c>
      <c r="S300" s="4">
        <v>18</v>
      </c>
      <c r="T300" s="4">
        <v>0</v>
      </c>
      <c r="U300" s="4">
        <v>0</v>
      </c>
      <c r="V300" s="4">
        <f>IF(ISERROR(VLOOKUP($S$300,'TAR FIN'!$A$1:$O$92,15,0)),0,VLOOKUP($S$300,'TAR FIN'!$A$1:$O$92,15,0))</f>
        <v>14.64</v>
      </c>
      <c r="W300" s="4">
        <f>IF(ISERROR(VLOOKUP($T$300,'TAR FIN'!$A$1:$O$92,15,0)),0,VLOOKUP($T$300,'TAR FIN'!$A$1:$O$92,15,0))</f>
        <v>0</v>
      </c>
      <c r="X300" s="4">
        <f>IF(ISERROR(VLOOKUP($U$300,'TAR FIN'!$A$1:$O$92,15,0)),0,VLOOKUP($U$300,'TAR FIN'!$A$1:$O$92,15,0))</f>
        <v>0</v>
      </c>
      <c r="Y300" s="4">
        <f ca="1">('TUSD BE'!$AM$10+'TUSD BF'!$AM$10+'TUSD CVA'!$AM$10)*1</f>
        <v>19.024476785546895</v>
      </c>
      <c r="Z300" s="4"/>
      <c r="AA300" s="4"/>
      <c r="AB300" s="4">
        <f>$K$300*$V$300</f>
        <v>4435.92</v>
      </c>
      <c r="AC300" s="4">
        <f>$M$300*$W$300</f>
        <v>0</v>
      </c>
      <c r="AD300" s="4">
        <f>$O$300*$X$300</f>
        <v>0</v>
      </c>
      <c r="AE300" s="4">
        <f ca="1">$K$300*$Y$300</f>
        <v>5764.4164660207089</v>
      </c>
      <c r="AF300" s="4">
        <f>$M$300*$Z$300</f>
        <v>0</v>
      </c>
      <c r="AG300" s="4">
        <f>$O$300*$AA$300</f>
        <v>0</v>
      </c>
    </row>
    <row r="301" spans="1:33" ht="11.25" customHeight="1" x14ac:dyDescent="0.25">
      <c r="A301" s="3" t="s">
        <v>55</v>
      </c>
      <c r="B301" s="3" t="s">
        <v>39</v>
      </c>
      <c r="C301" s="3" t="s">
        <v>41</v>
      </c>
      <c r="D301" s="3" t="s">
        <v>51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44835</v>
      </c>
      <c r="J301" s="4">
        <v>303</v>
      </c>
      <c r="K301" s="4">
        <v>303</v>
      </c>
      <c r="L301" s="4">
        <v>0</v>
      </c>
      <c r="M301" s="4">
        <v>0</v>
      </c>
      <c r="N301" s="4">
        <v>0</v>
      </c>
      <c r="O301" s="4">
        <v>0</v>
      </c>
      <c r="P301" s="4">
        <v>8</v>
      </c>
      <c r="Q301" s="3" t="s">
        <v>26</v>
      </c>
      <c r="R301" s="3">
        <v>0</v>
      </c>
      <c r="S301" s="4">
        <v>18</v>
      </c>
      <c r="T301" s="4">
        <v>0</v>
      </c>
      <c r="U301" s="4">
        <v>0</v>
      </c>
      <c r="V301" s="4">
        <f>IF(ISERROR(VLOOKUP($S$301,'TAR FIN'!$A$1:$O$92,15,0)),0,VLOOKUP($S$301,'TAR FIN'!$A$1:$O$92,15,0))</f>
        <v>14.64</v>
      </c>
      <c r="W301" s="4">
        <f>IF(ISERROR(VLOOKUP($T$301,'TAR FIN'!$A$1:$O$92,15,0)),0,VLOOKUP($T$301,'TAR FIN'!$A$1:$O$92,15,0))</f>
        <v>0</v>
      </c>
      <c r="X301" s="4">
        <f>IF(ISERROR(VLOOKUP($U$301,'TAR FIN'!$A$1:$O$92,15,0)),0,VLOOKUP($U$301,'TAR FIN'!$A$1:$O$92,15,0))</f>
        <v>0</v>
      </c>
      <c r="Y301" s="4">
        <f ca="1">('TUSD BE'!$AM$10+'TUSD BF'!$AM$10+'TUSD CVA'!$AM$10)*1</f>
        <v>19.024476785546895</v>
      </c>
      <c r="Z301" s="4"/>
      <c r="AA301" s="4"/>
      <c r="AB301" s="4">
        <f>$K$301*$V$301</f>
        <v>4435.92</v>
      </c>
      <c r="AC301" s="4">
        <f>$M$301*$W$301</f>
        <v>0</v>
      </c>
      <c r="AD301" s="4">
        <f>$O$301*$X$301</f>
        <v>0</v>
      </c>
      <c r="AE301" s="4">
        <f ca="1">$K$301*$Y$301</f>
        <v>5764.4164660207089</v>
      </c>
      <c r="AF301" s="4">
        <f>$M$301*$Z$301</f>
        <v>0</v>
      </c>
      <c r="AG301" s="4">
        <f>$O$301*$AA$301</f>
        <v>0</v>
      </c>
    </row>
    <row r="302" spans="1:33" ht="11.25" customHeight="1" x14ac:dyDescent="0.25">
      <c r="A302" s="3" t="s">
        <v>21</v>
      </c>
      <c r="B302" s="3" t="s">
        <v>39</v>
      </c>
      <c r="C302" s="3" t="s">
        <v>41</v>
      </c>
      <c r="D302" s="3" t="s">
        <v>51</v>
      </c>
      <c r="E302" s="3" t="s">
        <v>25</v>
      </c>
      <c r="F302" s="3" t="s">
        <v>25</v>
      </c>
      <c r="G302" s="3" t="s">
        <v>25</v>
      </c>
      <c r="H302" s="3" t="s">
        <v>34</v>
      </c>
      <c r="I302" s="6">
        <v>44501</v>
      </c>
      <c r="J302" s="4">
        <v>0</v>
      </c>
      <c r="K302" s="4">
        <v>0</v>
      </c>
      <c r="L302" s="4">
        <v>8.7029999999999994</v>
      </c>
      <c r="M302" s="4">
        <v>8.7029999999999994</v>
      </c>
      <c r="N302" s="4">
        <v>8.7029999999999994</v>
      </c>
      <c r="O302" s="4">
        <v>8.7029999999999994</v>
      </c>
      <c r="P302" s="4">
        <v>0</v>
      </c>
      <c r="Q302" s="3" t="s">
        <v>26</v>
      </c>
      <c r="R302" s="3">
        <v>0</v>
      </c>
      <c r="S302" s="4">
        <v>0</v>
      </c>
      <c r="T302" s="4">
        <v>11</v>
      </c>
      <c r="U302" s="4">
        <v>71</v>
      </c>
      <c r="V302" s="4">
        <f>IF(ISERROR(VLOOKUP($S$302,'TAR FIN'!$A$1:$O$92,15,0)),0,VLOOKUP($S$302,'TAR FIN'!$A$1:$O$92,15,0))</f>
        <v>0</v>
      </c>
      <c r="W302" s="4">
        <f>IF(ISERROR(VLOOKUP($T$302,'TAR FIN'!$A$1:$O$92,15,0)),0,VLOOKUP($T$302,'TAR FIN'!$A$1:$O$92,15,0))</f>
        <v>1155.51</v>
      </c>
      <c r="X302" s="4">
        <f>IF(ISERROR(VLOOKUP($U$302,'TAR FIN'!$A$1:$O$92,15,0)),0,VLOOKUP($U$302,'TAR FIN'!$A$1:$O$92,15,0))</f>
        <v>433.77</v>
      </c>
      <c r="Y302" s="4"/>
      <c r="Z302" s="4">
        <f ca="1">('TUSD BE'!$AM$11+'TUSD BF'!$AM$11+'TUSD CVA'!$AM$11)*1</f>
        <v>1493.7817824374656</v>
      </c>
      <c r="AA302" s="4">
        <f>('TE BE'!$AB$5+'TE BF'!$AB$5+'TE CVA'!$AB$5)*1</f>
        <v>542.84414704984056</v>
      </c>
      <c r="AB302" s="4">
        <f>$K$302*$V$302</f>
        <v>0</v>
      </c>
      <c r="AC302" s="4">
        <f>$M$302*$W$302</f>
        <v>10056.40353</v>
      </c>
      <c r="AD302" s="4">
        <f>$O$302*$X$302</f>
        <v>3775.1003099999998</v>
      </c>
      <c r="AE302" s="4">
        <f>$K$302*$Y$302</f>
        <v>0</v>
      </c>
      <c r="AF302" s="4">
        <f ca="1">$M$302*$Z$302</f>
        <v>13000.382852553263</v>
      </c>
      <c r="AG302" s="4">
        <f>$O$302*$AA$302</f>
        <v>4724.3726117747619</v>
      </c>
    </row>
    <row r="303" spans="1:33" ht="11.25" customHeight="1" x14ac:dyDescent="0.25">
      <c r="A303" s="3" t="s">
        <v>21</v>
      </c>
      <c r="B303" s="3" t="s">
        <v>39</v>
      </c>
      <c r="C303" s="3" t="s">
        <v>41</v>
      </c>
      <c r="D303" s="3" t="s">
        <v>51</v>
      </c>
      <c r="E303" s="3" t="s">
        <v>25</v>
      </c>
      <c r="F303" s="3" t="s">
        <v>25</v>
      </c>
      <c r="G303" s="3" t="s">
        <v>25</v>
      </c>
      <c r="H303" s="3" t="s">
        <v>34</v>
      </c>
      <c r="I303" s="6">
        <v>44531</v>
      </c>
      <c r="J303" s="4">
        <v>0</v>
      </c>
      <c r="K303" s="4">
        <v>0</v>
      </c>
      <c r="L303" s="4">
        <v>8.8829999999999991</v>
      </c>
      <c r="M303" s="4">
        <v>8.8829999999999991</v>
      </c>
      <c r="N303" s="4">
        <v>8.8829999999999991</v>
      </c>
      <c r="O303" s="4">
        <v>8.8829999999999991</v>
      </c>
      <c r="P303" s="4">
        <v>0</v>
      </c>
      <c r="Q303" s="3" t="s">
        <v>26</v>
      </c>
      <c r="R303" s="3">
        <v>0</v>
      </c>
      <c r="S303" s="4">
        <v>0</v>
      </c>
      <c r="T303" s="4">
        <v>11</v>
      </c>
      <c r="U303" s="4">
        <v>71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1155.51</v>
      </c>
      <c r="X303" s="4">
        <f>IF(ISERROR(VLOOKUP($U$303,'TAR FIN'!$A$1:$O$92,15,0)),0,VLOOKUP($U$303,'TAR FIN'!$A$1:$O$92,15,0))</f>
        <v>433.77</v>
      </c>
      <c r="Y303" s="4"/>
      <c r="Z303" s="4">
        <f ca="1">('TUSD BE'!$AM$11+'TUSD BF'!$AM$11+'TUSD CVA'!$AM$11)*1</f>
        <v>1493.7817824374656</v>
      </c>
      <c r="AA303" s="4">
        <f>('TE BE'!$AB$5+'TE BF'!$AB$5+'TE CVA'!$AB$5)*1</f>
        <v>542.84414704984056</v>
      </c>
      <c r="AB303" s="4">
        <f>$K$303*$V$303</f>
        <v>0</v>
      </c>
      <c r="AC303" s="4">
        <f>$M$303*$W$303</f>
        <v>10264.395329999999</v>
      </c>
      <c r="AD303" s="4">
        <f>$O$303*$X$303</f>
        <v>3853.1789099999996</v>
      </c>
      <c r="AE303" s="4">
        <f>$K$303*$Y$303</f>
        <v>0</v>
      </c>
      <c r="AF303" s="4">
        <f ca="1">$M$303*$Z$303</f>
        <v>13269.263573392005</v>
      </c>
      <c r="AG303" s="4">
        <f>$O$303*$AA$303</f>
        <v>4822.0845582437332</v>
      </c>
    </row>
    <row r="304" spans="1:33" ht="11.25" customHeight="1" x14ac:dyDescent="0.25">
      <c r="A304" s="3" t="s">
        <v>21</v>
      </c>
      <c r="B304" s="3" t="s">
        <v>39</v>
      </c>
      <c r="C304" s="3" t="s">
        <v>41</v>
      </c>
      <c r="D304" s="3" t="s">
        <v>51</v>
      </c>
      <c r="E304" s="3" t="s">
        <v>25</v>
      </c>
      <c r="F304" s="3" t="s">
        <v>25</v>
      </c>
      <c r="G304" s="3" t="s">
        <v>25</v>
      </c>
      <c r="H304" s="3" t="s">
        <v>34</v>
      </c>
      <c r="I304" s="6">
        <v>44562</v>
      </c>
      <c r="J304" s="4">
        <v>0</v>
      </c>
      <c r="K304" s="4">
        <v>0</v>
      </c>
      <c r="L304" s="4">
        <v>8.2159999999999993</v>
      </c>
      <c r="M304" s="4">
        <v>8.2159999999999993</v>
      </c>
      <c r="N304" s="4">
        <v>8.2159999999999993</v>
      </c>
      <c r="O304" s="4">
        <v>8.2159999999999993</v>
      </c>
      <c r="P304" s="4">
        <v>0</v>
      </c>
      <c r="Q304" s="3" t="s">
        <v>26</v>
      </c>
      <c r="R304" s="3">
        <v>0</v>
      </c>
      <c r="S304" s="4">
        <v>0</v>
      </c>
      <c r="T304" s="4">
        <v>11</v>
      </c>
      <c r="U304" s="4">
        <v>71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1155.51</v>
      </c>
      <c r="X304" s="4">
        <f>IF(ISERROR(VLOOKUP($U$304,'TAR FIN'!$A$1:$O$92,15,0)),0,VLOOKUP($U$304,'TAR FIN'!$A$1:$O$92,15,0))</f>
        <v>433.77</v>
      </c>
      <c r="Y304" s="4"/>
      <c r="Z304" s="4">
        <f ca="1">('TUSD BE'!$AM$11+'TUSD BF'!$AM$11+'TUSD CVA'!$AM$11)*1</f>
        <v>1493.7817824374656</v>
      </c>
      <c r="AA304" s="4">
        <f>('TE BE'!$AB$5+'TE BF'!$AB$5+'TE CVA'!$AB$5)*1</f>
        <v>542.84414704984056</v>
      </c>
      <c r="AB304" s="4">
        <f>$K$304*$V$304</f>
        <v>0</v>
      </c>
      <c r="AC304" s="4">
        <f>$M$304*$W$304</f>
        <v>9493.6701599999997</v>
      </c>
      <c r="AD304" s="4">
        <f>$O$304*$X$304</f>
        <v>3563.8543199999995</v>
      </c>
      <c r="AE304" s="4">
        <f>$K$304*$Y$304</f>
        <v>0</v>
      </c>
      <c r="AF304" s="4">
        <f ca="1">$M$304*$Z$304</f>
        <v>12272.911124506216</v>
      </c>
      <c r="AG304" s="4">
        <f>$O$304*$AA$304</f>
        <v>4460.00751216149</v>
      </c>
    </row>
    <row r="305" spans="1:33" ht="11.25" customHeight="1" x14ac:dyDescent="0.25">
      <c r="A305" s="3" t="s">
        <v>21</v>
      </c>
      <c r="B305" s="3" t="s">
        <v>39</v>
      </c>
      <c r="C305" s="3" t="s">
        <v>41</v>
      </c>
      <c r="D305" s="3" t="s">
        <v>51</v>
      </c>
      <c r="E305" s="3" t="s">
        <v>25</v>
      </c>
      <c r="F305" s="3" t="s">
        <v>25</v>
      </c>
      <c r="G305" s="3" t="s">
        <v>25</v>
      </c>
      <c r="H305" s="3" t="s">
        <v>34</v>
      </c>
      <c r="I305" s="6">
        <v>44593</v>
      </c>
      <c r="J305" s="4">
        <v>0</v>
      </c>
      <c r="K305" s="4">
        <v>0</v>
      </c>
      <c r="L305" s="4">
        <v>7.992</v>
      </c>
      <c r="M305" s="4">
        <v>7.992</v>
      </c>
      <c r="N305" s="4">
        <v>7.992</v>
      </c>
      <c r="O305" s="4">
        <v>7.992</v>
      </c>
      <c r="P305" s="4">
        <v>0</v>
      </c>
      <c r="Q305" s="3" t="s">
        <v>26</v>
      </c>
      <c r="R305" s="3">
        <v>0</v>
      </c>
      <c r="S305" s="4">
        <v>0</v>
      </c>
      <c r="T305" s="4">
        <v>11</v>
      </c>
      <c r="U305" s="4">
        <v>71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1155.51</v>
      </c>
      <c r="X305" s="4">
        <f>IF(ISERROR(VLOOKUP($U$305,'TAR FIN'!$A$1:$O$92,15,0)),0,VLOOKUP($U$305,'TAR FIN'!$A$1:$O$92,15,0))</f>
        <v>433.77</v>
      </c>
      <c r="Y305" s="4"/>
      <c r="Z305" s="4">
        <f ca="1">('TUSD BE'!$AM$11+'TUSD BF'!$AM$11+'TUSD CVA'!$AM$11)*1</f>
        <v>1493.7817824374656</v>
      </c>
      <c r="AA305" s="4">
        <f>('TE BE'!$AB$5+'TE BF'!$AB$5+'TE CVA'!$AB$5)*1</f>
        <v>542.84414704984056</v>
      </c>
      <c r="AB305" s="4">
        <f>$K$305*$V$305</f>
        <v>0</v>
      </c>
      <c r="AC305" s="4">
        <f>$M$305*$W$305</f>
        <v>9234.8359199999995</v>
      </c>
      <c r="AD305" s="4">
        <f>$O$305*$X$305</f>
        <v>3466.68984</v>
      </c>
      <c r="AE305" s="4">
        <f>$K$305*$Y$305</f>
        <v>0</v>
      </c>
      <c r="AF305" s="4">
        <f ca="1">$M$305*$Z$305</f>
        <v>11938.304005240225</v>
      </c>
      <c r="AG305" s="4">
        <f>$O$305*$AA$305</f>
        <v>4338.4104232223253</v>
      </c>
    </row>
    <row r="306" spans="1:33" ht="11.25" customHeight="1" x14ac:dyDescent="0.25">
      <c r="A306" s="3" t="s">
        <v>21</v>
      </c>
      <c r="B306" s="3" t="s">
        <v>39</v>
      </c>
      <c r="C306" s="3" t="s">
        <v>41</v>
      </c>
      <c r="D306" s="3" t="s">
        <v>51</v>
      </c>
      <c r="E306" s="3" t="s">
        <v>25</v>
      </c>
      <c r="F306" s="3" t="s">
        <v>25</v>
      </c>
      <c r="G306" s="3" t="s">
        <v>25</v>
      </c>
      <c r="H306" s="3" t="s">
        <v>34</v>
      </c>
      <c r="I306" s="6">
        <v>44621</v>
      </c>
      <c r="J306" s="4">
        <v>0</v>
      </c>
      <c r="K306" s="4">
        <v>0</v>
      </c>
      <c r="L306" s="4">
        <v>8.7810000000000006</v>
      </c>
      <c r="M306" s="4">
        <v>8.7810000000000006</v>
      </c>
      <c r="N306" s="4">
        <v>8.7810000000000006</v>
      </c>
      <c r="O306" s="4">
        <v>8.7810000000000006</v>
      </c>
      <c r="P306" s="4">
        <v>0</v>
      </c>
      <c r="Q306" s="3" t="s">
        <v>26</v>
      </c>
      <c r="R306" s="3">
        <v>0</v>
      </c>
      <c r="S306" s="4">
        <v>0</v>
      </c>
      <c r="T306" s="4">
        <v>11</v>
      </c>
      <c r="U306" s="4">
        <v>71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1155.51</v>
      </c>
      <c r="X306" s="4">
        <f>IF(ISERROR(VLOOKUP($U$306,'TAR FIN'!$A$1:$O$92,15,0)),0,VLOOKUP($U$306,'TAR FIN'!$A$1:$O$92,15,0))</f>
        <v>433.77</v>
      </c>
      <c r="Y306" s="4"/>
      <c r="Z306" s="4">
        <f ca="1">('TUSD BE'!$AM$11+'TUSD BF'!$AM$11+'TUSD CVA'!$AM$11)*1</f>
        <v>1493.7817824374656</v>
      </c>
      <c r="AA306" s="4">
        <f>('TE BE'!$AB$5+'TE BF'!$AB$5+'TE CVA'!$AB$5)*1</f>
        <v>542.84414704984056</v>
      </c>
      <c r="AB306" s="4">
        <f>$K$306*$V$306</f>
        <v>0</v>
      </c>
      <c r="AC306" s="4">
        <f>$M$306*$W$306</f>
        <v>10146.533310000001</v>
      </c>
      <c r="AD306" s="4">
        <f>$O$306*$X$306</f>
        <v>3808.9343699999999</v>
      </c>
      <c r="AE306" s="4">
        <f>$K$306*$Y$306</f>
        <v>0</v>
      </c>
      <c r="AF306" s="4">
        <f ca="1">$M$306*$Z$306</f>
        <v>13116.897831583387</v>
      </c>
      <c r="AG306" s="4">
        <f>$O$306*$AA$306</f>
        <v>4766.7144552446507</v>
      </c>
    </row>
    <row r="307" spans="1:33" ht="11.25" customHeight="1" x14ac:dyDescent="0.25">
      <c r="A307" s="3" t="s">
        <v>21</v>
      </c>
      <c r="B307" s="3" t="s">
        <v>39</v>
      </c>
      <c r="C307" s="3" t="s">
        <v>41</v>
      </c>
      <c r="D307" s="3" t="s">
        <v>51</v>
      </c>
      <c r="E307" s="3" t="s">
        <v>25</v>
      </c>
      <c r="F307" s="3" t="s">
        <v>25</v>
      </c>
      <c r="G307" s="3" t="s">
        <v>25</v>
      </c>
      <c r="H307" s="3" t="s">
        <v>34</v>
      </c>
      <c r="I307" s="6">
        <v>44652</v>
      </c>
      <c r="J307" s="4">
        <v>0</v>
      </c>
      <c r="K307" s="4">
        <v>0</v>
      </c>
      <c r="L307" s="4">
        <v>8.7810000000000006</v>
      </c>
      <c r="M307" s="4">
        <v>8.7810000000000006</v>
      </c>
      <c r="N307" s="4">
        <v>8.7810000000000006</v>
      </c>
      <c r="O307" s="4">
        <v>8.7810000000000006</v>
      </c>
      <c r="P307" s="4">
        <v>0</v>
      </c>
      <c r="Q307" s="3" t="s">
        <v>26</v>
      </c>
      <c r="R307" s="3">
        <v>0</v>
      </c>
      <c r="S307" s="4">
        <v>0</v>
      </c>
      <c r="T307" s="4">
        <v>11</v>
      </c>
      <c r="U307" s="4">
        <v>71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1155.51</v>
      </c>
      <c r="X307" s="4">
        <f>IF(ISERROR(VLOOKUP($U$307,'TAR FIN'!$A$1:$O$92,15,0)),0,VLOOKUP($U$307,'TAR FIN'!$A$1:$O$92,15,0))</f>
        <v>433.77</v>
      </c>
      <c r="Y307" s="4"/>
      <c r="Z307" s="4">
        <f ca="1">('TUSD BE'!$AM$11+'TUSD BF'!$AM$11+'TUSD CVA'!$AM$11)*1</f>
        <v>1493.7817824374656</v>
      </c>
      <c r="AA307" s="4">
        <f>('TE BE'!$AB$5+'TE BF'!$AB$5+'TE CVA'!$AB$5)*1</f>
        <v>542.84414704984056</v>
      </c>
      <c r="AB307" s="4">
        <f>$K$307*$V$307</f>
        <v>0</v>
      </c>
      <c r="AC307" s="4">
        <f>$M$307*$W$307</f>
        <v>10146.533310000001</v>
      </c>
      <c r="AD307" s="4">
        <f>$O$307*$X$307</f>
        <v>3808.9343699999999</v>
      </c>
      <c r="AE307" s="4">
        <f>$K$307*$Y$307</f>
        <v>0</v>
      </c>
      <c r="AF307" s="4">
        <f ca="1">$M$307*$Z$307</f>
        <v>13116.897831583387</v>
      </c>
      <c r="AG307" s="4">
        <f>$O$307*$AA$307</f>
        <v>4766.7144552446507</v>
      </c>
    </row>
    <row r="308" spans="1:33" ht="11.25" customHeight="1" x14ac:dyDescent="0.25">
      <c r="A308" s="3" t="s">
        <v>21</v>
      </c>
      <c r="B308" s="3" t="s">
        <v>39</v>
      </c>
      <c r="C308" s="3" t="s">
        <v>41</v>
      </c>
      <c r="D308" s="3" t="s">
        <v>51</v>
      </c>
      <c r="E308" s="3" t="s">
        <v>25</v>
      </c>
      <c r="F308" s="3" t="s">
        <v>25</v>
      </c>
      <c r="G308" s="3" t="s">
        <v>25</v>
      </c>
      <c r="H308" s="3" t="s">
        <v>34</v>
      </c>
      <c r="I308" s="6">
        <v>44682</v>
      </c>
      <c r="J308" s="4">
        <v>0</v>
      </c>
      <c r="K308" s="4">
        <v>0</v>
      </c>
      <c r="L308" s="4">
        <v>8.3979999999999997</v>
      </c>
      <c r="M308" s="4">
        <v>8.3979999999999997</v>
      </c>
      <c r="N308" s="4">
        <v>8.3979999999999997</v>
      </c>
      <c r="O308" s="4">
        <v>8.3979999999999997</v>
      </c>
      <c r="P308" s="4">
        <v>0</v>
      </c>
      <c r="Q308" s="3" t="s">
        <v>26</v>
      </c>
      <c r="R308" s="3">
        <v>0</v>
      </c>
      <c r="S308" s="4">
        <v>0</v>
      </c>
      <c r="T308" s="4">
        <v>11</v>
      </c>
      <c r="U308" s="4">
        <v>71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1155.51</v>
      </c>
      <c r="X308" s="4">
        <f>IF(ISERROR(VLOOKUP($U$308,'TAR FIN'!$A$1:$O$92,15,0)),0,VLOOKUP($U$308,'TAR FIN'!$A$1:$O$92,15,0))</f>
        <v>433.77</v>
      </c>
      <c r="Y308" s="4"/>
      <c r="Z308" s="4">
        <f ca="1">('TUSD BE'!$AM$11+'TUSD BF'!$AM$11+'TUSD CVA'!$AM$11)*1</f>
        <v>1493.7817824374656</v>
      </c>
      <c r="AA308" s="4">
        <f>('TE BE'!$AB$5+'TE BF'!$AB$5+'TE CVA'!$AB$5)*1</f>
        <v>542.84414704984056</v>
      </c>
      <c r="AB308" s="4">
        <f>$K$308*$V$308</f>
        <v>0</v>
      </c>
      <c r="AC308" s="4">
        <f>$M$308*$W$308</f>
        <v>9703.9729800000005</v>
      </c>
      <c r="AD308" s="4">
        <f>$O$308*$X$308</f>
        <v>3642.8004599999999</v>
      </c>
      <c r="AE308" s="4">
        <f>$K$308*$Y$308</f>
        <v>0</v>
      </c>
      <c r="AF308" s="4">
        <f ca="1">$M$308*$Z$308</f>
        <v>12544.779408909835</v>
      </c>
      <c r="AG308" s="4">
        <f>$O$308*$AA$308</f>
        <v>4558.8051469245611</v>
      </c>
    </row>
    <row r="309" spans="1:33" ht="11.25" customHeight="1" x14ac:dyDescent="0.25">
      <c r="A309" s="3" t="s">
        <v>21</v>
      </c>
      <c r="B309" s="3" t="s">
        <v>39</v>
      </c>
      <c r="C309" s="3" t="s">
        <v>41</v>
      </c>
      <c r="D309" s="3" t="s">
        <v>51</v>
      </c>
      <c r="E309" s="3" t="s">
        <v>25</v>
      </c>
      <c r="F309" s="3" t="s">
        <v>25</v>
      </c>
      <c r="G309" s="3" t="s">
        <v>25</v>
      </c>
      <c r="H309" s="3" t="s">
        <v>34</v>
      </c>
      <c r="I309" s="6">
        <v>44713</v>
      </c>
      <c r="J309" s="4">
        <v>0</v>
      </c>
      <c r="K309" s="4">
        <v>0</v>
      </c>
      <c r="L309" s="4">
        <v>8.2189999999999994</v>
      </c>
      <c r="M309" s="4">
        <v>8.2189999999999994</v>
      </c>
      <c r="N309" s="4">
        <v>8.2189999999999994</v>
      </c>
      <c r="O309" s="4">
        <v>8.2189999999999994</v>
      </c>
      <c r="P309" s="4">
        <v>0</v>
      </c>
      <c r="Q309" s="3" t="s">
        <v>26</v>
      </c>
      <c r="R309" s="3">
        <v>0</v>
      </c>
      <c r="S309" s="4">
        <v>0</v>
      </c>
      <c r="T309" s="4">
        <v>11</v>
      </c>
      <c r="U309" s="4">
        <v>71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1155.51</v>
      </c>
      <c r="X309" s="4">
        <f>IF(ISERROR(VLOOKUP($U$309,'TAR FIN'!$A$1:$O$92,15,0)),0,VLOOKUP($U$309,'TAR FIN'!$A$1:$O$92,15,0))</f>
        <v>433.77</v>
      </c>
      <c r="Y309" s="4"/>
      <c r="Z309" s="4">
        <f ca="1">('TUSD BE'!$AM$11+'TUSD BF'!$AM$11+'TUSD CVA'!$AM$11)*1</f>
        <v>1493.7817824374656</v>
      </c>
      <c r="AA309" s="4">
        <f>('TE BE'!$AB$5+'TE BF'!$AB$5+'TE CVA'!$AB$5)*1</f>
        <v>542.84414704984056</v>
      </c>
      <c r="AB309" s="4">
        <f>$K$309*$V$309</f>
        <v>0</v>
      </c>
      <c r="AC309" s="4">
        <f>$M$309*$W$309</f>
        <v>9497.1366899999994</v>
      </c>
      <c r="AD309" s="4">
        <f>$O$309*$X$309</f>
        <v>3565.1556299999997</v>
      </c>
      <c r="AE309" s="4">
        <f>$K$309*$Y$309</f>
        <v>0</v>
      </c>
      <c r="AF309" s="4">
        <f ca="1">$M$309*$Z$309</f>
        <v>12277.392469853528</v>
      </c>
      <c r="AG309" s="4">
        <f>$O$309*$AA$309</f>
        <v>4461.6360446026392</v>
      </c>
    </row>
    <row r="310" spans="1:33" ht="11.25" customHeight="1" x14ac:dyDescent="0.25">
      <c r="A310" s="3" t="s">
        <v>21</v>
      </c>
      <c r="B310" s="3" t="s">
        <v>39</v>
      </c>
      <c r="C310" s="3" t="s">
        <v>41</v>
      </c>
      <c r="D310" s="3" t="s">
        <v>51</v>
      </c>
      <c r="E310" s="3" t="s">
        <v>25</v>
      </c>
      <c r="F310" s="3" t="s">
        <v>25</v>
      </c>
      <c r="G310" s="3" t="s">
        <v>25</v>
      </c>
      <c r="H310" s="3" t="s">
        <v>34</v>
      </c>
      <c r="I310" s="6">
        <v>44743</v>
      </c>
      <c r="J310" s="4">
        <v>0</v>
      </c>
      <c r="K310" s="4">
        <v>0</v>
      </c>
      <c r="L310" s="4">
        <v>8.5329999999999995</v>
      </c>
      <c r="M310" s="4">
        <v>8.5329999999999995</v>
      </c>
      <c r="N310" s="4">
        <v>8.5329999999999995</v>
      </c>
      <c r="O310" s="4">
        <v>8.5329999999999995</v>
      </c>
      <c r="P310" s="4">
        <v>0</v>
      </c>
      <c r="Q310" s="3" t="s">
        <v>26</v>
      </c>
      <c r="R310" s="3">
        <v>0</v>
      </c>
      <c r="S310" s="4">
        <v>0</v>
      </c>
      <c r="T310" s="4">
        <v>11</v>
      </c>
      <c r="U310" s="4">
        <v>71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1155.51</v>
      </c>
      <c r="X310" s="4">
        <f>IF(ISERROR(VLOOKUP($U$310,'TAR FIN'!$A$1:$O$92,15,0)),0,VLOOKUP($U$310,'TAR FIN'!$A$1:$O$92,15,0))</f>
        <v>433.77</v>
      </c>
      <c r="Y310" s="4"/>
      <c r="Z310" s="4">
        <f ca="1">('TUSD BE'!$AM$11+'TUSD BF'!$AM$11+'TUSD CVA'!$AM$11)*1</f>
        <v>1493.7817824374656</v>
      </c>
      <c r="AA310" s="4">
        <f>('TE BE'!$AB$5+'TE BF'!$AB$5+'TE CVA'!$AB$5)*1</f>
        <v>542.84414704984056</v>
      </c>
      <c r="AB310" s="4">
        <f>$K$310*$V$310</f>
        <v>0</v>
      </c>
      <c r="AC310" s="4">
        <f>$M$310*$W$310</f>
        <v>9859.9668299999994</v>
      </c>
      <c r="AD310" s="4">
        <f>$O$310*$X$310</f>
        <v>3701.3594099999996</v>
      </c>
      <c r="AE310" s="4">
        <f>$K$310*$Y$310</f>
        <v>0</v>
      </c>
      <c r="AF310" s="4">
        <f ca="1">$M$310*$Z$310</f>
        <v>12746.439949538893</v>
      </c>
      <c r="AG310" s="4">
        <f>$O$310*$AA$310</f>
        <v>4632.0891067762896</v>
      </c>
    </row>
    <row r="311" spans="1:33" ht="11.25" customHeight="1" x14ac:dyDescent="0.25">
      <c r="A311" s="3" t="s">
        <v>21</v>
      </c>
      <c r="B311" s="3" t="s">
        <v>39</v>
      </c>
      <c r="C311" s="3" t="s">
        <v>41</v>
      </c>
      <c r="D311" s="3" t="s">
        <v>51</v>
      </c>
      <c r="E311" s="3" t="s">
        <v>25</v>
      </c>
      <c r="F311" s="3" t="s">
        <v>25</v>
      </c>
      <c r="G311" s="3" t="s">
        <v>25</v>
      </c>
      <c r="H311" s="3" t="s">
        <v>34</v>
      </c>
      <c r="I311" s="6">
        <v>44774</v>
      </c>
      <c r="J311" s="4">
        <v>0</v>
      </c>
      <c r="K311" s="4">
        <v>0</v>
      </c>
      <c r="L311" s="4">
        <v>9.4990000000000006</v>
      </c>
      <c r="M311" s="4">
        <v>9.4990000000000006</v>
      </c>
      <c r="N311" s="4">
        <v>9.4990000000000006</v>
      </c>
      <c r="O311" s="4">
        <v>9.4990000000000006</v>
      </c>
      <c r="P311" s="4">
        <v>0</v>
      </c>
      <c r="Q311" s="3" t="s">
        <v>26</v>
      </c>
      <c r="R311" s="3">
        <v>0</v>
      </c>
      <c r="S311" s="4">
        <v>0</v>
      </c>
      <c r="T311" s="4">
        <v>11</v>
      </c>
      <c r="U311" s="4">
        <v>71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1155.51</v>
      </c>
      <c r="X311" s="4">
        <f>IF(ISERROR(VLOOKUP($U$311,'TAR FIN'!$A$1:$O$92,15,0)),0,VLOOKUP($U$311,'TAR FIN'!$A$1:$O$92,15,0))</f>
        <v>433.77</v>
      </c>
      <c r="Y311" s="4"/>
      <c r="Z311" s="4">
        <f ca="1">('TUSD BE'!$AM$11+'TUSD BF'!$AM$11+'TUSD CVA'!$AM$11)*1</f>
        <v>1493.7817824374656</v>
      </c>
      <c r="AA311" s="4">
        <f>('TE BE'!$AB$5+'TE BF'!$AB$5+'TE CVA'!$AB$5)*1</f>
        <v>542.84414704984056</v>
      </c>
      <c r="AB311" s="4">
        <f>$K$311*$V$311</f>
        <v>0</v>
      </c>
      <c r="AC311" s="4">
        <f>$M$311*$W$311</f>
        <v>10976.189490000001</v>
      </c>
      <c r="AD311" s="4">
        <f>$O$311*$X$311</f>
        <v>4120.38123</v>
      </c>
      <c r="AE311" s="4">
        <f>$K$311*$Y$311</f>
        <v>0</v>
      </c>
      <c r="AF311" s="4">
        <f ca="1">$M$311*$Z$311</f>
        <v>14189.433151373487</v>
      </c>
      <c r="AG311" s="4">
        <f>$O$311*$AA$311</f>
        <v>5156.4765528264361</v>
      </c>
    </row>
    <row r="312" spans="1:33" ht="11.25" customHeight="1" x14ac:dyDescent="0.25">
      <c r="A312" s="3" t="s">
        <v>21</v>
      </c>
      <c r="B312" s="3" t="s">
        <v>39</v>
      </c>
      <c r="C312" s="3" t="s">
        <v>41</v>
      </c>
      <c r="D312" s="3" t="s">
        <v>51</v>
      </c>
      <c r="E312" s="3" t="s">
        <v>25</v>
      </c>
      <c r="F312" s="3" t="s">
        <v>25</v>
      </c>
      <c r="G312" s="3" t="s">
        <v>25</v>
      </c>
      <c r="H312" s="3" t="s">
        <v>34</v>
      </c>
      <c r="I312" s="6">
        <v>44805</v>
      </c>
      <c r="J312" s="4">
        <v>0</v>
      </c>
      <c r="K312" s="4">
        <v>0</v>
      </c>
      <c r="L312" s="4">
        <v>9.0950000000000006</v>
      </c>
      <c r="M312" s="4">
        <v>9.0950000000000006</v>
      </c>
      <c r="N312" s="4">
        <v>9.0950000000000006</v>
      </c>
      <c r="O312" s="4">
        <v>9.0950000000000006</v>
      </c>
      <c r="P312" s="4">
        <v>0</v>
      </c>
      <c r="Q312" s="3" t="s">
        <v>26</v>
      </c>
      <c r="R312" s="3">
        <v>0</v>
      </c>
      <c r="S312" s="4">
        <v>0</v>
      </c>
      <c r="T312" s="4">
        <v>11</v>
      </c>
      <c r="U312" s="4">
        <v>71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1155.51</v>
      </c>
      <c r="X312" s="4">
        <f>IF(ISERROR(VLOOKUP($U$312,'TAR FIN'!$A$1:$O$92,15,0)),0,VLOOKUP($U$312,'TAR FIN'!$A$1:$O$92,15,0))</f>
        <v>433.77</v>
      </c>
      <c r="Y312" s="4"/>
      <c r="Z312" s="4">
        <f ca="1">('TUSD BE'!$AM$11+'TUSD BF'!$AM$11+'TUSD CVA'!$AM$11)*1</f>
        <v>1493.7817824374656</v>
      </c>
      <c r="AA312" s="4">
        <f>('TE BE'!$AB$5+'TE BF'!$AB$5+'TE CVA'!$AB$5)*1</f>
        <v>542.84414704984056</v>
      </c>
      <c r="AB312" s="4">
        <f>$K$312*$V$312</f>
        <v>0</v>
      </c>
      <c r="AC312" s="4">
        <f>$M$312*$W$312</f>
        <v>10509.363450000001</v>
      </c>
      <c r="AD312" s="4">
        <f>$O$312*$X$312</f>
        <v>3945.1381500000002</v>
      </c>
      <c r="AE312" s="4">
        <f>$K$312*$Y$312</f>
        <v>0</v>
      </c>
      <c r="AF312" s="4">
        <f ca="1">$M$312*$Z$312</f>
        <v>13585.945311268752</v>
      </c>
      <c r="AG312" s="4">
        <f>$O$312*$AA$312</f>
        <v>4937.1675174183001</v>
      </c>
    </row>
    <row r="313" spans="1:33" ht="11.25" customHeight="1" x14ac:dyDescent="0.25">
      <c r="A313" s="3" t="s">
        <v>55</v>
      </c>
      <c r="B313" s="3" t="s">
        <v>39</v>
      </c>
      <c r="C313" s="3" t="s">
        <v>41</v>
      </c>
      <c r="D313" s="3" t="s">
        <v>51</v>
      </c>
      <c r="E313" s="3" t="s">
        <v>25</v>
      </c>
      <c r="F313" s="3" t="s">
        <v>25</v>
      </c>
      <c r="G313" s="3" t="s">
        <v>25</v>
      </c>
      <c r="H313" s="3" t="s">
        <v>34</v>
      </c>
      <c r="I313" s="6">
        <v>44835</v>
      </c>
      <c r="J313" s="4">
        <v>0</v>
      </c>
      <c r="K313" s="4">
        <v>0</v>
      </c>
      <c r="L313" s="4">
        <v>9.0950000000000006</v>
      </c>
      <c r="M313" s="4">
        <v>9.0950000000000006</v>
      </c>
      <c r="N313" s="4">
        <v>9.0950000000000006</v>
      </c>
      <c r="O313" s="4">
        <v>9.0950000000000006</v>
      </c>
      <c r="P313" s="4">
        <v>0</v>
      </c>
      <c r="Q313" s="3" t="s">
        <v>26</v>
      </c>
      <c r="R313" s="3">
        <v>0</v>
      </c>
      <c r="S313" s="4">
        <v>0</v>
      </c>
      <c r="T313" s="4">
        <v>11</v>
      </c>
      <c r="U313" s="4">
        <v>71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1155.51</v>
      </c>
      <c r="X313" s="4">
        <f>IF(ISERROR(VLOOKUP($U$313,'TAR FIN'!$A$1:$O$92,15,0)),0,VLOOKUP($U$313,'TAR FIN'!$A$1:$O$92,15,0))</f>
        <v>433.77</v>
      </c>
      <c r="Y313" s="4"/>
      <c r="Z313" s="4">
        <f ca="1">('TUSD BE'!$AM$11+'TUSD BF'!$AM$11+'TUSD CVA'!$AM$11)*1</f>
        <v>1493.7817824374656</v>
      </c>
      <c r="AA313" s="4">
        <f>('TE BE'!$AB$5+'TE BF'!$AB$5+'TE CVA'!$AB$5)*1</f>
        <v>542.84414704984056</v>
      </c>
      <c r="AB313" s="4">
        <f>$K$313*$V$313</f>
        <v>0</v>
      </c>
      <c r="AC313" s="4">
        <f>$M$313*$W$313</f>
        <v>10509.363450000001</v>
      </c>
      <c r="AD313" s="4">
        <f>$O$313*$X$313</f>
        <v>3945.1381500000002</v>
      </c>
      <c r="AE313" s="4">
        <f>$K$313*$Y$313</f>
        <v>0</v>
      </c>
      <c r="AF313" s="4">
        <f ca="1">$M$313*$Z$313</f>
        <v>13585.945311268752</v>
      </c>
      <c r="AG313" s="4">
        <f>$O$313*$AA$313</f>
        <v>4937.1675174183001</v>
      </c>
    </row>
    <row r="314" spans="1:33" ht="11.25" customHeight="1" x14ac:dyDescent="0.25">
      <c r="A314" s="3" t="s">
        <v>21</v>
      </c>
      <c r="B314" s="3" t="s">
        <v>39</v>
      </c>
      <c r="C314" s="3" t="s">
        <v>41</v>
      </c>
      <c r="D314" s="3" t="s">
        <v>38</v>
      </c>
      <c r="E314" s="3" t="s">
        <v>25</v>
      </c>
      <c r="F314" s="3" t="s">
        <v>25</v>
      </c>
      <c r="G314" s="3" t="s">
        <v>25</v>
      </c>
      <c r="H314" s="3" t="s">
        <v>35</v>
      </c>
      <c r="I314" s="6">
        <v>44501</v>
      </c>
      <c r="J314" s="4">
        <v>0</v>
      </c>
      <c r="K314" s="4">
        <v>0</v>
      </c>
      <c r="L314" s="4">
        <v>1140.0050000000001</v>
      </c>
      <c r="M314" s="4">
        <v>1140.0050000000001</v>
      </c>
      <c r="N314" s="4">
        <v>1140.0050000000001</v>
      </c>
      <c r="O314" s="4">
        <v>1140.0050000000001</v>
      </c>
      <c r="P314" s="4">
        <v>0</v>
      </c>
      <c r="Q314" s="3" t="s">
        <v>26</v>
      </c>
      <c r="R314" s="3">
        <v>0</v>
      </c>
      <c r="S314" s="4">
        <v>0</v>
      </c>
      <c r="T314" s="4">
        <v>31</v>
      </c>
      <c r="U314" s="4">
        <v>59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87.73</v>
      </c>
      <c r="X314" s="4">
        <f>IF(ISERROR(VLOOKUP($U$314,'TAR FIN'!$A$1:$O$92,15,0)),0,VLOOKUP($U$314,'TAR FIN'!$A$1:$O$92,15,0))</f>
        <v>253.9</v>
      </c>
      <c r="Y314" s="4"/>
      <c r="Z314" s="4">
        <f ca="1">('TUSD BE'!$AM$12+'TUSD BF'!$AM$12+'TUSD CVA'!$AM$12)*1</f>
        <v>109.44196476324252</v>
      </c>
      <c r="AA314" s="4">
        <f>('TE BE'!$AB$6+'TE BF'!$AB$6+'TE CVA'!$AB$6)*1</f>
        <v>317.3874512882154</v>
      </c>
      <c r="AB314" s="4">
        <f>$K$314*$V$314</f>
        <v>0</v>
      </c>
      <c r="AC314" s="4">
        <f>$M$314*$W$314</f>
        <v>100012.63865000001</v>
      </c>
      <c r="AD314" s="4">
        <f>$O$314*$X$314</f>
        <v>289447.26950000005</v>
      </c>
      <c r="AE314" s="4">
        <f>$K$314*$Y$314</f>
        <v>0</v>
      </c>
      <c r="AF314" s="4">
        <f ca="1">$M$314*$Z$314</f>
        <v>124764.3870399203</v>
      </c>
      <c r="AG314" s="4">
        <f>$O$314*$AA$314</f>
        <v>361823.28140582202</v>
      </c>
    </row>
    <row r="315" spans="1:33" ht="11.25" customHeight="1" x14ac:dyDescent="0.25">
      <c r="A315" s="3" t="s">
        <v>28</v>
      </c>
      <c r="B315" s="3" t="s">
        <v>39</v>
      </c>
      <c r="C315" s="3" t="s">
        <v>41</v>
      </c>
      <c r="D315" s="3" t="s">
        <v>38</v>
      </c>
      <c r="E315" s="3" t="s">
        <v>25</v>
      </c>
      <c r="F315" s="3" t="s">
        <v>25</v>
      </c>
      <c r="G315" s="3" t="s">
        <v>25</v>
      </c>
      <c r="H315" s="3" t="s">
        <v>35</v>
      </c>
      <c r="I315" s="6">
        <v>44501</v>
      </c>
      <c r="J315" s="4">
        <v>0</v>
      </c>
      <c r="K315" s="4">
        <v>0</v>
      </c>
      <c r="L315" s="4">
        <v>38.292999999999999</v>
      </c>
      <c r="M315" s="4">
        <v>38.292999999999999</v>
      </c>
      <c r="N315" s="4">
        <v>38.292999999999999</v>
      </c>
      <c r="O315" s="4">
        <v>38.292999999999999</v>
      </c>
      <c r="P315" s="4">
        <v>0</v>
      </c>
      <c r="Q315" s="3" t="s">
        <v>26</v>
      </c>
      <c r="R315" s="3">
        <v>0</v>
      </c>
      <c r="S315" s="4">
        <v>0</v>
      </c>
      <c r="T315" s="4">
        <v>31</v>
      </c>
      <c r="U315" s="4">
        <v>59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87.73</v>
      </c>
      <c r="X315" s="4">
        <f>IF(ISERROR(VLOOKUP($U$315,'TAR FIN'!$A$1:$O$92,15,0)),0,VLOOKUP($U$315,'TAR FIN'!$A$1:$O$92,15,0))</f>
        <v>253.9</v>
      </c>
      <c r="Y315" s="4"/>
      <c r="Z315" s="4">
        <f ca="1">('TUSD BE'!$AM$12+'TUSD BF'!$AM$12+'TUSD CVA'!$AM$12)*1</f>
        <v>109.44196476324252</v>
      </c>
      <c r="AA315" s="4">
        <f>('TE BE'!$AB$6+'TE BF'!$AB$6+'TE CVA'!$AB$6)*1</f>
        <v>317.3874512882154</v>
      </c>
      <c r="AB315" s="4">
        <f>$K$315*$V$315</f>
        <v>0</v>
      </c>
      <c r="AC315" s="4">
        <f>$M$315*$W$315</f>
        <v>3359.4448900000002</v>
      </c>
      <c r="AD315" s="4">
        <f>$O$315*$X$315</f>
        <v>9722.5926999999992</v>
      </c>
      <c r="AE315" s="4">
        <f>$K$315*$Y$315</f>
        <v>0</v>
      </c>
      <c r="AF315" s="4">
        <f ca="1">$M$315*$Z$315</f>
        <v>4190.8611566788459</v>
      </c>
      <c r="AG315" s="4">
        <f>$O$315*$AA$315</f>
        <v>12153.717672179631</v>
      </c>
    </row>
    <row r="316" spans="1:33" ht="11.25" customHeight="1" x14ac:dyDescent="0.25">
      <c r="A316" s="3" t="s">
        <v>21</v>
      </c>
      <c r="B316" s="3" t="s">
        <v>39</v>
      </c>
      <c r="C316" s="3" t="s">
        <v>41</v>
      </c>
      <c r="D316" s="3" t="s">
        <v>38</v>
      </c>
      <c r="E316" s="3" t="s">
        <v>25</v>
      </c>
      <c r="F316" s="3" t="s">
        <v>25</v>
      </c>
      <c r="G316" s="3" t="s">
        <v>25</v>
      </c>
      <c r="H316" s="3" t="s">
        <v>35</v>
      </c>
      <c r="I316" s="6">
        <v>44531</v>
      </c>
      <c r="J316" s="4">
        <v>0</v>
      </c>
      <c r="K316" s="4">
        <v>0</v>
      </c>
      <c r="L316" s="4">
        <v>1128.8789999999999</v>
      </c>
      <c r="M316" s="4">
        <v>1128.8789999999999</v>
      </c>
      <c r="N316" s="4">
        <v>1128.8789999999999</v>
      </c>
      <c r="O316" s="4">
        <v>1128.8789999999999</v>
      </c>
      <c r="P316" s="4">
        <v>0</v>
      </c>
      <c r="Q316" s="3" t="s">
        <v>26</v>
      </c>
      <c r="R316" s="3">
        <v>0</v>
      </c>
      <c r="S316" s="4">
        <v>0</v>
      </c>
      <c r="T316" s="4">
        <v>31</v>
      </c>
      <c r="U316" s="4">
        <v>59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87.73</v>
      </c>
      <c r="X316" s="4">
        <f>IF(ISERROR(VLOOKUP($U$316,'TAR FIN'!$A$1:$O$92,15,0)),0,VLOOKUP($U$316,'TAR FIN'!$A$1:$O$92,15,0))</f>
        <v>253.9</v>
      </c>
      <c r="Y316" s="4"/>
      <c r="Z316" s="4">
        <f ca="1">('TUSD BE'!$AM$12+'TUSD BF'!$AM$12+'TUSD CVA'!$AM$12)*1</f>
        <v>109.44196476324252</v>
      </c>
      <c r="AA316" s="4">
        <f>('TE BE'!$AB$6+'TE BF'!$AB$6+'TE CVA'!$AB$6)*1</f>
        <v>317.3874512882154</v>
      </c>
      <c r="AB316" s="4">
        <f>$K$316*$V$316</f>
        <v>0</v>
      </c>
      <c r="AC316" s="4">
        <f>$M$316*$W$316</f>
        <v>99036.554669999998</v>
      </c>
      <c r="AD316" s="4">
        <f>$O$316*$X$316</f>
        <v>286622.37809999997</v>
      </c>
      <c r="AE316" s="4">
        <f>$K$316*$Y$316</f>
        <v>0</v>
      </c>
      <c r="AF316" s="4">
        <f ca="1">$M$316*$Z$316</f>
        <v>123546.73573996445</v>
      </c>
      <c r="AG316" s="4">
        <f>$O$316*$AA$316</f>
        <v>358292.02862278931</v>
      </c>
    </row>
    <row r="317" spans="1:33" ht="11.25" customHeight="1" x14ac:dyDescent="0.25">
      <c r="A317" s="3" t="s">
        <v>28</v>
      </c>
      <c r="B317" s="3" t="s">
        <v>39</v>
      </c>
      <c r="C317" s="3" t="s">
        <v>41</v>
      </c>
      <c r="D317" s="3" t="s">
        <v>38</v>
      </c>
      <c r="E317" s="3" t="s">
        <v>25</v>
      </c>
      <c r="F317" s="3" t="s">
        <v>25</v>
      </c>
      <c r="G317" s="3" t="s">
        <v>25</v>
      </c>
      <c r="H317" s="3" t="s">
        <v>35</v>
      </c>
      <c r="I317" s="6">
        <v>44531</v>
      </c>
      <c r="J317" s="4">
        <v>0</v>
      </c>
      <c r="K317" s="4">
        <v>0</v>
      </c>
      <c r="L317" s="4">
        <v>36.838000000000001</v>
      </c>
      <c r="M317" s="4">
        <v>36.838000000000001</v>
      </c>
      <c r="N317" s="4">
        <v>36.838000000000001</v>
      </c>
      <c r="O317" s="4">
        <v>36.838000000000001</v>
      </c>
      <c r="P317" s="4">
        <v>0</v>
      </c>
      <c r="Q317" s="3" t="s">
        <v>26</v>
      </c>
      <c r="R317" s="3">
        <v>0</v>
      </c>
      <c r="S317" s="4">
        <v>0</v>
      </c>
      <c r="T317" s="4">
        <v>31</v>
      </c>
      <c r="U317" s="4">
        <v>59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87.73</v>
      </c>
      <c r="X317" s="4">
        <f>IF(ISERROR(VLOOKUP($U$317,'TAR FIN'!$A$1:$O$92,15,0)),0,VLOOKUP($U$317,'TAR FIN'!$A$1:$O$92,15,0))</f>
        <v>253.9</v>
      </c>
      <c r="Y317" s="4"/>
      <c r="Z317" s="4">
        <f ca="1">('TUSD BE'!$AM$12+'TUSD BF'!$AM$12+'TUSD CVA'!$AM$12)*1</f>
        <v>109.44196476324252</v>
      </c>
      <c r="AA317" s="4">
        <f>('TE BE'!$AB$6+'TE BF'!$AB$6+'TE CVA'!$AB$6)*1</f>
        <v>317.3874512882154</v>
      </c>
      <c r="AB317" s="4">
        <f>$K$317*$V$317</f>
        <v>0</v>
      </c>
      <c r="AC317" s="4">
        <f>$M$317*$W$317</f>
        <v>3231.7977400000004</v>
      </c>
      <c r="AD317" s="4">
        <f>$O$317*$X$317</f>
        <v>9353.1682000000001</v>
      </c>
      <c r="AE317" s="4">
        <f>$K$317*$Y$317</f>
        <v>0</v>
      </c>
      <c r="AF317" s="4">
        <f ca="1">$M$317*$Z$317</f>
        <v>4031.623097948328</v>
      </c>
      <c r="AG317" s="4">
        <f>$O$317*$AA$317</f>
        <v>11691.918930555279</v>
      </c>
    </row>
    <row r="318" spans="1:33" ht="11.25" customHeight="1" x14ac:dyDescent="0.25">
      <c r="A318" s="3" t="s">
        <v>21</v>
      </c>
      <c r="B318" s="3" t="s">
        <v>39</v>
      </c>
      <c r="C318" s="3" t="s">
        <v>41</v>
      </c>
      <c r="D318" s="3" t="s">
        <v>38</v>
      </c>
      <c r="E318" s="3" t="s">
        <v>25</v>
      </c>
      <c r="F318" s="3" t="s">
        <v>25</v>
      </c>
      <c r="G318" s="3" t="s">
        <v>25</v>
      </c>
      <c r="H318" s="3" t="s">
        <v>35</v>
      </c>
      <c r="I318" s="6">
        <v>44562</v>
      </c>
      <c r="J318" s="4">
        <v>0</v>
      </c>
      <c r="K318" s="4">
        <v>0</v>
      </c>
      <c r="L318" s="4">
        <v>1148.1959999999999</v>
      </c>
      <c r="M318" s="4">
        <v>1148.1959999999999</v>
      </c>
      <c r="N318" s="4">
        <v>1148.1959999999999</v>
      </c>
      <c r="O318" s="4">
        <v>1148.1959999999999</v>
      </c>
      <c r="P318" s="4">
        <v>0</v>
      </c>
      <c r="Q318" s="3" t="s">
        <v>26</v>
      </c>
      <c r="R318" s="3">
        <v>0</v>
      </c>
      <c r="S318" s="4">
        <v>0</v>
      </c>
      <c r="T318" s="4">
        <v>31</v>
      </c>
      <c r="U318" s="4">
        <v>59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87.73</v>
      </c>
      <c r="X318" s="4">
        <f>IF(ISERROR(VLOOKUP($U$318,'TAR FIN'!$A$1:$O$92,15,0)),0,VLOOKUP($U$318,'TAR FIN'!$A$1:$O$92,15,0))</f>
        <v>253.9</v>
      </c>
      <c r="Y318" s="4"/>
      <c r="Z318" s="4">
        <f ca="1">('TUSD BE'!$AM$12+'TUSD BF'!$AM$12+'TUSD CVA'!$AM$12)*1</f>
        <v>109.44196476324252</v>
      </c>
      <c r="AA318" s="4">
        <f>('TE BE'!$AB$6+'TE BF'!$AB$6+'TE CVA'!$AB$6)*1</f>
        <v>317.3874512882154</v>
      </c>
      <c r="AB318" s="4">
        <f>$K$318*$V$318</f>
        <v>0</v>
      </c>
      <c r="AC318" s="4">
        <f>$M$318*$W$318</f>
        <v>100731.23508</v>
      </c>
      <c r="AD318" s="4">
        <f>$O$318*$X$318</f>
        <v>291526.9644</v>
      </c>
      <c r="AE318" s="4">
        <f>$K$318*$Y$318</f>
        <v>0</v>
      </c>
      <c r="AF318" s="4">
        <f ca="1">$M$318*$Z$318</f>
        <v>125660.82617329601</v>
      </c>
      <c r="AG318" s="4">
        <f>$O$318*$AA$318</f>
        <v>364423.00201932376</v>
      </c>
    </row>
    <row r="319" spans="1:33" ht="11.25" customHeight="1" x14ac:dyDescent="0.25">
      <c r="A319" s="3" t="s">
        <v>28</v>
      </c>
      <c r="B319" s="3" t="s">
        <v>39</v>
      </c>
      <c r="C319" s="3" t="s">
        <v>41</v>
      </c>
      <c r="D319" s="3" t="s">
        <v>38</v>
      </c>
      <c r="E319" s="3" t="s">
        <v>25</v>
      </c>
      <c r="F319" s="3" t="s">
        <v>25</v>
      </c>
      <c r="G319" s="3" t="s">
        <v>25</v>
      </c>
      <c r="H319" s="3" t="s">
        <v>35</v>
      </c>
      <c r="I319" s="6">
        <v>44562</v>
      </c>
      <c r="J319" s="4">
        <v>0</v>
      </c>
      <c r="K319" s="4">
        <v>0</v>
      </c>
      <c r="L319" s="4">
        <v>33.359000000000002</v>
      </c>
      <c r="M319" s="4">
        <v>33.359000000000002</v>
      </c>
      <c r="N319" s="4">
        <v>33.359000000000002</v>
      </c>
      <c r="O319" s="4">
        <v>33.359000000000002</v>
      </c>
      <c r="P319" s="4">
        <v>0</v>
      </c>
      <c r="Q319" s="3" t="s">
        <v>26</v>
      </c>
      <c r="R319" s="3">
        <v>0</v>
      </c>
      <c r="S319" s="4">
        <v>0</v>
      </c>
      <c r="T319" s="4">
        <v>31</v>
      </c>
      <c r="U319" s="4">
        <v>59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87.73</v>
      </c>
      <c r="X319" s="4">
        <f>IF(ISERROR(VLOOKUP($U$319,'TAR FIN'!$A$1:$O$92,15,0)),0,VLOOKUP($U$319,'TAR FIN'!$A$1:$O$92,15,0))</f>
        <v>253.9</v>
      </c>
      <c r="Y319" s="4"/>
      <c r="Z319" s="4">
        <f ca="1">('TUSD BE'!$AM$12+'TUSD BF'!$AM$12+'TUSD CVA'!$AM$12)*1</f>
        <v>109.44196476324252</v>
      </c>
      <c r="AA319" s="4">
        <f>('TE BE'!$AB$6+'TE BF'!$AB$6+'TE CVA'!$AB$6)*1</f>
        <v>317.3874512882154</v>
      </c>
      <c r="AB319" s="4">
        <f>$K$319*$V$319</f>
        <v>0</v>
      </c>
      <c r="AC319" s="4">
        <f>$M$319*$W$319</f>
        <v>2926.5850700000001</v>
      </c>
      <c r="AD319" s="4">
        <f>$O$319*$X$319</f>
        <v>8469.8501000000015</v>
      </c>
      <c r="AE319" s="4">
        <f>$K$319*$Y$319</f>
        <v>0</v>
      </c>
      <c r="AF319" s="4">
        <f ca="1">$M$319*$Z$319</f>
        <v>3650.8745025370076</v>
      </c>
      <c r="AG319" s="4">
        <f>$O$319*$AA$319</f>
        <v>10587.727987523578</v>
      </c>
    </row>
    <row r="320" spans="1:33" ht="11.25" customHeight="1" x14ac:dyDescent="0.25">
      <c r="A320" s="3" t="s">
        <v>21</v>
      </c>
      <c r="B320" s="3" t="s">
        <v>39</v>
      </c>
      <c r="C320" s="3" t="s">
        <v>41</v>
      </c>
      <c r="D320" s="3" t="s">
        <v>38</v>
      </c>
      <c r="E320" s="3" t="s">
        <v>25</v>
      </c>
      <c r="F320" s="3" t="s">
        <v>25</v>
      </c>
      <c r="G320" s="3" t="s">
        <v>25</v>
      </c>
      <c r="H320" s="3" t="s">
        <v>35</v>
      </c>
      <c r="I320" s="6">
        <v>44593</v>
      </c>
      <c r="J320" s="4">
        <v>0</v>
      </c>
      <c r="K320" s="4">
        <v>0</v>
      </c>
      <c r="L320" s="4">
        <v>1206.1010000000001</v>
      </c>
      <c r="M320" s="4">
        <v>1206.1010000000001</v>
      </c>
      <c r="N320" s="4">
        <v>1206.1010000000001</v>
      </c>
      <c r="O320" s="4">
        <v>1206.1010000000001</v>
      </c>
      <c r="P320" s="4">
        <v>0</v>
      </c>
      <c r="Q320" s="3" t="s">
        <v>26</v>
      </c>
      <c r="R320" s="3">
        <v>0</v>
      </c>
      <c r="S320" s="4">
        <v>0</v>
      </c>
      <c r="T320" s="4">
        <v>31</v>
      </c>
      <c r="U320" s="4">
        <v>59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87.73</v>
      </c>
      <c r="X320" s="4">
        <f>IF(ISERROR(VLOOKUP($U$320,'TAR FIN'!$A$1:$O$92,15,0)),0,VLOOKUP($U$320,'TAR FIN'!$A$1:$O$92,15,0))</f>
        <v>253.9</v>
      </c>
      <c r="Y320" s="4"/>
      <c r="Z320" s="4">
        <f ca="1">('TUSD BE'!$AM$12+'TUSD BF'!$AM$12+'TUSD CVA'!$AM$12)*1</f>
        <v>109.44196476324252</v>
      </c>
      <c r="AA320" s="4">
        <f>('TE BE'!$AB$6+'TE BF'!$AB$6+'TE CVA'!$AB$6)*1</f>
        <v>317.3874512882154</v>
      </c>
      <c r="AB320" s="4">
        <f>$K$320*$V$320</f>
        <v>0</v>
      </c>
      <c r="AC320" s="4">
        <f>$M$320*$W$320</f>
        <v>105811.24073000002</v>
      </c>
      <c r="AD320" s="4">
        <f>$O$320*$X$320</f>
        <v>306229.04390000005</v>
      </c>
      <c r="AE320" s="4">
        <f>$K$320*$Y$320</f>
        <v>0</v>
      </c>
      <c r="AF320" s="4">
        <f ca="1">$M$320*$Z$320</f>
        <v>131998.06314291159</v>
      </c>
      <c r="AG320" s="4">
        <f>$O$320*$AA$320</f>
        <v>382801.32238616794</v>
      </c>
    </row>
    <row r="321" spans="1:33" ht="11.25" customHeight="1" x14ac:dyDescent="0.25">
      <c r="A321" s="3" t="s">
        <v>28</v>
      </c>
      <c r="B321" s="3" t="s">
        <v>39</v>
      </c>
      <c r="C321" s="3" t="s">
        <v>41</v>
      </c>
      <c r="D321" s="3" t="s">
        <v>38</v>
      </c>
      <c r="E321" s="3" t="s">
        <v>25</v>
      </c>
      <c r="F321" s="3" t="s">
        <v>25</v>
      </c>
      <c r="G321" s="3" t="s">
        <v>25</v>
      </c>
      <c r="H321" s="3" t="s">
        <v>35</v>
      </c>
      <c r="I321" s="6">
        <v>44593</v>
      </c>
      <c r="J321" s="4">
        <v>0</v>
      </c>
      <c r="K321" s="4">
        <v>0</v>
      </c>
      <c r="L321" s="4">
        <v>34.656999999999996</v>
      </c>
      <c r="M321" s="4">
        <v>34.656999999999996</v>
      </c>
      <c r="N321" s="4">
        <v>34.656999999999996</v>
      </c>
      <c r="O321" s="4">
        <v>34.656999999999996</v>
      </c>
      <c r="P321" s="4">
        <v>0</v>
      </c>
      <c r="Q321" s="3" t="s">
        <v>26</v>
      </c>
      <c r="R321" s="3">
        <v>0</v>
      </c>
      <c r="S321" s="4">
        <v>0</v>
      </c>
      <c r="T321" s="4">
        <v>31</v>
      </c>
      <c r="U321" s="4">
        <v>59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87.73</v>
      </c>
      <c r="X321" s="4">
        <f>IF(ISERROR(VLOOKUP($U$321,'TAR FIN'!$A$1:$O$92,15,0)),0,VLOOKUP($U$321,'TAR FIN'!$A$1:$O$92,15,0))</f>
        <v>253.9</v>
      </c>
      <c r="Y321" s="4"/>
      <c r="Z321" s="4">
        <f ca="1">('TUSD BE'!$AM$12+'TUSD BF'!$AM$12+'TUSD CVA'!$AM$12)*1</f>
        <v>109.44196476324252</v>
      </c>
      <c r="AA321" s="4">
        <f>('TE BE'!$AB$6+'TE BF'!$AB$6+'TE CVA'!$AB$6)*1</f>
        <v>317.3874512882154</v>
      </c>
      <c r="AB321" s="4">
        <f>$K$321*$V$321</f>
        <v>0</v>
      </c>
      <c r="AC321" s="4">
        <f>$M$321*$W$321</f>
        <v>3040.4586099999997</v>
      </c>
      <c r="AD321" s="4">
        <f>$O$321*$X$321</f>
        <v>8799.4123</v>
      </c>
      <c r="AE321" s="4">
        <f>$K$321*$Y$321</f>
        <v>0</v>
      </c>
      <c r="AF321" s="4">
        <f ca="1">$M$321*$Z$321</f>
        <v>3792.9301727996958</v>
      </c>
      <c r="AG321" s="4">
        <f>$O$321*$AA$321</f>
        <v>10999.696899295681</v>
      </c>
    </row>
    <row r="322" spans="1:33" ht="11.25" customHeight="1" x14ac:dyDescent="0.25">
      <c r="A322" s="3" t="s">
        <v>21</v>
      </c>
      <c r="B322" s="3" t="s">
        <v>39</v>
      </c>
      <c r="C322" s="3" t="s">
        <v>41</v>
      </c>
      <c r="D322" s="3" t="s">
        <v>38</v>
      </c>
      <c r="E322" s="3" t="s">
        <v>25</v>
      </c>
      <c r="F322" s="3" t="s">
        <v>25</v>
      </c>
      <c r="G322" s="3" t="s">
        <v>25</v>
      </c>
      <c r="H322" s="3" t="s">
        <v>35</v>
      </c>
      <c r="I322" s="6">
        <v>44621</v>
      </c>
      <c r="J322" s="4">
        <v>0</v>
      </c>
      <c r="K322" s="4">
        <v>0</v>
      </c>
      <c r="L322" s="4">
        <v>1266.954</v>
      </c>
      <c r="M322" s="4">
        <v>1266.954</v>
      </c>
      <c r="N322" s="4">
        <v>1266.954</v>
      </c>
      <c r="O322" s="4">
        <v>1266.954</v>
      </c>
      <c r="P322" s="4">
        <v>0</v>
      </c>
      <c r="Q322" s="3" t="s">
        <v>26</v>
      </c>
      <c r="R322" s="3">
        <v>0</v>
      </c>
      <c r="S322" s="4">
        <v>0</v>
      </c>
      <c r="T322" s="4">
        <v>31</v>
      </c>
      <c r="U322" s="4">
        <v>59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87.73</v>
      </c>
      <c r="X322" s="4">
        <f>IF(ISERROR(VLOOKUP($U$322,'TAR FIN'!$A$1:$O$92,15,0)),0,VLOOKUP($U$322,'TAR FIN'!$A$1:$O$92,15,0))</f>
        <v>253.9</v>
      </c>
      <c r="Y322" s="4"/>
      <c r="Z322" s="4">
        <f ca="1">('TUSD BE'!$AM$12+'TUSD BF'!$AM$12+'TUSD CVA'!$AM$12)*1</f>
        <v>109.44196476324252</v>
      </c>
      <c r="AA322" s="4">
        <f>('TE BE'!$AB$6+'TE BF'!$AB$6+'TE CVA'!$AB$6)*1</f>
        <v>317.3874512882154</v>
      </c>
      <c r="AB322" s="4">
        <f>$K$322*$V$322</f>
        <v>0</v>
      </c>
      <c r="AC322" s="4">
        <f>$M$322*$W$322</f>
        <v>111149.87442000001</v>
      </c>
      <c r="AD322" s="4">
        <f>$O$322*$X$322</f>
        <v>321679.62060000002</v>
      </c>
      <c r="AE322" s="4">
        <f>$K$322*$Y$322</f>
        <v>0</v>
      </c>
      <c r="AF322" s="4">
        <f ca="1">$M$322*$Z$322</f>
        <v>138657.93502464917</v>
      </c>
      <c r="AG322" s="4">
        <f>$O$322*$AA$322</f>
        <v>402115.30095940962</v>
      </c>
    </row>
    <row r="323" spans="1:33" ht="11.25" customHeight="1" x14ac:dyDescent="0.25">
      <c r="A323" s="3" t="s">
        <v>28</v>
      </c>
      <c r="B323" s="3" t="s">
        <v>39</v>
      </c>
      <c r="C323" s="3" t="s">
        <v>41</v>
      </c>
      <c r="D323" s="3" t="s">
        <v>38</v>
      </c>
      <c r="E323" s="3" t="s">
        <v>25</v>
      </c>
      <c r="F323" s="3" t="s">
        <v>25</v>
      </c>
      <c r="G323" s="3" t="s">
        <v>25</v>
      </c>
      <c r="H323" s="3" t="s">
        <v>35</v>
      </c>
      <c r="I323" s="6">
        <v>44621</v>
      </c>
      <c r="J323" s="4">
        <v>0</v>
      </c>
      <c r="K323" s="4">
        <v>0</v>
      </c>
      <c r="L323" s="4">
        <v>41.359000000000002</v>
      </c>
      <c r="M323" s="4">
        <v>41.359000000000002</v>
      </c>
      <c r="N323" s="4">
        <v>41.359000000000002</v>
      </c>
      <c r="O323" s="4">
        <v>41.359000000000002</v>
      </c>
      <c r="P323" s="4">
        <v>0</v>
      </c>
      <c r="Q323" s="3" t="s">
        <v>26</v>
      </c>
      <c r="R323" s="3">
        <v>0</v>
      </c>
      <c r="S323" s="4">
        <v>0</v>
      </c>
      <c r="T323" s="4">
        <v>31</v>
      </c>
      <c r="U323" s="4">
        <v>59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87.73</v>
      </c>
      <c r="X323" s="4">
        <f>IF(ISERROR(VLOOKUP($U$323,'TAR FIN'!$A$1:$O$92,15,0)),0,VLOOKUP($U$323,'TAR FIN'!$A$1:$O$92,15,0))</f>
        <v>253.9</v>
      </c>
      <c r="Y323" s="4"/>
      <c r="Z323" s="4">
        <f ca="1">('TUSD BE'!$AM$12+'TUSD BF'!$AM$12+'TUSD CVA'!$AM$12)*1</f>
        <v>109.44196476324252</v>
      </c>
      <c r="AA323" s="4">
        <f>('TE BE'!$AB$6+'TE BF'!$AB$6+'TE CVA'!$AB$6)*1</f>
        <v>317.3874512882154</v>
      </c>
      <c r="AB323" s="4">
        <f>$K$323*$V$323</f>
        <v>0</v>
      </c>
      <c r="AC323" s="4">
        <f>$M$323*$W$323</f>
        <v>3628.4250700000002</v>
      </c>
      <c r="AD323" s="4">
        <f>$O$323*$X$323</f>
        <v>10501.0501</v>
      </c>
      <c r="AE323" s="4">
        <f>$K$323*$Y$323</f>
        <v>0</v>
      </c>
      <c r="AF323" s="4">
        <f ca="1">$M$323*$Z$323</f>
        <v>4526.4102206429479</v>
      </c>
      <c r="AG323" s="4">
        <f>$O$323*$AA$323</f>
        <v>13126.827597829302</v>
      </c>
    </row>
    <row r="324" spans="1:33" ht="11.25" customHeight="1" x14ac:dyDescent="0.25">
      <c r="A324" s="3" t="s">
        <v>21</v>
      </c>
      <c r="B324" s="3" t="s">
        <v>39</v>
      </c>
      <c r="C324" s="3" t="s">
        <v>41</v>
      </c>
      <c r="D324" s="3" t="s">
        <v>38</v>
      </c>
      <c r="E324" s="3" t="s">
        <v>25</v>
      </c>
      <c r="F324" s="3" t="s">
        <v>25</v>
      </c>
      <c r="G324" s="3" t="s">
        <v>25</v>
      </c>
      <c r="H324" s="3" t="s">
        <v>35</v>
      </c>
      <c r="I324" s="6">
        <v>44652</v>
      </c>
      <c r="J324" s="4">
        <v>0</v>
      </c>
      <c r="K324" s="4">
        <v>0</v>
      </c>
      <c r="L324" s="4">
        <v>1266.954</v>
      </c>
      <c r="M324" s="4">
        <v>1266.954</v>
      </c>
      <c r="N324" s="4">
        <v>1266.954</v>
      </c>
      <c r="O324" s="4">
        <v>1266.954</v>
      </c>
      <c r="P324" s="4">
        <v>0</v>
      </c>
      <c r="Q324" s="3" t="s">
        <v>26</v>
      </c>
      <c r="R324" s="3">
        <v>0</v>
      </c>
      <c r="S324" s="4">
        <v>0</v>
      </c>
      <c r="T324" s="4">
        <v>31</v>
      </c>
      <c r="U324" s="4">
        <v>59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87.73</v>
      </c>
      <c r="X324" s="4">
        <f>IF(ISERROR(VLOOKUP($U$324,'TAR FIN'!$A$1:$O$92,15,0)),0,VLOOKUP($U$324,'TAR FIN'!$A$1:$O$92,15,0))</f>
        <v>253.9</v>
      </c>
      <c r="Y324" s="4"/>
      <c r="Z324" s="4">
        <f ca="1">('TUSD BE'!$AM$12+'TUSD BF'!$AM$12+'TUSD CVA'!$AM$12)*1</f>
        <v>109.44196476324252</v>
      </c>
      <c r="AA324" s="4">
        <f>('TE BE'!$AB$6+'TE BF'!$AB$6+'TE CVA'!$AB$6)*1</f>
        <v>317.3874512882154</v>
      </c>
      <c r="AB324" s="4">
        <f>$K$324*$V$324</f>
        <v>0</v>
      </c>
      <c r="AC324" s="4">
        <f>$M$324*$W$324</f>
        <v>111149.87442000001</v>
      </c>
      <c r="AD324" s="4">
        <f>$O$324*$X$324</f>
        <v>321679.62060000002</v>
      </c>
      <c r="AE324" s="4">
        <f>$K$324*$Y$324</f>
        <v>0</v>
      </c>
      <c r="AF324" s="4">
        <f ca="1">$M$324*$Z$324</f>
        <v>138657.93502464917</v>
      </c>
      <c r="AG324" s="4">
        <f>$O$324*$AA$324</f>
        <v>402115.30095940962</v>
      </c>
    </row>
    <row r="325" spans="1:33" ht="11.25" customHeight="1" x14ac:dyDescent="0.25">
      <c r="A325" s="3" t="s">
        <v>28</v>
      </c>
      <c r="B325" s="3" t="s">
        <v>39</v>
      </c>
      <c r="C325" s="3" t="s">
        <v>41</v>
      </c>
      <c r="D325" s="3" t="s">
        <v>38</v>
      </c>
      <c r="E325" s="3" t="s">
        <v>25</v>
      </c>
      <c r="F325" s="3" t="s">
        <v>25</v>
      </c>
      <c r="G325" s="3" t="s">
        <v>25</v>
      </c>
      <c r="H325" s="3" t="s">
        <v>35</v>
      </c>
      <c r="I325" s="6">
        <v>44652</v>
      </c>
      <c r="J325" s="4">
        <v>0</v>
      </c>
      <c r="K325" s="4">
        <v>0</v>
      </c>
      <c r="L325" s="4">
        <v>41.359000000000002</v>
      </c>
      <c r="M325" s="4">
        <v>41.359000000000002</v>
      </c>
      <c r="N325" s="4">
        <v>41.359000000000002</v>
      </c>
      <c r="O325" s="4">
        <v>41.359000000000002</v>
      </c>
      <c r="P325" s="4">
        <v>0</v>
      </c>
      <c r="Q325" s="3" t="s">
        <v>26</v>
      </c>
      <c r="R325" s="3">
        <v>0</v>
      </c>
      <c r="S325" s="4">
        <v>0</v>
      </c>
      <c r="T325" s="4">
        <v>31</v>
      </c>
      <c r="U325" s="4">
        <v>59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87.73</v>
      </c>
      <c r="X325" s="4">
        <f>IF(ISERROR(VLOOKUP($U$325,'TAR FIN'!$A$1:$O$92,15,0)),0,VLOOKUP($U$325,'TAR FIN'!$A$1:$O$92,15,0))</f>
        <v>253.9</v>
      </c>
      <c r="Y325" s="4"/>
      <c r="Z325" s="4">
        <f ca="1">('TUSD BE'!$AM$12+'TUSD BF'!$AM$12+'TUSD CVA'!$AM$12)*1</f>
        <v>109.44196476324252</v>
      </c>
      <c r="AA325" s="4">
        <f>('TE BE'!$AB$6+'TE BF'!$AB$6+'TE CVA'!$AB$6)*1</f>
        <v>317.3874512882154</v>
      </c>
      <c r="AB325" s="4">
        <f>$K$325*$V$325</f>
        <v>0</v>
      </c>
      <c r="AC325" s="4">
        <f>$M$325*$W$325</f>
        <v>3628.4250700000002</v>
      </c>
      <c r="AD325" s="4">
        <f>$O$325*$X$325</f>
        <v>10501.0501</v>
      </c>
      <c r="AE325" s="4">
        <f>$K$325*$Y$325</f>
        <v>0</v>
      </c>
      <c r="AF325" s="4">
        <f ca="1">$M$325*$Z$325</f>
        <v>4526.4102206429479</v>
      </c>
      <c r="AG325" s="4">
        <f>$O$325*$AA$325</f>
        <v>13126.827597829302</v>
      </c>
    </row>
    <row r="326" spans="1:33" ht="11.25" customHeight="1" x14ac:dyDescent="0.25">
      <c r="A326" s="3" t="s">
        <v>21</v>
      </c>
      <c r="B326" s="3" t="s">
        <v>39</v>
      </c>
      <c r="C326" s="3" t="s">
        <v>41</v>
      </c>
      <c r="D326" s="3" t="s">
        <v>38</v>
      </c>
      <c r="E326" s="3" t="s">
        <v>25</v>
      </c>
      <c r="F326" s="3" t="s">
        <v>25</v>
      </c>
      <c r="G326" s="3" t="s">
        <v>25</v>
      </c>
      <c r="H326" s="3" t="s">
        <v>35</v>
      </c>
      <c r="I326" s="6">
        <v>44682</v>
      </c>
      <c r="J326" s="4">
        <v>0</v>
      </c>
      <c r="K326" s="4">
        <v>0</v>
      </c>
      <c r="L326" s="4">
        <v>1117.973</v>
      </c>
      <c r="M326" s="4">
        <v>1117.973</v>
      </c>
      <c r="N326" s="4">
        <v>1117.973</v>
      </c>
      <c r="O326" s="4">
        <v>1117.973</v>
      </c>
      <c r="P326" s="4">
        <v>0</v>
      </c>
      <c r="Q326" s="3" t="s">
        <v>26</v>
      </c>
      <c r="R326" s="3">
        <v>0</v>
      </c>
      <c r="S326" s="4">
        <v>0</v>
      </c>
      <c r="T326" s="4">
        <v>31</v>
      </c>
      <c r="U326" s="4">
        <v>59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87.73</v>
      </c>
      <c r="X326" s="4">
        <f>IF(ISERROR(VLOOKUP($U$326,'TAR FIN'!$A$1:$O$92,15,0)),0,VLOOKUP($U$326,'TAR FIN'!$A$1:$O$92,15,0))</f>
        <v>253.9</v>
      </c>
      <c r="Y326" s="4"/>
      <c r="Z326" s="4">
        <f ca="1">('TUSD BE'!$AM$12+'TUSD BF'!$AM$12+'TUSD CVA'!$AM$12)*1</f>
        <v>109.44196476324252</v>
      </c>
      <c r="AA326" s="4">
        <f>('TE BE'!$AB$6+'TE BF'!$AB$6+'TE CVA'!$AB$6)*1</f>
        <v>317.3874512882154</v>
      </c>
      <c r="AB326" s="4">
        <f>$K$326*$V$326</f>
        <v>0</v>
      </c>
      <c r="AC326" s="4">
        <f>$M$326*$W$326</f>
        <v>98079.771290000004</v>
      </c>
      <c r="AD326" s="4">
        <f>$O$326*$X$326</f>
        <v>283853.34470000002</v>
      </c>
      <c r="AE326" s="4">
        <f>$K$326*$Y$326</f>
        <v>0</v>
      </c>
      <c r="AF326" s="4">
        <f ca="1">$M$326*$Z$326</f>
        <v>122353.16167225652</v>
      </c>
      <c r="AG326" s="4">
        <f>$O$326*$AA$326</f>
        <v>354830.60107904003</v>
      </c>
    </row>
    <row r="327" spans="1:33" ht="11.25" customHeight="1" x14ac:dyDescent="0.25">
      <c r="A327" s="3" t="s">
        <v>27</v>
      </c>
      <c r="B327" s="3" t="s">
        <v>39</v>
      </c>
      <c r="C327" s="3" t="s">
        <v>41</v>
      </c>
      <c r="D327" s="3" t="s">
        <v>38</v>
      </c>
      <c r="E327" s="3" t="s">
        <v>25</v>
      </c>
      <c r="F327" s="3" t="s">
        <v>25</v>
      </c>
      <c r="G327" s="3" t="s">
        <v>25</v>
      </c>
      <c r="H327" s="3" t="s">
        <v>35</v>
      </c>
      <c r="I327" s="6">
        <v>44682</v>
      </c>
      <c r="J327" s="4">
        <v>0</v>
      </c>
      <c r="K327" s="4">
        <v>0</v>
      </c>
      <c r="L327" s="4">
        <v>1.1319999999999999</v>
      </c>
      <c r="M327" s="4">
        <v>1.1319999999999999</v>
      </c>
      <c r="N327" s="4">
        <v>1.1319999999999999</v>
      </c>
      <c r="O327" s="4">
        <v>1.1319999999999999</v>
      </c>
      <c r="P327" s="4">
        <v>0</v>
      </c>
      <c r="Q327" s="3" t="s">
        <v>26</v>
      </c>
      <c r="R327" s="3">
        <v>0</v>
      </c>
      <c r="S327" s="4">
        <v>0</v>
      </c>
      <c r="T327" s="4">
        <v>31</v>
      </c>
      <c r="U327" s="4">
        <v>59</v>
      </c>
      <c r="V327" s="4">
        <f>IF(ISERROR(VLOOKUP($S$327,'TAR FIN'!$A$1:$O$92,15,0)),0,VLOOKUP($S$327,'TAR FIN'!$A$1:$O$92,15,0))</f>
        <v>0</v>
      </c>
      <c r="W327" s="4">
        <f>IF(ISERROR(VLOOKUP($T$327,'TAR FIN'!$A$1:$O$92,15,0)),0,VLOOKUP($T$327,'TAR FIN'!$A$1:$O$92,15,0))</f>
        <v>87.73</v>
      </c>
      <c r="X327" s="4">
        <f>IF(ISERROR(VLOOKUP($U$327,'TAR FIN'!$A$1:$O$92,15,0)),0,VLOOKUP($U$327,'TAR FIN'!$A$1:$O$92,15,0))</f>
        <v>253.9</v>
      </c>
      <c r="Y327" s="4"/>
      <c r="Z327" s="4">
        <f ca="1">('TUSD BE'!$AM$12+'TUSD BF'!$AM$12+'TUSD CVA'!$AM$12)*1</f>
        <v>109.44196476324252</v>
      </c>
      <c r="AA327" s="4">
        <f>('TE BE'!$AB$6+'TE BF'!$AB$6+'TE CVA'!$AB$6)*1</f>
        <v>317.3874512882154</v>
      </c>
      <c r="AB327" s="4">
        <f>$K$327*$V$327</f>
        <v>0</v>
      </c>
      <c r="AC327" s="4">
        <f>$M$327*$W$327</f>
        <v>99.310359999999989</v>
      </c>
      <c r="AD327" s="4">
        <f>$O$327*$X$327</f>
        <v>287.41479999999996</v>
      </c>
      <c r="AE327" s="4">
        <f>$K$327*$Y$327</f>
        <v>0</v>
      </c>
      <c r="AF327" s="4">
        <f ca="1">$M$327*$Z$327</f>
        <v>123.88830411199052</v>
      </c>
      <c r="AG327" s="4">
        <f>$O$327*$AA$327</f>
        <v>359.28259485825981</v>
      </c>
    </row>
    <row r="328" spans="1:33" ht="11.25" customHeight="1" x14ac:dyDescent="0.25">
      <c r="A328" s="3" t="s">
        <v>28</v>
      </c>
      <c r="B328" s="3" t="s">
        <v>39</v>
      </c>
      <c r="C328" s="3" t="s">
        <v>41</v>
      </c>
      <c r="D328" s="3" t="s">
        <v>38</v>
      </c>
      <c r="E328" s="3" t="s">
        <v>25</v>
      </c>
      <c r="F328" s="3" t="s">
        <v>25</v>
      </c>
      <c r="G328" s="3" t="s">
        <v>25</v>
      </c>
      <c r="H328" s="3" t="s">
        <v>35</v>
      </c>
      <c r="I328" s="6">
        <v>44682</v>
      </c>
      <c r="J328" s="4">
        <v>0</v>
      </c>
      <c r="K328" s="4">
        <v>0</v>
      </c>
      <c r="L328" s="4">
        <v>184.15600000000001</v>
      </c>
      <c r="M328" s="4">
        <v>184.15600000000001</v>
      </c>
      <c r="N328" s="4">
        <v>184.15600000000001</v>
      </c>
      <c r="O328" s="4">
        <v>184.15600000000001</v>
      </c>
      <c r="P328" s="4">
        <v>0</v>
      </c>
      <c r="Q328" s="3" t="s">
        <v>26</v>
      </c>
      <c r="R328" s="3">
        <v>0</v>
      </c>
      <c r="S328" s="4">
        <v>0</v>
      </c>
      <c r="T328" s="4">
        <v>31</v>
      </c>
      <c r="U328" s="4">
        <v>59</v>
      </c>
      <c r="V328" s="4">
        <f>IF(ISERROR(VLOOKUP($S$328,'TAR FIN'!$A$1:$O$92,15,0)),0,VLOOKUP($S$328,'TAR FIN'!$A$1:$O$92,15,0))</f>
        <v>0</v>
      </c>
      <c r="W328" s="4">
        <f>IF(ISERROR(VLOOKUP($T$328,'TAR FIN'!$A$1:$O$92,15,0)),0,VLOOKUP($T$328,'TAR FIN'!$A$1:$O$92,15,0))</f>
        <v>87.73</v>
      </c>
      <c r="X328" s="4">
        <f>IF(ISERROR(VLOOKUP($U$328,'TAR FIN'!$A$1:$O$92,15,0)),0,VLOOKUP($U$328,'TAR FIN'!$A$1:$O$92,15,0))</f>
        <v>253.9</v>
      </c>
      <c r="Y328" s="4"/>
      <c r="Z328" s="4">
        <f ca="1">('TUSD BE'!$AM$12+'TUSD BF'!$AM$12+'TUSD CVA'!$AM$12)*1</f>
        <v>109.44196476324252</v>
      </c>
      <c r="AA328" s="4">
        <f>('TE BE'!$AB$6+'TE BF'!$AB$6+'TE CVA'!$AB$6)*1</f>
        <v>317.3874512882154</v>
      </c>
      <c r="AB328" s="4">
        <f>$K$328*$V$328</f>
        <v>0</v>
      </c>
      <c r="AC328" s="4">
        <f>$M$328*$W$328</f>
        <v>16156.005880000001</v>
      </c>
      <c r="AD328" s="4">
        <f>$O$328*$X$328</f>
        <v>46757.208400000003</v>
      </c>
      <c r="AE328" s="4">
        <f>$K$328*$Y$328</f>
        <v>0</v>
      </c>
      <c r="AF328" s="4">
        <f ca="1">$M$328*$Z$328</f>
        <v>20154.39446293969</v>
      </c>
      <c r="AG328" s="4">
        <f>$O$328*$AA$328</f>
        <v>58448.803479432594</v>
      </c>
    </row>
    <row r="329" spans="1:33" ht="11.25" customHeight="1" x14ac:dyDescent="0.25">
      <c r="A329" s="3" t="s">
        <v>21</v>
      </c>
      <c r="B329" s="3" t="s">
        <v>39</v>
      </c>
      <c r="C329" s="3" t="s">
        <v>41</v>
      </c>
      <c r="D329" s="3" t="s">
        <v>38</v>
      </c>
      <c r="E329" s="3" t="s">
        <v>25</v>
      </c>
      <c r="F329" s="3" t="s">
        <v>25</v>
      </c>
      <c r="G329" s="3" t="s">
        <v>25</v>
      </c>
      <c r="H329" s="3" t="s">
        <v>35</v>
      </c>
      <c r="I329" s="6">
        <v>44713</v>
      </c>
      <c r="J329" s="4">
        <v>0</v>
      </c>
      <c r="K329" s="4">
        <v>0</v>
      </c>
      <c r="L329" s="4">
        <v>1032.2460000000001</v>
      </c>
      <c r="M329" s="4">
        <v>1032.2460000000001</v>
      </c>
      <c r="N329" s="4">
        <v>1032.2460000000001</v>
      </c>
      <c r="O329" s="4">
        <v>1032.2460000000001</v>
      </c>
      <c r="P329" s="4">
        <v>0</v>
      </c>
      <c r="Q329" s="3" t="s">
        <v>26</v>
      </c>
      <c r="R329" s="3">
        <v>0</v>
      </c>
      <c r="S329" s="4">
        <v>0</v>
      </c>
      <c r="T329" s="4">
        <v>31</v>
      </c>
      <c r="U329" s="4">
        <v>59</v>
      </c>
      <c r="V329" s="4">
        <f>IF(ISERROR(VLOOKUP($S$329,'TAR FIN'!$A$1:$O$92,15,0)),0,VLOOKUP($S$329,'TAR FIN'!$A$1:$O$92,15,0))</f>
        <v>0</v>
      </c>
      <c r="W329" s="4">
        <f>IF(ISERROR(VLOOKUP($T$329,'TAR FIN'!$A$1:$O$92,15,0)),0,VLOOKUP($T$329,'TAR FIN'!$A$1:$O$92,15,0))</f>
        <v>87.73</v>
      </c>
      <c r="X329" s="4">
        <f>IF(ISERROR(VLOOKUP($U$329,'TAR FIN'!$A$1:$O$92,15,0)),0,VLOOKUP($U$329,'TAR FIN'!$A$1:$O$92,15,0))</f>
        <v>253.9</v>
      </c>
      <c r="Y329" s="4"/>
      <c r="Z329" s="4">
        <f ca="1">('TUSD BE'!$AM$12+'TUSD BF'!$AM$12+'TUSD CVA'!$AM$12)*1</f>
        <v>109.44196476324252</v>
      </c>
      <c r="AA329" s="4">
        <f>('TE BE'!$AB$6+'TE BF'!$AB$6+'TE CVA'!$AB$6)*1</f>
        <v>317.3874512882154</v>
      </c>
      <c r="AB329" s="4">
        <f>$K$329*$V$329</f>
        <v>0</v>
      </c>
      <c r="AC329" s="4">
        <f>$M$329*$W$329</f>
        <v>90558.941580000013</v>
      </c>
      <c r="AD329" s="4">
        <f>$O$329*$X$329</f>
        <v>262087.25940000004</v>
      </c>
      <c r="AE329" s="4">
        <f>$K$329*$Y$329</f>
        <v>0</v>
      </c>
      <c r="AF329" s="4">
        <f ca="1">$M$329*$Z$329</f>
        <v>112971.03035899805</v>
      </c>
      <c r="AG329" s="4">
        <f>$O$329*$AA$329</f>
        <v>327621.92704245524</v>
      </c>
    </row>
    <row r="330" spans="1:33" ht="11.25" customHeight="1" x14ac:dyDescent="0.25">
      <c r="A330" s="3" t="s">
        <v>28</v>
      </c>
      <c r="B330" s="3" t="s">
        <v>39</v>
      </c>
      <c r="C330" s="3" t="s">
        <v>41</v>
      </c>
      <c r="D330" s="3" t="s">
        <v>38</v>
      </c>
      <c r="E330" s="3" t="s">
        <v>25</v>
      </c>
      <c r="F330" s="3" t="s">
        <v>25</v>
      </c>
      <c r="G330" s="3" t="s">
        <v>25</v>
      </c>
      <c r="H330" s="3" t="s">
        <v>35</v>
      </c>
      <c r="I330" s="6">
        <v>44713</v>
      </c>
      <c r="J330" s="4">
        <v>0</v>
      </c>
      <c r="K330" s="4">
        <v>0</v>
      </c>
      <c r="L330" s="4">
        <v>41.743000000000002</v>
      </c>
      <c r="M330" s="4">
        <v>41.743000000000002</v>
      </c>
      <c r="N330" s="4">
        <v>41.743000000000002</v>
      </c>
      <c r="O330" s="4">
        <v>41.743000000000002</v>
      </c>
      <c r="P330" s="4">
        <v>0</v>
      </c>
      <c r="Q330" s="3" t="s">
        <v>26</v>
      </c>
      <c r="R330" s="3">
        <v>0</v>
      </c>
      <c r="S330" s="4">
        <v>0</v>
      </c>
      <c r="T330" s="4">
        <v>31</v>
      </c>
      <c r="U330" s="4">
        <v>59</v>
      </c>
      <c r="V330" s="4">
        <f>IF(ISERROR(VLOOKUP($S$330,'TAR FIN'!$A$1:$O$92,15,0)),0,VLOOKUP($S$330,'TAR FIN'!$A$1:$O$92,15,0))</f>
        <v>0</v>
      </c>
      <c r="W330" s="4">
        <f>IF(ISERROR(VLOOKUP($T$330,'TAR FIN'!$A$1:$O$92,15,0)),0,VLOOKUP($T$330,'TAR FIN'!$A$1:$O$92,15,0))</f>
        <v>87.73</v>
      </c>
      <c r="X330" s="4">
        <f>IF(ISERROR(VLOOKUP($U$330,'TAR FIN'!$A$1:$O$92,15,0)),0,VLOOKUP($U$330,'TAR FIN'!$A$1:$O$92,15,0))</f>
        <v>253.9</v>
      </c>
      <c r="Y330" s="4"/>
      <c r="Z330" s="4">
        <f ca="1">('TUSD BE'!$AM$12+'TUSD BF'!$AM$12+'TUSD CVA'!$AM$12)*1</f>
        <v>109.44196476324252</v>
      </c>
      <c r="AA330" s="4">
        <f>('TE BE'!$AB$6+'TE BF'!$AB$6+'TE CVA'!$AB$6)*1</f>
        <v>317.3874512882154</v>
      </c>
      <c r="AB330" s="4">
        <f>$K$330*$V$330</f>
        <v>0</v>
      </c>
      <c r="AC330" s="4">
        <f>$M$330*$W$330</f>
        <v>3662.1133900000004</v>
      </c>
      <c r="AD330" s="4">
        <f>$O$330*$X$330</f>
        <v>10598.547700000001</v>
      </c>
      <c r="AE330" s="4">
        <f>$K$330*$Y$330</f>
        <v>0</v>
      </c>
      <c r="AF330" s="4">
        <f ca="1">$M$330*$Z$330</f>
        <v>4568.4359351120329</v>
      </c>
      <c r="AG330" s="4">
        <f>$O$330*$AA$330</f>
        <v>13248.704379123976</v>
      </c>
    </row>
    <row r="331" spans="1:33" ht="11.25" customHeight="1" x14ac:dyDescent="0.25">
      <c r="A331" s="3" t="s">
        <v>21</v>
      </c>
      <c r="B331" s="3" t="s">
        <v>39</v>
      </c>
      <c r="C331" s="3" t="s">
        <v>41</v>
      </c>
      <c r="D331" s="3" t="s">
        <v>38</v>
      </c>
      <c r="E331" s="3" t="s">
        <v>25</v>
      </c>
      <c r="F331" s="3" t="s">
        <v>25</v>
      </c>
      <c r="G331" s="3" t="s">
        <v>25</v>
      </c>
      <c r="H331" s="3" t="s">
        <v>35</v>
      </c>
      <c r="I331" s="6">
        <v>44743</v>
      </c>
      <c r="J331" s="4">
        <v>0</v>
      </c>
      <c r="K331" s="4">
        <v>0</v>
      </c>
      <c r="L331" s="4">
        <v>1069.99</v>
      </c>
      <c r="M331" s="4">
        <v>1069.99</v>
      </c>
      <c r="N331" s="4">
        <v>1069.99</v>
      </c>
      <c r="O331" s="4">
        <v>1069.99</v>
      </c>
      <c r="P331" s="4">
        <v>0</v>
      </c>
      <c r="Q331" s="3" t="s">
        <v>26</v>
      </c>
      <c r="R331" s="3">
        <v>0</v>
      </c>
      <c r="S331" s="4">
        <v>0</v>
      </c>
      <c r="T331" s="4">
        <v>31</v>
      </c>
      <c r="U331" s="4">
        <v>59</v>
      </c>
      <c r="V331" s="4">
        <f>IF(ISERROR(VLOOKUP($S$331,'TAR FIN'!$A$1:$O$92,15,0)),0,VLOOKUP($S$331,'TAR FIN'!$A$1:$O$92,15,0))</f>
        <v>0</v>
      </c>
      <c r="W331" s="4">
        <f>IF(ISERROR(VLOOKUP($T$331,'TAR FIN'!$A$1:$O$92,15,0)),0,VLOOKUP($T$331,'TAR FIN'!$A$1:$O$92,15,0))</f>
        <v>87.73</v>
      </c>
      <c r="X331" s="4">
        <f>IF(ISERROR(VLOOKUP($U$331,'TAR FIN'!$A$1:$O$92,15,0)),0,VLOOKUP($U$331,'TAR FIN'!$A$1:$O$92,15,0))</f>
        <v>253.9</v>
      </c>
      <c r="Y331" s="4"/>
      <c r="Z331" s="4">
        <f ca="1">('TUSD BE'!$AM$12+'TUSD BF'!$AM$12+'TUSD CVA'!$AM$12)*1</f>
        <v>109.44196476324252</v>
      </c>
      <c r="AA331" s="4">
        <f>('TE BE'!$AB$6+'TE BF'!$AB$6+'TE CVA'!$AB$6)*1</f>
        <v>317.3874512882154</v>
      </c>
      <c r="AB331" s="4">
        <f>$K$331*$V$331</f>
        <v>0</v>
      </c>
      <c r="AC331" s="4">
        <f>$M$331*$W$331</f>
        <v>93870.222699999998</v>
      </c>
      <c r="AD331" s="4">
        <f>$O$331*$X$331</f>
        <v>271670.46100000001</v>
      </c>
      <c r="AE331" s="4">
        <f>$K$331*$Y$331</f>
        <v>0</v>
      </c>
      <c r="AF331" s="4">
        <f ca="1">$M$331*$Z$331</f>
        <v>117101.80787702187</v>
      </c>
      <c r="AG331" s="4">
        <f>$O$331*$AA$331</f>
        <v>339601.3990038776</v>
      </c>
    </row>
    <row r="332" spans="1:33" ht="11.25" customHeight="1" x14ac:dyDescent="0.25">
      <c r="A332" s="3" t="s">
        <v>28</v>
      </c>
      <c r="B332" s="3" t="s">
        <v>39</v>
      </c>
      <c r="C332" s="3" t="s">
        <v>41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35</v>
      </c>
      <c r="I332" s="6">
        <v>44743</v>
      </c>
      <c r="J332" s="4">
        <v>0</v>
      </c>
      <c r="K332" s="4">
        <v>0</v>
      </c>
      <c r="L332" s="4">
        <v>38.92</v>
      </c>
      <c r="M332" s="4">
        <v>38.92</v>
      </c>
      <c r="N332" s="4">
        <v>38.92</v>
      </c>
      <c r="O332" s="4">
        <v>38.92</v>
      </c>
      <c r="P332" s="4">
        <v>0</v>
      </c>
      <c r="Q332" s="3" t="s">
        <v>26</v>
      </c>
      <c r="R332" s="3">
        <v>0</v>
      </c>
      <c r="S332" s="4">
        <v>0</v>
      </c>
      <c r="T332" s="4">
        <v>31</v>
      </c>
      <c r="U332" s="4">
        <v>59</v>
      </c>
      <c r="V332" s="4">
        <f>IF(ISERROR(VLOOKUP($S$332,'TAR FIN'!$A$1:$O$92,15,0)),0,VLOOKUP($S$332,'TAR FIN'!$A$1:$O$92,15,0))</f>
        <v>0</v>
      </c>
      <c r="W332" s="4">
        <f>IF(ISERROR(VLOOKUP($T$332,'TAR FIN'!$A$1:$O$92,15,0)),0,VLOOKUP($T$332,'TAR FIN'!$A$1:$O$92,15,0))</f>
        <v>87.73</v>
      </c>
      <c r="X332" s="4">
        <f>IF(ISERROR(VLOOKUP($U$332,'TAR FIN'!$A$1:$O$92,15,0)),0,VLOOKUP($U$332,'TAR FIN'!$A$1:$O$92,15,0))</f>
        <v>253.9</v>
      </c>
      <c r="Y332" s="4"/>
      <c r="Z332" s="4">
        <f ca="1">('TUSD BE'!$AM$12+'TUSD BF'!$AM$12+'TUSD CVA'!$AM$12)*1</f>
        <v>109.44196476324252</v>
      </c>
      <c r="AA332" s="4">
        <f>('TE BE'!$AB$6+'TE BF'!$AB$6+'TE CVA'!$AB$6)*1</f>
        <v>317.3874512882154</v>
      </c>
      <c r="AB332" s="4">
        <f>$K$332*$V$332</f>
        <v>0</v>
      </c>
      <c r="AC332" s="4">
        <f>$M$332*$W$332</f>
        <v>3414.4516000000003</v>
      </c>
      <c r="AD332" s="4">
        <f>$O$332*$X$332</f>
        <v>9881.7880000000005</v>
      </c>
      <c r="AE332" s="4">
        <f>$K$332*$Y$332</f>
        <v>0</v>
      </c>
      <c r="AF332" s="4">
        <f ca="1">$M$332*$Z$332</f>
        <v>4259.4812685853994</v>
      </c>
      <c r="AG332" s="4">
        <f>$O$332*$AA$332</f>
        <v>12352.719604137345</v>
      </c>
    </row>
    <row r="333" spans="1:33" ht="11.25" customHeight="1" x14ac:dyDescent="0.25">
      <c r="A333" s="3" t="s">
        <v>21</v>
      </c>
      <c r="B333" s="3" t="s">
        <v>39</v>
      </c>
      <c r="C333" s="3" t="s">
        <v>41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35</v>
      </c>
      <c r="I333" s="6">
        <v>44774</v>
      </c>
      <c r="J333" s="4">
        <v>0</v>
      </c>
      <c r="K333" s="4">
        <v>0</v>
      </c>
      <c r="L333" s="4">
        <v>1178.4169999999999</v>
      </c>
      <c r="M333" s="4">
        <v>1178.4169999999999</v>
      </c>
      <c r="N333" s="4">
        <v>1178.4169999999999</v>
      </c>
      <c r="O333" s="4">
        <v>1178.4169999999999</v>
      </c>
      <c r="P333" s="4">
        <v>0</v>
      </c>
      <c r="Q333" s="3" t="s">
        <v>26</v>
      </c>
      <c r="R333" s="3">
        <v>0</v>
      </c>
      <c r="S333" s="4">
        <v>0</v>
      </c>
      <c r="T333" s="4">
        <v>31</v>
      </c>
      <c r="U333" s="4">
        <v>59</v>
      </c>
      <c r="V333" s="4">
        <f>IF(ISERROR(VLOOKUP($S$333,'TAR FIN'!$A$1:$O$92,15,0)),0,VLOOKUP($S$333,'TAR FIN'!$A$1:$O$92,15,0))</f>
        <v>0</v>
      </c>
      <c r="W333" s="4">
        <f>IF(ISERROR(VLOOKUP($T$333,'TAR FIN'!$A$1:$O$92,15,0)),0,VLOOKUP($T$333,'TAR FIN'!$A$1:$O$92,15,0))</f>
        <v>87.73</v>
      </c>
      <c r="X333" s="4">
        <f>IF(ISERROR(VLOOKUP($U$333,'TAR FIN'!$A$1:$O$92,15,0)),0,VLOOKUP($U$333,'TAR FIN'!$A$1:$O$92,15,0))</f>
        <v>253.9</v>
      </c>
      <c r="Y333" s="4"/>
      <c r="Z333" s="4">
        <f ca="1">('TUSD BE'!$AM$12+'TUSD BF'!$AM$12+'TUSD CVA'!$AM$12)*1</f>
        <v>109.44196476324252</v>
      </c>
      <c r="AA333" s="4">
        <f>('TE BE'!$AB$6+'TE BF'!$AB$6+'TE CVA'!$AB$6)*1</f>
        <v>317.3874512882154</v>
      </c>
      <c r="AB333" s="4">
        <f>$K$333*$V$333</f>
        <v>0</v>
      </c>
      <c r="AC333" s="4">
        <f>$M$333*$W$333</f>
        <v>103382.52340999999</v>
      </c>
      <c r="AD333" s="4">
        <f>$O$333*$X$333</f>
        <v>299200.07629999996</v>
      </c>
      <c r="AE333" s="4">
        <f>$K$333*$Y$333</f>
        <v>0</v>
      </c>
      <c r="AF333" s="4">
        <f ca="1">$M$333*$Z$333</f>
        <v>128968.27179040595</v>
      </c>
      <c r="AG333" s="4">
        <f>$O$333*$AA$333</f>
        <v>374014.76818470488</v>
      </c>
    </row>
    <row r="334" spans="1:33" ht="11.25" customHeight="1" x14ac:dyDescent="0.25">
      <c r="A334" s="3" t="s">
        <v>28</v>
      </c>
      <c r="B334" s="3" t="s">
        <v>39</v>
      </c>
      <c r="C334" s="3" t="s">
        <v>41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35</v>
      </c>
      <c r="I334" s="6">
        <v>44774</v>
      </c>
      <c r="J334" s="4">
        <v>0</v>
      </c>
      <c r="K334" s="4">
        <v>0</v>
      </c>
      <c r="L334" s="4">
        <v>40.853999999999999</v>
      </c>
      <c r="M334" s="4">
        <v>40.853999999999999</v>
      </c>
      <c r="N334" s="4">
        <v>40.853999999999999</v>
      </c>
      <c r="O334" s="4">
        <v>40.853999999999999</v>
      </c>
      <c r="P334" s="4">
        <v>0</v>
      </c>
      <c r="Q334" s="3" t="s">
        <v>26</v>
      </c>
      <c r="R334" s="3">
        <v>0</v>
      </c>
      <c r="S334" s="4">
        <v>0</v>
      </c>
      <c r="T334" s="4">
        <v>31</v>
      </c>
      <c r="U334" s="4">
        <v>59</v>
      </c>
      <c r="V334" s="4">
        <f>IF(ISERROR(VLOOKUP($S$334,'TAR FIN'!$A$1:$O$92,15,0)),0,VLOOKUP($S$334,'TAR FIN'!$A$1:$O$92,15,0))</f>
        <v>0</v>
      </c>
      <c r="W334" s="4">
        <f>IF(ISERROR(VLOOKUP($T$334,'TAR FIN'!$A$1:$O$92,15,0)),0,VLOOKUP($T$334,'TAR FIN'!$A$1:$O$92,15,0))</f>
        <v>87.73</v>
      </c>
      <c r="X334" s="4">
        <f>IF(ISERROR(VLOOKUP($U$334,'TAR FIN'!$A$1:$O$92,15,0)),0,VLOOKUP($U$334,'TAR FIN'!$A$1:$O$92,15,0))</f>
        <v>253.9</v>
      </c>
      <c r="Y334" s="4"/>
      <c r="Z334" s="4">
        <f ca="1">('TUSD BE'!$AM$12+'TUSD BF'!$AM$12+'TUSD CVA'!$AM$12)*1</f>
        <v>109.44196476324252</v>
      </c>
      <c r="AA334" s="4">
        <f>('TE BE'!$AB$6+'TE BF'!$AB$6+'TE CVA'!$AB$6)*1</f>
        <v>317.3874512882154</v>
      </c>
      <c r="AB334" s="4">
        <f>$K$334*$V$334</f>
        <v>0</v>
      </c>
      <c r="AC334" s="4">
        <f>$M$334*$W$334</f>
        <v>3584.1214199999999</v>
      </c>
      <c r="AD334" s="4">
        <f>$O$334*$X$334</f>
        <v>10372.830599999999</v>
      </c>
      <c r="AE334" s="4">
        <f>$K$334*$Y$334</f>
        <v>0</v>
      </c>
      <c r="AF334" s="4">
        <f ca="1">$M$334*$Z$334</f>
        <v>4471.1420284375099</v>
      </c>
      <c r="AG334" s="4">
        <f>$O$334*$AA$334</f>
        <v>12966.546934928752</v>
      </c>
    </row>
    <row r="335" spans="1:33" ht="11.25" customHeight="1" x14ac:dyDescent="0.25">
      <c r="A335" s="3" t="s">
        <v>21</v>
      </c>
      <c r="B335" s="3" t="s">
        <v>39</v>
      </c>
      <c r="C335" s="3" t="s">
        <v>41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35</v>
      </c>
      <c r="I335" s="6">
        <v>44805</v>
      </c>
      <c r="J335" s="4">
        <v>0</v>
      </c>
      <c r="K335" s="4">
        <v>0</v>
      </c>
      <c r="L335" s="4">
        <v>1164.867</v>
      </c>
      <c r="M335" s="4">
        <v>1164.867</v>
      </c>
      <c r="N335" s="4">
        <v>1164.867</v>
      </c>
      <c r="O335" s="4">
        <v>1164.867</v>
      </c>
      <c r="P335" s="4">
        <v>0</v>
      </c>
      <c r="Q335" s="3" t="s">
        <v>26</v>
      </c>
      <c r="R335" s="3">
        <v>0</v>
      </c>
      <c r="S335" s="4">
        <v>0</v>
      </c>
      <c r="T335" s="4">
        <v>31</v>
      </c>
      <c r="U335" s="4">
        <v>59</v>
      </c>
      <c r="V335" s="4">
        <f>IF(ISERROR(VLOOKUP($S$335,'TAR FIN'!$A$1:$O$92,15,0)),0,VLOOKUP($S$335,'TAR FIN'!$A$1:$O$92,15,0))</f>
        <v>0</v>
      </c>
      <c r="W335" s="4">
        <f>IF(ISERROR(VLOOKUP($T$335,'TAR FIN'!$A$1:$O$92,15,0)),0,VLOOKUP($T$335,'TAR FIN'!$A$1:$O$92,15,0))</f>
        <v>87.73</v>
      </c>
      <c r="X335" s="4">
        <f>IF(ISERROR(VLOOKUP($U$335,'TAR FIN'!$A$1:$O$92,15,0)),0,VLOOKUP($U$335,'TAR FIN'!$A$1:$O$92,15,0))</f>
        <v>253.9</v>
      </c>
      <c r="Y335" s="4"/>
      <c r="Z335" s="4">
        <f ca="1">('TUSD BE'!$AM$12+'TUSD BF'!$AM$12+'TUSD CVA'!$AM$12)*1</f>
        <v>109.44196476324252</v>
      </c>
      <c r="AA335" s="4">
        <f>('TE BE'!$AB$6+'TE BF'!$AB$6+'TE CVA'!$AB$6)*1</f>
        <v>317.3874512882154</v>
      </c>
      <c r="AB335" s="4">
        <f>$K$335*$V$335</f>
        <v>0</v>
      </c>
      <c r="AC335" s="4">
        <f>$M$335*$W$335</f>
        <v>102193.78191000001</v>
      </c>
      <c r="AD335" s="4">
        <f>$O$335*$X$335</f>
        <v>295759.73129999998</v>
      </c>
      <c r="AE335" s="4">
        <f>$K$335*$Y$335</f>
        <v>0</v>
      </c>
      <c r="AF335" s="4">
        <f ca="1">$M$335*$Z$335</f>
        <v>127485.33316786402</v>
      </c>
      <c r="AG335" s="4">
        <f>$O$335*$AA$335</f>
        <v>369714.16821974958</v>
      </c>
    </row>
    <row r="336" spans="1:33" ht="11.25" customHeight="1" x14ac:dyDescent="0.25">
      <c r="A336" s="3" t="s">
        <v>28</v>
      </c>
      <c r="B336" s="3" t="s">
        <v>39</v>
      </c>
      <c r="C336" s="3" t="s">
        <v>41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35</v>
      </c>
      <c r="I336" s="6">
        <v>44805</v>
      </c>
      <c r="J336" s="4">
        <v>0</v>
      </c>
      <c r="K336" s="4">
        <v>0</v>
      </c>
      <c r="L336" s="4">
        <v>39.356999999999999</v>
      </c>
      <c r="M336" s="4">
        <v>39.356999999999999</v>
      </c>
      <c r="N336" s="4">
        <v>39.356999999999999</v>
      </c>
      <c r="O336" s="4">
        <v>39.356999999999999</v>
      </c>
      <c r="P336" s="4">
        <v>0</v>
      </c>
      <c r="Q336" s="3" t="s">
        <v>26</v>
      </c>
      <c r="R336" s="3">
        <v>0</v>
      </c>
      <c r="S336" s="4">
        <v>0</v>
      </c>
      <c r="T336" s="4">
        <v>31</v>
      </c>
      <c r="U336" s="4">
        <v>59</v>
      </c>
      <c r="V336" s="4">
        <f>IF(ISERROR(VLOOKUP($S$336,'TAR FIN'!$A$1:$O$92,15,0)),0,VLOOKUP($S$336,'TAR FIN'!$A$1:$O$92,15,0))</f>
        <v>0</v>
      </c>
      <c r="W336" s="4">
        <f>IF(ISERROR(VLOOKUP($T$336,'TAR FIN'!$A$1:$O$92,15,0)),0,VLOOKUP($T$336,'TAR FIN'!$A$1:$O$92,15,0))</f>
        <v>87.73</v>
      </c>
      <c r="X336" s="4">
        <f>IF(ISERROR(VLOOKUP($U$336,'TAR FIN'!$A$1:$O$92,15,0)),0,VLOOKUP($U$336,'TAR FIN'!$A$1:$O$92,15,0))</f>
        <v>253.9</v>
      </c>
      <c r="Y336" s="4"/>
      <c r="Z336" s="4">
        <f ca="1">('TUSD BE'!$AM$12+'TUSD BF'!$AM$12+'TUSD CVA'!$AM$12)*1</f>
        <v>109.44196476324252</v>
      </c>
      <c r="AA336" s="4">
        <f>('TE BE'!$AB$6+'TE BF'!$AB$6+'TE CVA'!$AB$6)*1</f>
        <v>317.3874512882154</v>
      </c>
      <c r="AB336" s="4">
        <f>$K$336*$V$336</f>
        <v>0</v>
      </c>
      <c r="AC336" s="4">
        <f>$M$336*$W$336</f>
        <v>3452.7896100000003</v>
      </c>
      <c r="AD336" s="4">
        <f>$O$336*$X$336</f>
        <v>9992.7422999999999</v>
      </c>
      <c r="AE336" s="4">
        <f>$K$336*$Y$336</f>
        <v>0</v>
      </c>
      <c r="AF336" s="4">
        <f ca="1">$M$336*$Z$336</f>
        <v>4307.307407186936</v>
      </c>
      <c r="AG336" s="4">
        <f>$O$336*$AA$336</f>
        <v>12491.417920350294</v>
      </c>
    </row>
    <row r="337" spans="1:33" ht="11.25" customHeight="1" x14ac:dyDescent="0.25">
      <c r="A337" s="3" t="s">
        <v>55</v>
      </c>
      <c r="B337" s="3" t="s">
        <v>39</v>
      </c>
      <c r="C337" s="3" t="s">
        <v>41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35</v>
      </c>
      <c r="I337" s="6">
        <v>44835</v>
      </c>
      <c r="J337" s="4">
        <v>0</v>
      </c>
      <c r="K337" s="4">
        <v>0</v>
      </c>
      <c r="L337" s="4">
        <v>1164.867</v>
      </c>
      <c r="M337" s="4">
        <v>1164.867</v>
      </c>
      <c r="N337" s="4">
        <v>1164.867</v>
      </c>
      <c r="O337" s="4">
        <v>1164.867</v>
      </c>
      <c r="P337" s="4">
        <v>0</v>
      </c>
      <c r="Q337" s="3" t="s">
        <v>26</v>
      </c>
      <c r="R337" s="3">
        <v>0</v>
      </c>
      <c r="S337" s="4">
        <v>0</v>
      </c>
      <c r="T337" s="4">
        <v>31</v>
      </c>
      <c r="U337" s="4">
        <v>59</v>
      </c>
      <c r="V337" s="4">
        <f>IF(ISERROR(VLOOKUP($S$337,'TAR FIN'!$A$1:$O$92,15,0)),0,VLOOKUP($S$337,'TAR FIN'!$A$1:$O$92,15,0))</f>
        <v>0</v>
      </c>
      <c r="W337" s="4">
        <f>IF(ISERROR(VLOOKUP($T$337,'TAR FIN'!$A$1:$O$92,15,0)),0,VLOOKUP($T$337,'TAR FIN'!$A$1:$O$92,15,0))</f>
        <v>87.73</v>
      </c>
      <c r="X337" s="4">
        <f>IF(ISERROR(VLOOKUP($U$337,'TAR FIN'!$A$1:$O$92,15,0)),0,VLOOKUP($U$337,'TAR FIN'!$A$1:$O$92,15,0))</f>
        <v>253.9</v>
      </c>
      <c r="Y337" s="4"/>
      <c r="Z337" s="4">
        <f ca="1">('TUSD BE'!$AM$12+'TUSD BF'!$AM$12+'TUSD CVA'!$AM$12)*1</f>
        <v>109.44196476324252</v>
      </c>
      <c r="AA337" s="4">
        <f>('TE BE'!$AB$6+'TE BF'!$AB$6+'TE CVA'!$AB$6)*1</f>
        <v>317.3874512882154</v>
      </c>
      <c r="AB337" s="4">
        <f>$K$337*$V$337</f>
        <v>0</v>
      </c>
      <c r="AC337" s="4">
        <f>$M$337*$W$337</f>
        <v>102193.78191000001</v>
      </c>
      <c r="AD337" s="4">
        <f>$O$337*$X$337</f>
        <v>295759.73129999998</v>
      </c>
      <c r="AE337" s="4">
        <f>$K$337*$Y$337</f>
        <v>0</v>
      </c>
      <c r="AF337" s="4">
        <f ca="1">$M$337*$Z$337</f>
        <v>127485.33316786402</v>
      </c>
      <c r="AG337" s="4">
        <f>$O$337*$AA$337</f>
        <v>369714.16821974958</v>
      </c>
    </row>
    <row r="338" spans="1:33" ht="11.25" customHeight="1" x14ac:dyDescent="0.25">
      <c r="A338" s="3" t="s">
        <v>55</v>
      </c>
      <c r="B338" s="3" t="s">
        <v>39</v>
      </c>
      <c r="C338" s="3" t="s">
        <v>41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35</v>
      </c>
      <c r="I338" s="6">
        <v>44835</v>
      </c>
      <c r="J338" s="4">
        <v>0</v>
      </c>
      <c r="K338" s="4">
        <v>0</v>
      </c>
      <c r="L338" s="4">
        <v>39.356999999999999</v>
      </c>
      <c r="M338" s="4">
        <v>39.356999999999999</v>
      </c>
      <c r="N338" s="4">
        <v>39.356999999999999</v>
      </c>
      <c r="O338" s="4">
        <v>39.356999999999999</v>
      </c>
      <c r="P338" s="4">
        <v>0</v>
      </c>
      <c r="Q338" s="3" t="s">
        <v>26</v>
      </c>
      <c r="R338" s="3">
        <v>0</v>
      </c>
      <c r="S338" s="4">
        <v>0</v>
      </c>
      <c r="T338" s="4">
        <v>31</v>
      </c>
      <c r="U338" s="4">
        <v>59</v>
      </c>
      <c r="V338" s="4">
        <f>IF(ISERROR(VLOOKUP($S$338,'TAR FIN'!$A$1:$O$92,15,0)),0,VLOOKUP($S$338,'TAR FIN'!$A$1:$O$92,15,0))</f>
        <v>0</v>
      </c>
      <c r="W338" s="4">
        <f>IF(ISERROR(VLOOKUP($T$338,'TAR FIN'!$A$1:$O$92,15,0)),0,VLOOKUP($T$338,'TAR FIN'!$A$1:$O$92,15,0))</f>
        <v>87.73</v>
      </c>
      <c r="X338" s="4">
        <f>IF(ISERROR(VLOOKUP($U$338,'TAR FIN'!$A$1:$O$92,15,0)),0,VLOOKUP($U$338,'TAR FIN'!$A$1:$O$92,15,0))</f>
        <v>253.9</v>
      </c>
      <c r="Y338" s="4"/>
      <c r="Z338" s="4">
        <f ca="1">('TUSD BE'!$AM$12+'TUSD BF'!$AM$12+'TUSD CVA'!$AM$12)*1</f>
        <v>109.44196476324252</v>
      </c>
      <c r="AA338" s="4">
        <f>('TE BE'!$AB$6+'TE BF'!$AB$6+'TE CVA'!$AB$6)*1</f>
        <v>317.3874512882154</v>
      </c>
      <c r="AB338" s="4">
        <f>$K$338*$V$338</f>
        <v>0</v>
      </c>
      <c r="AC338" s="4">
        <f>$M$338*$W$338</f>
        <v>3452.7896100000003</v>
      </c>
      <c r="AD338" s="4">
        <f>$O$338*$X$338</f>
        <v>9992.7422999999999</v>
      </c>
      <c r="AE338" s="4">
        <f>$K$338*$Y$338</f>
        <v>0</v>
      </c>
      <c r="AF338" s="4">
        <f ca="1">$M$338*$Z$338</f>
        <v>4307.307407186936</v>
      </c>
      <c r="AG338" s="4">
        <f>$O$338*$AA$338</f>
        <v>12491.417920350294</v>
      </c>
    </row>
    <row r="339" spans="1:33" ht="11.25" customHeight="1" x14ac:dyDescent="0.25">
      <c r="A339" s="3" t="s">
        <v>21</v>
      </c>
      <c r="B339" s="3" t="s">
        <v>39</v>
      </c>
      <c r="C339" s="3" t="s">
        <v>41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10275</v>
      </c>
      <c r="K339" s="4">
        <v>10275</v>
      </c>
      <c r="L339" s="4">
        <v>0</v>
      </c>
      <c r="M339" s="4">
        <v>0</v>
      </c>
      <c r="N339" s="4">
        <v>0</v>
      </c>
      <c r="O339" s="4">
        <v>0</v>
      </c>
      <c r="P339" s="4">
        <v>62</v>
      </c>
      <c r="Q339" s="3" t="s">
        <v>26</v>
      </c>
      <c r="R339" s="3">
        <v>0</v>
      </c>
      <c r="S339" s="4">
        <v>18</v>
      </c>
      <c r="T339" s="4">
        <v>0</v>
      </c>
      <c r="U339" s="4">
        <v>0</v>
      </c>
      <c r="V339" s="4">
        <f>IF(ISERROR(VLOOKUP($S$339,'TAR FIN'!$A$1:$O$92,15,0)),0,VLOOKUP($S$339,'TAR FIN'!$A$1:$O$92,15,0))</f>
        <v>14.64</v>
      </c>
      <c r="W339" s="4">
        <f>IF(ISERROR(VLOOKUP($T$339,'TAR FIN'!$A$1:$O$92,15,0)),0,VLOOKUP($T$339,'TAR FIN'!$A$1:$O$92,15,0))</f>
        <v>0</v>
      </c>
      <c r="X339" s="4">
        <f>IF(ISERROR(VLOOKUP($U$339,'TAR FIN'!$A$1:$O$92,15,0)),0,VLOOKUP($U$339,'TAR FIN'!$A$1:$O$92,15,0))</f>
        <v>0</v>
      </c>
      <c r="Y339" s="4">
        <f ca="1">('TUSD BE'!$AM$10+'TUSD BF'!$AM$10+'TUSD CVA'!$AM$10)*1</f>
        <v>19.024476785546895</v>
      </c>
      <c r="Z339" s="4"/>
      <c r="AA339" s="4"/>
      <c r="AB339" s="4">
        <f>$K$339*$V$339</f>
        <v>150426</v>
      </c>
      <c r="AC339" s="4">
        <f>$M$339*$W$339</f>
        <v>0</v>
      </c>
      <c r="AD339" s="4">
        <f>$O$339*$X$339</f>
        <v>0</v>
      </c>
      <c r="AE339" s="4">
        <f ca="1">$K$339*$Y$339</f>
        <v>195476.49897149435</v>
      </c>
      <c r="AF339" s="4">
        <f>$M$339*$Z$339</f>
        <v>0</v>
      </c>
      <c r="AG339" s="4">
        <f>$O$339*$AA$339</f>
        <v>0</v>
      </c>
    </row>
    <row r="340" spans="1:33" ht="11.25" customHeight="1" x14ac:dyDescent="0.25">
      <c r="A340" s="3" t="s">
        <v>27</v>
      </c>
      <c r="B340" s="3" t="s">
        <v>39</v>
      </c>
      <c r="C340" s="3" t="s">
        <v>41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25</v>
      </c>
      <c r="I340" s="6">
        <v>44501</v>
      </c>
      <c r="J340" s="4">
        <v>-75</v>
      </c>
      <c r="K340" s="4">
        <v>-75</v>
      </c>
      <c r="L340" s="4">
        <v>0</v>
      </c>
      <c r="M340" s="4">
        <v>0</v>
      </c>
      <c r="N340" s="4">
        <v>0</v>
      </c>
      <c r="O340" s="4">
        <v>0</v>
      </c>
      <c r="P340" s="4">
        <v>-1</v>
      </c>
      <c r="Q340" s="3" t="s">
        <v>26</v>
      </c>
      <c r="R340" s="3">
        <v>0</v>
      </c>
      <c r="S340" s="4">
        <v>18</v>
      </c>
      <c r="T340" s="4">
        <v>0</v>
      </c>
      <c r="U340" s="4">
        <v>0</v>
      </c>
      <c r="V340" s="4">
        <f>IF(ISERROR(VLOOKUP($S$340,'TAR FIN'!$A$1:$O$92,15,0)),0,VLOOKUP($S$340,'TAR FIN'!$A$1:$O$92,15,0))</f>
        <v>14.64</v>
      </c>
      <c r="W340" s="4">
        <f>IF(ISERROR(VLOOKUP($T$340,'TAR FIN'!$A$1:$O$92,15,0)),0,VLOOKUP($T$340,'TAR FIN'!$A$1:$O$92,15,0))</f>
        <v>0</v>
      </c>
      <c r="X340" s="4">
        <f>IF(ISERROR(VLOOKUP($U$340,'TAR FIN'!$A$1:$O$92,15,0)),0,VLOOKUP($U$340,'TAR FIN'!$A$1:$O$92,15,0))</f>
        <v>0</v>
      </c>
      <c r="Y340" s="4">
        <f ca="1">('TUSD BE'!$AM$10+'TUSD BF'!$AM$10+'TUSD CVA'!$AM$10)*1</f>
        <v>19.024476785546895</v>
      </c>
      <c r="Z340" s="4"/>
      <c r="AA340" s="4"/>
      <c r="AB340" s="4">
        <f>$K$340*$V$340</f>
        <v>-1098</v>
      </c>
      <c r="AC340" s="4">
        <f>$M$340*$W$340</f>
        <v>0</v>
      </c>
      <c r="AD340" s="4">
        <f>$O$340*$X$340</f>
        <v>0</v>
      </c>
      <c r="AE340" s="4">
        <f ca="1">$K$340*$Y$340</f>
        <v>-1426.8357589160171</v>
      </c>
      <c r="AF340" s="4">
        <f>$M$340*$Z$340</f>
        <v>0</v>
      </c>
      <c r="AG340" s="4">
        <f>$O$340*$AA$340</f>
        <v>0</v>
      </c>
    </row>
    <row r="341" spans="1:33" ht="11.25" customHeight="1" x14ac:dyDescent="0.25">
      <c r="A341" s="3" t="s">
        <v>28</v>
      </c>
      <c r="B341" s="3" t="s">
        <v>39</v>
      </c>
      <c r="C341" s="3" t="s">
        <v>41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25</v>
      </c>
      <c r="I341" s="6">
        <v>44501</v>
      </c>
      <c r="J341" s="4">
        <v>449</v>
      </c>
      <c r="K341" s="4">
        <v>449</v>
      </c>
      <c r="L341" s="4">
        <v>0</v>
      </c>
      <c r="M341" s="4">
        <v>0</v>
      </c>
      <c r="N341" s="4">
        <v>0</v>
      </c>
      <c r="O341" s="4">
        <v>0</v>
      </c>
      <c r="P341" s="4">
        <v>3</v>
      </c>
      <c r="Q341" s="3" t="s">
        <v>26</v>
      </c>
      <c r="R341" s="3">
        <v>0</v>
      </c>
      <c r="S341" s="4">
        <v>18</v>
      </c>
      <c r="T341" s="4">
        <v>0</v>
      </c>
      <c r="U341" s="4">
        <v>0</v>
      </c>
      <c r="V341" s="4">
        <f>IF(ISERROR(VLOOKUP($S$341,'TAR FIN'!$A$1:$O$92,15,0)),0,VLOOKUP($S$341,'TAR FIN'!$A$1:$O$92,15,0))</f>
        <v>14.64</v>
      </c>
      <c r="W341" s="4">
        <f>IF(ISERROR(VLOOKUP($T$341,'TAR FIN'!$A$1:$O$92,15,0)),0,VLOOKUP($T$341,'TAR FIN'!$A$1:$O$92,15,0))</f>
        <v>0</v>
      </c>
      <c r="X341" s="4">
        <f>IF(ISERROR(VLOOKUP($U$341,'TAR FIN'!$A$1:$O$92,15,0)),0,VLOOKUP($U$341,'TAR FIN'!$A$1:$O$92,15,0))</f>
        <v>0</v>
      </c>
      <c r="Y341" s="4">
        <f ca="1">('TUSD BE'!$AM$10+'TUSD BF'!$AM$10+'TUSD CVA'!$AM$10)*1</f>
        <v>19.024476785546895</v>
      </c>
      <c r="Z341" s="4"/>
      <c r="AA341" s="4"/>
      <c r="AB341" s="4">
        <f>$K$341*$V$341</f>
        <v>6573.3600000000006</v>
      </c>
      <c r="AC341" s="4">
        <f>$M$341*$W$341</f>
        <v>0</v>
      </c>
      <c r="AD341" s="4">
        <f>$O$341*$X$341</f>
        <v>0</v>
      </c>
      <c r="AE341" s="4">
        <f ca="1">$K$341*$Y$341</f>
        <v>8541.9900767105555</v>
      </c>
      <c r="AF341" s="4">
        <f>$M$341*$Z$341</f>
        <v>0</v>
      </c>
      <c r="AG341" s="4">
        <f>$O$341*$AA$341</f>
        <v>0</v>
      </c>
    </row>
    <row r="342" spans="1:33" ht="11.25" customHeight="1" x14ac:dyDescent="0.25">
      <c r="A342" s="3" t="s">
        <v>21</v>
      </c>
      <c r="B342" s="3" t="s">
        <v>39</v>
      </c>
      <c r="C342" s="3" t="s">
        <v>41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25</v>
      </c>
      <c r="I342" s="6">
        <v>44531</v>
      </c>
      <c r="J342" s="4">
        <v>9610</v>
      </c>
      <c r="K342" s="4">
        <v>9610</v>
      </c>
      <c r="L342" s="4">
        <v>0</v>
      </c>
      <c r="M342" s="4">
        <v>0</v>
      </c>
      <c r="N342" s="4">
        <v>0</v>
      </c>
      <c r="O342" s="4">
        <v>0</v>
      </c>
      <c r="P342" s="4">
        <v>63</v>
      </c>
      <c r="Q342" s="3" t="s">
        <v>26</v>
      </c>
      <c r="R342" s="3">
        <v>0</v>
      </c>
      <c r="S342" s="4">
        <v>18</v>
      </c>
      <c r="T342" s="4">
        <v>0</v>
      </c>
      <c r="U342" s="4">
        <v>0</v>
      </c>
      <c r="V342" s="4">
        <f>IF(ISERROR(VLOOKUP($S$342,'TAR FIN'!$A$1:$O$92,15,0)),0,VLOOKUP($S$342,'TAR FIN'!$A$1:$O$92,15,0))</f>
        <v>14.64</v>
      </c>
      <c r="W342" s="4">
        <f>IF(ISERROR(VLOOKUP($T$342,'TAR FIN'!$A$1:$O$92,15,0)),0,VLOOKUP($T$342,'TAR FIN'!$A$1:$O$92,15,0))</f>
        <v>0</v>
      </c>
      <c r="X342" s="4">
        <f>IF(ISERROR(VLOOKUP($U$342,'TAR FIN'!$A$1:$O$92,15,0)),0,VLOOKUP($U$342,'TAR FIN'!$A$1:$O$92,15,0))</f>
        <v>0</v>
      </c>
      <c r="Y342" s="4">
        <f ca="1">('TUSD BE'!$AM$10+'TUSD BF'!$AM$10+'TUSD CVA'!$AM$10)*1</f>
        <v>19.024476785546895</v>
      </c>
      <c r="Z342" s="4"/>
      <c r="AA342" s="4"/>
      <c r="AB342" s="4">
        <f>$K$342*$V$342</f>
        <v>140690.4</v>
      </c>
      <c r="AC342" s="4">
        <f>$M$342*$W$342</f>
        <v>0</v>
      </c>
      <c r="AD342" s="4">
        <f>$O$342*$X$342</f>
        <v>0</v>
      </c>
      <c r="AE342" s="4">
        <f ca="1">$K$342*$Y$342</f>
        <v>182825.22190910566</v>
      </c>
      <c r="AF342" s="4">
        <f>$M$342*$Z$342</f>
        <v>0</v>
      </c>
      <c r="AG342" s="4">
        <f>$O$342*$AA$342</f>
        <v>0</v>
      </c>
    </row>
    <row r="343" spans="1:33" ht="11.25" customHeight="1" x14ac:dyDescent="0.25">
      <c r="A343" s="3" t="s">
        <v>27</v>
      </c>
      <c r="B343" s="3" t="s">
        <v>39</v>
      </c>
      <c r="C343" s="3" t="s">
        <v>41</v>
      </c>
      <c r="D343" s="3" t="s">
        <v>38</v>
      </c>
      <c r="E343" s="3" t="s">
        <v>25</v>
      </c>
      <c r="F343" s="3" t="s">
        <v>25</v>
      </c>
      <c r="G343" s="3" t="s">
        <v>25</v>
      </c>
      <c r="H343" s="3" t="s">
        <v>25</v>
      </c>
      <c r="I343" s="6">
        <v>44531</v>
      </c>
      <c r="J343" s="4">
        <v>-763</v>
      </c>
      <c r="K343" s="4">
        <v>-763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3" t="s">
        <v>26</v>
      </c>
      <c r="R343" s="3">
        <v>0</v>
      </c>
      <c r="S343" s="4">
        <v>18</v>
      </c>
      <c r="T343" s="4">
        <v>0</v>
      </c>
      <c r="U343" s="4">
        <v>0</v>
      </c>
      <c r="V343" s="4">
        <f>IF(ISERROR(VLOOKUP($S$343,'TAR FIN'!$A$1:$O$92,15,0)),0,VLOOKUP($S$343,'TAR FIN'!$A$1:$O$92,15,0))</f>
        <v>14.64</v>
      </c>
      <c r="W343" s="4">
        <f>IF(ISERROR(VLOOKUP($T$343,'TAR FIN'!$A$1:$O$92,15,0)),0,VLOOKUP($T$343,'TAR FIN'!$A$1:$O$92,15,0))</f>
        <v>0</v>
      </c>
      <c r="X343" s="4">
        <f>IF(ISERROR(VLOOKUP($U$343,'TAR FIN'!$A$1:$O$92,15,0)),0,VLOOKUP($U$343,'TAR FIN'!$A$1:$O$92,15,0))</f>
        <v>0</v>
      </c>
      <c r="Y343" s="4">
        <f ca="1">('TUSD BE'!$AM$10+'TUSD BF'!$AM$10+'TUSD CVA'!$AM$10)*1</f>
        <v>19.024476785546895</v>
      </c>
      <c r="Z343" s="4"/>
      <c r="AA343" s="4"/>
      <c r="AB343" s="4">
        <f>$K$343*$V$343</f>
        <v>-11170.32</v>
      </c>
      <c r="AC343" s="4">
        <f>$M$343*$W$343</f>
        <v>0</v>
      </c>
      <c r="AD343" s="4">
        <f>$O$343*$X$343</f>
        <v>0</v>
      </c>
      <c r="AE343" s="4">
        <f ca="1">$K$343*$Y$343</f>
        <v>-14515.675787372282</v>
      </c>
      <c r="AF343" s="4">
        <f>$M$343*$Z$343</f>
        <v>0</v>
      </c>
      <c r="AG343" s="4">
        <f>$O$343*$AA$343</f>
        <v>0</v>
      </c>
    </row>
    <row r="344" spans="1:33" ht="11.25" customHeight="1" x14ac:dyDescent="0.25">
      <c r="A344" s="3" t="s">
        <v>28</v>
      </c>
      <c r="B344" s="3" t="s">
        <v>39</v>
      </c>
      <c r="C344" s="3" t="s">
        <v>41</v>
      </c>
      <c r="D344" s="3" t="s">
        <v>38</v>
      </c>
      <c r="E344" s="3" t="s">
        <v>25</v>
      </c>
      <c r="F344" s="3" t="s">
        <v>25</v>
      </c>
      <c r="G344" s="3" t="s">
        <v>25</v>
      </c>
      <c r="H344" s="3" t="s">
        <v>25</v>
      </c>
      <c r="I344" s="6">
        <v>44531</v>
      </c>
      <c r="J344" s="4">
        <v>449</v>
      </c>
      <c r="K344" s="4">
        <v>449</v>
      </c>
      <c r="L344" s="4">
        <v>0</v>
      </c>
      <c r="M344" s="4">
        <v>0</v>
      </c>
      <c r="N344" s="4">
        <v>0</v>
      </c>
      <c r="O344" s="4">
        <v>0</v>
      </c>
      <c r="P344" s="4">
        <v>3</v>
      </c>
      <c r="Q344" s="3" t="s">
        <v>26</v>
      </c>
      <c r="R344" s="3">
        <v>0</v>
      </c>
      <c r="S344" s="4">
        <v>18</v>
      </c>
      <c r="T344" s="4">
        <v>0</v>
      </c>
      <c r="U344" s="4">
        <v>0</v>
      </c>
      <c r="V344" s="4">
        <f>IF(ISERROR(VLOOKUP($S$344,'TAR FIN'!$A$1:$O$92,15,0)),0,VLOOKUP($S$344,'TAR FIN'!$A$1:$O$92,15,0))</f>
        <v>14.64</v>
      </c>
      <c r="W344" s="4">
        <f>IF(ISERROR(VLOOKUP($T$344,'TAR FIN'!$A$1:$O$92,15,0)),0,VLOOKUP($T$344,'TAR FIN'!$A$1:$O$92,15,0))</f>
        <v>0</v>
      </c>
      <c r="X344" s="4">
        <f>IF(ISERROR(VLOOKUP($U$344,'TAR FIN'!$A$1:$O$92,15,0)),0,VLOOKUP($U$344,'TAR FIN'!$A$1:$O$92,15,0))</f>
        <v>0</v>
      </c>
      <c r="Y344" s="4">
        <f ca="1">('TUSD BE'!$AM$10+'TUSD BF'!$AM$10+'TUSD CVA'!$AM$10)*1</f>
        <v>19.024476785546895</v>
      </c>
      <c r="Z344" s="4"/>
      <c r="AA344" s="4"/>
      <c r="AB344" s="4">
        <f>$K$344*$V$344</f>
        <v>6573.3600000000006</v>
      </c>
      <c r="AC344" s="4">
        <f>$M$344*$W$344</f>
        <v>0</v>
      </c>
      <c r="AD344" s="4">
        <f>$O$344*$X$344</f>
        <v>0</v>
      </c>
      <c r="AE344" s="4">
        <f ca="1">$K$344*$Y$344</f>
        <v>8541.9900767105555</v>
      </c>
      <c r="AF344" s="4">
        <f>$M$344*$Z$344</f>
        <v>0</v>
      </c>
      <c r="AG344" s="4">
        <f>$O$344*$AA$344</f>
        <v>0</v>
      </c>
    </row>
    <row r="345" spans="1:33" ht="11.25" customHeight="1" x14ac:dyDescent="0.25">
      <c r="A345" s="3" t="s">
        <v>21</v>
      </c>
      <c r="B345" s="3" t="s">
        <v>39</v>
      </c>
      <c r="C345" s="3" t="s">
        <v>41</v>
      </c>
      <c r="D345" s="3" t="s">
        <v>38</v>
      </c>
      <c r="E345" s="3" t="s">
        <v>25</v>
      </c>
      <c r="F345" s="3" t="s">
        <v>25</v>
      </c>
      <c r="G345" s="3" t="s">
        <v>25</v>
      </c>
      <c r="H345" s="3" t="s">
        <v>25</v>
      </c>
      <c r="I345" s="6">
        <v>44562</v>
      </c>
      <c r="J345" s="4">
        <v>10277</v>
      </c>
      <c r="K345" s="4">
        <v>10277</v>
      </c>
      <c r="L345" s="4">
        <v>0</v>
      </c>
      <c r="M345" s="4">
        <v>0</v>
      </c>
      <c r="N345" s="4">
        <v>0</v>
      </c>
      <c r="O345" s="4">
        <v>0</v>
      </c>
      <c r="P345" s="4">
        <v>63</v>
      </c>
      <c r="Q345" s="3" t="s">
        <v>26</v>
      </c>
      <c r="R345" s="3">
        <v>0</v>
      </c>
      <c r="S345" s="4">
        <v>18</v>
      </c>
      <c r="T345" s="4">
        <v>0</v>
      </c>
      <c r="U345" s="4">
        <v>0</v>
      </c>
      <c r="V345" s="4">
        <f>IF(ISERROR(VLOOKUP($S$345,'TAR FIN'!$A$1:$O$92,15,0)),0,VLOOKUP($S$345,'TAR FIN'!$A$1:$O$92,15,0))</f>
        <v>14.64</v>
      </c>
      <c r="W345" s="4">
        <f>IF(ISERROR(VLOOKUP($T$345,'TAR FIN'!$A$1:$O$92,15,0)),0,VLOOKUP($T$345,'TAR FIN'!$A$1:$O$92,15,0))</f>
        <v>0</v>
      </c>
      <c r="X345" s="4">
        <f>IF(ISERROR(VLOOKUP($U$345,'TAR FIN'!$A$1:$O$92,15,0)),0,VLOOKUP($U$345,'TAR FIN'!$A$1:$O$92,15,0))</f>
        <v>0</v>
      </c>
      <c r="Y345" s="4">
        <f ca="1">('TUSD BE'!$AM$10+'TUSD BF'!$AM$10+'TUSD CVA'!$AM$10)*1</f>
        <v>19.024476785546895</v>
      </c>
      <c r="Z345" s="4"/>
      <c r="AA345" s="4"/>
      <c r="AB345" s="4">
        <f>$K$345*$V$345</f>
        <v>150455.28</v>
      </c>
      <c r="AC345" s="4">
        <f>$M$345*$W$345</f>
        <v>0</v>
      </c>
      <c r="AD345" s="4">
        <f>$O$345*$X$345</f>
        <v>0</v>
      </c>
      <c r="AE345" s="4">
        <f ca="1">$K$345*$Y$345</f>
        <v>195514.54792506545</v>
      </c>
      <c r="AF345" s="4">
        <f>$M$345*$Z$345</f>
        <v>0</v>
      </c>
      <c r="AG345" s="4">
        <f>$O$345*$AA$345</f>
        <v>0</v>
      </c>
    </row>
    <row r="346" spans="1:33" ht="11.25" customHeight="1" x14ac:dyDescent="0.25">
      <c r="A346" s="3" t="s">
        <v>28</v>
      </c>
      <c r="B346" s="3" t="s">
        <v>39</v>
      </c>
      <c r="C346" s="3" t="s">
        <v>41</v>
      </c>
      <c r="D346" s="3" t="s">
        <v>38</v>
      </c>
      <c r="E346" s="3" t="s">
        <v>25</v>
      </c>
      <c r="F346" s="3" t="s">
        <v>25</v>
      </c>
      <c r="G346" s="3" t="s">
        <v>25</v>
      </c>
      <c r="H346" s="3" t="s">
        <v>25</v>
      </c>
      <c r="I346" s="6">
        <v>44562</v>
      </c>
      <c r="J346" s="4">
        <v>449</v>
      </c>
      <c r="K346" s="4">
        <v>449</v>
      </c>
      <c r="L346" s="4">
        <v>0</v>
      </c>
      <c r="M346" s="4">
        <v>0</v>
      </c>
      <c r="N346" s="4">
        <v>0</v>
      </c>
      <c r="O346" s="4">
        <v>0</v>
      </c>
      <c r="P346" s="4">
        <v>3</v>
      </c>
      <c r="Q346" s="3" t="s">
        <v>26</v>
      </c>
      <c r="R346" s="3">
        <v>0</v>
      </c>
      <c r="S346" s="4">
        <v>18</v>
      </c>
      <c r="T346" s="4">
        <v>0</v>
      </c>
      <c r="U346" s="4">
        <v>0</v>
      </c>
      <c r="V346" s="4">
        <f>IF(ISERROR(VLOOKUP($S$346,'TAR FIN'!$A$1:$O$92,15,0)),0,VLOOKUP($S$346,'TAR FIN'!$A$1:$O$92,15,0))</f>
        <v>14.64</v>
      </c>
      <c r="W346" s="4">
        <f>IF(ISERROR(VLOOKUP($T$346,'TAR FIN'!$A$1:$O$92,15,0)),0,VLOOKUP($T$346,'TAR FIN'!$A$1:$O$92,15,0))</f>
        <v>0</v>
      </c>
      <c r="X346" s="4">
        <f>IF(ISERROR(VLOOKUP($U$346,'TAR FIN'!$A$1:$O$92,15,0)),0,VLOOKUP($U$346,'TAR FIN'!$A$1:$O$92,15,0))</f>
        <v>0</v>
      </c>
      <c r="Y346" s="4">
        <f ca="1">('TUSD BE'!$AM$10+'TUSD BF'!$AM$10+'TUSD CVA'!$AM$10)*1</f>
        <v>19.024476785546895</v>
      </c>
      <c r="Z346" s="4"/>
      <c r="AA346" s="4"/>
      <c r="AB346" s="4">
        <f>$K$346*$V$346</f>
        <v>6573.3600000000006</v>
      </c>
      <c r="AC346" s="4">
        <f>$M$346*$W$346</f>
        <v>0</v>
      </c>
      <c r="AD346" s="4">
        <f>$O$346*$X$346</f>
        <v>0</v>
      </c>
      <c r="AE346" s="4">
        <f ca="1">$K$346*$Y$346</f>
        <v>8541.9900767105555</v>
      </c>
      <c r="AF346" s="4">
        <f>$M$346*$Z$346</f>
        <v>0</v>
      </c>
      <c r="AG346" s="4">
        <f>$O$346*$AA$346</f>
        <v>0</v>
      </c>
    </row>
    <row r="347" spans="1:33" ht="11.25" customHeight="1" x14ac:dyDescent="0.25">
      <c r="A347" s="3" t="s">
        <v>21</v>
      </c>
      <c r="B347" s="3" t="s">
        <v>39</v>
      </c>
      <c r="C347" s="3" t="s">
        <v>41</v>
      </c>
      <c r="D347" s="3" t="s">
        <v>38</v>
      </c>
      <c r="E347" s="3" t="s">
        <v>25</v>
      </c>
      <c r="F347" s="3" t="s">
        <v>25</v>
      </c>
      <c r="G347" s="3" t="s">
        <v>25</v>
      </c>
      <c r="H347" s="3" t="s">
        <v>25</v>
      </c>
      <c r="I347" s="6">
        <v>44593</v>
      </c>
      <c r="J347" s="4">
        <v>10107</v>
      </c>
      <c r="K347" s="4">
        <v>10107</v>
      </c>
      <c r="L347" s="4">
        <v>0</v>
      </c>
      <c r="M347" s="4">
        <v>0</v>
      </c>
      <c r="N347" s="4">
        <v>0</v>
      </c>
      <c r="O347" s="4">
        <v>0</v>
      </c>
      <c r="P347" s="4">
        <v>65</v>
      </c>
      <c r="Q347" s="3" t="s">
        <v>26</v>
      </c>
      <c r="R347" s="3">
        <v>0</v>
      </c>
      <c r="S347" s="4">
        <v>18</v>
      </c>
      <c r="T347" s="4">
        <v>0</v>
      </c>
      <c r="U347" s="4">
        <v>0</v>
      </c>
      <c r="V347" s="4">
        <f>IF(ISERROR(VLOOKUP($S$347,'TAR FIN'!$A$1:$O$92,15,0)),0,VLOOKUP($S$347,'TAR FIN'!$A$1:$O$92,15,0))</f>
        <v>14.64</v>
      </c>
      <c r="W347" s="4">
        <f>IF(ISERROR(VLOOKUP($T$347,'TAR FIN'!$A$1:$O$92,15,0)),0,VLOOKUP($T$347,'TAR FIN'!$A$1:$O$92,15,0))</f>
        <v>0</v>
      </c>
      <c r="X347" s="4">
        <f>IF(ISERROR(VLOOKUP($U$347,'TAR FIN'!$A$1:$O$92,15,0)),0,VLOOKUP($U$347,'TAR FIN'!$A$1:$O$92,15,0))</f>
        <v>0</v>
      </c>
      <c r="Y347" s="4">
        <f ca="1">('TUSD BE'!$AM$10+'TUSD BF'!$AM$10+'TUSD CVA'!$AM$10)*1</f>
        <v>19.024476785546895</v>
      </c>
      <c r="Z347" s="4"/>
      <c r="AA347" s="4"/>
      <c r="AB347" s="4">
        <f>$K$347*$V$347</f>
        <v>147966.48000000001</v>
      </c>
      <c r="AC347" s="4">
        <f>$M$347*$W$347</f>
        <v>0</v>
      </c>
      <c r="AD347" s="4">
        <f>$O$347*$X$347</f>
        <v>0</v>
      </c>
      <c r="AE347" s="4">
        <f ca="1">$K$347*$Y$347</f>
        <v>192280.38687152247</v>
      </c>
      <c r="AF347" s="4">
        <f>$M$347*$Z$347</f>
        <v>0</v>
      </c>
      <c r="AG347" s="4">
        <f>$O$347*$AA$347</f>
        <v>0</v>
      </c>
    </row>
    <row r="348" spans="1:33" ht="11.25" customHeight="1" x14ac:dyDescent="0.25">
      <c r="A348" s="3" t="s">
        <v>27</v>
      </c>
      <c r="B348" s="3" t="s">
        <v>39</v>
      </c>
      <c r="C348" s="3" t="s">
        <v>41</v>
      </c>
      <c r="D348" s="3" t="s">
        <v>38</v>
      </c>
      <c r="E348" s="3" t="s">
        <v>25</v>
      </c>
      <c r="F348" s="3" t="s">
        <v>25</v>
      </c>
      <c r="G348" s="3" t="s">
        <v>25</v>
      </c>
      <c r="H348" s="3" t="s">
        <v>25</v>
      </c>
      <c r="I348" s="6">
        <v>44593</v>
      </c>
      <c r="J348" s="4">
        <v>-450</v>
      </c>
      <c r="K348" s="4">
        <v>-450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3" t="s">
        <v>26</v>
      </c>
      <c r="R348" s="3">
        <v>0</v>
      </c>
      <c r="S348" s="4">
        <v>18</v>
      </c>
      <c r="T348" s="4">
        <v>0</v>
      </c>
      <c r="U348" s="4">
        <v>0</v>
      </c>
      <c r="V348" s="4">
        <f>IF(ISERROR(VLOOKUP($S$348,'TAR FIN'!$A$1:$O$92,15,0)),0,VLOOKUP($S$348,'TAR FIN'!$A$1:$O$92,15,0))</f>
        <v>14.64</v>
      </c>
      <c r="W348" s="4">
        <f>IF(ISERROR(VLOOKUP($T$348,'TAR FIN'!$A$1:$O$92,15,0)),0,VLOOKUP($T$348,'TAR FIN'!$A$1:$O$92,15,0))</f>
        <v>0</v>
      </c>
      <c r="X348" s="4">
        <f>IF(ISERROR(VLOOKUP($U$348,'TAR FIN'!$A$1:$O$92,15,0)),0,VLOOKUP($U$348,'TAR FIN'!$A$1:$O$92,15,0))</f>
        <v>0</v>
      </c>
      <c r="Y348" s="4">
        <f ca="1">('TUSD BE'!$AM$10+'TUSD BF'!$AM$10+'TUSD CVA'!$AM$10)*1</f>
        <v>19.024476785546895</v>
      </c>
      <c r="Z348" s="4"/>
      <c r="AA348" s="4"/>
      <c r="AB348" s="4">
        <f>$K$348*$V$348</f>
        <v>-6588</v>
      </c>
      <c r="AC348" s="4">
        <f>$M$348*$W$348</f>
        <v>0</v>
      </c>
      <c r="AD348" s="4">
        <f>$O$348*$X$348</f>
        <v>0</v>
      </c>
      <c r="AE348" s="4">
        <f ca="1">$K$348*$Y$348</f>
        <v>-8561.014553496103</v>
      </c>
      <c r="AF348" s="4">
        <f>$M$348*$Z$348</f>
        <v>0</v>
      </c>
      <c r="AG348" s="4">
        <f>$O$348*$AA$348</f>
        <v>0</v>
      </c>
    </row>
    <row r="349" spans="1:33" ht="11.25" customHeight="1" x14ac:dyDescent="0.25">
      <c r="A349" s="3" t="s">
        <v>28</v>
      </c>
      <c r="B349" s="3" t="s">
        <v>39</v>
      </c>
      <c r="C349" s="3" t="s">
        <v>41</v>
      </c>
      <c r="D349" s="3" t="s">
        <v>38</v>
      </c>
      <c r="E349" s="3" t="s">
        <v>25</v>
      </c>
      <c r="F349" s="3" t="s">
        <v>25</v>
      </c>
      <c r="G349" s="3" t="s">
        <v>25</v>
      </c>
      <c r="H349" s="3" t="s">
        <v>25</v>
      </c>
      <c r="I349" s="6">
        <v>44593</v>
      </c>
      <c r="J349" s="4">
        <v>449</v>
      </c>
      <c r="K349" s="4">
        <v>449</v>
      </c>
      <c r="L349" s="4">
        <v>0</v>
      </c>
      <c r="M349" s="4">
        <v>0</v>
      </c>
      <c r="N349" s="4">
        <v>0</v>
      </c>
      <c r="O349" s="4">
        <v>0</v>
      </c>
      <c r="P349" s="4">
        <v>3</v>
      </c>
      <c r="Q349" s="3" t="s">
        <v>26</v>
      </c>
      <c r="R349" s="3">
        <v>0</v>
      </c>
      <c r="S349" s="4">
        <v>18</v>
      </c>
      <c r="T349" s="4">
        <v>0</v>
      </c>
      <c r="U349" s="4">
        <v>0</v>
      </c>
      <c r="V349" s="4">
        <f>IF(ISERROR(VLOOKUP($S$349,'TAR FIN'!$A$1:$O$92,15,0)),0,VLOOKUP($S$349,'TAR FIN'!$A$1:$O$92,15,0))</f>
        <v>14.64</v>
      </c>
      <c r="W349" s="4">
        <f>IF(ISERROR(VLOOKUP($T$349,'TAR FIN'!$A$1:$O$92,15,0)),0,VLOOKUP($T$349,'TAR FIN'!$A$1:$O$92,15,0))</f>
        <v>0</v>
      </c>
      <c r="X349" s="4">
        <f>IF(ISERROR(VLOOKUP($U$349,'TAR FIN'!$A$1:$O$92,15,0)),0,VLOOKUP($U$349,'TAR FIN'!$A$1:$O$92,15,0))</f>
        <v>0</v>
      </c>
      <c r="Y349" s="4">
        <f ca="1">('TUSD BE'!$AM$10+'TUSD BF'!$AM$10+'TUSD CVA'!$AM$10)*1</f>
        <v>19.024476785546895</v>
      </c>
      <c r="Z349" s="4"/>
      <c r="AA349" s="4"/>
      <c r="AB349" s="4">
        <f>$K$349*$V$349</f>
        <v>6573.3600000000006</v>
      </c>
      <c r="AC349" s="4">
        <f>$M$349*$W$349</f>
        <v>0</v>
      </c>
      <c r="AD349" s="4">
        <f>$O$349*$X$349</f>
        <v>0</v>
      </c>
      <c r="AE349" s="4">
        <f ca="1">$K$349*$Y$349</f>
        <v>8541.9900767105555</v>
      </c>
      <c r="AF349" s="4">
        <f>$M$349*$Z$349</f>
        <v>0</v>
      </c>
      <c r="AG349" s="4">
        <f>$O$349*$AA$349</f>
        <v>0</v>
      </c>
    </row>
    <row r="350" spans="1:33" ht="11.25" customHeight="1" x14ac:dyDescent="0.25">
      <c r="A350" s="3" t="s">
        <v>21</v>
      </c>
      <c r="B350" s="3" t="s">
        <v>39</v>
      </c>
      <c r="C350" s="3" t="s">
        <v>41</v>
      </c>
      <c r="D350" s="3" t="s">
        <v>38</v>
      </c>
      <c r="E350" s="3" t="s">
        <v>25</v>
      </c>
      <c r="F350" s="3" t="s">
        <v>25</v>
      </c>
      <c r="G350" s="3" t="s">
        <v>25</v>
      </c>
      <c r="H350" s="3" t="s">
        <v>25</v>
      </c>
      <c r="I350" s="6">
        <v>44621</v>
      </c>
      <c r="J350" s="4">
        <v>10235</v>
      </c>
      <c r="K350" s="4">
        <v>10235</v>
      </c>
      <c r="L350" s="4">
        <v>0</v>
      </c>
      <c r="M350" s="4">
        <v>0</v>
      </c>
      <c r="N350" s="4">
        <v>0</v>
      </c>
      <c r="O350" s="4">
        <v>0</v>
      </c>
      <c r="P350" s="4">
        <v>66</v>
      </c>
      <c r="Q350" s="3" t="s">
        <v>26</v>
      </c>
      <c r="R350" s="3">
        <v>0</v>
      </c>
      <c r="S350" s="4">
        <v>18</v>
      </c>
      <c r="T350" s="4">
        <v>0</v>
      </c>
      <c r="U350" s="4">
        <v>0</v>
      </c>
      <c r="V350" s="4">
        <f>IF(ISERROR(VLOOKUP($S$350,'TAR FIN'!$A$1:$O$92,15,0)),0,VLOOKUP($S$350,'TAR FIN'!$A$1:$O$92,15,0))</f>
        <v>14.64</v>
      </c>
      <c r="W350" s="4">
        <f>IF(ISERROR(VLOOKUP($T$350,'TAR FIN'!$A$1:$O$92,15,0)),0,VLOOKUP($T$350,'TAR FIN'!$A$1:$O$92,15,0))</f>
        <v>0</v>
      </c>
      <c r="X350" s="4">
        <f>IF(ISERROR(VLOOKUP($U$350,'TAR FIN'!$A$1:$O$92,15,0)),0,VLOOKUP($U$350,'TAR FIN'!$A$1:$O$92,15,0))</f>
        <v>0</v>
      </c>
      <c r="Y350" s="4">
        <f ca="1">('TUSD BE'!$AM$10+'TUSD BF'!$AM$10+'TUSD CVA'!$AM$10)*1</f>
        <v>19.024476785546895</v>
      </c>
      <c r="Z350" s="4"/>
      <c r="AA350" s="4"/>
      <c r="AB350" s="4">
        <f>$K$350*$V$350</f>
        <v>149840.4</v>
      </c>
      <c r="AC350" s="4">
        <f>$M$350*$W$350</f>
        <v>0</v>
      </c>
      <c r="AD350" s="4">
        <f>$O$350*$X$350</f>
        <v>0</v>
      </c>
      <c r="AE350" s="4">
        <f ca="1">$K$350*$Y$350</f>
        <v>194715.51990007248</v>
      </c>
      <c r="AF350" s="4">
        <f>$M$350*$Z$350</f>
        <v>0</v>
      </c>
      <c r="AG350" s="4">
        <f>$O$350*$AA$350</f>
        <v>0</v>
      </c>
    </row>
    <row r="351" spans="1:33" ht="11.25" customHeight="1" x14ac:dyDescent="0.25">
      <c r="A351" s="3" t="s">
        <v>28</v>
      </c>
      <c r="B351" s="3" t="s">
        <v>39</v>
      </c>
      <c r="C351" s="3" t="s">
        <v>41</v>
      </c>
      <c r="D351" s="3" t="s">
        <v>38</v>
      </c>
      <c r="E351" s="3" t="s">
        <v>25</v>
      </c>
      <c r="F351" s="3" t="s">
        <v>25</v>
      </c>
      <c r="G351" s="3" t="s">
        <v>25</v>
      </c>
      <c r="H351" s="3" t="s">
        <v>25</v>
      </c>
      <c r="I351" s="6">
        <v>44621</v>
      </c>
      <c r="J351" s="4">
        <v>468</v>
      </c>
      <c r="K351" s="4">
        <v>468</v>
      </c>
      <c r="L351" s="4">
        <v>0</v>
      </c>
      <c r="M351" s="4">
        <v>0</v>
      </c>
      <c r="N351" s="4">
        <v>0</v>
      </c>
      <c r="O351" s="4">
        <v>0</v>
      </c>
      <c r="P351" s="4">
        <v>3</v>
      </c>
      <c r="Q351" s="3" t="s">
        <v>26</v>
      </c>
      <c r="R351" s="3">
        <v>0</v>
      </c>
      <c r="S351" s="4">
        <v>18</v>
      </c>
      <c r="T351" s="4">
        <v>0</v>
      </c>
      <c r="U351" s="4">
        <v>0</v>
      </c>
      <c r="V351" s="4">
        <f>IF(ISERROR(VLOOKUP($S$351,'TAR FIN'!$A$1:$O$92,15,0)),0,VLOOKUP($S$351,'TAR FIN'!$A$1:$O$92,15,0))</f>
        <v>14.64</v>
      </c>
      <c r="W351" s="4">
        <f>IF(ISERROR(VLOOKUP($T$351,'TAR FIN'!$A$1:$O$92,15,0)),0,VLOOKUP($T$351,'TAR FIN'!$A$1:$O$92,15,0))</f>
        <v>0</v>
      </c>
      <c r="X351" s="4">
        <f>IF(ISERROR(VLOOKUP($U$351,'TAR FIN'!$A$1:$O$92,15,0)),0,VLOOKUP($U$351,'TAR FIN'!$A$1:$O$92,15,0))</f>
        <v>0</v>
      </c>
      <c r="Y351" s="4">
        <f ca="1">('TUSD BE'!$AM$10+'TUSD BF'!$AM$10+'TUSD CVA'!$AM$10)*1</f>
        <v>19.024476785546895</v>
      </c>
      <c r="Z351" s="4"/>
      <c r="AA351" s="4"/>
      <c r="AB351" s="4">
        <f>$K$351*$V$351</f>
        <v>6851.52</v>
      </c>
      <c r="AC351" s="4">
        <f>$M$351*$W$351</f>
        <v>0</v>
      </c>
      <c r="AD351" s="4">
        <f>$O$351*$X$351</f>
        <v>0</v>
      </c>
      <c r="AE351" s="4">
        <f ca="1">$K$351*$Y$351</f>
        <v>8903.4551356359461</v>
      </c>
      <c r="AF351" s="4">
        <f>$M$351*$Z$351</f>
        <v>0</v>
      </c>
      <c r="AG351" s="4">
        <f>$O$351*$AA$351</f>
        <v>0</v>
      </c>
    </row>
    <row r="352" spans="1:33" ht="11.25" customHeight="1" x14ac:dyDescent="0.25">
      <c r="A352" s="3" t="s">
        <v>21</v>
      </c>
      <c r="B352" s="3" t="s">
        <v>39</v>
      </c>
      <c r="C352" s="3" t="s">
        <v>41</v>
      </c>
      <c r="D352" s="3" t="s">
        <v>38</v>
      </c>
      <c r="E352" s="3" t="s">
        <v>25</v>
      </c>
      <c r="F352" s="3" t="s">
        <v>25</v>
      </c>
      <c r="G352" s="3" t="s">
        <v>25</v>
      </c>
      <c r="H352" s="3" t="s">
        <v>25</v>
      </c>
      <c r="I352" s="6">
        <v>44652</v>
      </c>
      <c r="J352" s="4">
        <v>10235</v>
      </c>
      <c r="K352" s="4">
        <v>10235</v>
      </c>
      <c r="L352" s="4">
        <v>0</v>
      </c>
      <c r="M352" s="4">
        <v>0</v>
      </c>
      <c r="N352" s="4">
        <v>0</v>
      </c>
      <c r="O352" s="4">
        <v>0</v>
      </c>
      <c r="P352" s="4">
        <v>66</v>
      </c>
      <c r="Q352" s="3" t="s">
        <v>26</v>
      </c>
      <c r="R352" s="3">
        <v>0</v>
      </c>
      <c r="S352" s="4">
        <v>18</v>
      </c>
      <c r="T352" s="4">
        <v>0</v>
      </c>
      <c r="U352" s="4">
        <v>0</v>
      </c>
      <c r="V352" s="4">
        <f>IF(ISERROR(VLOOKUP($S$352,'TAR FIN'!$A$1:$O$92,15,0)),0,VLOOKUP($S$352,'TAR FIN'!$A$1:$O$92,15,0))</f>
        <v>14.64</v>
      </c>
      <c r="W352" s="4">
        <f>IF(ISERROR(VLOOKUP($T$352,'TAR FIN'!$A$1:$O$92,15,0)),0,VLOOKUP($T$352,'TAR FIN'!$A$1:$O$92,15,0))</f>
        <v>0</v>
      </c>
      <c r="X352" s="4">
        <f>IF(ISERROR(VLOOKUP($U$352,'TAR FIN'!$A$1:$O$92,15,0)),0,VLOOKUP($U$352,'TAR FIN'!$A$1:$O$92,15,0))</f>
        <v>0</v>
      </c>
      <c r="Y352" s="4">
        <f ca="1">('TUSD BE'!$AM$10+'TUSD BF'!$AM$10+'TUSD CVA'!$AM$10)*1</f>
        <v>19.024476785546895</v>
      </c>
      <c r="Z352" s="4"/>
      <c r="AA352" s="4"/>
      <c r="AB352" s="4">
        <f>$K$352*$V$352</f>
        <v>149840.4</v>
      </c>
      <c r="AC352" s="4">
        <f>$M$352*$W$352</f>
        <v>0</v>
      </c>
      <c r="AD352" s="4">
        <f>$O$352*$X$352</f>
        <v>0</v>
      </c>
      <c r="AE352" s="4">
        <f ca="1">$K$352*$Y$352</f>
        <v>194715.51990007248</v>
      </c>
      <c r="AF352" s="4">
        <f>$M$352*$Z$352</f>
        <v>0</v>
      </c>
      <c r="AG352" s="4">
        <f>$O$352*$AA$352</f>
        <v>0</v>
      </c>
    </row>
    <row r="353" spans="1:33" ht="11.25" customHeight="1" x14ac:dyDescent="0.25">
      <c r="A353" s="3" t="s">
        <v>28</v>
      </c>
      <c r="B353" s="3" t="s">
        <v>39</v>
      </c>
      <c r="C353" s="3" t="s">
        <v>41</v>
      </c>
      <c r="D353" s="3" t="s">
        <v>38</v>
      </c>
      <c r="E353" s="3" t="s">
        <v>25</v>
      </c>
      <c r="F353" s="3" t="s">
        <v>25</v>
      </c>
      <c r="G353" s="3" t="s">
        <v>25</v>
      </c>
      <c r="H353" s="3" t="s">
        <v>25</v>
      </c>
      <c r="I353" s="6">
        <v>44652</v>
      </c>
      <c r="J353" s="4">
        <v>468</v>
      </c>
      <c r="K353" s="4">
        <v>468</v>
      </c>
      <c r="L353" s="4">
        <v>0</v>
      </c>
      <c r="M353" s="4">
        <v>0</v>
      </c>
      <c r="N353" s="4">
        <v>0</v>
      </c>
      <c r="O353" s="4">
        <v>0</v>
      </c>
      <c r="P353" s="4">
        <v>3</v>
      </c>
      <c r="Q353" s="3" t="s">
        <v>26</v>
      </c>
      <c r="R353" s="3">
        <v>0</v>
      </c>
      <c r="S353" s="4">
        <v>18</v>
      </c>
      <c r="T353" s="4">
        <v>0</v>
      </c>
      <c r="U353" s="4">
        <v>0</v>
      </c>
      <c r="V353" s="4">
        <f>IF(ISERROR(VLOOKUP($S$353,'TAR FIN'!$A$1:$O$92,15,0)),0,VLOOKUP($S$353,'TAR FIN'!$A$1:$O$92,15,0))</f>
        <v>14.64</v>
      </c>
      <c r="W353" s="4">
        <f>IF(ISERROR(VLOOKUP($T$353,'TAR FIN'!$A$1:$O$92,15,0)),0,VLOOKUP($T$353,'TAR FIN'!$A$1:$O$92,15,0))</f>
        <v>0</v>
      </c>
      <c r="X353" s="4">
        <f>IF(ISERROR(VLOOKUP($U$353,'TAR FIN'!$A$1:$O$92,15,0)),0,VLOOKUP($U$353,'TAR FIN'!$A$1:$O$92,15,0))</f>
        <v>0</v>
      </c>
      <c r="Y353" s="4">
        <f ca="1">('TUSD BE'!$AM$10+'TUSD BF'!$AM$10+'TUSD CVA'!$AM$10)*1</f>
        <v>19.024476785546895</v>
      </c>
      <c r="Z353" s="4"/>
      <c r="AA353" s="4"/>
      <c r="AB353" s="4">
        <f>$K$353*$V$353</f>
        <v>6851.52</v>
      </c>
      <c r="AC353" s="4">
        <f>$M$353*$W$353</f>
        <v>0</v>
      </c>
      <c r="AD353" s="4">
        <f>$O$353*$X$353</f>
        <v>0</v>
      </c>
      <c r="AE353" s="4">
        <f ca="1">$K$353*$Y$353</f>
        <v>8903.4551356359461</v>
      </c>
      <c r="AF353" s="4">
        <f>$M$353*$Z$353</f>
        <v>0</v>
      </c>
      <c r="AG353" s="4">
        <f>$O$353*$AA$353</f>
        <v>0</v>
      </c>
    </row>
    <row r="354" spans="1:33" ht="11.25" customHeight="1" x14ac:dyDescent="0.25">
      <c r="A354" s="3" t="s">
        <v>21</v>
      </c>
      <c r="B354" s="3" t="s">
        <v>39</v>
      </c>
      <c r="C354" s="3" t="s">
        <v>41</v>
      </c>
      <c r="D354" s="3" t="s">
        <v>38</v>
      </c>
      <c r="E354" s="3" t="s">
        <v>25</v>
      </c>
      <c r="F354" s="3" t="s">
        <v>25</v>
      </c>
      <c r="G354" s="3" t="s">
        <v>25</v>
      </c>
      <c r="H354" s="3" t="s">
        <v>25</v>
      </c>
      <c r="I354" s="6">
        <v>44682</v>
      </c>
      <c r="J354" s="4">
        <v>10327</v>
      </c>
      <c r="K354" s="4">
        <v>10327</v>
      </c>
      <c r="L354" s="4">
        <v>0</v>
      </c>
      <c r="M354" s="4">
        <v>0</v>
      </c>
      <c r="N354" s="4">
        <v>0</v>
      </c>
      <c r="O354" s="4">
        <v>0</v>
      </c>
      <c r="P354" s="4">
        <v>67</v>
      </c>
      <c r="Q354" s="3" t="s">
        <v>26</v>
      </c>
      <c r="R354" s="3">
        <v>0</v>
      </c>
      <c r="S354" s="4">
        <v>18</v>
      </c>
      <c r="T354" s="4">
        <v>0</v>
      </c>
      <c r="U354" s="4">
        <v>0</v>
      </c>
      <c r="V354" s="4">
        <f>IF(ISERROR(VLOOKUP($S$354,'TAR FIN'!$A$1:$O$92,15,0)),0,VLOOKUP($S$354,'TAR FIN'!$A$1:$O$92,15,0))</f>
        <v>14.64</v>
      </c>
      <c r="W354" s="4">
        <f>IF(ISERROR(VLOOKUP($T$354,'TAR FIN'!$A$1:$O$92,15,0)),0,VLOOKUP($T$354,'TAR FIN'!$A$1:$O$92,15,0))</f>
        <v>0</v>
      </c>
      <c r="X354" s="4">
        <f>IF(ISERROR(VLOOKUP($U$354,'TAR FIN'!$A$1:$O$92,15,0)),0,VLOOKUP($U$354,'TAR FIN'!$A$1:$O$92,15,0))</f>
        <v>0</v>
      </c>
      <c r="Y354" s="4">
        <f ca="1">('TUSD BE'!$AM$10+'TUSD BF'!$AM$10+'TUSD CVA'!$AM$10)*1</f>
        <v>19.024476785546895</v>
      </c>
      <c r="Z354" s="4"/>
      <c r="AA354" s="4"/>
      <c r="AB354" s="4">
        <f>$K$354*$V$354</f>
        <v>151187.28</v>
      </c>
      <c r="AC354" s="4">
        <f>$M$354*$W$354</f>
        <v>0</v>
      </c>
      <c r="AD354" s="4">
        <f>$O$354*$X$354</f>
        <v>0</v>
      </c>
      <c r="AE354" s="4">
        <f ca="1">$K$354*$Y$354</f>
        <v>196465.77176434279</v>
      </c>
      <c r="AF354" s="4">
        <f>$M$354*$Z$354</f>
        <v>0</v>
      </c>
      <c r="AG354" s="4">
        <f>$O$354*$AA$354</f>
        <v>0</v>
      </c>
    </row>
    <row r="355" spans="1:33" ht="11.25" customHeight="1" x14ac:dyDescent="0.25">
      <c r="A355" s="3" t="s">
        <v>27</v>
      </c>
      <c r="B355" s="3" t="s">
        <v>39</v>
      </c>
      <c r="C355" s="3" t="s">
        <v>41</v>
      </c>
      <c r="D355" s="3" t="s">
        <v>38</v>
      </c>
      <c r="E355" s="3" t="s">
        <v>25</v>
      </c>
      <c r="F355" s="3" t="s">
        <v>25</v>
      </c>
      <c r="G355" s="3" t="s">
        <v>25</v>
      </c>
      <c r="H355" s="3" t="s">
        <v>25</v>
      </c>
      <c r="I355" s="6">
        <v>44682</v>
      </c>
      <c r="J355" s="4">
        <v>-600</v>
      </c>
      <c r="K355" s="4">
        <v>-600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3" t="s">
        <v>26</v>
      </c>
      <c r="R355" s="3">
        <v>0</v>
      </c>
      <c r="S355" s="4">
        <v>18</v>
      </c>
      <c r="T355" s="4">
        <v>0</v>
      </c>
      <c r="U355" s="4">
        <v>0</v>
      </c>
      <c r="V355" s="4">
        <f>IF(ISERROR(VLOOKUP($S$355,'TAR FIN'!$A$1:$O$92,15,0)),0,VLOOKUP($S$355,'TAR FIN'!$A$1:$O$92,15,0))</f>
        <v>14.64</v>
      </c>
      <c r="W355" s="4">
        <f>IF(ISERROR(VLOOKUP($T$355,'TAR FIN'!$A$1:$O$92,15,0)),0,VLOOKUP($T$355,'TAR FIN'!$A$1:$O$92,15,0))</f>
        <v>0</v>
      </c>
      <c r="X355" s="4">
        <f>IF(ISERROR(VLOOKUP($U$355,'TAR FIN'!$A$1:$O$92,15,0)),0,VLOOKUP($U$355,'TAR FIN'!$A$1:$O$92,15,0))</f>
        <v>0</v>
      </c>
      <c r="Y355" s="4">
        <f ca="1">('TUSD BE'!$AM$10+'TUSD BF'!$AM$10+'TUSD CVA'!$AM$10)*1</f>
        <v>19.024476785546895</v>
      </c>
      <c r="Z355" s="4"/>
      <c r="AA355" s="4"/>
      <c r="AB355" s="4">
        <f>$K$355*$V$355</f>
        <v>-8784</v>
      </c>
      <c r="AC355" s="4">
        <f>$M$355*$W$355</f>
        <v>0</v>
      </c>
      <c r="AD355" s="4">
        <f>$O$355*$X$355</f>
        <v>0</v>
      </c>
      <c r="AE355" s="4">
        <f ca="1">$K$355*$Y$355</f>
        <v>-11414.686071328137</v>
      </c>
      <c r="AF355" s="4">
        <f>$M$355*$Z$355</f>
        <v>0</v>
      </c>
      <c r="AG355" s="4">
        <f>$O$355*$AA$355</f>
        <v>0</v>
      </c>
    </row>
    <row r="356" spans="1:33" ht="11.25" customHeight="1" x14ac:dyDescent="0.25">
      <c r="A356" s="3" t="s">
        <v>28</v>
      </c>
      <c r="B356" s="3" t="s">
        <v>39</v>
      </c>
      <c r="C356" s="3" t="s">
        <v>41</v>
      </c>
      <c r="D356" s="3" t="s">
        <v>38</v>
      </c>
      <c r="E356" s="3" t="s">
        <v>25</v>
      </c>
      <c r="F356" s="3" t="s">
        <v>25</v>
      </c>
      <c r="G356" s="3" t="s">
        <v>25</v>
      </c>
      <c r="H356" s="3" t="s">
        <v>25</v>
      </c>
      <c r="I356" s="6">
        <v>44682</v>
      </c>
      <c r="J356" s="4">
        <v>1860</v>
      </c>
      <c r="K356" s="4">
        <v>1860</v>
      </c>
      <c r="L356" s="4">
        <v>0</v>
      </c>
      <c r="M356" s="4">
        <v>0</v>
      </c>
      <c r="N356" s="4">
        <v>0</v>
      </c>
      <c r="O356" s="4">
        <v>0</v>
      </c>
      <c r="P356" s="4">
        <v>12</v>
      </c>
      <c r="Q356" s="3" t="s">
        <v>26</v>
      </c>
      <c r="R356" s="3">
        <v>0</v>
      </c>
      <c r="S356" s="4">
        <v>18</v>
      </c>
      <c r="T356" s="4">
        <v>0</v>
      </c>
      <c r="U356" s="4">
        <v>0</v>
      </c>
      <c r="V356" s="4">
        <f>IF(ISERROR(VLOOKUP($S$356,'TAR FIN'!$A$1:$O$92,15,0)),0,VLOOKUP($S$356,'TAR FIN'!$A$1:$O$92,15,0))</f>
        <v>14.64</v>
      </c>
      <c r="W356" s="4">
        <f>IF(ISERROR(VLOOKUP($T$356,'TAR FIN'!$A$1:$O$92,15,0)),0,VLOOKUP($T$356,'TAR FIN'!$A$1:$O$92,15,0))</f>
        <v>0</v>
      </c>
      <c r="X356" s="4">
        <f>IF(ISERROR(VLOOKUP($U$356,'TAR FIN'!$A$1:$O$92,15,0)),0,VLOOKUP($U$356,'TAR FIN'!$A$1:$O$92,15,0))</f>
        <v>0</v>
      </c>
      <c r="Y356" s="4">
        <f ca="1">('TUSD BE'!$AM$10+'TUSD BF'!$AM$10+'TUSD CVA'!$AM$10)*1</f>
        <v>19.024476785546895</v>
      </c>
      <c r="Z356" s="4"/>
      <c r="AA356" s="4"/>
      <c r="AB356" s="4">
        <f>$K$356*$V$356</f>
        <v>27230.400000000001</v>
      </c>
      <c r="AC356" s="4">
        <f>$M$356*$W$356</f>
        <v>0</v>
      </c>
      <c r="AD356" s="4">
        <f>$O$356*$X$356</f>
        <v>0</v>
      </c>
      <c r="AE356" s="4">
        <f ca="1">$K$356*$Y$356</f>
        <v>35385.526821117222</v>
      </c>
      <c r="AF356" s="4">
        <f>$M$356*$Z$356</f>
        <v>0</v>
      </c>
      <c r="AG356" s="4">
        <f>$O$356*$AA$356</f>
        <v>0</v>
      </c>
    </row>
    <row r="357" spans="1:33" ht="11.25" customHeight="1" x14ac:dyDescent="0.25">
      <c r="A357" s="3" t="s">
        <v>21</v>
      </c>
      <c r="B357" s="3" t="s">
        <v>39</v>
      </c>
      <c r="C357" s="3" t="s">
        <v>41</v>
      </c>
      <c r="D357" s="3" t="s">
        <v>38</v>
      </c>
      <c r="E357" s="3" t="s">
        <v>25</v>
      </c>
      <c r="F357" s="3" t="s">
        <v>25</v>
      </c>
      <c r="G357" s="3" t="s">
        <v>25</v>
      </c>
      <c r="H357" s="3" t="s">
        <v>25</v>
      </c>
      <c r="I357" s="6">
        <v>44713</v>
      </c>
      <c r="J357" s="4">
        <v>10237</v>
      </c>
      <c r="K357" s="4">
        <v>10237</v>
      </c>
      <c r="L357" s="4">
        <v>0</v>
      </c>
      <c r="M357" s="4">
        <v>0</v>
      </c>
      <c r="N357" s="4">
        <v>0</v>
      </c>
      <c r="O357" s="4">
        <v>0</v>
      </c>
      <c r="P357" s="4">
        <v>67</v>
      </c>
      <c r="Q357" s="3" t="s">
        <v>26</v>
      </c>
      <c r="R357" s="3">
        <v>0</v>
      </c>
      <c r="S357" s="4">
        <v>18</v>
      </c>
      <c r="T357" s="4">
        <v>0</v>
      </c>
      <c r="U357" s="4">
        <v>0</v>
      </c>
      <c r="V357" s="4">
        <f>IF(ISERROR(VLOOKUP($S$357,'TAR FIN'!$A$1:$O$92,15,0)),0,VLOOKUP($S$357,'TAR FIN'!$A$1:$O$92,15,0))</f>
        <v>14.64</v>
      </c>
      <c r="W357" s="4">
        <f>IF(ISERROR(VLOOKUP($T$357,'TAR FIN'!$A$1:$O$92,15,0)),0,VLOOKUP($T$357,'TAR FIN'!$A$1:$O$92,15,0))</f>
        <v>0</v>
      </c>
      <c r="X357" s="4">
        <f>IF(ISERROR(VLOOKUP($U$357,'TAR FIN'!$A$1:$O$92,15,0)),0,VLOOKUP($U$357,'TAR FIN'!$A$1:$O$92,15,0))</f>
        <v>0</v>
      </c>
      <c r="Y357" s="4">
        <f ca="1">('TUSD BE'!$AM$10+'TUSD BF'!$AM$10+'TUSD CVA'!$AM$10)*1</f>
        <v>19.024476785546895</v>
      </c>
      <c r="Z357" s="4"/>
      <c r="AA357" s="4"/>
      <c r="AB357" s="4">
        <f>$K$357*$V$357</f>
        <v>149869.68</v>
      </c>
      <c r="AC357" s="4">
        <f>$M$357*$W$357</f>
        <v>0</v>
      </c>
      <c r="AD357" s="4">
        <f>$O$357*$X$357</f>
        <v>0</v>
      </c>
      <c r="AE357" s="4">
        <f ca="1">$K$357*$Y$357</f>
        <v>194753.56885364358</v>
      </c>
      <c r="AF357" s="4">
        <f>$M$357*$Z$357</f>
        <v>0</v>
      </c>
      <c r="AG357" s="4">
        <f>$O$357*$AA$357</f>
        <v>0</v>
      </c>
    </row>
    <row r="358" spans="1:33" ht="11.25" customHeight="1" x14ac:dyDescent="0.25">
      <c r="A358" s="3" t="s">
        <v>28</v>
      </c>
      <c r="B358" s="3" t="s">
        <v>39</v>
      </c>
      <c r="C358" s="3" t="s">
        <v>41</v>
      </c>
      <c r="D358" s="3" t="s">
        <v>38</v>
      </c>
      <c r="E358" s="3" t="s">
        <v>25</v>
      </c>
      <c r="F358" s="3" t="s">
        <v>25</v>
      </c>
      <c r="G358" s="3" t="s">
        <v>25</v>
      </c>
      <c r="H358" s="3" t="s">
        <v>25</v>
      </c>
      <c r="I358" s="6">
        <v>44713</v>
      </c>
      <c r="J358" s="4">
        <v>449</v>
      </c>
      <c r="K358" s="4">
        <v>449</v>
      </c>
      <c r="L358" s="4">
        <v>0</v>
      </c>
      <c r="M358" s="4">
        <v>0</v>
      </c>
      <c r="N358" s="4">
        <v>0</v>
      </c>
      <c r="O358" s="4">
        <v>0</v>
      </c>
      <c r="P358" s="4">
        <v>3</v>
      </c>
      <c r="Q358" s="3" t="s">
        <v>26</v>
      </c>
      <c r="R358" s="3">
        <v>0</v>
      </c>
      <c r="S358" s="4">
        <v>18</v>
      </c>
      <c r="T358" s="4">
        <v>0</v>
      </c>
      <c r="U358" s="4">
        <v>0</v>
      </c>
      <c r="V358" s="4">
        <f>IF(ISERROR(VLOOKUP($S$358,'TAR FIN'!$A$1:$O$92,15,0)),0,VLOOKUP($S$358,'TAR FIN'!$A$1:$O$92,15,0))</f>
        <v>14.64</v>
      </c>
      <c r="W358" s="4">
        <f>IF(ISERROR(VLOOKUP($T$358,'TAR FIN'!$A$1:$O$92,15,0)),0,VLOOKUP($T$358,'TAR FIN'!$A$1:$O$92,15,0))</f>
        <v>0</v>
      </c>
      <c r="X358" s="4">
        <f>IF(ISERROR(VLOOKUP($U$358,'TAR FIN'!$A$1:$O$92,15,0)),0,VLOOKUP($U$358,'TAR FIN'!$A$1:$O$92,15,0))</f>
        <v>0</v>
      </c>
      <c r="Y358" s="4">
        <f ca="1">('TUSD BE'!$AM$10+'TUSD BF'!$AM$10+'TUSD CVA'!$AM$10)*1</f>
        <v>19.024476785546895</v>
      </c>
      <c r="Z358" s="4"/>
      <c r="AA358" s="4"/>
      <c r="AB358" s="4">
        <f>$K$358*$V$358</f>
        <v>6573.3600000000006</v>
      </c>
      <c r="AC358" s="4">
        <f>$M$358*$W$358</f>
        <v>0</v>
      </c>
      <c r="AD358" s="4">
        <f>$O$358*$X$358</f>
        <v>0</v>
      </c>
      <c r="AE358" s="4">
        <f ca="1">$K$358*$Y$358</f>
        <v>8541.9900767105555</v>
      </c>
      <c r="AF358" s="4">
        <f>$M$358*$Z$358</f>
        <v>0</v>
      </c>
      <c r="AG358" s="4">
        <f>$O$358*$AA$358</f>
        <v>0</v>
      </c>
    </row>
    <row r="359" spans="1:33" ht="11.25" customHeight="1" x14ac:dyDescent="0.25">
      <c r="A359" s="3" t="s">
        <v>21</v>
      </c>
      <c r="B359" s="3" t="s">
        <v>39</v>
      </c>
      <c r="C359" s="3" t="s">
        <v>41</v>
      </c>
      <c r="D359" s="3" t="s">
        <v>38</v>
      </c>
      <c r="E359" s="3" t="s">
        <v>25</v>
      </c>
      <c r="F359" s="3" t="s">
        <v>25</v>
      </c>
      <c r="G359" s="3" t="s">
        <v>25</v>
      </c>
      <c r="H359" s="3" t="s">
        <v>25</v>
      </c>
      <c r="I359" s="6">
        <v>44743</v>
      </c>
      <c r="J359" s="4">
        <v>10565</v>
      </c>
      <c r="K359" s="4">
        <v>10565</v>
      </c>
      <c r="L359" s="4">
        <v>0</v>
      </c>
      <c r="M359" s="4">
        <v>0</v>
      </c>
      <c r="N359" s="4">
        <v>0</v>
      </c>
      <c r="O359" s="4">
        <v>0</v>
      </c>
      <c r="P359" s="4">
        <v>67</v>
      </c>
      <c r="Q359" s="3" t="s">
        <v>26</v>
      </c>
      <c r="R359" s="3">
        <v>0</v>
      </c>
      <c r="S359" s="4">
        <v>18</v>
      </c>
      <c r="T359" s="4">
        <v>0</v>
      </c>
      <c r="U359" s="4">
        <v>0</v>
      </c>
      <c r="V359" s="4">
        <f>IF(ISERROR(VLOOKUP($S$359,'TAR FIN'!$A$1:$O$92,15,0)),0,VLOOKUP($S$359,'TAR FIN'!$A$1:$O$92,15,0))</f>
        <v>14.64</v>
      </c>
      <c r="W359" s="4">
        <f>IF(ISERROR(VLOOKUP($T$359,'TAR FIN'!$A$1:$O$92,15,0)),0,VLOOKUP($T$359,'TAR FIN'!$A$1:$O$92,15,0))</f>
        <v>0</v>
      </c>
      <c r="X359" s="4">
        <f>IF(ISERROR(VLOOKUP($U$359,'TAR FIN'!$A$1:$O$92,15,0)),0,VLOOKUP($U$359,'TAR FIN'!$A$1:$O$92,15,0))</f>
        <v>0</v>
      </c>
      <c r="Y359" s="4">
        <f ca="1">('TUSD BE'!$AM$10+'TUSD BF'!$AM$10+'TUSD CVA'!$AM$10)*1</f>
        <v>19.024476785546895</v>
      </c>
      <c r="Z359" s="4"/>
      <c r="AA359" s="4"/>
      <c r="AB359" s="4">
        <f>$K$359*$V$359</f>
        <v>154671.6</v>
      </c>
      <c r="AC359" s="4">
        <f>$M$359*$W$359</f>
        <v>0</v>
      </c>
      <c r="AD359" s="4">
        <f>$O$359*$X$359</f>
        <v>0</v>
      </c>
      <c r="AE359" s="4">
        <f ca="1">$K$359*$Y$359</f>
        <v>200993.59723930294</v>
      </c>
      <c r="AF359" s="4">
        <f>$M$359*$Z$359</f>
        <v>0</v>
      </c>
      <c r="AG359" s="4">
        <f>$O$359*$AA$359</f>
        <v>0</v>
      </c>
    </row>
    <row r="360" spans="1:33" ht="11.25" customHeight="1" x14ac:dyDescent="0.25">
      <c r="A360" s="3" t="s">
        <v>28</v>
      </c>
      <c r="B360" s="3" t="s">
        <v>39</v>
      </c>
      <c r="C360" s="3" t="s">
        <v>41</v>
      </c>
      <c r="D360" s="3" t="s">
        <v>38</v>
      </c>
      <c r="E360" s="3" t="s">
        <v>25</v>
      </c>
      <c r="F360" s="3" t="s">
        <v>25</v>
      </c>
      <c r="G360" s="3" t="s">
        <v>25</v>
      </c>
      <c r="H360" s="3" t="s">
        <v>25</v>
      </c>
      <c r="I360" s="6">
        <v>44743</v>
      </c>
      <c r="J360" s="4">
        <v>449</v>
      </c>
      <c r="K360" s="4">
        <v>449</v>
      </c>
      <c r="L360" s="4">
        <v>0</v>
      </c>
      <c r="M360" s="4">
        <v>0</v>
      </c>
      <c r="N360" s="4">
        <v>0</v>
      </c>
      <c r="O360" s="4">
        <v>0</v>
      </c>
      <c r="P360" s="4">
        <v>3</v>
      </c>
      <c r="Q360" s="3" t="s">
        <v>26</v>
      </c>
      <c r="R360" s="3">
        <v>0</v>
      </c>
      <c r="S360" s="4">
        <v>18</v>
      </c>
      <c r="T360" s="4">
        <v>0</v>
      </c>
      <c r="U360" s="4">
        <v>0</v>
      </c>
      <c r="V360" s="4">
        <f>IF(ISERROR(VLOOKUP($S$360,'TAR FIN'!$A$1:$O$92,15,0)),0,VLOOKUP($S$360,'TAR FIN'!$A$1:$O$92,15,0))</f>
        <v>14.64</v>
      </c>
      <c r="W360" s="4">
        <f>IF(ISERROR(VLOOKUP($T$360,'TAR FIN'!$A$1:$O$92,15,0)),0,VLOOKUP($T$360,'TAR FIN'!$A$1:$O$92,15,0))</f>
        <v>0</v>
      </c>
      <c r="X360" s="4">
        <f>IF(ISERROR(VLOOKUP($U$360,'TAR FIN'!$A$1:$O$92,15,0)),0,VLOOKUP($U$360,'TAR FIN'!$A$1:$O$92,15,0))</f>
        <v>0</v>
      </c>
      <c r="Y360" s="4">
        <f ca="1">('TUSD BE'!$AM$10+'TUSD BF'!$AM$10+'TUSD CVA'!$AM$10)*1</f>
        <v>19.024476785546895</v>
      </c>
      <c r="Z360" s="4"/>
      <c r="AA360" s="4"/>
      <c r="AB360" s="4">
        <f>$K$360*$V$360</f>
        <v>6573.3600000000006</v>
      </c>
      <c r="AC360" s="4">
        <f>$M$360*$W$360</f>
        <v>0</v>
      </c>
      <c r="AD360" s="4">
        <f>$O$360*$X$360</f>
        <v>0</v>
      </c>
      <c r="AE360" s="4">
        <f ca="1">$K$360*$Y$360</f>
        <v>8541.9900767105555</v>
      </c>
      <c r="AF360" s="4">
        <f>$M$360*$Z$360</f>
        <v>0</v>
      </c>
      <c r="AG360" s="4">
        <f>$O$360*$AA$360</f>
        <v>0</v>
      </c>
    </row>
    <row r="361" spans="1:33" ht="11.25" customHeight="1" x14ac:dyDescent="0.25">
      <c r="A361" s="3" t="s">
        <v>21</v>
      </c>
      <c r="B361" s="3" t="s">
        <v>39</v>
      </c>
      <c r="C361" s="3" t="s">
        <v>41</v>
      </c>
      <c r="D361" s="3" t="s">
        <v>38</v>
      </c>
      <c r="E361" s="3" t="s">
        <v>25</v>
      </c>
      <c r="F361" s="3" t="s">
        <v>25</v>
      </c>
      <c r="G361" s="3" t="s">
        <v>25</v>
      </c>
      <c r="H361" s="3" t="s">
        <v>25</v>
      </c>
      <c r="I361" s="6">
        <v>44774</v>
      </c>
      <c r="J361" s="4">
        <v>10455</v>
      </c>
      <c r="K361" s="4">
        <v>10455</v>
      </c>
      <c r="L361" s="4">
        <v>0</v>
      </c>
      <c r="M361" s="4">
        <v>0</v>
      </c>
      <c r="N361" s="4">
        <v>0</v>
      </c>
      <c r="O361" s="4">
        <v>0</v>
      </c>
      <c r="P361" s="4">
        <v>66</v>
      </c>
      <c r="Q361" s="3" t="s">
        <v>26</v>
      </c>
      <c r="R361" s="3">
        <v>0</v>
      </c>
      <c r="S361" s="4">
        <v>18</v>
      </c>
      <c r="T361" s="4">
        <v>0</v>
      </c>
      <c r="U361" s="4">
        <v>0</v>
      </c>
      <c r="V361" s="4">
        <f>IF(ISERROR(VLOOKUP($S$361,'TAR FIN'!$A$1:$O$92,15,0)),0,VLOOKUP($S$361,'TAR FIN'!$A$1:$O$92,15,0))</f>
        <v>14.64</v>
      </c>
      <c r="W361" s="4">
        <f>IF(ISERROR(VLOOKUP($T$361,'TAR FIN'!$A$1:$O$92,15,0)),0,VLOOKUP($T$361,'TAR FIN'!$A$1:$O$92,15,0))</f>
        <v>0</v>
      </c>
      <c r="X361" s="4">
        <f>IF(ISERROR(VLOOKUP($U$361,'TAR FIN'!$A$1:$O$92,15,0)),0,VLOOKUP($U$361,'TAR FIN'!$A$1:$O$92,15,0))</f>
        <v>0</v>
      </c>
      <c r="Y361" s="4">
        <f ca="1">('TUSD BE'!$AM$10+'TUSD BF'!$AM$10+'TUSD CVA'!$AM$10)*1</f>
        <v>19.024476785546895</v>
      </c>
      <c r="Z361" s="4"/>
      <c r="AA361" s="4"/>
      <c r="AB361" s="4">
        <f>$K$361*$V$361</f>
        <v>153061.20000000001</v>
      </c>
      <c r="AC361" s="4">
        <f>$M$361*$W$361</f>
        <v>0</v>
      </c>
      <c r="AD361" s="4">
        <f>$O$361*$X$361</f>
        <v>0</v>
      </c>
      <c r="AE361" s="4">
        <f ca="1">$K$361*$Y$361</f>
        <v>198900.90479289278</v>
      </c>
      <c r="AF361" s="4">
        <f>$M$361*$Z$361</f>
        <v>0</v>
      </c>
      <c r="AG361" s="4">
        <f>$O$361*$AA$361</f>
        <v>0</v>
      </c>
    </row>
    <row r="362" spans="1:33" ht="11.25" customHeight="1" x14ac:dyDescent="0.25">
      <c r="A362" s="3" t="s">
        <v>28</v>
      </c>
      <c r="B362" s="3" t="s">
        <v>39</v>
      </c>
      <c r="C362" s="3" t="s">
        <v>41</v>
      </c>
      <c r="D362" s="3" t="s">
        <v>38</v>
      </c>
      <c r="E362" s="3" t="s">
        <v>25</v>
      </c>
      <c r="F362" s="3" t="s">
        <v>25</v>
      </c>
      <c r="G362" s="3" t="s">
        <v>25</v>
      </c>
      <c r="H362" s="3" t="s">
        <v>25</v>
      </c>
      <c r="I362" s="6">
        <v>44774</v>
      </c>
      <c r="J362" s="4">
        <v>462</v>
      </c>
      <c r="K362" s="4">
        <v>462</v>
      </c>
      <c r="L362" s="4">
        <v>0</v>
      </c>
      <c r="M362" s="4">
        <v>0</v>
      </c>
      <c r="N362" s="4">
        <v>0</v>
      </c>
      <c r="O362" s="4">
        <v>0</v>
      </c>
      <c r="P362" s="4">
        <v>3</v>
      </c>
      <c r="Q362" s="3" t="s">
        <v>26</v>
      </c>
      <c r="R362" s="3">
        <v>0</v>
      </c>
      <c r="S362" s="4">
        <v>18</v>
      </c>
      <c r="T362" s="4">
        <v>0</v>
      </c>
      <c r="U362" s="4">
        <v>0</v>
      </c>
      <c r="V362" s="4">
        <f>IF(ISERROR(VLOOKUP($S$362,'TAR FIN'!$A$1:$O$92,15,0)),0,VLOOKUP($S$362,'TAR FIN'!$A$1:$O$92,15,0))</f>
        <v>14.64</v>
      </c>
      <c r="W362" s="4">
        <f>IF(ISERROR(VLOOKUP($T$362,'TAR FIN'!$A$1:$O$92,15,0)),0,VLOOKUP($T$362,'TAR FIN'!$A$1:$O$92,15,0))</f>
        <v>0</v>
      </c>
      <c r="X362" s="4">
        <f>IF(ISERROR(VLOOKUP($U$362,'TAR FIN'!$A$1:$O$92,15,0)),0,VLOOKUP($U$362,'TAR FIN'!$A$1:$O$92,15,0))</f>
        <v>0</v>
      </c>
      <c r="Y362" s="4">
        <f ca="1">('TUSD BE'!$AM$10+'TUSD BF'!$AM$10+'TUSD CVA'!$AM$10)*1</f>
        <v>19.024476785546895</v>
      </c>
      <c r="Z362" s="4"/>
      <c r="AA362" s="4"/>
      <c r="AB362" s="4">
        <f>$K$362*$V$362</f>
        <v>6763.68</v>
      </c>
      <c r="AC362" s="4">
        <f>$M$362*$W$362</f>
        <v>0</v>
      </c>
      <c r="AD362" s="4">
        <f>$O$362*$X$362</f>
        <v>0</v>
      </c>
      <c r="AE362" s="4">
        <f ca="1">$K$362*$Y$362</f>
        <v>8789.3082749226651</v>
      </c>
      <c r="AF362" s="4">
        <f>$M$362*$Z$362</f>
        <v>0</v>
      </c>
      <c r="AG362" s="4">
        <f>$O$362*$AA$362</f>
        <v>0</v>
      </c>
    </row>
    <row r="363" spans="1:33" ht="11.25" customHeight="1" x14ac:dyDescent="0.25">
      <c r="A363" s="3" t="s">
        <v>21</v>
      </c>
      <c r="B363" s="3" t="s">
        <v>39</v>
      </c>
      <c r="C363" s="3" t="s">
        <v>41</v>
      </c>
      <c r="D363" s="3" t="s">
        <v>38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44805</v>
      </c>
      <c r="J363" s="4">
        <v>10977</v>
      </c>
      <c r="K363" s="4">
        <v>10977</v>
      </c>
      <c r="L363" s="4">
        <v>0</v>
      </c>
      <c r="M363" s="4">
        <v>0</v>
      </c>
      <c r="N363" s="4">
        <v>0</v>
      </c>
      <c r="O363" s="4">
        <v>0</v>
      </c>
      <c r="P363" s="4">
        <v>67</v>
      </c>
      <c r="Q363" s="3" t="s">
        <v>26</v>
      </c>
      <c r="R363" s="3">
        <v>0</v>
      </c>
      <c r="S363" s="4">
        <v>18</v>
      </c>
      <c r="T363" s="4">
        <v>0</v>
      </c>
      <c r="U363" s="4">
        <v>0</v>
      </c>
      <c r="V363" s="4">
        <f>IF(ISERROR(VLOOKUP($S$363,'TAR FIN'!$A$1:$O$92,15,0)),0,VLOOKUP($S$363,'TAR FIN'!$A$1:$O$92,15,0))</f>
        <v>14.64</v>
      </c>
      <c r="W363" s="4">
        <f>IF(ISERROR(VLOOKUP($T$363,'TAR FIN'!$A$1:$O$92,15,0)),0,VLOOKUP($T$363,'TAR FIN'!$A$1:$O$92,15,0))</f>
        <v>0</v>
      </c>
      <c r="X363" s="4">
        <f>IF(ISERROR(VLOOKUP($U$363,'TAR FIN'!$A$1:$O$92,15,0)),0,VLOOKUP($U$363,'TAR FIN'!$A$1:$O$92,15,0))</f>
        <v>0</v>
      </c>
      <c r="Y363" s="4">
        <f ca="1">('TUSD BE'!$AM$10+'TUSD BF'!$AM$10+'TUSD CVA'!$AM$10)*1</f>
        <v>19.024476785546895</v>
      </c>
      <c r="Z363" s="4"/>
      <c r="AA363" s="4"/>
      <c r="AB363" s="4">
        <f>$K$363*$V$363</f>
        <v>160703.28</v>
      </c>
      <c r="AC363" s="4">
        <f>$M$363*$W$363</f>
        <v>0</v>
      </c>
      <c r="AD363" s="4">
        <f>$O$363*$X$363</f>
        <v>0</v>
      </c>
      <c r="AE363" s="4">
        <f ca="1">$K$363*$Y$363</f>
        <v>208831.68167494825</v>
      </c>
      <c r="AF363" s="4">
        <f>$M$363*$Z$363</f>
        <v>0</v>
      </c>
      <c r="AG363" s="4">
        <f>$O$363*$AA$363</f>
        <v>0</v>
      </c>
    </row>
    <row r="364" spans="1:33" ht="11.25" customHeight="1" x14ac:dyDescent="0.25">
      <c r="A364" s="3" t="s">
        <v>28</v>
      </c>
      <c r="B364" s="3" t="s">
        <v>39</v>
      </c>
      <c r="C364" s="3" t="s">
        <v>41</v>
      </c>
      <c r="D364" s="3" t="s">
        <v>38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44805</v>
      </c>
      <c r="J364" s="4">
        <v>455</v>
      </c>
      <c r="K364" s="4">
        <v>455</v>
      </c>
      <c r="L364" s="4">
        <v>0</v>
      </c>
      <c r="M364" s="4">
        <v>0</v>
      </c>
      <c r="N364" s="4">
        <v>0</v>
      </c>
      <c r="O364" s="4">
        <v>0</v>
      </c>
      <c r="P364" s="4">
        <v>3</v>
      </c>
      <c r="Q364" s="3" t="s">
        <v>26</v>
      </c>
      <c r="R364" s="3">
        <v>0</v>
      </c>
      <c r="S364" s="4">
        <v>18</v>
      </c>
      <c r="T364" s="4">
        <v>0</v>
      </c>
      <c r="U364" s="4">
        <v>0</v>
      </c>
      <c r="V364" s="4">
        <f>IF(ISERROR(VLOOKUP($S$364,'TAR FIN'!$A$1:$O$92,15,0)),0,VLOOKUP($S$364,'TAR FIN'!$A$1:$O$92,15,0))</f>
        <v>14.64</v>
      </c>
      <c r="W364" s="4">
        <f>IF(ISERROR(VLOOKUP($T$364,'TAR FIN'!$A$1:$O$92,15,0)),0,VLOOKUP($T$364,'TAR FIN'!$A$1:$O$92,15,0))</f>
        <v>0</v>
      </c>
      <c r="X364" s="4">
        <f>IF(ISERROR(VLOOKUP($U$364,'TAR FIN'!$A$1:$O$92,15,0)),0,VLOOKUP($U$364,'TAR FIN'!$A$1:$O$92,15,0))</f>
        <v>0</v>
      </c>
      <c r="Y364" s="4">
        <f ca="1">('TUSD BE'!$AM$10+'TUSD BF'!$AM$10+'TUSD CVA'!$AM$10)*1</f>
        <v>19.024476785546895</v>
      </c>
      <c r="Z364" s="4"/>
      <c r="AA364" s="4"/>
      <c r="AB364" s="4">
        <f>$K$364*$V$364</f>
        <v>6661.2</v>
      </c>
      <c r="AC364" s="4">
        <f>$M$364*$W$364</f>
        <v>0</v>
      </c>
      <c r="AD364" s="4">
        <f>$O$364*$X$364</f>
        <v>0</v>
      </c>
      <c r="AE364" s="4">
        <f ca="1">$K$364*$Y$364</f>
        <v>8656.1369374238366</v>
      </c>
      <c r="AF364" s="4">
        <f>$M$364*$Z$364</f>
        <v>0</v>
      </c>
      <c r="AG364" s="4">
        <f>$O$364*$AA$364</f>
        <v>0</v>
      </c>
    </row>
    <row r="365" spans="1:33" ht="11.25" customHeight="1" x14ac:dyDescent="0.25">
      <c r="A365" s="3" t="s">
        <v>55</v>
      </c>
      <c r="B365" s="3" t="s">
        <v>39</v>
      </c>
      <c r="C365" s="3" t="s">
        <v>41</v>
      </c>
      <c r="D365" s="3" t="s">
        <v>38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44835</v>
      </c>
      <c r="J365" s="4">
        <v>10977</v>
      </c>
      <c r="K365" s="4">
        <v>10977</v>
      </c>
      <c r="L365" s="4">
        <v>0</v>
      </c>
      <c r="M365" s="4">
        <v>0</v>
      </c>
      <c r="N365" s="4">
        <v>0</v>
      </c>
      <c r="O365" s="4">
        <v>0</v>
      </c>
      <c r="P365" s="4">
        <v>67</v>
      </c>
      <c r="Q365" s="3" t="s">
        <v>26</v>
      </c>
      <c r="R365" s="3">
        <v>0</v>
      </c>
      <c r="S365" s="4">
        <v>18</v>
      </c>
      <c r="T365" s="4">
        <v>0</v>
      </c>
      <c r="U365" s="4">
        <v>0</v>
      </c>
      <c r="V365" s="4">
        <f>IF(ISERROR(VLOOKUP($S$365,'TAR FIN'!$A$1:$O$92,15,0)),0,VLOOKUP($S$365,'TAR FIN'!$A$1:$O$92,15,0))</f>
        <v>14.64</v>
      </c>
      <c r="W365" s="4">
        <f>IF(ISERROR(VLOOKUP($T$365,'TAR FIN'!$A$1:$O$92,15,0)),0,VLOOKUP($T$365,'TAR FIN'!$A$1:$O$92,15,0))</f>
        <v>0</v>
      </c>
      <c r="X365" s="4">
        <f>IF(ISERROR(VLOOKUP($U$365,'TAR FIN'!$A$1:$O$92,15,0)),0,VLOOKUP($U$365,'TAR FIN'!$A$1:$O$92,15,0))</f>
        <v>0</v>
      </c>
      <c r="Y365" s="4">
        <f ca="1">('TUSD BE'!$AM$10+'TUSD BF'!$AM$10+'TUSD CVA'!$AM$10)*1</f>
        <v>19.024476785546895</v>
      </c>
      <c r="Z365" s="4"/>
      <c r="AA365" s="4"/>
      <c r="AB365" s="4">
        <f>$K$365*$V$365</f>
        <v>160703.28</v>
      </c>
      <c r="AC365" s="4">
        <f>$M$365*$W$365</f>
        <v>0</v>
      </c>
      <c r="AD365" s="4">
        <f>$O$365*$X$365</f>
        <v>0</v>
      </c>
      <c r="AE365" s="4">
        <f ca="1">$K$365*$Y$365</f>
        <v>208831.68167494825</v>
      </c>
      <c r="AF365" s="4">
        <f>$M$365*$Z$365</f>
        <v>0</v>
      </c>
      <c r="AG365" s="4">
        <f>$O$365*$AA$365</f>
        <v>0</v>
      </c>
    </row>
    <row r="366" spans="1:33" ht="11.25" customHeight="1" x14ac:dyDescent="0.25">
      <c r="A366" s="3" t="s">
        <v>55</v>
      </c>
      <c r="B366" s="3" t="s">
        <v>39</v>
      </c>
      <c r="C366" s="3" t="s">
        <v>41</v>
      </c>
      <c r="D366" s="3" t="s">
        <v>38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44835</v>
      </c>
      <c r="J366" s="4">
        <v>455</v>
      </c>
      <c r="K366" s="4">
        <v>455</v>
      </c>
      <c r="L366" s="4">
        <v>0</v>
      </c>
      <c r="M366" s="4">
        <v>0</v>
      </c>
      <c r="N366" s="4">
        <v>0</v>
      </c>
      <c r="O366" s="4">
        <v>0</v>
      </c>
      <c r="P366" s="4">
        <v>3</v>
      </c>
      <c r="Q366" s="3" t="s">
        <v>26</v>
      </c>
      <c r="R366" s="3">
        <v>0</v>
      </c>
      <c r="S366" s="4">
        <v>18</v>
      </c>
      <c r="T366" s="4">
        <v>0</v>
      </c>
      <c r="U366" s="4">
        <v>0</v>
      </c>
      <c r="V366" s="4">
        <f>IF(ISERROR(VLOOKUP($S$366,'TAR FIN'!$A$1:$O$92,15,0)),0,VLOOKUP($S$366,'TAR FIN'!$A$1:$O$92,15,0))</f>
        <v>14.64</v>
      </c>
      <c r="W366" s="4">
        <f>IF(ISERROR(VLOOKUP($T$366,'TAR FIN'!$A$1:$O$92,15,0)),0,VLOOKUP($T$366,'TAR FIN'!$A$1:$O$92,15,0))</f>
        <v>0</v>
      </c>
      <c r="X366" s="4">
        <f>IF(ISERROR(VLOOKUP($U$366,'TAR FIN'!$A$1:$O$92,15,0)),0,VLOOKUP($U$366,'TAR FIN'!$A$1:$O$92,15,0))</f>
        <v>0</v>
      </c>
      <c r="Y366" s="4">
        <f ca="1">('TUSD BE'!$AM$10+'TUSD BF'!$AM$10+'TUSD CVA'!$AM$10)*1</f>
        <v>19.024476785546895</v>
      </c>
      <c r="Z366" s="4"/>
      <c r="AA366" s="4"/>
      <c r="AB366" s="4">
        <f>$K$366*$V$366</f>
        <v>6661.2</v>
      </c>
      <c r="AC366" s="4">
        <f>$M$366*$W$366</f>
        <v>0</v>
      </c>
      <c r="AD366" s="4">
        <f>$O$366*$X$366</f>
        <v>0</v>
      </c>
      <c r="AE366" s="4">
        <f ca="1">$K$366*$Y$366</f>
        <v>8656.1369374238366</v>
      </c>
      <c r="AF366" s="4">
        <f>$M$366*$Z$366</f>
        <v>0</v>
      </c>
      <c r="AG366" s="4">
        <f>$O$366*$AA$366</f>
        <v>0</v>
      </c>
    </row>
    <row r="367" spans="1:33" ht="11.25" customHeight="1" x14ac:dyDescent="0.25">
      <c r="A367" s="3" t="s">
        <v>21</v>
      </c>
      <c r="B367" s="3" t="s">
        <v>39</v>
      </c>
      <c r="C367" s="3" t="s">
        <v>41</v>
      </c>
      <c r="D367" s="3" t="s">
        <v>38</v>
      </c>
      <c r="E367" s="3" t="s">
        <v>25</v>
      </c>
      <c r="F367" s="3" t="s">
        <v>25</v>
      </c>
      <c r="G367" s="3" t="s">
        <v>25</v>
      </c>
      <c r="H367" s="3" t="s">
        <v>34</v>
      </c>
      <c r="I367" s="6">
        <v>44501</v>
      </c>
      <c r="J367" s="4">
        <v>0</v>
      </c>
      <c r="K367" s="4">
        <v>0</v>
      </c>
      <c r="L367" s="4">
        <v>40.786000000000001</v>
      </c>
      <c r="M367" s="4">
        <v>40.786000000000001</v>
      </c>
      <c r="N367" s="4">
        <v>40.786000000000001</v>
      </c>
      <c r="O367" s="4">
        <v>40.786000000000001</v>
      </c>
      <c r="P367" s="4">
        <v>0</v>
      </c>
      <c r="Q367" s="3" t="s">
        <v>26</v>
      </c>
      <c r="R367" s="3">
        <v>0</v>
      </c>
      <c r="S367" s="4">
        <v>0</v>
      </c>
      <c r="T367" s="4">
        <v>11</v>
      </c>
      <c r="U367" s="4">
        <v>71</v>
      </c>
      <c r="V367" s="4">
        <f>IF(ISERROR(VLOOKUP($S$367,'TAR FIN'!$A$1:$O$92,15,0)),0,VLOOKUP($S$367,'TAR FIN'!$A$1:$O$92,15,0))</f>
        <v>0</v>
      </c>
      <c r="W367" s="4">
        <f>IF(ISERROR(VLOOKUP($T$367,'TAR FIN'!$A$1:$O$92,15,0)),0,VLOOKUP($T$367,'TAR FIN'!$A$1:$O$92,15,0))</f>
        <v>1155.51</v>
      </c>
      <c r="X367" s="4">
        <f>IF(ISERROR(VLOOKUP($U$367,'TAR FIN'!$A$1:$O$92,15,0)),0,VLOOKUP($U$367,'TAR FIN'!$A$1:$O$92,15,0))</f>
        <v>433.77</v>
      </c>
      <c r="Y367" s="4"/>
      <c r="Z367" s="4">
        <f ca="1">('TUSD BE'!$AM$11+'TUSD BF'!$AM$11+'TUSD CVA'!$AM$11)*1</f>
        <v>1493.7817824374656</v>
      </c>
      <c r="AA367" s="4">
        <f>('TE BE'!$AB$5+'TE BF'!$AB$5+'TE CVA'!$AB$5)*1</f>
        <v>542.84414704984056</v>
      </c>
      <c r="AB367" s="4">
        <f>$K$367*$V$367</f>
        <v>0</v>
      </c>
      <c r="AC367" s="4">
        <f>$M$367*$W$367</f>
        <v>47128.630860000005</v>
      </c>
      <c r="AD367" s="4">
        <f>$O$367*$X$367</f>
        <v>17691.74322</v>
      </c>
      <c r="AE367" s="4">
        <f>$K$367*$Y$367</f>
        <v>0</v>
      </c>
      <c r="AF367" s="4">
        <f ca="1">$M$367*$Z$367</f>
        <v>60925.383778494477</v>
      </c>
      <c r="AG367" s="4">
        <f>$O$367*$AA$367</f>
        <v>22140.441381574798</v>
      </c>
    </row>
    <row r="368" spans="1:33" ht="11.25" customHeight="1" x14ac:dyDescent="0.25">
      <c r="A368" s="3" t="s">
        <v>28</v>
      </c>
      <c r="B368" s="3" t="s">
        <v>39</v>
      </c>
      <c r="C368" s="3" t="s">
        <v>41</v>
      </c>
      <c r="D368" s="3" t="s">
        <v>38</v>
      </c>
      <c r="E368" s="3" t="s">
        <v>25</v>
      </c>
      <c r="F368" s="3" t="s">
        <v>25</v>
      </c>
      <c r="G368" s="3" t="s">
        <v>25</v>
      </c>
      <c r="H368" s="3" t="s">
        <v>34</v>
      </c>
      <c r="I368" s="6">
        <v>44501</v>
      </c>
      <c r="J368" s="4">
        <v>0</v>
      </c>
      <c r="K368" s="4">
        <v>0</v>
      </c>
      <c r="L368" s="4">
        <v>4.7969999999999997</v>
      </c>
      <c r="M368" s="4">
        <v>4.7969999999999997</v>
      </c>
      <c r="N368" s="4">
        <v>4.7969999999999997</v>
      </c>
      <c r="O368" s="4">
        <v>4.7969999999999997</v>
      </c>
      <c r="P368" s="4">
        <v>0</v>
      </c>
      <c r="Q368" s="3" t="s">
        <v>26</v>
      </c>
      <c r="R368" s="3">
        <v>0</v>
      </c>
      <c r="S368" s="4">
        <v>0</v>
      </c>
      <c r="T368" s="4">
        <v>11</v>
      </c>
      <c r="U368" s="4">
        <v>71</v>
      </c>
      <c r="V368" s="4">
        <f>IF(ISERROR(VLOOKUP($S$368,'TAR FIN'!$A$1:$O$92,15,0)),0,VLOOKUP($S$368,'TAR FIN'!$A$1:$O$92,15,0))</f>
        <v>0</v>
      </c>
      <c r="W368" s="4">
        <f>IF(ISERROR(VLOOKUP($T$368,'TAR FIN'!$A$1:$O$92,15,0)),0,VLOOKUP($T$368,'TAR FIN'!$A$1:$O$92,15,0))</f>
        <v>1155.51</v>
      </c>
      <c r="X368" s="4">
        <f>IF(ISERROR(VLOOKUP($U$368,'TAR FIN'!$A$1:$O$92,15,0)),0,VLOOKUP($U$368,'TAR FIN'!$A$1:$O$92,15,0))</f>
        <v>433.77</v>
      </c>
      <c r="Y368" s="4"/>
      <c r="Z368" s="4">
        <f ca="1">('TUSD BE'!$AM$11+'TUSD BF'!$AM$11+'TUSD CVA'!$AM$11)*1</f>
        <v>1493.7817824374656</v>
      </c>
      <c r="AA368" s="4">
        <f>('TE BE'!$AB$5+'TE BF'!$AB$5+'TE CVA'!$AB$5)*1</f>
        <v>542.84414704984056</v>
      </c>
      <c r="AB368" s="4">
        <f>$K$368*$V$368</f>
        <v>0</v>
      </c>
      <c r="AC368" s="4">
        <f>$M$368*$W$368</f>
        <v>5542.9814699999997</v>
      </c>
      <c r="AD368" s="4">
        <f>$O$368*$X$368</f>
        <v>2080.7946899999997</v>
      </c>
      <c r="AE368" s="4">
        <f>$K$368*$Y$368</f>
        <v>0</v>
      </c>
      <c r="AF368" s="4">
        <f ca="1">$M$368*$Z$368</f>
        <v>7165.6712103525224</v>
      </c>
      <c r="AG368" s="4">
        <f>$O$368*$AA$368</f>
        <v>2604.0233733980849</v>
      </c>
    </row>
    <row r="369" spans="1:33" ht="11.25" customHeight="1" x14ac:dyDescent="0.25">
      <c r="A369" s="3" t="s">
        <v>21</v>
      </c>
      <c r="B369" s="3" t="s">
        <v>39</v>
      </c>
      <c r="C369" s="3" t="s">
        <v>41</v>
      </c>
      <c r="D369" s="3" t="s">
        <v>38</v>
      </c>
      <c r="E369" s="3" t="s">
        <v>25</v>
      </c>
      <c r="F369" s="3" t="s">
        <v>25</v>
      </c>
      <c r="G369" s="3" t="s">
        <v>25</v>
      </c>
      <c r="H369" s="3" t="s">
        <v>34</v>
      </c>
      <c r="I369" s="6">
        <v>44531</v>
      </c>
      <c r="J369" s="4">
        <v>0</v>
      </c>
      <c r="K369" s="4">
        <v>0</v>
      </c>
      <c r="L369" s="4">
        <v>44.542000000000002</v>
      </c>
      <c r="M369" s="4">
        <v>44.542000000000002</v>
      </c>
      <c r="N369" s="4">
        <v>44.542000000000002</v>
      </c>
      <c r="O369" s="4">
        <v>44.542000000000002</v>
      </c>
      <c r="P369" s="4">
        <v>0</v>
      </c>
      <c r="Q369" s="3" t="s">
        <v>26</v>
      </c>
      <c r="R369" s="3">
        <v>0</v>
      </c>
      <c r="S369" s="4">
        <v>0</v>
      </c>
      <c r="T369" s="4">
        <v>11</v>
      </c>
      <c r="U369" s="4">
        <v>71</v>
      </c>
      <c r="V369" s="4">
        <f>IF(ISERROR(VLOOKUP($S$369,'TAR FIN'!$A$1:$O$92,15,0)),0,VLOOKUP($S$369,'TAR FIN'!$A$1:$O$92,15,0))</f>
        <v>0</v>
      </c>
      <c r="W369" s="4">
        <f>IF(ISERROR(VLOOKUP($T$369,'TAR FIN'!$A$1:$O$92,15,0)),0,VLOOKUP($T$369,'TAR FIN'!$A$1:$O$92,15,0))</f>
        <v>1155.51</v>
      </c>
      <c r="X369" s="4">
        <f>IF(ISERROR(VLOOKUP($U$369,'TAR FIN'!$A$1:$O$92,15,0)),0,VLOOKUP($U$369,'TAR FIN'!$A$1:$O$92,15,0))</f>
        <v>433.77</v>
      </c>
      <c r="Y369" s="4"/>
      <c r="Z369" s="4">
        <f ca="1">('TUSD BE'!$AM$11+'TUSD BF'!$AM$11+'TUSD CVA'!$AM$11)*1</f>
        <v>1493.7817824374656</v>
      </c>
      <c r="AA369" s="4">
        <f>('TE BE'!$AB$5+'TE BF'!$AB$5+'TE CVA'!$AB$5)*1</f>
        <v>542.84414704984056</v>
      </c>
      <c r="AB369" s="4">
        <f>$K$369*$V$369</f>
        <v>0</v>
      </c>
      <c r="AC369" s="4">
        <f>$M$369*$W$369</f>
        <v>51468.726419999999</v>
      </c>
      <c r="AD369" s="4">
        <f>$O$369*$X$369</f>
        <v>19320.983339999999</v>
      </c>
      <c r="AE369" s="4">
        <f>$K$369*$Y$369</f>
        <v>0</v>
      </c>
      <c r="AF369" s="4">
        <f ca="1">$M$369*$Z$369</f>
        <v>66536.028153329593</v>
      </c>
      <c r="AG369" s="4">
        <f>$O$369*$AA$369</f>
        <v>24179.363997893997</v>
      </c>
    </row>
    <row r="370" spans="1:33" ht="11.25" customHeight="1" x14ac:dyDescent="0.25">
      <c r="A370" s="3" t="s">
        <v>28</v>
      </c>
      <c r="B370" s="3" t="s">
        <v>39</v>
      </c>
      <c r="C370" s="3" t="s">
        <v>41</v>
      </c>
      <c r="D370" s="3" t="s">
        <v>38</v>
      </c>
      <c r="E370" s="3" t="s">
        <v>25</v>
      </c>
      <c r="F370" s="3" t="s">
        <v>25</v>
      </c>
      <c r="G370" s="3" t="s">
        <v>25</v>
      </c>
      <c r="H370" s="3" t="s">
        <v>34</v>
      </c>
      <c r="I370" s="6">
        <v>44531</v>
      </c>
      <c r="J370" s="4">
        <v>0</v>
      </c>
      <c r="K370" s="4">
        <v>0</v>
      </c>
      <c r="L370" s="4">
        <v>5.6280000000000001</v>
      </c>
      <c r="M370" s="4">
        <v>5.6280000000000001</v>
      </c>
      <c r="N370" s="4">
        <v>5.6280000000000001</v>
      </c>
      <c r="O370" s="4">
        <v>5.6280000000000001</v>
      </c>
      <c r="P370" s="4">
        <v>0</v>
      </c>
      <c r="Q370" s="3" t="s">
        <v>26</v>
      </c>
      <c r="R370" s="3">
        <v>0</v>
      </c>
      <c r="S370" s="4">
        <v>0</v>
      </c>
      <c r="T370" s="4">
        <v>11</v>
      </c>
      <c r="U370" s="4">
        <v>71</v>
      </c>
      <c r="V370" s="4">
        <f>IF(ISERROR(VLOOKUP($S$370,'TAR FIN'!$A$1:$O$92,15,0)),0,VLOOKUP($S$370,'TAR FIN'!$A$1:$O$92,15,0))</f>
        <v>0</v>
      </c>
      <c r="W370" s="4">
        <f>IF(ISERROR(VLOOKUP($T$370,'TAR FIN'!$A$1:$O$92,15,0)),0,VLOOKUP($T$370,'TAR FIN'!$A$1:$O$92,15,0))</f>
        <v>1155.51</v>
      </c>
      <c r="X370" s="4">
        <f>IF(ISERROR(VLOOKUP($U$370,'TAR FIN'!$A$1:$O$92,15,0)),0,VLOOKUP($U$370,'TAR FIN'!$A$1:$O$92,15,0))</f>
        <v>433.77</v>
      </c>
      <c r="Y370" s="4"/>
      <c r="Z370" s="4">
        <f ca="1">('TUSD BE'!$AM$11+'TUSD BF'!$AM$11+'TUSD CVA'!$AM$11)*1</f>
        <v>1493.7817824374656</v>
      </c>
      <c r="AA370" s="4">
        <f>('TE BE'!$AB$5+'TE BF'!$AB$5+'TE CVA'!$AB$5)*1</f>
        <v>542.84414704984056</v>
      </c>
      <c r="AB370" s="4">
        <f>$K$370*$V$370</f>
        <v>0</v>
      </c>
      <c r="AC370" s="4">
        <f>$M$370*$W$370</f>
        <v>6503.2102800000002</v>
      </c>
      <c r="AD370" s="4">
        <f>$O$370*$X$370</f>
        <v>2441.25756</v>
      </c>
      <c r="AE370" s="4">
        <f>$K$370*$Y$370</f>
        <v>0</v>
      </c>
      <c r="AF370" s="4">
        <f ca="1">$M$370*$Z$370</f>
        <v>8407.0038715580558</v>
      </c>
      <c r="AG370" s="4">
        <f>$O$370*$AA$370</f>
        <v>3055.1268595965025</v>
      </c>
    </row>
    <row r="371" spans="1:33" ht="11.25" customHeight="1" x14ac:dyDescent="0.25">
      <c r="A371" s="3" t="s">
        <v>21</v>
      </c>
      <c r="B371" s="3" t="s">
        <v>39</v>
      </c>
      <c r="C371" s="3" t="s">
        <v>41</v>
      </c>
      <c r="D371" s="3" t="s">
        <v>38</v>
      </c>
      <c r="E371" s="3" t="s">
        <v>25</v>
      </c>
      <c r="F371" s="3" t="s">
        <v>25</v>
      </c>
      <c r="G371" s="3" t="s">
        <v>25</v>
      </c>
      <c r="H371" s="3" t="s">
        <v>34</v>
      </c>
      <c r="I371" s="6">
        <v>44562</v>
      </c>
      <c r="J371" s="4">
        <v>0</v>
      </c>
      <c r="K371" s="4">
        <v>0</v>
      </c>
      <c r="L371" s="4">
        <v>41.594000000000001</v>
      </c>
      <c r="M371" s="4">
        <v>41.594000000000001</v>
      </c>
      <c r="N371" s="4">
        <v>41.594000000000001</v>
      </c>
      <c r="O371" s="4">
        <v>41.594000000000001</v>
      </c>
      <c r="P371" s="4">
        <v>0</v>
      </c>
      <c r="Q371" s="3" t="s">
        <v>26</v>
      </c>
      <c r="R371" s="3">
        <v>0</v>
      </c>
      <c r="S371" s="4">
        <v>0</v>
      </c>
      <c r="T371" s="4">
        <v>11</v>
      </c>
      <c r="U371" s="4">
        <v>71</v>
      </c>
      <c r="V371" s="4">
        <f>IF(ISERROR(VLOOKUP($S$371,'TAR FIN'!$A$1:$O$92,15,0)),0,VLOOKUP($S$371,'TAR FIN'!$A$1:$O$92,15,0))</f>
        <v>0</v>
      </c>
      <c r="W371" s="4">
        <f>IF(ISERROR(VLOOKUP($T$371,'TAR FIN'!$A$1:$O$92,15,0)),0,VLOOKUP($T$371,'TAR FIN'!$A$1:$O$92,15,0))</f>
        <v>1155.51</v>
      </c>
      <c r="X371" s="4">
        <f>IF(ISERROR(VLOOKUP($U$371,'TAR FIN'!$A$1:$O$92,15,0)),0,VLOOKUP($U$371,'TAR FIN'!$A$1:$O$92,15,0))</f>
        <v>433.77</v>
      </c>
      <c r="Y371" s="4"/>
      <c r="Z371" s="4">
        <f ca="1">('TUSD BE'!$AM$11+'TUSD BF'!$AM$11+'TUSD CVA'!$AM$11)*1</f>
        <v>1493.7817824374656</v>
      </c>
      <c r="AA371" s="4">
        <f>('TE BE'!$AB$5+'TE BF'!$AB$5+'TE CVA'!$AB$5)*1</f>
        <v>542.84414704984056</v>
      </c>
      <c r="AB371" s="4">
        <f>$K$371*$V$371</f>
        <v>0</v>
      </c>
      <c r="AC371" s="4">
        <f>$M$371*$W$371</f>
        <v>48062.282940000005</v>
      </c>
      <c r="AD371" s="4">
        <f>$O$371*$X$371</f>
        <v>18042.229380000001</v>
      </c>
      <c r="AE371" s="4">
        <f>$K$371*$Y$371</f>
        <v>0</v>
      </c>
      <c r="AF371" s="4">
        <f ca="1">$M$371*$Z$371</f>
        <v>62132.359458703948</v>
      </c>
      <c r="AG371" s="4">
        <f>$O$371*$AA$371</f>
        <v>22579.059452391069</v>
      </c>
    </row>
    <row r="372" spans="1:33" ht="11.25" customHeight="1" x14ac:dyDescent="0.25">
      <c r="A372" s="3" t="s">
        <v>28</v>
      </c>
      <c r="B372" s="3" t="s">
        <v>39</v>
      </c>
      <c r="C372" s="3" t="s">
        <v>41</v>
      </c>
      <c r="D372" s="3" t="s">
        <v>38</v>
      </c>
      <c r="E372" s="3" t="s">
        <v>25</v>
      </c>
      <c r="F372" s="3" t="s">
        <v>25</v>
      </c>
      <c r="G372" s="3" t="s">
        <v>25</v>
      </c>
      <c r="H372" s="3" t="s">
        <v>34</v>
      </c>
      <c r="I372" s="6">
        <v>44562</v>
      </c>
      <c r="J372" s="4">
        <v>0</v>
      </c>
      <c r="K372" s="4">
        <v>0</v>
      </c>
      <c r="L372" s="4">
        <v>4.9870000000000001</v>
      </c>
      <c r="M372" s="4">
        <v>4.9870000000000001</v>
      </c>
      <c r="N372" s="4">
        <v>4.9870000000000001</v>
      </c>
      <c r="O372" s="4">
        <v>4.9870000000000001</v>
      </c>
      <c r="P372" s="4">
        <v>0</v>
      </c>
      <c r="Q372" s="3" t="s">
        <v>26</v>
      </c>
      <c r="R372" s="3">
        <v>0</v>
      </c>
      <c r="S372" s="4">
        <v>0</v>
      </c>
      <c r="T372" s="4">
        <v>11</v>
      </c>
      <c r="U372" s="4">
        <v>71</v>
      </c>
      <c r="V372" s="4">
        <f>IF(ISERROR(VLOOKUP($S$372,'TAR FIN'!$A$1:$O$92,15,0)),0,VLOOKUP($S$372,'TAR FIN'!$A$1:$O$92,15,0))</f>
        <v>0</v>
      </c>
      <c r="W372" s="4">
        <f>IF(ISERROR(VLOOKUP($T$372,'TAR FIN'!$A$1:$O$92,15,0)),0,VLOOKUP($T$372,'TAR FIN'!$A$1:$O$92,15,0))</f>
        <v>1155.51</v>
      </c>
      <c r="X372" s="4">
        <f>IF(ISERROR(VLOOKUP($U$372,'TAR FIN'!$A$1:$O$92,15,0)),0,VLOOKUP($U$372,'TAR FIN'!$A$1:$O$92,15,0))</f>
        <v>433.77</v>
      </c>
      <c r="Y372" s="4"/>
      <c r="Z372" s="4">
        <f ca="1">('TUSD BE'!$AM$11+'TUSD BF'!$AM$11+'TUSD CVA'!$AM$11)*1</f>
        <v>1493.7817824374656</v>
      </c>
      <c r="AA372" s="4">
        <f>('TE BE'!$AB$5+'TE BF'!$AB$5+'TE CVA'!$AB$5)*1</f>
        <v>542.84414704984056</v>
      </c>
      <c r="AB372" s="4">
        <f>$K$372*$V$372</f>
        <v>0</v>
      </c>
      <c r="AC372" s="4">
        <f>$M$372*$W$372</f>
        <v>5762.52837</v>
      </c>
      <c r="AD372" s="4">
        <f>$O$372*$X$372</f>
        <v>2163.21099</v>
      </c>
      <c r="AE372" s="4">
        <f>$K$372*$Y$372</f>
        <v>0</v>
      </c>
      <c r="AF372" s="4">
        <f ca="1">$M$372*$Z$372</f>
        <v>7449.4897490156409</v>
      </c>
      <c r="AG372" s="4">
        <f>$O$372*$AA$372</f>
        <v>2707.1637613375551</v>
      </c>
    </row>
    <row r="373" spans="1:33" ht="11.25" customHeight="1" x14ac:dyDescent="0.25">
      <c r="A373" s="3" t="s">
        <v>21</v>
      </c>
      <c r="B373" s="3" t="s">
        <v>39</v>
      </c>
      <c r="C373" s="3" t="s">
        <v>41</v>
      </c>
      <c r="D373" s="3" t="s">
        <v>38</v>
      </c>
      <c r="E373" s="3" t="s">
        <v>25</v>
      </c>
      <c r="F373" s="3" t="s">
        <v>25</v>
      </c>
      <c r="G373" s="3" t="s">
        <v>25</v>
      </c>
      <c r="H373" s="3" t="s">
        <v>34</v>
      </c>
      <c r="I373" s="6">
        <v>44593</v>
      </c>
      <c r="J373" s="4">
        <v>0</v>
      </c>
      <c r="K373" s="4">
        <v>0</v>
      </c>
      <c r="L373" s="4">
        <v>38.253</v>
      </c>
      <c r="M373" s="4">
        <v>38.253</v>
      </c>
      <c r="N373" s="4">
        <v>38.253</v>
      </c>
      <c r="O373" s="4">
        <v>38.253</v>
      </c>
      <c r="P373" s="4">
        <v>0</v>
      </c>
      <c r="Q373" s="3" t="s">
        <v>26</v>
      </c>
      <c r="R373" s="3">
        <v>0</v>
      </c>
      <c r="S373" s="4">
        <v>0</v>
      </c>
      <c r="T373" s="4">
        <v>11</v>
      </c>
      <c r="U373" s="4">
        <v>71</v>
      </c>
      <c r="V373" s="4">
        <f>IF(ISERROR(VLOOKUP($S$373,'TAR FIN'!$A$1:$O$92,15,0)),0,VLOOKUP($S$373,'TAR FIN'!$A$1:$O$92,15,0))</f>
        <v>0</v>
      </c>
      <c r="W373" s="4">
        <f>IF(ISERROR(VLOOKUP($T$373,'TAR FIN'!$A$1:$O$92,15,0)),0,VLOOKUP($T$373,'TAR FIN'!$A$1:$O$92,15,0))</f>
        <v>1155.51</v>
      </c>
      <c r="X373" s="4">
        <f>IF(ISERROR(VLOOKUP($U$373,'TAR FIN'!$A$1:$O$92,15,0)),0,VLOOKUP($U$373,'TAR FIN'!$A$1:$O$92,15,0))</f>
        <v>433.77</v>
      </c>
      <c r="Y373" s="4"/>
      <c r="Z373" s="4">
        <f ca="1">('TUSD BE'!$AM$11+'TUSD BF'!$AM$11+'TUSD CVA'!$AM$11)*1</f>
        <v>1493.7817824374656</v>
      </c>
      <c r="AA373" s="4">
        <f>('TE BE'!$AB$5+'TE BF'!$AB$5+'TE CVA'!$AB$5)*1</f>
        <v>542.84414704984056</v>
      </c>
      <c r="AB373" s="4">
        <f>$K$373*$V$373</f>
        <v>0</v>
      </c>
      <c r="AC373" s="4">
        <f>$M$373*$W$373</f>
        <v>44201.724029999998</v>
      </c>
      <c r="AD373" s="4">
        <f>$O$373*$X$373</f>
        <v>16593.003809999998</v>
      </c>
      <c r="AE373" s="4">
        <f>$K$373*$Y$373</f>
        <v>0</v>
      </c>
      <c r="AF373" s="4">
        <f ca="1">$M$373*$Z$373</f>
        <v>57141.634523580375</v>
      </c>
      <c r="AG373" s="4">
        <f>$O$373*$AA$373</f>
        <v>20765.417157097552</v>
      </c>
    </row>
    <row r="374" spans="1:33" ht="11.25" customHeight="1" x14ac:dyDescent="0.25">
      <c r="A374" s="3" t="s">
        <v>28</v>
      </c>
      <c r="B374" s="3" t="s">
        <v>39</v>
      </c>
      <c r="C374" s="3" t="s">
        <v>41</v>
      </c>
      <c r="D374" s="3" t="s">
        <v>38</v>
      </c>
      <c r="E374" s="3" t="s">
        <v>25</v>
      </c>
      <c r="F374" s="3" t="s">
        <v>25</v>
      </c>
      <c r="G374" s="3" t="s">
        <v>25</v>
      </c>
      <c r="H374" s="3" t="s">
        <v>34</v>
      </c>
      <c r="I374" s="6">
        <v>44593</v>
      </c>
      <c r="J374" s="4">
        <v>0</v>
      </c>
      <c r="K374" s="4">
        <v>0</v>
      </c>
      <c r="L374" s="4">
        <v>5.3239999999999998</v>
      </c>
      <c r="M374" s="4">
        <v>5.3239999999999998</v>
      </c>
      <c r="N374" s="4">
        <v>5.3239999999999998</v>
      </c>
      <c r="O374" s="4">
        <v>5.3239999999999998</v>
      </c>
      <c r="P374" s="4">
        <v>0</v>
      </c>
      <c r="Q374" s="3" t="s">
        <v>26</v>
      </c>
      <c r="R374" s="3">
        <v>0</v>
      </c>
      <c r="S374" s="4">
        <v>0</v>
      </c>
      <c r="T374" s="4">
        <v>11</v>
      </c>
      <c r="U374" s="4">
        <v>71</v>
      </c>
      <c r="V374" s="4">
        <f>IF(ISERROR(VLOOKUP($S$374,'TAR FIN'!$A$1:$O$92,15,0)),0,VLOOKUP($S$374,'TAR FIN'!$A$1:$O$92,15,0))</f>
        <v>0</v>
      </c>
      <c r="W374" s="4">
        <f>IF(ISERROR(VLOOKUP($T$374,'TAR FIN'!$A$1:$O$92,15,0)),0,VLOOKUP($T$374,'TAR FIN'!$A$1:$O$92,15,0))</f>
        <v>1155.51</v>
      </c>
      <c r="X374" s="4">
        <f>IF(ISERROR(VLOOKUP($U$374,'TAR FIN'!$A$1:$O$92,15,0)),0,VLOOKUP($U$374,'TAR FIN'!$A$1:$O$92,15,0))</f>
        <v>433.77</v>
      </c>
      <c r="Y374" s="4"/>
      <c r="Z374" s="4">
        <f ca="1">('TUSD BE'!$AM$11+'TUSD BF'!$AM$11+'TUSD CVA'!$AM$11)*1</f>
        <v>1493.7817824374656</v>
      </c>
      <c r="AA374" s="4">
        <f>('TE BE'!$AB$5+'TE BF'!$AB$5+'TE CVA'!$AB$5)*1</f>
        <v>542.84414704984056</v>
      </c>
      <c r="AB374" s="4">
        <f>$K$374*$V$374</f>
        <v>0</v>
      </c>
      <c r="AC374" s="4">
        <f>$M$374*$W$374</f>
        <v>6151.9352399999998</v>
      </c>
      <c r="AD374" s="4">
        <f>$O$374*$X$374</f>
        <v>2309.3914799999998</v>
      </c>
      <c r="AE374" s="4">
        <f>$K$374*$Y$374</f>
        <v>0</v>
      </c>
      <c r="AF374" s="4">
        <f ca="1">$M$374*$Z$374</f>
        <v>7952.8942096970668</v>
      </c>
      <c r="AG374" s="4">
        <f>$O$374*$AA$374</f>
        <v>2890.1022388933511</v>
      </c>
    </row>
    <row r="375" spans="1:33" ht="11.25" customHeight="1" x14ac:dyDescent="0.25">
      <c r="A375" s="3" t="s">
        <v>21</v>
      </c>
      <c r="B375" s="3" t="s">
        <v>39</v>
      </c>
      <c r="C375" s="3" t="s">
        <v>41</v>
      </c>
      <c r="D375" s="3" t="s">
        <v>38</v>
      </c>
      <c r="E375" s="3" t="s">
        <v>25</v>
      </c>
      <c r="F375" s="3" t="s">
        <v>25</v>
      </c>
      <c r="G375" s="3" t="s">
        <v>25</v>
      </c>
      <c r="H375" s="3" t="s">
        <v>34</v>
      </c>
      <c r="I375" s="6">
        <v>44621</v>
      </c>
      <c r="J375" s="4">
        <v>0</v>
      </c>
      <c r="K375" s="4">
        <v>0</v>
      </c>
      <c r="L375" s="4">
        <v>44.917000000000002</v>
      </c>
      <c r="M375" s="4">
        <v>44.917000000000002</v>
      </c>
      <c r="N375" s="4">
        <v>44.917000000000002</v>
      </c>
      <c r="O375" s="4">
        <v>44.917000000000002</v>
      </c>
      <c r="P375" s="4">
        <v>0</v>
      </c>
      <c r="Q375" s="3" t="s">
        <v>26</v>
      </c>
      <c r="R375" s="3">
        <v>0</v>
      </c>
      <c r="S375" s="4">
        <v>0</v>
      </c>
      <c r="T375" s="4">
        <v>11</v>
      </c>
      <c r="U375" s="4">
        <v>71</v>
      </c>
      <c r="V375" s="4">
        <f>IF(ISERROR(VLOOKUP($S$375,'TAR FIN'!$A$1:$O$92,15,0)),0,VLOOKUP($S$375,'TAR FIN'!$A$1:$O$92,15,0))</f>
        <v>0</v>
      </c>
      <c r="W375" s="4">
        <f>IF(ISERROR(VLOOKUP($T$375,'TAR FIN'!$A$1:$O$92,15,0)),0,VLOOKUP($T$375,'TAR FIN'!$A$1:$O$92,15,0))</f>
        <v>1155.51</v>
      </c>
      <c r="X375" s="4">
        <f>IF(ISERROR(VLOOKUP($U$375,'TAR FIN'!$A$1:$O$92,15,0)),0,VLOOKUP($U$375,'TAR FIN'!$A$1:$O$92,15,0))</f>
        <v>433.77</v>
      </c>
      <c r="Y375" s="4"/>
      <c r="Z375" s="4">
        <f ca="1">('TUSD BE'!$AM$11+'TUSD BF'!$AM$11+'TUSD CVA'!$AM$11)*1</f>
        <v>1493.7817824374656</v>
      </c>
      <c r="AA375" s="4">
        <f>('TE BE'!$AB$5+'TE BF'!$AB$5+'TE CVA'!$AB$5)*1</f>
        <v>542.84414704984056</v>
      </c>
      <c r="AB375" s="4">
        <f>$K$375*$V$375</f>
        <v>0</v>
      </c>
      <c r="AC375" s="4">
        <f>$M$375*$W$375</f>
        <v>51902.042670000003</v>
      </c>
      <c r="AD375" s="4">
        <f>$O$375*$X$375</f>
        <v>19483.647089999999</v>
      </c>
      <c r="AE375" s="4">
        <f>$K$375*$Y$375</f>
        <v>0</v>
      </c>
      <c r="AF375" s="4">
        <f ca="1">$M$375*$Z$375</f>
        <v>67096.196321743642</v>
      </c>
      <c r="AG375" s="4">
        <f>$O$375*$AA$375</f>
        <v>24382.930553037688</v>
      </c>
    </row>
    <row r="376" spans="1:33" ht="11.25" customHeight="1" x14ac:dyDescent="0.25">
      <c r="A376" s="3" t="s">
        <v>28</v>
      </c>
      <c r="B376" s="3" t="s">
        <v>39</v>
      </c>
      <c r="C376" s="3" t="s">
        <v>41</v>
      </c>
      <c r="D376" s="3" t="s">
        <v>38</v>
      </c>
      <c r="E376" s="3" t="s">
        <v>25</v>
      </c>
      <c r="F376" s="3" t="s">
        <v>25</v>
      </c>
      <c r="G376" s="3" t="s">
        <v>25</v>
      </c>
      <c r="H376" s="3" t="s">
        <v>34</v>
      </c>
      <c r="I376" s="6">
        <v>44621</v>
      </c>
      <c r="J376" s="4">
        <v>0</v>
      </c>
      <c r="K376" s="4">
        <v>0</v>
      </c>
      <c r="L376" s="4">
        <v>5.8639999999999999</v>
      </c>
      <c r="M376" s="4">
        <v>5.8639999999999999</v>
      </c>
      <c r="N376" s="4">
        <v>5.8639999999999999</v>
      </c>
      <c r="O376" s="4">
        <v>5.8639999999999999</v>
      </c>
      <c r="P376" s="4">
        <v>0</v>
      </c>
      <c r="Q376" s="3" t="s">
        <v>26</v>
      </c>
      <c r="R376" s="3">
        <v>0</v>
      </c>
      <c r="S376" s="4">
        <v>0</v>
      </c>
      <c r="T376" s="4">
        <v>11</v>
      </c>
      <c r="U376" s="4">
        <v>71</v>
      </c>
      <c r="V376" s="4">
        <f>IF(ISERROR(VLOOKUP($S$376,'TAR FIN'!$A$1:$O$92,15,0)),0,VLOOKUP($S$376,'TAR FIN'!$A$1:$O$92,15,0))</f>
        <v>0</v>
      </c>
      <c r="W376" s="4">
        <f>IF(ISERROR(VLOOKUP($T$376,'TAR FIN'!$A$1:$O$92,15,0)),0,VLOOKUP($T$376,'TAR FIN'!$A$1:$O$92,15,0))</f>
        <v>1155.51</v>
      </c>
      <c r="X376" s="4">
        <f>IF(ISERROR(VLOOKUP($U$376,'TAR FIN'!$A$1:$O$92,15,0)),0,VLOOKUP($U$376,'TAR FIN'!$A$1:$O$92,15,0))</f>
        <v>433.77</v>
      </c>
      <c r="Y376" s="4"/>
      <c r="Z376" s="4">
        <f ca="1">('TUSD BE'!$AM$11+'TUSD BF'!$AM$11+'TUSD CVA'!$AM$11)*1</f>
        <v>1493.7817824374656</v>
      </c>
      <c r="AA376" s="4">
        <f>('TE BE'!$AB$5+'TE BF'!$AB$5+'TE CVA'!$AB$5)*1</f>
        <v>542.84414704984056</v>
      </c>
      <c r="AB376" s="4">
        <f>$K$376*$V$376</f>
        <v>0</v>
      </c>
      <c r="AC376" s="4">
        <f>$M$376*$W$376</f>
        <v>6775.9106400000001</v>
      </c>
      <c r="AD376" s="4">
        <f>$O$376*$X$376</f>
        <v>2543.6272799999997</v>
      </c>
      <c r="AE376" s="4">
        <f>$K$376*$Y$376</f>
        <v>0</v>
      </c>
      <c r="AF376" s="4">
        <f ca="1">$M$376*$Z$376</f>
        <v>8759.5363722132988</v>
      </c>
      <c r="AG376" s="4">
        <f>$O$376*$AA$376</f>
        <v>3183.238078300265</v>
      </c>
    </row>
    <row r="377" spans="1:33" ht="11.25" customHeight="1" x14ac:dyDescent="0.25">
      <c r="A377" s="3" t="s">
        <v>21</v>
      </c>
      <c r="B377" s="3" t="s">
        <v>39</v>
      </c>
      <c r="C377" s="3" t="s">
        <v>41</v>
      </c>
      <c r="D377" s="3" t="s">
        <v>38</v>
      </c>
      <c r="E377" s="3" t="s">
        <v>25</v>
      </c>
      <c r="F377" s="3" t="s">
        <v>25</v>
      </c>
      <c r="G377" s="3" t="s">
        <v>25</v>
      </c>
      <c r="H377" s="3" t="s">
        <v>34</v>
      </c>
      <c r="I377" s="6">
        <v>44652</v>
      </c>
      <c r="J377" s="4">
        <v>0</v>
      </c>
      <c r="K377" s="4">
        <v>0</v>
      </c>
      <c r="L377" s="4">
        <v>44.917000000000002</v>
      </c>
      <c r="M377" s="4">
        <v>44.917000000000002</v>
      </c>
      <c r="N377" s="4">
        <v>44.917000000000002</v>
      </c>
      <c r="O377" s="4">
        <v>44.917000000000002</v>
      </c>
      <c r="P377" s="4">
        <v>0</v>
      </c>
      <c r="Q377" s="3" t="s">
        <v>26</v>
      </c>
      <c r="R377" s="3">
        <v>0</v>
      </c>
      <c r="S377" s="4">
        <v>0</v>
      </c>
      <c r="T377" s="4">
        <v>11</v>
      </c>
      <c r="U377" s="4">
        <v>71</v>
      </c>
      <c r="V377" s="4">
        <f>IF(ISERROR(VLOOKUP($S$377,'TAR FIN'!$A$1:$O$92,15,0)),0,VLOOKUP($S$377,'TAR FIN'!$A$1:$O$92,15,0))</f>
        <v>0</v>
      </c>
      <c r="W377" s="4">
        <f>IF(ISERROR(VLOOKUP($T$377,'TAR FIN'!$A$1:$O$92,15,0)),0,VLOOKUP($T$377,'TAR FIN'!$A$1:$O$92,15,0))</f>
        <v>1155.51</v>
      </c>
      <c r="X377" s="4">
        <f>IF(ISERROR(VLOOKUP($U$377,'TAR FIN'!$A$1:$O$92,15,0)),0,VLOOKUP($U$377,'TAR FIN'!$A$1:$O$92,15,0))</f>
        <v>433.77</v>
      </c>
      <c r="Y377" s="4"/>
      <c r="Z377" s="4">
        <f ca="1">('TUSD BE'!$AM$11+'TUSD BF'!$AM$11+'TUSD CVA'!$AM$11)*1</f>
        <v>1493.7817824374656</v>
      </c>
      <c r="AA377" s="4">
        <f>('TE BE'!$AB$5+'TE BF'!$AB$5+'TE CVA'!$AB$5)*1</f>
        <v>542.84414704984056</v>
      </c>
      <c r="AB377" s="4">
        <f>$K$377*$V$377</f>
        <v>0</v>
      </c>
      <c r="AC377" s="4">
        <f>$M$377*$W$377</f>
        <v>51902.042670000003</v>
      </c>
      <c r="AD377" s="4">
        <f>$O$377*$X$377</f>
        <v>19483.647089999999</v>
      </c>
      <c r="AE377" s="4">
        <f>$K$377*$Y$377</f>
        <v>0</v>
      </c>
      <c r="AF377" s="4">
        <f ca="1">$M$377*$Z$377</f>
        <v>67096.196321743642</v>
      </c>
      <c r="AG377" s="4">
        <f>$O$377*$AA$377</f>
        <v>24382.930553037688</v>
      </c>
    </row>
    <row r="378" spans="1:33" ht="11.25" customHeight="1" x14ac:dyDescent="0.25">
      <c r="A378" s="3" t="s">
        <v>28</v>
      </c>
      <c r="B378" s="3" t="s">
        <v>39</v>
      </c>
      <c r="C378" s="3" t="s">
        <v>41</v>
      </c>
      <c r="D378" s="3" t="s">
        <v>38</v>
      </c>
      <c r="E378" s="3" t="s">
        <v>25</v>
      </c>
      <c r="F378" s="3" t="s">
        <v>25</v>
      </c>
      <c r="G378" s="3" t="s">
        <v>25</v>
      </c>
      <c r="H378" s="3" t="s">
        <v>34</v>
      </c>
      <c r="I378" s="6">
        <v>44652</v>
      </c>
      <c r="J378" s="4">
        <v>0</v>
      </c>
      <c r="K378" s="4">
        <v>0</v>
      </c>
      <c r="L378" s="4">
        <v>5.8639999999999999</v>
      </c>
      <c r="M378" s="4">
        <v>5.8639999999999999</v>
      </c>
      <c r="N378" s="4">
        <v>5.8639999999999999</v>
      </c>
      <c r="O378" s="4">
        <v>5.8639999999999999</v>
      </c>
      <c r="P378" s="4">
        <v>0</v>
      </c>
      <c r="Q378" s="3" t="s">
        <v>26</v>
      </c>
      <c r="R378" s="3">
        <v>0</v>
      </c>
      <c r="S378" s="4">
        <v>0</v>
      </c>
      <c r="T378" s="4">
        <v>11</v>
      </c>
      <c r="U378" s="4">
        <v>71</v>
      </c>
      <c r="V378" s="4">
        <f>IF(ISERROR(VLOOKUP($S$378,'TAR FIN'!$A$1:$O$92,15,0)),0,VLOOKUP($S$378,'TAR FIN'!$A$1:$O$92,15,0))</f>
        <v>0</v>
      </c>
      <c r="W378" s="4">
        <f>IF(ISERROR(VLOOKUP($T$378,'TAR FIN'!$A$1:$O$92,15,0)),0,VLOOKUP($T$378,'TAR FIN'!$A$1:$O$92,15,0))</f>
        <v>1155.51</v>
      </c>
      <c r="X378" s="4">
        <f>IF(ISERROR(VLOOKUP($U$378,'TAR FIN'!$A$1:$O$92,15,0)),0,VLOOKUP($U$378,'TAR FIN'!$A$1:$O$92,15,0))</f>
        <v>433.77</v>
      </c>
      <c r="Y378" s="4"/>
      <c r="Z378" s="4">
        <f ca="1">('TUSD BE'!$AM$11+'TUSD BF'!$AM$11+'TUSD CVA'!$AM$11)*1</f>
        <v>1493.7817824374656</v>
      </c>
      <c r="AA378" s="4">
        <f>('TE BE'!$AB$5+'TE BF'!$AB$5+'TE CVA'!$AB$5)*1</f>
        <v>542.84414704984056</v>
      </c>
      <c r="AB378" s="4">
        <f>$K$378*$V$378</f>
        <v>0</v>
      </c>
      <c r="AC378" s="4">
        <f>$M$378*$W$378</f>
        <v>6775.9106400000001</v>
      </c>
      <c r="AD378" s="4">
        <f>$O$378*$X$378</f>
        <v>2543.6272799999997</v>
      </c>
      <c r="AE378" s="4">
        <f>$K$378*$Y$378</f>
        <v>0</v>
      </c>
      <c r="AF378" s="4">
        <f ca="1">$M$378*$Z$378</f>
        <v>8759.5363722132988</v>
      </c>
      <c r="AG378" s="4">
        <f>$O$378*$AA$378</f>
        <v>3183.238078300265</v>
      </c>
    </row>
    <row r="379" spans="1:33" ht="11.25" customHeight="1" x14ac:dyDescent="0.25">
      <c r="A379" s="3" t="s">
        <v>21</v>
      </c>
      <c r="B379" s="3" t="s">
        <v>39</v>
      </c>
      <c r="C379" s="3" t="s">
        <v>41</v>
      </c>
      <c r="D379" s="3" t="s">
        <v>38</v>
      </c>
      <c r="E379" s="3" t="s">
        <v>25</v>
      </c>
      <c r="F379" s="3" t="s">
        <v>25</v>
      </c>
      <c r="G379" s="3" t="s">
        <v>25</v>
      </c>
      <c r="H379" s="3" t="s">
        <v>34</v>
      </c>
      <c r="I379" s="6">
        <v>44682</v>
      </c>
      <c r="J379" s="4">
        <v>0</v>
      </c>
      <c r="K379" s="4">
        <v>0</v>
      </c>
      <c r="L379" s="4">
        <v>37.786000000000001</v>
      </c>
      <c r="M379" s="4">
        <v>37.786000000000001</v>
      </c>
      <c r="N379" s="4">
        <v>37.786000000000001</v>
      </c>
      <c r="O379" s="4">
        <v>37.786000000000001</v>
      </c>
      <c r="P379" s="4">
        <v>0</v>
      </c>
      <c r="Q379" s="3" t="s">
        <v>26</v>
      </c>
      <c r="R379" s="3">
        <v>0</v>
      </c>
      <c r="S379" s="4">
        <v>0</v>
      </c>
      <c r="T379" s="4">
        <v>11</v>
      </c>
      <c r="U379" s="4">
        <v>71</v>
      </c>
      <c r="V379" s="4">
        <f>IF(ISERROR(VLOOKUP($S$379,'TAR FIN'!$A$1:$O$92,15,0)),0,VLOOKUP($S$379,'TAR FIN'!$A$1:$O$92,15,0))</f>
        <v>0</v>
      </c>
      <c r="W379" s="4">
        <f>IF(ISERROR(VLOOKUP($T$379,'TAR FIN'!$A$1:$O$92,15,0)),0,VLOOKUP($T$379,'TAR FIN'!$A$1:$O$92,15,0))</f>
        <v>1155.51</v>
      </c>
      <c r="X379" s="4">
        <f>IF(ISERROR(VLOOKUP($U$379,'TAR FIN'!$A$1:$O$92,15,0)),0,VLOOKUP($U$379,'TAR FIN'!$A$1:$O$92,15,0))</f>
        <v>433.77</v>
      </c>
      <c r="Y379" s="4"/>
      <c r="Z379" s="4">
        <f ca="1">('TUSD BE'!$AM$11+'TUSD BF'!$AM$11+'TUSD CVA'!$AM$11)*1</f>
        <v>1493.7817824374656</v>
      </c>
      <c r="AA379" s="4">
        <f>('TE BE'!$AB$5+'TE BF'!$AB$5+'TE CVA'!$AB$5)*1</f>
        <v>542.84414704984056</v>
      </c>
      <c r="AB379" s="4">
        <f>$K$379*$V$379</f>
        <v>0</v>
      </c>
      <c r="AC379" s="4">
        <f>$M$379*$W$379</f>
        <v>43662.100859999999</v>
      </c>
      <c r="AD379" s="4">
        <f>$O$379*$X$379</f>
        <v>16390.433219999999</v>
      </c>
      <c r="AE379" s="4">
        <f>$K$379*$Y$379</f>
        <v>0</v>
      </c>
      <c r="AF379" s="4">
        <f ca="1">$M$379*$Z$379</f>
        <v>56444.038431182074</v>
      </c>
      <c r="AG379" s="4">
        <f>$O$379*$AA$379</f>
        <v>20511.908940425277</v>
      </c>
    </row>
    <row r="380" spans="1:33" ht="11.25" customHeight="1" x14ac:dyDescent="0.25">
      <c r="A380" s="3" t="s">
        <v>27</v>
      </c>
      <c r="B380" s="3" t="s">
        <v>39</v>
      </c>
      <c r="C380" s="3" t="s">
        <v>41</v>
      </c>
      <c r="D380" s="3" t="s">
        <v>38</v>
      </c>
      <c r="E380" s="3" t="s">
        <v>25</v>
      </c>
      <c r="F380" s="3" t="s">
        <v>25</v>
      </c>
      <c r="G380" s="3" t="s">
        <v>25</v>
      </c>
      <c r="H380" s="3" t="s">
        <v>34</v>
      </c>
      <c r="I380" s="6">
        <v>44682</v>
      </c>
      <c r="J380" s="4">
        <v>0</v>
      </c>
      <c r="K380" s="4">
        <v>0</v>
      </c>
      <c r="L380" s="4">
        <v>5.6000000000000001E-2</v>
      </c>
      <c r="M380" s="4">
        <v>5.6000000000000001E-2</v>
      </c>
      <c r="N380" s="4">
        <v>5.6000000000000001E-2</v>
      </c>
      <c r="O380" s="4">
        <v>5.6000000000000001E-2</v>
      </c>
      <c r="P380" s="4">
        <v>0</v>
      </c>
      <c r="Q380" s="3" t="s">
        <v>26</v>
      </c>
      <c r="R380" s="3">
        <v>0</v>
      </c>
      <c r="S380" s="4">
        <v>0</v>
      </c>
      <c r="T380" s="4">
        <v>11</v>
      </c>
      <c r="U380" s="4">
        <v>71</v>
      </c>
      <c r="V380" s="4">
        <f>IF(ISERROR(VLOOKUP($S$380,'TAR FIN'!$A$1:$O$92,15,0)),0,VLOOKUP($S$380,'TAR FIN'!$A$1:$O$92,15,0))</f>
        <v>0</v>
      </c>
      <c r="W380" s="4">
        <f>IF(ISERROR(VLOOKUP($T$380,'TAR FIN'!$A$1:$O$92,15,0)),0,VLOOKUP($T$380,'TAR FIN'!$A$1:$O$92,15,0))</f>
        <v>1155.51</v>
      </c>
      <c r="X380" s="4">
        <f>IF(ISERROR(VLOOKUP($U$380,'TAR FIN'!$A$1:$O$92,15,0)),0,VLOOKUP($U$380,'TAR FIN'!$A$1:$O$92,15,0))</f>
        <v>433.77</v>
      </c>
      <c r="Y380" s="4"/>
      <c r="Z380" s="4">
        <f ca="1">('TUSD BE'!$AM$11+'TUSD BF'!$AM$11+'TUSD CVA'!$AM$11)*1</f>
        <v>1493.7817824374656</v>
      </c>
      <c r="AA380" s="4">
        <f>('TE BE'!$AB$5+'TE BF'!$AB$5+'TE CVA'!$AB$5)*1</f>
        <v>542.84414704984056</v>
      </c>
      <c r="AB380" s="4">
        <f>$K$380*$V$380</f>
        <v>0</v>
      </c>
      <c r="AC380" s="4">
        <f>$M$380*$W$380</f>
        <v>64.708560000000006</v>
      </c>
      <c r="AD380" s="4">
        <f>$O$380*$X$380</f>
        <v>24.291119999999999</v>
      </c>
      <c r="AE380" s="4">
        <f>$K$380*$Y$380</f>
        <v>0</v>
      </c>
      <c r="AF380" s="4">
        <f ca="1">$M$380*$Z$380</f>
        <v>83.651779816498077</v>
      </c>
      <c r="AG380" s="4">
        <f>$O$380*$AA$380</f>
        <v>30.399272234791074</v>
      </c>
    </row>
    <row r="381" spans="1:33" ht="11.25" customHeight="1" x14ac:dyDescent="0.25">
      <c r="A381" s="3" t="s">
        <v>28</v>
      </c>
      <c r="B381" s="3" t="s">
        <v>39</v>
      </c>
      <c r="C381" s="3" t="s">
        <v>41</v>
      </c>
      <c r="D381" s="3" t="s">
        <v>38</v>
      </c>
      <c r="E381" s="3" t="s">
        <v>25</v>
      </c>
      <c r="F381" s="3" t="s">
        <v>25</v>
      </c>
      <c r="G381" s="3" t="s">
        <v>25</v>
      </c>
      <c r="H381" s="3" t="s">
        <v>34</v>
      </c>
      <c r="I381" s="6">
        <v>44682</v>
      </c>
      <c r="J381" s="4">
        <v>0</v>
      </c>
      <c r="K381" s="4">
        <v>0</v>
      </c>
      <c r="L381" s="4">
        <v>23.623999999999999</v>
      </c>
      <c r="M381" s="4">
        <v>23.623999999999999</v>
      </c>
      <c r="N381" s="4">
        <v>23.623999999999999</v>
      </c>
      <c r="O381" s="4">
        <v>23.623999999999999</v>
      </c>
      <c r="P381" s="4">
        <v>0</v>
      </c>
      <c r="Q381" s="3" t="s">
        <v>26</v>
      </c>
      <c r="R381" s="3">
        <v>0</v>
      </c>
      <c r="S381" s="4">
        <v>0</v>
      </c>
      <c r="T381" s="4">
        <v>11</v>
      </c>
      <c r="U381" s="4">
        <v>71</v>
      </c>
      <c r="V381" s="4">
        <f>IF(ISERROR(VLOOKUP($S$381,'TAR FIN'!$A$1:$O$92,15,0)),0,VLOOKUP($S$381,'TAR FIN'!$A$1:$O$92,15,0))</f>
        <v>0</v>
      </c>
      <c r="W381" s="4">
        <f>IF(ISERROR(VLOOKUP($T$381,'TAR FIN'!$A$1:$O$92,15,0)),0,VLOOKUP($T$381,'TAR FIN'!$A$1:$O$92,15,0))</f>
        <v>1155.51</v>
      </c>
      <c r="X381" s="4">
        <f>IF(ISERROR(VLOOKUP($U$381,'TAR FIN'!$A$1:$O$92,15,0)),0,VLOOKUP($U$381,'TAR FIN'!$A$1:$O$92,15,0))</f>
        <v>433.77</v>
      </c>
      <c r="Y381" s="4"/>
      <c r="Z381" s="4">
        <f ca="1">('TUSD BE'!$AM$11+'TUSD BF'!$AM$11+'TUSD CVA'!$AM$11)*1</f>
        <v>1493.7817824374656</v>
      </c>
      <c r="AA381" s="4">
        <f>('TE BE'!$AB$5+'TE BF'!$AB$5+'TE CVA'!$AB$5)*1</f>
        <v>542.84414704984056</v>
      </c>
      <c r="AB381" s="4">
        <f>$K$381*$V$381</f>
        <v>0</v>
      </c>
      <c r="AC381" s="4">
        <f>$M$381*$W$381</f>
        <v>27297.768239999998</v>
      </c>
      <c r="AD381" s="4">
        <f>$O$381*$X$381</f>
        <v>10247.382479999998</v>
      </c>
      <c r="AE381" s="4">
        <f>$K$381*$Y$381</f>
        <v>0</v>
      </c>
      <c r="AF381" s="4">
        <f ca="1">$M$381*$Z$381</f>
        <v>35289.100828302682</v>
      </c>
      <c r="AG381" s="4">
        <f>$O$381*$AA$381</f>
        <v>12824.150129905433</v>
      </c>
    </row>
    <row r="382" spans="1:33" ht="11.25" customHeight="1" x14ac:dyDescent="0.25">
      <c r="A382" s="3" t="s">
        <v>21</v>
      </c>
      <c r="B382" s="3" t="s">
        <v>39</v>
      </c>
      <c r="C382" s="3" t="s">
        <v>41</v>
      </c>
      <c r="D382" s="3" t="s">
        <v>38</v>
      </c>
      <c r="E382" s="3" t="s">
        <v>25</v>
      </c>
      <c r="F382" s="3" t="s">
        <v>25</v>
      </c>
      <c r="G382" s="3" t="s">
        <v>25</v>
      </c>
      <c r="H382" s="3" t="s">
        <v>34</v>
      </c>
      <c r="I382" s="6">
        <v>44713</v>
      </c>
      <c r="J382" s="4">
        <v>0</v>
      </c>
      <c r="K382" s="4">
        <v>0</v>
      </c>
      <c r="L382" s="4">
        <v>42.369</v>
      </c>
      <c r="M382" s="4">
        <v>42.369</v>
      </c>
      <c r="N382" s="4">
        <v>42.369</v>
      </c>
      <c r="O382" s="4">
        <v>42.369</v>
      </c>
      <c r="P382" s="4">
        <v>0</v>
      </c>
      <c r="Q382" s="3" t="s">
        <v>26</v>
      </c>
      <c r="R382" s="3">
        <v>0</v>
      </c>
      <c r="S382" s="4">
        <v>0</v>
      </c>
      <c r="T382" s="4">
        <v>11</v>
      </c>
      <c r="U382" s="4">
        <v>71</v>
      </c>
      <c r="V382" s="4">
        <f>IF(ISERROR(VLOOKUP($S$382,'TAR FIN'!$A$1:$O$92,15,0)),0,VLOOKUP($S$382,'TAR FIN'!$A$1:$O$92,15,0))</f>
        <v>0</v>
      </c>
      <c r="W382" s="4">
        <f>IF(ISERROR(VLOOKUP($T$382,'TAR FIN'!$A$1:$O$92,15,0)),0,VLOOKUP($T$382,'TAR FIN'!$A$1:$O$92,15,0))</f>
        <v>1155.51</v>
      </c>
      <c r="X382" s="4">
        <f>IF(ISERROR(VLOOKUP($U$382,'TAR FIN'!$A$1:$O$92,15,0)),0,VLOOKUP($U$382,'TAR FIN'!$A$1:$O$92,15,0))</f>
        <v>433.77</v>
      </c>
      <c r="Y382" s="4"/>
      <c r="Z382" s="4">
        <f ca="1">('TUSD BE'!$AM$11+'TUSD BF'!$AM$11+'TUSD CVA'!$AM$11)*1</f>
        <v>1493.7817824374656</v>
      </c>
      <c r="AA382" s="4">
        <f>('TE BE'!$AB$5+'TE BF'!$AB$5+'TE CVA'!$AB$5)*1</f>
        <v>542.84414704984056</v>
      </c>
      <c r="AB382" s="4">
        <f>$K$382*$V$382</f>
        <v>0</v>
      </c>
      <c r="AC382" s="4">
        <f>$M$382*$W$382</f>
        <v>48957.803189999999</v>
      </c>
      <c r="AD382" s="4">
        <f>$O$382*$X$382</f>
        <v>18378.401129999998</v>
      </c>
      <c r="AE382" s="4">
        <f>$K$382*$Y$382</f>
        <v>0</v>
      </c>
      <c r="AF382" s="4">
        <f ca="1">$M$382*$Z$382</f>
        <v>63290.040340092979</v>
      </c>
      <c r="AG382" s="4">
        <f>$O$382*$AA$382</f>
        <v>22999.763666354695</v>
      </c>
    </row>
    <row r="383" spans="1:33" ht="11.25" customHeight="1" x14ac:dyDescent="0.25">
      <c r="A383" s="3" t="s">
        <v>28</v>
      </c>
      <c r="B383" s="3" t="s">
        <v>39</v>
      </c>
      <c r="C383" s="3" t="s">
        <v>41</v>
      </c>
      <c r="D383" s="3" t="s">
        <v>38</v>
      </c>
      <c r="E383" s="3" t="s">
        <v>25</v>
      </c>
      <c r="F383" s="3" t="s">
        <v>25</v>
      </c>
      <c r="G383" s="3" t="s">
        <v>25</v>
      </c>
      <c r="H383" s="3" t="s">
        <v>34</v>
      </c>
      <c r="I383" s="6">
        <v>44713</v>
      </c>
      <c r="J383" s="4">
        <v>0</v>
      </c>
      <c r="K383" s="4">
        <v>0</v>
      </c>
      <c r="L383" s="4">
        <v>5.6429999999999998</v>
      </c>
      <c r="M383" s="4">
        <v>5.6429999999999998</v>
      </c>
      <c r="N383" s="4">
        <v>5.6429999999999998</v>
      </c>
      <c r="O383" s="4">
        <v>5.6429999999999998</v>
      </c>
      <c r="P383" s="4">
        <v>0</v>
      </c>
      <c r="Q383" s="3" t="s">
        <v>26</v>
      </c>
      <c r="R383" s="3">
        <v>0</v>
      </c>
      <c r="S383" s="4">
        <v>0</v>
      </c>
      <c r="T383" s="4">
        <v>11</v>
      </c>
      <c r="U383" s="4">
        <v>71</v>
      </c>
      <c r="V383" s="4">
        <f>IF(ISERROR(VLOOKUP($S$383,'TAR FIN'!$A$1:$O$92,15,0)),0,VLOOKUP($S$383,'TAR FIN'!$A$1:$O$92,15,0))</f>
        <v>0</v>
      </c>
      <c r="W383" s="4">
        <f>IF(ISERROR(VLOOKUP($T$383,'TAR FIN'!$A$1:$O$92,15,0)),0,VLOOKUP($T$383,'TAR FIN'!$A$1:$O$92,15,0))</f>
        <v>1155.51</v>
      </c>
      <c r="X383" s="4">
        <f>IF(ISERROR(VLOOKUP($U$383,'TAR FIN'!$A$1:$O$92,15,0)),0,VLOOKUP($U$383,'TAR FIN'!$A$1:$O$92,15,0))</f>
        <v>433.77</v>
      </c>
      <c r="Y383" s="4"/>
      <c r="Z383" s="4">
        <f ca="1">('TUSD BE'!$AM$11+'TUSD BF'!$AM$11+'TUSD CVA'!$AM$11)*1</f>
        <v>1493.7817824374656</v>
      </c>
      <c r="AA383" s="4">
        <f>('TE BE'!$AB$5+'TE BF'!$AB$5+'TE CVA'!$AB$5)*1</f>
        <v>542.84414704984056</v>
      </c>
      <c r="AB383" s="4">
        <f>$K$383*$V$383</f>
        <v>0</v>
      </c>
      <c r="AC383" s="4">
        <f>$M$383*$W$383</f>
        <v>6520.5429299999996</v>
      </c>
      <c r="AD383" s="4">
        <f>$O$383*$X$383</f>
        <v>2447.7641099999996</v>
      </c>
      <c r="AE383" s="4">
        <f>$K$383*$Y$383</f>
        <v>0</v>
      </c>
      <c r="AF383" s="4">
        <f ca="1">$M$383*$Z$383</f>
        <v>8429.4105982946185</v>
      </c>
      <c r="AG383" s="4">
        <f>$O$383*$AA$383</f>
        <v>3063.26952180225</v>
      </c>
    </row>
    <row r="384" spans="1:33" ht="11.25" customHeight="1" x14ac:dyDescent="0.25">
      <c r="A384" s="3" t="s">
        <v>21</v>
      </c>
      <c r="B384" s="3" t="s">
        <v>39</v>
      </c>
      <c r="C384" s="3" t="s">
        <v>41</v>
      </c>
      <c r="D384" s="3" t="s">
        <v>38</v>
      </c>
      <c r="E384" s="3" t="s">
        <v>25</v>
      </c>
      <c r="F384" s="3" t="s">
        <v>25</v>
      </c>
      <c r="G384" s="3" t="s">
        <v>25</v>
      </c>
      <c r="H384" s="3" t="s">
        <v>34</v>
      </c>
      <c r="I384" s="6">
        <v>44743</v>
      </c>
      <c r="J384" s="4">
        <v>0</v>
      </c>
      <c r="K384" s="4">
        <v>0</v>
      </c>
      <c r="L384" s="4">
        <v>41.015999999999998</v>
      </c>
      <c r="M384" s="4">
        <v>41.015999999999998</v>
      </c>
      <c r="N384" s="4">
        <v>41.015999999999998</v>
      </c>
      <c r="O384" s="4">
        <v>41.015999999999998</v>
      </c>
      <c r="P384" s="4">
        <v>0</v>
      </c>
      <c r="Q384" s="3" t="s">
        <v>26</v>
      </c>
      <c r="R384" s="3">
        <v>0</v>
      </c>
      <c r="S384" s="4">
        <v>0</v>
      </c>
      <c r="T384" s="4">
        <v>11</v>
      </c>
      <c r="U384" s="4">
        <v>71</v>
      </c>
      <c r="V384" s="4">
        <f>IF(ISERROR(VLOOKUP($S$384,'TAR FIN'!$A$1:$O$92,15,0)),0,VLOOKUP($S$384,'TAR FIN'!$A$1:$O$92,15,0))</f>
        <v>0</v>
      </c>
      <c r="W384" s="4">
        <f>IF(ISERROR(VLOOKUP($T$384,'TAR FIN'!$A$1:$O$92,15,0)),0,VLOOKUP($T$384,'TAR FIN'!$A$1:$O$92,15,0))</f>
        <v>1155.51</v>
      </c>
      <c r="X384" s="4">
        <f>IF(ISERROR(VLOOKUP($U$384,'TAR FIN'!$A$1:$O$92,15,0)),0,VLOOKUP($U$384,'TAR FIN'!$A$1:$O$92,15,0))</f>
        <v>433.77</v>
      </c>
      <c r="Y384" s="4"/>
      <c r="Z384" s="4">
        <f ca="1">('TUSD BE'!$AM$11+'TUSD BF'!$AM$11+'TUSD CVA'!$AM$11)*1</f>
        <v>1493.7817824374656</v>
      </c>
      <c r="AA384" s="4">
        <f>('TE BE'!$AB$5+'TE BF'!$AB$5+'TE CVA'!$AB$5)*1</f>
        <v>542.84414704984056</v>
      </c>
      <c r="AB384" s="4">
        <f>$K$384*$V$384</f>
        <v>0</v>
      </c>
      <c r="AC384" s="4">
        <f>$M$384*$W$384</f>
        <v>47394.398159999997</v>
      </c>
      <c r="AD384" s="4">
        <f>$O$384*$X$384</f>
        <v>17791.510319999998</v>
      </c>
      <c r="AE384" s="4">
        <f>$K$384*$Y$384</f>
        <v>0</v>
      </c>
      <c r="AF384" s="4">
        <f ca="1">$M$384*$Z$384</f>
        <v>61268.953588455086</v>
      </c>
      <c r="AG384" s="4">
        <f>$O$384*$AA$384</f>
        <v>22265.295535396261</v>
      </c>
    </row>
    <row r="385" spans="1:33" ht="11.25" customHeight="1" x14ac:dyDescent="0.25">
      <c r="A385" s="3" t="s">
        <v>28</v>
      </c>
      <c r="B385" s="3" t="s">
        <v>39</v>
      </c>
      <c r="C385" s="3" t="s">
        <v>41</v>
      </c>
      <c r="D385" s="3" t="s">
        <v>38</v>
      </c>
      <c r="E385" s="3" t="s">
        <v>25</v>
      </c>
      <c r="F385" s="3" t="s">
        <v>25</v>
      </c>
      <c r="G385" s="3" t="s">
        <v>25</v>
      </c>
      <c r="H385" s="3" t="s">
        <v>34</v>
      </c>
      <c r="I385" s="6">
        <v>44743</v>
      </c>
      <c r="J385" s="4">
        <v>0</v>
      </c>
      <c r="K385" s="4">
        <v>0</v>
      </c>
      <c r="L385" s="4">
        <v>5.6319999999999997</v>
      </c>
      <c r="M385" s="4">
        <v>5.6319999999999997</v>
      </c>
      <c r="N385" s="4">
        <v>5.6319999999999997</v>
      </c>
      <c r="O385" s="4">
        <v>5.6319999999999997</v>
      </c>
      <c r="P385" s="4">
        <v>0</v>
      </c>
      <c r="Q385" s="3" t="s">
        <v>26</v>
      </c>
      <c r="R385" s="3">
        <v>0</v>
      </c>
      <c r="S385" s="4">
        <v>0</v>
      </c>
      <c r="T385" s="4">
        <v>11</v>
      </c>
      <c r="U385" s="4">
        <v>71</v>
      </c>
      <c r="V385" s="4">
        <f>IF(ISERROR(VLOOKUP($S$385,'TAR FIN'!$A$1:$O$92,15,0)),0,VLOOKUP($S$385,'TAR FIN'!$A$1:$O$92,15,0))</f>
        <v>0</v>
      </c>
      <c r="W385" s="4">
        <f>IF(ISERROR(VLOOKUP($T$385,'TAR FIN'!$A$1:$O$92,15,0)),0,VLOOKUP($T$385,'TAR FIN'!$A$1:$O$92,15,0))</f>
        <v>1155.51</v>
      </c>
      <c r="X385" s="4">
        <f>IF(ISERROR(VLOOKUP($U$385,'TAR FIN'!$A$1:$O$92,15,0)),0,VLOOKUP($U$385,'TAR FIN'!$A$1:$O$92,15,0))</f>
        <v>433.77</v>
      </c>
      <c r="Y385" s="4"/>
      <c r="Z385" s="4">
        <f ca="1">('TUSD BE'!$AM$11+'TUSD BF'!$AM$11+'TUSD CVA'!$AM$11)*1</f>
        <v>1493.7817824374656</v>
      </c>
      <c r="AA385" s="4">
        <f>('TE BE'!$AB$5+'TE BF'!$AB$5+'TE CVA'!$AB$5)*1</f>
        <v>542.84414704984056</v>
      </c>
      <c r="AB385" s="4">
        <f>$K$385*$V$385</f>
        <v>0</v>
      </c>
      <c r="AC385" s="4">
        <f>$M$385*$W$385</f>
        <v>6507.8323199999995</v>
      </c>
      <c r="AD385" s="4">
        <f>$O$385*$X$385</f>
        <v>2442.9926399999999</v>
      </c>
      <c r="AE385" s="4">
        <f>$K$385*$Y$385</f>
        <v>0</v>
      </c>
      <c r="AF385" s="4">
        <f ca="1">$M$385*$Z$385</f>
        <v>8412.9789986878059</v>
      </c>
      <c r="AG385" s="4">
        <f>$O$385*$AA$385</f>
        <v>3057.2982361847016</v>
      </c>
    </row>
    <row r="386" spans="1:33" ht="11.25" customHeight="1" x14ac:dyDescent="0.25">
      <c r="A386" s="3" t="s">
        <v>21</v>
      </c>
      <c r="B386" s="3" t="s">
        <v>39</v>
      </c>
      <c r="C386" s="3" t="s">
        <v>41</v>
      </c>
      <c r="D386" s="3" t="s">
        <v>38</v>
      </c>
      <c r="E386" s="3" t="s">
        <v>25</v>
      </c>
      <c r="F386" s="3" t="s">
        <v>25</v>
      </c>
      <c r="G386" s="3" t="s">
        <v>25</v>
      </c>
      <c r="H386" s="3" t="s">
        <v>34</v>
      </c>
      <c r="I386" s="6">
        <v>44774</v>
      </c>
      <c r="J386" s="4">
        <v>0</v>
      </c>
      <c r="K386" s="4">
        <v>0</v>
      </c>
      <c r="L386" s="4">
        <v>52.633000000000003</v>
      </c>
      <c r="M386" s="4">
        <v>52.633000000000003</v>
      </c>
      <c r="N386" s="4">
        <v>52.633000000000003</v>
      </c>
      <c r="O386" s="4">
        <v>52.633000000000003</v>
      </c>
      <c r="P386" s="4">
        <v>0</v>
      </c>
      <c r="Q386" s="3" t="s">
        <v>26</v>
      </c>
      <c r="R386" s="3">
        <v>0</v>
      </c>
      <c r="S386" s="4">
        <v>0</v>
      </c>
      <c r="T386" s="4">
        <v>11</v>
      </c>
      <c r="U386" s="4">
        <v>71</v>
      </c>
      <c r="V386" s="4">
        <f>IF(ISERROR(VLOOKUP($S$386,'TAR FIN'!$A$1:$O$92,15,0)),0,VLOOKUP($S$386,'TAR FIN'!$A$1:$O$92,15,0))</f>
        <v>0</v>
      </c>
      <c r="W386" s="4">
        <f>IF(ISERROR(VLOOKUP($T$386,'TAR FIN'!$A$1:$O$92,15,0)),0,VLOOKUP($T$386,'TAR FIN'!$A$1:$O$92,15,0))</f>
        <v>1155.51</v>
      </c>
      <c r="X386" s="4">
        <f>IF(ISERROR(VLOOKUP($U$386,'TAR FIN'!$A$1:$O$92,15,0)),0,VLOOKUP($U$386,'TAR FIN'!$A$1:$O$92,15,0))</f>
        <v>433.77</v>
      </c>
      <c r="Y386" s="4"/>
      <c r="Z386" s="4">
        <f ca="1">('TUSD BE'!$AM$11+'TUSD BF'!$AM$11+'TUSD CVA'!$AM$11)*1</f>
        <v>1493.7817824374656</v>
      </c>
      <c r="AA386" s="4">
        <f>('TE BE'!$AB$5+'TE BF'!$AB$5+'TE CVA'!$AB$5)*1</f>
        <v>542.84414704984056</v>
      </c>
      <c r="AB386" s="4">
        <f>$K$386*$V$386</f>
        <v>0</v>
      </c>
      <c r="AC386" s="4">
        <f>$M$386*$W$386</f>
        <v>60817.957829999999</v>
      </c>
      <c r="AD386" s="4">
        <f>$O$386*$X$386</f>
        <v>22830.616409999999</v>
      </c>
      <c r="AE386" s="4">
        <f>$K$386*$Y$386</f>
        <v>0</v>
      </c>
      <c r="AF386" s="4">
        <f ca="1">$M$386*$Z$386</f>
        <v>78622.216555031133</v>
      </c>
      <c r="AG386" s="4">
        <f>$O$386*$AA$386</f>
        <v>28571.51599167426</v>
      </c>
    </row>
    <row r="387" spans="1:33" ht="11.25" customHeight="1" x14ac:dyDescent="0.25">
      <c r="A387" s="3" t="s">
        <v>28</v>
      </c>
      <c r="B387" s="3" t="s">
        <v>39</v>
      </c>
      <c r="C387" s="3" t="s">
        <v>41</v>
      </c>
      <c r="D387" s="3" t="s">
        <v>38</v>
      </c>
      <c r="E387" s="3" t="s">
        <v>25</v>
      </c>
      <c r="F387" s="3" t="s">
        <v>25</v>
      </c>
      <c r="G387" s="3" t="s">
        <v>25</v>
      </c>
      <c r="H387" s="3" t="s">
        <v>34</v>
      </c>
      <c r="I387" s="6">
        <v>44774</v>
      </c>
      <c r="J387" s="4">
        <v>0</v>
      </c>
      <c r="K387" s="4">
        <v>0</v>
      </c>
      <c r="L387" s="4">
        <v>6.1379999999999999</v>
      </c>
      <c r="M387" s="4">
        <v>6.1379999999999999</v>
      </c>
      <c r="N387" s="4">
        <v>6.1379999999999999</v>
      </c>
      <c r="O387" s="4">
        <v>6.1379999999999999</v>
      </c>
      <c r="P387" s="4">
        <v>0</v>
      </c>
      <c r="Q387" s="3" t="s">
        <v>26</v>
      </c>
      <c r="R387" s="3">
        <v>0</v>
      </c>
      <c r="S387" s="4">
        <v>0</v>
      </c>
      <c r="T387" s="4">
        <v>11</v>
      </c>
      <c r="U387" s="4">
        <v>71</v>
      </c>
      <c r="V387" s="4">
        <f>IF(ISERROR(VLOOKUP($S$387,'TAR FIN'!$A$1:$O$92,15,0)),0,VLOOKUP($S$387,'TAR FIN'!$A$1:$O$92,15,0))</f>
        <v>0</v>
      </c>
      <c r="W387" s="4">
        <f>IF(ISERROR(VLOOKUP($T$387,'TAR FIN'!$A$1:$O$92,15,0)),0,VLOOKUP($T$387,'TAR FIN'!$A$1:$O$92,15,0))</f>
        <v>1155.51</v>
      </c>
      <c r="X387" s="4">
        <f>IF(ISERROR(VLOOKUP($U$387,'TAR FIN'!$A$1:$O$92,15,0)),0,VLOOKUP($U$387,'TAR FIN'!$A$1:$O$92,15,0))</f>
        <v>433.77</v>
      </c>
      <c r="Y387" s="4"/>
      <c r="Z387" s="4">
        <f ca="1">('TUSD BE'!$AM$11+'TUSD BF'!$AM$11+'TUSD CVA'!$AM$11)*1</f>
        <v>1493.7817824374656</v>
      </c>
      <c r="AA387" s="4">
        <f>('TE BE'!$AB$5+'TE BF'!$AB$5+'TE CVA'!$AB$5)*1</f>
        <v>542.84414704984056</v>
      </c>
      <c r="AB387" s="4">
        <f>$K$387*$V$387</f>
        <v>0</v>
      </c>
      <c r="AC387" s="4">
        <f>$M$387*$W$387</f>
        <v>7092.5203799999999</v>
      </c>
      <c r="AD387" s="4">
        <f>$O$387*$X$387</f>
        <v>2662.4802599999998</v>
      </c>
      <c r="AE387" s="4">
        <f>$K$387*$Y$387</f>
        <v>0</v>
      </c>
      <c r="AF387" s="4">
        <f ca="1">$M$387*$Z$387</f>
        <v>9168.8325806011635</v>
      </c>
      <c r="AG387" s="4">
        <f>$O$387*$AA$387</f>
        <v>3331.9773745919215</v>
      </c>
    </row>
    <row r="388" spans="1:33" ht="11.25" customHeight="1" x14ac:dyDescent="0.25">
      <c r="A388" s="3" t="s">
        <v>21</v>
      </c>
      <c r="B388" s="3" t="s">
        <v>39</v>
      </c>
      <c r="C388" s="3" t="s">
        <v>41</v>
      </c>
      <c r="D388" s="3" t="s">
        <v>38</v>
      </c>
      <c r="E388" s="3" t="s">
        <v>25</v>
      </c>
      <c r="F388" s="3" t="s">
        <v>25</v>
      </c>
      <c r="G388" s="3" t="s">
        <v>25</v>
      </c>
      <c r="H388" s="3" t="s">
        <v>34</v>
      </c>
      <c r="I388" s="6">
        <v>44805</v>
      </c>
      <c r="J388" s="4">
        <v>0</v>
      </c>
      <c r="K388" s="4">
        <v>0</v>
      </c>
      <c r="L388" s="4">
        <v>44.701999999999998</v>
      </c>
      <c r="M388" s="4">
        <v>44.701999999999998</v>
      </c>
      <c r="N388" s="4">
        <v>44.701999999999998</v>
      </c>
      <c r="O388" s="4">
        <v>44.701999999999998</v>
      </c>
      <c r="P388" s="4">
        <v>0</v>
      </c>
      <c r="Q388" s="3" t="s">
        <v>26</v>
      </c>
      <c r="R388" s="3">
        <v>0</v>
      </c>
      <c r="S388" s="4">
        <v>0</v>
      </c>
      <c r="T388" s="4">
        <v>11</v>
      </c>
      <c r="U388" s="4">
        <v>71</v>
      </c>
      <c r="V388" s="4">
        <f>IF(ISERROR(VLOOKUP($S$388,'TAR FIN'!$A$1:$O$92,15,0)),0,VLOOKUP($S$388,'TAR FIN'!$A$1:$O$92,15,0))</f>
        <v>0</v>
      </c>
      <c r="W388" s="4">
        <f>IF(ISERROR(VLOOKUP($T$388,'TAR FIN'!$A$1:$O$92,15,0)),0,VLOOKUP($T$388,'TAR FIN'!$A$1:$O$92,15,0))</f>
        <v>1155.51</v>
      </c>
      <c r="X388" s="4">
        <f>IF(ISERROR(VLOOKUP($U$388,'TAR FIN'!$A$1:$O$92,15,0)),0,VLOOKUP($U$388,'TAR FIN'!$A$1:$O$92,15,0))</f>
        <v>433.77</v>
      </c>
      <c r="Y388" s="4"/>
      <c r="Z388" s="4">
        <f ca="1">('TUSD BE'!$AM$11+'TUSD BF'!$AM$11+'TUSD CVA'!$AM$11)*1</f>
        <v>1493.7817824374656</v>
      </c>
      <c r="AA388" s="4">
        <f>('TE BE'!$AB$5+'TE BF'!$AB$5+'TE CVA'!$AB$5)*1</f>
        <v>542.84414704984056</v>
      </c>
      <c r="AB388" s="4">
        <f>$K$388*$V$388</f>
        <v>0</v>
      </c>
      <c r="AC388" s="4">
        <f>$M$388*$W$388</f>
        <v>51653.60802</v>
      </c>
      <c r="AD388" s="4">
        <f>$O$388*$X$388</f>
        <v>19390.38654</v>
      </c>
      <c r="AE388" s="4">
        <f>$K$388*$Y$388</f>
        <v>0</v>
      </c>
      <c r="AF388" s="4">
        <f ca="1">$M$388*$Z$388</f>
        <v>66775.03323851958</v>
      </c>
      <c r="AG388" s="4">
        <f>$O$388*$AA$388</f>
        <v>24266.219061421973</v>
      </c>
    </row>
    <row r="389" spans="1:33" ht="11.25" customHeight="1" x14ac:dyDescent="0.25">
      <c r="A389" s="3" t="s">
        <v>28</v>
      </c>
      <c r="B389" s="3" t="s">
        <v>39</v>
      </c>
      <c r="C389" s="3" t="s">
        <v>41</v>
      </c>
      <c r="D389" s="3" t="s">
        <v>38</v>
      </c>
      <c r="E389" s="3" t="s">
        <v>25</v>
      </c>
      <c r="F389" s="3" t="s">
        <v>25</v>
      </c>
      <c r="G389" s="3" t="s">
        <v>25</v>
      </c>
      <c r="H389" s="3" t="s">
        <v>34</v>
      </c>
      <c r="I389" s="6">
        <v>44805</v>
      </c>
      <c r="J389" s="4">
        <v>0</v>
      </c>
      <c r="K389" s="4">
        <v>0</v>
      </c>
      <c r="L389" s="4">
        <v>6.7969999999999997</v>
      </c>
      <c r="M389" s="4">
        <v>6.7969999999999997</v>
      </c>
      <c r="N389" s="4">
        <v>6.7969999999999997</v>
      </c>
      <c r="O389" s="4">
        <v>6.7969999999999997</v>
      </c>
      <c r="P389" s="4">
        <v>0</v>
      </c>
      <c r="Q389" s="3" t="s">
        <v>26</v>
      </c>
      <c r="R389" s="3">
        <v>0</v>
      </c>
      <c r="S389" s="4">
        <v>0</v>
      </c>
      <c r="T389" s="4">
        <v>11</v>
      </c>
      <c r="U389" s="4">
        <v>71</v>
      </c>
      <c r="V389" s="4">
        <f>IF(ISERROR(VLOOKUP($S$389,'TAR FIN'!$A$1:$O$92,15,0)),0,VLOOKUP($S$389,'TAR FIN'!$A$1:$O$92,15,0))</f>
        <v>0</v>
      </c>
      <c r="W389" s="4">
        <f>IF(ISERROR(VLOOKUP($T$389,'TAR FIN'!$A$1:$O$92,15,0)),0,VLOOKUP($T$389,'TAR FIN'!$A$1:$O$92,15,0))</f>
        <v>1155.51</v>
      </c>
      <c r="X389" s="4">
        <f>IF(ISERROR(VLOOKUP($U$389,'TAR FIN'!$A$1:$O$92,15,0)),0,VLOOKUP($U$389,'TAR FIN'!$A$1:$O$92,15,0))</f>
        <v>433.77</v>
      </c>
      <c r="Y389" s="4"/>
      <c r="Z389" s="4">
        <f ca="1">('TUSD BE'!$AM$11+'TUSD BF'!$AM$11+'TUSD CVA'!$AM$11)*1</f>
        <v>1493.7817824374656</v>
      </c>
      <c r="AA389" s="4">
        <f>('TE BE'!$AB$5+'TE BF'!$AB$5+'TE CVA'!$AB$5)*1</f>
        <v>542.84414704984056</v>
      </c>
      <c r="AB389" s="4">
        <f>$K$389*$V$389</f>
        <v>0</v>
      </c>
      <c r="AC389" s="4">
        <f>$M$389*$W$389</f>
        <v>7854.0014699999992</v>
      </c>
      <c r="AD389" s="4">
        <f>$O$389*$X$389</f>
        <v>2948.3346899999997</v>
      </c>
      <c r="AE389" s="4">
        <f>$K$389*$Y$389</f>
        <v>0</v>
      </c>
      <c r="AF389" s="4">
        <f ca="1">$M$389*$Z$389</f>
        <v>10153.234775227453</v>
      </c>
      <c r="AG389" s="4">
        <f>$O$389*$AA$389</f>
        <v>3689.711667497766</v>
      </c>
    </row>
    <row r="390" spans="1:33" ht="11.25" customHeight="1" x14ac:dyDescent="0.25">
      <c r="A390" s="3" t="s">
        <v>55</v>
      </c>
      <c r="B390" s="3" t="s">
        <v>39</v>
      </c>
      <c r="C390" s="3" t="s">
        <v>41</v>
      </c>
      <c r="D390" s="3" t="s">
        <v>38</v>
      </c>
      <c r="E390" s="3" t="s">
        <v>25</v>
      </c>
      <c r="F390" s="3" t="s">
        <v>25</v>
      </c>
      <c r="G390" s="3" t="s">
        <v>25</v>
      </c>
      <c r="H390" s="3" t="s">
        <v>34</v>
      </c>
      <c r="I390" s="6">
        <v>44835</v>
      </c>
      <c r="J390" s="4">
        <v>0</v>
      </c>
      <c r="K390" s="4">
        <v>0</v>
      </c>
      <c r="L390" s="4">
        <v>44.701999999999998</v>
      </c>
      <c r="M390" s="4">
        <v>44.701999999999998</v>
      </c>
      <c r="N390" s="4">
        <v>44.701999999999998</v>
      </c>
      <c r="O390" s="4">
        <v>44.701999999999998</v>
      </c>
      <c r="P390" s="4">
        <v>0</v>
      </c>
      <c r="Q390" s="3" t="s">
        <v>26</v>
      </c>
      <c r="R390" s="3">
        <v>0</v>
      </c>
      <c r="S390" s="4">
        <v>0</v>
      </c>
      <c r="T390" s="4">
        <v>11</v>
      </c>
      <c r="U390" s="4">
        <v>71</v>
      </c>
      <c r="V390" s="4">
        <f>IF(ISERROR(VLOOKUP($S$390,'TAR FIN'!$A$1:$O$92,15,0)),0,VLOOKUP($S$390,'TAR FIN'!$A$1:$O$92,15,0))</f>
        <v>0</v>
      </c>
      <c r="W390" s="4">
        <f>IF(ISERROR(VLOOKUP($T$390,'TAR FIN'!$A$1:$O$92,15,0)),0,VLOOKUP($T$390,'TAR FIN'!$A$1:$O$92,15,0))</f>
        <v>1155.51</v>
      </c>
      <c r="X390" s="4">
        <f>IF(ISERROR(VLOOKUP($U$390,'TAR FIN'!$A$1:$O$92,15,0)),0,VLOOKUP($U$390,'TAR FIN'!$A$1:$O$92,15,0))</f>
        <v>433.77</v>
      </c>
      <c r="Y390" s="4"/>
      <c r="Z390" s="4">
        <f ca="1">('TUSD BE'!$AM$11+'TUSD BF'!$AM$11+'TUSD CVA'!$AM$11)*1</f>
        <v>1493.7817824374656</v>
      </c>
      <c r="AA390" s="4">
        <f>('TE BE'!$AB$5+'TE BF'!$AB$5+'TE CVA'!$AB$5)*1</f>
        <v>542.84414704984056</v>
      </c>
      <c r="AB390" s="4">
        <f>$K$390*$V$390</f>
        <v>0</v>
      </c>
      <c r="AC390" s="4">
        <f>$M$390*$W$390</f>
        <v>51653.60802</v>
      </c>
      <c r="AD390" s="4">
        <f>$O$390*$X$390</f>
        <v>19390.38654</v>
      </c>
      <c r="AE390" s="4">
        <f>$K$390*$Y$390</f>
        <v>0</v>
      </c>
      <c r="AF390" s="4">
        <f ca="1">$M$390*$Z$390</f>
        <v>66775.03323851958</v>
      </c>
      <c r="AG390" s="4">
        <f>$O$390*$AA$390</f>
        <v>24266.219061421973</v>
      </c>
    </row>
    <row r="391" spans="1:33" ht="11.25" customHeight="1" x14ac:dyDescent="0.25">
      <c r="A391" s="3" t="s">
        <v>55</v>
      </c>
      <c r="B391" s="3" t="s">
        <v>39</v>
      </c>
      <c r="C391" s="3" t="s">
        <v>41</v>
      </c>
      <c r="D391" s="3" t="s">
        <v>38</v>
      </c>
      <c r="E391" s="3" t="s">
        <v>25</v>
      </c>
      <c r="F391" s="3" t="s">
        <v>25</v>
      </c>
      <c r="G391" s="3" t="s">
        <v>25</v>
      </c>
      <c r="H391" s="3" t="s">
        <v>34</v>
      </c>
      <c r="I391" s="6">
        <v>44835</v>
      </c>
      <c r="J391" s="4">
        <v>0</v>
      </c>
      <c r="K391" s="4">
        <v>0</v>
      </c>
      <c r="L391" s="4">
        <v>6.7969999999999997</v>
      </c>
      <c r="M391" s="4">
        <v>6.7969999999999997</v>
      </c>
      <c r="N391" s="4">
        <v>6.7969999999999997</v>
      </c>
      <c r="O391" s="4">
        <v>6.7969999999999997</v>
      </c>
      <c r="P391" s="4">
        <v>0</v>
      </c>
      <c r="Q391" s="3" t="s">
        <v>26</v>
      </c>
      <c r="R391" s="3">
        <v>0</v>
      </c>
      <c r="S391" s="4">
        <v>0</v>
      </c>
      <c r="T391" s="4">
        <v>11</v>
      </c>
      <c r="U391" s="4">
        <v>71</v>
      </c>
      <c r="V391" s="4">
        <f>IF(ISERROR(VLOOKUP($S$391,'TAR FIN'!$A$1:$O$92,15,0)),0,VLOOKUP($S$391,'TAR FIN'!$A$1:$O$92,15,0))</f>
        <v>0</v>
      </c>
      <c r="W391" s="4">
        <f>IF(ISERROR(VLOOKUP($T$391,'TAR FIN'!$A$1:$O$92,15,0)),0,VLOOKUP($T$391,'TAR FIN'!$A$1:$O$92,15,0))</f>
        <v>1155.51</v>
      </c>
      <c r="X391" s="4">
        <f>IF(ISERROR(VLOOKUP($U$391,'TAR FIN'!$A$1:$O$92,15,0)),0,VLOOKUP($U$391,'TAR FIN'!$A$1:$O$92,15,0))</f>
        <v>433.77</v>
      </c>
      <c r="Y391" s="4"/>
      <c r="Z391" s="4">
        <f ca="1">('TUSD BE'!$AM$11+'TUSD BF'!$AM$11+'TUSD CVA'!$AM$11)*1</f>
        <v>1493.7817824374656</v>
      </c>
      <c r="AA391" s="4">
        <f>('TE BE'!$AB$5+'TE BF'!$AB$5+'TE CVA'!$AB$5)*1</f>
        <v>542.84414704984056</v>
      </c>
      <c r="AB391" s="4">
        <f>$K$391*$V$391</f>
        <v>0</v>
      </c>
      <c r="AC391" s="4">
        <f>$M$391*$W$391</f>
        <v>7854.0014699999992</v>
      </c>
      <c r="AD391" s="4">
        <f>$O$391*$X$391</f>
        <v>2948.3346899999997</v>
      </c>
      <c r="AE391" s="4">
        <f>$K$391*$Y$391</f>
        <v>0</v>
      </c>
      <c r="AF391" s="4">
        <f ca="1">$M$391*$Z$391</f>
        <v>10153.234775227453</v>
      </c>
      <c r="AG391" s="4">
        <f>$O$391*$AA$391</f>
        <v>3689.711667497766</v>
      </c>
    </row>
    <row r="392" spans="1:33" ht="11.25" customHeight="1" x14ac:dyDescent="0.25">
      <c r="A392" s="3" t="s">
        <v>21</v>
      </c>
      <c r="B392" s="3" t="s">
        <v>39</v>
      </c>
      <c r="C392" s="3" t="s">
        <v>41</v>
      </c>
      <c r="D392" s="3" t="s">
        <v>45</v>
      </c>
      <c r="E392" s="3" t="s">
        <v>25</v>
      </c>
      <c r="F392" s="3" t="s">
        <v>25</v>
      </c>
      <c r="G392" s="3" t="s">
        <v>25</v>
      </c>
      <c r="H392" s="3" t="s">
        <v>35</v>
      </c>
      <c r="I392" s="6">
        <v>44501</v>
      </c>
      <c r="J392" s="4">
        <v>0</v>
      </c>
      <c r="K392" s="4">
        <v>0</v>
      </c>
      <c r="L392" s="4">
        <v>3918.1260000000002</v>
      </c>
      <c r="M392" s="4">
        <v>3918.1260000000002</v>
      </c>
      <c r="N392" s="4">
        <v>3918.1260000000002</v>
      </c>
      <c r="O392" s="4">
        <v>3918.1260000000002</v>
      </c>
      <c r="P392" s="4">
        <v>0</v>
      </c>
      <c r="Q392" s="3" t="s">
        <v>26</v>
      </c>
      <c r="R392" s="3">
        <v>0</v>
      </c>
      <c r="S392" s="4">
        <v>0</v>
      </c>
      <c r="T392" s="4">
        <v>31</v>
      </c>
      <c r="U392" s="4">
        <v>59</v>
      </c>
      <c r="V392" s="4">
        <f>IF(ISERROR(VLOOKUP($S$392,'TAR FIN'!$A$1:$O$92,15,0)),0,VLOOKUP($S$392,'TAR FIN'!$A$1:$O$92,15,0))</f>
        <v>0</v>
      </c>
      <c r="W392" s="4">
        <f>IF(ISERROR(VLOOKUP($T$392,'TAR FIN'!$A$1:$O$92,15,0)),0,VLOOKUP($T$392,'TAR FIN'!$A$1:$O$92,15,0))</f>
        <v>87.73</v>
      </c>
      <c r="X392" s="4">
        <f>IF(ISERROR(VLOOKUP($U$392,'TAR FIN'!$A$1:$O$92,15,0)),0,VLOOKUP($U$392,'TAR FIN'!$A$1:$O$92,15,0))</f>
        <v>253.9</v>
      </c>
      <c r="Y392" s="4"/>
      <c r="Z392" s="4">
        <f ca="1">('TUSD BE'!$AM$12+'TUSD BF'!$AM$12+'TUSD CVA'!$AM$12)*1</f>
        <v>109.44196476324252</v>
      </c>
      <c r="AA392" s="4">
        <f>('TE BE'!$AB$6+'TE BF'!$AB$6+'TE CVA'!$AB$6)*1</f>
        <v>317.3874512882154</v>
      </c>
      <c r="AB392" s="4">
        <f>$K$392*$V$392</f>
        <v>0</v>
      </c>
      <c r="AC392" s="4">
        <f>$M$392*$W$392</f>
        <v>343737.19398000004</v>
      </c>
      <c r="AD392" s="4">
        <f>$O$392*$X$392</f>
        <v>994812.19140000013</v>
      </c>
      <c r="AE392" s="4">
        <f>$K$392*$Y$392</f>
        <v>0</v>
      </c>
      <c r="AF392" s="4">
        <f ca="1">$M$392*$Z$392</f>
        <v>428807.40762994438</v>
      </c>
      <c r="AG392" s="4">
        <f>$O$392*$AA$392</f>
        <v>1243564.0249660902</v>
      </c>
    </row>
    <row r="393" spans="1:33" ht="11.25" customHeight="1" x14ac:dyDescent="0.25">
      <c r="A393" s="3" t="s">
        <v>27</v>
      </c>
      <c r="B393" s="3" t="s">
        <v>39</v>
      </c>
      <c r="C393" s="3" t="s">
        <v>41</v>
      </c>
      <c r="D393" s="3" t="s">
        <v>45</v>
      </c>
      <c r="E393" s="3" t="s">
        <v>25</v>
      </c>
      <c r="F393" s="3" t="s">
        <v>25</v>
      </c>
      <c r="G393" s="3" t="s">
        <v>25</v>
      </c>
      <c r="H393" s="3" t="s">
        <v>35</v>
      </c>
      <c r="I393" s="6">
        <v>44501</v>
      </c>
      <c r="J393" s="4">
        <v>0</v>
      </c>
      <c r="K393" s="4">
        <v>0</v>
      </c>
      <c r="L393" s="4">
        <v>11.834</v>
      </c>
      <c r="M393" s="4">
        <v>11.834</v>
      </c>
      <c r="N393" s="4">
        <v>11.834</v>
      </c>
      <c r="O393" s="4">
        <v>11.834</v>
      </c>
      <c r="P393" s="4">
        <v>0</v>
      </c>
      <c r="Q393" s="3" t="s">
        <v>26</v>
      </c>
      <c r="R393" s="3">
        <v>0</v>
      </c>
      <c r="S393" s="4">
        <v>0</v>
      </c>
      <c r="T393" s="4">
        <v>31</v>
      </c>
      <c r="U393" s="4">
        <v>59</v>
      </c>
      <c r="V393" s="4">
        <f>IF(ISERROR(VLOOKUP($S$393,'TAR FIN'!$A$1:$O$92,15,0)),0,VLOOKUP($S$393,'TAR FIN'!$A$1:$O$92,15,0))</f>
        <v>0</v>
      </c>
      <c r="W393" s="4">
        <f>IF(ISERROR(VLOOKUP($T$393,'TAR FIN'!$A$1:$O$92,15,0)),0,VLOOKUP($T$393,'TAR FIN'!$A$1:$O$92,15,0))</f>
        <v>87.73</v>
      </c>
      <c r="X393" s="4">
        <f>IF(ISERROR(VLOOKUP($U$393,'TAR FIN'!$A$1:$O$92,15,0)),0,VLOOKUP($U$393,'TAR FIN'!$A$1:$O$92,15,0))</f>
        <v>253.9</v>
      </c>
      <c r="Y393" s="4"/>
      <c r="Z393" s="4">
        <f ca="1">('TUSD BE'!$AM$12+'TUSD BF'!$AM$12+'TUSD CVA'!$AM$12)*1</f>
        <v>109.44196476324252</v>
      </c>
      <c r="AA393" s="4">
        <f>('TE BE'!$AB$6+'TE BF'!$AB$6+'TE CVA'!$AB$6)*1</f>
        <v>317.3874512882154</v>
      </c>
      <c r="AB393" s="4">
        <f>$K$393*$V$393</f>
        <v>0</v>
      </c>
      <c r="AC393" s="4">
        <f>$M$393*$W$393</f>
        <v>1038.1968200000001</v>
      </c>
      <c r="AD393" s="4">
        <f>$O$393*$X$393</f>
        <v>3004.6525999999999</v>
      </c>
      <c r="AE393" s="4">
        <f>$K$393*$Y$393</f>
        <v>0</v>
      </c>
      <c r="AF393" s="4">
        <f ca="1">$M$393*$Z$393</f>
        <v>1295.1362110082121</v>
      </c>
      <c r="AG393" s="4">
        <f>$O$393*$AA$393</f>
        <v>3755.9630985447411</v>
      </c>
    </row>
    <row r="394" spans="1:33" ht="11.25" customHeight="1" x14ac:dyDescent="0.25">
      <c r="A394" s="3" t="s">
        <v>28</v>
      </c>
      <c r="B394" s="3" t="s">
        <v>39</v>
      </c>
      <c r="C394" s="3" t="s">
        <v>41</v>
      </c>
      <c r="D394" s="3" t="s">
        <v>45</v>
      </c>
      <c r="E394" s="3" t="s">
        <v>25</v>
      </c>
      <c r="F394" s="3" t="s">
        <v>25</v>
      </c>
      <c r="G394" s="3" t="s">
        <v>25</v>
      </c>
      <c r="H394" s="3" t="s">
        <v>35</v>
      </c>
      <c r="I394" s="6">
        <v>44501</v>
      </c>
      <c r="J394" s="4">
        <v>0</v>
      </c>
      <c r="K394" s="4">
        <v>0</v>
      </c>
      <c r="L394" s="4">
        <v>1071.796</v>
      </c>
      <c r="M394" s="4">
        <v>1071.796</v>
      </c>
      <c r="N394" s="4">
        <v>1071.796</v>
      </c>
      <c r="O394" s="4">
        <v>1071.796</v>
      </c>
      <c r="P394" s="4">
        <v>0</v>
      </c>
      <c r="Q394" s="3" t="s">
        <v>26</v>
      </c>
      <c r="R394" s="3">
        <v>0</v>
      </c>
      <c r="S394" s="4">
        <v>0</v>
      </c>
      <c r="T394" s="4">
        <v>31</v>
      </c>
      <c r="U394" s="4">
        <v>59</v>
      </c>
      <c r="V394" s="4">
        <f>IF(ISERROR(VLOOKUP($S$394,'TAR FIN'!$A$1:$O$92,15,0)),0,VLOOKUP($S$394,'TAR FIN'!$A$1:$O$92,15,0))</f>
        <v>0</v>
      </c>
      <c r="W394" s="4">
        <f>IF(ISERROR(VLOOKUP($T$394,'TAR FIN'!$A$1:$O$92,15,0)),0,VLOOKUP($T$394,'TAR FIN'!$A$1:$O$92,15,0))</f>
        <v>87.73</v>
      </c>
      <c r="X394" s="4">
        <f>IF(ISERROR(VLOOKUP($U$394,'TAR FIN'!$A$1:$O$92,15,0)),0,VLOOKUP($U$394,'TAR FIN'!$A$1:$O$92,15,0))</f>
        <v>253.9</v>
      </c>
      <c r="Y394" s="4"/>
      <c r="Z394" s="4">
        <f ca="1">('TUSD BE'!$AM$12+'TUSD BF'!$AM$12+'TUSD CVA'!$AM$12)*1</f>
        <v>109.44196476324252</v>
      </c>
      <c r="AA394" s="4">
        <f>('TE BE'!$AB$6+'TE BF'!$AB$6+'TE CVA'!$AB$6)*1</f>
        <v>317.3874512882154</v>
      </c>
      <c r="AB394" s="4">
        <f>$K$394*$V$394</f>
        <v>0</v>
      </c>
      <c r="AC394" s="4">
        <f>$M$394*$W$394</f>
        <v>94028.663080000013</v>
      </c>
      <c r="AD394" s="4">
        <f>$O$394*$X$394</f>
        <v>272129.00440000003</v>
      </c>
      <c r="AE394" s="4">
        <f>$K$394*$Y$394</f>
        <v>0</v>
      </c>
      <c r="AF394" s="4">
        <f ca="1">$M$394*$Z$394</f>
        <v>117299.46006538429</v>
      </c>
      <c r="AG394" s="4">
        <f>$O$394*$AA$394</f>
        <v>340174.6007409041</v>
      </c>
    </row>
    <row r="395" spans="1:33" ht="11.25" customHeight="1" x14ac:dyDescent="0.25">
      <c r="A395" s="3" t="s">
        <v>21</v>
      </c>
      <c r="B395" s="3" t="s">
        <v>39</v>
      </c>
      <c r="C395" s="3" t="s">
        <v>41</v>
      </c>
      <c r="D395" s="3" t="s">
        <v>45</v>
      </c>
      <c r="E395" s="3" t="s">
        <v>25</v>
      </c>
      <c r="F395" s="3" t="s">
        <v>25</v>
      </c>
      <c r="G395" s="3" t="s">
        <v>25</v>
      </c>
      <c r="H395" s="3" t="s">
        <v>35</v>
      </c>
      <c r="I395" s="6">
        <v>44531</v>
      </c>
      <c r="J395" s="4">
        <v>0</v>
      </c>
      <c r="K395" s="4">
        <v>0</v>
      </c>
      <c r="L395" s="4">
        <v>3526.7840000000001</v>
      </c>
      <c r="M395" s="4">
        <v>3526.7840000000001</v>
      </c>
      <c r="N395" s="4">
        <v>3526.7840000000001</v>
      </c>
      <c r="O395" s="4">
        <v>3526.7840000000001</v>
      </c>
      <c r="P395" s="4">
        <v>0</v>
      </c>
      <c r="Q395" s="3" t="s">
        <v>26</v>
      </c>
      <c r="R395" s="3">
        <v>0</v>
      </c>
      <c r="S395" s="4">
        <v>0</v>
      </c>
      <c r="T395" s="4">
        <v>31</v>
      </c>
      <c r="U395" s="4">
        <v>59</v>
      </c>
      <c r="V395" s="4">
        <f>IF(ISERROR(VLOOKUP($S$395,'TAR FIN'!$A$1:$O$92,15,0)),0,VLOOKUP($S$395,'TAR FIN'!$A$1:$O$92,15,0))</f>
        <v>0</v>
      </c>
      <c r="W395" s="4">
        <f>IF(ISERROR(VLOOKUP($T$395,'TAR FIN'!$A$1:$O$92,15,0)),0,VLOOKUP($T$395,'TAR FIN'!$A$1:$O$92,15,0))</f>
        <v>87.73</v>
      </c>
      <c r="X395" s="4">
        <f>IF(ISERROR(VLOOKUP($U$395,'TAR FIN'!$A$1:$O$92,15,0)),0,VLOOKUP($U$395,'TAR FIN'!$A$1:$O$92,15,0))</f>
        <v>253.9</v>
      </c>
      <c r="Y395" s="4"/>
      <c r="Z395" s="4">
        <f ca="1">('TUSD BE'!$AM$12+'TUSD BF'!$AM$12+'TUSD CVA'!$AM$12)*1</f>
        <v>109.44196476324252</v>
      </c>
      <c r="AA395" s="4">
        <f>('TE BE'!$AB$6+'TE BF'!$AB$6+'TE CVA'!$AB$6)*1</f>
        <v>317.3874512882154</v>
      </c>
      <c r="AB395" s="4">
        <f>$K$395*$V$395</f>
        <v>0</v>
      </c>
      <c r="AC395" s="4">
        <f>$M$395*$W$395</f>
        <v>309404.76032</v>
      </c>
      <c r="AD395" s="4">
        <f>$O$395*$X$395</f>
        <v>895450.45760000008</v>
      </c>
      <c r="AE395" s="4">
        <f>$K$395*$Y$395</f>
        <v>0</v>
      </c>
      <c r="AF395" s="4">
        <f ca="1">$M$395*$Z$395</f>
        <v>385978.17025556753</v>
      </c>
      <c r="AG395" s="4">
        <f>$O$395*$AA$395</f>
        <v>1119356.9850040574</v>
      </c>
    </row>
    <row r="396" spans="1:33" ht="11.25" customHeight="1" x14ac:dyDescent="0.25">
      <c r="A396" s="3" t="s">
        <v>28</v>
      </c>
      <c r="B396" s="3" t="s">
        <v>39</v>
      </c>
      <c r="C396" s="3" t="s">
        <v>41</v>
      </c>
      <c r="D396" s="3" t="s">
        <v>45</v>
      </c>
      <c r="E396" s="3" t="s">
        <v>25</v>
      </c>
      <c r="F396" s="3" t="s">
        <v>25</v>
      </c>
      <c r="G396" s="3" t="s">
        <v>25</v>
      </c>
      <c r="H396" s="3" t="s">
        <v>35</v>
      </c>
      <c r="I396" s="6">
        <v>44531</v>
      </c>
      <c r="J396" s="4">
        <v>0</v>
      </c>
      <c r="K396" s="4">
        <v>0</v>
      </c>
      <c r="L396" s="4">
        <v>871.15099999999995</v>
      </c>
      <c r="M396" s="4">
        <v>871.15099999999995</v>
      </c>
      <c r="N396" s="4">
        <v>871.15099999999995</v>
      </c>
      <c r="O396" s="4">
        <v>871.15099999999995</v>
      </c>
      <c r="P396" s="4">
        <v>0</v>
      </c>
      <c r="Q396" s="3" t="s">
        <v>26</v>
      </c>
      <c r="R396" s="3">
        <v>0</v>
      </c>
      <c r="S396" s="4">
        <v>0</v>
      </c>
      <c r="T396" s="4">
        <v>31</v>
      </c>
      <c r="U396" s="4">
        <v>59</v>
      </c>
      <c r="V396" s="4">
        <f>IF(ISERROR(VLOOKUP($S$396,'TAR FIN'!$A$1:$O$92,15,0)),0,VLOOKUP($S$396,'TAR FIN'!$A$1:$O$92,15,0))</f>
        <v>0</v>
      </c>
      <c r="W396" s="4">
        <f>IF(ISERROR(VLOOKUP($T$396,'TAR FIN'!$A$1:$O$92,15,0)),0,VLOOKUP($T$396,'TAR FIN'!$A$1:$O$92,15,0))</f>
        <v>87.73</v>
      </c>
      <c r="X396" s="4">
        <f>IF(ISERROR(VLOOKUP($U$396,'TAR FIN'!$A$1:$O$92,15,0)),0,VLOOKUP($U$396,'TAR FIN'!$A$1:$O$92,15,0))</f>
        <v>253.9</v>
      </c>
      <c r="Y396" s="4"/>
      <c r="Z396" s="4">
        <f ca="1">('TUSD BE'!$AM$12+'TUSD BF'!$AM$12+'TUSD CVA'!$AM$12)*1</f>
        <v>109.44196476324252</v>
      </c>
      <c r="AA396" s="4">
        <f>('TE BE'!$AB$6+'TE BF'!$AB$6+'TE CVA'!$AB$6)*1</f>
        <v>317.3874512882154</v>
      </c>
      <c r="AB396" s="4">
        <f>$K$396*$V$396</f>
        <v>0</v>
      </c>
      <c r="AC396" s="4">
        <f>$M$396*$W$396</f>
        <v>76426.077229999995</v>
      </c>
      <c r="AD396" s="4">
        <f>$O$396*$X$396</f>
        <v>221185.2389</v>
      </c>
      <c r="AE396" s="4">
        <f>$K$396*$Y$396</f>
        <v>0</v>
      </c>
      <c r="AF396" s="4">
        <f ca="1">$M$396*$Z$396</f>
        <v>95340.477045463485</v>
      </c>
      <c r="AG396" s="4">
        <f>$O$396*$AA$396</f>
        <v>276492.39557718014</v>
      </c>
    </row>
    <row r="397" spans="1:33" ht="11.25" customHeight="1" x14ac:dyDescent="0.25">
      <c r="A397" s="3" t="s">
        <v>28</v>
      </c>
      <c r="B397" s="3" t="s">
        <v>39</v>
      </c>
      <c r="C397" s="3" t="s">
        <v>41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35</v>
      </c>
      <c r="I397" s="6">
        <v>44531</v>
      </c>
      <c r="J397" s="4">
        <v>0</v>
      </c>
      <c r="K397" s="4">
        <v>0</v>
      </c>
      <c r="L397" s="4">
        <v>1.5</v>
      </c>
      <c r="M397" s="4">
        <v>1.5</v>
      </c>
      <c r="N397" s="4">
        <v>1.5</v>
      </c>
      <c r="O397" s="4">
        <v>1.5</v>
      </c>
      <c r="P397" s="4">
        <v>0</v>
      </c>
      <c r="Q397" s="3" t="s">
        <v>26</v>
      </c>
      <c r="R397" s="3">
        <v>0</v>
      </c>
      <c r="S397" s="4">
        <v>0</v>
      </c>
      <c r="T397" s="4">
        <v>31</v>
      </c>
      <c r="U397" s="4">
        <v>59</v>
      </c>
      <c r="V397" s="4">
        <f>IF(ISERROR(VLOOKUP($S$397,'TAR FIN'!$A$1:$O$92,15,0)),0,VLOOKUP($S$397,'TAR FIN'!$A$1:$O$92,15,0))</f>
        <v>0</v>
      </c>
      <c r="W397" s="4">
        <f>IF(ISERROR(VLOOKUP($T$397,'TAR FIN'!$A$1:$O$92,15,0)),0,VLOOKUP($T$397,'TAR FIN'!$A$1:$O$92,15,0))</f>
        <v>87.73</v>
      </c>
      <c r="X397" s="4">
        <f>IF(ISERROR(VLOOKUP($U$397,'TAR FIN'!$A$1:$O$92,15,0)),0,VLOOKUP($U$397,'TAR FIN'!$A$1:$O$92,15,0))</f>
        <v>253.9</v>
      </c>
      <c r="Y397" s="4"/>
      <c r="Z397" s="4">
        <f ca="1">('TUSD BE'!$AM$12+'TUSD BF'!$AM$12+'TUSD CVA'!$AM$12)*1</f>
        <v>109.44196476324252</v>
      </c>
      <c r="AA397" s="4">
        <f>('TE BE'!$AB$6+'TE BF'!$AB$6+'TE CVA'!$AB$6)*1</f>
        <v>317.3874512882154</v>
      </c>
      <c r="AB397" s="4">
        <f>$K$397*$V$397</f>
        <v>0</v>
      </c>
      <c r="AC397" s="4">
        <f>$M$397*$W$397</f>
        <v>131.595</v>
      </c>
      <c r="AD397" s="4">
        <f>$O$397*$X$397</f>
        <v>380.85</v>
      </c>
      <c r="AE397" s="4">
        <f>$K$397*$Y$397</f>
        <v>0</v>
      </c>
      <c r="AF397" s="4">
        <f ca="1">$M$397*$Z$397</f>
        <v>164.16294714486378</v>
      </c>
      <c r="AG397" s="4">
        <f>$O$397*$AA$397</f>
        <v>476.0811769323231</v>
      </c>
    </row>
    <row r="398" spans="1:33" ht="11.25" customHeight="1" x14ac:dyDescent="0.25">
      <c r="A398" s="3" t="s">
        <v>21</v>
      </c>
      <c r="B398" s="3" t="s">
        <v>39</v>
      </c>
      <c r="C398" s="3" t="s">
        <v>41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35</v>
      </c>
      <c r="I398" s="6">
        <v>44562</v>
      </c>
      <c r="J398" s="4">
        <v>0</v>
      </c>
      <c r="K398" s="4">
        <v>0</v>
      </c>
      <c r="L398" s="4">
        <v>3321.1170000000002</v>
      </c>
      <c r="M398" s="4">
        <v>3321.1170000000002</v>
      </c>
      <c r="N398" s="4">
        <v>3321.1170000000002</v>
      </c>
      <c r="O398" s="4">
        <v>3321.1170000000002</v>
      </c>
      <c r="P398" s="4">
        <v>0</v>
      </c>
      <c r="Q398" s="3" t="s">
        <v>26</v>
      </c>
      <c r="R398" s="3">
        <v>0</v>
      </c>
      <c r="S398" s="4">
        <v>0</v>
      </c>
      <c r="T398" s="4">
        <v>31</v>
      </c>
      <c r="U398" s="4">
        <v>59</v>
      </c>
      <c r="V398" s="4">
        <f>IF(ISERROR(VLOOKUP($S$398,'TAR FIN'!$A$1:$O$92,15,0)),0,VLOOKUP($S$398,'TAR FIN'!$A$1:$O$92,15,0))</f>
        <v>0</v>
      </c>
      <c r="W398" s="4">
        <f>IF(ISERROR(VLOOKUP($T$398,'TAR FIN'!$A$1:$O$92,15,0)),0,VLOOKUP($T$398,'TAR FIN'!$A$1:$O$92,15,0))</f>
        <v>87.73</v>
      </c>
      <c r="X398" s="4">
        <f>IF(ISERROR(VLOOKUP($U$398,'TAR FIN'!$A$1:$O$92,15,0)),0,VLOOKUP($U$398,'TAR FIN'!$A$1:$O$92,15,0))</f>
        <v>253.9</v>
      </c>
      <c r="Y398" s="4"/>
      <c r="Z398" s="4">
        <f ca="1">('TUSD BE'!$AM$12+'TUSD BF'!$AM$12+'TUSD CVA'!$AM$12)*1</f>
        <v>109.44196476324252</v>
      </c>
      <c r="AA398" s="4">
        <f>('TE BE'!$AB$6+'TE BF'!$AB$6+'TE CVA'!$AB$6)*1</f>
        <v>317.3874512882154</v>
      </c>
      <c r="AB398" s="4">
        <f>$K$398*$V$398</f>
        <v>0</v>
      </c>
      <c r="AC398" s="4">
        <f>$M$398*$W$398</f>
        <v>291361.59441000002</v>
      </c>
      <c r="AD398" s="4">
        <f>$O$398*$X$398</f>
        <v>843231.6063000001</v>
      </c>
      <c r="AE398" s="4">
        <f>$K$398*$Y$398</f>
        <v>0</v>
      </c>
      <c r="AF398" s="4">
        <f ca="1">$M$398*$Z$398</f>
        <v>363469.56968860573</v>
      </c>
      <c r="AG398" s="4">
        <f>$O$398*$AA$398</f>
        <v>1054080.8600599642</v>
      </c>
    </row>
    <row r="399" spans="1:33" ht="11.25" customHeight="1" x14ac:dyDescent="0.25">
      <c r="A399" s="3" t="s">
        <v>28</v>
      </c>
      <c r="B399" s="3" t="s">
        <v>39</v>
      </c>
      <c r="C399" s="3" t="s">
        <v>41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44562</v>
      </c>
      <c r="J399" s="4">
        <v>0</v>
      </c>
      <c r="K399" s="4">
        <v>0</v>
      </c>
      <c r="L399" s="4">
        <v>606.03</v>
      </c>
      <c r="M399" s="4">
        <v>606.03</v>
      </c>
      <c r="N399" s="4">
        <v>606.03</v>
      </c>
      <c r="O399" s="4">
        <v>606.03</v>
      </c>
      <c r="P399" s="4">
        <v>0</v>
      </c>
      <c r="Q399" s="3" t="s">
        <v>26</v>
      </c>
      <c r="R399" s="3">
        <v>0</v>
      </c>
      <c r="S399" s="4">
        <v>0</v>
      </c>
      <c r="T399" s="4">
        <v>31</v>
      </c>
      <c r="U399" s="4">
        <v>59</v>
      </c>
      <c r="V399" s="4">
        <f>IF(ISERROR(VLOOKUP($S$399,'TAR FIN'!$A$1:$O$92,15,0)),0,VLOOKUP($S$399,'TAR FIN'!$A$1:$O$92,15,0))</f>
        <v>0</v>
      </c>
      <c r="W399" s="4">
        <f>IF(ISERROR(VLOOKUP($T$399,'TAR FIN'!$A$1:$O$92,15,0)),0,VLOOKUP($T$399,'TAR FIN'!$A$1:$O$92,15,0))</f>
        <v>87.73</v>
      </c>
      <c r="X399" s="4">
        <f>IF(ISERROR(VLOOKUP($U$399,'TAR FIN'!$A$1:$O$92,15,0)),0,VLOOKUP($U$399,'TAR FIN'!$A$1:$O$92,15,0))</f>
        <v>253.9</v>
      </c>
      <c r="Y399" s="4"/>
      <c r="Z399" s="4">
        <f ca="1">('TUSD BE'!$AM$12+'TUSD BF'!$AM$12+'TUSD CVA'!$AM$12)*1</f>
        <v>109.44196476324252</v>
      </c>
      <c r="AA399" s="4">
        <f>('TE BE'!$AB$6+'TE BF'!$AB$6+'TE CVA'!$AB$6)*1</f>
        <v>317.3874512882154</v>
      </c>
      <c r="AB399" s="4">
        <f>$K$399*$V$399</f>
        <v>0</v>
      </c>
      <c r="AC399" s="4">
        <f>$M$399*$W$399</f>
        <v>53167.011899999998</v>
      </c>
      <c r="AD399" s="4">
        <f>$O$399*$X$399</f>
        <v>153871.01699999999</v>
      </c>
      <c r="AE399" s="4">
        <f>$K$399*$Y$399</f>
        <v>0</v>
      </c>
      <c r="AF399" s="4">
        <f ca="1">$M$399*$Z$399</f>
        <v>66325.113905467864</v>
      </c>
      <c r="AG399" s="4">
        <f>$O$399*$AA$399</f>
        <v>192346.31710419717</v>
      </c>
    </row>
    <row r="400" spans="1:33" ht="11.25" customHeight="1" x14ac:dyDescent="0.25">
      <c r="A400" s="3" t="s">
        <v>21</v>
      </c>
      <c r="B400" s="3" t="s">
        <v>39</v>
      </c>
      <c r="C400" s="3" t="s">
        <v>41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44593</v>
      </c>
      <c r="J400" s="4">
        <v>0</v>
      </c>
      <c r="K400" s="4">
        <v>0</v>
      </c>
      <c r="L400" s="4">
        <v>3674.596</v>
      </c>
      <c r="M400" s="4">
        <v>3674.596</v>
      </c>
      <c r="N400" s="4">
        <v>3674.596</v>
      </c>
      <c r="O400" s="4">
        <v>3674.596</v>
      </c>
      <c r="P400" s="4">
        <v>0</v>
      </c>
      <c r="Q400" s="3" t="s">
        <v>26</v>
      </c>
      <c r="R400" s="3">
        <v>0</v>
      </c>
      <c r="S400" s="4">
        <v>0</v>
      </c>
      <c r="T400" s="4">
        <v>31</v>
      </c>
      <c r="U400" s="4">
        <v>59</v>
      </c>
      <c r="V400" s="4">
        <f>IF(ISERROR(VLOOKUP($S$400,'TAR FIN'!$A$1:$O$92,15,0)),0,VLOOKUP($S$400,'TAR FIN'!$A$1:$O$92,15,0))</f>
        <v>0</v>
      </c>
      <c r="W400" s="4">
        <f>IF(ISERROR(VLOOKUP($T$400,'TAR FIN'!$A$1:$O$92,15,0)),0,VLOOKUP($T$400,'TAR FIN'!$A$1:$O$92,15,0))</f>
        <v>87.73</v>
      </c>
      <c r="X400" s="4">
        <f>IF(ISERROR(VLOOKUP($U$400,'TAR FIN'!$A$1:$O$92,15,0)),0,VLOOKUP($U$400,'TAR FIN'!$A$1:$O$92,15,0))</f>
        <v>253.9</v>
      </c>
      <c r="Y400" s="4"/>
      <c r="Z400" s="4">
        <f ca="1">('TUSD BE'!$AM$12+'TUSD BF'!$AM$12+'TUSD CVA'!$AM$12)*1</f>
        <v>109.44196476324252</v>
      </c>
      <c r="AA400" s="4">
        <f>('TE BE'!$AB$6+'TE BF'!$AB$6+'TE CVA'!$AB$6)*1</f>
        <v>317.3874512882154</v>
      </c>
      <c r="AB400" s="4">
        <f>$K$400*$V$400</f>
        <v>0</v>
      </c>
      <c r="AC400" s="4">
        <f>$M$400*$W$400</f>
        <v>322372.30708</v>
      </c>
      <c r="AD400" s="4">
        <f>$O$400*$X$400</f>
        <v>932979.92440000002</v>
      </c>
      <c r="AE400" s="4">
        <f>$K$400*$Y$400</f>
        <v>0</v>
      </c>
      <c r="AF400" s="4">
        <f ca="1">$M$400*$Z$400</f>
        <v>402155.00595115195</v>
      </c>
      <c r="AG400" s="4">
        <f>$O$400*$AA$400</f>
        <v>1166270.6589538711</v>
      </c>
    </row>
    <row r="401" spans="1:33" ht="11.25" customHeight="1" x14ac:dyDescent="0.25">
      <c r="A401" s="3" t="s">
        <v>28</v>
      </c>
      <c r="B401" s="3" t="s">
        <v>39</v>
      </c>
      <c r="C401" s="3" t="s">
        <v>41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44593</v>
      </c>
      <c r="J401" s="4">
        <v>0</v>
      </c>
      <c r="K401" s="4">
        <v>0</v>
      </c>
      <c r="L401" s="4">
        <v>979.90700000000004</v>
      </c>
      <c r="M401" s="4">
        <v>979.90700000000004</v>
      </c>
      <c r="N401" s="4">
        <v>979.90700000000004</v>
      </c>
      <c r="O401" s="4">
        <v>979.90700000000004</v>
      </c>
      <c r="P401" s="4">
        <v>0</v>
      </c>
      <c r="Q401" s="3" t="s">
        <v>26</v>
      </c>
      <c r="R401" s="3">
        <v>0</v>
      </c>
      <c r="S401" s="4">
        <v>0</v>
      </c>
      <c r="T401" s="4">
        <v>31</v>
      </c>
      <c r="U401" s="4">
        <v>59</v>
      </c>
      <c r="V401" s="4">
        <f>IF(ISERROR(VLOOKUP($S$401,'TAR FIN'!$A$1:$O$92,15,0)),0,VLOOKUP($S$401,'TAR FIN'!$A$1:$O$92,15,0))</f>
        <v>0</v>
      </c>
      <c r="W401" s="4">
        <f>IF(ISERROR(VLOOKUP($T$401,'TAR FIN'!$A$1:$O$92,15,0)),0,VLOOKUP($T$401,'TAR FIN'!$A$1:$O$92,15,0))</f>
        <v>87.73</v>
      </c>
      <c r="X401" s="4">
        <f>IF(ISERROR(VLOOKUP($U$401,'TAR FIN'!$A$1:$O$92,15,0)),0,VLOOKUP($U$401,'TAR FIN'!$A$1:$O$92,15,0))</f>
        <v>253.9</v>
      </c>
      <c r="Y401" s="4"/>
      <c r="Z401" s="4">
        <f ca="1">('TUSD BE'!$AM$12+'TUSD BF'!$AM$12+'TUSD CVA'!$AM$12)*1</f>
        <v>109.44196476324252</v>
      </c>
      <c r="AA401" s="4">
        <f>('TE BE'!$AB$6+'TE BF'!$AB$6+'TE CVA'!$AB$6)*1</f>
        <v>317.3874512882154</v>
      </c>
      <c r="AB401" s="4">
        <f>$K$401*$V$401</f>
        <v>0</v>
      </c>
      <c r="AC401" s="4">
        <f>$M$401*$W$401</f>
        <v>85967.241110000003</v>
      </c>
      <c r="AD401" s="4">
        <f>$O$401*$X$401</f>
        <v>248798.3873</v>
      </c>
      <c r="AE401" s="4">
        <f>$K$401*$Y$401</f>
        <v>0</v>
      </c>
      <c r="AF401" s="4">
        <f ca="1">$M$401*$Z$401</f>
        <v>107242.9473652547</v>
      </c>
      <c r="AG401" s="4">
        <f>$O$401*$AA$401</f>
        <v>311010.18522948131</v>
      </c>
    </row>
    <row r="402" spans="1:33" ht="11.25" customHeight="1" x14ac:dyDescent="0.25">
      <c r="A402" s="3" t="s">
        <v>21</v>
      </c>
      <c r="B402" s="3" t="s">
        <v>39</v>
      </c>
      <c r="C402" s="3" t="s">
        <v>41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44621</v>
      </c>
      <c r="J402" s="4">
        <v>0</v>
      </c>
      <c r="K402" s="4">
        <v>0</v>
      </c>
      <c r="L402" s="4">
        <v>4011.0549999999998</v>
      </c>
      <c r="M402" s="4">
        <v>4011.0549999999998</v>
      </c>
      <c r="N402" s="4">
        <v>4011.0549999999998</v>
      </c>
      <c r="O402" s="4">
        <v>4011.0549999999998</v>
      </c>
      <c r="P402" s="4">
        <v>0</v>
      </c>
      <c r="Q402" s="3" t="s">
        <v>26</v>
      </c>
      <c r="R402" s="3">
        <v>0</v>
      </c>
      <c r="S402" s="4">
        <v>0</v>
      </c>
      <c r="T402" s="4">
        <v>31</v>
      </c>
      <c r="U402" s="4">
        <v>59</v>
      </c>
      <c r="V402" s="4">
        <f>IF(ISERROR(VLOOKUP($S$402,'TAR FIN'!$A$1:$O$92,15,0)),0,VLOOKUP($S$402,'TAR FIN'!$A$1:$O$92,15,0))</f>
        <v>0</v>
      </c>
      <c r="W402" s="4">
        <f>IF(ISERROR(VLOOKUP($T$402,'TAR FIN'!$A$1:$O$92,15,0)),0,VLOOKUP($T$402,'TAR FIN'!$A$1:$O$92,15,0))</f>
        <v>87.73</v>
      </c>
      <c r="X402" s="4">
        <f>IF(ISERROR(VLOOKUP($U$402,'TAR FIN'!$A$1:$O$92,15,0)),0,VLOOKUP($U$402,'TAR FIN'!$A$1:$O$92,15,0))</f>
        <v>253.9</v>
      </c>
      <c r="Y402" s="4"/>
      <c r="Z402" s="4">
        <f ca="1">('TUSD BE'!$AM$12+'TUSD BF'!$AM$12+'TUSD CVA'!$AM$12)*1</f>
        <v>109.44196476324252</v>
      </c>
      <c r="AA402" s="4">
        <f>('TE BE'!$AB$6+'TE BF'!$AB$6+'TE CVA'!$AB$6)*1</f>
        <v>317.3874512882154</v>
      </c>
      <c r="AB402" s="4">
        <f>$K$402*$V$402</f>
        <v>0</v>
      </c>
      <c r="AC402" s="4">
        <f>$M$402*$W$402</f>
        <v>351889.85515000002</v>
      </c>
      <c r="AD402" s="4">
        <f>$O$402*$X$402</f>
        <v>1018406.8645</v>
      </c>
      <c r="AE402" s="4">
        <f>$K$402*$Y$402</f>
        <v>0</v>
      </c>
      <c r="AF402" s="4">
        <f ca="1">$M$402*$Z$402</f>
        <v>438977.73997342773</v>
      </c>
      <c r="AG402" s="4">
        <f>$O$402*$AA$402</f>
        <v>1273058.5234268529</v>
      </c>
    </row>
    <row r="403" spans="1:33" ht="11.25" customHeight="1" x14ac:dyDescent="0.25">
      <c r="A403" s="3" t="s">
        <v>28</v>
      </c>
      <c r="B403" s="3" t="s">
        <v>39</v>
      </c>
      <c r="C403" s="3" t="s">
        <v>41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44621</v>
      </c>
      <c r="J403" s="4">
        <v>0</v>
      </c>
      <c r="K403" s="4">
        <v>0</v>
      </c>
      <c r="L403" s="4">
        <v>1125.0540000000001</v>
      </c>
      <c r="M403" s="4">
        <v>1125.0540000000001</v>
      </c>
      <c r="N403" s="4">
        <v>1125.0540000000001</v>
      </c>
      <c r="O403" s="4">
        <v>1125.0540000000001</v>
      </c>
      <c r="P403" s="4">
        <v>0</v>
      </c>
      <c r="Q403" s="3" t="s">
        <v>26</v>
      </c>
      <c r="R403" s="3">
        <v>0</v>
      </c>
      <c r="S403" s="4">
        <v>0</v>
      </c>
      <c r="T403" s="4">
        <v>31</v>
      </c>
      <c r="U403" s="4">
        <v>59</v>
      </c>
      <c r="V403" s="4">
        <f>IF(ISERROR(VLOOKUP($S$403,'TAR FIN'!$A$1:$O$92,15,0)),0,VLOOKUP($S$403,'TAR FIN'!$A$1:$O$92,15,0))</f>
        <v>0</v>
      </c>
      <c r="W403" s="4">
        <f>IF(ISERROR(VLOOKUP($T$403,'TAR FIN'!$A$1:$O$92,15,0)),0,VLOOKUP($T$403,'TAR FIN'!$A$1:$O$92,15,0))</f>
        <v>87.73</v>
      </c>
      <c r="X403" s="4">
        <f>IF(ISERROR(VLOOKUP($U$403,'TAR FIN'!$A$1:$O$92,15,0)),0,VLOOKUP($U$403,'TAR FIN'!$A$1:$O$92,15,0))</f>
        <v>253.9</v>
      </c>
      <c r="Y403" s="4"/>
      <c r="Z403" s="4">
        <f ca="1">('TUSD BE'!$AM$12+'TUSD BF'!$AM$12+'TUSD CVA'!$AM$12)*1</f>
        <v>109.44196476324252</v>
      </c>
      <c r="AA403" s="4">
        <f>('TE BE'!$AB$6+'TE BF'!$AB$6+'TE CVA'!$AB$6)*1</f>
        <v>317.3874512882154</v>
      </c>
      <c r="AB403" s="4">
        <f>$K$403*$V$403</f>
        <v>0</v>
      </c>
      <c r="AC403" s="4">
        <f>$M$403*$W$403</f>
        <v>98700.987420000005</v>
      </c>
      <c r="AD403" s="4">
        <f>$O$403*$X$403</f>
        <v>285651.21060000005</v>
      </c>
      <c r="AE403" s="4">
        <f>$K$403*$Y$403</f>
        <v>0</v>
      </c>
      <c r="AF403" s="4">
        <f ca="1">$M$403*$Z$403</f>
        <v>123128.12022474507</v>
      </c>
      <c r="AG403" s="4">
        <f>$O$403*$AA$403</f>
        <v>357078.0216216119</v>
      </c>
    </row>
    <row r="404" spans="1:33" ht="11.25" customHeight="1" x14ac:dyDescent="0.25">
      <c r="A404" s="3" t="s">
        <v>21</v>
      </c>
      <c r="B404" s="3" t="s">
        <v>39</v>
      </c>
      <c r="C404" s="3" t="s">
        <v>41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44652</v>
      </c>
      <c r="J404" s="4">
        <v>0</v>
      </c>
      <c r="K404" s="4">
        <v>0</v>
      </c>
      <c r="L404" s="4">
        <v>4011.0549999999998</v>
      </c>
      <c r="M404" s="4">
        <v>4011.0549999999998</v>
      </c>
      <c r="N404" s="4">
        <v>4011.0549999999998</v>
      </c>
      <c r="O404" s="4">
        <v>4011.0549999999998</v>
      </c>
      <c r="P404" s="4">
        <v>0</v>
      </c>
      <c r="Q404" s="3" t="s">
        <v>26</v>
      </c>
      <c r="R404" s="3">
        <v>0</v>
      </c>
      <c r="S404" s="4">
        <v>0</v>
      </c>
      <c r="T404" s="4">
        <v>31</v>
      </c>
      <c r="U404" s="4">
        <v>59</v>
      </c>
      <c r="V404" s="4">
        <f>IF(ISERROR(VLOOKUP($S$404,'TAR FIN'!$A$1:$O$92,15,0)),0,VLOOKUP($S$404,'TAR FIN'!$A$1:$O$92,15,0))</f>
        <v>0</v>
      </c>
      <c r="W404" s="4">
        <f>IF(ISERROR(VLOOKUP($T$404,'TAR FIN'!$A$1:$O$92,15,0)),0,VLOOKUP($T$404,'TAR FIN'!$A$1:$O$92,15,0))</f>
        <v>87.73</v>
      </c>
      <c r="X404" s="4">
        <f>IF(ISERROR(VLOOKUP($U$404,'TAR FIN'!$A$1:$O$92,15,0)),0,VLOOKUP($U$404,'TAR FIN'!$A$1:$O$92,15,0))</f>
        <v>253.9</v>
      </c>
      <c r="Y404" s="4"/>
      <c r="Z404" s="4">
        <f ca="1">('TUSD BE'!$AM$12+'TUSD BF'!$AM$12+'TUSD CVA'!$AM$12)*1</f>
        <v>109.44196476324252</v>
      </c>
      <c r="AA404" s="4">
        <f>('TE BE'!$AB$6+'TE BF'!$AB$6+'TE CVA'!$AB$6)*1</f>
        <v>317.3874512882154</v>
      </c>
      <c r="AB404" s="4">
        <f>$K$404*$V$404</f>
        <v>0</v>
      </c>
      <c r="AC404" s="4">
        <f>$M$404*$W$404</f>
        <v>351889.85515000002</v>
      </c>
      <c r="AD404" s="4">
        <f>$O$404*$X$404</f>
        <v>1018406.8645</v>
      </c>
      <c r="AE404" s="4">
        <f>$K$404*$Y$404</f>
        <v>0</v>
      </c>
      <c r="AF404" s="4">
        <f ca="1">$M$404*$Z$404</f>
        <v>438977.73997342773</v>
      </c>
      <c r="AG404" s="4">
        <f>$O$404*$AA$404</f>
        <v>1273058.5234268529</v>
      </c>
    </row>
    <row r="405" spans="1:33" ht="11.25" customHeight="1" x14ac:dyDescent="0.25">
      <c r="A405" s="3" t="s">
        <v>28</v>
      </c>
      <c r="B405" s="3" t="s">
        <v>39</v>
      </c>
      <c r="C405" s="3" t="s">
        <v>41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44652</v>
      </c>
      <c r="J405" s="4">
        <v>0</v>
      </c>
      <c r="K405" s="4">
        <v>0</v>
      </c>
      <c r="L405" s="4">
        <v>1125.0540000000001</v>
      </c>
      <c r="M405" s="4">
        <v>1125.0540000000001</v>
      </c>
      <c r="N405" s="4">
        <v>1125.0540000000001</v>
      </c>
      <c r="O405" s="4">
        <v>1125.0540000000001</v>
      </c>
      <c r="P405" s="4">
        <v>0</v>
      </c>
      <c r="Q405" s="3" t="s">
        <v>26</v>
      </c>
      <c r="R405" s="3">
        <v>0</v>
      </c>
      <c r="S405" s="4">
        <v>0</v>
      </c>
      <c r="T405" s="4">
        <v>31</v>
      </c>
      <c r="U405" s="4">
        <v>59</v>
      </c>
      <c r="V405" s="4">
        <f>IF(ISERROR(VLOOKUP($S$405,'TAR FIN'!$A$1:$O$92,15,0)),0,VLOOKUP($S$405,'TAR FIN'!$A$1:$O$92,15,0))</f>
        <v>0</v>
      </c>
      <c r="W405" s="4">
        <f>IF(ISERROR(VLOOKUP($T$405,'TAR FIN'!$A$1:$O$92,15,0)),0,VLOOKUP($T$405,'TAR FIN'!$A$1:$O$92,15,0))</f>
        <v>87.73</v>
      </c>
      <c r="X405" s="4">
        <f>IF(ISERROR(VLOOKUP($U$405,'TAR FIN'!$A$1:$O$92,15,0)),0,VLOOKUP($U$405,'TAR FIN'!$A$1:$O$92,15,0))</f>
        <v>253.9</v>
      </c>
      <c r="Y405" s="4"/>
      <c r="Z405" s="4">
        <f ca="1">('TUSD BE'!$AM$12+'TUSD BF'!$AM$12+'TUSD CVA'!$AM$12)*1</f>
        <v>109.44196476324252</v>
      </c>
      <c r="AA405" s="4">
        <f>('TE BE'!$AB$6+'TE BF'!$AB$6+'TE CVA'!$AB$6)*1</f>
        <v>317.3874512882154</v>
      </c>
      <c r="AB405" s="4">
        <f>$K$405*$V$405</f>
        <v>0</v>
      </c>
      <c r="AC405" s="4">
        <f>$M$405*$W$405</f>
        <v>98700.987420000005</v>
      </c>
      <c r="AD405" s="4">
        <f>$O$405*$X$405</f>
        <v>285651.21060000005</v>
      </c>
      <c r="AE405" s="4">
        <f>$K$405*$Y$405</f>
        <v>0</v>
      </c>
      <c r="AF405" s="4">
        <f ca="1">$M$405*$Z$405</f>
        <v>123128.12022474507</v>
      </c>
      <c r="AG405" s="4">
        <f>$O$405*$AA$405</f>
        <v>357078.0216216119</v>
      </c>
    </row>
    <row r="406" spans="1:33" ht="11.25" customHeight="1" x14ac:dyDescent="0.25">
      <c r="A406" s="3" t="s">
        <v>21</v>
      </c>
      <c r="B406" s="3" t="s">
        <v>39</v>
      </c>
      <c r="C406" s="3" t="s">
        <v>41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44682</v>
      </c>
      <c r="J406" s="4">
        <v>0</v>
      </c>
      <c r="K406" s="4">
        <v>0</v>
      </c>
      <c r="L406" s="4">
        <v>3819.056</v>
      </c>
      <c r="M406" s="4">
        <v>3819.056</v>
      </c>
      <c r="N406" s="4">
        <v>3819.056</v>
      </c>
      <c r="O406" s="4">
        <v>3819.056</v>
      </c>
      <c r="P406" s="4">
        <v>0</v>
      </c>
      <c r="Q406" s="3" t="s">
        <v>26</v>
      </c>
      <c r="R406" s="3">
        <v>0</v>
      </c>
      <c r="S406" s="4">
        <v>0</v>
      </c>
      <c r="T406" s="4">
        <v>31</v>
      </c>
      <c r="U406" s="4">
        <v>59</v>
      </c>
      <c r="V406" s="4">
        <f>IF(ISERROR(VLOOKUP($S$406,'TAR FIN'!$A$1:$O$92,15,0)),0,VLOOKUP($S$406,'TAR FIN'!$A$1:$O$92,15,0))</f>
        <v>0</v>
      </c>
      <c r="W406" s="4">
        <f>IF(ISERROR(VLOOKUP($T$406,'TAR FIN'!$A$1:$O$92,15,0)),0,VLOOKUP($T$406,'TAR FIN'!$A$1:$O$92,15,0))</f>
        <v>87.73</v>
      </c>
      <c r="X406" s="4">
        <f>IF(ISERROR(VLOOKUP($U$406,'TAR FIN'!$A$1:$O$92,15,0)),0,VLOOKUP($U$406,'TAR FIN'!$A$1:$O$92,15,0))</f>
        <v>253.9</v>
      </c>
      <c r="Y406" s="4"/>
      <c r="Z406" s="4">
        <f ca="1">('TUSD BE'!$AM$12+'TUSD BF'!$AM$12+'TUSD CVA'!$AM$12)*1</f>
        <v>109.44196476324252</v>
      </c>
      <c r="AA406" s="4">
        <f>('TE BE'!$AB$6+'TE BF'!$AB$6+'TE CVA'!$AB$6)*1</f>
        <v>317.3874512882154</v>
      </c>
      <c r="AB406" s="4">
        <f>$K$406*$V$406</f>
        <v>0</v>
      </c>
      <c r="AC406" s="4">
        <f>$M$406*$W$406</f>
        <v>335045.78288000001</v>
      </c>
      <c r="AD406" s="4">
        <f>$O$406*$X$406</f>
        <v>969658.31839999999</v>
      </c>
      <c r="AE406" s="4">
        <f>$K$406*$Y$406</f>
        <v>0</v>
      </c>
      <c r="AF406" s="4">
        <f ca="1">$M$406*$Z$406</f>
        <v>417964.99218084995</v>
      </c>
      <c r="AG406" s="4">
        <f>$O$406*$AA$406</f>
        <v>1212120.4501669668</v>
      </c>
    </row>
    <row r="407" spans="1:33" ht="11.25" customHeight="1" x14ac:dyDescent="0.25">
      <c r="A407" s="3" t="s">
        <v>27</v>
      </c>
      <c r="B407" s="3" t="s">
        <v>39</v>
      </c>
      <c r="C407" s="3" t="s">
        <v>41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44682</v>
      </c>
      <c r="J407" s="4">
        <v>0</v>
      </c>
      <c r="K407" s="4">
        <v>0</v>
      </c>
      <c r="L407" s="4">
        <v>70.224000000000004</v>
      </c>
      <c r="M407" s="4">
        <v>70.224000000000004</v>
      </c>
      <c r="N407" s="4">
        <v>70.224000000000004</v>
      </c>
      <c r="O407" s="4">
        <v>70.224000000000004</v>
      </c>
      <c r="P407" s="4">
        <v>0</v>
      </c>
      <c r="Q407" s="3" t="s">
        <v>26</v>
      </c>
      <c r="R407" s="3">
        <v>0</v>
      </c>
      <c r="S407" s="4">
        <v>0</v>
      </c>
      <c r="T407" s="4">
        <v>31</v>
      </c>
      <c r="U407" s="4">
        <v>59</v>
      </c>
      <c r="V407" s="4">
        <f>IF(ISERROR(VLOOKUP($S$407,'TAR FIN'!$A$1:$O$92,15,0)),0,VLOOKUP($S$407,'TAR FIN'!$A$1:$O$92,15,0))</f>
        <v>0</v>
      </c>
      <c r="W407" s="4">
        <f>IF(ISERROR(VLOOKUP($T$407,'TAR FIN'!$A$1:$O$92,15,0)),0,VLOOKUP($T$407,'TAR FIN'!$A$1:$O$92,15,0))</f>
        <v>87.73</v>
      </c>
      <c r="X407" s="4">
        <f>IF(ISERROR(VLOOKUP($U$407,'TAR FIN'!$A$1:$O$92,15,0)),0,VLOOKUP($U$407,'TAR FIN'!$A$1:$O$92,15,0))</f>
        <v>253.9</v>
      </c>
      <c r="Y407" s="4"/>
      <c r="Z407" s="4">
        <f ca="1">('TUSD BE'!$AM$12+'TUSD BF'!$AM$12+'TUSD CVA'!$AM$12)*1</f>
        <v>109.44196476324252</v>
      </c>
      <c r="AA407" s="4">
        <f>('TE BE'!$AB$6+'TE BF'!$AB$6+'TE CVA'!$AB$6)*1</f>
        <v>317.3874512882154</v>
      </c>
      <c r="AB407" s="4">
        <f>$K$407*$V$407</f>
        <v>0</v>
      </c>
      <c r="AC407" s="4">
        <f>$M$407*$W$407</f>
        <v>6160.7515200000007</v>
      </c>
      <c r="AD407" s="4">
        <f>$O$407*$X$407</f>
        <v>17829.873600000003</v>
      </c>
      <c r="AE407" s="4">
        <f>$K$407*$Y$407</f>
        <v>0</v>
      </c>
      <c r="AF407" s="4">
        <f ca="1">$M$407*$Z$407</f>
        <v>7685.4525335339431</v>
      </c>
      <c r="AG407" s="4">
        <f>$O$407*$AA$407</f>
        <v>22288.216379263638</v>
      </c>
    </row>
    <row r="408" spans="1:33" ht="11.25" customHeight="1" x14ac:dyDescent="0.25">
      <c r="A408" s="3" t="s">
        <v>28</v>
      </c>
      <c r="B408" s="3" t="s">
        <v>39</v>
      </c>
      <c r="C408" s="3" t="s">
        <v>41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44682</v>
      </c>
      <c r="J408" s="4">
        <v>0</v>
      </c>
      <c r="K408" s="4">
        <v>0</v>
      </c>
      <c r="L408" s="4">
        <v>4850.3519999999999</v>
      </c>
      <c r="M408" s="4">
        <v>4850.3519999999999</v>
      </c>
      <c r="N408" s="4">
        <v>4850.3519999999999</v>
      </c>
      <c r="O408" s="4">
        <v>4850.3519999999999</v>
      </c>
      <c r="P408" s="4">
        <v>0</v>
      </c>
      <c r="Q408" s="3" t="s">
        <v>26</v>
      </c>
      <c r="R408" s="3">
        <v>0</v>
      </c>
      <c r="S408" s="4">
        <v>0</v>
      </c>
      <c r="T408" s="4">
        <v>31</v>
      </c>
      <c r="U408" s="4">
        <v>59</v>
      </c>
      <c r="V408" s="4">
        <f>IF(ISERROR(VLOOKUP($S$408,'TAR FIN'!$A$1:$O$92,15,0)),0,VLOOKUP($S$408,'TAR FIN'!$A$1:$O$92,15,0))</f>
        <v>0</v>
      </c>
      <c r="W408" s="4">
        <f>IF(ISERROR(VLOOKUP($T$408,'TAR FIN'!$A$1:$O$92,15,0)),0,VLOOKUP($T$408,'TAR FIN'!$A$1:$O$92,15,0))</f>
        <v>87.73</v>
      </c>
      <c r="X408" s="4">
        <f>IF(ISERROR(VLOOKUP($U$408,'TAR FIN'!$A$1:$O$92,15,0)),0,VLOOKUP($U$408,'TAR FIN'!$A$1:$O$92,15,0))</f>
        <v>253.9</v>
      </c>
      <c r="Y408" s="4"/>
      <c r="Z408" s="4">
        <f ca="1">('TUSD BE'!$AM$12+'TUSD BF'!$AM$12+'TUSD CVA'!$AM$12)*1</f>
        <v>109.44196476324252</v>
      </c>
      <c r="AA408" s="4">
        <f>('TE BE'!$AB$6+'TE BF'!$AB$6+'TE CVA'!$AB$6)*1</f>
        <v>317.3874512882154</v>
      </c>
      <c r="AB408" s="4">
        <f>$K$408*$V$408</f>
        <v>0</v>
      </c>
      <c r="AC408" s="4">
        <f>$M$408*$W$408</f>
        <v>425521.38095999998</v>
      </c>
      <c r="AD408" s="4">
        <f>$O$408*$X$408</f>
        <v>1231504.3728</v>
      </c>
      <c r="AE408" s="4">
        <f>$K$408*$Y$408</f>
        <v>0</v>
      </c>
      <c r="AF408" s="4">
        <f ca="1">$M$408*$Z$408</f>
        <v>530832.05267332285</v>
      </c>
      <c r="AG408" s="4">
        <f>$O$408*$AA$408</f>
        <v>1539440.859130698</v>
      </c>
    </row>
    <row r="409" spans="1:33" ht="11.25" customHeight="1" x14ac:dyDescent="0.25">
      <c r="A409" s="3" t="s">
        <v>21</v>
      </c>
      <c r="B409" s="3" t="s">
        <v>39</v>
      </c>
      <c r="C409" s="3" t="s">
        <v>41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44713</v>
      </c>
      <c r="J409" s="4">
        <v>0</v>
      </c>
      <c r="K409" s="4">
        <v>0</v>
      </c>
      <c r="L409" s="4">
        <v>3590.933</v>
      </c>
      <c r="M409" s="4">
        <v>3590.933</v>
      </c>
      <c r="N409" s="4">
        <v>3590.933</v>
      </c>
      <c r="O409" s="4">
        <v>3590.933</v>
      </c>
      <c r="P409" s="4">
        <v>0</v>
      </c>
      <c r="Q409" s="3" t="s">
        <v>26</v>
      </c>
      <c r="R409" s="3">
        <v>0</v>
      </c>
      <c r="S409" s="4">
        <v>0</v>
      </c>
      <c r="T409" s="4">
        <v>31</v>
      </c>
      <c r="U409" s="4">
        <v>59</v>
      </c>
      <c r="V409" s="4">
        <f>IF(ISERROR(VLOOKUP($S$409,'TAR FIN'!$A$1:$O$92,15,0)),0,VLOOKUP($S$409,'TAR FIN'!$A$1:$O$92,15,0))</f>
        <v>0</v>
      </c>
      <c r="W409" s="4">
        <f>IF(ISERROR(VLOOKUP($T$409,'TAR FIN'!$A$1:$O$92,15,0)),0,VLOOKUP($T$409,'TAR FIN'!$A$1:$O$92,15,0))</f>
        <v>87.73</v>
      </c>
      <c r="X409" s="4">
        <f>IF(ISERROR(VLOOKUP($U$409,'TAR FIN'!$A$1:$O$92,15,0)),0,VLOOKUP($U$409,'TAR FIN'!$A$1:$O$92,15,0))</f>
        <v>253.9</v>
      </c>
      <c r="Y409" s="4"/>
      <c r="Z409" s="4">
        <f ca="1">('TUSD BE'!$AM$12+'TUSD BF'!$AM$12+'TUSD CVA'!$AM$12)*1</f>
        <v>109.44196476324252</v>
      </c>
      <c r="AA409" s="4">
        <f>('TE BE'!$AB$6+'TE BF'!$AB$6+'TE CVA'!$AB$6)*1</f>
        <v>317.3874512882154</v>
      </c>
      <c r="AB409" s="4">
        <f>$K$409*$V$409</f>
        <v>0</v>
      </c>
      <c r="AC409" s="4">
        <f>$M$409*$W$409</f>
        <v>315032.55209000001</v>
      </c>
      <c r="AD409" s="4">
        <f>$O$409*$X$409</f>
        <v>911737.88870000001</v>
      </c>
      <c r="AE409" s="4">
        <f>$K$409*$Y$409</f>
        <v>0</v>
      </c>
      <c r="AF409" s="4">
        <f ca="1">$M$409*$Z$409</f>
        <v>392998.76285316475</v>
      </c>
      <c r="AG409" s="4">
        <f>$O$409*$AA$409</f>
        <v>1139717.0726167453</v>
      </c>
    </row>
    <row r="410" spans="1:33" ht="11.25" customHeight="1" x14ac:dyDescent="0.25">
      <c r="A410" s="3" t="s">
        <v>27</v>
      </c>
      <c r="B410" s="3" t="s">
        <v>39</v>
      </c>
      <c r="C410" s="3" t="s">
        <v>41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44713</v>
      </c>
      <c r="J410" s="4">
        <v>0</v>
      </c>
      <c r="K410" s="4">
        <v>0</v>
      </c>
      <c r="L410" s="4">
        <v>75.203000000000003</v>
      </c>
      <c r="M410" s="4">
        <v>75.203000000000003</v>
      </c>
      <c r="N410" s="4">
        <v>75.203000000000003</v>
      </c>
      <c r="O410" s="4">
        <v>75.203000000000003</v>
      </c>
      <c r="P410" s="4">
        <v>0</v>
      </c>
      <c r="Q410" s="3" t="s">
        <v>26</v>
      </c>
      <c r="R410" s="3">
        <v>0</v>
      </c>
      <c r="S410" s="4">
        <v>0</v>
      </c>
      <c r="T410" s="4">
        <v>31</v>
      </c>
      <c r="U410" s="4">
        <v>59</v>
      </c>
      <c r="V410" s="4">
        <f>IF(ISERROR(VLOOKUP($S$410,'TAR FIN'!$A$1:$O$92,15,0)),0,VLOOKUP($S$410,'TAR FIN'!$A$1:$O$92,15,0))</f>
        <v>0</v>
      </c>
      <c r="W410" s="4">
        <f>IF(ISERROR(VLOOKUP($T$410,'TAR FIN'!$A$1:$O$92,15,0)),0,VLOOKUP($T$410,'TAR FIN'!$A$1:$O$92,15,0))</f>
        <v>87.73</v>
      </c>
      <c r="X410" s="4">
        <f>IF(ISERROR(VLOOKUP($U$410,'TAR FIN'!$A$1:$O$92,15,0)),0,VLOOKUP($U$410,'TAR FIN'!$A$1:$O$92,15,0))</f>
        <v>253.9</v>
      </c>
      <c r="Y410" s="4"/>
      <c r="Z410" s="4">
        <f ca="1">('TUSD BE'!$AM$12+'TUSD BF'!$AM$12+'TUSD CVA'!$AM$12)*1</f>
        <v>109.44196476324252</v>
      </c>
      <c r="AA410" s="4">
        <f>('TE BE'!$AB$6+'TE BF'!$AB$6+'TE CVA'!$AB$6)*1</f>
        <v>317.3874512882154</v>
      </c>
      <c r="AB410" s="4">
        <f>$K$410*$V$410</f>
        <v>0</v>
      </c>
      <c r="AC410" s="4">
        <f>$M$410*$W$410</f>
        <v>6597.5591900000009</v>
      </c>
      <c r="AD410" s="4">
        <f>$O$410*$X$410</f>
        <v>19094.041700000002</v>
      </c>
      <c r="AE410" s="4">
        <f>$K$410*$Y$410</f>
        <v>0</v>
      </c>
      <c r="AF410" s="4">
        <f ca="1">$M$410*$Z$410</f>
        <v>8230.3640760901271</v>
      </c>
      <c r="AG410" s="4">
        <f>$O$410*$AA$410</f>
        <v>23868.488499227664</v>
      </c>
    </row>
    <row r="411" spans="1:33" ht="11.25" customHeight="1" x14ac:dyDescent="0.25">
      <c r="A411" s="3" t="s">
        <v>28</v>
      </c>
      <c r="B411" s="3" t="s">
        <v>39</v>
      </c>
      <c r="C411" s="3" t="s">
        <v>41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44713</v>
      </c>
      <c r="J411" s="4">
        <v>0</v>
      </c>
      <c r="K411" s="4">
        <v>0</v>
      </c>
      <c r="L411" s="4">
        <v>1112.376</v>
      </c>
      <c r="M411" s="4">
        <v>1112.376</v>
      </c>
      <c r="N411" s="4">
        <v>1112.376</v>
      </c>
      <c r="O411" s="4">
        <v>1112.376</v>
      </c>
      <c r="P411" s="4">
        <v>0</v>
      </c>
      <c r="Q411" s="3" t="s">
        <v>26</v>
      </c>
      <c r="R411" s="3">
        <v>0</v>
      </c>
      <c r="S411" s="4">
        <v>0</v>
      </c>
      <c r="T411" s="4">
        <v>31</v>
      </c>
      <c r="U411" s="4">
        <v>59</v>
      </c>
      <c r="V411" s="4">
        <f>IF(ISERROR(VLOOKUP($S$411,'TAR FIN'!$A$1:$O$92,15,0)),0,VLOOKUP($S$411,'TAR FIN'!$A$1:$O$92,15,0))</f>
        <v>0</v>
      </c>
      <c r="W411" s="4">
        <f>IF(ISERROR(VLOOKUP($T$411,'TAR FIN'!$A$1:$O$92,15,0)),0,VLOOKUP($T$411,'TAR FIN'!$A$1:$O$92,15,0))</f>
        <v>87.73</v>
      </c>
      <c r="X411" s="4">
        <f>IF(ISERROR(VLOOKUP($U$411,'TAR FIN'!$A$1:$O$92,15,0)),0,VLOOKUP($U$411,'TAR FIN'!$A$1:$O$92,15,0))</f>
        <v>253.9</v>
      </c>
      <c r="Y411" s="4"/>
      <c r="Z411" s="4">
        <f ca="1">('TUSD BE'!$AM$12+'TUSD BF'!$AM$12+'TUSD CVA'!$AM$12)*1</f>
        <v>109.44196476324252</v>
      </c>
      <c r="AA411" s="4">
        <f>('TE BE'!$AB$6+'TE BF'!$AB$6+'TE CVA'!$AB$6)*1</f>
        <v>317.3874512882154</v>
      </c>
      <c r="AB411" s="4">
        <f>$K$411*$V$411</f>
        <v>0</v>
      </c>
      <c r="AC411" s="4">
        <f>$M$411*$W$411</f>
        <v>97588.746480000002</v>
      </c>
      <c r="AD411" s="4">
        <f>$O$411*$X$411</f>
        <v>282432.26640000002</v>
      </c>
      <c r="AE411" s="4">
        <f>$K$411*$Y$411</f>
        <v>0</v>
      </c>
      <c r="AF411" s="4">
        <f ca="1">$M$411*$Z$411</f>
        <v>121740.61499547666</v>
      </c>
      <c r="AG411" s="4">
        <f>$O$411*$AA$411</f>
        <v>353054.18351417989</v>
      </c>
    </row>
    <row r="412" spans="1:33" ht="11.25" customHeight="1" x14ac:dyDescent="0.25">
      <c r="A412" s="3" t="s">
        <v>21</v>
      </c>
      <c r="B412" s="3" t="s">
        <v>39</v>
      </c>
      <c r="C412" s="3" t="s">
        <v>41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44743</v>
      </c>
      <c r="J412" s="4">
        <v>0</v>
      </c>
      <c r="K412" s="4">
        <v>0</v>
      </c>
      <c r="L412" s="4">
        <v>3579.8510000000001</v>
      </c>
      <c r="M412" s="4">
        <v>3579.8510000000001</v>
      </c>
      <c r="N412" s="4">
        <v>3579.8510000000001</v>
      </c>
      <c r="O412" s="4">
        <v>3579.8510000000001</v>
      </c>
      <c r="P412" s="4">
        <v>0</v>
      </c>
      <c r="Q412" s="3" t="s">
        <v>26</v>
      </c>
      <c r="R412" s="3">
        <v>0</v>
      </c>
      <c r="S412" s="4">
        <v>0</v>
      </c>
      <c r="T412" s="4">
        <v>31</v>
      </c>
      <c r="U412" s="4">
        <v>59</v>
      </c>
      <c r="V412" s="4">
        <f>IF(ISERROR(VLOOKUP($S$412,'TAR FIN'!$A$1:$O$92,15,0)),0,VLOOKUP($S$412,'TAR FIN'!$A$1:$O$92,15,0))</f>
        <v>0</v>
      </c>
      <c r="W412" s="4">
        <f>IF(ISERROR(VLOOKUP($T$412,'TAR FIN'!$A$1:$O$92,15,0)),0,VLOOKUP($T$412,'TAR FIN'!$A$1:$O$92,15,0))</f>
        <v>87.73</v>
      </c>
      <c r="X412" s="4">
        <f>IF(ISERROR(VLOOKUP($U$412,'TAR FIN'!$A$1:$O$92,15,0)),0,VLOOKUP($U$412,'TAR FIN'!$A$1:$O$92,15,0))</f>
        <v>253.9</v>
      </c>
      <c r="Y412" s="4"/>
      <c r="Z412" s="4">
        <f ca="1">('TUSD BE'!$AM$12+'TUSD BF'!$AM$12+'TUSD CVA'!$AM$12)*1</f>
        <v>109.44196476324252</v>
      </c>
      <c r="AA412" s="4">
        <f>('TE BE'!$AB$6+'TE BF'!$AB$6+'TE CVA'!$AB$6)*1</f>
        <v>317.3874512882154</v>
      </c>
      <c r="AB412" s="4">
        <f>$K$412*$V$412</f>
        <v>0</v>
      </c>
      <c r="AC412" s="4">
        <f>$M$412*$W$412</f>
        <v>314060.32823000004</v>
      </c>
      <c r="AD412" s="4">
        <f>$O$412*$X$412</f>
        <v>908924.16890000005</v>
      </c>
      <c r="AE412" s="4">
        <f>$K$412*$Y$412</f>
        <v>0</v>
      </c>
      <c r="AF412" s="4">
        <f ca="1">$M$412*$Z$412</f>
        <v>391785.92699965852</v>
      </c>
      <c r="AG412" s="4">
        <f>$O$412*$AA$412</f>
        <v>1136199.7848815692</v>
      </c>
    </row>
    <row r="413" spans="1:33" ht="11.25" customHeight="1" x14ac:dyDescent="0.25">
      <c r="A413" s="3" t="s">
        <v>27</v>
      </c>
      <c r="B413" s="3" t="s">
        <v>39</v>
      </c>
      <c r="C413" s="3" t="s">
        <v>41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44743</v>
      </c>
      <c r="J413" s="4">
        <v>0</v>
      </c>
      <c r="K413" s="4">
        <v>0</v>
      </c>
      <c r="L413" s="4">
        <v>5.9569999999999999</v>
      </c>
      <c r="M413" s="4">
        <v>5.9569999999999999</v>
      </c>
      <c r="N413" s="4">
        <v>5.9569999999999999</v>
      </c>
      <c r="O413" s="4">
        <v>5.9569999999999999</v>
      </c>
      <c r="P413" s="4">
        <v>0</v>
      </c>
      <c r="Q413" s="3" t="s">
        <v>26</v>
      </c>
      <c r="R413" s="3">
        <v>0</v>
      </c>
      <c r="S413" s="4">
        <v>0</v>
      </c>
      <c r="T413" s="4">
        <v>31</v>
      </c>
      <c r="U413" s="4">
        <v>59</v>
      </c>
      <c r="V413" s="4">
        <f>IF(ISERROR(VLOOKUP($S$413,'TAR FIN'!$A$1:$O$92,15,0)),0,VLOOKUP($S$413,'TAR FIN'!$A$1:$O$92,15,0))</f>
        <v>0</v>
      </c>
      <c r="W413" s="4">
        <f>IF(ISERROR(VLOOKUP($T$413,'TAR FIN'!$A$1:$O$92,15,0)),0,VLOOKUP($T$413,'TAR FIN'!$A$1:$O$92,15,0))</f>
        <v>87.73</v>
      </c>
      <c r="X413" s="4">
        <f>IF(ISERROR(VLOOKUP($U$413,'TAR FIN'!$A$1:$O$92,15,0)),0,VLOOKUP($U$413,'TAR FIN'!$A$1:$O$92,15,0))</f>
        <v>253.9</v>
      </c>
      <c r="Y413" s="4"/>
      <c r="Z413" s="4">
        <f ca="1">('TUSD BE'!$AM$12+'TUSD BF'!$AM$12+'TUSD CVA'!$AM$12)*1</f>
        <v>109.44196476324252</v>
      </c>
      <c r="AA413" s="4">
        <f>('TE BE'!$AB$6+'TE BF'!$AB$6+'TE CVA'!$AB$6)*1</f>
        <v>317.3874512882154</v>
      </c>
      <c r="AB413" s="4">
        <f>$K$413*$V$413</f>
        <v>0</v>
      </c>
      <c r="AC413" s="4">
        <f>$M$413*$W$413</f>
        <v>522.60761000000002</v>
      </c>
      <c r="AD413" s="4">
        <f>$O$413*$X$413</f>
        <v>1512.4822999999999</v>
      </c>
      <c r="AE413" s="4">
        <f>$K$413*$Y$413</f>
        <v>0</v>
      </c>
      <c r="AF413" s="4">
        <f ca="1">$M$413*$Z$413</f>
        <v>651.94578409463566</v>
      </c>
      <c r="AG413" s="4">
        <f>$O$413*$AA$413</f>
        <v>1890.6770473238992</v>
      </c>
    </row>
    <row r="414" spans="1:33" ht="11.25" customHeight="1" x14ac:dyDescent="0.25">
      <c r="A414" s="3" t="s">
        <v>28</v>
      </c>
      <c r="B414" s="3" t="s">
        <v>39</v>
      </c>
      <c r="C414" s="3" t="s">
        <v>41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35</v>
      </c>
      <c r="I414" s="6">
        <v>44743</v>
      </c>
      <c r="J414" s="4">
        <v>0</v>
      </c>
      <c r="K414" s="4">
        <v>0</v>
      </c>
      <c r="L414" s="4">
        <v>1041.6959999999999</v>
      </c>
      <c r="M414" s="4">
        <v>1041.6959999999999</v>
      </c>
      <c r="N414" s="4">
        <v>1041.6959999999999</v>
      </c>
      <c r="O414" s="4">
        <v>1041.6959999999999</v>
      </c>
      <c r="P414" s="4">
        <v>0</v>
      </c>
      <c r="Q414" s="3" t="s">
        <v>26</v>
      </c>
      <c r="R414" s="3">
        <v>0</v>
      </c>
      <c r="S414" s="4">
        <v>0</v>
      </c>
      <c r="T414" s="4">
        <v>31</v>
      </c>
      <c r="U414" s="4">
        <v>59</v>
      </c>
      <c r="V414" s="4">
        <f>IF(ISERROR(VLOOKUP($S$414,'TAR FIN'!$A$1:$O$92,15,0)),0,VLOOKUP($S$414,'TAR FIN'!$A$1:$O$92,15,0))</f>
        <v>0</v>
      </c>
      <c r="W414" s="4">
        <f>IF(ISERROR(VLOOKUP($T$414,'TAR FIN'!$A$1:$O$92,15,0)),0,VLOOKUP($T$414,'TAR FIN'!$A$1:$O$92,15,0))</f>
        <v>87.73</v>
      </c>
      <c r="X414" s="4">
        <f>IF(ISERROR(VLOOKUP($U$414,'TAR FIN'!$A$1:$O$92,15,0)),0,VLOOKUP($U$414,'TAR FIN'!$A$1:$O$92,15,0))</f>
        <v>253.9</v>
      </c>
      <c r="Y414" s="4"/>
      <c r="Z414" s="4">
        <f ca="1">('TUSD BE'!$AM$12+'TUSD BF'!$AM$12+'TUSD CVA'!$AM$12)*1</f>
        <v>109.44196476324252</v>
      </c>
      <c r="AA414" s="4">
        <f>('TE BE'!$AB$6+'TE BF'!$AB$6+'TE CVA'!$AB$6)*1</f>
        <v>317.3874512882154</v>
      </c>
      <c r="AB414" s="4">
        <f>$K$414*$V$414</f>
        <v>0</v>
      </c>
      <c r="AC414" s="4">
        <f>$M$414*$W$414</f>
        <v>91387.990080000003</v>
      </c>
      <c r="AD414" s="4">
        <f>$O$414*$X$414</f>
        <v>264486.61439999996</v>
      </c>
      <c r="AE414" s="4">
        <f>$K$414*$Y$414</f>
        <v>0</v>
      </c>
      <c r="AF414" s="4">
        <f ca="1">$M$414*$Z$414</f>
        <v>114005.25692601067</v>
      </c>
      <c r="AG414" s="4">
        <f>$O$414*$AA$414</f>
        <v>330621.23845712881</v>
      </c>
    </row>
    <row r="415" spans="1:33" ht="11.25" customHeight="1" x14ac:dyDescent="0.25">
      <c r="A415" s="3" t="s">
        <v>21</v>
      </c>
      <c r="B415" s="3" t="s">
        <v>39</v>
      </c>
      <c r="C415" s="3" t="s">
        <v>41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35</v>
      </c>
      <c r="I415" s="6">
        <v>44774</v>
      </c>
      <c r="J415" s="4">
        <v>0</v>
      </c>
      <c r="K415" s="4">
        <v>0</v>
      </c>
      <c r="L415" s="4">
        <v>4434.1549999999997</v>
      </c>
      <c r="M415" s="4">
        <v>4434.1549999999997</v>
      </c>
      <c r="N415" s="4">
        <v>4434.1549999999997</v>
      </c>
      <c r="O415" s="4">
        <v>4434.1549999999997</v>
      </c>
      <c r="P415" s="4">
        <v>0</v>
      </c>
      <c r="Q415" s="3" t="s">
        <v>26</v>
      </c>
      <c r="R415" s="3">
        <v>0</v>
      </c>
      <c r="S415" s="4">
        <v>0</v>
      </c>
      <c r="T415" s="4">
        <v>31</v>
      </c>
      <c r="U415" s="4">
        <v>59</v>
      </c>
      <c r="V415" s="4">
        <f>IF(ISERROR(VLOOKUP($S$415,'TAR FIN'!$A$1:$O$92,15,0)),0,VLOOKUP($S$415,'TAR FIN'!$A$1:$O$92,15,0))</f>
        <v>0</v>
      </c>
      <c r="W415" s="4">
        <f>IF(ISERROR(VLOOKUP($T$415,'TAR FIN'!$A$1:$O$92,15,0)),0,VLOOKUP($T$415,'TAR FIN'!$A$1:$O$92,15,0))</f>
        <v>87.73</v>
      </c>
      <c r="X415" s="4">
        <f>IF(ISERROR(VLOOKUP($U$415,'TAR FIN'!$A$1:$O$92,15,0)),0,VLOOKUP($U$415,'TAR FIN'!$A$1:$O$92,15,0))</f>
        <v>253.9</v>
      </c>
      <c r="Y415" s="4"/>
      <c r="Z415" s="4">
        <f ca="1">('TUSD BE'!$AM$12+'TUSD BF'!$AM$12+'TUSD CVA'!$AM$12)*1</f>
        <v>109.44196476324252</v>
      </c>
      <c r="AA415" s="4">
        <f>('TE BE'!$AB$6+'TE BF'!$AB$6+'TE CVA'!$AB$6)*1</f>
        <v>317.3874512882154</v>
      </c>
      <c r="AB415" s="4">
        <f>$K$415*$V$415</f>
        <v>0</v>
      </c>
      <c r="AC415" s="4">
        <f>$M$415*$W$415</f>
        <v>389008.41814999998</v>
      </c>
      <c r="AD415" s="4">
        <f>$O$415*$X$415</f>
        <v>1125831.9545</v>
      </c>
      <c r="AE415" s="4">
        <f>$K$415*$Y$415</f>
        <v>0</v>
      </c>
      <c r="AF415" s="4">
        <f ca="1">$M$415*$Z$415</f>
        <v>485282.63526475563</v>
      </c>
      <c r="AG415" s="4">
        <f>$O$415*$AA$415</f>
        <v>1407345.1540668968</v>
      </c>
    </row>
    <row r="416" spans="1:33" ht="11.25" customHeight="1" x14ac:dyDescent="0.25">
      <c r="A416" s="3" t="s">
        <v>28</v>
      </c>
      <c r="B416" s="3" t="s">
        <v>39</v>
      </c>
      <c r="C416" s="3" t="s">
        <v>41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35</v>
      </c>
      <c r="I416" s="6">
        <v>44774</v>
      </c>
      <c r="J416" s="4">
        <v>0</v>
      </c>
      <c r="K416" s="4">
        <v>0</v>
      </c>
      <c r="L416" s="4">
        <v>1462.7239999999999</v>
      </c>
      <c r="M416" s="4">
        <v>1462.7239999999999</v>
      </c>
      <c r="N416" s="4">
        <v>1462.7239999999999</v>
      </c>
      <c r="O416" s="4">
        <v>1462.7239999999999</v>
      </c>
      <c r="P416" s="4">
        <v>0</v>
      </c>
      <c r="Q416" s="3" t="s">
        <v>26</v>
      </c>
      <c r="R416" s="3">
        <v>0</v>
      </c>
      <c r="S416" s="4">
        <v>0</v>
      </c>
      <c r="T416" s="4">
        <v>31</v>
      </c>
      <c r="U416" s="4">
        <v>59</v>
      </c>
      <c r="V416" s="4">
        <f>IF(ISERROR(VLOOKUP($S$416,'TAR FIN'!$A$1:$O$92,15,0)),0,VLOOKUP($S$416,'TAR FIN'!$A$1:$O$92,15,0))</f>
        <v>0</v>
      </c>
      <c r="W416" s="4">
        <f>IF(ISERROR(VLOOKUP($T$416,'TAR FIN'!$A$1:$O$92,15,0)),0,VLOOKUP($T$416,'TAR FIN'!$A$1:$O$92,15,0))</f>
        <v>87.73</v>
      </c>
      <c r="X416" s="4">
        <f>IF(ISERROR(VLOOKUP($U$416,'TAR FIN'!$A$1:$O$92,15,0)),0,VLOOKUP($U$416,'TAR FIN'!$A$1:$O$92,15,0))</f>
        <v>253.9</v>
      </c>
      <c r="Y416" s="4"/>
      <c r="Z416" s="4">
        <f ca="1">('TUSD BE'!$AM$12+'TUSD BF'!$AM$12+'TUSD CVA'!$AM$12)*1</f>
        <v>109.44196476324252</v>
      </c>
      <c r="AA416" s="4">
        <f>('TE BE'!$AB$6+'TE BF'!$AB$6+'TE CVA'!$AB$6)*1</f>
        <v>317.3874512882154</v>
      </c>
      <c r="AB416" s="4">
        <f>$K$416*$V$416</f>
        <v>0</v>
      </c>
      <c r="AC416" s="4">
        <f>$M$416*$W$416</f>
        <v>128324.77652</v>
      </c>
      <c r="AD416" s="4">
        <f>$O$416*$X$416</f>
        <v>371385.62359999999</v>
      </c>
      <c r="AE416" s="4">
        <f>$K$416*$Y$416</f>
        <v>0</v>
      </c>
      <c r="AF416" s="4">
        <f ca="1">$M$416*$Z$416</f>
        <v>160083.38846634916</v>
      </c>
      <c r="AG416" s="4">
        <f>$O$416*$AA$416</f>
        <v>464250.24229810358</v>
      </c>
    </row>
    <row r="417" spans="1:33" ht="11.25" customHeight="1" x14ac:dyDescent="0.25">
      <c r="A417" s="3" t="s">
        <v>21</v>
      </c>
      <c r="B417" s="3" t="s">
        <v>39</v>
      </c>
      <c r="C417" s="3" t="s">
        <v>41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35</v>
      </c>
      <c r="I417" s="6">
        <v>44805</v>
      </c>
      <c r="J417" s="4">
        <v>0</v>
      </c>
      <c r="K417" s="4">
        <v>0</v>
      </c>
      <c r="L417" s="4">
        <v>4563.7929999999997</v>
      </c>
      <c r="M417" s="4">
        <v>4563.7929999999997</v>
      </c>
      <c r="N417" s="4">
        <v>4563.7929999999997</v>
      </c>
      <c r="O417" s="4">
        <v>4563.7929999999997</v>
      </c>
      <c r="P417" s="4">
        <v>0</v>
      </c>
      <c r="Q417" s="3" t="s">
        <v>26</v>
      </c>
      <c r="R417" s="3">
        <v>0</v>
      </c>
      <c r="S417" s="4">
        <v>0</v>
      </c>
      <c r="T417" s="4">
        <v>31</v>
      </c>
      <c r="U417" s="4">
        <v>59</v>
      </c>
      <c r="V417" s="4">
        <f>IF(ISERROR(VLOOKUP($S$417,'TAR FIN'!$A$1:$O$92,15,0)),0,VLOOKUP($S$417,'TAR FIN'!$A$1:$O$92,15,0))</f>
        <v>0</v>
      </c>
      <c r="W417" s="4">
        <f>IF(ISERROR(VLOOKUP($T$417,'TAR FIN'!$A$1:$O$92,15,0)),0,VLOOKUP($T$417,'TAR FIN'!$A$1:$O$92,15,0))</f>
        <v>87.73</v>
      </c>
      <c r="X417" s="4">
        <f>IF(ISERROR(VLOOKUP($U$417,'TAR FIN'!$A$1:$O$92,15,0)),0,VLOOKUP($U$417,'TAR FIN'!$A$1:$O$92,15,0))</f>
        <v>253.9</v>
      </c>
      <c r="Y417" s="4"/>
      <c r="Z417" s="4">
        <f ca="1">('TUSD BE'!$AM$12+'TUSD BF'!$AM$12+'TUSD CVA'!$AM$12)*1</f>
        <v>109.44196476324252</v>
      </c>
      <c r="AA417" s="4">
        <f>('TE BE'!$AB$6+'TE BF'!$AB$6+'TE CVA'!$AB$6)*1</f>
        <v>317.3874512882154</v>
      </c>
      <c r="AB417" s="4">
        <f>$K$417*$V$417</f>
        <v>0</v>
      </c>
      <c r="AC417" s="4">
        <f>$M$417*$W$417</f>
        <v>400381.55988999997</v>
      </c>
      <c r="AD417" s="4">
        <f>$O$417*$X$417</f>
        <v>1158747.0426999999</v>
      </c>
      <c r="AE417" s="4">
        <f>$K$417*$Y$417</f>
        <v>0</v>
      </c>
      <c r="AF417" s="4">
        <f ca="1">$M$417*$Z$417</f>
        <v>499470.47269273287</v>
      </c>
      <c r="AG417" s="4">
        <f>$O$417*$AA$417</f>
        <v>1448490.6284769983</v>
      </c>
    </row>
    <row r="418" spans="1:33" ht="11.25" customHeight="1" x14ac:dyDescent="0.25">
      <c r="A418" s="3" t="s">
        <v>27</v>
      </c>
      <c r="B418" s="3" t="s">
        <v>39</v>
      </c>
      <c r="C418" s="3" t="s">
        <v>41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35</v>
      </c>
      <c r="I418" s="6">
        <v>44805</v>
      </c>
      <c r="J418" s="4">
        <v>0</v>
      </c>
      <c r="K418" s="4">
        <v>0</v>
      </c>
      <c r="L418" s="4">
        <v>13.063000000000001</v>
      </c>
      <c r="M418" s="4">
        <v>13.063000000000001</v>
      </c>
      <c r="N418" s="4">
        <v>13.063000000000001</v>
      </c>
      <c r="O418" s="4">
        <v>13.063000000000001</v>
      </c>
      <c r="P418" s="4">
        <v>0</v>
      </c>
      <c r="Q418" s="3" t="s">
        <v>26</v>
      </c>
      <c r="R418" s="3">
        <v>0</v>
      </c>
      <c r="S418" s="4">
        <v>0</v>
      </c>
      <c r="T418" s="4">
        <v>31</v>
      </c>
      <c r="U418" s="4">
        <v>59</v>
      </c>
      <c r="V418" s="4">
        <f>IF(ISERROR(VLOOKUP($S$418,'TAR FIN'!$A$1:$O$92,15,0)),0,VLOOKUP($S$418,'TAR FIN'!$A$1:$O$92,15,0))</f>
        <v>0</v>
      </c>
      <c r="W418" s="4">
        <f>IF(ISERROR(VLOOKUP($T$418,'TAR FIN'!$A$1:$O$92,15,0)),0,VLOOKUP($T$418,'TAR FIN'!$A$1:$O$92,15,0))</f>
        <v>87.73</v>
      </c>
      <c r="X418" s="4">
        <f>IF(ISERROR(VLOOKUP($U$418,'TAR FIN'!$A$1:$O$92,15,0)),0,VLOOKUP($U$418,'TAR FIN'!$A$1:$O$92,15,0))</f>
        <v>253.9</v>
      </c>
      <c r="Y418" s="4"/>
      <c r="Z418" s="4">
        <f ca="1">('TUSD BE'!$AM$12+'TUSD BF'!$AM$12+'TUSD CVA'!$AM$12)*1</f>
        <v>109.44196476324252</v>
      </c>
      <c r="AA418" s="4">
        <f>('TE BE'!$AB$6+'TE BF'!$AB$6+'TE CVA'!$AB$6)*1</f>
        <v>317.3874512882154</v>
      </c>
      <c r="AB418" s="4">
        <f>$K$418*$V$418</f>
        <v>0</v>
      </c>
      <c r="AC418" s="4">
        <f>$M$418*$W$418</f>
        <v>1146.0169900000001</v>
      </c>
      <c r="AD418" s="4">
        <f>$O$418*$X$418</f>
        <v>3316.6957000000002</v>
      </c>
      <c r="AE418" s="4">
        <f>$K$418*$Y$418</f>
        <v>0</v>
      </c>
      <c r="AF418" s="4">
        <f ca="1">$M$418*$Z$418</f>
        <v>1429.6403857022372</v>
      </c>
      <c r="AG418" s="4">
        <f>$O$418*$AA$418</f>
        <v>4146.032276177958</v>
      </c>
    </row>
    <row r="419" spans="1:33" ht="11.25" customHeight="1" x14ac:dyDescent="0.25">
      <c r="A419" s="3" t="s">
        <v>28</v>
      </c>
      <c r="B419" s="3" t="s">
        <v>39</v>
      </c>
      <c r="C419" s="3" t="s">
        <v>41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35</v>
      </c>
      <c r="I419" s="6">
        <v>44805</v>
      </c>
      <c r="J419" s="4">
        <v>0</v>
      </c>
      <c r="K419" s="4">
        <v>0</v>
      </c>
      <c r="L419" s="4">
        <v>1396.3050000000001</v>
      </c>
      <c r="M419" s="4">
        <v>1396.3050000000001</v>
      </c>
      <c r="N419" s="4">
        <v>1396.3050000000001</v>
      </c>
      <c r="O419" s="4">
        <v>1396.3050000000001</v>
      </c>
      <c r="P419" s="4">
        <v>0</v>
      </c>
      <c r="Q419" s="3" t="s">
        <v>26</v>
      </c>
      <c r="R419" s="3">
        <v>0</v>
      </c>
      <c r="S419" s="4">
        <v>0</v>
      </c>
      <c r="T419" s="4">
        <v>31</v>
      </c>
      <c r="U419" s="4">
        <v>59</v>
      </c>
      <c r="V419" s="4">
        <f>IF(ISERROR(VLOOKUP($S$419,'TAR FIN'!$A$1:$O$92,15,0)),0,VLOOKUP($S$419,'TAR FIN'!$A$1:$O$92,15,0))</f>
        <v>0</v>
      </c>
      <c r="W419" s="4">
        <f>IF(ISERROR(VLOOKUP($T$419,'TAR FIN'!$A$1:$O$92,15,0)),0,VLOOKUP($T$419,'TAR FIN'!$A$1:$O$92,15,0))</f>
        <v>87.73</v>
      </c>
      <c r="X419" s="4">
        <f>IF(ISERROR(VLOOKUP($U$419,'TAR FIN'!$A$1:$O$92,15,0)),0,VLOOKUP($U$419,'TAR FIN'!$A$1:$O$92,15,0))</f>
        <v>253.9</v>
      </c>
      <c r="Y419" s="4"/>
      <c r="Z419" s="4">
        <f ca="1">('TUSD BE'!$AM$12+'TUSD BF'!$AM$12+'TUSD CVA'!$AM$12)*1</f>
        <v>109.44196476324252</v>
      </c>
      <c r="AA419" s="4">
        <f>('TE BE'!$AB$6+'TE BF'!$AB$6+'TE CVA'!$AB$6)*1</f>
        <v>317.3874512882154</v>
      </c>
      <c r="AB419" s="4">
        <f>$K$419*$V$419</f>
        <v>0</v>
      </c>
      <c r="AC419" s="4">
        <f>$M$419*$W$419</f>
        <v>122497.83765000002</v>
      </c>
      <c r="AD419" s="4">
        <f>$O$419*$X$419</f>
        <v>354521.8395</v>
      </c>
      <c r="AE419" s="4">
        <f>$K$419*$Y$419</f>
        <v>0</v>
      </c>
      <c r="AF419" s="4">
        <f ca="1">$M$419*$Z$419</f>
        <v>152814.36260873935</v>
      </c>
      <c r="AG419" s="4">
        <f>$O$419*$AA$419</f>
        <v>443169.68517099164</v>
      </c>
    </row>
    <row r="420" spans="1:33" ht="11.25" customHeight="1" x14ac:dyDescent="0.25">
      <c r="A420" s="3" t="s">
        <v>55</v>
      </c>
      <c r="B420" s="3" t="s">
        <v>39</v>
      </c>
      <c r="C420" s="3" t="s">
        <v>41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35</v>
      </c>
      <c r="I420" s="6">
        <v>44835</v>
      </c>
      <c r="J420" s="4">
        <v>0</v>
      </c>
      <c r="K420" s="4">
        <v>0</v>
      </c>
      <c r="L420" s="4">
        <v>4563.7929999999997</v>
      </c>
      <c r="M420" s="4">
        <v>4563.7929999999997</v>
      </c>
      <c r="N420" s="4">
        <v>4563.7929999999997</v>
      </c>
      <c r="O420" s="4">
        <v>4563.7929999999997</v>
      </c>
      <c r="P420" s="4">
        <v>0</v>
      </c>
      <c r="Q420" s="3" t="s">
        <v>26</v>
      </c>
      <c r="R420" s="3">
        <v>0</v>
      </c>
      <c r="S420" s="4">
        <v>0</v>
      </c>
      <c r="T420" s="4">
        <v>31</v>
      </c>
      <c r="U420" s="4">
        <v>59</v>
      </c>
      <c r="V420" s="4">
        <f>IF(ISERROR(VLOOKUP($S$420,'TAR FIN'!$A$1:$O$92,15,0)),0,VLOOKUP($S$420,'TAR FIN'!$A$1:$O$92,15,0))</f>
        <v>0</v>
      </c>
      <c r="W420" s="4">
        <f>IF(ISERROR(VLOOKUP($T$420,'TAR FIN'!$A$1:$O$92,15,0)),0,VLOOKUP($T$420,'TAR FIN'!$A$1:$O$92,15,0))</f>
        <v>87.73</v>
      </c>
      <c r="X420" s="4">
        <f>IF(ISERROR(VLOOKUP($U$420,'TAR FIN'!$A$1:$O$92,15,0)),0,VLOOKUP($U$420,'TAR FIN'!$A$1:$O$92,15,0))</f>
        <v>253.9</v>
      </c>
      <c r="Y420" s="4"/>
      <c r="Z420" s="4">
        <f ca="1">('TUSD BE'!$AM$12+'TUSD BF'!$AM$12+'TUSD CVA'!$AM$12)*1</f>
        <v>109.44196476324252</v>
      </c>
      <c r="AA420" s="4">
        <f>('TE BE'!$AB$6+'TE BF'!$AB$6+'TE CVA'!$AB$6)*1</f>
        <v>317.3874512882154</v>
      </c>
      <c r="AB420" s="4">
        <f>$K$420*$V$420</f>
        <v>0</v>
      </c>
      <c r="AC420" s="4">
        <f>$M$420*$W$420</f>
        <v>400381.55988999997</v>
      </c>
      <c r="AD420" s="4">
        <f>$O$420*$X$420</f>
        <v>1158747.0426999999</v>
      </c>
      <c r="AE420" s="4">
        <f>$K$420*$Y$420</f>
        <v>0</v>
      </c>
      <c r="AF420" s="4">
        <f ca="1">$M$420*$Z$420</f>
        <v>499470.47269273287</v>
      </c>
      <c r="AG420" s="4">
        <f>$O$420*$AA$420</f>
        <v>1448490.6284769983</v>
      </c>
    </row>
    <row r="421" spans="1:33" ht="11.25" customHeight="1" x14ac:dyDescent="0.25">
      <c r="A421" s="3" t="s">
        <v>55</v>
      </c>
      <c r="B421" s="3" t="s">
        <v>39</v>
      </c>
      <c r="C421" s="3" t="s">
        <v>41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44835</v>
      </c>
      <c r="J421" s="4">
        <v>0</v>
      </c>
      <c r="K421" s="4">
        <v>0</v>
      </c>
      <c r="L421" s="4">
        <v>13.063000000000001</v>
      </c>
      <c r="M421" s="4">
        <v>13.063000000000001</v>
      </c>
      <c r="N421" s="4">
        <v>13.063000000000001</v>
      </c>
      <c r="O421" s="4">
        <v>13.063000000000001</v>
      </c>
      <c r="P421" s="4">
        <v>0</v>
      </c>
      <c r="Q421" s="3" t="s">
        <v>26</v>
      </c>
      <c r="R421" s="3">
        <v>0</v>
      </c>
      <c r="S421" s="4">
        <v>0</v>
      </c>
      <c r="T421" s="4">
        <v>31</v>
      </c>
      <c r="U421" s="4">
        <v>59</v>
      </c>
      <c r="V421" s="4">
        <f>IF(ISERROR(VLOOKUP($S$421,'TAR FIN'!$A$1:$O$92,15,0)),0,VLOOKUP($S$421,'TAR FIN'!$A$1:$O$92,15,0))</f>
        <v>0</v>
      </c>
      <c r="W421" s="4">
        <f>IF(ISERROR(VLOOKUP($T$421,'TAR FIN'!$A$1:$O$92,15,0)),0,VLOOKUP($T$421,'TAR FIN'!$A$1:$O$92,15,0))</f>
        <v>87.73</v>
      </c>
      <c r="X421" s="4">
        <f>IF(ISERROR(VLOOKUP($U$421,'TAR FIN'!$A$1:$O$92,15,0)),0,VLOOKUP($U$421,'TAR FIN'!$A$1:$O$92,15,0))</f>
        <v>253.9</v>
      </c>
      <c r="Y421" s="4"/>
      <c r="Z421" s="4">
        <f ca="1">('TUSD BE'!$AM$12+'TUSD BF'!$AM$12+'TUSD CVA'!$AM$12)*1</f>
        <v>109.44196476324252</v>
      </c>
      <c r="AA421" s="4">
        <f>('TE BE'!$AB$6+'TE BF'!$AB$6+'TE CVA'!$AB$6)*1</f>
        <v>317.3874512882154</v>
      </c>
      <c r="AB421" s="4">
        <f>$K$421*$V$421</f>
        <v>0</v>
      </c>
      <c r="AC421" s="4">
        <f>$M$421*$W$421</f>
        <v>1146.0169900000001</v>
      </c>
      <c r="AD421" s="4">
        <f>$O$421*$X$421</f>
        <v>3316.6957000000002</v>
      </c>
      <c r="AE421" s="4">
        <f>$K$421*$Y$421</f>
        <v>0</v>
      </c>
      <c r="AF421" s="4">
        <f ca="1">$M$421*$Z$421</f>
        <v>1429.6403857022372</v>
      </c>
      <c r="AG421" s="4">
        <f>$O$421*$AA$421</f>
        <v>4146.032276177958</v>
      </c>
    </row>
    <row r="422" spans="1:33" ht="11.25" customHeight="1" x14ac:dyDescent="0.25">
      <c r="A422" s="3" t="s">
        <v>55</v>
      </c>
      <c r="B422" s="3" t="s">
        <v>39</v>
      </c>
      <c r="C422" s="3" t="s">
        <v>41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44835</v>
      </c>
      <c r="J422" s="4">
        <v>0</v>
      </c>
      <c r="K422" s="4">
        <v>0</v>
      </c>
      <c r="L422" s="4">
        <v>1396.3050000000001</v>
      </c>
      <c r="M422" s="4">
        <v>1396.3050000000001</v>
      </c>
      <c r="N422" s="4">
        <v>1396.3050000000001</v>
      </c>
      <c r="O422" s="4">
        <v>1396.3050000000001</v>
      </c>
      <c r="P422" s="4">
        <v>0</v>
      </c>
      <c r="Q422" s="3" t="s">
        <v>26</v>
      </c>
      <c r="R422" s="3">
        <v>0</v>
      </c>
      <c r="S422" s="4">
        <v>0</v>
      </c>
      <c r="T422" s="4">
        <v>31</v>
      </c>
      <c r="U422" s="4">
        <v>59</v>
      </c>
      <c r="V422" s="4">
        <f>IF(ISERROR(VLOOKUP($S$422,'TAR FIN'!$A$1:$O$92,15,0)),0,VLOOKUP($S$422,'TAR FIN'!$A$1:$O$92,15,0))</f>
        <v>0</v>
      </c>
      <c r="W422" s="4">
        <f>IF(ISERROR(VLOOKUP($T$422,'TAR FIN'!$A$1:$O$92,15,0)),0,VLOOKUP($T$422,'TAR FIN'!$A$1:$O$92,15,0))</f>
        <v>87.73</v>
      </c>
      <c r="X422" s="4">
        <f>IF(ISERROR(VLOOKUP($U$422,'TAR FIN'!$A$1:$O$92,15,0)),0,VLOOKUP($U$422,'TAR FIN'!$A$1:$O$92,15,0))</f>
        <v>253.9</v>
      </c>
      <c r="Y422" s="4"/>
      <c r="Z422" s="4">
        <f ca="1">('TUSD BE'!$AM$12+'TUSD BF'!$AM$12+'TUSD CVA'!$AM$12)*1</f>
        <v>109.44196476324252</v>
      </c>
      <c r="AA422" s="4">
        <f>('TE BE'!$AB$6+'TE BF'!$AB$6+'TE CVA'!$AB$6)*1</f>
        <v>317.3874512882154</v>
      </c>
      <c r="AB422" s="4">
        <f>$K$422*$V$422</f>
        <v>0</v>
      </c>
      <c r="AC422" s="4">
        <f>$M$422*$W$422</f>
        <v>122497.83765000002</v>
      </c>
      <c r="AD422" s="4">
        <f>$O$422*$X$422</f>
        <v>354521.8395</v>
      </c>
      <c r="AE422" s="4">
        <f>$K$422*$Y$422</f>
        <v>0</v>
      </c>
      <c r="AF422" s="4">
        <f ca="1">$M$422*$Z$422</f>
        <v>152814.36260873935</v>
      </c>
      <c r="AG422" s="4">
        <f>$O$422*$AA$422</f>
        <v>443169.68517099164</v>
      </c>
    </row>
    <row r="423" spans="1:33" ht="11.25" customHeight="1" x14ac:dyDescent="0.25">
      <c r="A423" s="3" t="s">
        <v>21</v>
      </c>
      <c r="B423" s="3" t="s">
        <v>39</v>
      </c>
      <c r="C423" s="3" t="s">
        <v>41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25</v>
      </c>
      <c r="I423" s="6">
        <v>44501</v>
      </c>
      <c r="J423" s="4">
        <v>28032</v>
      </c>
      <c r="K423" s="4">
        <v>28032</v>
      </c>
      <c r="L423" s="4">
        <v>0</v>
      </c>
      <c r="M423" s="4">
        <v>0</v>
      </c>
      <c r="N423" s="4">
        <v>0</v>
      </c>
      <c r="O423" s="4">
        <v>0</v>
      </c>
      <c r="P423" s="4">
        <v>255</v>
      </c>
      <c r="Q423" s="3" t="s">
        <v>26</v>
      </c>
      <c r="R423" s="3">
        <v>0</v>
      </c>
      <c r="S423" s="4">
        <v>18</v>
      </c>
      <c r="T423" s="4">
        <v>0</v>
      </c>
      <c r="U423" s="4">
        <v>0</v>
      </c>
      <c r="V423" s="4">
        <f>IF(ISERROR(VLOOKUP($S$423,'TAR FIN'!$A$1:$O$92,15,0)),0,VLOOKUP($S$423,'TAR FIN'!$A$1:$O$92,15,0))</f>
        <v>14.64</v>
      </c>
      <c r="W423" s="4">
        <f>IF(ISERROR(VLOOKUP($T$423,'TAR FIN'!$A$1:$O$92,15,0)),0,VLOOKUP($T$423,'TAR FIN'!$A$1:$O$92,15,0))</f>
        <v>0</v>
      </c>
      <c r="X423" s="4">
        <f>IF(ISERROR(VLOOKUP($U$423,'TAR FIN'!$A$1:$O$92,15,0)),0,VLOOKUP($U$423,'TAR FIN'!$A$1:$O$92,15,0))</f>
        <v>0</v>
      </c>
      <c r="Y423" s="4">
        <f ca="1">('TUSD BE'!$AM$10+'TUSD BF'!$AM$10+'TUSD CVA'!$AM$10)*1</f>
        <v>19.024476785546895</v>
      </c>
      <c r="Z423" s="4"/>
      <c r="AA423" s="4"/>
      <c r="AB423" s="4">
        <f>$K$423*$V$423</f>
        <v>410388.48000000004</v>
      </c>
      <c r="AC423" s="4">
        <f>$M$423*$W$423</f>
        <v>0</v>
      </c>
      <c r="AD423" s="4">
        <f>$O$423*$X$423</f>
        <v>0</v>
      </c>
      <c r="AE423" s="4">
        <f ca="1">$K$423*$Y$423</f>
        <v>533294.13325245061</v>
      </c>
      <c r="AF423" s="4">
        <f>$M$423*$Z$423</f>
        <v>0</v>
      </c>
      <c r="AG423" s="4">
        <f>$O$423*$AA$423</f>
        <v>0</v>
      </c>
    </row>
    <row r="424" spans="1:33" ht="11.25" customHeight="1" x14ac:dyDescent="0.25">
      <c r="A424" s="3" t="s">
        <v>27</v>
      </c>
      <c r="B424" s="3" t="s">
        <v>39</v>
      </c>
      <c r="C424" s="3" t="s">
        <v>41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25</v>
      </c>
      <c r="I424" s="6">
        <v>44501</v>
      </c>
      <c r="J424" s="4">
        <v>102</v>
      </c>
      <c r="K424" s="4">
        <v>102</v>
      </c>
      <c r="L424" s="4">
        <v>0</v>
      </c>
      <c r="M424" s="4">
        <v>0</v>
      </c>
      <c r="N424" s="4">
        <v>0</v>
      </c>
      <c r="O424" s="4">
        <v>0</v>
      </c>
      <c r="P424" s="4">
        <v>2</v>
      </c>
      <c r="Q424" s="3" t="s">
        <v>26</v>
      </c>
      <c r="R424" s="3">
        <v>0</v>
      </c>
      <c r="S424" s="4">
        <v>18</v>
      </c>
      <c r="T424" s="4">
        <v>0</v>
      </c>
      <c r="U424" s="4">
        <v>0</v>
      </c>
      <c r="V424" s="4">
        <f>IF(ISERROR(VLOOKUP($S$424,'TAR FIN'!$A$1:$O$92,15,0)),0,VLOOKUP($S$424,'TAR FIN'!$A$1:$O$92,15,0))</f>
        <v>14.64</v>
      </c>
      <c r="W424" s="4">
        <f>IF(ISERROR(VLOOKUP($T$424,'TAR FIN'!$A$1:$O$92,15,0)),0,VLOOKUP($T$424,'TAR FIN'!$A$1:$O$92,15,0))</f>
        <v>0</v>
      </c>
      <c r="X424" s="4">
        <f>IF(ISERROR(VLOOKUP($U$424,'TAR FIN'!$A$1:$O$92,15,0)),0,VLOOKUP($U$424,'TAR FIN'!$A$1:$O$92,15,0))</f>
        <v>0</v>
      </c>
      <c r="Y424" s="4">
        <f ca="1">('TUSD BE'!$AM$10+'TUSD BF'!$AM$10+'TUSD CVA'!$AM$10)*1</f>
        <v>19.024476785546895</v>
      </c>
      <c r="Z424" s="4"/>
      <c r="AA424" s="4"/>
      <c r="AB424" s="4">
        <f>$K$424*$V$424</f>
        <v>1493.28</v>
      </c>
      <c r="AC424" s="4">
        <f>$M$424*$W$424</f>
        <v>0</v>
      </c>
      <c r="AD424" s="4">
        <f>$O$424*$X$424</f>
        <v>0</v>
      </c>
      <c r="AE424" s="4">
        <f ca="1">$K$424*$Y$424</f>
        <v>1940.4966321257832</v>
      </c>
      <c r="AF424" s="4">
        <f>$M$424*$Z$424</f>
        <v>0</v>
      </c>
      <c r="AG424" s="4">
        <f>$O$424*$AA$424</f>
        <v>0</v>
      </c>
    </row>
    <row r="425" spans="1:33" ht="11.25" customHeight="1" x14ac:dyDescent="0.25">
      <c r="A425" s="3" t="s">
        <v>28</v>
      </c>
      <c r="B425" s="3" t="s">
        <v>39</v>
      </c>
      <c r="C425" s="3" t="s">
        <v>41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25</v>
      </c>
      <c r="I425" s="6">
        <v>44501</v>
      </c>
      <c r="J425" s="4">
        <v>8842</v>
      </c>
      <c r="K425" s="4">
        <v>8842</v>
      </c>
      <c r="L425" s="4">
        <v>0</v>
      </c>
      <c r="M425" s="4">
        <v>0</v>
      </c>
      <c r="N425" s="4">
        <v>0</v>
      </c>
      <c r="O425" s="4">
        <v>0</v>
      </c>
      <c r="P425" s="4">
        <v>74</v>
      </c>
      <c r="Q425" s="3" t="s">
        <v>26</v>
      </c>
      <c r="R425" s="3">
        <v>0</v>
      </c>
      <c r="S425" s="4">
        <v>18</v>
      </c>
      <c r="T425" s="4">
        <v>0</v>
      </c>
      <c r="U425" s="4">
        <v>0</v>
      </c>
      <c r="V425" s="4">
        <f>IF(ISERROR(VLOOKUP($S$425,'TAR FIN'!$A$1:$O$92,15,0)),0,VLOOKUP($S$425,'TAR FIN'!$A$1:$O$92,15,0))</f>
        <v>14.64</v>
      </c>
      <c r="W425" s="4">
        <f>IF(ISERROR(VLOOKUP($T$425,'TAR FIN'!$A$1:$O$92,15,0)),0,VLOOKUP($T$425,'TAR FIN'!$A$1:$O$92,15,0))</f>
        <v>0</v>
      </c>
      <c r="X425" s="4">
        <f>IF(ISERROR(VLOOKUP($U$425,'TAR FIN'!$A$1:$O$92,15,0)),0,VLOOKUP($U$425,'TAR FIN'!$A$1:$O$92,15,0))</f>
        <v>0</v>
      </c>
      <c r="Y425" s="4">
        <f ca="1">('TUSD BE'!$AM$10+'TUSD BF'!$AM$10+'TUSD CVA'!$AM$10)*1</f>
        <v>19.024476785546895</v>
      </c>
      <c r="Z425" s="4"/>
      <c r="AA425" s="4"/>
      <c r="AB425" s="4">
        <f>$K$425*$V$425</f>
        <v>129446.88</v>
      </c>
      <c r="AC425" s="4">
        <f>$M$425*$W$425</f>
        <v>0</v>
      </c>
      <c r="AD425" s="4">
        <f>$O$425*$X$425</f>
        <v>0</v>
      </c>
      <c r="AE425" s="4">
        <f ca="1">$K$425*$Y$425</f>
        <v>168214.42373780566</v>
      </c>
      <c r="AF425" s="4">
        <f>$M$425*$Z$425</f>
        <v>0</v>
      </c>
      <c r="AG425" s="4">
        <f>$O$425*$AA$425</f>
        <v>0</v>
      </c>
    </row>
    <row r="426" spans="1:33" ht="11.25" customHeight="1" x14ac:dyDescent="0.25">
      <c r="A426" s="3" t="s">
        <v>21</v>
      </c>
      <c r="B426" s="3" t="s">
        <v>39</v>
      </c>
      <c r="C426" s="3" t="s">
        <v>41</v>
      </c>
      <c r="D426" s="3" t="s">
        <v>45</v>
      </c>
      <c r="E426" s="3" t="s">
        <v>25</v>
      </c>
      <c r="F426" s="3" t="s">
        <v>25</v>
      </c>
      <c r="G426" s="3" t="s">
        <v>25</v>
      </c>
      <c r="H426" s="3" t="s">
        <v>25</v>
      </c>
      <c r="I426" s="6">
        <v>44531</v>
      </c>
      <c r="J426" s="4">
        <v>27842</v>
      </c>
      <c r="K426" s="4">
        <v>27842</v>
      </c>
      <c r="L426" s="4">
        <v>0</v>
      </c>
      <c r="M426" s="4">
        <v>0</v>
      </c>
      <c r="N426" s="4">
        <v>0</v>
      </c>
      <c r="O426" s="4">
        <v>0</v>
      </c>
      <c r="P426" s="4">
        <v>254</v>
      </c>
      <c r="Q426" s="3" t="s">
        <v>26</v>
      </c>
      <c r="R426" s="3">
        <v>0</v>
      </c>
      <c r="S426" s="4">
        <v>18</v>
      </c>
      <c r="T426" s="4">
        <v>0</v>
      </c>
      <c r="U426" s="4">
        <v>0</v>
      </c>
      <c r="V426" s="4">
        <f>IF(ISERROR(VLOOKUP($S$426,'TAR FIN'!$A$1:$O$92,15,0)),0,VLOOKUP($S$426,'TAR FIN'!$A$1:$O$92,15,0))</f>
        <v>14.64</v>
      </c>
      <c r="W426" s="4">
        <f>IF(ISERROR(VLOOKUP($T$426,'TAR FIN'!$A$1:$O$92,15,0)),0,VLOOKUP($T$426,'TAR FIN'!$A$1:$O$92,15,0))</f>
        <v>0</v>
      </c>
      <c r="X426" s="4">
        <f>IF(ISERROR(VLOOKUP($U$426,'TAR FIN'!$A$1:$O$92,15,0)),0,VLOOKUP($U$426,'TAR FIN'!$A$1:$O$92,15,0))</f>
        <v>0</v>
      </c>
      <c r="Y426" s="4">
        <f ca="1">('TUSD BE'!$AM$10+'TUSD BF'!$AM$10+'TUSD CVA'!$AM$10)*1</f>
        <v>19.024476785546895</v>
      </c>
      <c r="Z426" s="4"/>
      <c r="AA426" s="4"/>
      <c r="AB426" s="4">
        <f>$K$426*$V$426</f>
        <v>407606.88</v>
      </c>
      <c r="AC426" s="4">
        <f>$M$426*$W$426</f>
        <v>0</v>
      </c>
      <c r="AD426" s="4">
        <f>$O$426*$X$426</f>
        <v>0</v>
      </c>
      <c r="AE426" s="4">
        <f ca="1">$K$426*$Y$426</f>
        <v>529679.48266319663</v>
      </c>
      <c r="AF426" s="4">
        <f>$M$426*$Z$426</f>
        <v>0</v>
      </c>
      <c r="AG426" s="4">
        <f>$O$426*$AA$426</f>
        <v>0</v>
      </c>
    </row>
    <row r="427" spans="1:33" ht="11.25" customHeight="1" x14ac:dyDescent="0.25">
      <c r="A427" s="3" t="s">
        <v>27</v>
      </c>
      <c r="B427" s="3" t="s">
        <v>39</v>
      </c>
      <c r="C427" s="3" t="s">
        <v>41</v>
      </c>
      <c r="D427" s="3" t="s">
        <v>45</v>
      </c>
      <c r="E427" s="3" t="s">
        <v>25</v>
      </c>
      <c r="F427" s="3" t="s">
        <v>25</v>
      </c>
      <c r="G427" s="3" t="s">
        <v>25</v>
      </c>
      <c r="H427" s="3" t="s">
        <v>25</v>
      </c>
      <c r="I427" s="6">
        <v>44531</v>
      </c>
      <c r="J427" s="4">
        <v>-17</v>
      </c>
      <c r="K427" s="4">
        <v>-17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3" t="s">
        <v>26</v>
      </c>
      <c r="R427" s="3">
        <v>0</v>
      </c>
      <c r="S427" s="4">
        <v>18</v>
      </c>
      <c r="T427" s="4">
        <v>0</v>
      </c>
      <c r="U427" s="4">
        <v>0</v>
      </c>
      <c r="V427" s="4">
        <f>IF(ISERROR(VLOOKUP($S$427,'TAR FIN'!$A$1:$O$92,15,0)),0,VLOOKUP($S$427,'TAR FIN'!$A$1:$O$92,15,0))</f>
        <v>14.64</v>
      </c>
      <c r="W427" s="4">
        <f>IF(ISERROR(VLOOKUP($T$427,'TAR FIN'!$A$1:$O$92,15,0)),0,VLOOKUP($T$427,'TAR FIN'!$A$1:$O$92,15,0))</f>
        <v>0</v>
      </c>
      <c r="X427" s="4">
        <f>IF(ISERROR(VLOOKUP($U$427,'TAR FIN'!$A$1:$O$92,15,0)),0,VLOOKUP($U$427,'TAR FIN'!$A$1:$O$92,15,0))</f>
        <v>0</v>
      </c>
      <c r="Y427" s="4">
        <f ca="1">('TUSD BE'!$AM$10+'TUSD BF'!$AM$10+'TUSD CVA'!$AM$10)*1</f>
        <v>19.024476785546895</v>
      </c>
      <c r="Z427" s="4"/>
      <c r="AA427" s="4"/>
      <c r="AB427" s="4">
        <f>$K$427*$V$427</f>
        <v>-248.88</v>
      </c>
      <c r="AC427" s="4">
        <f>$M$427*$W$427</f>
        <v>0</v>
      </c>
      <c r="AD427" s="4">
        <f>$O$427*$X$427</f>
        <v>0</v>
      </c>
      <c r="AE427" s="4">
        <f ca="1">$K$427*$Y$427</f>
        <v>-323.4161053542972</v>
      </c>
      <c r="AF427" s="4">
        <f>$M$427*$Z$427</f>
        <v>0</v>
      </c>
      <c r="AG427" s="4">
        <f>$O$427*$AA$427</f>
        <v>0</v>
      </c>
    </row>
    <row r="428" spans="1:33" ht="11.25" customHeight="1" x14ac:dyDescent="0.25">
      <c r="A428" s="3" t="s">
        <v>28</v>
      </c>
      <c r="B428" s="3" t="s">
        <v>39</v>
      </c>
      <c r="C428" s="3" t="s">
        <v>41</v>
      </c>
      <c r="D428" s="3" t="s">
        <v>45</v>
      </c>
      <c r="E428" s="3" t="s">
        <v>25</v>
      </c>
      <c r="F428" s="3" t="s">
        <v>25</v>
      </c>
      <c r="G428" s="3" t="s">
        <v>25</v>
      </c>
      <c r="H428" s="3" t="s">
        <v>25</v>
      </c>
      <c r="I428" s="6">
        <v>44531</v>
      </c>
      <c r="J428" s="4">
        <v>12154</v>
      </c>
      <c r="K428" s="4">
        <v>12154</v>
      </c>
      <c r="L428" s="4">
        <v>0</v>
      </c>
      <c r="M428" s="4">
        <v>0</v>
      </c>
      <c r="N428" s="4">
        <v>0</v>
      </c>
      <c r="O428" s="4">
        <v>0</v>
      </c>
      <c r="P428" s="4">
        <v>74</v>
      </c>
      <c r="Q428" s="3" t="s">
        <v>26</v>
      </c>
      <c r="R428" s="3">
        <v>0</v>
      </c>
      <c r="S428" s="4">
        <v>18</v>
      </c>
      <c r="T428" s="4">
        <v>0</v>
      </c>
      <c r="U428" s="4">
        <v>0</v>
      </c>
      <c r="V428" s="4">
        <f>IF(ISERROR(VLOOKUP($S$428,'TAR FIN'!$A$1:$O$92,15,0)),0,VLOOKUP($S$428,'TAR FIN'!$A$1:$O$92,15,0))</f>
        <v>14.64</v>
      </c>
      <c r="W428" s="4">
        <f>IF(ISERROR(VLOOKUP($T$428,'TAR FIN'!$A$1:$O$92,15,0)),0,VLOOKUP($T$428,'TAR FIN'!$A$1:$O$92,15,0))</f>
        <v>0</v>
      </c>
      <c r="X428" s="4">
        <f>IF(ISERROR(VLOOKUP($U$428,'TAR FIN'!$A$1:$O$92,15,0)),0,VLOOKUP($U$428,'TAR FIN'!$A$1:$O$92,15,0))</f>
        <v>0</v>
      </c>
      <c r="Y428" s="4">
        <f ca="1">('TUSD BE'!$AM$10+'TUSD BF'!$AM$10+'TUSD CVA'!$AM$10)*1</f>
        <v>19.024476785546895</v>
      </c>
      <c r="Z428" s="4"/>
      <c r="AA428" s="4"/>
      <c r="AB428" s="4">
        <f>$K$428*$V$428</f>
        <v>177934.56</v>
      </c>
      <c r="AC428" s="4">
        <f>$M$428*$W$428</f>
        <v>0</v>
      </c>
      <c r="AD428" s="4">
        <f>$O$428*$X$428</f>
        <v>0</v>
      </c>
      <c r="AE428" s="4">
        <f ca="1">$K$428*$Y$428</f>
        <v>231223.49085153698</v>
      </c>
      <c r="AF428" s="4">
        <f>$M$428*$Z$428</f>
        <v>0</v>
      </c>
      <c r="AG428" s="4">
        <f>$O$428*$AA$428</f>
        <v>0</v>
      </c>
    </row>
    <row r="429" spans="1:33" ht="11.25" customHeight="1" x14ac:dyDescent="0.25">
      <c r="A429" s="3" t="s">
        <v>21</v>
      </c>
      <c r="B429" s="3" t="s">
        <v>39</v>
      </c>
      <c r="C429" s="3" t="s">
        <v>41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25</v>
      </c>
      <c r="I429" s="6">
        <v>44562</v>
      </c>
      <c r="J429" s="4">
        <v>27652</v>
      </c>
      <c r="K429" s="4">
        <v>27652</v>
      </c>
      <c r="L429" s="4">
        <v>0</v>
      </c>
      <c r="M429" s="4">
        <v>0</v>
      </c>
      <c r="N429" s="4">
        <v>0</v>
      </c>
      <c r="O429" s="4">
        <v>0</v>
      </c>
      <c r="P429" s="4">
        <v>255</v>
      </c>
      <c r="Q429" s="3" t="s">
        <v>26</v>
      </c>
      <c r="R429" s="3">
        <v>0</v>
      </c>
      <c r="S429" s="4">
        <v>18</v>
      </c>
      <c r="T429" s="4">
        <v>0</v>
      </c>
      <c r="U429" s="4">
        <v>0</v>
      </c>
      <c r="V429" s="4">
        <f>IF(ISERROR(VLOOKUP($S$429,'TAR FIN'!$A$1:$O$92,15,0)),0,VLOOKUP($S$429,'TAR FIN'!$A$1:$O$92,15,0))</f>
        <v>14.64</v>
      </c>
      <c r="W429" s="4">
        <f>IF(ISERROR(VLOOKUP($T$429,'TAR FIN'!$A$1:$O$92,15,0)),0,VLOOKUP($T$429,'TAR FIN'!$A$1:$O$92,15,0))</f>
        <v>0</v>
      </c>
      <c r="X429" s="4">
        <f>IF(ISERROR(VLOOKUP($U$429,'TAR FIN'!$A$1:$O$92,15,0)),0,VLOOKUP($U$429,'TAR FIN'!$A$1:$O$92,15,0))</f>
        <v>0</v>
      </c>
      <c r="Y429" s="4">
        <f ca="1">('TUSD BE'!$AM$10+'TUSD BF'!$AM$10+'TUSD CVA'!$AM$10)*1</f>
        <v>19.024476785546895</v>
      </c>
      <c r="Z429" s="4"/>
      <c r="AA429" s="4"/>
      <c r="AB429" s="4">
        <f>$K$429*$V$429</f>
        <v>404825.28</v>
      </c>
      <c r="AC429" s="4">
        <f>$M$429*$W$429</f>
        <v>0</v>
      </c>
      <c r="AD429" s="4">
        <f>$O$429*$X$429</f>
        <v>0</v>
      </c>
      <c r="AE429" s="4">
        <f ca="1">$K$429*$Y$429</f>
        <v>526064.83207394276</v>
      </c>
      <c r="AF429" s="4">
        <f>$M$429*$Z$429</f>
        <v>0</v>
      </c>
      <c r="AG429" s="4">
        <f>$O$429*$AA$429</f>
        <v>0</v>
      </c>
    </row>
    <row r="430" spans="1:33" ht="11.25" customHeight="1" x14ac:dyDescent="0.25">
      <c r="A430" s="3" t="s">
        <v>28</v>
      </c>
      <c r="B430" s="3" t="s">
        <v>39</v>
      </c>
      <c r="C430" s="3" t="s">
        <v>41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25</v>
      </c>
      <c r="I430" s="6">
        <v>44562</v>
      </c>
      <c r="J430" s="4">
        <v>12654</v>
      </c>
      <c r="K430" s="4">
        <v>12654</v>
      </c>
      <c r="L430" s="4">
        <v>0</v>
      </c>
      <c r="M430" s="4">
        <v>0</v>
      </c>
      <c r="N430" s="4">
        <v>0</v>
      </c>
      <c r="O430" s="4">
        <v>0</v>
      </c>
      <c r="P430" s="4">
        <v>74</v>
      </c>
      <c r="Q430" s="3" t="s">
        <v>26</v>
      </c>
      <c r="R430" s="3">
        <v>0</v>
      </c>
      <c r="S430" s="4">
        <v>18</v>
      </c>
      <c r="T430" s="4">
        <v>0</v>
      </c>
      <c r="U430" s="4">
        <v>0</v>
      </c>
      <c r="V430" s="4">
        <f>IF(ISERROR(VLOOKUP($S$430,'TAR FIN'!$A$1:$O$92,15,0)),0,VLOOKUP($S$430,'TAR FIN'!$A$1:$O$92,15,0))</f>
        <v>14.64</v>
      </c>
      <c r="W430" s="4">
        <f>IF(ISERROR(VLOOKUP($T$430,'TAR FIN'!$A$1:$O$92,15,0)),0,VLOOKUP($T$430,'TAR FIN'!$A$1:$O$92,15,0))</f>
        <v>0</v>
      </c>
      <c r="X430" s="4">
        <f>IF(ISERROR(VLOOKUP($U$430,'TAR FIN'!$A$1:$O$92,15,0)),0,VLOOKUP($U$430,'TAR FIN'!$A$1:$O$92,15,0))</f>
        <v>0</v>
      </c>
      <c r="Y430" s="4">
        <f ca="1">('TUSD BE'!$AM$10+'TUSD BF'!$AM$10+'TUSD CVA'!$AM$10)*1</f>
        <v>19.024476785546895</v>
      </c>
      <c r="Z430" s="4"/>
      <c r="AA430" s="4"/>
      <c r="AB430" s="4">
        <f>$K$430*$V$430</f>
        <v>185254.56</v>
      </c>
      <c r="AC430" s="4">
        <f>$M$430*$W$430</f>
        <v>0</v>
      </c>
      <c r="AD430" s="4">
        <f>$O$430*$X$430</f>
        <v>0</v>
      </c>
      <c r="AE430" s="4">
        <f ca="1">$K$430*$Y$430</f>
        <v>240735.72924431041</v>
      </c>
      <c r="AF430" s="4">
        <f>$M$430*$Z$430</f>
        <v>0</v>
      </c>
      <c r="AG430" s="4">
        <f>$O$430*$AA$430</f>
        <v>0</v>
      </c>
    </row>
    <row r="431" spans="1:33" ht="11.25" customHeight="1" x14ac:dyDescent="0.25">
      <c r="A431" s="3" t="s">
        <v>21</v>
      </c>
      <c r="B431" s="3" t="s">
        <v>39</v>
      </c>
      <c r="C431" s="3" t="s">
        <v>41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25</v>
      </c>
      <c r="I431" s="6">
        <v>44593</v>
      </c>
      <c r="J431" s="4">
        <v>28419</v>
      </c>
      <c r="K431" s="4">
        <v>28419</v>
      </c>
      <c r="L431" s="4">
        <v>0</v>
      </c>
      <c r="M431" s="4">
        <v>0</v>
      </c>
      <c r="N431" s="4">
        <v>0</v>
      </c>
      <c r="O431" s="4">
        <v>0</v>
      </c>
      <c r="P431" s="4">
        <v>256</v>
      </c>
      <c r="Q431" s="3" t="s">
        <v>26</v>
      </c>
      <c r="R431" s="3">
        <v>0</v>
      </c>
      <c r="S431" s="4">
        <v>18</v>
      </c>
      <c r="T431" s="4">
        <v>0</v>
      </c>
      <c r="U431" s="4">
        <v>0</v>
      </c>
      <c r="V431" s="4">
        <f>IF(ISERROR(VLOOKUP($S$431,'TAR FIN'!$A$1:$O$92,15,0)),0,VLOOKUP($S$431,'TAR FIN'!$A$1:$O$92,15,0))</f>
        <v>14.64</v>
      </c>
      <c r="W431" s="4">
        <f>IF(ISERROR(VLOOKUP($T$431,'TAR FIN'!$A$1:$O$92,15,0)),0,VLOOKUP($T$431,'TAR FIN'!$A$1:$O$92,15,0))</f>
        <v>0</v>
      </c>
      <c r="X431" s="4">
        <f>IF(ISERROR(VLOOKUP($U$431,'TAR FIN'!$A$1:$O$92,15,0)),0,VLOOKUP($U$431,'TAR FIN'!$A$1:$O$92,15,0))</f>
        <v>0</v>
      </c>
      <c r="Y431" s="4">
        <f ca="1">('TUSD BE'!$AM$10+'TUSD BF'!$AM$10+'TUSD CVA'!$AM$10)*1</f>
        <v>19.024476785546895</v>
      </c>
      <c r="Z431" s="4"/>
      <c r="AA431" s="4"/>
      <c r="AB431" s="4">
        <f>$K$431*$V$431</f>
        <v>416054.16000000003</v>
      </c>
      <c r="AC431" s="4">
        <f>$M$431*$W$431</f>
        <v>0</v>
      </c>
      <c r="AD431" s="4">
        <f>$O$431*$X$431</f>
        <v>0</v>
      </c>
      <c r="AE431" s="4">
        <f ca="1">$K$431*$Y$431</f>
        <v>540656.60576845717</v>
      </c>
      <c r="AF431" s="4">
        <f>$M$431*$Z$431</f>
        <v>0</v>
      </c>
      <c r="AG431" s="4">
        <f>$O$431*$AA$431</f>
        <v>0</v>
      </c>
    </row>
    <row r="432" spans="1:33" ht="11.25" customHeight="1" x14ac:dyDescent="0.25">
      <c r="A432" s="3" t="s">
        <v>27</v>
      </c>
      <c r="B432" s="3" t="s">
        <v>39</v>
      </c>
      <c r="C432" s="3" t="s">
        <v>41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25</v>
      </c>
      <c r="I432" s="6">
        <v>44593</v>
      </c>
      <c r="J432" s="4">
        <v>624</v>
      </c>
      <c r="K432" s="4">
        <v>624</v>
      </c>
      <c r="L432" s="4">
        <v>0</v>
      </c>
      <c r="M432" s="4">
        <v>0</v>
      </c>
      <c r="N432" s="4">
        <v>0</v>
      </c>
      <c r="O432" s="4">
        <v>0</v>
      </c>
      <c r="P432" s="4">
        <v>1</v>
      </c>
      <c r="Q432" s="3" t="s">
        <v>26</v>
      </c>
      <c r="R432" s="3">
        <v>0</v>
      </c>
      <c r="S432" s="4">
        <v>18</v>
      </c>
      <c r="T432" s="4">
        <v>0</v>
      </c>
      <c r="U432" s="4">
        <v>0</v>
      </c>
      <c r="V432" s="4">
        <f>IF(ISERROR(VLOOKUP($S$432,'TAR FIN'!$A$1:$O$92,15,0)),0,VLOOKUP($S$432,'TAR FIN'!$A$1:$O$92,15,0))</f>
        <v>14.64</v>
      </c>
      <c r="W432" s="4">
        <f>IF(ISERROR(VLOOKUP($T$432,'TAR FIN'!$A$1:$O$92,15,0)),0,VLOOKUP($T$432,'TAR FIN'!$A$1:$O$92,15,0))</f>
        <v>0</v>
      </c>
      <c r="X432" s="4">
        <f>IF(ISERROR(VLOOKUP($U$432,'TAR FIN'!$A$1:$O$92,15,0)),0,VLOOKUP($U$432,'TAR FIN'!$A$1:$O$92,15,0))</f>
        <v>0</v>
      </c>
      <c r="Y432" s="4">
        <f ca="1">('TUSD BE'!$AM$10+'TUSD BF'!$AM$10+'TUSD CVA'!$AM$10)*1</f>
        <v>19.024476785546895</v>
      </c>
      <c r="Z432" s="4"/>
      <c r="AA432" s="4"/>
      <c r="AB432" s="4">
        <f>$K$432*$V$432</f>
        <v>9135.36</v>
      </c>
      <c r="AC432" s="4">
        <f>$M$432*$W$432</f>
        <v>0</v>
      </c>
      <c r="AD432" s="4">
        <f>$O$432*$X$432</f>
        <v>0</v>
      </c>
      <c r="AE432" s="4">
        <f ca="1">$K$432*$Y$432</f>
        <v>11871.273514181263</v>
      </c>
      <c r="AF432" s="4">
        <f>$M$432*$Z$432</f>
        <v>0</v>
      </c>
      <c r="AG432" s="4">
        <f>$O$432*$AA$432</f>
        <v>0</v>
      </c>
    </row>
    <row r="433" spans="1:33" ht="11.25" customHeight="1" x14ac:dyDescent="0.25">
      <c r="A433" s="3" t="s">
        <v>28</v>
      </c>
      <c r="B433" s="3" t="s">
        <v>39</v>
      </c>
      <c r="C433" s="3" t="s">
        <v>41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25</v>
      </c>
      <c r="I433" s="6">
        <v>44593</v>
      </c>
      <c r="J433" s="4">
        <v>12959</v>
      </c>
      <c r="K433" s="4">
        <v>12959</v>
      </c>
      <c r="L433" s="4">
        <v>0</v>
      </c>
      <c r="M433" s="4">
        <v>0</v>
      </c>
      <c r="N433" s="4">
        <v>0</v>
      </c>
      <c r="O433" s="4">
        <v>0</v>
      </c>
      <c r="P433" s="4">
        <v>75</v>
      </c>
      <c r="Q433" s="3" t="s">
        <v>26</v>
      </c>
      <c r="R433" s="3">
        <v>0</v>
      </c>
      <c r="S433" s="4">
        <v>18</v>
      </c>
      <c r="T433" s="4">
        <v>0</v>
      </c>
      <c r="U433" s="4">
        <v>0</v>
      </c>
      <c r="V433" s="4">
        <f>IF(ISERROR(VLOOKUP($S$433,'TAR FIN'!$A$1:$O$92,15,0)),0,VLOOKUP($S$433,'TAR FIN'!$A$1:$O$92,15,0))</f>
        <v>14.64</v>
      </c>
      <c r="W433" s="4">
        <f>IF(ISERROR(VLOOKUP($T$433,'TAR FIN'!$A$1:$O$92,15,0)),0,VLOOKUP($T$433,'TAR FIN'!$A$1:$O$92,15,0))</f>
        <v>0</v>
      </c>
      <c r="X433" s="4">
        <f>IF(ISERROR(VLOOKUP($U$433,'TAR FIN'!$A$1:$O$92,15,0)),0,VLOOKUP($U$433,'TAR FIN'!$A$1:$O$92,15,0))</f>
        <v>0</v>
      </c>
      <c r="Y433" s="4">
        <f ca="1">('TUSD BE'!$AM$10+'TUSD BF'!$AM$10+'TUSD CVA'!$AM$10)*1</f>
        <v>19.024476785546895</v>
      </c>
      <c r="Z433" s="4"/>
      <c r="AA433" s="4"/>
      <c r="AB433" s="4">
        <f>$K$433*$V$433</f>
        <v>189719.76</v>
      </c>
      <c r="AC433" s="4">
        <f>$M$433*$W$433</f>
        <v>0</v>
      </c>
      <c r="AD433" s="4">
        <f>$O$433*$X$433</f>
        <v>0</v>
      </c>
      <c r="AE433" s="4">
        <f ca="1">$K$433*$Y$433</f>
        <v>246538.19466390222</v>
      </c>
      <c r="AF433" s="4">
        <f>$M$433*$Z$433</f>
        <v>0</v>
      </c>
      <c r="AG433" s="4">
        <f>$O$433*$AA$433</f>
        <v>0</v>
      </c>
    </row>
    <row r="434" spans="1:33" ht="11.25" customHeight="1" x14ac:dyDescent="0.25">
      <c r="A434" s="3" t="s">
        <v>21</v>
      </c>
      <c r="B434" s="3" t="s">
        <v>39</v>
      </c>
      <c r="C434" s="3" t="s">
        <v>41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25</v>
      </c>
      <c r="I434" s="6">
        <v>44621</v>
      </c>
      <c r="J434" s="4">
        <v>28192</v>
      </c>
      <c r="K434" s="4">
        <v>28192</v>
      </c>
      <c r="L434" s="4">
        <v>0</v>
      </c>
      <c r="M434" s="4">
        <v>0</v>
      </c>
      <c r="N434" s="4">
        <v>0</v>
      </c>
      <c r="O434" s="4">
        <v>0</v>
      </c>
      <c r="P434" s="4">
        <v>256</v>
      </c>
      <c r="Q434" s="3" t="s">
        <v>26</v>
      </c>
      <c r="R434" s="3">
        <v>0</v>
      </c>
      <c r="S434" s="4">
        <v>18</v>
      </c>
      <c r="T434" s="4">
        <v>0</v>
      </c>
      <c r="U434" s="4">
        <v>0</v>
      </c>
      <c r="V434" s="4">
        <f>IF(ISERROR(VLOOKUP($S$434,'TAR FIN'!$A$1:$O$92,15,0)),0,VLOOKUP($S$434,'TAR FIN'!$A$1:$O$92,15,0))</f>
        <v>14.64</v>
      </c>
      <c r="W434" s="4">
        <f>IF(ISERROR(VLOOKUP($T$434,'TAR FIN'!$A$1:$O$92,15,0)),0,VLOOKUP($T$434,'TAR FIN'!$A$1:$O$92,15,0))</f>
        <v>0</v>
      </c>
      <c r="X434" s="4">
        <f>IF(ISERROR(VLOOKUP($U$434,'TAR FIN'!$A$1:$O$92,15,0)),0,VLOOKUP($U$434,'TAR FIN'!$A$1:$O$92,15,0))</f>
        <v>0</v>
      </c>
      <c r="Y434" s="4">
        <f ca="1">('TUSD BE'!$AM$10+'TUSD BF'!$AM$10+'TUSD CVA'!$AM$10)*1</f>
        <v>19.024476785546895</v>
      </c>
      <c r="Z434" s="4"/>
      <c r="AA434" s="4"/>
      <c r="AB434" s="4">
        <f>$K$434*$V$434</f>
        <v>412730.88</v>
      </c>
      <c r="AC434" s="4">
        <f>$M$434*$W$434</f>
        <v>0</v>
      </c>
      <c r="AD434" s="4">
        <f>$O$434*$X$434</f>
        <v>0</v>
      </c>
      <c r="AE434" s="4">
        <f ca="1">$K$434*$Y$434</f>
        <v>536338.04953813809</v>
      </c>
      <c r="AF434" s="4">
        <f>$M$434*$Z$434</f>
        <v>0</v>
      </c>
      <c r="AG434" s="4">
        <f>$O$434*$AA$434</f>
        <v>0</v>
      </c>
    </row>
    <row r="435" spans="1:33" ht="11.25" customHeight="1" x14ac:dyDescent="0.25">
      <c r="A435" s="3" t="s">
        <v>28</v>
      </c>
      <c r="B435" s="3" t="s">
        <v>39</v>
      </c>
      <c r="C435" s="3" t="s">
        <v>41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25</v>
      </c>
      <c r="I435" s="6">
        <v>44621</v>
      </c>
      <c r="J435" s="4">
        <v>12477</v>
      </c>
      <c r="K435" s="4">
        <v>12477</v>
      </c>
      <c r="L435" s="4">
        <v>0</v>
      </c>
      <c r="M435" s="4">
        <v>0</v>
      </c>
      <c r="N435" s="4">
        <v>0</v>
      </c>
      <c r="O435" s="4">
        <v>0</v>
      </c>
      <c r="P435" s="4">
        <v>75</v>
      </c>
      <c r="Q435" s="3" t="s">
        <v>26</v>
      </c>
      <c r="R435" s="3">
        <v>0</v>
      </c>
      <c r="S435" s="4">
        <v>18</v>
      </c>
      <c r="T435" s="4">
        <v>0</v>
      </c>
      <c r="U435" s="4">
        <v>0</v>
      </c>
      <c r="V435" s="4">
        <f>IF(ISERROR(VLOOKUP($S$435,'TAR FIN'!$A$1:$O$92,15,0)),0,VLOOKUP($S$435,'TAR FIN'!$A$1:$O$92,15,0))</f>
        <v>14.64</v>
      </c>
      <c r="W435" s="4">
        <f>IF(ISERROR(VLOOKUP($T$435,'TAR FIN'!$A$1:$O$92,15,0)),0,VLOOKUP($T$435,'TAR FIN'!$A$1:$O$92,15,0))</f>
        <v>0</v>
      </c>
      <c r="X435" s="4">
        <f>IF(ISERROR(VLOOKUP($U$435,'TAR FIN'!$A$1:$O$92,15,0)),0,VLOOKUP($U$435,'TAR FIN'!$A$1:$O$92,15,0))</f>
        <v>0</v>
      </c>
      <c r="Y435" s="4">
        <f ca="1">('TUSD BE'!$AM$10+'TUSD BF'!$AM$10+'TUSD CVA'!$AM$10)*1</f>
        <v>19.024476785546895</v>
      </c>
      <c r="Z435" s="4"/>
      <c r="AA435" s="4"/>
      <c r="AB435" s="4">
        <f>$K$435*$V$435</f>
        <v>182663.28</v>
      </c>
      <c r="AC435" s="4">
        <f>$M$435*$W$435</f>
        <v>0</v>
      </c>
      <c r="AD435" s="4">
        <f>$O$435*$X$435</f>
        <v>0</v>
      </c>
      <c r="AE435" s="4">
        <f ca="1">$K$435*$Y$435</f>
        <v>237368.39685326861</v>
      </c>
      <c r="AF435" s="4">
        <f>$M$435*$Z$435</f>
        <v>0</v>
      </c>
      <c r="AG435" s="4">
        <f>$O$435*$AA$435</f>
        <v>0</v>
      </c>
    </row>
    <row r="436" spans="1:33" ht="11.25" customHeight="1" x14ac:dyDescent="0.25">
      <c r="A436" s="3" t="s">
        <v>28</v>
      </c>
      <c r="B436" s="3" t="s">
        <v>39</v>
      </c>
      <c r="C436" s="3" t="s">
        <v>41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25</v>
      </c>
      <c r="I436" s="6">
        <v>44621</v>
      </c>
      <c r="J436" s="4">
        <v>-1000</v>
      </c>
      <c r="K436" s="4">
        <v>-1000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3" t="s">
        <v>26</v>
      </c>
      <c r="R436" s="3">
        <v>0</v>
      </c>
      <c r="S436" s="4">
        <v>18</v>
      </c>
      <c r="T436" s="4">
        <v>0</v>
      </c>
      <c r="U436" s="4">
        <v>0</v>
      </c>
      <c r="V436" s="4">
        <f>IF(ISERROR(VLOOKUP($S$436,'TAR FIN'!$A$1:$O$92,15,0)),0,VLOOKUP($S$436,'TAR FIN'!$A$1:$O$92,15,0))</f>
        <v>14.64</v>
      </c>
      <c r="W436" s="4">
        <f>IF(ISERROR(VLOOKUP($T$436,'TAR FIN'!$A$1:$O$92,15,0)),0,VLOOKUP($T$436,'TAR FIN'!$A$1:$O$92,15,0))</f>
        <v>0</v>
      </c>
      <c r="X436" s="4">
        <f>IF(ISERROR(VLOOKUP($U$436,'TAR FIN'!$A$1:$O$92,15,0)),0,VLOOKUP($U$436,'TAR FIN'!$A$1:$O$92,15,0))</f>
        <v>0</v>
      </c>
      <c r="Y436" s="4">
        <f ca="1">('TUSD BE'!$AM$10+'TUSD BF'!$AM$10+'TUSD CVA'!$AM$10)*1</f>
        <v>19.024476785546895</v>
      </c>
      <c r="Z436" s="4"/>
      <c r="AA436" s="4"/>
      <c r="AB436" s="4">
        <f>$K$436*$V$436</f>
        <v>-14640</v>
      </c>
      <c r="AC436" s="4">
        <f>$M$436*$W$436</f>
        <v>0</v>
      </c>
      <c r="AD436" s="4">
        <f>$O$436*$X$436</f>
        <v>0</v>
      </c>
      <c r="AE436" s="4">
        <f ca="1">$K$436*$Y$436</f>
        <v>-19024.476785546896</v>
      </c>
      <c r="AF436" s="4">
        <f>$M$436*$Z$436</f>
        <v>0</v>
      </c>
      <c r="AG436" s="4">
        <f>$O$436*$AA$436</f>
        <v>0</v>
      </c>
    </row>
    <row r="437" spans="1:33" ht="11.25" customHeight="1" x14ac:dyDescent="0.25">
      <c r="A437" s="3" t="s">
        <v>21</v>
      </c>
      <c r="B437" s="3" t="s">
        <v>39</v>
      </c>
      <c r="C437" s="3" t="s">
        <v>41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25</v>
      </c>
      <c r="I437" s="6">
        <v>44652</v>
      </c>
      <c r="J437" s="4">
        <v>28192</v>
      </c>
      <c r="K437" s="4">
        <v>28192</v>
      </c>
      <c r="L437" s="4">
        <v>0</v>
      </c>
      <c r="M437" s="4">
        <v>0</v>
      </c>
      <c r="N437" s="4">
        <v>0</v>
      </c>
      <c r="O437" s="4">
        <v>0</v>
      </c>
      <c r="P437" s="4">
        <v>256</v>
      </c>
      <c r="Q437" s="3" t="s">
        <v>26</v>
      </c>
      <c r="R437" s="3">
        <v>0</v>
      </c>
      <c r="S437" s="4">
        <v>18</v>
      </c>
      <c r="T437" s="4">
        <v>0</v>
      </c>
      <c r="U437" s="4">
        <v>0</v>
      </c>
      <c r="V437" s="4">
        <f>IF(ISERROR(VLOOKUP($S$437,'TAR FIN'!$A$1:$O$92,15,0)),0,VLOOKUP($S$437,'TAR FIN'!$A$1:$O$92,15,0))</f>
        <v>14.64</v>
      </c>
      <c r="W437" s="4">
        <f>IF(ISERROR(VLOOKUP($T$437,'TAR FIN'!$A$1:$O$92,15,0)),0,VLOOKUP($T$437,'TAR FIN'!$A$1:$O$92,15,0))</f>
        <v>0</v>
      </c>
      <c r="X437" s="4">
        <f>IF(ISERROR(VLOOKUP($U$437,'TAR FIN'!$A$1:$O$92,15,0)),0,VLOOKUP($U$437,'TAR FIN'!$A$1:$O$92,15,0))</f>
        <v>0</v>
      </c>
      <c r="Y437" s="4">
        <f ca="1">('TUSD BE'!$AM$10+'TUSD BF'!$AM$10+'TUSD CVA'!$AM$10)*1</f>
        <v>19.024476785546895</v>
      </c>
      <c r="Z437" s="4"/>
      <c r="AA437" s="4"/>
      <c r="AB437" s="4">
        <f>$K$437*$V$437</f>
        <v>412730.88</v>
      </c>
      <c r="AC437" s="4">
        <f>$M$437*$W$437</f>
        <v>0</v>
      </c>
      <c r="AD437" s="4">
        <f>$O$437*$X$437</f>
        <v>0</v>
      </c>
      <c r="AE437" s="4">
        <f ca="1">$K$437*$Y$437</f>
        <v>536338.04953813809</v>
      </c>
      <c r="AF437" s="4">
        <f>$M$437*$Z$437</f>
        <v>0</v>
      </c>
      <c r="AG437" s="4">
        <f>$O$437*$AA$437</f>
        <v>0</v>
      </c>
    </row>
    <row r="438" spans="1:33" ht="11.25" customHeight="1" x14ac:dyDescent="0.25">
      <c r="A438" s="3" t="s">
        <v>28</v>
      </c>
      <c r="B438" s="3" t="s">
        <v>39</v>
      </c>
      <c r="C438" s="3" t="s">
        <v>41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25</v>
      </c>
      <c r="I438" s="6">
        <v>44652</v>
      </c>
      <c r="J438" s="4">
        <v>12477</v>
      </c>
      <c r="K438" s="4">
        <v>12477</v>
      </c>
      <c r="L438" s="4">
        <v>0</v>
      </c>
      <c r="M438" s="4">
        <v>0</v>
      </c>
      <c r="N438" s="4">
        <v>0</v>
      </c>
      <c r="O438" s="4">
        <v>0</v>
      </c>
      <c r="P438" s="4">
        <v>75</v>
      </c>
      <c r="Q438" s="3" t="s">
        <v>26</v>
      </c>
      <c r="R438" s="3">
        <v>0</v>
      </c>
      <c r="S438" s="4">
        <v>18</v>
      </c>
      <c r="T438" s="4">
        <v>0</v>
      </c>
      <c r="U438" s="4">
        <v>0</v>
      </c>
      <c r="V438" s="4">
        <f>IF(ISERROR(VLOOKUP($S$438,'TAR FIN'!$A$1:$O$92,15,0)),0,VLOOKUP($S$438,'TAR FIN'!$A$1:$O$92,15,0))</f>
        <v>14.64</v>
      </c>
      <c r="W438" s="4">
        <f>IF(ISERROR(VLOOKUP($T$438,'TAR FIN'!$A$1:$O$92,15,0)),0,VLOOKUP($T$438,'TAR FIN'!$A$1:$O$92,15,0))</f>
        <v>0</v>
      </c>
      <c r="X438" s="4">
        <f>IF(ISERROR(VLOOKUP($U$438,'TAR FIN'!$A$1:$O$92,15,0)),0,VLOOKUP($U$438,'TAR FIN'!$A$1:$O$92,15,0))</f>
        <v>0</v>
      </c>
      <c r="Y438" s="4">
        <f ca="1">('TUSD BE'!$AM$10+'TUSD BF'!$AM$10+'TUSD CVA'!$AM$10)*1</f>
        <v>19.024476785546895</v>
      </c>
      <c r="Z438" s="4"/>
      <c r="AA438" s="4"/>
      <c r="AB438" s="4">
        <f>$K$438*$V$438</f>
        <v>182663.28</v>
      </c>
      <c r="AC438" s="4">
        <f>$M$438*$W$438</f>
        <v>0</v>
      </c>
      <c r="AD438" s="4">
        <f>$O$438*$X$438</f>
        <v>0</v>
      </c>
      <c r="AE438" s="4">
        <f ca="1">$K$438*$Y$438</f>
        <v>237368.39685326861</v>
      </c>
      <c r="AF438" s="4">
        <f>$M$438*$Z$438</f>
        <v>0</v>
      </c>
      <c r="AG438" s="4">
        <f>$O$438*$AA$438</f>
        <v>0</v>
      </c>
    </row>
    <row r="439" spans="1:33" ht="11.25" customHeight="1" x14ac:dyDescent="0.25">
      <c r="A439" s="3" t="s">
        <v>28</v>
      </c>
      <c r="B439" s="3" t="s">
        <v>39</v>
      </c>
      <c r="C439" s="3" t="s">
        <v>41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25</v>
      </c>
      <c r="I439" s="6">
        <v>44652</v>
      </c>
      <c r="J439" s="4">
        <v>-1000</v>
      </c>
      <c r="K439" s="4">
        <v>-1000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3" t="s">
        <v>26</v>
      </c>
      <c r="R439" s="3">
        <v>0</v>
      </c>
      <c r="S439" s="4">
        <v>18</v>
      </c>
      <c r="T439" s="4">
        <v>0</v>
      </c>
      <c r="U439" s="4">
        <v>0</v>
      </c>
      <c r="V439" s="4">
        <f>IF(ISERROR(VLOOKUP($S$439,'TAR FIN'!$A$1:$O$92,15,0)),0,VLOOKUP($S$439,'TAR FIN'!$A$1:$O$92,15,0))</f>
        <v>14.64</v>
      </c>
      <c r="W439" s="4">
        <f>IF(ISERROR(VLOOKUP($T$439,'TAR FIN'!$A$1:$O$92,15,0)),0,VLOOKUP($T$439,'TAR FIN'!$A$1:$O$92,15,0))</f>
        <v>0</v>
      </c>
      <c r="X439" s="4">
        <f>IF(ISERROR(VLOOKUP($U$439,'TAR FIN'!$A$1:$O$92,15,0)),0,VLOOKUP($U$439,'TAR FIN'!$A$1:$O$92,15,0))</f>
        <v>0</v>
      </c>
      <c r="Y439" s="4">
        <f ca="1">('TUSD BE'!$AM$10+'TUSD BF'!$AM$10+'TUSD CVA'!$AM$10)*1</f>
        <v>19.024476785546895</v>
      </c>
      <c r="Z439" s="4"/>
      <c r="AA439" s="4"/>
      <c r="AB439" s="4">
        <f>$K$439*$V$439</f>
        <v>-14640</v>
      </c>
      <c r="AC439" s="4">
        <f>$M$439*$W$439</f>
        <v>0</v>
      </c>
      <c r="AD439" s="4">
        <f>$O$439*$X$439</f>
        <v>0</v>
      </c>
      <c r="AE439" s="4">
        <f ca="1">$K$439*$Y$439</f>
        <v>-19024.476785546896</v>
      </c>
      <c r="AF439" s="4">
        <f>$M$439*$Z$439</f>
        <v>0</v>
      </c>
      <c r="AG439" s="4">
        <f>$O$439*$AA$439</f>
        <v>0</v>
      </c>
    </row>
    <row r="440" spans="1:33" ht="11.25" customHeight="1" x14ac:dyDescent="0.25">
      <c r="A440" s="3" t="s">
        <v>21</v>
      </c>
      <c r="B440" s="3" t="s">
        <v>39</v>
      </c>
      <c r="C440" s="3" t="s">
        <v>41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25</v>
      </c>
      <c r="I440" s="6">
        <v>44682</v>
      </c>
      <c r="J440" s="4">
        <v>28058</v>
      </c>
      <c r="K440" s="4">
        <v>28058</v>
      </c>
      <c r="L440" s="4">
        <v>0</v>
      </c>
      <c r="M440" s="4">
        <v>0</v>
      </c>
      <c r="N440" s="4">
        <v>0</v>
      </c>
      <c r="O440" s="4">
        <v>0</v>
      </c>
      <c r="P440" s="4">
        <v>257</v>
      </c>
      <c r="Q440" s="3" t="s">
        <v>26</v>
      </c>
      <c r="R440" s="3">
        <v>0</v>
      </c>
      <c r="S440" s="4">
        <v>18</v>
      </c>
      <c r="T440" s="4">
        <v>0</v>
      </c>
      <c r="U440" s="4">
        <v>0</v>
      </c>
      <c r="V440" s="4">
        <f>IF(ISERROR(VLOOKUP($S$440,'TAR FIN'!$A$1:$O$92,15,0)),0,VLOOKUP($S$440,'TAR FIN'!$A$1:$O$92,15,0))</f>
        <v>14.64</v>
      </c>
      <c r="W440" s="4">
        <f>IF(ISERROR(VLOOKUP($T$440,'TAR FIN'!$A$1:$O$92,15,0)),0,VLOOKUP($T$440,'TAR FIN'!$A$1:$O$92,15,0))</f>
        <v>0</v>
      </c>
      <c r="X440" s="4">
        <f>IF(ISERROR(VLOOKUP($U$440,'TAR FIN'!$A$1:$O$92,15,0)),0,VLOOKUP($U$440,'TAR FIN'!$A$1:$O$92,15,0))</f>
        <v>0</v>
      </c>
      <c r="Y440" s="4">
        <f ca="1">('TUSD BE'!$AM$10+'TUSD BF'!$AM$10+'TUSD CVA'!$AM$10)*1</f>
        <v>19.024476785546895</v>
      </c>
      <c r="Z440" s="4"/>
      <c r="AA440" s="4"/>
      <c r="AB440" s="4">
        <f>$K$440*$V$440</f>
        <v>410769.12</v>
      </c>
      <c r="AC440" s="4">
        <f>$M$440*$W$440</f>
        <v>0</v>
      </c>
      <c r="AD440" s="4">
        <f>$O$440*$X$440</f>
        <v>0</v>
      </c>
      <c r="AE440" s="4">
        <f ca="1">$K$440*$Y$440</f>
        <v>533788.76964887476</v>
      </c>
      <c r="AF440" s="4">
        <f>$M$440*$Z$440</f>
        <v>0</v>
      </c>
      <c r="AG440" s="4">
        <f>$O$440*$AA$440</f>
        <v>0</v>
      </c>
    </row>
    <row r="441" spans="1:33" ht="11.25" customHeight="1" x14ac:dyDescent="0.25">
      <c r="A441" s="3" t="s">
        <v>27</v>
      </c>
      <c r="B441" s="3" t="s">
        <v>39</v>
      </c>
      <c r="C441" s="3" t="s">
        <v>41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25</v>
      </c>
      <c r="I441" s="6">
        <v>44682</v>
      </c>
      <c r="J441" s="4">
        <v>284</v>
      </c>
      <c r="K441" s="4">
        <v>284</v>
      </c>
      <c r="L441" s="4">
        <v>0</v>
      </c>
      <c r="M441" s="4">
        <v>0</v>
      </c>
      <c r="N441" s="4">
        <v>0</v>
      </c>
      <c r="O441" s="4">
        <v>0</v>
      </c>
      <c r="P441" s="4">
        <v>4</v>
      </c>
      <c r="Q441" s="3" t="s">
        <v>26</v>
      </c>
      <c r="R441" s="3">
        <v>0</v>
      </c>
      <c r="S441" s="4">
        <v>18</v>
      </c>
      <c r="T441" s="4">
        <v>0</v>
      </c>
      <c r="U441" s="4">
        <v>0</v>
      </c>
      <c r="V441" s="4">
        <f>IF(ISERROR(VLOOKUP($S$441,'TAR FIN'!$A$1:$O$92,15,0)),0,VLOOKUP($S$441,'TAR FIN'!$A$1:$O$92,15,0))</f>
        <v>14.64</v>
      </c>
      <c r="W441" s="4">
        <f>IF(ISERROR(VLOOKUP($T$441,'TAR FIN'!$A$1:$O$92,15,0)),0,VLOOKUP($T$441,'TAR FIN'!$A$1:$O$92,15,0))</f>
        <v>0</v>
      </c>
      <c r="X441" s="4">
        <f>IF(ISERROR(VLOOKUP($U$441,'TAR FIN'!$A$1:$O$92,15,0)),0,VLOOKUP($U$441,'TAR FIN'!$A$1:$O$92,15,0))</f>
        <v>0</v>
      </c>
      <c r="Y441" s="4">
        <f ca="1">('TUSD BE'!$AM$10+'TUSD BF'!$AM$10+'TUSD CVA'!$AM$10)*1</f>
        <v>19.024476785546895</v>
      </c>
      <c r="Z441" s="4"/>
      <c r="AA441" s="4"/>
      <c r="AB441" s="4">
        <f>$K$441*$V$441</f>
        <v>4157.76</v>
      </c>
      <c r="AC441" s="4">
        <f>$M$441*$W$441</f>
        <v>0</v>
      </c>
      <c r="AD441" s="4">
        <f>$O$441*$X$441</f>
        <v>0</v>
      </c>
      <c r="AE441" s="4">
        <f ca="1">$K$441*$Y$441</f>
        <v>5402.9514070953182</v>
      </c>
      <c r="AF441" s="4">
        <f>$M$441*$Z$441</f>
        <v>0</v>
      </c>
      <c r="AG441" s="4">
        <f>$O$441*$AA$441</f>
        <v>0</v>
      </c>
    </row>
    <row r="442" spans="1:33" ht="11.25" customHeight="1" x14ac:dyDescent="0.25">
      <c r="A442" s="3" t="s">
        <v>28</v>
      </c>
      <c r="B442" s="3" t="s">
        <v>39</v>
      </c>
      <c r="C442" s="3" t="s">
        <v>41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44682</v>
      </c>
      <c r="J442" s="4">
        <v>52100</v>
      </c>
      <c r="K442" s="4">
        <v>52100</v>
      </c>
      <c r="L442" s="4">
        <v>0</v>
      </c>
      <c r="M442" s="4">
        <v>0</v>
      </c>
      <c r="N442" s="4">
        <v>0</v>
      </c>
      <c r="O442" s="4">
        <v>0</v>
      </c>
      <c r="P442" s="4">
        <v>308</v>
      </c>
      <c r="Q442" s="3" t="s">
        <v>26</v>
      </c>
      <c r="R442" s="3">
        <v>0</v>
      </c>
      <c r="S442" s="4">
        <v>18</v>
      </c>
      <c r="T442" s="4">
        <v>0</v>
      </c>
      <c r="U442" s="4">
        <v>0</v>
      </c>
      <c r="V442" s="4">
        <f>IF(ISERROR(VLOOKUP($S$442,'TAR FIN'!$A$1:$O$92,15,0)),0,VLOOKUP($S$442,'TAR FIN'!$A$1:$O$92,15,0))</f>
        <v>14.64</v>
      </c>
      <c r="W442" s="4">
        <f>IF(ISERROR(VLOOKUP($T$442,'TAR FIN'!$A$1:$O$92,15,0)),0,VLOOKUP($T$442,'TAR FIN'!$A$1:$O$92,15,0))</f>
        <v>0</v>
      </c>
      <c r="X442" s="4">
        <f>IF(ISERROR(VLOOKUP($U$442,'TAR FIN'!$A$1:$O$92,15,0)),0,VLOOKUP($U$442,'TAR FIN'!$A$1:$O$92,15,0))</f>
        <v>0</v>
      </c>
      <c r="Y442" s="4">
        <f ca="1">('TUSD BE'!$AM$10+'TUSD BF'!$AM$10+'TUSD CVA'!$AM$10)*1</f>
        <v>19.024476785546895</v>
      </c>
      <c r="Z442" s="4"/>
      <c r="AA442" s="4"/>
      <c r="AB442" s="4">
        <f>$K$442*$V$442</f>
        <v>762744</v>
      </c>
      <c r="AC442" s="4">
        <f>$M$442*$W$442</f>
        <v>0</v>
      </c>
      <c r="AD442" s="4">
        <f>$O$442*$X$442</f>
        <v>0</v>
      </c>
      <c r="AE442" s="4">
        <f ca="1">$K$442*$Y$442</f>
        <v>991175.24052699318</v>
      </c>
      <c r="AF442" s="4">
        <f>$M$442*$Z$442</f>
        <v>0</v>
      </c>
      <c r="AG442" s="4">
        <f>$O$442*$AA$442</f>
        <v>0</v>
      </c>
    </row>
    <row r="443" spans="1:33" ht="11.25" customHeight="1" x14ac:dyDescent="0.25">
      <c r="A443" s="3" t="s">
        <v>21</v>
      </c>
      <c r="B443" s="3" t="s">
        <v>39</v>
      </c>
      <c r="C443" s="3" t="s">
        <v>41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44713</v>
      </c>
      <c r="J443" s="4">
        <v>28621</v>
      </c>
      <c r="K443" s="4">
        <v>28621</v>
      </c>
      <c r="L443" s="4">
        <v>0</v>
      </c>
      <c r="M443" s="4">
        <v>0</v>
      </c>
      <c r="N443" s="4">
        <v>0</v>
      </c>
      <c r="O443" s="4">
        <v>0</v>
      </c>
      <c r="P443" s="4">
        <v>257</v>
      </c>
      <c r="Q443" s="3" t="s">
        <v>26</v>
      </c>
      <c r="R443" s="3">
        <v>0</v>
      </c>
      <c r="S443" s="4">
        <v>18</v>
      </c>
      <c r="T443" s="4">
        <v>0</v>
      </c>
      <c r="U443" s="4">
        <v>0</v>
      </c>
      <c r="V443" s="4">
        <f>IF(ISERROR(VLOOKUP($S$443,'TAR FIN'!$A$1:$O$92,15,0)),0,VLOOKUP($S$443,'TAR FIN'!$A$1:$O$92,15,0))</f>
        <v>14.64</v>
      </c>
      <c r="W443" s="4">
        <f>IF(ISERROR(VLOOKUP($T$443,'TAR FIN'!$A$1:$O$92,15,0)),0,VLOOKUP($T$443,'TAR FIN'!$A$1:$O$92,15,0))</f>
        <v>0</v>
      </c>
      <c r="X443" s="4">
        <f>IF(ISERROR(VLOOKUP($U$443,'TAR FIN'!$A$1:$O$92,15,0)),0,VLOOKUP($U$443,'TAR FIN'!$A$1:$O$92,15,0))</f>
        <v>0</v>
      </c>
      <c r="Y443" s="4">
        <f ca="1">('TUSD BE'!$AM$10+'TUSD BF'!$AM$10+'TUSD CVA'!$AM$10)*1</f>
        <v>19.024476785546895</v>
      </c>
      <c r="Z443" s="4"/>
      <c r="AA443" s="4"/>
      <c r="AB443" s="4">
        <f>$K$443*$V$443</f>
        <v>419011.44</v>
      </c>
      <c r="AC443" s="4">
        <f>$M$443*$W$443</f>
        <v>0</v>
      </c>
      <c r="AD443" s="4">
        <f>$O$443*$X$443</f>
        <v>0</v>
      </c>
      <c r="AE443" s="4">
        <f ca="1">$K$443*$Y$443</f>
        <v>544499.55007913767</v>
      </c>
      <c r="AF443" s="4">
        <f>$M$443*$Z$443</f>
        <v>0</v>
      </c>
      <c r="AG443" s="4">
        <f>$O$443*$AA$443</f>
        <v>0</v>
      </c>
    </row>
    <row r="444" spans="1:33" ht="11.25" customHeight="1" x14ac:dyDescent="0.25">
      <c r="A444" s="3" t="s">
        <v>27</v>
      </c>
      <c r="B444" s="3" t="s">
        <v>39</v>
      </c>
      <c r="C444" s="3" t="s">
        <v>41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44713</v>
      </c>
      <c r="J444" s="4">
        <v>801</v>
      </c>
      <c r="K444" s="4">
        <v>801</v>
      </c>
      <c r="L444" s="4">
        <v>0</v>
      </c>
      <c r="M444" s="4">
        <v>0</v>
      </c>
      <c r="N444" s="4">
        <v>0</v>
      </c>
      <c r="O444" s="4">
        <v>0</v>
      </c>
      <c r="P444" s="4">
        <v>4</v>
      </c>
      <c r="Q444" s="3" t="s">
        <v>26</v>
      </c>
      <c r="R444" s="3">
        <v>0</v>
      </c>
      <c r="S444" s="4">
        <v>18</v>
      </c>
      <c r="T444" s="4">
        <v>0</v>
      </c>
      <c r="U444" s="4">
        <v>0</v>
      </c>
      <c r="V444" s="4">
        <f>IF(ISERROR(VLOOKUP($S$444,'TAR FIN'!$A$1:$O$92,15,0)),0,VLOOKUP($S$444,'TAR FIN'!$A$1:$O$92,15,0))</f>
        <v>14.64</v>
      </c>
      <c r="W444" s="4">
        <f>IF(ISERROR(VLOOKUP($T$444,'TAR FIN'!$A$1:$O$92,15,0)),0,VLOOKUP($T$444,'TAR FIN'!$A$1:$O$92,15,0))</f>
        <v>0</v>
      </c>
      <c r="X444" s="4">
        <f>IF(ISERROR(VLOOKUP($U$444,'TAR FIN'!$A$1:$O$92,15,0)),0,VLOOKUP($U$444,'TAR FIN'!$A$1:$O$92,15,0))</f>
        <v>0</v>
      </c>
      <c r="Y444" s="4">
        <f ca="1">('TUSD BE'!$AM$10+'TUSD BF'!$AM$10+'TUSD CVA'!$AM$10)*1</f>
        <v>19.024476785546895</v>
      </c>
      <c r="Z444" s="4"/>
      <c r="AA444" s="4"/>
      <c r="AB444" s="4">
        <f>$K$444*$V$444</f>
        <v>11726.640000000001</v>
      </c>
      <c r="AC444" s="4">
        <f>$M$444*$W$444</f>
        <v>0</v>
      </c>
      <c r="AD444" s="4">
        <f>$O$444*$X$444</f>
        <v>0</v>
      </c>
      <c r="AE444" s="4">
        <f ca="1">$K$444*$Y$444</f>
        <v>15238.605905223063</v>
      </c>
      <c r="AF444" s="4">
        <f>$M$444*$Z$444</f>
        <v>0</v>
      </c>
      <c r="AG444" s="4">
        <f>$O$444*$AA$444</f>
        <v>0</v>
      </c>
    </row>
    <row r="445" spans="1:33" ht="11.25" customHeight="1" x14ac:dyDescent="0.25">
      <c r="A445" s="3" t="s">
        <v>28</v>
      </c>
      <c r="B445" s="3" t="s">
        <v>39</v>
      </c>
      <c r="C445" s="3" t="s">
        <v>41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44713</v>
      </c>
      <c r="J445" s="4">
        <v>16728</v>
      </c>
      <c r="K445" s="4">
        <v>16728</v>
      </c>
      <c r="L445" s="4">
        <v>0</v>
      </c>
      <c r="M445" s="4">
        <v>0</v>
      </c>
      <c r="N445" s="4">
        <v>0</v>
      </c>
      <c r="O445" s="4">
        <v>0</v>
      </c>
      <c r="P445" s="4">
        <v>77</v>
      </c>
      <c r="Q445" s="3" t="s">
        <v>26</v>
      </c>
      <c r="R445" s="3">
        <v>0</v>
      </c>
      <c r="S445" s="4">
        <v>18</v>
      </c>
      <c r="T445" s="4">
        <v>0</v>
      </c>
      <c r="U445" s="4">
        <v>0</v>
      </c>
      <c r="V445" s="4">
        <f>IF(ISERROR(VLOOKUP($S$445,'TAR FIN'!$A$1:$O$92,15,0)),0,VLOOKUP($S$445,'TAR FIN'!$A$1:$O$92,15,0))</f>
        <v>14.64</v>
      </c>
      <c r="W445" s="4">
        <f>IF(ISERROR(VLOOKUP($T$445,'TAR FIN'!$A$1:$O$92,15,0)),0,VLOOKUP($T$445,'TAR FIN'!$A$1:$O$92,15,0))</f>
        <v>0</v>
      </c>
      <c r="X445" s="4">
        <f>IF(ISERROR(VLOOKUP($U$445,'TAR FIN'!$A$1:$O$92,15,0)),0,VLOOKUP($U$445,'TAR FIN'!$A$1:$O$92,15,0))</f>
        <v>0</v>
      </c>
      <c r="Y445" s="4">
        <f ca="1">('TUSD BE'!$AM$10+'TUSD BF'!$AM$10+'TUSD CVA'!$AM$10)*1</f>
        <v>19.024476785546895</v>
      </c>
      <c r="Z445" s="4"/>
      <c r="AA445" s="4"/>
      <c r="AB445" s="4">
        <f>$K$445*$V$445</f>
        <v>244897.92000000001</v>
      </c>
      <c r="AC445" s="4">
        <f>$M$445*$W$445</f>
        <v>0</v>
      </c>
      <c r="AD445" s="4">
        <f>$O$445*$X$445</f>
        <v>0</v>
      </c>
      <c r="AE445" s="4">
        <f ca="1">$K$445*$Y$445</f>
        <v>318241.44766862848</v>
      </c>
      <c r="AF445" s="4">
        <f>$M$445*$Z$445</f>
        <v>0</v>
      </c>
      <c r="AG445" s="4">
        <f>$O$445*$AA$445</f>
        <v>0</v>
      </c>
    </row>
    <row r="446" spans="1:33" ht="11.25" customHeight="1" x14ac:dyDescent="0.25">
      <c r="A446" s="3" t="s">
        <v>21</v>
      </c>
      <c r="B446" s="3" t="s">
        <v>39</v>
      </c>
      <c r="C446" s="3" t="s">
        <v>41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44743</v>
      </c>
      <c r="J446" s="4">
        <v>28530</v>
      </c>
      <c r="K446" s="4">
        <v>28530</v>
      </c>
      <c r="L446" s="4">
        <v>0</v>
      </c>
      <c r="M446" s="4">
        <v>0</v>
      </c>
      <c r="N446" s="4">
        <v>0</v>
      </c>
      <c r="O446" s="4">
        <v>0</v>
      </c>
      <c r="P446" s="4">
        <v>257</v>
      </c>
      <c r="Q446" s="3" t="s">
        <v>26</v>
      </c>
      <c r="R446" s="3">
        <v>0</v>
      </c>
      <c r="S446" s="4">
        <v>18</v>
      </c>
      <c r="T446" s="4">
        <v>0</v>
      </c>
      <c r="U446" s="4">
        <v>0</v>
      </c>
      <c r="V446" s="4">
        <f>IF(ISERROR(VLOOKUP($S$446,'TAR FIN'!$A$1:$O$92,15,0)),0,VLOOKUP($S$446,'TAR FIN'!$A$1:$O$92,15,0))</f>
        <v>14.64</v>
      </c>
      <c r="W446" s="4">
        <f>IF(ISERROR(VLOOKUP($T$446,'TAR FIN'!$A$1:$O$92,15,0)),0,VLOOKUP($T$446,'TAR FIN'!$A$1:$O$92,15,0))</f>
        <v>0</v>
      </c>
      <c r="X446" s="4">
        <f>IF(ISERROR(VLOOKUP($U$446,'TAR FIN'!$A$1:$O$92,15,0)),0,VLOOKUP($U$446,'TAR FIN'!$A$1:$O$92,15,0))</f>
        <v>0</v>
      </c>
      <c r="Y446" s="4">
        <f ca="1">('TUSD BE'!$AM$10+'TUSD BF'!$AM$10+'TUSD CVA'!$AM$10)*1</f>
        <v>19.024476785546895</v>
      </c>
      <c r="Z446" s="4"/>
      <c r="AA446" s="4"/>
      <c r="AB446" s="4">
        <f>$K$446*$V$446</f>
        <v>417679.2</v>
      </c>
      <c r="AC446" s="4">
        <f>$M$446*$W$446</f>
        <v>0</v>
      </c>
      <c r="AD446" s="4">
        <f>$O$446*$X$446</f>
        <v>0</v>
      </c>
      <c r="AE446" s="4">
        <f ca="1">$K$446*$Y$446</f>
        <v>542768.32269165292</v>
      </c>
      <c r="AF446" s="4">
        <f>$M$446*$Z$446</f>
        <v>0</v>
      </c>
      <c r="AG446" s="4">
        <f>$O$446*$AA$446</f>
        <v>0</v>
      </c>
    </row>
    <row r="447" spans="1:33" ht="11.25" customHeight="1" x14ac:dyDescent="0.25">
      <c r="A447" s="3" t="s">
        <v>27</v>
      </c>
      <c r="B447" s="3" t="s">
        <v>39</v>
      </c>
      <c r="C447" s="3" t="s">
        <v>41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44743</v>
      </c>
      <c r="J447" s="4">
        <v>100</v>
      </c>
      <c r="K447" s="4">
        <v>100</v>
      </c>
      <c r="L447" s="4">
        <v>0</v>
      </c>
      <c r="M447" s="4">
        <v>0</v>
      </c>
      <c r="N447" s="4">
        <v>0</v>
      </c>
      <c r="O447" s="4">
        <v>0</v>
      </c>
      <c r="P447" s="4">
        <v>2</v>
      </c>
      <c r="Q447" s="3" t="s">
        <v>26</v>
      </c>
      <c r="R447" s="3">
        <v>0</v>
      </c>
      <c r="S447" s="4">
        <v>18</v>
      </c>
      <c r="T447" s="4">
        <v>0</v>
      </c>
      <c r="U447" s="4">
        <v>0</v>
      </c>
      <c r="V447" s="4">
        <f>IF(ISERROR(VLOOKUP($S$447,'TAR FIN'!$A$1:$O$92,15,0)),0,VLOOKUP($S$447,'TAR FIN'!$A$1:$O$92,15,0))</f>
        <v>14.64</v>
      </c>
      <c r="W447" s="4">
        <f>IF(ISERROR(VLOOKUP($T$447,'TAR FIN'!$A$1:$O$92,15,0)),0,VLOOKUP($T$447,'TAR FIN'!$A$1:$O$92,15,0))</f>
        <v>0</v>
      </c>
      <c r="X447" s="4">
        <f>IF(ISERROR(VLOOKUP($U$447,'TAR FIN'!$A$1:$O$92,15,0)),0,VLOOKUP($U$447,'TAR FIN'!$A$1:$O$92,15,0))</f>
        <v>0</v>
      </c>
      <c r="Y447" s="4">
        <f ca="1">('TUSD BE'!$AM$10+'TUSD BF'!$AM$10+'TUSD CVA'!$AM$10)*1</f>
        <v>19.024476785546895</v>
      </c>
      <c r="Z447" s="4"/>
      <c r="AA447" s="4"/>
      <c r="AB447" s="4">
        <f>$K$447*$V$447</f>
        <v>1464</v>
      </c>
      <c r="AC447" s="4">
        <f>$M$447*$W$447</f>
        <v>0</v>
      </c>
      <c r="AD447" s="4">
        <f>$O$447*$X$447</f>
        <v>0</v>
      </c>
      <c r="AE447" s="4">
        <f ca="1">$K$447*$Y$447</f>
        <v>1902.4476785546894</v>
      </c>
      <c r="AF447" s="4">
        <f>$M$447*$Z$447</f>
        <v>0</v>
      </c>
      <c r="AG447" s="4">
        <f>$O$447*$AA$447</f>
        <v>0</v>
      </c>
    </row>
    <row r="448" spans="1:33" ht="11.25" customHeight="1" x14ac:dyDescent="0.25">
      <c r="A448" s="3" t="s">
        <v>28</v>
      </c>
      <c r="B448" s="3" t="s">
        <v>39</v>
      </c>
      <c r="C448" s="3" t="s">
        <v>41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44743</v>
      </c>
      <c r="J448" s="4">
        <v>13173</v>
      </c>
      <c r="K448" s="4">
        <v>13173</v>
      </c>
      <c r="L448" s="4">
        <v>0</v>
      </c>
      <c r="M448" s="4">
        <v>0</v>
      </c>
      <c r="N448" s="4">
        <v>0</v>
      </c>
      <c r="O448" s="4">
        <v>0</v>
      </c>
      <c r="P448" s="4">
        <v>78</v>
      </c>
      <c r="Q448" s="3" t="s">
        <v>26</v>
      </c>
      <c r="R448" s="3">
        <v>0</v>
      </c>
      <c r="S448" s="4">
        <v>18</v>
      </c>
      <c r="T448" s="4">
        <v>0</v>
      </c>
      <c r="U448" s="4">
        <v>0</v>
      </c>
      <c r="V448" s="4">
        <f>IF(ISERROR(VLOOKUP($S$448,'TAR FIN'!$A$1:$O$92,15,0)),0,VLOOKUP($S$448,'TAR FIN'!$A$1:$O$92,15,0))</f>
        <v>14.64</v>
      </c>
      <c r="W448" s="4">
        <f>IF(ISERROR(VLOOKUP($T$448,'TAR FIN'!$A$1:$O$92,15,0)),0,VLOOKUP($T$448,'TAR FIN'!$A$1:$O$92,15,0))</f>
        <v>0</v>
      </c>
      <c r="X448" s="4">
        <f>IF(ISERROR(VLOOKUP($U$448,'TAR FIN'!$A$1:$O$92,15,0)),0,VLOOKUP($U$448,'TAR FIN'!$A$1:$O$92,15,0))</f>
        <v>0</v>
      </c>
      <c r="Y448" s="4">
        <f ca="1">('TUSD BE'!$AM$10+'TUSD BF'!$AM$10+'TUSD CVA'!$AM$10)*1</f>
        <v>19.024476785546895</v>
      </c>
      <c r="Z448" s="4"/>
      <c r="AA448" s="4"/>
      <c r="AB448" s="4">
        <f>$K$448*$V$448</f>
        <v>192852.72</v>
      </c>
      <c r="AC448" s="4">
        <f>$M$448*$W$448</f>
        <v>0</v>
      </c>
      <c r="AD448" s="4">
        <f>$O$448*$X$448</f>
        <v>0</v>
      </c>
      <c r="AE448" s="4">
        <f ca="1">$K$448*$Y$448</f>
        <v>250609.43269600926</v>
      </c>
      <c r="AF448" s="4">
        <f>$M$448*$Z$448</f>
        <v>0</v>
      </c>
      <c r="AG448" s="4">
        <f>$O$448*$AA$448</f>
        <v>0</v>
      </c>
    </row>
    <row r="449" spans="1:33" ht="11.25" customHeight="1" x14ac:dyDescent="0.25">
      <c r="A449" s="3" t="s">
        <v>28</v>
      </c>
      <c r="B449" s="3" t="s">
        <v>39</v>
      </c>
      <c r="C449" s="3" t="s">
        <v>41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44743</v>
      </c>
      <c r="J449" s="4">
        <v>-3682</v>
      </c>
      <c r="K449" s="4">
        <v>-3682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3" t="s">
        <v>26</v>
      </c>
      <c r="R449" s="3">
        <v>0</v>
      </c>
      <c r="S449" s="4">
        <v>18</v>
      </c>
      <c r="T449" s="4">
        <v>0</v>
      </c>
      <c r="U449" s="4">
        <v>0</v>
      </c>
      <c r="V449" s="4">
        <f>IF(ISERROR(VLOOKUP($S$449,'TAR FIN'!$A$1:$O$92,15,0)),0,VLOOKUP($S$449,'TAR FIN'!$A$1:$O$92,15,0))</f>
        <v>14.64</v>
      </c>
      <c r="W449" s="4">
        <f>IF(ISERROR(VLOOKUP($T$449,'TAR FIN'!$A$1:$O$92,15,0)),0,VLOOKUP($T$449,'TAR FIN'!$A$1:$O$92,15,0))</f>
        <v>0</v>
      </c>
      <c r="X449" s="4">
        <f>IF(ISERROR(VLOOKUP($U$449,'TAR FIN'!$A$1:$O$92,15,0)),0,VLOOKUP($U$449,'TAR FIN'!$A$1:$O$92,15,0))</f>
        <v>0</v>
      </c>
      <c r="Y449" s="4">
        <f ca="1">('TUSD BE'!$AM$10+'TUSD BF'!$AM$10+'TUSD CVA'!$AM$10)*1</f>
        <v>19.024476785546895</v>
      </c>
      <c r="Z449" s="4"/>
      <c r="AA449" s="4"/>
      <c r="AB449" s="4">
        <f>$K$449*$V$449</f>
        <v>-53904.480000000003</v>
      </c>
      <c r="AC449" s="4">
        <f>$M$449*$W$449</f>
        <v>0</v>
      </c>
      <c r="AD449" s="4">
        <f>$O$449*$X$449</f>
        <v>0</v>
      </c>
      <c r="AE449" s="4">
        <f ca="1">$K$449*$Y$449</f>
        <v>-70048.123524383671</v>
      </c>
      <c r="AF449" s="4">
        <f>$M$449*$Z$449</f>
        <v>0</v>
      </c>
      <c r="AG449" s="4">
        <f>$O$449*$AA$449</f>
        <v>0</v>
      </c>
    </row>
    <row r="450" spans="1:33" ht="11.25" customHeight="1" x14ac:dyDescent="0.25">
      <c r="A450" s="3" t="s">
        <v>21</v>
      </c>
      <c r="B450" s="3" t="s">
        <v>39</v>
      </c>
      <c r="C450" s="3" t="s">
        <v>41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44774</v>
      </c>
      <c r="J450" s="4">
        <v>28963</v>
      </c>
      <c r="K450" s="4">
        <v>28963</v>
      </c>
      <c r="L450" s="4">
        <v>0</v>
      </c>
      <c r="M450" s="4">
        <v>0</v>
      </c>
      <c r="N450" s="4">
        <v>0</v>
      </c>
      <c r="O450" s="4">
        <v>0</v>
      </c>
      <c r="P450" s="4">
        <v>257</v>
      </c>
      <c r="Q450" s="3" t="s">
        <v>26</v>
      </c>
      <c r="R450" s="3">
        <v>0</v>
      </c>
      <c r="S450" s="4">
        <v>18</v>
      </c>
      <c r="T450" s="4">
        <v>0</v>
      </c>
      <c r="U450" s="4">
        <v>0</v>
      </c>
      <c r="V450" s="4">
        <f>IF(ISERROR(VLOOKUP($S$450,'TAR FIN'!$A$1:$O$92,15,0)),0,VLOOKUP($S$450,'TAR FIN'!$A$1:$O$92,15,0))</f>
        <v>14.64</v>
      </c>
      <c r="W450" s="4">
        <f>IF(ISERROR(VLOOKUP($T$450,'TAR FIN'!$A$1:$O$92,15,0)),0,VLOOKUP($T$450,'TAR FIN'!$A$1:$O$92,15,0))</f>
        <v>0</v>
      </c>
      <c r="X450" s="4">
        <f>IF(ISERROR(VLOOKUP($U$450,'TAR FIN'!$A$1:$O$92,15,0)),0,VLOOKUP($U$450,'TAR FIN'!$A$1:$O$92,15,0))</f>
        <v>0</v>
      </c>
      <c r="Y450" s="4">
        <f ca="1">('TUSD BE'!$AM$10+'TUSD BF'!$AM$10+'TUSD CVA'!$AM$10)*1</f>
        <v>19.024476785546895</v>
      </c>
      <c r="Z450" s="4"/>
      <c r="AA450" s="4"/>
      <c r="AB450" s="4">
        <f>$K$450*$V$450</f>
        <v>424018.32</v>
      </c>
      <c r="AC450" s="4">
        <f>$M$450*$W$450</f>
        <v>0</v>
      </c>
      <c r="AD450" s="4">
        <f>$O$450*$X$450</f>
        <v>0</v>
      </c>
      <c r="AE450" s="4">
        <f ca="1">$K$450*$Y$450</f>
        <v>551005.92113979475</v>
      </c>
      <c r="AF450" s="4">
        <f>$M$450*$Z$450</f>
        <v>0</v>
      </c>
      <c r="AG450" s="4">
        <f>$O$450*$AA$450</f>
        <v>0</v>
      </c>
    </row>
    <row r="451" spans="1:33" ht="11.25" customHeight="1" x14ac:dyDescent="0.25">
      <c r="A451" s="3" t="s">
        <v>28</v>
      </c>
      <c r="B451" s="3" t="s">
        <v>39</v>
      </c>
      <c r="C451" s="3" t="s">
        <v>41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44774</v>
      </c>
      <c r="J451" s="4">
        <v>13421</v>
      </c>
      <c r="K451" s="4">
        <v>13421</v>
      </c>
      <c r="L451" s="4">
        <v>0</v>
      </c>
      <c r="M451" s="4">
        <v>0</v>
      </c>
      <c r="N451" s="4">
        <v>0</v>
      </c>
      <c r="O451" s="4">
        <v>0</v>
      </c>
      <c r="P451" s="4">
        <v>78</v>
      </c>
      <c r="Q451" s="3" t="s">
        <v>26</v>
      </c>
      <c r="R451" s="3">
        <v>0</v>
      </c>
      <c r="S451" s="4">
        <v>18</v>
      </c>
      <c r="T451" s="4">
        <v>0</v>
      </c>
      <c r="U451" s="4">
        <v>0</v>
      </c>
      <c r="V451" s="4">
        <f>IF(ISERROR(VLOOKUP($S$451,'TAR FIN'!$A$1:$O$92,15,0)),0,VLOOKUP($S$451,'TAR FIN'!$A$1:$O$92,15,0))</f>
        <v>14.64</v>
      </c>
      <c r="W451" s="4">
        <f>IF(ISERROR(VLOOKUP($T$451,'TAR FIN'!$A$1:$O$92,15,0)),0,VLOOKUP($T$451,'TAR FIN'!$A$1:$O$92,15,0))</f>
        <v>0</v>
      </c>
      <c r="X451" s="4">
        <f>IF(ISERROR(VLOOKUP($U$451,'TAR FIN'!$A$1:$O$92,15,0)),0,VLOOKUP($U$451,'TAR FIN'!$A$1:$O$92,15,0))</f>
        <v>0</v>
      </c>
      <c r="Y451" s="4">
        <f ca="1">('TUSD BE'!$AM$10+'TUSD BF'!$AM$10+'TUSD CVA'!$AM$10)*1</f>
        <v>19.024476785546895</v>
      </c>
      <c r="Z451" s="4"/>
      <c r="AA451" s="4"/>
      <c r="AB451" s="4">
        <f>$K$451*$V$451</f>
        <v>196483.44</v>
      </c>
      <c r="AC451" s="4">
        <f>$M$451*$W$451</f>
        <v>0</v>
      </c>
      <c r="AD451" s="4">
        <f>$O$451*$X$451</f>
        <v>0</v>
      </c>
      <c r="AE451" s="4">
        <f ca="1">$K$451*$Y$451</f>
        <v>255327.50293882488</v>
      </c>
      <c r="AF451" s="4">
        <f>$M$451*$Z$451</f>
        <v>0</v>
      </c>
      <c r="AG451" s="4">
        <f>$O$451*$AA$451</f>
        <v>0</v>
      </c>
    </row>
    <row r="452" spans="1:33" ht="11.25" customHeight="1" x14ac:dyDescent="0.25">
      <c r="A452" s="3" t="s">
        <v>21</v>
      </c>
      <c r="B452" s="3" t="s">
        <v>39</v>
      </c>
      <c r="C452" s="3" t="s">
        <v>41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44805</v>
      </c>
      <c r="J452" s="4">
        <v>29136</v>
      </c>
      <c r="K452" s="4">
        <v>29136</v>
      </c>
      <c r="L452" s="4">
        <v>0</v>
      </c>
      <c r="M452" s="4">
        <v>0</v>
      </c>
      <c r="N452" s="4">
        <v>0</v>
      </c>
      <c r="O452" s="4">
        <v>0</v>
      </c>
      <c r="P452" s="4">
        <v>258</v>
      </c>
      <c r="Q452" s="3" t="s">
        <v>26</v>
      </c>
      <c r="R452" s="3">
        <v>0</v>
      </c>
      <c r="S452" s="4">
        <v>18</v>
      </c>
      <c r="T452" s="4">
        <v>0</v>
      </c>
      <c r="U452" s="4">
        <v>0</v>
      </c>
      <c r="V452" s="4">
        <f>IF(ISERROR(VLOOKUP($S$452,'TAR FIN'!$A$1:$O$92,15,0)),0,VLOOKUP($S$452,'TAR FIN'!$A$1:$O$92,15,0))</f>
        <v>14.64</v>
      </c>
      <c r="W452" s="4">
        <f>IF(ISERROR(VLOOKUP($T$452,'TAR FIN'!$A$1:$O$92,15,0)),0,VLOOKUP($T$452,'TAR FIN'!$A$1:$O$92,15,0))</f>
        <v>0</v>
      </c>
      <c r="X452" s="4">
        <f>IF(ISERROR(VLOOKUP($U$452,'TAR FIN'!$A$1:$O$92,15,0)),0,VLOOKUP($U$452,'TAR FIN'!$A$1:$O$92,15,0))</f>
        <v>0</v>
      </c>
      <c r="Y452" s="4">
        <f ca="1">('TUSD BE'!$AM$10+'TUSD BF'!$AM$10+'TUSD CVA'!$AM$10)*1</f>
        <v>19.024476785546895</v>
      </c>
      <c r="Z452" s="4"/>
      <c r="AA452" s="4"/>
      <c r="AB452" s="4">
        <f>$K$452*$V$452</f>
        <v>426551.04000000004</v>
      </c>
      <c r="AC452" s="4">
        <f>$M$452*$W$452</f>
        <v>0</v>
      </c>
      <c r="AD452" s="4">
        <f>$O$452*$X$452</f>
        <v>0</v>
      </c>
      <c r="AE452" s="4">
        <f ca="1">$K$452*$Y$452</f>
        <v>554297.1556236943</v>
      </c>
      <c r="AF452" s="4">
        <f>$M$452*$Z$452</f>
        <v>0</v>
      </c>
      <c r="AG452" s="4">
        <f>$O$452*$AA$452</f>
        <v>0</v>
      </c>
    </row>
    <row r="453" spans="1:33" ht="11.25" customHeight="1" x14ac:dyDescent="0.25">
      <c r="A453" s="3" t="s">
        <v>27</v>
      </c>
      <c r="B453" s="3" t="s">
        <v>39</v>
      </c>
      <c r="C453" s="3" t="s">
        <v>41</v>
      </c>
      <c r="D453" s="3" t="s">
        <v>45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44805</v>
      </c>
      <c r="J453" s="4">
        <v>80</v>
      </c>
      <c r="K453" s="4">
        <v>80</v>
      </c>
      <c r="L453" s="4">
        <v>0</v>
      </c>
      <c r="M453" s="4">
        <v>0</v>
      </c>
      <c r="N453" s="4">
        <v>0</v>
      </c>
      <c r="O453" s="4">
        <v>0</v>
      </c>
      <c r="P453" s="4">
        <v>2</v>
      </c>
      <c r="Q453" s="3" t="s">
        <v>26</v>
      </c>
      <c r="R453" s="3">
        <v>0</v>
      </c>
      <c r="S453" s="4">
        <v>18</v>
      </c>
      <c r="T453" s="4">
        <v>0</v>
      </c>
      <c r="U453" s="4">
        <v>0</v>
      </c>
      <c r="V453" s="4">
        <f>IF(ISERROR(VLOOKUP($S$453,'TAR FIN'!$A$1:$O$92,15,0)),0,VLOOKUP($S$453,'TAR FIN'!$A$1:$O$92,15,0))</f>
        <v>14.64</v>
      </c>
      <c r="W453" s="4">
        <f>IF(ISERROR(VLOOKUP($T$453,'TAR FIN'!$A$1:$O$92,15,0)),0,VLOOKUP($T$453,'TAR FIN'!$A$1:$O$92,15,0))</f>
        <v>0</v>
      </c>
      <c r="X453" s="4">
        <f>IF(ISERROR(VLOOKUP($U$453,'TAR FIN'!$A$1:$O$92,15,0)),0,VLOOKUP($U$453,'TAR FIN'!$A$1:$O$92,15,0))</f>
        <v>0</v>
      </c>
      <c r="Y453" s="4">
        <f ca="1">('TUSD BE'!$AM$10+'TUSD BF'!$AM$10+'TUSD CVA'!$AM$10)*1</f>
        <v>19.024476785546895</v>
      </c>
      <c r="Z453" s="4"/>
      <c r="AA453" s="4"/>
      <c r="AB453" s="4">
        <f>$K$453*$V$453</f>
        <v>1171.2</v>
      </c>
      <c r="AC453" s="4">
        <f>$M$453*$W$453</f>
        <v>0</v>
      </c>
      <c r="AD453" s="4">
        <f>$O$453*$X$453</f>
        <v>0</v>
      </c>
      <c r="AE453" s="4">
        <f ca="1">$K$453*$Y$453</f>
        <v>1521.9581428437516</v>
      </c>
      <c r="AF453" s="4">
        <f>$M$453*$Z$453</f>
        <v>0</v>
      </c>
      <c r="AG453" s="4">
        <f>$O$453*$AA$453</f>
        <v>0</v>
      </c>
    </row>
    <row r="454" spans="1:33" ht="11.25" customHeight="1" x14ac:dyDescent="0.25">
      <c r="A454" s="3" t="s">
        <v>28</v>
      </c>
      <c r="B454" s="3" t="s">
        <v>39</v>
      </c>
      <c r="C454" s="3" t="s">
        <v>41</v>
      </c>
      <c r="D454" s="3" t="s">
        <v>45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44805</v>
      </c>
      <c r="J454" s="4">
        <v>13459</v>
      </c>
      <c r="K454" s="4">
        <v>13459</v>
      </c>
      <c r="L454" s="4">
        <v>0</v>
      </c>
      <c r="M454" s="4">
        <v>0</v>
      </c>
      <c r="N454" s="4">
        <v>0</v>
      </c>
      <c r="O454" s="4">
        <v>0</v>
      </c>
      <c r="P454" s="4">
        <v>78</v>
      </c>
      <c r="Q454" s="3" t="s">
        <v>26</v>
      </c>
      <c r="R454" s="3">
        <v>0</v>
      </c>
      <c r="S454" s="4">
        <v>18</v>
      </c>
      <c r="T454" s="4">
        <v>0</v>
      </c>
      <c r="U454" s="4">
        <v>0</v>
      </c>
      <c r="V454" s="4">
        <f>IF(ISERROR(VLOOKUP($S$454,'TAR FIN'!$A$1:$O$92,15,0)),0,VLOOKUP($S$454,'TAR FIN'!$A$1:$O$92,15,0))</f>
        <v>14.64</v>
      </c>
      <c r="W454" s="4">
        <f>IF(ISERROR(VLOOKUP($T$454,'TAR FIN'!$A$1:$O$92,15,0)),0,VLOOKUP($T$454,'TAR FIN'!$A$1:$O$92,15,0))</f>
        <v>0</v>
      </c>
      <c r="X454" s="4">
        <f>IF(ISERROR(VLOOKUP($U$454,'TAR FIN'!$A$1:$O$92,15,0)),0,VLOOKUP($U$454,'TAR FIN'!$A$1:$O$92,15,0))</f>
        <v>0</v>
      </c>
      <c r="Y454" s="4">
        <f ca="1">('TUSD BE'!$AM$10+'TUSD BF'!$AM$10+'TUSD CVA'!$AM$10)*1</f>
        <v>19.024476785546895</v>
      </c>
      <c r="Z454" s="4"/>
      <c r="AA454" s="4"/>
      <c r="AB454" s="4">
        <f>$K$454*$V$454</f>
        <v>197039.76</v>
      </c>
      <c r="AC454" s="4">
        <f>$M$454*$W$454</f>
        <v>0</v>
      </c>
      <c r="AD454" s="4">
        <f>$O$454*$X$454</f>
        <v>0</v>
      </c>
      <c r="AE454" s="4">
        <f ca="1">$K$454*$Y$454</f>
        <v>256050.43305667565</v>
      </c>
      <c r="AF454" s="4">
        <f>$M$454*$Z$454</f>
        <v>0</v>
      </c>
      <c r="AG454" s="4">
        <f>$O$454*$AA$454</f>
        <v>0</v>
      </c>
    </row>
    <row r="455" spans="1:33" ht="11.25" customHeight="1" x14ac:dyDescent="0.25">
      <c r="A455" s="3" t="s">
        <v>55</v>
      </c>
      <c r="B455" s="3" t="s">
        <v>39</v>
      </c>
      <c r="C455" s="3" t="s">
        <v>41</v>
      </c>
      <c r="D455" s="3" t="s">
        <v>45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44835</v>
      </c>
      <c r="J455" s="4">
        <v>29136</v>
      </c>
      <c r="K455" s="4">
        <v>29136</v>
      </c>
      <c r="L455" s="4">
        <v>0</v>
      </c>
      <c r="M455" s="4">
        <v>0</v>
      </c>
      <c r="N455" s="4">
        <v>0</v>
      </c>
      <c r="O455" s="4">
        <v>0</v>
      </c>
      <c r="P455" s="4">
        <v>258</v>
      </c>
      <c r="Q455" s="3" t="s">
        <v>26</v>
      </c>
      <c r="R455" s="3">
        <v>0</v>
      </c>
      <c r="S455" s="4">
        <v>18</v>
      </c>
      <c r="T455" s="4">
        <v>0</v>
      </c>
      <c r="U455" s="4">
        <v>0</v>
      </c>
      <c r="V455" s="4">
        <f>IF(ISERROR(VLOOKUP($S$455,'TAR FIN'!$A$1:$O$92,15,0)),0,VLOOKUP($S$455,'TAR FIN'!$A$1:$O$92,15,0))</f>
        <v>14.64</v>
      </c>
      <c r="W455" s="4">
        <f>IF(ISERROR(VLOOKUP($T$455,'TAR FIN'!$A$1:$O$92,15,0)),0,VLOOKUP($T$455,'TAR FIN'!$A$1:$O$92,15,0))</f>
        <v>0</v>
      </c>
      <c r="X455" s="4">
        <f>IF(ISERROR(VLOOKUP($U$455,'TAR FIN'!$A$1:$O$92,15,0)),0,VLOOKUP($U$455,'TAR FIN'!$A$1:$O$92,15,0))</f>
        <v>0</v>
      </c>
      <c r="Y455" s="4">
        <f ca="1">('TUSD BE'!$AM$10+'TUSD BF'!$AM$10+'TUSD CVA'!$AM$10)*1</f>
        <v>19.024476785546895</v>
      </c>
      <c r="Z455" s="4"/>
      <c r="AA455" s="4"/>
      <c r="AB455" s="4">
        <f>$K$455*$V$455</f>
        <v>426551.04000000004</v>
      </c>
      <c r="AC455" s="4">
        <f>$M$455*$W$455</f>
        <v>0</v>
      </c>
      <c r="AD455" s="4">
        <f>$O$455*$X$455</f>
        <v>0</v>
      </c>
      <c r="AE455" s="4">
        <f ca="1">$K$455*$Y$455</f>
        <v>554297.1556236943</v>
      </c>
      <c r="AF455" s="4">
        <f>$M$455*$Z$455</f>
        <v>0</v>
      </c>
      <c r="AG455" s="4">
        <f>$O$455*$AA$455</f>
        <v>0</v>
      </c>
    </row>
    <row r="456" spans="1:33" ht="11.25" customHeight="1" x14ac:dyDescent="0.25">
      <c r="A456" s="3" t="s">
        <v>55</v>
      </c>
      <c r="B456" s="3" t="s">
        <v>39</v>
      </c>
      <c r="C456" s="3" t="s">
        <v>41</v>
      </c>
      <c r="D456" s="3" t="s">
        <v>45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44835</v>
      </c>
      <c r="J456" s="4">
        <v>80</v>
      </c>
      <c r="K456" s="4">
        <v>80</v>
      </c>
      <c r="L456" s="4">
        <v>0</v>
      </c>
      <c r="M456" s="4">
        <v>0</v>
      </c>
      <c r="N456" s="4">
        <v>0</v>
      </c>
      <c r="O456" s="4">
        <v>0</v>
      </c>
      <c r="P456" s="4">
        <v>2</v>
      </c>
      <c r="Q456" s="3" t="s">
        <v>26</v>
      </c>
      <c r="R456" s="3">
        <v>0</v>
      </c>
      <c r="S456" s="4">
        <v>18</v>
      </c>
      <c r="T456" s="4">
        <v>0</v>
      </c>
      <c r="U456" s="4">
        <v>0</v>
      </c>
      <c r="V456" s="4">
        <f>IF(ISERROR(VLOOKUP($S$456,'TAR FIN'!$A$1:$O$92,15,0)),0,VLOOKUP($S$456,'TAR FIN'!$A$1:$O$92,15,0))</f>
        <v>14.64</v>
      </c>
      <c r="W456" s="4">
        <f>IF(ISERROR(VLOOKUP($T$456,'TAR FIN'!$A$1:$O$92,15,0)),0,VLOOKUP($T$456,'TAR FIN'!$A$1:$O$92,15,0))</f>
        <v>0</v>
      </c>
      <c r="X456" s="4">
        <f>IF(ISERROR(VLOOKUP($U$456,'TAR FIN'!$A$1:$O$92,15,0)),0,VLOOKUP($U$456,'TAR FIN'!$A$1:$O$92,15,0))</f>
        <v>0</v>
      </c>
      <c r="Y456" s="4">
        <f ca="1">('TUSD BE'!$AM$10+'TUSD BF'!$AM$10+'TUSD CVA'!$AM$10)*1</f>
        <v>19.024476785546895</v>
      </c>
      <c r="Z456" s="4"/>
      <c r="AA456" s="4"/>
      <c r="AB456" s="4">
        <f>$K$456*$V$456</f>
        <v>1171.2</v>
      </c>
      <c r="AC456" s="4">
        <f>$M$456*$W$456</f>
        <v>0</v>
      </c>
      <c r="AD456" s="4">
        <f>$O$456*$X$456</f>
        <v>0</v>
      </c>
      <c r="AE456" s="4">
        <f ca="1">$K$456*$Y$456</f>
        <v>1521.9581428437516</v>
      </c>
      <c r="AF456" s="4">
        <f>$M$456*$Z$456</f>
        <v>0</v>
      </c>
      <c r="AG456" s="4">
        <f>$O$456*$AA$456</f>
        <v>0</v>
      </c>
    </row>
    <row r="457" spans="1:33" ht="11.25" customHeight="1" x14ac:dyDescent="0.25">
      <c r="A457" s="3" t="s">
        <v>55</v>
      </c>
      <c r="B457" s="3" t="s">
        <v>39</v>
      </c>
      <c r="C457" s="3" t="s">
        <v>41</v>
      </c>
      <c r="D457" s="3" t="s">
        <v>45</v>
      </c>
      <c r="E457" s="3" t="s">
        <v>25</v>
      </c>
      <c r="F457" s="3" t="s">
        <v>25</v>
      </c>
      <c r="G457" s="3" t="s">
        <v>25</v>
      </c>
      <c r="H457" s="3" t="s">
        <v>25</v>
      </c>
      <c r="I457" s="6">
        <v>44835</v>
      </c>
      <c r="J457" s="4">
        <v>13459</v>
      </c>
      <c r="K457" s="4">
        <v>13459</v>
      </c>
      <c r="L457" s="4">
        <v>0</v>
      </c>
      <c r="M457" s="4">
        <v>0</v>
      </c>
      <c r="N457" s="4">
        <v>0</v>
      </c>
      <c r="O457" s="4">
        <v>0</v>
      </c>
      <c r="P457" s="4">
        <v>78</v>
      </c>
      <c r="Q457" s="3" t="s">
        <v>26</v>
      </c>
      <c r="R457" s="3">
        <v>0</v>
      </c>
      <c r="S457" s="4">
        <v>18</v>
      </c>
      <c r="T457" s="4">
        <v>0</v>
      </c>
      <c r="U457" s="4">
        <v>0</v>
      </c>
      <c r="V457" s="4">
        <f>IF(ISERROR(VLOOKUP($S$457,'TAR FIN'!$A$1:$O$92,15,0)),0,VLOOKUP($S$457,'TAR FIN'!$A$1:$O$92,15,0))</f>
        <v>14.64</v>
      </c>
      <c r="W457" s="4">
        <f>IF(ISERROR(VLOOKUP($T$457,'TAR FIN'!$A$1:$O$92,15,0)),0,VLOOKUP($T$457,'TAR FIN'!$A$1:$O$92,15,0))</f>
        <v>0</v>
      </c>
      <c r="X457" s="4">
        <f>IF(ISERROR(VLOOKUP($U$457,'TAR FIN'!$A$1:$O$92,15,0)),0,VLOOKUP($U$457,'TAR FIN'!$A$1:$O$92,15,0))</f>
        <v>0</v>
      </c>
      <c r="Y457" s="4">
        <f ca="1">('TUSD BE'!$AM$10+'TUSD BF'!$AM$10+'TUSD CVA'!$AM$10)*1</f>
        <v>19.024476785546895</v>
      </c>
      <c r="Z457" s="4"/>
      <c r="AA457" s="4"/>
      <c r="AB457" s="4">
        <f>$K$457*$V$457</f>
        <v>197039.76</v>
      </c>
      <c r="AC457" s="4">
        <f>$M$457*$W$457</f>
        <v>0</v>
      </c>
      <c r="AD457" s="4">
        <f>$O$457*$X$457</f>
        <v>0</v>
      </c>
      <c r="AE457" s="4">
        <f ca="1">$K$457*$Y$457</f>
        <v>256050.43305667565</v>
      </c>
      <c r="AF457" s="4">
        <f>$M$457*$Z$457</f>
        <v>0</v>
      </c>
      <c r="AG457" s="4">
        <f>$O$457*$AA$457</f>
        <v>0</v>
      </c>
    </row>
    <row r="458" spans="1:33" ht="11.25" customHeight="1" x14ac:dyDescent="0.25">
      <c r="A458" s="3" t="s">
        <v>21</v>
      </c>
      <c r="B458" s="3" t="s">
        <v>39</v>
      </c>
      <c r="C458" s="3" t="s">
        <v>41</v>
      </c>
      <c r="D458" s="3" t="s">
        <v>45</v>
      </c>
      <c r="E458" s="3" t="s">
        <v>25</v>
      </c>
      <c r="F458" s="3" t="s">
        <v>25</v>
      </c>
      <c r="G458" s="3" t="s">
        <v>25</v>
      </c>
      <c r="H458" s="3" t="s">
        <v>34</v>
      </c>
      <c r="I458" s="6">
        <v>44501</v>
      </c>
      <c r="J458" s="4">
        <v>0</v>
      </c>
      <c r="K458" s="4">
        <v>0</v>
      </c>
      <c r="L458" s="4">
        <v>256.714</v>
      </c>
      <c r="M458" s="4">
        <v>256.714</v>
      </c>
      <c r="N458" s="4">
        <v>256.714</v>
      </c>
      <c r="O458" s="4">
        <v>256.714</v>
      </c>
      <c r="P458" s="4">
        <v>0</v>
      </c>
      <c r="Q458" s="3" t="s">
        <v>26</v>
      </c>
      <c r="R458" s="3">
        <v>0</v>
      </c>
      <c r="S458" s="4">
        <v>0</v>
      </c>
      <c r="T458" s="4">
        <v>11</v>
      </c>
      <c r="U458" s="4">
        <v>71</v>
      </c>
      <c r="V458" s="4">
        <f>IF(ISERROR(VLOOKUP($S$458,'TAR FIN'!$A$1:$O$92,15,0)),0,VLOOKUP($S$458,'TAR FIN'!$A$1:$O$92,15,0))</f>
        <v>0</v>
      </c>
      <c r="W458" s="4">
        <f>IF(ISERROR(VLOOKUP($T$458,'TAR FIN'!$A$1:$O$92,15,0)),0,VLOOKUP($T$458,'TAR FIN'!$A$1:$O$92,15,0))</f>
        <v>1155.51</v>
      </c>
      <c r="X458" s="4">
        <f>IF(ISERROR(VLOOKUP($U$458,'TAR FIN'!$A$1:$O$92,15,0)),0,VLOOKUP($U$458,'TAR FIN'!$A$1:$O$92,15,0))</f>
        <v>433.77</v>
      </c>
      <c r="Y458" s="4"/>
      <c r="Z458" s="4">
        <f ca="1">('TUSD BE'!$AM$11+'TUSD BF'!$AM$11+'TUSD CVA'!$AM$11)*1</f>
        <v>1493.7817824374656</v>
      </c>
      <c r="AA458" s="4">
        <f>('TE BE'!$AB$5+'TE BF'!$AB$5+'TE CVA'!$AB$5)*1</f>
        <v>542.84414704984056</v>
      </c>
      <c r="AB458" s="4">
        <f>$K$458*$V$458</f>
        <v>0</v>
      </c>
      <c r="AC458" s="4">
        <f>$M$458*$W$458</f>
        <v>296635.59414</v>
      </c>
      <c r="AD458" s="4">
        <f>$O$458*$X$458</f>
        <v>111354.83177999999</v>
      </c>
      <c r="AE458" s="4">
        <f>$K$458*$Y$458</f>
        <v>0</v>
      </c>
      <c r="AF458" s="4">
        <f ca="1">$M$458*$Z$458</f>
        <v>383474.69649665157</v>
      </c>
      <c r="AG458" s="4">
        <f>$O$458*$AA$458</f>
        <v>139355.69236575277</v>
      </c>
    </row>
    <row r="459" spans="1:33" ht="11.25" customHeight="1" x14ac:dyDescent="0.25">
      <c r="A459" s="3" t="s">
        <v>27</v>
      </c>
      <c r="B459" s="3" t="s">
        <v>39</v>
      </c>
      <c r="C459" s="3" t="s">
        <v>41</v>
      </c>
      <c r="D459" s="3" t="s">
        <v>45</v>
      </c>
      <c r="E459" s="3" t="s">
        <v>25</v>
      </c>
      <c r="F459" s="3" t="s">
        <v>25</v>
      </c>
      <c r="G459" s="3" t="s">
        <v>25</v>
      </c>
      <c r="H459" s="3" t="s">
        <v>34</v>
      </c>
      <c r="I459" s="6">
        <v>44501</v>
      </c>
      <c r="J459" s="4">
        <v>0</v>
      </c>
      <c r="K459" s="4">
        <v>0</v>
      </c>
      <c r="L459" s="4">
        <v>1.115</v>
      </c>
      <c r="M459" s="4">
        <v>1.115</v>
      </c>
      <c r="N459" s="4">
        <v>1.115</v>
      </c>
      <c r="O459" s="4">
        <v>1.115</v>
      </c>
      <c r="P459" s="4">
        <v>0</v>
      </c>
      <c r="Q459" s="3" t="s">
        <v>26</v>
      </c>
      <c r="R459" s="3">
        <v>0</v>
      </c>
      <c r="S459" s="4">
        <v>0</v>
      </c>
      <c r="T459" s="4">
        <v>11</v>
      </c>
      <c r="U459" s="4">
        <v>71</v>
      </c>
      <c r="V459" s="4">
        <f>IF(ISERROR(VLOOKUP($S$459,'TAR FIN'!$A$1:$O$92,15,0)),0,VLOOKUP($S$459,'TAR FIN'!$A$1:$O$92,15,0))</f>
        <v>0</v>
      </c>
      <c r="W459" s="4">
        <f>IF(ISERROR(VLOOKUP($T$459,'TAR FIN'!$A$1:$O$92,15,0)),0,VLOOKUP($T$459,'TAR FIN'!$A$1:$O$92,15,0))</f>
        <v>1155.51</v>
      </c>
      <c r="X459" s="4">
        <f>IF(ISERROR(VLOOKUP($U$459,'TAR FIN'!$A$1:$O$92,15,0)),0,VLOOKUP($U$459,'TAR FIN'!$A$1:$O$92,15,0))</f>
        <v>433.77</v>
      </c>
      <c r="Y459" s="4"/>
      <c r="Z459" s="4">
        <f ca="1">('TUSD BE'!$AM$11+'TUSD BF'!$AM$11+'TUSD CVA'!$AM$11)*1</f>
        <v>1493.7817824374656</v>
      </c>
      <c r="AA459" s="4">
        <f>('TE BE'!$AB$5+'TE BF'!$AB$5+'TE CVA'!$AB$5)*1</f>
        <v>542.84414704984056</v>
      </c>
      <c r="AB459" s="4">
        <f>$K$459*$V$459</f>
        <v>0</v>
      </c>
      <c r="AC459" s="4">
        <f>$M$459*$W$459</f>
        <v>1288.39365</v>
      </c>
      <c r="AD459" s="4">
        <f>$O$459*$X$459</f>
        <v>483.65355</v>
      </c>
      <c r="AE459" s="4">
        <f>$K$459*$Y$459</f>
        <v>0</v>
      </c>
      <c r="AF459" s="4">
        <f ca="1">$M$459*$Z$459</f>
        <v>1665.5666874177741</v>
      </c>
      <c r="AG459" s="4">
        <f>$O$459*$AA$459</f>
        <v>605.27122396057223</v>
      </c>
    </row>
    <row r="460" spans="1:33" ht="11.25" customHeight="1" x14ac:dyDescent="0.25">
      <c r="A460" s="3" t="s">
        <v>28</v>
      </c>
      <c r="B460" s="3" t="s">
        <v>39</v>
      </c>
      <c r="C460" s="3" t="s">
        <v>41</v>
      </c>
      <c r="D460" s="3" t="s">
        <v>45</v>
      </c>
      <c r="E460" s="3" t="s">
        <v>25</v>
      </c>
      <c r="F460" s="3" t="s">
        <v>25</v>
      </c>
      <c r="G460" s="3" t="s">
        <v>25</v>
      </c>
      <c r="H460" s="3" t="s">
        <v>34</v>
      </c>
      <c r="I460" s="6">
        <v>44501</v>
      </c>
      <c r="J460" s="4">
        <v>0</v>
      </c>
      <c r="K460" s="4">
        <v>0</v>
      </c>
      <c r="L460" s="4">
        <v>58.585999999999999</v>
      </c>
      <c r="M460" s="4">
        <v>58.585999999999999</v>
      </c>
      <c r="N460" s="4">
        <v>58.585999999999999</v>
      </c>
      <c r="O460" s="4">
        <v>58.585999999999999</v>
      </c>
      <c r="P460" s="4">
        <v>0</v>
      </c>
      <c r="Q460" s="3" t="s">
        <v>26</v>
      </c>
      <c r="R460" s="3">
        <v>0</v>
      </c>
      <c r="S460" s="4">
        <v>0</v>
      </c>
      <c r="T460" s="4">
        <v>11</v>
      </c>
      <c r="U460" s="4">
        <v>71</v>
      </c>
      <c r="V460" s="4">
        <f>IF(ISERROR(VLOOKUP($S$460,'TAR FIN'!$A$1:$O$92,15,0)),0,VLOOKUP($S$460,'TAR FIN'!$A$1:$O$92,15,0))</f>
        <v>0</v>
      </c>
      <c r="W460" s="4">
        <f>IF(ISERROR(VLOOKUP($T$460,'TAR FIN'!$A$1:$O$92,15,0)),0,VLOOKUP($T$460,'TAR FIN'!$A$1:$O$92,15,0))</f>
        <v>1155.51</v>
      </c>
      <c r="X460" s="4">
        <f>IF(ISERROR(VLOOKUP($U$460,'TAR FIN'!$A$1:$O$92,15,0)),0,VLOOKUP($U$460,'TAR FIN'!$A$1:$O$92,15,0))</f>
        <v>433.77</v>
      </c>
      <c r="Y460" s="4"/>
      <c r="Z460" s="4">
        <f ca="1">('TUSD BE'!$AM$11+'TUSD BF'!$AM$11+'TUSD CVA'!$AM$11)*1</f>
        <v>1493.7817824374656</v>
      </c>
      <c r="AA460" s="4">
        <f>('TE BE'!$AB$5+'TE BF'!$AB$5+'TE CVA'!$AB$5)*1</f>
        <v>542.84414704984056</v>
      </c>
      <c r="AB460" s="4">
        <f>$K$460*$V$460</f>
        <v>0</v>
      </c>
      <c r="AC460" s="4">
        <f>$M$460*$W$460</f>
        <v>67696.708859999999</v>
      </c>
      <c r="AD460" s="4">
        <f>$O$460*$X$460</f>
        <v>25412.84922</v>
      </c>
      <c r="AE460" s="4">
        <f>$K$460*$Y$460</f>
        <v>0</v>
      </c>
      <c r="AF460" s="4">
        <f ca="1">$M$460*$Z$460</f>
        <v>87514.699505881363</v>
      </c>
      <c r="AG460" s="4">
        <f>$O$460*$AA$460</f>
        <v>31803.067199061959</v>
      </c>
    </row>
    <row r="461" spans="1:33" ht="11.25" customHeight="1" x14ac:dyDescent="0.25">
      <c r="A461" s="3" t="s">
        <v>21</v>
      </c>
      <c r="B461" s="3" t="s">
        <v>39</v>
      </c>
      <c r="C461" s="3" t="s">
        <v>41</v>
      </c>
      <c r="D461" s="3" t="s">
        <v>45</v>
      </c>
      <c r="E461" s="3" t="s">
        <v>25</v>
      </c>
      <c r="F461" s="3" t="s">
        <v>25</v>
      </c>
      <c r="G461" s="3" t="s">
        <v>25</v>
      </c>
      <c r="H461" s="3" t="s">
        <v>34</v>
      </c>
      <c r="I461" s="6">
        <v>44531</v>
      </c>
      <c r="J461" s="4">
        <v>0</v>
      </c>
      <c r="K461" s="4">
        <v>0</v>
      </c>
      <c r="L461" s="4">
        <v>269.33999999999997</v>
      </c>
      <c r="M461" s="4">
        <v>269.33999999999997</v>
      </c>
      <c r="N461" s="4">
        <v>269.33999999999997</v>
      </c>
      <c r="O461" s="4">
        <v>269.33999999999997</v>
      </c>
      <c r="P461" s="4">
        <v>0</v>
      </c>
      <c r="Q461" s="3" t="s">
        <v>26</v>
      </c>
      <c r="R461" s="3">
        <v>0</v>
      </c>
      <c r="S461" s="4">
        <v>0</v>
      </c>
      <c r="T461" s="4">
        <v>11</v>
      </c>
      <c r="U461" s="4">
        <v>71</v>
      </c>
      <c r="V461" s="4">
        <f>IF(ISERROR(VLOOKUP($S$461,'TAR FIN'!$A$1:$O$92,15,0)),0,VLOOKUP($S$461,'TAR FIN'!$A$1:$O$92,15,0))</f>
        <v>0</v>
      </c>
      <c r="W461" s="4">
        <f>IF(ISERROR(VLOOKUP($T$461,'TAR FIN'!$A$1:$O$92,15,0)),0,VLOOKUP($T$461,'TAR FIN'!$A$1:$O$92,15,0))</f>
        <v>1155.51</v>
      </c>
      <c r="X461" s="4">
        <f>IF(ISERROR(VLOOKUP($U$461,'TAR FIN'!$A$1:$O$92,15,0)),0,VLOOKUP($U$461,'TAR FIN'!$A$1:$O$92,15,0))</f>
        <v>433.77</v>
      </c>
      <c r="Y461" s="4"/>
      <c r="Z461" s="4">
        <f ca="1">('TUSD BE'!$AM$11+'TUSD BF'!$AM$11+'TUSD CVA'!$AM$11)*1</f>
        <v>1493.7817824374656</v>
      </c>
      <c r="AA461" s="4">
        <f>('TE BE'!$AB$5+'TE BF'!$AB$5+'TE CVA'!$AB$5)*1</f>
        <v>542.84414704984056</v>
      </c>
      <c r="AB461" s="4">
        <f>$K$461*$V$461</f>
        <v>0</v>
      </c>
      <c r="AC461" s="4">
        <f>$M$461*$W$461</f>
        <v>311225.06339999998</v>
      </c>
      <c r="AD461" s="4">
        <f>$O$461*$X$461</f>
        <v>116831.61179999998</v>
      </c>
      <c r="AE461" s="4">
        <f>$K$461*$Y$461</f>
        <v>0</v>
      </c>
      <c r="AF461" s="4">
        <f ca="1">$M$461*$Z$461</f>
        <v>402335.18528170697</v>
      </c>
      <c r="AG461" s="4">
        <f>$O$461*$AA$461</f>
        <v>146209.64256640404</v>
      </c>
    </row>
    <row r="462" spans="1:33" ht="11.25" customHeight="1" x14ac:dyDescent="0.25">
      <c r="A462" s="3" t="s">
        <v>28</v>
      </c>
      <c r="B462" s="3" t="s">
        <v>39</v>
      </c>
      <c r="C462" s="3" t="s">
        <v>41</v>
      </c>
      <c r="D462" s="3" t="s">
        <v>45</v>
      </c>
      <c r="E462" s="3" t="s">
        <v>25</v>
      </c>
      <c r="F462" s="3" t="s">
        <v>25</v>
      </c>
      <c r="G462" s="3" t="s">
        <v>25</v>
      </c>
      <c r="H462" s="3" t="s">
        <v>34</v>
      </c>
      <c r="I462" s="6">
        <v>44531</v>
      </c>
      <c r="J462" s="4">
        <v>0</v>
      </c>
      <c r="K462" s="4">
        <v>0</v>
      </c>
      <c r="L462" s="4">
        <v>58.530999999999999</v>
      </c>
      <c r="M462" s="4">
        <v>58.530999999999999</v>
      </c>
      <c r="N462" s="4">
        <v>58.530999999999999</v>
      </c>
      <c r="O462" s="4">
        <v>58.530999999999999</v>
      </c>
      <c r="P462" s="4">
        <v>0</v>
      </c>
      <c r="Q462" s="3" t="s">
        <v>26</v>
      </c>
      <c r="R462" s="3">
        <v>0</v>
      </c>
      <c r="S462" s="4">
        <v>0</v>
      </c>
      <c r="T462" s="4">
        <v>11</v>
      </c>
      <c r="U462" s="4">
        <v>71</v>
      </c>
      <c r="V462" s="4">
        <f>IF(ISERROR(VLOOKUP($S$462,'TAR FIN'!$A$1:$O$92,15,0)),0,VLOOKUP($S$462,'TAR FIN'!$A$1:$O$92,15,0))</f>
        <v>0</v>
      </c>
      <c r="W462" s="4">
        <f>IF(ISERROR(VLOOKUP($T$462,'TAR FIN'!$A$1:$O$92,15,0)),0,VLOOKUP($T$462,'TAR FIN'!$A$1:$O$92,15,0))</f>
        <v>1155.51</v>
      </c>
      <c r="X462" s="4">
        <f>IF(ISERROR(VLOOKUP($U$462,'TAR FIN'!$A$1:$O$92,15,0)),0,VLOOKUP($U$462,'TAR FIN'!$A$1:$O$92,15,0))</f>
        <v>433.77</v>
      </c>
      <c r="Y462" s="4"/>
      <c r="Z462" s="4">
        <f ca="1">('TUSD BE'!$AM$11+'TUSD BF'!$AM$11+'TUSD CVA'!$AM$11)*1</f>
        <v>1493.7817824374656</v>
      </c>
      <c r="AA462" s="4">
        <f>('TE BE'!$AB$5+'TE BF'!$AB$5+'TE CVA'!$AB$5)*1</f>
        <v>542.84414704984056</v>
      </c>
      <c r="AB462" s="4">
        <f>$K$462*$V$462</f>
        <v>0</v>
      </c>
      <c r="AC462" s="4">
        <f>$M$462*$W$462</f>
        <v>67633.155809999997</v>
      </c>
      <c r="AD462" s="4">
        <f>$O$462*$X$462</f>
        <v>25388.991869999998</v>
      </c>
      <c r="AE462" s="4">
        <f>$K$462*$Y$462</f>
        <v>0</v>
      </c>
      <c r="AF462" s="4">
        <f ca="1">$M$462*$Z$462</f>
        <v>87432.541507847302</v>
      </c>
      <c r="AG462" s="4">
        <f>$O$462*$AA$462</f>
        <v>31773.210770974216</v>
      </c>
    </row>
    <row r="463" spans="1:33" ht="11.25" customHeight="1" x14ac:dyDescent="0.25">
      <c r="A463" s="3" t="s">
        <v>28</v>
      </c>
      <c r="B463" s="3" t="s">
        <v>39</v>
      </c>
      <c r="C463" s="3" t="s">
        <v>41</v>
      </c>
      <c r="D463" s="3" t="s">
        <v>45</v>
      </c>
      <c r="E463" s="3" t="s">
        <v>25</v>
      </c>
      <c r="F463" s="3" t="s">
        <v>25</v>
      </c>
      <c r="G463" s="3" t="s">
        <v>25</v>
      </c>
      <c r="H463" s="3" t="s">
        <v>34</v>
      </c>
      <c r="I463" s="6">
        <v>44531</v>
      </c>
      <c r="J463" s="4">
        <v>0</v>
      </c>
      <c r="K463" s="4">
        <v>0</v>
      </c>
      <c r="L463" s="4">
        <v>6.8000000000000005E-2</v>
      </c>
      <c r="M463" s="4">
        <v>6.8000000000000005E-2</v>
      </c>
      <c r="N463" s="4">
        <v>6.8000000000000005E-2</v>
      </c>
      <c r="O463" s="4">
        <v>6.8000000000000005E-2</v>
      </c>
      <c r="P463" s="4">
        <v>0</v>
      </c>
      <c r="Q463" s="3" t="s">
        <v>26</v>
      </c>
      <c r="R463" s="3">
        <v>0</v>
      </c>
      <c r="S463" s="4">
        <v>0</v>
      </c>
      <c r="T463" s="4">
        <v>11</v>
      </c>
      <c r="U463" s="4">
        <v>71</v>
      </c>
      <c r="V463" s="4">
        <f>IF(ISERROR(VLOOKUP($S$463,'TAR FIN'!$A$1:$O$92,15,0)),0,VLOOKUP($S$463,'TAR FIN'!$A$1:$O$92,15,0))</f>
        <v>0</v>
      </c>
      <c r="W463" s="4">
        <f>IF(ISERROR(VLOOKUP($T$463,'TAR FIN'!$A$1:$O$92,15,0)),0,VLOOKUP($T$463,'TAR FIN'!$A$1:$O$92,15,0))</f>
        <v>1155.51</v>
      </c>
      <c r="X463" s="4">
        <f>IF(ISERROR(VLOOKUP($U$463,'TAR FIN'!$A$1:$O$92,15,0)),0,VLOOKUP($U$463,'TAR FIN'!$A$1:$O$92,15,0))</f>
        <v>433.77</v>
      </c>
      <c r="Y463" s="4"/>
      <c r="Z463" s="4">
        <f ca="1">('TUSD BE'!$AM$11+'TUSD BF'!$AM$11+'TUSD CVA'!$AM$11)*1</f>
        <v>1493.7817824374656</v>
      </c>
      <c r="AA463" s="4">
        <f>('TE BE'!$AB$5+'TE BF'!$AB$5+'TE CVA'!$AB$5)*1</f>
        <v>542.84414704984056</v>
      </c>
      <c r="AB463" s="4">
        <f>$K$463*$V$463</f>
        <v>0</v>
      </c>
      <c r="AC463" s="4">
        <f>$M$463*$W$463</f>
        <v>78.574680000000001</v>
      </c>
      <c r="AD463" s="4">
        <f>$O$463*$X$463</f>
        <v>29.496359999999999</v>
      </c>
      <c r="AE463" s="4">
        <f>$K$463*$Y$463</f>
        <v>0</v>
      </c>
      <c r="AF463" s="4">
        <f ca="1">$M$463*$Z$463</f>
        <v>101.57716120574767</v>
      </c>
      <c r="AG463" s="4">
        <f>$O$463*$AA$463</f>
        <v>36.913401999389158</v>
      </c>
    </row>
    <row r="464" spans="1:33" ht="11.25" customHeight="1" x14ac:dyDescent="0.25">
      <c r="A464" s="3" t="s">
        <v>21</v>
      </c>
      <c r="B464" s="3" t="s">
        <v>39</v>
      </c>
      <c r="C464" s="3" t="s">
        <v>41</v>
      </c>
      <c r="D464" s="3" t="s">
        <v>45</v>
      </c>
      <c r="E464" s="3" t="s">
        <v>25</v>
      </c>
      <c r="F464" s="3" t="s">
        <v>25</v>
      </c>
      <c r="G464" s="3" t="s">
        <v>25</v>
      </c>
      <c r="H464" s="3" t="s">
        <v>34</v>
      </c>
      <c r="I464" s="6">
        <v>44562</v>
      </c>
      <c r="J464" s="4">
        <v>0</v>
      </c>
      <c r="K464" s="4">
        <v>0</v>
      </c>
      <c r="L464" s="4">
        <v>248.065</v>
      </c>
      <c r="M464" s="4">
        <v>248.065</v>
      </c>
      <c r="N464" s="4">
        <v>248.065</v>
      </c>
      <c r="O464" s="4">
        <v>248.065</v>
      </c>
      <c r="P464" s="4">
        <v>0</v>
      </c>
      <c r="Q464" s="3" t="s">
        <v>26</v>
      </c>
      <c r="R464" s="3">
        <v>0</v>
      </c>
      <c r="S464" s="4">
        <v>0</v>
      </c>
      <c r="T464" s="4">
        <v>11</v>
      </c>
      <c r="U464" s="4">
        <v>71</v>
      </c>
      <c r="V464" s="4">
        <f>IF(ISERROR(VLOOKUP($S$464,'TAR FIN'!$A$1:$O$92,15,0)),0,VLOOKUP($S$464,'TAR FIN'!$A$1:$O$92,15,0))</f>
        <v>0</v>
      </c>
      <c r="W464" s="4">
        <f>IF(ISERROR(VLOOKUP($T$464,'TAR FIN'!$A$1:$O$92,15,0)),0,VLOOKUP($T$464,'TAR FIN'!$A$1:$O$92,15,0))</f>
        <v>1155.51</v>
      </c>
      <c r="X464" s="4">
        <f>IF(ISERROR(VLOOKUP($U$464,'TAR FIN'!$A$1:$O$92,15,0)),0,VLOOKUP($U$464,'TAR FIN'!$A$1:$O$92,15,0))</f>
        <v>433.77</v>
      </c>
      <c r="Y464" s="4"/>
      <c r="Z464" s="4">
        <f ca="1">('TUSD BE'!$AM$11+'TUSD BF'!$AM$11+'TUSD CVA'!$AM$11)*1</f>
        <v>1493.7817824374656</v>
      </c>
      <c r="AA464" s="4">
        <f>('TE BE'!$AB$5+'TE BF'!$AB$5+'TE CVA'!$AB$5)*1</f>
        <v>542.84414704984056</v>
      </c>
      <c r="AB464" s="4">
        <f>$K$464*$V$464</f>
        <v>0</v>
      </c>
      <c r="AC464" s="4">
        <f>$M$464*$W$464</f>
        <v>286641.58814999997</v>
      </c>
      <c r="AD464" s="4">
        <f>$O$464*$X$464</f>
        <v>107603.15505</v>
      </c>
      <c r="AE464" s="4">
        <f>$K$464*$Y$464</f>
        <v>0</v>
      </c>
      <c r="AF464" s="4">
        <f ca="1">$M$464*$Z$464</f>
        <v>370554.97786034993</v>
      </c>
      <c r="AG464" s="4">
        <f>$O$464*$AA$464</f>
        <v>134660.6333379187</v>
      </c>
    </row>
    <row r="465" spans="1:33" ht="11.25" customHeight="1" x14ac:dyDescent="0.25">
      <c r="A465" s="3" t="s">
        <v>28</v>
      </c>
      <c r="B465" s="3" t="s">
        <v>39</v>
      </c>
      <c r="C465" s="3" t="s">
        <v>41</v>
      </c>
      <c r="D465" s="3" t="s">
        <v>45</v>
      </c>
      <c r="E465" s="3" t="s">
        <v>25</v>
      </c>
      <c r="F465" s="3" t="s">
        <v>25</v>
      </c>
      <c r="G465" s="3" t="s">
        <v>25</v>
      </c>
      <c r="H465" s="3" t="s">
        <v>34</v>
      </c>
      <c r="I465" s="6">
        <v>44562</v>
      </c>
      <c r="J465" s="4">
        <v>0</v>
      </c>
      <c r="K465" s="4">
        <v>0</v>
      </c>
      <c r="L465" s="4">
        <v>48.377000000000002</v>
      </c>
      <c r="M465" s="4">
        <v>48.377000000000002</v>
      </c>
      <c r="N465" s="4">
        <v>48.377000000000002</v>
      </c>
      <c r="O465" s="4">
        <v>48.377000000000002</v>
      </c>
      <c r="P465" s="4">
        <v>0</v>
      </c>
      <c r="Q465" s="3" t="s">
        <v>26</v>
      </c>
      <c r="R465" s="3">
        <v>0</v>
      </c>
      <c r="S465" s="4">
        <v>0</v>
      </c>
      <c r="T465" s="4">
        <v>11</v>
      </c>
      <c r="U465" s="4">
        <v>71</v>
      </c>
      <c r="V465" s="4">
        <f>IF(ISERROR(VLOOKUP($S$465,'TAR FIN'!$A$1:$O$92,15,0)),0,VLOOKUP($S$465,'TAR FIN'!$A$1:$O$92,15,0))</f>
        <v>0</v>
      </c>
      <c r="W465" s="4">
        <f>IF(ISERROR(VLOOKUP($T$465,'TAR FIN'!$A$1:$O$92,15,0)),0,VLOOKUP($T$465,'TAR FIN'!$A$1:$O$92,15,0))</f>
        <v>1155.51</v>
      </c>
      <c r="X465" s="4">
        <f>IF(ISERROR(VLOOKUP($U$465,'TAR FIN'!$A$1:$O$92,15,0)),0,VLOOKUP($U$465,'TAR FIN'!$A$1:$O$92,15,0))</f>
        <v>433.77</v>
      </c>
      <c r="Y465" s="4"/>
      <c r="Z465" s="4">
        <f ca="1">('TUSD BE'!$AM$11+'TUSD BF'!$AM$11+'TUSD CVA'!$AM$11)*1</f>
        <v>1493.7817824374656</v>
      </c>
      <c r="AA465" s="4">
        <f>('TE BE'!$AB$5+'TE BF'!$AB$5+'TE CVA'!$AB$5)*1</f>
        <v>542.84414704984056</v>
      </c>
      <c r="AB465" s="4">
        <f>$K$465*$V$465</f>
        <v>0</v>
      </c>
      <c r="AC465" s="4">
        <f>$M$465*$W$465</f>
        <v>55900.10727</v>
      </c>
      <c r="AD465" s="4">
        <f>$O$465*$X$465</f>
        <v>20984.491290000002</v>
      </c>
      <c r="AE465" s="4">
        <f>$K$465*$Y$465</f>
        <v>0</v>
      </c>
      <c r="AF465" s="4">
        <f ca="1">$M$465*$Z$465</f>
        <v>72264.681288977285</v>
      </c>
      <c r="AG465" s="4">
        <f>$O$465*$AA$465</f>
        <v>26261.171301830138</v>
      </c>
    </row>
    <row r="466" spans="1:33" ht="11.25" customHeight="1" x14ac:dyDescent="0.25">
      <c r="A466" s="3" t="s">
        <v>21</v>
      </c>
      <c r="B466" s="3" t="s">
        <v>39</v>
      </c>
      <c r="C466" s="3" t="s">
        <v>41</v>
      </c>
      <c r="D466" s="3" t="s">
        <v>45</v>
      </c>
      <c r="E466" s="3" t="s">
        <v>25</v>
      </c>
      <c r="F466" s="3" t="s">
        <v>25</v>
      </c>
      <c r="G466" s="3" t="s">
        <v>25</v>
      </c>
      <c r="H466" s="3" t="s">
        <v>34</v>
      </c>
      <c r="I466" s="6">
        <v>44593</v>
      </c>
      <c r="J466" s="4">
        <v>0</v>
      </c>
      <c r="K466" s="4">
        <v>0</v>
      </c>
      <c r="L466" s="4">
        <v>261.08100000000002</v>
      </c>
      <c r="M466" s="4">
        <v>261.08100000000002</v>
      </c>
      <c r="N466" s="4">
        <v>261.08100000000002</v>
      </c>
      <c r="O466" s="4">
        <v>261.08100000000002</v>
      </c>
      <c r="P466" s="4">
        <v>0</v>
      </c>
      <c r="Q466" s="3" t="s">
        <v>26</v>
      </c>
      <c r="R466" s="3">
        <v>0</v>
      </c>
      <c r="S466" s="4">
        <v>0</v>
      </c>
      <c r="T466" s="4">
        <v>11</v>
      </c>
      <c r="U466" s="4">
        <v>71</v>
      </c>
      <c r="V466" s="4">
        <f>IF(ISERROR(VLOOKUP($S$466,'TAR FIN'!$A$1:$O$92,15,0)),0,VLOOKUP($S$466,'TAR FIN'!$A$1:$O$92,15,0))</f>
        <v>0</v>
      </c>
      <c r="W466" s="4">
        <f>IF(ISERROR(VLOOKUP($T$466,'TAR FIN'!$A$1:$O$92,15,0)),0,VLOOKUP($T$466,'TAR FIN'!$A$1:$O$92,15,0))</f>
        <v>1155.51</v>
      </c>
      <c r="X466" s="4">
        <f>IF(ISERROR(VLOOKUP($U$466,'TAR FIN'!$A$1:$O$92,15,0)),0,VLOOKUP($U$466,'TAR FIN'!$A$1:$O$92,15,0))</f>
        <v>433.77</v>
      </c>
      <c r="Y466" s="4"/>
      <c r="Z466" s="4">
        <f ca="1">('TUSD BE'!$AM$11+'TUSD BF'!$AM$11+'TUSD CVA'!$AM$11)*1</f>
        <v>1493.7817824374656</v>
      </c>
      <c r="AA466" s="4">
        <f>('TE BE'!$AB$5+'TE BF'!$AB$5+'TE CVA'!$AB$5)*1</f>
        <v>542.84414704984056</v>
      </c>
      <c r="AB466" s="4">
        <f>$K$466*$V$466</f>
        <v>0</v>
      </c>
      <c r="AC466" s="4">
        <f>$M$466*$W$466</f>
        <v>301681.70631000004</v>
      </c>
      <c r="AD466" s="4">
        <f>$O$466*$X$466</f>
        <v>113249.10537</v>
      </c>
      <c r="AE466" s="4">
        <f>$K$466*$Y$466</f>
        <v>0</v>
      </c>
      <c r="AF466" s="4">
        <f ca="1">$M$466*$Z$466</f>
        <v>389998.04154055601</v>
      </c>
      <c r="AG466" s="4">
        <f>$O$466*$AA$466</f>
        <v>141726.29275591942</v>
      </c>
    </row>
    <row r="467" spans="1:33" ht="11.25" customHeight="1" x14ac:dyDescent="0.25">
      <c r="A467" s="3" t="s">
        <v>28</v>
      </c>
      <c r="B467" s="3" t="s">
        <v>39</v>
      </c>
      <c r="C467" s="3" t="s">
        <v>41</v>
      </c>
      <c r="D467" s="3" t="s">
        <v>45</v>
      </c>
      <c r="E467" s="3" t="s">
        <v>25</v>
      </c>
      <c r="F467" s="3" t="s">
        <v>25</v>
      </c>
      <c r="G467" s="3" t="s">
        <v>25</v>
      </c>
      <c r="H467" s="3" t="s">
        <v>34</v>
      </c>
      <c r="I467" s="6">
        <v>44593</v>
      </c>
      <c r="J467" s="4">
        <v>0</v>
      </c>
      <c r="K467" s="4">
        <v>0</v>
      </c>
      <c r="L467" s="4">
        <v>53.21</v>
      </c>
      <c r="M467" s="4">
        <v>53.21</v>
      </c>
      <c r="N467" s="4">
        <v>53.21</v>
      </c>
      <c r="O467" s="4">
        <v>53.21</v>
      </c>
      <c r="P467" s="4">
        <v>0</v>
      </c>
      <c r="Q467" s="3" t="s">
        <v>26</v>
      </c>
      <c r="R467" s="3">
        <v>0</v>
      </c>
      <c r="S467" s="4">
        <v>0</v>
      </c>
      <c r="T467" s="4">
        <v>11</v>
      </c>
      <c r="U467" s="4">
        <v>71</v>
      </c>
      <c r="V467" s="4">
        <f>IF(ISERROR(VLOOKUP($S$467,'TAR FIN'!$A$1:$O$92,15,0)),0,VLOOKUP($S$467,'TAR FIN'!$A$1:$O$92,15,0))</f>
        <v>0</v>
      </c>
      <c r="W467" s="4">
        <f>IF(ISERROR(VLOOKUP($T$467,'TAR FIN'!$A$1:$O$92,15,0)),0,VLOOKUP($T$467,'TAR FIN'!$A$1:$O$92,15,0))</f>
        <v>1155.51</v>
      </c>
      <c r="X467" s="4">
        <f>IF(ISERROR(VLOOKUP($U$467,'TAR FIN'!$A$1:$O$92,15,0)),0,VLOOKUP($U$467,'TAR FIN'!$A$1:$O$92,15,0))</f>
        <v>433.77</v>
      </c>
      <c r="Y467" s="4"/>
      <c r="Z467" s="4">
        <f ca="1">('TUSD BE'!$AM$11+'TUSD BF'!$AM$11+'TUSD CVA'!$AM$11)*1</f>
        <v>1493.7817824374656</v>
      </c>
      <c r="AA467" s="4">
        <f>('TE BE'!$AB$5+'TE BF'!$AB$5+'TE CVA'!$AB$5)*1</f>
        <v>542.84414704984056</v>
      </c>
      <c r="AB467" s="4">
        <f>$K$467*$V$467</f>
        <v>0</v>
      </c>
      <c r="AC467" s="4">
        <f>$M$467*$W$467</f>
        <v>61484.687100000003</v>
      </c>
      <c r="AD467" s="4">
        <f>$O$467*$X$467</f>
        <v>23080.901699999999</v>
      </c>
      <c r="AE467" s="4">
        <f>$K$467*$Y$467</f>
        <v>0</v>
      </c>
      <c r="AF467" s="4">
        <f ca="1">$M$467*$Z$467</f>
        <v>79484.128643497548</v>
      </c>
      <c r="AG467" s="4">
        <f>$O$467*$AA$467</f>
        <v>28884.737064522018</v>
      </c>
    </row>
    <row r="468" spans="1:33" ht="11.25" customHeight="1" x14ac:dyDescent="0.25">
      <c r="A468" s="3" t="s">
        <v>21</v>
      </c>
      <c r="B468" s="3" t="s">
        <v>39</v>
      </c>
      <c r="C468" s="3" t="s">
        <v>41</v>
      </c>
      <c r="D468" s="3" t="s">
        <v>45</v>
      </c>
      <c r="E468" s="3" t="s">
        <v>25</v>
      </c>
      <c r="F468" s="3" t="s">
        <v>25</v>
      </c>
      <c r="G468" s="3" t="s">
        <v>25</v>
      </c>
      <c r="H468" s="3" t="s">
        <v>34</v>
      </c>
      <c r="I468" s="6">
        <v>44621</v>
      </c>
      <c r="J468" s="4">
        <v>0</v>
      </c>
      <c r="K468" s="4">
        <v>0</v>
      </c>
      <c r="L468" s="4">
        <v>281.98899999999998</v>
      </c>
      <c r="M468" s="4">
        <v>281.98899999999998</v>
      </c>
      <c r="N468" s="4">
        <v>281.98899999999998</v>
      </c>
      <c r="O468" s="4">
        <v>281.98899999999998</v>
      </c>
      <c r="P468" s="4">
        <v>0</v>
      </c>
      <c r="Q468" s="3" t="s">
        <v>26</v>
      </c>
      <c r="R468" s="3">
        <v>0</v>
      </c>
      <c r="S468" s="4">
        <v>0</v>
      </c>
      <c r="T468" s="4">
        <v>11</v>
      </c>
      <c r="U468" s="4">
        <v>71</v>
      </c>
      <c r="V468" s="4">
        <f>IF(ISERROR(VLOOKUP($S$468,'TAR FIN'!$A$1:$O$92,15,0)),0,VLOOKUP($S$468,'TAR FIN'!$A$1:$O$92,15,0))</f>
        <v>0</v>
      </c>
      <c r="W468" s="4">
        <f>IF(ISERROR(VLOOKUP($T$468,'TAR FIN'!$A$1:$O$92,15,0)),0,VLOOKUP($T$468,'TAR FIN'!$A$1:$O$92,15,0))</f>
        <v>1155.51</v>
      </c>
      <c r="X468" s="4">
        <f>IF(ISERROR(VLOOKUP($U$468,'TAR FIN'!$A$1:$O$92,15,0)),0,VLOOKUP($U$468,'TAR FIN'!$A$1:$O$92,15,0))</f>
        <v>433.77</v>
      </c>
      <c r="Y468" s="4"/>
      <c r="Z468" s="4">
        <f ca="1">('TUSD BE'!$AM$11+'TUSD BF'!$AM$11+'TUSD CVA'!$AM$11)*1</f>
        <v>1493.7817824374656</v>
      </c>
      <c r="AA468" s="4">
        <f>('TE BE'!$AB$5+'TE BF'!$AB$5+'TE CVA'!$AB$5)*1</f>
        <v>542.84414704984056</v>
      </c>
      <c r="AB468" s="4">
        <f>$K$468*$V$468</f>
        <v>0</v>
      </c>
      <c r="AC468" s="4">
        <f>$M$468*$W$468</f>
        <v>325841.10939</v>
      </c>
      <c r="AD468" s="4">
        <f>$O$468*$X$468</f>
        <v>122318.36852999998</v>
      </c>
      <c r="AE468" s="4">
        <f>$K$468*$Y$468</f>
        <v>0</v>
      </c>
      <c r="AF468" s="4">
        <f ca="1">$M$468*$Z$468</f>
        <v>421230.03104775847</v>
      </c>
      <c r="AG468" s="4">
        <f>$O$468*$AA$468</f>
        <v>153076.07818243749</v>
      </c>
    </row>
    <row r="469" spans="1:33" ht="11.25" customHeight="1" x14ac:dyDescent="0.25">
      <c r="A469" s="3" t="s">
        <v>28</v>
      </c>
      <c r="B469" s="3" t="s">
        <v>39</v>
      </c>
      <c r="C469" s="3" t="s">
        <v>41</v>
      </c>
      <c r="D469" s="3" t="s">
        <v>45</v>
      </c>
      <c r="E469" s="3" t="s">
        <v>25</v>
      </c>
      <c r="F469" s="3" t="s">
        <v>25</v>
      </c>
      <c r="G469" s="3" t="s">
        <v>25</v>
      </c>
      <c r="H469" s="3" t="s">
        <v>34</v>
      </c>
      <c r="I469" s="6">
        <v>44621</v>
      </c>
      <c r="J469" s="4">
        <v>0</v>
      </c>
      <c r="K469" s="4">
        <v>0</v>
      </c>
      <c r="L469" s="4">
        <v>63.463999999999999</v>
      </c>
      <c r="M469" s="4">
        <v>63.463999999999999</v>
      </c>
      <c r="N469" s="4">
        <v>63.463999999999999</v>
      </c>
      <c r="O469" s="4">
        <v>63.463999999999999</v>
      </c>
      <c r="P469" s="4">
        <v>0</v>
      </c>
      <c r="Q469" s="3" t="s">
        <v>26</v>
      </c>
      <c r="R469" s="3">
        <v>0</v>
      </c>
      <c r="S469" s="4">
        <v>0</v>
      </c>
      <c r="T469" s="4">
        <v>11</v>
      </c>
      <c r="U469" s="4">
        <v>71</v>
      </c>
      <c r="V469" s="4">
        <f>IF(ISERROR(VLOOKUP($S$469,'TAR FIN'!$A$1:$O$92,15,0)),0,VLOOKUP($S$469,'TAR FIN'!$A$1:$O$92,15,0))</f>
        <v>0</v>
      </c>
      <c r="W469" s="4">
        <f>IF(ISERROR(VLOOKUP($T$469,'TAR FIN'!$A$1:$O$92,15,0)),0,VLOOKUP($T$469,'TAR FIN'!$A$1:$O$92,15,0))</f>
        <v>1155.51</v>
      </c>
      <c r="X469" s="4">
        <f>IF(ISERROR(VLOOKUP($U$469,'TAR FIN'!$A$1:$O$92,15,0)),0,VLOOKUP($U$469,'TAR FIN'!$A$1:$O$92,15,0))</f>
        <v>433.77</v>
      </c>
      <c r="Y469" s="4"/>
      <c r="Z469" s="4">
        <f ca="1">('TUSD BE'!$AM$11+'TUSD BF'!$AM$11+'TUSD CVA'!$AM$11)*1</f>
        <v>1493.7817824374656</v>
      </c>
      <c r="AA469" s="4">
        <f>('TE BE'!$AB$5+'TE BF'!$AB$5+'TE CVA'!$AB$5)*1</f>
        <v>542.84414704984056</v>
      </c>
      <c r="AB469" s="4">
        <f>$K$469*$V$469</f>
        <v>0</v>
      </c>
      <c r="AC469" s="4">
        <f>$M$469*$W$469</f>
        <v>73333.286639999991</v>
      </c>
      <c r="AD469" s="4">
        <f>$O$469*$X$469</f>
        <v>27528.779279999999</v>
      </c>
      <c r="AE469" s="4">
        <f>$K$469*$Y$469</f>
        <v>0</v>
      </c>
      <c r="AF469" s="4">
        <f ca="1">$M$469*$Z$469</f>
        <v>94801.367040611309</v>
      </c>
      <c r="AG469" s="4">
        <f>$O$469*$AA$469</f>
        <v>34451.06094837108</v>
      </c>
    </row>
    <row r="470" spans="1:33" ht="11.25" customHeight="1" x14ac:dyDescent="0.25">
      <c r="A470" s="3" t="s">
        <v>21</v>
      </c>
      <c r="B470" s="3" t="s">
        <v>39</v>
      </c>
      <c r="C470" s="3" t="s">
        <v>41</v>
      </c>
      <c r="D470" s="3" t="s">
        <v>45</v>
      </c>
      <c r="E470" s="3" t="s">
        <v>25</v>
      </c>
      <c r="F470" s="3" t="s">
        <v>25</v>
      </c>
      <c r="G470" s="3" t="s">
        <v>25</v>
      </c>
      <c r="H470" s="3" t="s">
        <v>34</v>
      </c>
      <c r="I470" s="6">
        <v>44652</v>
      </c>
      <c r="J470" s="4">
        <v>0</v>
      </c>
      <c r="K470" s="4">
        <v>0</v>
      </c>
      <c r="L470" s="4">
        <v>281.98899999999998</v>
      </c>
      <c r="M470" s="4">
        <v>281.98899999999998</v>
      </c>
      <c r="N470" s="4">
        <v>281.98899999999998</v>
      </c>
      <c r="O470" s="4">
        <v>281.98899999999998</v>
      </c>
      <c r="P470" s="4">
        <v>0</v>
      </c>
      <c r="Q470" s="3" t="s">
        <v>26</v>
      </c>
      <c r="R470" s="3">
        <v>0</v>
      </c>
      <c r="S470" s="4">
        <v>0</v>
      </c>
      <c r="T470" s="4">
        <v>11</v>
      </c>
      <c r="U470" s="4">
        <v>71</v>
      </c>
      <c r="V470" s="4">
        <f>IF(ISERROR(VLOOKUP($S$470,'TAR FIN'!$A$1:$O$92,15,0)),0,VLOOKUP($S$470,'TAR FIN'!$A$1:$O$92,15,0))</f>
        <v>0</v>
      </c>
      <c r="W470" s="4">
        <f>IF(ISERROR(VLOOKUP($T$470,'TAR FIN'!$A$1:$O$92,15,0)),0,VLOOKUP($T$470,'TAR FIN'!$A$1:$O$92,15,0))</f>
        <v>1155.51</v>
      </c>
      <c r="X470" s="4">
        <f>IF(ISERROR(VLOOKUP($U$470,'TAR FIN'!$A$1:$O$92,15,0)),0,VLOOKUP($U$470,'TAR FIN'!$A$1:$O$92,15,0))</f>
        <v>433.77</v>
      </c>
      <c r="Y470" s="4"/>
      <c r="Z470" s="4">
        <f ca="1">('TUSD BE'!$AM$11+'TUSD BF'!$AM$11+'TUSD CVA'!$AM$11)*1</f>
        <v>1493.7817824374656</v>
      </c>
      <c r="AA470" s="4">
        <f>('TE BE'!$AB$5+'TE BF'!$AB$5+'TE CVA'!$AB$5)*1</f>
        <v>542.84414704984056</v>
      </c>
      <c r="AB470" s="4">
        <f>$K$470*$V$470</f>
        <v>0</v>
      </c>
      <c r="AC470" s="4">
        <f>$M$470*$W$470</f>
        <v>325841.10939</v>
      </c>
      <c r="AD470" s="4">
        <f>$O$470*$X$470</f>
        <v>122318.36852999998</v>
      </c>
      <c r="AE470" s="4">
        <f>$K$470*$Y$470</f>
        <v>0</v>
      </c>
      <c r="AF470" s="4">
        <f ca="1">$M$470*$Z$470</f>
        <v>421230.03104775847</v>
      </c>
      <c r="AG470" s="4">
        <f>$O$470*$AA$470</f>
        <v>153076.07818243749</v>
      </c>
    </row>
    <row r="471" spans="1:33" ht="11.25" customHeight="1" x14ac:dyDescent="0.25">
      <c r="A471" s="3" t="s">
        <v>28</v>
      </c>
      <c r="B471" s="3" t="s">
        <v>39</v>
      </c>
      <c r="C471" s="3" t="s">
        <v>41</v>
      </c>
      <c r="D471" s="3" t="s">
        <v>45</v>
      </c>
      <c r="E471" s="3" t="s">
        <v>25</v>
      </c>
      <c r="F471" s="3" t="s">
        <v>25</v>
      </c>
      <c r="G471" s="3" t="s">
        <v>25</v>
      </c>
      <c r="H471" s="3" t="s">
        <v>34</v>
      </c>
      <c r="I471" s="6">
        <v>44652</v>
      </c>
      <c r="J471" s="4">
        <v>0</v>
      </c>
      <c r="K471" s="4">
        <v>0</v>
      </c>
      <c r="L471" s="4">
        <v>63.463999999999999</v>
      </c>
      <c r="M471" s="4">
        <v>63.463999999999999</v>
      </c>
      <c r="N471" s="4">
        <v>63.463999999999999</v>
      </c>
      <c r="O471" s="4">
        <v>63.463999999999999</v>
      </c>
      <c r="P471" s="4">
        <v>0</v>
      </c>
      <c r="Q471" s="3" t="s">
        <v>26</v>
      </c>
      <c r="R471" s="3">
        <v>0</v>
      </c>
      <c r="S471" s="4">
        <v>0</v>
      </c>
      <c r="T471" s="4">
        <v>11</v>
      </c>
      <c r="U471" s="4">
        <v>71</v>
      </c>
      <c r="V471" s="4">
        <f>IF(ISERROR(VLOOKUP($S$471,'TAR FIN'!$A$1:$O$92,15,0)),0,VLOOKUP($S$471,'TAR FIN'!$A$1:$O$92,15,0))</f>
        <v>0</v>
      </c>
      <c r="W471" s="4">
        <f>IF(ISERROR(VLOOKUP($T$471,'TAR FIN'!$A$1:$O$92,15,0)),0,VLOOKUP($T$471,'TAR FIN'!$A$1:$O$92,15,0))</f>
        <v>1155.51</v>
      </c>
      <c r="X471" s="4">
        <f>IF(ISERROR(VLOOKUP($U$471,'TAR FIN'!$A$1:$O$92,15,0)),0,VLOOKUP($U$471,'TAR FIN'!$A$1:$O$92,15,0))</f>
        <v>433.77</v>
      </c>
      <c r="Y471" s="4"/>
      <c r="Z471" s="4">
        <f ca="1">('TUSD BE'!$AM$11+'TUSD BF'!$AM$11+'TUSD CVA'!$AM$11)*1</f>
        <v>1493.7817824374656</v>
      </c>
      <c r="AA471" s="4">
        <f>('TE BE'!$AB$5+'TE BF'!$AB$5+'TE CVA'!$AB$5)*1</f>
        <v>542.84414704984056</v>
      </c>
      <c r="AB471" s="4">
        <f>$K$471*$V$471</f>
        <v>0</v>
      </c>
      <c r="AC471" s="4">
        <f>$M$471*$W$471</f>
        <v>73333.286639999991</v>
      </c>
      <c r="AD471" s="4">
        <f>$O$471*$X$471</f>
        <v>27528.779279999999</v>
      </c>
      <c r="AE471" s="4">
        <f>$K$471*$Y$471</f>
        <v>0</v>
      </c>
      <c r="AF471" s="4">
        <f ca="1">$M$471*$Z$471</f>
        <v>94801.367040611309</v>
      </c>
      <c r="AG471" s="4">
        <f>$O$471*$AA$471</f>
        <v>34451.06094837108</v>
      </c>
    </row>
    <row r="472" spans="1:33" ht="11.25" customHeight="1" x14ac:dyDescent="0.25">
      <c r="A472" s="3" t="s">
        <v>21</v>
      </c>
      <c r="B472" s="3" t="s">
        <v>39</v>
      </c>
      <c r="C472" s="3" t="s">
        <v>41</v>
      </c>
      <c r="D472" s="3" t="s">
        <v>45</v>
      </c>
      <c r="E472" s="3" t="s">
        <v>25</v>
      </c>
      <c r="F472" s="3" t="s">
        <v>25</v>
      </c>
      <c r="G472" s="3" t="s">
        <v>25</v>
      </c>
      <c r="H472" s="3" t="s">
        <v>34</v>
      </c>
      <c r="I472" s="6">
        <v>44682</v>
      </c>
      <c r="J472" s="4">
        <v>0</v>
      </c>
      <c r="K472" s="4">
        <v>0</v>
      </c>
      <c r="L472" s="4">
        <v>272.85399999999998</v>
      </c>
      <c r="M472" s="4">
        <v>272.85399999999998</v>
      </c>
      <c r="N472" s="4">
        <v>272.85399999999998</v>
      </c>
      <c r="O472" s="4">
        <v>272.85399999999998</v>
      </c>
      <c r="P472" s="4">
        <v>0</v>
      </c>
      <c r="Q472" s="3" t="s">
        <v>26</v>
      </c>
      <c r="R472" s="3">
        <v>0</v>
      </c>
      <c r="S472" s="4">
        <v>0</v>
      </c>
      <c r="T472" s="4">
        <v>11</v>
      </c>
      <c r="U472" s="4">
        <v>71</v>
      </c>
      <c r="V472" s="4">
        <f>IF(ISERROR(VLOOKUP($S$472,'TAR FIN'!$A$1:$O$92,15,0)),0,VLOOKUP($S$472,'TAR FIN'!$A$1:$O$92,15,0))</f>
        <v>0</v>
      </c>
      <c r="W472" s="4">
        <f>IF(ISERROR(VLOOKUP($T$472,'TAR FIN'!$A$1:$O$92,15,0)),0,VLOOKUP($T$472,'TAR FIN'!$A$1:$O$92,15,0))</f>
        <v>1155.51</v>
      </c>
      <c r="X472" s="4">
        <f>IF(ISERROR(VLOOKUP($U$472,'TAR FIN'!$A$1:$O$92,15,0)),0,VLOOKUP($U$472,'TAR FIN'!$A$1:$O$92,15,0))</f>
        <v>433.77</v>
      </c>
      <c r="Y472" s="4"/>
      <c r="Z472" s="4">
        <f ca="1">('TUSD BE'!$AM$11+'TUSD BF'!$AM$11+'TUSD CVA'!$AM$11)*1</f>
        <v>1493.7817824374656</v>
      </c>
      <c r="AA472" s="4">
        <f>('TE BE'!$AB$5+'TE BF'!$AB$5+'TE CVA'!$AB$5)*1</f>
        <v>542.84414704984056</v>
      </c>
      <c r="AB472" s="4">
        <f>$K$472*$V$472</f>
        <v>0</v>
      </c>
      <c r="AC472" s="4">
        <f>$M$472*$W$472</f>
        <v>315285.52554</v>
      </c>
      <c r="AD472" s="4">
        <f>$O$472*$X$472</f>
        <v>118355.87957999999</v>
      </c>
      <c r="AE472" s="4">
        <f>$K$472*$Y$472</f>
        <v>0</v>
      </c>
      <c r="AF472" s="4">
        <f ca="1">$M$472*$Z$472</f>
        <v>407584.33446519222</v>
      </c>
      <c r="AG472" s="4">
        <f>$O$472*$AA$472</f>
        <v>148117.1968991372</v>
      </c>
    </row>
    <row r="473" spans="1:33" ht="11.25" customHeight="1" x14ac:dyDescent="0.25">
      <c r="A473" s="3" t="s">
        <v>27</v>
      </c>
      <c r="B473" s="3" t="s">
        <v>39</v>
      </c>
      <c r="C473" s="3" t="s">
        <v>41</v>
      </c>
      <c r="D473" s="3" t="s">
        <v>45</v>
      </c>
      <c r="E473" s="3" t="s">
        <v>25</v>
      </c>
      <c r="F473" s="3" t="s">
        <v>25</v>
      </c>
      <c r="G473" s="3" t="s">
        <v>25</v>
      </c>
      <c r="H473" s="3" t="s">
        <v>34</v>
      </c>
      <c r="I473" s="6">
        <v>44682</v>
      </c>
      <c r="J473" s="4">
        <v>0</v>
      </c>
      <c r="K473" s="4">
        <v>0</v>
      </c>
      <c r="L473" s="4">
        <v>7.2320000000000002</v>
      </c>
      <c r="M473" s="4">
        <v>7.2320000000000002</v>
      </c>
      <c r="N473" s="4">
        <v>7.2320000000000002</v>
      </c>
      <c r="O473" s="4">
        <v>7.2320000000000002</v>
      </c>
      <c r="P473" s="4">
        <v>0</v>
      </c>
      <c r="Q473" s="3" t="s">
        <v>26</v>
      </c>
      <c r="R473" s="3">
        <v>0</v>
      </c>
      <c r="S473" s="4">
        <v>0</v>
      </c>
      <c r="T473" s="4">
        <v>11</v>
      </c>
      <c r="U473" s="4">
        <v>71</v>
      </c>
      <c r="V473" s="4">
        <f>IF(ISERROR(VLOOKUP($S$473,'TAR FIN'!$A$1:$O$92,15,0)),0,VLOOKUP($S$473,'TAR FIN'!$A$1:$O$92,15,0))</f>
        <v>0</v>
      </c>
      <c r="W473" s="4">
        <f>IF(ISERROR(VLOOKUP($T$473,'TAR FIN'!$A$1:$O$92,15,0)),0,VLOOKUP($T$473,'TAR FIN'!$A$1:$O$92,15,0))</f>
        <v>1155.51</v>
      </c>
      <c r="X473" s="4">
        <f>IF(ISERROR(VLOOKUP($U$473,'TAR FIN'!$A$1:$O$92,15,0)),0,VLOOKUP($U$473,'TAR FIN'!$A$1:$O$92,15,0))</f>
        <v>433.77</v>
      </c>
      <c r="Y473" s="4"/>
      <c r="Z473" s="4">
        <f ca="1">('TUSD BE'!$AM$11+'TUSD BF'!$AM$11+'TUSD CVA'!$AM$11)*1</f>
        <v>1493.7817824374656</v>
      </c>
      <c r="AA473" s="4">
        <f>('TE BE'!$AB$5+'TE BF'!$AB$5+'TE CVA'!$AB$5)*1</f>
        <v>542.84414704984056</v>
      </c>
      <c r="AB473" s="4">
        <f>$K$473*$V$473</f>
        <v>0</v>
      </c>
      <c r="AC473" s="4">
        <f>$M$473*$W$473</f>
        <v>8356.6483200000002</v>
      </c>
      <c r="AD473" s="4">
        <f>$O$473*$X$473</f>
        <v>3137.0246400000001</v>
      </c>
      <c r="AE473" s="4">
        <f>$K$473*$Y$473</f>
        <v>0</v>
      </c>
      <c r="AF473" s="4">
        <f ca="1">$M$473*$Z$473</f>
        <v>10803.029850587751</v>
      </c>
      <c r="AG473" s="4">
        <f>$O$473*$AA$473</f>
        <v>3925.8488714644468</v>
      </c>
    </row>
    <row r="474" spans="1:33" ht="11.25" customHeight="1" x14ac:dyDescent="0.25">
      <c r="A474" s="3" t="s">
        <v>28</v>
      </c>
      <c r="B474" s="3" t="s">
        <v>39</v>
      </c>
      <c r="C474" s="3" t="s">
        <v>41</v>
      </c>
      <c r="D474" s="3" t="s">
        <v>45</v>
      </c>
      <c r="E474" s="3" t="s">
        <v>25</v>
      </c>
      <c r="F474" s="3" t="s">
        <v>25</v>
      </c>
      <c r="G474" s="3" t="s">
        <v>25</v>
      </c>
      <c r="H474" s="3" t="s">
        <v>34</v>
      </c>
      <c r="I474" s="6">
        <v>44682</v>
      </c>
      <c r="J474" s="4">
        <v>0</v>
      </c>
      <c r="K474" s="4">
        <v>0</v>
      </c>
      <c r="L474" s="4">
        <v>308.32</v>
      </c>
      <c r="M474" s="4">
        <v>308.32</v>
      </c>
      <c r="N474" s="4">
        <v>308.32</v>
      </c>
      <c r="O474" s="4">
        <v>308.32</v>
      </c>
      <c r="P474" s="4">
        <v>0</v>
      </c>
      <c r="Q474" s="3" t="s">
        <v>26</v>
      </c>
      <c r="R474" s="3">
        <v>0</v>
      </c>
      <c r="S474" s="4">
        <v>0</v>
      </c>
      <c r="T474" s="4">
        <v>11</v>
      </c>
      <c r="U474" s="4">
        <v>71</v>
      </c>
      <c r="V474" s="4">
        <f>IF(ISERROR(VLOOKUP($S$474,'TAR FIN'!$A$1:$O$92,15,0)),0,VLOOKUP($S$474,'TAR FIN'!$A$1:$O$92,15,0))</f>
        <v>0</v>
      </c>
      <c r="W474" s="4">
        <f>IF(ISERROR(VLOOKUP($T$474,'TAR FIN'!$A$1:$O$92,15,0)),0,VLOOKUP($T$474,'TAR FIN'!$A$1:$O$92,15,0))</f>
        <v>1155.51</v>
      </c>
      <c r="X474" s="4">
        <f>IF(ISERROR(VLOOKUP($U$474,'TAR FIN'!$A$1:$O$92,15,0)),0,VLOOKUP($U$474,'TAR FIN'!$A$1:$O$92,15,0))</f>
        <v>433.77</v>
      </c>
      <c r="Y474" s="4"/>
      <c r="Z474" s="4">
        <f ca="1">('TUSD BE'!$AM$11+'TUSD BF'!$AM$11+'TUSD CVA'!$AM$11)*1</f>
        <v>1493.7817824374656</v>
      </c>
      <c r="AA474" s="4">
        <f>('TE BE'!$AB$5+'TE BF'!$AB$5+'TE CVA'!$AB$5)*1</f>
        <v>542.84414704984056</v>
      </c>
      <c r="AB474" s="4">
        <f>$K$474*$V$474</f>
        <v>0</v>
      </c>
      <c r="AC474" s="4">
        <f>$M$474*$W$474</f>
        <v>356266.8432</v>
      </c>
      <c r="AD474" s="4">
        <f>$O$474*$X$474</f>
        <v>133739.9664</v>
      </c>
      <c r="AE474" s="4">
        <f>$K$474*$Y$474</f>
        <v>0</v>
      </c>
      <c r="AF474" s="4">
        <f ca="1">$M$474*$Z$474</f>
        <v>460562.79916111939</v>
      </c>
      <c r="AG474" s="4">
        <f>$O$474*$AA$474</f>
        <v>167369.70741840685</v>
      </c>
    </row>
    <row r="475" spans="1:33" ht="11.25" customHeight="1" x14ac:dyDescent="0.25">
      <c r="A475" s="3" t="s">
        <v>21</v>
      </c>
      <c r="B475" s="3" t="s">
        <v>39</v>
      </c>
      <c r="C475" s="3" t="s">
        <v>41</v>
      </c>
      <c r="D475" s="3" t="s">
        <v>45</v>
      </c>
      <c r="E475" s="3" t="s">
        <v>25</v>
      </c>
      <c r="F475" s="3" t="s">
        <v>25</v>
      </c>
      <c r="G475" s="3" t="s">
        <v>25</v>
      </c>
      <c r="H475" s="3" t="s">
        <v>34</v>
      </c>
      <c r="I475" s="6">
        <v>44713</v>
      </c>
      <c r="J475" s="4">
        <v>0</v>
      </c>
      <c r="K475" s="4">
        <v>0</v>
      </c>
      <c r="L475" s="4">
        <v>258.82499999999999</v>
      </c>
      <c r="M475" s="4">
        <v>258.82499999999999</v>
      </c>
      <c r="N475" s="4">
        <v>258.82499999999999</v>
      </c>
      <c r="O475" s="4">
        <v>258.82499999999999</v>
      </c>
      <c r="P475" s="4">
        <v>0</v>
      </c>
      <c r="Q475" s="3" t="s">
        <v>26</v>
      </c>
      <c r="R475" s="3">
        <v>0</v>
      </c>
      <c r="S475" s="4">
        <v>0</v>
      </c>
      <c r="T475" s="4">
        <v>11</v>
      </c>
      <c r="U475" s="4">
        <v>71</v>
      </c>
      <c r="V475" s="4">
        <f>IF(ISERROR(VLOOKUP($S$475,'TAR FIN'!$A$1:$O$92,15,0)),0,VLOOKUP($S$475,'TAR FIN'!$A$1:$O$92,15,0))</f>
        <v>0</v>
      </c>
      <c r="W475" s="4">
        <f>IF(ISERROR(VLOOKUP($T$475,'TAR FIN'!$A$1:$O$92,15,0)),0,VLOOKUP($T$475,'TAR FIN'!$A$1:$O$92,15,0))</f>
        <v>1155.51</v>
      </c>
      <c r="X475" s="4">
        <f>IF(ISERROR(VLOOKUP($U$475,'TAR FIN'!$A$1:$O$92,15,0)),0,VLOOKUP($U$475,'TAR FIN'!$A$1:$O$92,15,0))</f>
        <v>433.77</v>
      </c>
      <c r="Y475" s="4"/>
      <c r="Z475" s="4">
        <f ca="1">('TUSD BE'!$AM$11+'TUSD BF'!$AM$11+'TUSD CVA'!$AM$11)*1</f>
        <v>1493.7817824374656</v>
      </c>
      <c r="AA475" s="4">
        <f>('TE BE'!$AB$5+'TE BF'!$AB$5+'TE CVA'!$AB$5)*1</f>
        <v>542.84414704984056</v>
      </c>
      <c r="AB475" s="4">
        <f>$K$475*$V$475</f>
        <v>0</v>
      </c>
      <c r="AC475" s="4">
        <f>$M$475*$W$475</f>
        <v>299074.87575000001</v>
      </c>
      <c r="AD475" s="4">
        <f>$O$475*$X$475</f>
        <v>112270.52024999999</v>
      </c>
      <c r="AE475" s="4">
        <f>$K$475*$Y$475</f>
        <v>0</v>
      </c>
      <c r="AF475" s="4">
        <f ca="1">$M$475*$Z$475</f>
        <v>386628.06983937701</v>
      </c>
      <c r="AG475" s="4">
        <f>$O$475*$AA$475</f>
        <v>140501.63636017498</v>
      </c>
    </row>
    <row r="476" spans="1:33" ht="11.25" customHeight="1" x14ac:dyDescent="0.25">
      <c r="A476" s="3" t="s">
        <v>27</v>
      </c>
      <c r="B476" s="3" t="s">
        <v>39</v>
      </c>
      <c r="C476" s="3" t="s">
        <v>41</v>
      </c>
      <c r="D476" s="3" t="s">
        <v>45</v>
      </c>
      <c r="E476" s="3" t="s">
        <v>25</v>
      </c>
      <c r="F476" s="3" t="s">
        <v>25</v>
      </c>
      <c r="G476" s="3" t="s">
        <v>25</v>
      </c>
      <c r="H476" s="3" t="s">
        <v>34</v>
      </c>
      <c r="I476" s="6">
        <v>44713</v>
      </c>
      <c r="J476" s="4">
        <v>0</v>
      </c>
      <c r="K476" s="4">
        <v>0</v>
      </c>
      <c r="L476" s="4">
        <v>6.3159999999999998</v>
      </c>
      <c r="M476" s="4">
        <v>6.3159999999999998</v>
      </c>
      <c r="N476" s="4">
        <v>6.3159999999999998</v>
      </c>
      <c r="O476" s="4">
        <v>6.3159999999999998</v>
      </c>
      <c r="P476" s="4">
        <v>0</v>
      </c>
      <c r="Q476" s="3" t="s">
        <v>26</v>
      </c>
      <c r="R476" s="3">
        <v>0</v>
      </c>
      <c r="S476" s="4">
        <v>0</v>
      </c>
      <c r="T476" s="4">
        <v>11</v>
      </c>
      <c r="U476" s="4">
        <v>71</v>
      </c>
      <c r="V476" s="4">
        <f>IF(ISERROR(VLOOKUP($S$476,'TAR FIN'!$A$1:$O$92,15,0)),0,VLOOKUP($S$476,'TAR FIN'!$A$1:$O$92,15,0))</f>
        <v>0</v>
      </c>
      <c r="W476" s="4">
        <f>IF(ISERROR(VLOOKUP($T$476,'TAR FIN'!$A$1:$O$92,15,0)),0,VLOOKUP($T$476,'TAR FIN'!$A$1:$O$92,15,0))</f>
        <v>1155.51</v>
      </c>
      <c r="X476" s="4">
        <f>IF(ISERROR(VLOOKUP($U$476,'TAR FIN'!$A$1:$O$92,15,0)),0,VLOOKUP($U$476,'TAR FIN'!$A$1:$O$92,15,0))</f>
        <v>433.77</v>
      </c>
      <c r="Y476" s="4"/>
      <c r="Z476" s="4">
        <f ca="1">('TUSD BE'!$AM$11+'TUSD BF'!$AM$11+'TUSD CVA'!$AM$11)*1</f>
        <v>1493.7817824374656</v>
      </c>
      <c r="AA476" s="4">
        <f>('TE BE'!$AB$5+'TE BF'!$AB$5+'TE CVA'!$AB$5)*1</f>
        <v>542.84414704984056</v>
      </c>
      <c r="AB476" s="4">
        <f>$K$476*$V$476</f>
        <v>0</v>
      </c>
      <c r="AC476" s="4">
        <f>$M$476*$W$476</f>
        <v>7298.2011599999996</v>
      </c>
      <c r="AD476" s="4">
        <f>$O$476*$X$476</f>
        <v>2739.6913199999999</v>
      </c>
      <c r="AE476" s="4">
        <f>$K$476*$Y$476</f>
        <v>0</v>
      </c>
      <c r="AF476" s="4">
        <f ca="1">$M$476*$Z$476</f>
        <v>9434.7257378750328</v>
      </c>
      <c r="AG476" s="4">
        <f>$O$476*$AA$476</f>
        <v>3428.603632766793</v>
      </c>
    </row>
    <row r="477" spans="1:33" ht="11.25" customHeight="1" x14ac:dyDescent="0.25">
      <c r="A477" s="3" t="s">
        <v>28</v>
      </c>
      <c r="B477" s="3" t="s">
        <v>39</v>
      </c>
      <c r="C477" s="3" t="s">
        <v>41</v>
      </c>
      <c r="D477" s="3" t="s">
        <v>45</v>
      </c>
      <c r="E477" s="3" t="s">
        <v>25</v>
      </c>
      <c r="F477" s="3" t="s">
        <v>25</v>
      </c>
      <c r="G477" s="3" t="s">
        <v>25</v>
      </c>
      <c r="H477" s="3" t="s">
        <v>34</v>
      </c>
      <c r="I477" s="6">
        <v>44713</v>
      </c>
      <c r="J477" s="4">
        <v>0</v>
      </c>
      <c r="K477" s="4">
        <v>0</v>
      </c>
      <c r="L477" s="4">
        <v>75.061999999999998</v>
      </c>
      <c r="M477" s="4">
        <v>75.061999999999998</v>
      </c>
      <c r="N477" s="4">
        <v>75.061999999999998</v>
      </c>
      <c r="O477" s="4">
        <v>75.061999999999998</v>
      </c>
      <c r="P477" s="4">
        <v>0</v>
      </c>
      <c r="Q477" s="3" t="s">
        <v>26</v>
      </c>
      <c r="R477" s="3">
        <v>0</v>
      </c>
      <c r="S477" s="4">
        <v>0</v>
      </c>
      <c r="T477" s="4">
        <v>11</v>
      </c>
      <c r="U477" s="4">
        <v>71</v>
      </c>
      <c r="V477" s="4">
        <f>IF(ISERROR(VLOOKUP($S$477,'TAR FIN'!$A$1:$O$92,15,0)),0,VLOOKUP($S$477,'TAR FIN'!$A$1:$O$92,15,0))</f>
        <v>0</v>
      </c>
      <c r="W477" s="4">
        <f>IF(ISERROR(VLOOKUP($T$477,'TAR FIN'!$A$1:$O$92,15,0)),0,VLOOKUP($T$477,'TAR FIN'!$A$1:$O$92,15,0))</f>
        <v>1155.51</v>
      </c>
      <c r="X477" s="4">
        <f>IF(ISERROR(VLOOKUP($U$477,'TAR FIN'!$A$1:$O$92,15,0)),0,VLOOKUP($U$477,'TAR FIN'!$A$1:$O$92,15,0))</f>
        <v>433.77</v>
      </c>
      <c r="Y477" s="4"/>
      <c r="Z477" s="4">
        <f ca="1">('TUSD BE'!$AM$11+'TUSD BF'!$AM$11+'TUSD CVA'!$AM$11)*1</f>
        <v>1493.7817824374656</v>
      </c>
      <c r="AA477" s="4">
        <f>('TE BE'!$AB$5+'TE BF'!$AB$5+'TE CVA'!$AB$5)*1</f>
        <v>542.84414704984056</v>
      </c>
      <c r="AB477" s="4">
        <f>$K$477*$V$477</f>
        <v>0</v>
      </c>
      <c r="AC477" s="4">
        <f>$M$477*$W$477</f>
        <v>86734.891619999995</v>
      </c>
      <c r="AD477" s="4">
        <f>$O$477*$X$477</f>
        <v>32559.643739999996</v>
      </c>
      <c r="AE477" s="4">
        <f>$K$477*$Y$477</f>
        <v>0</v>
      </c>
      <c r="AF477" s="4">
        <f ca="1">$M$477*$Z$477</f>
        <v>112126.24815332104</v>
      </c>
      <c r="AG477" s="4">
        <f>$O$477*$AA$477</f>
        <v>40746.967365855133</v>
      </c>
    </row>
    <row r="478" spans="1:33" ht="11.25" customHeight="1" x14ac:dyDescent="0.25">
      <c r="A478" s="3" t="s">
        <v>21</v>
      </c>
      <c r="B478" s="3" t="s">
        <v>39</v>
      </c>
      <c r="C478" s="3" t="s">
        <v>41</v>
      </c>
      <c r="D478" s="3" t="s">
        <v>45</v>
      </c>
      <c r="E478" s="3" t="s">
        <v>25</v>
      </c>
      <c r="F478" s="3" t="s">
        <v>25</v>
      </c>
      <c r="G478" s="3" t="s">
        <v>25</v>
      </c>
      <c r="H478" s="3" t="s">
        <v>34</v>
      </c>
      <c r="I478" s="6">
        <v>44743</v>
      </c>
      <c r="J478" s="4">
        <v>0</v>
      </c>
      <c r="K478" s="4">
        <v>0</v>
      </c>
      <c r="L478" s="4">
        <v>251.92099999999999</v>
      </c>
      <c r="M478" s="4">
        <v>251.92099999999999</v>
      </c>
      <c r="N478" s="4">
        <v>251.92099999999999</v>
      </c>
      <c r="O478" s="4">
        <v>251.92099999999999</v>
      </c>
      <c r="P478" s="4">
        <v>0</v>
      </c>
      <c r="Q478" s="3" t="s">
        <v>26</v>
      </c>
      <c r="R478" s="3">
        <v>0</v>
      </c>
      <c r="S478" s="4">
        <v>0</v>
      </c>
      <c r="T478" s="4">
        <v>11</v>
      </c>
      <c r="U478" s="4">
        <v>71</v>
      </c>
      <c r="V478" s="4">
        <f>IF(ISERROR(VLOOKUP($S$478,'TAR FIN'!$A$1:$O$92,15,0)),0,VLOOKUP($S$478,'TAR FIN'!$A$1:$O$92,15,0))</f>
        <v>0</v>
      </c>
      <c r="W478" s="4">
        <f>IF(ISERROR(VLOOKUP($T$478,'TAR FIN'!$A$1:$O$92,15,0)),0,VLOOKUP($T$478,'TAR FIN'!$A$1:$O$92,15,0))</f>
        <v>1155.51</v>
      </c>
      <c r="X478" s="4">
        <f>IF(ISERROR(VLOOKUP($U$478,'TAR FIN'!$A$1:$O$92,15,0)),0,VLOOKUP($U$478,'TAR FIN'!$A$1:$O$92,15,0))</f>
        <v>433.77</v>
      </c>
      <c r="Y478" s="4"/>
      <c r="Z478" s="4">
        <f ca="1">('TUSD BE'!$AM$11+'TUSD BF'!$AM$11+'TUSD CVA'!$AM$11)*1</f>
        <v>1493.7817824374656</v>
      </c>
      <c r="AA478" s="4">
        <f>('TE BE'!$AB$5+'TE BF'!$AB$5+'TE CVA'!$AB$5)*1</f>
        <v>542.84414704984056</v>
      </c>
      <c r="AB478" s="4">
        <f>$K$478*$V$478</f>
        <v>0</v>
      </c>
      <c r="AC478" s="4">
        <f>$M$478*$W$478</f>
        <v>291097.23470999999</v>
      </c>
      <c r="AD478" s="4">
        <f>$O$478*$X$478</f>
        <v>109275.77217</v>
      </c>
      <c r="AE478" s="4">
        <f>$K$478*$Y$478</f>
        <v>0</v>
      </c>
      <c r="AF478" s="4">
        <f ca="1">$M$478*$Z$478</f>
        <v>376315.00041342876</v>
      </c>
      <c r="AG478" s="4">
        <f>$O$478*$AA$478</f>
        <v>136753.84036894288</v>
      </c>
    </row>
    <row r="479" spans="1:33" ht="11.25" customHeight="1" x14ac:dyDescent="0.25">
      <c r="A479" s="3" t="s">
        <v>27</v>
      </c>
      <c r="B479" s="3" t="s">
        <v>39</v>
      </c>
      <c r="C479" s="3" t="s">
        <v>41</v>
      </c>
      <c r="D479" s="3" t="s">
        <v>45</v>
      </c>
      <c r="E479" s="3" t="s">
        <v>25</v>
      </c>
      <c r="F479" s="3" t="s">
        <v>25</v>
      </c>
      <c r="G479" s="3" t="s">
        <v>25</v>
      </c>
      <c r="H479" s="3" t="s">
        <v>34</v>
      </c>
      <c r="I479" s="6">
        <v>44743</v>
      </c>
      <c r="J479" s="4">
        <v>0</v>
      </c>
      <c r="K479" s="4">
        <v>0</v>
      </c>
      <c r="L479" s="4">
        <v>0.41</v>
      </c>
      <c r="M479" s="4">
        <v>0.41</v>
      </c>
      <c r="N479" s="4">
        <v>0.41</v>
      </c>
      <c r="O479" s="4">
        <v>0.41</v>
      </c>
      <c r="P479" s="4">
        <v>0</v>
      </c>
      <c r="Q479" s="3" t="s">
        <v>26</v>
      </c>
      <c r="R479" s="3">
        <v>0</v>
      </c>
      <c r="S479" s="4">
        <v>0</v>
      </c>
      <c r="T479" s="4">
        <v>11</v>
      </c>
      <c r="U479" s="4">
        <v>71</v>
      </c>
      <c r="V479" s="4">
        <f>IF(ISERROR(VLOOKUP($S$479,'TAR FIN'!$A$1:$O$92,15,0)),0,VLOOKUP($S$479,'TAR FIN'!$A$1:$O$92,15,0))</f>
        <v>0</v>
      </c>
      <c r="W479" s="4">
        <f>IF(ISERROR(VLOOKUP($T$479,'TAR FIN'!$A$1:$O$92,15,0)),0,VLOOKUP($T$479,'TAR FIN'!$A$1:$O$92,15,0))</f>
        <v>1155.51</v>
      </c>
      <c r="X479" s="4">
        <f>IF(ISERROR(VLOOKUP($U$479,'TAR FIN'!$A$1:$O$92,15,0)),0,VLOOKUP($U$479,'TAR FIN'!$A$1:$O$92,15,0))</f>
        <v>433.77</v>
      </c>
      <c r="Y479" s="4"/>
      <c r="Z479" s="4">
        <f ca="1">('TUSD BE'!$AM$11+'TUSD BF'!$AM$11+'TUSD CVA'!$AM$11)*1</f>
        <v>1493.7817824374656</v>
      </c>
      <c r="AA479" s="4">
        <f>('TE BE'!$AB$5+'TE BF'!$AB$5+'TE CVA'!$AB$5)*1</f>
        <v>542.84414704984056</v>
      </c>
      <c r="AB479" s="4">
        <f>$K$479*$V$479</f>
        <v>0</v>
      </c>
      <c r="AC479" s="4">
        <f>$M$479*$W$479</f>
        <v>473.75909999999999</v>
      </c>
      <c r="AD479" s="4">
        <f>$O$479*$X$479</f>
        <v>177.84569999999999</v>
      </c>
      <c r="AE479" s="4">
        <f>$K$479*$Y$479</f>
        <v>0</v>
      </c>
      <c r="AF479" s="4">
        <f ca="1">$M$479*$Z$479</f>
        <v>612.45053079936088</v>
      </c>
      <c r="AG479" s="4">
        <f>$O$479*$AA$479</f>
        <v>222.5661002904346</v>
      </c>
    </row>
    <row r="480" spans="1:33" ht="11.25" customHeight="1" x14ac:dyDescent="0.25">
      <c r="A480" s="3" t="s">
        <v>28</v>
      </c>
      <c r="B480" s="3" t="s">
        <v>39</v>
      </c>
      <c r="C480" s="3" t="s">
        <v>41</v>
      </c>
      <c r="D480" s="3" t="s">
        <v>45</v>
      </c>
      <c r="E480" s="3" t="s">
        <v>25</v>
      </c>
      <c r="F480" s="3" t="s">
        <v>25</v>
      </c>
      <c r="G480" s="3" t="s">
        <v>25</v>
      </c>
      <c r="H480" s="3" t="s">
        <v>34</v>
      </c>
      <c r="I480" s="6">
        <v>44743</v>
      </c>
      <c r="J480" s="4">
        <v>0</v>
      </c>
      <c r="K480" s="4">
        <v>0</v>
      </c>
      <c r="L480" s="4">
        <v>73.111000000000004</v>
      </c>
      <c r="M480" s="4">
        <v>73.111000000000004</v>
      </c>
      <c r="N480" s="4">
        <v>73.111000000000004</v>
      </c>
      <c r="O480" s="4">
        <v>73.111000000000004</v>
      </c>
      <c r="P480" s="4">
        <v>0</v>
      </c>
      <c r="Q480" s="3" t="s">
        <v>26</v>
      </c>
      <c r="R480" s="3">
        <v>0</v>
      </c>
      <c r="S480" s="4">
        <v>0</v>
      </c>
      <c r="T480" s="4">
        <v>11</v>
      </c>
      <c r="U480" s="4">
        <v>71</v>
      </c>
      <c r="V480" s="4">
        <f>IF(ISERROR(VLOOKUP($S$480,'TAR FIN'!$A$1:$O$92,15,0)),0,VLOOKUP($S$480,'TAR FIN'!$A$1:$O$92,15,0))</f>
        <v>0</v>
      </c>
      <c r="W480" s="4">
        <f>IF(ISERROR(VLOOKUP($T$480,'TAR FIN'!$A$1:$O$92,15,0)),0,VLOOKUP($T$480,'TAR FIN'!$A$1:$O$92,15,0))</f>
        <v>1155.51</v>
      </c>
      <c r="X480" s="4">
        <f>IF(ISERROR(VLOOKUP($U$480,'TAR FIN'!$A$1:$O$92,15,0)),0,VLOOKUP($U$480,'TAR FIN'!$A$1:$O$92,15,0))</f>
        <v>433.77</v>
      </c>
      <c r="Y480" s="4"/>
      <c r="Z480" s="4">
        <f ca="1">('TUSD BE'!$AM$11+'TUSD BF'!$AM$11+'TUSD CVA'!$AM$11)*1</f>
        <v>1493.7817824374656</v>
      </c>
      <c r="AA480" s="4">
        <f>('TE BE'!$AB$5+'TE BF'!$AB$5+'TE CVA'!$AB$5)*1</f>
        <v>542.84414704984056</v>
      </c>
      <c r="AB480" s="4">
        <f>$K$480*$V$480</f>
        <v>0</v>
      </c>
      <c r="AC480" s="4">
        <f>$M$480*$W$480</f>
        <v>84480.491609999997</v>
      </c>
      <c r="AD480" s="4">
        <f>$O$480*$X$480</f>
        <v>31713.358469999999</v>
      </c>
      <c r="AE480" s="4">
        <f>$K$480*$Y$480</f>
        <v>0</v>
      </c>
      <c r="AF480" s="4">
        <f ca="1">$M$480*$Z$480</f>
        <v>109211.87989578556</v>
      </c>
      <c r="AG480" s="4">
        <f>$O$480*$AA$480</f>
        <v>39687.878434960898</v>
      </c>
    </row>
    <row r="481" spans="1:33" ht="11.25" customHeight="1" x14ac:dyDescent="0.25">
      <c r="A481" s="3" t="s">
        <v>21</v>
      </c>
      <c r="B481" s="3" t="s">
        <v>39</v>
      </c>
      <c r="C481" s="3" t="s">
        <v>41</v>
      </c>
      <c r="D481" s="3" t="s">
        <v>45</v>
      </c>
      <c r="E481" s="3" t="s">
        <v>25</v>
      </c>
      <c r="F481" s="3" t="s">
        <v>25</v>
      </c>
      <c r="G481" s="3" t="s">
        <v>25</v>
      </c>
      <c r="H481" s="3" t="s">
        <v>34</v>
      </c>
      <c r="I481" s="6">
        <v>44774</v>
      </c>
      <c r="J481" s="4">
        <v>0</v>
      </c>
      <c r="K481" s="4">
        <v>0</v>
      </c>
      <c r="L481" s="4">
        <v>308.637</v>
      </c>
      <c r="M481" s="4">
        <v>308.637</v>
      </c>
      <c r="N481" s="4">
        <v>308.637</v>
      </c>
      <c r="O481" s="4">
        <v>308.637</v>
      </c>
      <c r="P481" s="4">
        <v>0</v>
      </c>
      <c r="Q481" s="3" t="s">
        <v>26</v>
      </c>
      <c r="R481" s="3">
        <v>0</v>
      </c>
      <c r="S481" s="4">
        <v>0</v>
      </c>
      <c r="T481" s="4">
        <v>11</v>
      </c>
      <c r="U481" s="4">
        <v>71</v>
      </c>
      <c r="V481" s="4">
        <f>IF(ISERROR(VLOOKUP($S$481,'TAR FIN'!$A$1:$O$92,15,0)),0,VLOOKUP($S$481,'TAR FIN'!$A$1:$O$92,15,0))</f>
        <v>0</v>
      </c>
      <c r="W481" s="4">
        <f>IF(ISERROR(VLOOKUP($T$481,'TAR FIN'!$A$1:$O$92,15,0)),0,VLOOKUP($T$481,'TAR FIN'!$A$1:$O$92,15,0))</f>
        <v>1155.51</v>
      </c>
      <c r="X481" s="4">
        <f>IF(ISERROR(VLOOKUP($U$481,'TAR FIN'!$A$1:$O$92,15,0)),0,VLOOKUP($U$481,'TAR FIN'!$A$1:$O$92,15,0))</f>
        <v>433.77</v>
      </c>
      <c r="Y481" s="4"/>
      <c r="Z481" s="4">
        <f ca="1">('TUSD BE'!$AM$11+'TUSD BF'!$AM$11+'TUSD CVA'!$AM$11)*1</f>
        <v>1493.7817824374656</v>
      </c>
      <c r="AA481" s="4">
        <f>('TE BE'!$AB$5+'TE BF'!$AB$5+'TE CVA'!$AB$5)*1</f>
        <v>542.84414704984056</v>
      </c>
      <c r="AB481" s="4">
        <f>$K$481*$V$481</f>
        <v>0</v>
      </c>
      <c r="AC481" s="4">
        <f>$M$481*$W$481</f>
        <v>356633.13987000001</v>
      </c>
      <c r="AD481" s="4">
        <f>$O$481*$X$481</f>
        <v>133877.47149</v>
      </c>
      <c r="AE481" s="4">
        <f>$K$481*$Y$481</f>
        <v>0</v>
      </c>
      <c r="AF481" s="4">
        <f ca="1">$M$481*$Z$481</f>
        <v>461036.32798615209</v>
      </c>
      <c r="AG481" s="4">
        <f>$O$481*$AA$481</f>
        <v>167541.78901302165</v>
      </c>
    </row>
    <row r="482" spans="1:33" ht="11.25" customHeight="1" x14ac:dyDescent="0.25">
      <c r="A482" s="3" t="s">
        <v>28</v>
      </c>
      <c r="B482" s="3" t="s">
        <v>39</v>
      </c>
      <c r="C482" s="3" t="s">
        <v>41</v>
      </c>
      <c r="D482" s="3" t="s">
        <v>45</v>
      </c>
      <c r="E482" s="3" t="s">
        <v>25</v>
      </c>
      <c r="F482" s="3" t="s">
        <v>25</v>
      </c>
      <c r="G482" s="3" t="s">
        <v>25</v>
      </c>
      <c r="H482" s="3" t="s">
        <v>34</v>
      </c>
      <c r="I482" s="6">
        <v>44774</v>
      </c>
      <c r="J482" s="4">
        <v>0</v>
      </c>
      <c r="K482" s="4">
        <v>0</v>
      </c>
      <c r="L482" s="4">
        <v>93.603999999999999</v>
      </c>
      <c r="M482" s="4">
        <v>93.603999999999999</v>
      </c>
      <c r="N482" s="4">
        <v>93.603999999999999</v>
      </c>
      <c r="O482" s="4">
        <v>93.603999999999999</v>
      </c>
      <c r="P482" s="4">
        <v>0</v>
      </c>
      <c r="Q482" s="3" t="s">
        <v>26</v>
      </c>
      <c r="R482" s="3">
        <v>0</v>
      </c>
      <c r="S482" s="4">
        <v>0</v>
      </c>
      <c r="T482" s="4">
        <v>11</v>
      </c>
      <c r="U482" s="4">
        <v>71</v>
      </c>
      <c r="V482" s="4">
        <f>IF(ISERROR(VLOOKUP($S$482,'TAR FIN'!$A$1:$O$92,15,0)),0,VLOOKUP($S$482,'TAR FIN'!$A$1:$O$92,15,0))</f>
        <v>0</v>
      </c>
      <c r="W482" s="4">
        <f>IF(ISERROR(VLOOKUP($T$482,'TAR FIN'!$A$1:$O$92,15,0)),0,VLOOKUP($T$482,'TAR FIN'!$A$1:$O$92,15,0))</f>
        <v>1155.51</v>
      </c>
      <c r="X482" s="4">
        <f>IF(ISERROR(VLOOKUP($U$482,'TAR FIN'!$A$1:$O$92,15,0)),0,VLOOKUP($U$482,'TAR FIN'!$A$1:$O$92,15,0))</f>
        <v>433.77</v>
      </c>
      <c r="Y482" s="4"/>
      <c r="Z482" s="4">
        <f ca="1">('TUSD BE'!$AM$11+'TUSD BF'!$AM$11+'TUSD CVA'!$AM$11)*1</f>
        <v>1493.7817824374656</v>
      </c>
      <c r="AA482" s="4">
        <f>('TE BE'!$AB$5+'TE BF'!$AB$5+'TE CVA'!$AB$5)*1</f>
        <v>542.84414704984056</v>
      </c>
      <c r="AB482" s="4">
        <f>$K$482*$V$482</f>
        <v>0</v>
      </c>
      <c r="AC482" s="4">
        <f>$M$482*$W$482</f>
        <v>108160.35803999999</v>
      </c>
      <c r="AD482" s="4">
        <f>$O$482*$X$482</f>
        <v>40602.607080000002</v>
      </c>
      <c r="AE482" s="4">
        <f>$K$482*$Y$482</f>
        <v>0</v>
      </c>
      <c r="AF482" s="4">
        <f ca="1">$M$482*$Z$482</f>
        <v>139823.94996327654</v>
      </c>
      <c r="AG482" s="4">
        <f>$O$482*$AA$482</f>
        <v>50812.383540453273</v>
      </c>
    </row>
    <row r="483" spans="1:33" ht="11.25" customHeight="1" x14ac:dyDescent="0.25">
      <c r="A483" s="3" t="s">
        <v>21</v>
      </c>
      <c r="B483" s="3" t="s">
        <v>39</v>
      </c>
      <c r="C483" s="3" t="s">
        <v>41</v>
      </c>
      <c r="D483" s="3" t="s">
        <v>45</v>
      </c>
      <c r="E483" s="3" t="s">
        <v>25</v>
      </c>
      <c r="F483" s="3" t="s">
        <v>25</v>
      </c>
      <c r="G483" s="3" t="s">
        <v>25</v>
      </c>
      <c r="H483" s="3" t="s">
        <v>34</v>
      </c>
      <c r="I483" s="6">
        <v>44805</v>
      </c>
      <c r="J483" s="4">
        <v>0</v>
      </c>
      <c r="K483" s="4">
        <v>0</v>
      </c>
      <c r="L483" s="4">
        <v>297.97500000000002</v>
      </c>
      <c r="M483" s="4">
        <v>297.97500000000002</v>
      </c>
      <c r="N483" s="4">
        <v>297.97500000000002</v>
      </c>
      <c r="O483" s="4">
        <v>297.97500000000002</v>
      </c>
      <c r="P483" s="4">
        <v>0</v>
      </c>
      <c r="Q483" s="3" t="s">
        <v>26</v>
      </c>
      <c r="R483" s="3">
        <v>0</v>
      </c>
      <c r="S483" s="4">
        <v>0</v>
      </c>
      <c r="T483" s="4">
        <v>11</v>
      </c>
      <c r="U483" s="4">
        <v>71</v>
      </c>
      <c r="V483" s="4">
        <f>IF(ISERROR(VLOOKUP($S$483,'TAR FIN'!$A$1:$O$92,15,0)),0,VLOOKUP($S$483,'TAR FIN'!$A$1:$O$92,15,0))</f>
        <v>0</v>
      </c>
      <c r="W483" s="4">
        <f>IF(ISERROR(VLOOKUP($T$483,'TAR FIN'!$A$1:$O$92,15,0)),0,VLOOKUP($T$483,'TAR FIN'!$A$1:$O$92,15,0))</f>
        <v>1155.51</v>
      </c>
      <c r="X483" s="4">
        <f>IF(ISERROR(VLOOKUP($U$483,'TAR FIN'!$A$1:$O$92,15,0)),0,VLOOKUP($U$483,'TAR FIN'!$A$1:$O$92,15,0))</f>
        <v>433.77</v>
      </c>
      <c r="Y483" s="4"/>
      <c r="Z483" s="4">
        <f ca="1">('TUSD BE'!$AM$11+'TUSD BF'!$AM$11+'TUSD CVA'!$AM$11)*1</f>
        <v>1493.7817824374656</v>
      </c>
      <c r="AA483" s="4">
        <f>('TE BE'!$AB$5+'TE BF'!$AB$5+'TE CVA'!$AB$5)*1</f>
        <v>542.84414704984056</v>
      </c>
      <c r="AB483" s="4">
        <f>$K$483*$V$483</f>
        <v>0</v>
      </c>
      <c r="AC483" s="4">
        <f>$M$483*$W$483</f>
        <v>344313.09225000005</v>
      </c>
      <c r="AD483" s="4">
        <f>$O$483*$X$483</f>
        <v>129252.61575</v>
      </c>
      <c r="AE483" s="4">
        <f>$K$483*$Y$483</f>
        <v>0</v>
      </c>
      <c r="AF483" s="4">
        <f ca="1">$M$483*$Z$483</f>
        <v>445109.62662180385</v>
      </c>
      <c r="AG483" s="4">
        <f>$O$483*$AA$483</f>
        <v>161753.98471717627</v>
      </c>
    </row>
    <row r="484" spans="1:33" ht="11.25" customHeight="1" x14ac:dyDescent="0.25">
      <c r="A484" s="3" t="s">
        <v>27</v>
      </c>
      <c r="B484" s="3" t="s">
        <v>39</v>
      </c>
      <c r="C484" s="3" t="s">
        <v>41</v>
      </c>
      <c r="D484" s="3" t="s">
        <v>45</v>
      </c>
      <c r="E484" s="3" t="s">
        <v>25</v>
      </c>
      <c r="F484" s="3" t="s">
        <v>25</v>
      </c>
      <c r="G484" s="3" t="s">
        <v>25</v>
      </c>
      <c r="H484" s="3" t="s">
        <v>34</v>
      </c>
      <c r="I484" s="6">
        <v>44805</v>
      </c>
      <c r="J484" s="4">
        <v>0</v>
      </c>
      <c r="K484" s="4">
        <v>0</v>
      </c>
      <c r="L484" s="4">
        <v>0.73</v>
      </c>
      <c r="M484" s="4">
        <v>0.73</v>
      </c>
      <c r="N484" s="4">
        <v>0.73</v>
      </c>
      <c r="O484" s="4">
        <v>0.73</v>
      </c>
      <c r="P484" s="4">
        <v>0</v>
      </c>
      <c r="Q484" s="3" t="s">
        <v>26</v>
      </c>
      <c r="R484" s="3">
        <v>0</v>
      </c>
      <c r="S484" s="4">
        <v>0</v>
      </c>
      <c r="T484" s="4">
        <v>11</v>
      </c>
      <c r="U484" s="4">
        <v>71</v>
      </c>
      <c r="V484" s="4">
        <f>IF(ISERROR(VLOOKUP($S$484,'TAR FIN'!$A$1:$O$92,15,0)),0,VLOOKUP($S$484,'TAR FIN'!$A$1:$O$92,15,0))</f>
        <v>0</v>
      </c>
      <c r="W484" s="4">
        <f>IF(ISERROR(VLOOKUP($T$484,'TAR FIN'!$A$1:$O$92,15,0)),0,VLOOKUP($T$484,'TAR FIN'!$A$1:$O$92,15,0))</f>
        <v>1155.51</v>
      </c>
      <c r="X484" s="4">
        <f>IF(ISERROR(VLOOKUP($U$484,'TAR FIN'!$A$1:$O$92,15,0)),0,VLOOKUP($U$484,'TAR FIN'!$A$1:$O$92,15,0))</f>
        <v>433.77</v>
      </c>
      <c r="Y484" s="4"/>
      <c r="Z484" s="4">
        <f ca="1">('TUSD BE'!$AM$11+'TUSD BF'!$AM$11+'TUSD CVA'!$AM$11)*1</f>
        <v>1493.7817824374656</v>
      </c>
      <c r="AA484" s="4">
        <f>('TE BE'!$AB$5+'TE BF'!$AB$5+'TE CVA'!$AB$5)*1</f>
        <v>542.84414704984056</v>
      </c>
      <c r="AB484" s="4">
        <f>$K$484*$V$484</f>
        <v>0</v>
      </c>
      <c r="AC484" s="4">
        <f>$M$484*$W$484</f>
        <v>843.52229999999997</v>
      </c>
      <c r="AD484" s="4">
        <f>$O$484*$X$484</f>
        <v>316.65209999999996</v>
      </c>
      <c r="AE484" s="4">
        <f>$K$484*$Y$484</f>
        <v>0</v>
      </c>
      <c r="AF484" s="4">
        <f ca="1">$M$484*$Z$484</f>
        <v>1090.4607011793498</v>
      </c>
      <c r="AG484" s="4">
        <f>$O$484*$AA$484</f>
        <v>396.27622734638362</v>
      </c>
    </row>
    <row r="485" spans="1:33" ht="11.25" customHeight="1" x14ac:dyDescent="0.25">
      <c r="A485" s="3" t="s">
        <v>28</v>
      </c>
      <c r="B485" s="3" t="s">
        <v>39</v>
      </c>
      <c r="C485" s="3" t="s">
        <v>41</v>
      </c>
      <c r="D485" s="3" t="s">
        <v>45</v>
      </c>
      <c r="E485" s="3" t="s">
        <v>25</v>
      </c>
      <c r="F485" s="3" t="s">
        <v>25</v>
      </c>
      <c r="G485" s="3" t="s">
        <v>25</v>
      </c>
      <c r="H485" s="3" t="s">
        <v>34</v>
      </c>
      <c r="I485" s="6">
        <v>44805</v>
      </c>
      <c r="J485" s="4">
        <v>0</v>
      </c>
      <c r="K485" s="4">
        <v>0</v>
      </c>
      <c r="L485" s="4">
        <v>92.215000000000003</v>
      </c>
      <c r="M485" s="4">
        <v>92.215000000000003</v>
      </c>
      <c r="N485" s="4">
        <v>92.215000000000003</v>
      </c>
      <c r="O485" s="4">
        <v>92.215000000000003</v>
      </c>
      <c r="P485" s="4">
        <v>0</v>
      </c>
      <c r="Q485" s="3" t="s">
        <v>26</v>
      </c>
      <c r="R485" s="3">
        <v>0</v>
      </c>
      <c r="S485" s="4">
        <v>0</v>
      </c>
      <c r="T485" s="4">
        <v>11</v>
      </c>
      <c r="U485" s="4">
        <v>71</v>
      </c>
      <c r="V485" s="4">
        <f>IF(ISERROR(VLOOKUP($S$485,'TAR FIN'!$A$1:$O$92,15,0)),0,VLOOKUP($S$485,'TAR FIN'!$A$1:$O$92,15,0))</f>
        <v>0</v>
      </c>
      <c r="W485" s="4">
        <f>IF(ISERROR(VLOOKUP($T$485,'TAR FIN'!$A$1:$O$92,15,0)),0,VLOOKUP($T$485,'TAR FIN'!$A$1:$O$92,15,0))</f>
        <v>1155.51</v>
      </c>
      <c r="X485" s="4">
        <f>IF(ISERROR(VLOOKUP($U$485,'TAR FIN'!$A$1:$O$92,15,0)),0,VLOOKUP($U$485,'TAR FIN'!$A$1:$O$92,15,0))</f>
        <v>433.77</v>
      </c>
      <c r="Y485" s="4"/>
      <c r="Z485" s="4">
        <f ca="1">('TUSD BE'!$AM$11+'TUSD BF'!$AM$11+'TUSD CVA'!$AM$11)*1</f>
        <v>1493.7817824374656</v>
      </c>
      <c r="AA485" s="4">
        <f>('TE BE'!$AB$5+'TE BF'!$AB$5+'TE CVA'!$AB$5)*1</f>
        <v>542.84414704984056</v>
      </c>
      <c r="AB485" s="4">
        <f>$K$485*$V$485</f>
        <v>0</v>
      </c>
      <c r="AC485" s="4">
        <f>$M$485*$W$485</f>
        <v>106555.35465000001</v>
      </c>
      <c r="AD485" s="4">
        <f>$O$485*$X$485</f>
        <v>40000.100550000003</v>
      </c>
      <c r="AE485" s="4">
        <f>$K$485*$Y$485</f>
        <v>0</v>
      </c>
      <c r="AF485" s="4">
        <f ca="1">$M$485*$Z$485</f>
        <v>137749.08706747089</v>
      </c>
      <c r="AG485" s="4">
        <f>$O$485*$AA$485</f>
        <v>50058.373020201048</v>
      </c>
    </row>
    <row r="486" spans="1:33" ht="11.25" customHeight="1" x14ac:dyDescent="0.25">
      <c r="A486" s="3" t="s">
        <v>55</v>
      </c>
      <c r="B486" s="3" t="s">
        <v>39</v>
      </c>
      <c r="C486" s="3" t="s">
        <v>41</v>
      </c>
      <c r="D486" s="3" t="s">
        <v>45</v>
      </c>
      <c r="E486" s="3" t="s">
        <v>25</v>
      </c>
      <c r="F486" s="3" t="s">
        <v>25</v>
      </c>
      <c r="G486" s="3" t="s">
        <v>25</v>
      </c>
      <c r="H486" s="3" t="s">
        <v>34</v>
      </c>
      <c r="I486" s="6">
        <v>44835</v>
      </c>
      <c r="J486" s="4">
        <v>0</v>
      </c>
      <c r="K486" s="4">
        <v>0</v>
      </c>
      <c r="L486" s="4">
        <v>297.97500000000002</v>
      </c>
      <c r="M486" s="4">
        <v>297.97500000000002</v>
      </c>
      <c r="N486" s="4">
        <v>297.97500000000002</v>
      </c>
      <c r="O486" s="4">
        <v>297.97500000000002</v>
      </c>
      <c r="P486" s="4">
        <v>0</v>
      </c>
      <c r="Q486" s="3" t="s">
        <v>26</v>
      </c>
      <c r="R486" s="3">
        <v>0</v>
      </c>
      <c r="S486" s="4">
        <v>0</v>
      </c>
      <c r="T486" s="4">
        <v>11</v>
      </c>
      <c r="U486" s="4">
        <v>71</v>
      </c>
      <c r="V486" s="4">
        <f>IF(ISERROR(VLOOKUP($S$486,'TAR FIN'!$A$1:$O$92,15,0)),0,VLOOKUP($S$486,'TAR FIN'!$A$1:$O$92,15,0))</f>
        <v>0</v>
      </c>
      <c r="W486" s="4">
        <f>IF(ISERROR(VLOOKUP($T$486,'TAR FIN'!$A$1:$O$92,15,0)),0,VLOOKUP($T$486,'TAR FIN'!$A$1:$O$92,15,0))</f>
        <v>1155.51</v>
      </c>
      <c r="X486" s="4">
        <f>IF(ISERROR(VLOOKUP($U$486,'TAR FIN'!$A$1:$O$92,15,0)),0,VLOOKUP($U$486,'TAR FIN'!$A$1:$O$92,15,0))</f>
        <v>433.77</v>
      </c>
      <c r="Y486" s="4"/>
      <c r="Z486" s="4">
        <f ca="1">('TUSD BE'!$AM$11+'TUSD BF'!$AM$11+'TUSD CVA'!$AM$11)*1</f>
        <v>1493.7817824374656</v>
      </c>
      <c r="AA486" s="4">
        <f>('TE BE'!$AB$5+'TE BF'!$AB$5+'TE CVA'!$AB$5)*1</f>
        <v>542.84414704984056</v>
      </c>
      <c r="AB486" s="4">
        <f>$K$486*$V$486</f>
        <v>0</v>
      </c>
      <c r="AC486" s="4">
        <f>$M$486*$W$486</f>
        <v>344313.09225000005</v>
      </c>
      <c r="AD486" s="4">
        <f>$O$486*$X$486</f>
        <v>129252.61575</v>
      </c>
      <c r="AE486" s="4">
        <f>$K$486*$Y$486</f>
        <v>0</v>
      </c>
      <c r="AF486" s="4">
        <f ca="1">$M$486*$Z$486</f>
        <v>445109.62662180385</v>
      </c>
      <c r="AG486" s="4">
        <f>$O$486*$AA$486</f>
        <v>161753.98471717627</v>
      </c>
    </row>
    <row r="487" spans="1:33" ht="11.25" customHeight="1" x14ac:dyDescent="0.25">
      <c r="A487" s="3" t="s">
        <v>55</v>
      </c>
      <c r="B487" s="3" t="s">
        <v>39</v>
      </c>
      <c r="C487" s="3" t="s">
        <v>41</v>
      </c>
      <c r="D487" s="3" t="s">
        <v>45</v>
      </c>
      <c r="E487" s="3" t="s">
        <v>25</v>
      </c>
      <c r="F487" s="3" t="s">
        <v>25</v>
      </c>
      <c r="G487" s="3" t="s">
        <v>25</v>
      </c>
      <c r="H487" s="3" t="s">
        <v>34</v>
      </c>
      <c r="I487" s="6">
        <v>44835</v>
      </c>
      <c r="J487" s="4">
        <v>0</v>
      </c>
      <c r="K487" s="4">
        <v>0</v>
      </c>
      <c r="L487" s="4">
        <v>0.73</v>
      </c>
      <c r="M487" s="4">
        <v>0.73</v>
      </c>
      <c r="N487" s="4">
        <v>0.73</v>
      </c>
      <c r="O487" s="4">
        <v>0.73</v>
      </c>
      <c r="P487" s="4">
        <v>0</v>
      </c>
      <c r="Q487" s="3" t="s">
        <v>26</v>
      </c>
      <c r="R487" s="3">
        <v>0</v>
      </c>
      <c r="S487" s="4">
        <v>0</v>
      </c>
      <c r="T487" s="4">
        <v>11</v>
      </c>
      <c r="U487" s="4">
        <v>71</v>
      </c>
      <c r="V487" s="4">
        <f>IF(ISERROR(VLOOKUP($S$487,'TAR FIN'!$A$1:$O$92,15,0)),0,VLOOKUP($S$487,'TAR FIN'!$A$1:$O$92,15,0))</f>
        <v>0</v>
      </c>
      <c r="W487" s="4">
        <f>IF(ISERROR(VLOOKUP($T$487,'TAR FIN'!$A$1:$O$92,15,0)),0,VLOOKUP($T$487,'TAR FIN'!$A$1:$O$92,15,0))</f>
        <v>1155.51</v>
      </c>
      <c r="X487" s="4">
        <f>IF(ISERROR(VLOOKUP($U$487,'TAR FIN'!$A$1:$O$92,15,0)),0,VLOOKUP($U$487,'TAR FIN'!$A$1:$O$92,15,0))</f>
        <v>433.77</v>
      </c>
      <c r="Y487" s="4"/>
      <c r="Z487" s="4">
        <f ca="1">('TUSD BE'!$AM$11+'TUSD BF'!$AM$11+'TUSD CVA'!$AM$11)*1</f>
        <v>1493.7817824374656</v>
      </c>
      <c r="AA487" s="4">
        <f>('TE BE'!$AB$5+'TE BF'!$AB$5+'TE CVA'!$AB$5)*1</f>
        <v>542.84414704984056</v>
      </c>
      <c r="AB487" s="4">
        <f>$K$487*$V$487</f>
        <v>0</v>
      </c>
      <c r="AC487" s="4">
        <f>$M$487*$W$487</f>
        <v>843.52229999999997</v>
      </c>
      <c r="AD487" s="4">
        <f>$O$487*$X$487</f>
        <v>316.65209999999996</v>
      </c>
      <c r="AE487" s="4">
        <f>$K$487*$Y$487</f>
        <v>0</v>
      </c>
      <c r="AF487" s="4">
        <f ca="1">$M$487*$Z$487</f>
        <v>1090.4607011793498</v>
      </c>
      <c r="AG487" s="4">
        <f>$O$487*$AA$487</f>
        <v>396.27622734638362</v>
      </c>
    </row>
    <row r="488" spans="1:33" ht="11.25" customHeight="1" x14ac:dyDescent="0.25">
      <c r="A488" s="3" t="s">
        <v>55</v>
      </c>
      <c r="B488" s="3" t="s">
        <v>39</v>
      </c>
      <c r="C488" s="3" t="s">
        <v>41</v>
      </c>
      <c r="D488" s="3" t="s">
        <v>45</v>
      </c>
      <c r="E488" s="3" t="s">
        <v>25</v>
      </c>
      <c r="F488" s="3" t="s">
        <v>25</v>
      </c>
      <c r="G488" s="3" t="s">
        <v>25</v>
      </c>
      <c r="H488" s="3" t="s">
        <v>34</v>
      </c>
      <c r="I488" s="6">
        <v>44835</v>
      </c>
      <c r="J488" s="4">
        <v>0</v>
      </c>
      <c r="K488" s="4">
        <v>0</v>
      </c>
      <c r="L488" s="4">
        <v>92.215000000000003</v>
      </c>
      <c r="M488" s="4">
        <v>92.215000000000003</v>
      </c>
      <c r="N488" s="4">
        <v>92.215000000000003</v>
      </c>
      <c r="O488" s="4">
        <v>92.215000000000003</v>
      </c>
      <c r="P488" s="4">
        <v>0</v>
      </c>
      <c r="Q488" s="3" t="s">
        <v>26</v>
      </c>
      <c r="R488" s="3">
        <v>0</v>
      </c>
      <c r="S488" s="4">
        <v>0</v>
      </c>
      <c r="T488" s="4">
        <v>11</v>
      </c>
      <c r="U488" s="4">
        <v>71</v>
      </c>
      <c r="V488" s="4">
        <f>IF(ISERROR(VLOOKUP($S$488,'TAR FIN'!$A$1:$O$92,15,0)),0,VLOOKUP($S$488,'TAR FIN'!$A$1:$O$92,15,0))</f>
        <v>0</v>
      </c>
      <c r="W488" s="4">
        <f>IF(ISERROR(VLOOKUP($T$488,'TAR FIN'!$A$1:$O$92,15,0)),0,VLOOKUP($T$488,'TAR FIN'!$A$1:$O$92,15,0))</f>
        <v>1155.51</v>
      </c>
      <c r="X488" s="4">
        <f>IF(ISERROR(VLOOKUP($U$488,'TAR FIN'!$A$1:$O$92,15,0)),0,VLOOKUP($U$488,'TAR FIN'!$A$1:$O$92,15,0))</f>
        <v>433.77</v>
      </c>
      <c r="Y488" s="4"/>
      <c r="Z488" s="4">
        <f ca="1">('TUSD BE'!$AM$11+'TUSD BF'!$AM$11+'TUSD CVA'!$AM$11)*1</f>
        <v>1493.7817824374656</v>
      </c>
      <c r="AA488" s="4">
        <f>('TE BE'!$AB$5+'TE BF'!$AB$5+'TE CVA'!$AB$5)*1</f>
        <v>542.84414704984056</v>
      </c>
      <c r="AB488" s="4">
        <f>$K$488*$V$488</f>
        <v>0</v>
      </c>
      <c r="AC488" s="4">
        <f>$M$488*$W$488</f>
        <v>106555.35465000001</v>
      </c>
      <c r="AD488" s="4">
        <f>$O$488*$X$488</f>
        <v>40000.100550000003</v>
      </c>
      <c r="AE488" s="4">
        <f>$K$488*$Y$488</f>
        <v>0</v>
      </c>
      <c r="AF488" s="4">
        <f ca="1">$M$488*$Z$488</f>
        <v>137749.08706747089</v>
      </c>
      <c r="AG488" s="4">
        <f>$O$488*$AA$488</f>
        <v>50058.373020201048</v>
      </c>
    </row>
    <row r="489" spans="1:33" ht="11.25" customHeight="1" x14ac:dyDescent="0.25">
      <c r="A489" s="3" t="s">
        <v>21</v>
      </c>
      <c r="B489" s="3" t="s">
        <v>39</v>
      </c>
      <c r="C489" s="3" t="s">
        <v>41</v>
      </c>
      <c r="D489" s="3" t="s">
        <v>44</v>
      </c>
      <c r="E489" s="3" t="s">
        <v>52</v>
      </c>
      <c r="F489" s="3" t="s">
        <v>54</v>
      </c>
      <c r="G489" s="3" t="s">
        <v>25</v>
      </c>
      <c r="H489" s="3" t="s">
        <v>35</v>
      </c>
      <c r="I489" s="6">
        <v>44501</v>
      </c>
      <c r="J489" s="4">
        <v>0</v>
      </c>
      <c r="K489" s="4">
        <v>0</v>
      </c>
      <c r="L489" s="4">
        <v>223.65299999999999</v>
      </c>
      <c r="M489" s="4">
        <v>44.730600000000003</v>
      </c>
      <c r="N489" s="4">
        <v>223.65299999999999</v>
      </c>
      <c r="O489" s="4">
        <v>44.730600000000003</v>
      </c>
      <c r="P489" s="4">
        <v>0</v>
      </c>
      <c r="Q489" s="3" t="s">
        <v>26</v>
      </c>
      <c r="R489" s="3">
        <v>0</v>
      </c>
      <c r="S489" s="4">
        <v>0</v>
      </c>
      <c r="T489" s="4">
        <v>31</v>
      </c>
      <c r="U489" s="4">
        <v>59</v>
      </c>
      <c r="V489" s="4">
        <f>IF(ISERROR(VLOOKUP($S$489,'TAR FIN'!$A$1:$O$92,15,0)),0,VLOOKUP($S$489,'TAR FIN'!$A$1:$O$92,15,0))</f>
        <v>0</v>
      </c>
      <c r="W489" s="4">
        <f>IF(ISERROR(VLOOKUP($T$489,'TAR FIN'!$A$1:$O$92,15,0)),0,VLOOKUP($T$489,'TAR FIN'!$A$1:$O$92,15,0))</f>
        <v>87.73</v>
      </c>
      <c r="X489" s="4">
        <f>IF(ISERROR(VLOOKUP($U$489,'TAR FIN'!$A$1:$O$92,15,0)),0,VLOOKUP($U$489,'TAR FIN'!$A$1:$O$92,15,0))</f>
        <v>253.9</v>
      </c>
      <c r="Y489" s="4"/>
      <c r="Z489" s="4">
        <f ca="1">('TUSD BE'!$AM$12+'TUSD BF'!$AM$12+'TUSD CVA'!$AM$12)*1</f>
        <v>109.44196476324252</v>
      </c>
      <c r="AA489" s="4">
        <f>('TE BE'!$AB$6+'TE BF'!$AB$6+'TE CVA'!$AB$6)*1</f>
        <v>317.3874512882154</v>
      </c>
      <c r="AB489" s="4">
        <f>$K$489*$V$489</f>
        <v>0</v>
      </c>
      <c r="AC489" s="4">
        <f>$M$489*$W$489</f>
        <v>3924.2155380000004</v>
      </c>
      <c r="AD489" s="4">
        <f>$O$489*$X$489</f>
        <v>11357.099340000001</v>
      </c>
      <c r="AE489" s="4">
        <f>$K$489*$Y$489</f>
        <v>0</v>
      </c>
      <c r="AF489" s="4">
        <f ca="1">$M$489*$Z$489</f>
        <v>4895.4047490386965</v>
      </c>
      <c r="AG489" s="4">
        <f>$O$489*$AA$489</f>
        <v>14196.931128592649</v>
      </c>
    </row>
    <row r="490" spans="1:33" ht="11.25" customHeight="1" x14ac:dyDescent="0.25">
      <c r="A490" s="3" t="s">
        <v>21</v>
      </c>
      <c r="B490" s="3" t="s">
        <v>39</v>
      </c>
      <c r="C490" s="3" t="s">
        <v>41</v>
      </c>
      <c r="D490" s="3" t="s">
        <v>44</v>
      </c>
      <c r="E490" s="3" t="s">
        <v>52</v>
      </c>
      <c r="F490" s="3" t="s">
        <v>54</v>
      </c>
      <c r="G490" s="3" t="s">
        <v>25</v>
      </c>
      <c r="H490" s="3" t="s">
        <v>35</v>
      </c>
      <c r="I490" s="6">
        <v>44531</v>
      </c>
      <c r="J490" s="4">
        <v>0</v>
      </c>
      <c r="K490" s="4">
        <v>0</v>
      </c>
      <c r="L490" s="4">
        <v>319.72300000000001</v>
      </c>
      <c r="M490" s="4">
        <v>63.944600000000001</v>
      </c>
      <c r="N490" s="4">
        <v>319.72300000000001</v>
      </c>
      <c r="O490" s="4">
        <v>63.944600000000001</v>
      </c>
      <c r="P490" s="4">
        <v>0</v>
      </c>
      <c r="Q490" s="3" t="s">
        <v>26</v>
      </c>
      <c r="R490" s="3">
        <v>0</v>
      </c>
      <c r="S490" s="4">
        <v>0</v>
      </c>
      <c r="T490" s="4">
        <v>31</v>
      </c>
      <c r="U490" s="4">
        <v>59</v>
      </c>
      <c r="V490" s="4">
        <f>IF(ISERROR(VLOOKUP($S$490,'TAR FIN'!$A$1:$O$92,15,0)),0,VLOOKUP($S$490,'TAR FIN'!$A$1:$O$92,15,0))</f>
        <v>0</v>
      </c>
      <c r="W490" s="4">
        <f>IF(ISERROR(VLOOKUP($T$490,'TAR FIN'!$A$1:$O$92,15,0)),0,VLOOKUP($T$490,'TAR FIN'!$A$1:$O$92,15,0))</f>
        <v>87.73</v>
      </c>
      <c r="X490" s="4">
        <f>IF(ISERROR(VLOOKUP($U$490,'TAR FIN'!$A$1:$O$92,15,0)),0,VLOOKUP($U$490,'TAR FIN'!$A$1:$O$92,15,0))</f>
        <v>253.9</v>
      </c>
      <c r="Y490" s="4"/>
      <c r="Z490" s="4">
        <f ca="1">('TUSD BE'!$AM$12+'TUSD BF'!$AM$12+'TUSD CVA'!$AM$12)*1</f>
        <v>109.44196476324252</v>
      </c>
      <c r="AA490" s="4">
        <f>('TE BE'!$AB$6+'TE BF'!$AB$6+'TE CVA'!$AB$6)*1</f>
        <v>317.3874512882154</v>
      </c>
      <c r="AB490" s="4">
        <f>$K$490*$V$490</f>
        <v>0</v>
      </c>
      <c r="AC490" s="4">
        <f>$M$490*$W$490</f>
        <v>5609.8597580000005</v>
      </c>
      <c r="AD490" s="4">
        <f>$O$490*$X$490</f>
        <v>16235.533940000001</v>
      </c>
      <c r="AE490" s="4">
        <f>$K$490*$Y$490</f>
        <v>0</v>
      </c>
      <c r="AF490" s="4">
        <f ca="1">$M$490*$Z$490</f>
        <v>6998.2226599996384</v>
      </c>
      <c r="AG490" s="4">
        <f>$O$490*$AA$490</f>
        <v>20295.213617644418</v>
      </c>
    </row>
    <row r="491" spans="1:33" ht="11.25" customHeight="1" x14ac:dyDescent="0.25">
      <c r="A491" s="3" t="s">
        <v>21</v>
      </c>
      <c r="B491" s="3" t="s">
        <v>39</v>
      </c>
      <c r="C491" s="3" t="s">
        <v>41</v>
      </c>
      <c r="D491" s="3" t="s">
        <v>44</v>
      </c>
      <c r="E491" s="3" t="s">
        <v>52</v>
      </c>
      <c r="F491" s="3" t="s">
        <v>54</v>
      </c>
      <c r="G491" s="3" t="s">
        <v>25</v>
      </c>
      <c r="H491" s="3" t="s">
        <v>35</v>
      </c>
      <c r="I491" s="6">
        <v>44562</v>
      </c>
      <c r="J491" s="4">
        <v>0</v>
      </c>
      <c r="K491" s="4">
        <v>0</v>
      </c>
      <c r="L491" s="4">
        <v>375.005</v>
      </c>
      <c r="M491" s="4">
        <v>75.001000000000005</v>
      </c>
      <c r="N491" s="4">
        <v>375.005</v>
      </c>
      <c r="O491" s="4">
        <v>75.001000000000005</v>
      </c>
      <c r="P491" s="4">
        <v>0</v>
      </c>
      <c r="Q491" s="3" t="s">
        <v>26</v>
      </c>
      <c r="R491" s="3">
        <v>0</v>
      </c>
      <c r="S491" s="4">
        <v>0</v>
      </c>
      <c r="T491" s="4">
        <v>31</v>
      </c>
      <c r="U491" s="4">
        <v>59</v>
      </c>
      <c r="V491" s="4">
        <f>IF(ISERROR(VLOOKUP($S$491,'TAR FIN'!$A$1:$O$92,15,0)),0,VLOOKUP($S$491,'TAR FIN'!$A$1:$O$92,15,0))</f>
        <v>0</v>
      </c>
      <c r="W491" s="4">
        <f>IF(ISERROR(VLOOKUP($T$491,'TAR FIN'!$A$1:$O$92,15,0)),0,VLOOKUP($T$491,'TAR FIN'!$A$1:$O$92,15,0))</f>
        <v>87.73</v>
      </c>
      <c r="X491" s="4">
        <f>IF(ISERROR(VLOOKUP($U$491,'TAR FIN'!$A$1:$O$92,15,0)),0,VLOOKUP($U$491,'TAR FIN'!$A$1:$O$92,15,0))</f>
        <v>253.9</v>
      </c>
      <c r="Y491" s="4"/>
      <c r="Z491" s="4">
        <f ca="1">('TUSD BE'!$AM$12+'TUSD BF'!$AM$12+'TUSD CVA'!$AM$12)*1</f>
        <v>109.44196476324252</v>
      </c>
      <c r="AA491" s="4">
        <f>('TE BE'!$AB$6+'TE BF'!$AB$6+'TE CVA'!$AB$6)*1</f>
        <v>317.3874512882154</v>
      </c>
      <c r="AB491" s="4">
        <f>$K$491*$V$491</f>
        <v>0</v>
      </c>
      <c r="AC491" s="4">
        <f>$M$491*$W$491</f>
        <v>6579.8377300000011</v>
      </c>
      <c r="AD491" s="4">
        <f>$O$491*$X$491</f>
        <v>19042.753900000003</v>
      </c>
      <c r="AE491" s="4">
        <f>$K$491*$Y$491</f>
        <v>0</v>
      </c>
      <c r="AF491" s="4">
        <f ca="1">$M$491*$Z$491</f>
        <v>8208.256799207953</v>
      </c>
      <c r="AG491" s="4">
        <f>$O$491*$AA$491</f>
        <v>23804.376234067444</v>
      </c>
    </row>
    <row r="492" spans="1:33" ht="11.25" customHeight="1" x14ac:dyDescent="0.25">
      <c r="A492" s="3" t="s">
        <v>21</v>
      </c>
      <c r="B492" s="3" t="s">
        <v>39</v>
      </c>
      <c r="C492" s="3" t="s">
        <v>41</v>
      </c>
      <c r="D492" s="3" t="s">
        <v>44</v>
      </c>
      <c r="E492" s="3" t="s">
        <v>52</v>
      </c>
      <c r="F492" s="3" t="s">
        <v>54</v>
      </c>
      <c r="G492" s="3" t="s">
        <v>25</v>
      </c>
      <c r="H492" s="3" t="s">
        <v>35</v>
      </c>
      <c r="I492" s="6">
        <v>44593</v>
      </c>
      <c r="J492" s="4">
        <v>0</v>
      </c>
      <c r="K492" s="4">
        <v>0</v>
      </c>
      <c r="L492" s="4">
        <v>331.98099999999999</v>
      </c>
      <c r="M492" s="4">
        <v>66.396199999999993</v>
      </c>
      <c r="N492" s="4">
        <v>331.98099999999999</v>
      </c>
      <c r="O492" s="4">
        <v>66.396199999999993</v>
      </c>
      <c r="P492" s="4">
        <v>0</v>
      </c>
      <c r="Q492" s="3" t="s">
        <v>26</v>
      </c>
      <c r="R492" s="3">
        <v>0</v>
      </c>
      <c r="S492" s="4">
        <v>0</v>
      </c>
      <c r="T492" s="4">
        <v>31</v>
      </c>
      <c r="U492" s="4">
        <v>59</v>
      </c>
      <c r="V492" s="4">
        <f>IF(ISERROR(VLOOKUP($S$492,'TAR FIN'!$A$1:$O$92,15,0)),0,VLOOKUP($S$492,'TAR FIN'!$A$1:$O$92,15,0))</f>
        <v>0</v>
      </c>
      <c r="W492" s="4">
        <f>IF(ISERROR(VLOOKUP($T$492,'TAR FIN'!$A$1:$O$92,15,0)),0,VLOOKUP($T$492,'TAR FIN'!$A$1:$O$92,15,0))</f>
        <v>87.73</v>
      </c>
      <c r="X492" s="4">
        <f>IF(ISERROR(VLOOKUP($U$492,'TAR FIN'!$A$1:$O$92,15,0)),0,VLOOKUP($U$492,'TAR FIN'!$A$1:$O$92,15,0))</f>
        <v>253.9</v>
      </c>
      <c r="Y492" s="4"/>
      <c r="Z492" s="4">
        <f ca="1">('TUSD BE'!$AM$12+'TUSD BF'!$AM$12+'TUSD CVA'!$AM$12)*1</f>
        <v>109.44196476324252</v>
      </c>
      <c r="AA492" s="4">
        <f>('TE BE'!$AB$6+'TE BF'!$AB$6+'TE CVA'!$AB$6)*1</f>
        <v>317.3874512882154</v>
      </c>
      <c r="AB492" s="4">
        <f>$K$492*$V$492</f>
        <v>0</v>
      </c>
      <c r="AC492" s="4">
        <f>$M$492*$W$492</f>
        <v>5824.9386260000001</v>
      </c>
      <c r="AD492" s="4">
        <f>$O$492*$X$492</f>
        <v>16857.995179999998</v>
      </c>
      <c r="AE492" s="4">
        <f>$K$492*$Y$492</f>
        <v>0</v>
      </c>
      <c r="AF492" s="4">
        <f ca="1">$M$492*$Z$492</f>
        <v>7266.5305808132025</v>
      </c>
      <c r="AG492" s="4">
        <f>$O$492*$AA$492</f>
        <v>21073.320693222606</v>
      </c>
    </row>
    <row r="493" spans="1:33" ht="11.25" customHeight="1" x14ac:dyDescent="0.25">
      <c r="A493" s="3" t="s">
        <v>27</v>
      </c>
      <c r="B493" s="3" t="s">
        <v>39</v>
      </c>
      <c r="C493" s="3" t="s">
        <v>41</v>
      </c>
      <c r="D493" s="3" t="s">
        <v>44</v>
      </c>
      <c r="E493" s="3" t="s">
        <v>52</v>
      </c>
      <c r="F493" s="3" t="s">
        <v>54</v>
      </c>
      <c r="G493" s="3" t="s">
        <v>25</v>
      </c>
      <c r="H493" s="3" t="s">
        <v>35</v>
      </c>
      <c r="I493" s="6">
        <v>44593</v>
      </c>
      <c r="J493" s="4">
        <v>0</v>
      </c>
      <c r="K493" s="4">
        <v>0</v>
      </c>
      <c r="L493" s="4">
        <v>-36.448999999999998</v>
      </c>
      <c r="M493" s="4">
        <v>-7.2897999999999996</v>
      </c>
      <c r="N493" s="4">
        <v>-36.448999999999998</v>
      </c>
      <c r="O493" s="4">
        <v>-7.2897999999999996</v>
      </c>
      <c r="P493" s="4">
        <v>0</v>
      </c>
      <c r="Q493" s="3" t="s">
        <v>26</v>
      </c>
      <c r="R493" s="3">
        <v>0</v>
      </c>
      <c r="S493" s="4">
        <v>0</v>
      </c>
      <c r="T493" s="4">
        <v>31</v>
      </c>
      <c r="U493" s="4">
        <v>59</v>
      </c>
      <c r="V493" s="4">
        <f>IF(ISERROR(VLOOKUP($S$493,'TAR FIN'!$A$1:$O$92,15,0)),0,VLOOKUP($S$493,'TAR FIN'!$A$1:$O$92,15,0))</f>
        <v>0</v>
      </c>
      <c r="W493" s="4">
        <f>IF(ISERROR(VLOOKUP($T$493,'TAR FIN'!$A$1:$O$92,15,0)),0,VLOOKUP($T$493,'TAR FIN'!$A$1:$O$92,15,0))</f>
        <v>87.73</v>
      </c>
      <c r="X493" s="4">
        <f>IF(ISERROR(VLOOKUP($U$493,'TAR FIN'!$A$1:$O$92,15,0)),0,VLOOKUP($U$493,'TAR FIN'!$A$1:$O$92,15,0))</f>
        <v>253.9</v>
      </c>
      <c r="Y493" s="4"/>
      <c r="Z493" s="4">
        <f ca="1">('TUSD BE'!$AM$12+'TUSD BF'!$AM$12+'TUSD CVA'!$AM$12)*1</f>
        <v>109.44196476324252</v>
      </c>
      <c r="AA493" s="4">
        <f>('TE BE'!$AB$6+'TE BF'!$AB$6+'TE CVA'!$AB$6)*1</f>
        <v>317.3874512882154</v>
      </c>
      <c r="AB493" s="4">
        <f>$K$493*$V$493</f>
        <v>0</v>
      </c>
      <c r="AC493" s="4">
        <f>$M$493*$W$493</f>
        <v>-639.53415399999994</v>
      </c>
      <c r="AD493" s="4">
        <f>$O$493*$X$493</f>
        <v>-1850.88022</v>
      </c>
      <c r="AE493" s="4">
        <f>$K$493*$Y$493</f>
        <v>0</v>
      </c>
      <c r="AF493" s="4">
        <f ca="1">$M$493*$Z$493</f>
        <v>-797.81003473108535</v>
      </c>
      <c r="AG493" s="4">
        <f>$O$493*$AA$493</f>
        <v>-2313.6910424008324</v>
      </c>
    </row>
    <row r="494" spans="1:33" ht="11.25" customHeight="1" x14ac:dyDescent="0.25">
      <c r="A494" s="3" t="s">
        <v>21</v>
      </c>
      <c r="B494" s="3" t="s">
        <v>39</v>
      </c>
      <c r="C494" s="3" t="s">
        <v>41</v>
      </c>
      <c r="D494" s="3" t="s">
        <v>44</v>
      </c>
      <c r="E494" s="3" t="s">
        <v>52</v>
      </c>
      <c r="F494" s="3" t="s">
        <v>54</v>
      </c>
      <c r="G494" s="3" t="s">
        <v>25</v>
      </c>
      <c r="H494" s="3" t="s">
        <v>35</v>
      </c>
      <c r="I494" s="6">
        <v>44621</v>
      </c>
      <c r="J494" s="4">
        <v>0</v>
      </c>
      <c r="K494" s="4">
        <v>0</v>
      </c>
      <c r="L494" s="4">
        <v>72.680999999999997</v>
      </c>
      <c r="M494" s="4">
        <v>14.536199999999999</v>
      </c>
      <c r="N494" s="4">
        <v>72.680999999999997</v>
      </c>
      <c r="O494" s="4">
        <v>14.536199999999999</v>
      </c>
      <c r="P494" s="4">
        <v>0</v>
      </c>
      <c r="Q494" s="3" t="s">
        <v>26</v>
      </c>
      <c r="R494" s="3">
        <v>0</v>
      </c>
      <c r="S494" s="4">
        <v>0</v>
      </c>
      <c r="T494" s="4">
        <v>31</v>
      </c>
      <c r="U494" s="4">
        <v>59</v>
      </c>
      <c r="V494" s="4">
        <f>IF(ISERROR(VLOOKUP($S$494,'TAR FIN'!$A$1:$O$92,15,0)),0,VLOOKUP($S$494,'TAR FIN'!$A$1:$O$92,15,0))</f>
        <v>0</v>
      </c>
      <c r="W494" s="4">
        <f>IF(ISERROR(VLOOKUP($T$494,'TAR FIN'!$A$1:$O$92,15,0)),0,VLOOKUP($T$494,'TAR FIN'!$A$1:$O$92,15,0))</f>
        <v>87.73</v>
      </c>
      <c r="X494" s="4">
        <f>IF(ISERROR(VLOOKUP($U$494,'TAR FIN'!$A$1:$O$92,15,0)),0,VLOOKUP($U$494,'TAR FIN'!$A$1:$O$92,15,0))</f>
        <v>253.9</v>
      </c>
      <c r="Y494" s="4"/>
      <c r="Z494" s="4">
        <f ca="1">('TUSD BE'!$AM$12+'TUSD BF'!$AM$12+'TUSD CVA'!$AM$12)*1</f>
        <v>109.44196476324252</v>
      </c>
      <c r="AA494" s="4">
        <f>('TE BE'!$AB$6+'TE BF'!$AB$6+'TE CVA'!$AB$6)*1</f>
        <v>317.3874512882154</v>
      </c>
      <c r="AB494" s="4">
        <f>$K$494*$V$494</f>
        <v>0</v>
      </c>
      <c r="AC494" s="4">
        <f>$M$494*$W$494</f>
        <v>1275.260826</v>
      </c>
      <c r="AD494" s="4">
        <f>$O$494*$X$494</f>
        <v>3690.74118</v>
      </c>
      <c r="AE494" s="4">
        <f>$K$494*$Y$494</f>
        <v>0</v>
      </c>
      <c r="AF494" s="4">
        <f ca="1">$M$494*$Z$494</f>
        <v>1590.870288191446</v>
      </c>
      <c r="AG494" s="4">
        <f>$O$494*$AA$494</f>
        <v>4613.6074694157569</v>
      </c>
    </row>
    <row r="495" spans="1:33" ht="11.25" customHeight="1" x14ac:dyDescent="0.25">
      <c r="A495" s="3" t="s">
        <v>21</v>
      </c>
      <c r="B495" s="3" t="s">
        <v>39</v>
      </c>
      <c r="C495" s="3" t="s">
        <v>41</v>
      </c>
      <c r="D495" s="3" t="s">
        <v>44</v>
      </c>
      <c r="E495" s="3" t="s">
        <v>52</v>
      </c>
      <c r="F495" s="3" t="s">
        <v>54</v>
      </c>
      <c r="G495" s="3" t="s">
        <v>25</v>
      </c>
      <c r="H495" s="3" t="s">
        <v>35</v>
      </c>
      <c r="I495" s="6">
        <v>44652</v>
      </c>
      <c r="J495" s="4">
        <v>0</v>
      </c>
      <c r="K495" s="4">
        <v>0</v>
      </c>
      <c r="L495" s="4">
        <v>72.680999999999997</v>
      </c>
      <c r="M495" s="4">
        <v>14.536199999999999</v>
      </c>
      <c r="N495" s="4">
        <v>72.680999999999997</v>
      </c>
      <c r="O495" s="4">
        <v>14.536199999999999</v>
      </c>
      <c r="P495" s="4">
        <v>0</v>
      </c>
      <c r="Q495" s="3" t="s">
        <v>26</v>
      </c>
      <c r="R495" s="3">
        <v>0</v>
      </c>
      <c r="S495" s="4">
        <v>0</v>
      </c>
      <c r="T495" s="4">
        <v>31</v>
      </c>
      <c r="U495" s="4">
        <v>59</v>
      </c>
      <c r="V495" s="4">
        <f>IF(ISERROR(VLOOKUP($S$495,'TAR FIN'!$A$1:$O$92,15,0)),0,VLOOKUP($S$495,'TAR FIN'!$A$1:$O$92,15,0))</f>
        <v>0</v>
      </c>
      <c r="W495" s="4">
        <f>IF(ISERROR(VLOOKUP($T$495,'TAR FIN'!$A$1:$O$92,15,0)),0,VLOOKUP($T$495,'TAR FIN'!$A$1:$O$92,15,0))</f>
        <v>87.73</v>
      </c>
      <c r="X495" s="4">
        <f>IF(ISERROR(VLOOKUP($U$495,'TAR FIN'!$A$1:$O$92,15,0)),0,VLOOKUP($U$495,'TAR FIN'!$A$1:$O$92,15,0))</f>
        <v>253.9</v>
      </c>
      <c r="Y495" s="4"/>
      <c r="Z495" s="4">
        <f ca="1">('TUSD BE'!$AM$12+'TUSD BF'!$AM$12+'TUSD CVA'!$AM$12)*1</f>
        <v>109.44196476324252</v>
      </c>
      <c r="AA495" s="4">
        <f>('TE BE'!$AB$6+'TE BF'!$AB$6+'TE CVA'!$AB$6)*1</f>
        <v>317.3874512882154</v>
      </c>
      <c r="AB495" s="4">
        <f>$K$495*$V$495</f>
        <v>0</v>
      </c>
      <c r="AC495" s="4">
        <f>$M$495*$W$495</f>
        <v>1275.260826</v>
      </c>
      <c r="AD495" s="4">
        <f>$O$495*$X$495</f>
        <v>3690.74118</v>
      </c>
      <c r="AE495" s="4">
        <f>$K$495*$Y$495</f>
        <v>0</v>
      </c>
      <c r="AF495" s="4">
        <f ca="1">$M$495*$Z$495</f>
        <v>1590.870288191446</v>
      </c>
      <c r="AG495" s="4">
        <f>$O$495*$AA$495</f>
        <v>4613.6074694157569</v>
      </c>
    </row>
    <row r="496" spans="1:33" ht="11.25" customHeight="1" x14ac:dyDescent="0.25">
      <c r="A496" s="3" t="s">
        <v>21</v>
      </c>
      <c r="B496" s="3" t="s">
        <v>39</v>
      </c>
      <c r="C496" s="3" t="s">
        <v>41</v>
      </c>
      <c r="D496" s="3" t="s">
        <v>44</v>
      </c>
      <c r="E496" s="3" t="s">
        <v>52</v>
      </c>
      <c r="F496" s="3" t="s">
        <v>54</v>
      </c>
      <c r="G496" s="3" t="s">
        <v>25</v>
      </c>
      <c r="H496" s="3" t="s">
        <v>35</v>
      </c>
      <c r="I496" s="6">
        <v>44682</v>
      </c>
      <c r="J496" s="4">
        <v>0</v>
      </c>
      <c r="K496" s="4">
        <v>0</v>
      </c>
      <c r="L496" s="4">
        <v>13.135999999999999</v>
      </c>
      <c r="M496" s="4">
        <v>2.6272000000000002</v>
      </c>
      <c r="N496" s="4">
        <v>13.135999999999999</v>
      </c>
      <c r="O496" s="4">
        <v>2.6272000000000002</v>
      </c>
      <c r="P496" s="4">
        <v>0</v>
      </c>
      <c r="Q496" s="3" t="s">
        <v>26</v>
      </c>
      <c r="R496" s="3">
        <v>0</v>
      </c>
      <c r="S496" s="4">
        <v>0</v>
      </c>
      <c r="T496" s="4">
        <v>31</v>
      </c>
      <c r="U496" s="4">
        <v>59</v>
      </c>
      <c r="V496" s="4">
        <f>IF(ISERROR(VLOOKUP($S$496,'TAR FIN'!$A$1:$O$92,15,0)),0,VLOOKUP($S$496,'TAR FIN'!$A$1:$O$92,15,0))</f>
        <v>0</v>
      </c>
      <c r="W496" s="4">
        <f>IF(ISERROR(VLOOKUP($T$496,'TAR FIN'!$A$1:$O$92,15,0)),0,VLOOKUP($T$496,'TAR FIN'!$A$1:$O$92,15,0))</f>
        <v>87.73</v>
      </c>
      <c r="X496" s="4">
        <f>IF(ISERROR(VLOOKUP($U$496,'TAR FIN'!$A$1:$O$92,15,0)),0,VLOOKUP($U$496,'TAR FIN'!$A$1:$O$92,15,0))</f>
        <v>253.9</v>
      </c>
      <c r="Y496" s="4"/>
      <c r="Z496" s="4">
        <f ca="1">('TUSD BE'!$AM$12+'TUSD BF'!$AM$12+'TUSD CVA'!$AM$12)*1</f>
        <v>109.44196476324252</v>
      </c>
      <c r="AA496" s="4">
        <f>('TE BE'!$AB$6+'TE BF'!$AB$6+'TE CVA'!$AB$6)*1</f>
        <v>317.3874512882154</v>
      </c>
      <c r="AB496" s="4">
        <f>$K$496*$V$496</f>
        <v>0</v>
      </c>
      <c r="AC496" s="4">
        <f>$M$496*$W$496</f>
        <v>230.48425600000002</v>
      </c>
      <c r="AD496" s="4">
        <f>$O$496*$X$496</f>
        <v>667.04608000000007</v>
      </c>
      <c r="AE496" s="4">
        <f>$K$496*$Y$496</f>
        <v>0</v>
      </c>
      <c r="AF496" s="4">
        <f ca="1">$M$496*$Z$496</f>
        <v>287.52592982599077</v>
      </c>
      <c r="AG496" s="4">
        <f>$O$496*$AA$496</f>
        <v>833.84031202439962</v>
      </c>
    </row>
    <row r="497" spans="1:33" ht="11.25" customHeight="1" x14ac:dyDescent="0.25">
      <c r="A497" s="3" t="s">
        <v>27</v>
      </c>
      <c r="B497" s="3" t="s">
        <v>39</v>
      </c>
      <c r="C497" s="3" t="s">
        <v>41</v>
      </c>
      <c r="D497" s="3" t="s">
        <v>44</v>
      </c>
      <c r="E497" s="3" t="s">
        <v>52</v>
      </c>
      <c r="F497" s="3" t="s">
        <v>54</v>
      </c>
      <c r="G497" s="3" t="s">
        <v>25</v>
      </c>
      <c r="H497" s="3" t="s">
        <v>35</v>
      </c>
      <c r="I497" s="6">
        <v>44682</v>
      </c>
      <c r="J497" s="4">
        <v>0</v>
      </c>
      <c r="K497" s="4">
        <v>0</v>
      </c>
      <c r="L497" s="4">
        <v>20.076000000000001</v>
      </c>
      <c r="M497" s="4">
        <v>4.0152000000000001</v>
      </c>
      <c r="N497" s="4">
        <v>20.076000000000001</v>
      </c>
      <c r="O497" s="4">
        <v>4.0152000000000001</v>
      </c>
      <c r="P497" s="4">
        <v>0</v>
      </c>
      <c r="Q497" s="3" t="s">
        <v>26</v>
      </c>
      <c r="R497" s="3">
        <v>0</v>
      </c>
      <c r="S497" s="4">
        <v>0</v>
      </c>
      <c r="T497" s="4">
        <v>31</v>
      </c>
      <c r="U497" s="4">
        <v>59</v>
      </c>
      <c r="V497" s="4">
        <f>IF(ISERROR(VLOOKUP($S$497,'TAR FIN'!$A$1:$O$92,15,0)),0,VLOOKUP($S$497,'TAR FIN'!$A$1:$O$92,15,0))</f>
        <v>0</v>
      </c>
      <c r="W497" s="4">
        <f>IF(ISERROR(VLOOKUP($T$497,'TAR FIN'!$A$1:$O$92,15,0)),0,VLOOKUP($T$497,'TAR FIN'!$A$1:$O$92,15,0))</f>
        <v>87.73</v>
      </c>
      <c r="X497" s="4">
        <f>IF(ISERROR(VLOOKUP($U$497,'TAR FIN'!$A$1:$O$92,15,0)),0,VLOOKUP($U$497,'TAR FIN'!$A$1:$O$92,15,0))</f>
        <v>253.9</v>
      </c>
      <c r="Y497" s="4"/>
      <c r="Z497" s="4">
        <f ca="1">('TUSD BE'!$AM$12+'TUSD BF'!$AM$12+'TUSD CVA'!$AM$12)*1</f>
        <v>109.44196476324252</v>
      </c>
      <c r="AA497" s="4">
        <f>('TE BE'!$AB$6+'TE BF'!$AB$6+'TE CVA'!$AB$6)*1</f>
        <v>317.3874512882154</v>
      </c>
      <c r="AB497" s="4">
        <f>$K$497*$V$497</f>
        <v>0</v>
      </c>
      <c r="AC497" s="4">
        <f>$M$497*$W$497</f>
        <v>352.25349600000004</v>
      </c>
      <c r="AD497" s="4">
        <f>$O$497*$X$497</f>
        <v>1019.45928</v>
      </c>
      <c r="AE497" s="4">
        <f>$K$497*$Y$497</f>
        <v>0</v>
      </c>
      <c r="AF497" s="4">
        <f ca="1">$M$497*$Z$497</f>
        <v>439.43137691737138</v>
      </c>
      <c r="AG497" s="4">
        <f>$O$497*$AA$497</f>
        <v>1274.3740944124424</v>
      </c>
    </row>
    <row r="498" spans="1:33" ht="11.25" customHeight="1" x14ac:dyDescent="0.25">
      <c r="A498" s="3" t="s">
        <v>21</v>
      </c>
      <c r="B498" s="3" t="s">
        <v>39</v>
      </c>
      <c r="C498" s="3" t="s">
        <v>41</v>
      </c>
      <c r="D498" s="3" t="s">
        <v>44</v>
      </c>
      <c r="E498" s="3" t="s">
        <v>52</v>
      </c>
      <c r="F498" s="3" t="s">
        <v>54</v>
      </c>
      <c r="G498" s="3" t="s">
        <v>25</v>
      </c>
      <c r="H498" s="3" t="s">
        <v>35</v>
      </c>
      <c r="I498" s="6">
        <v>44713</v>
      </c>
      <c r="J498" s="4">
        <v>0</v>
      </c>
      <c r="K498" s="4">
        <v>0</v>
      </c>
      <c r="L498" s="4">
        <v>7.2789999999999999</v>
      </c>
      <c r="M498" s="4">
        <v>1.4558</v>
      </c>
      <c r="N498" s="4">
        <v>7.2789999999999999</v>
      </c>
      <c r="O498" s="4">
        <v>1.4558</v>
      </c>
      <c r="P498" s="4">
        <v>0</v>
      </c>
      <c r="Q498" s="3" t="s">
        <v>26</v>
      </c>
      <c r="R498" s="3">
        <v>0</v>
      </c>
      <c r="S498" s="4">
        <v>0</v>
      </c>
      <c r="T498" s="4">
        <v>31</v>
      </c>
      <c r="U498" s="4">
        <v>59</v>
      </c>
      <c r="V498" s="4">
        <f>IF(ISERROR(VLOOKUP($S$498,'TAR FIN'!$A$1:$O$92,15,0)),0,VLOOKUP($S$498,'TAR FIN'!$A$1:$O$92,15,0))</f>
        <v>0</v>
      </c>
      <c r="W498" s="4">
        <f>IF(ISERROR(VLOOKUP($T$498,'TAR FIN'!$A$1:$O$92,15,0)),0,VLOOKUP($T$498,'TAR FIN'!$A$1:$O$92,15,0))</f>
        <v>87.73</v>
      </c>
      <c r="X498" s="4">
        <f>IF(ISERROR(VLOOKUP($U$498,'TAR FIN'!$A$1:$O$92,15,0)),0,VLOOKUP($U$498,'TAR FIN'!$A$1:$O$92,15,0))</f>
        <v>253.9</v>
      </c>
      <c r="Y498" s="4"/>
      <c r="Z498" s="4">
        <f ca="1">('TUSD BE'!$AM$12+'TUSD BF'!$AM$12+'TUSD CVA'!$AM$12)*1</f>
        <v>109.44196476324252</v>
      </c>
      <c r="AA498" s="4">
        <f>('TE BE'!$AB$6+'TE BF'!$AB$6+'TE CVA'!$AB$6)*1</f>
        <v>317.3874512882154</v>
      </c>
      <c r="AB498" s="4">
        <f>$K$498*$V$498</f>
        <v>0</v>
      </c>
      <c r="AC498" s="4">
        <f>$M$498*$W$498</f>
        <v>127.71733400000001</v>
      </c>
      <c r="AD498" s="4">
        <f>$O$498*$X$498</f>
        <v>369.62761999999998</v>
      </c>
      <c r="AE498" s="4">
        <f>$K$498*$Y$498</f>
        <v>0</v>
      </c>
      <c r="AF498" s="4">
        <f ca="1">$M$498*$Z$498</f>
        <v>159.32561230232847</v>
      </c>
      <c r="AG498" s="4">
        <f>$O$498*$AA$498</f>
        <v>462.05265158538396</v>
      </c>
    </row>
    <row r="499" spans="1:33" ht="11.25" customHeight="1" x14ac:dyDescent="0.25">
      <c r="A499" s="3" t="s">
        <v>21</v>
      </c>
      <c r="B499" s="3" t="s">
        <v>39</v>
      </c>
      <c r="C499" s="3" t="s">
        <v>41</v>
      </c>
      <c r="D499" s="3" t="s">
        <v>44</v>
      </c>
      <c r="E499" s="3" t="s">
        <v>52</v>
      </c>
      <c r="F499" s="3" t="s">
        <v>54</v>
      </c>
      <c r="G499" s="3" t="s">
        <v>25</v>
      </c>
      <c r="H499" s="3" t="s">
        <v>35</v>
      </c>
      <c r="I499" s="6">
        <v>44743</v>
      </c>
      <c r="J499" s="4">
        <v>0</v>
      </c>
      <c r="K499" s="4">
        <v>0</v>
      </c>
      <c r="L499" s="4">
        <v>6.7130000000000001</v>
      </c>
      <c r="M499" s="4">
        <v>1.3426</v>
      </c>
      <c r="N499" s="4">
        <v>6.7130000000000001</v>
      </c>
      <c r="O499" s="4">
        <v>1.3426</v>
      </c>
      <c r="P499" s="4">
        <v>0</v>
      </c>
      <c r="Q499" s="3" t="s">
        <v>26</v>
      </c>
      <c r="R499" s="3">
        <v>0</v>
      </c>
      <c r="S499" s="4">
        <v>0</v>
      </c>
      <c r="T499" s="4">
        <v>31</v>
      </c>
      <c r="U499" s="4">
        <v>59</v>
      </c>
      <c r="V499" s="4">
        <f>IF(ISERROR(VLOOKUP($S$499,'TAR FIN'!$A$1:$O$92,15,0)),0,VLOOKUP($S$499,'TAR FIN'!$A$1:$O$92,15,0))</f>
        <v>0</v>
      </c>
      <c r="W499" s="4">
        <f>IF(ISERROR(VLOOKUP($T$499,'TAR FIN'!$A$1:$O$92,15,0)),0,VLOOKUP($T$499,'TAR FIN'!$A$1:$O$92,15,0))</f>
        <v>87.73</v>
      </c>
      <c r="X499" s="4">
        <f>IF(ISERROR(VLOOKUP($U$499,'TAR FIN'!$A$1:$O$92,15,0)),0,VLOOKUP($U$499,'TAR FIN'!$A$1:$O$92,15,0))</f>
        <v>253.9</v>
      </c>
      <c r="Y499" s="4"/>
      <c r="Z499" s="4">
        <f ca="1">('TUSD BE'!$AM$12+'TUSD BF'!$AM$12+'TUSD CVA'!$AM$12)*1</f>
        <v>109.44196476324252</v>
      </c>
      <c r="AA499" s="4">
        <f>('TE BE'!$AB$6+'TE BF'!$AB$6+'TE CVA'!$AB$6)*1</f>
        <v>317.3874512882154</v>
      </c>
      <c r="AB499" s="4">
        <f>$K$499*$V$499</f>
        <v>0</v>
      </c>
      <c r="AC499" s="4">
        <f>$M$499*$W$499</f>
        <v>117.786298</v>
      </c>
      <c r="AD499" s="4">
        <f>$O$499*$X$499</f>
        <v>340.88614000000001</v>
      </c>
      <c r="AE499" s="4">
        <f>$K$499*$Y$499</f>
        <v>0</v>
      </c>
      <c r="AF499" s="4">
        <f ca="1">$M$499*$Z$499</f>
        <v>146.93678189112941</v>
      </c>
      <c r="AG499" s="4">
        <f>$O$499*$AA$499</f>
        <v>426.12439209955801</v>
      </c>
    </row>
    <row r="500" spans="1:33" ht="11.25" customHeight="1" x14ac:dyDescent="0.25">
      <c r="A500" s="3" t="s">
        <v>21</v>
      </c>
      <c r="B500" s="3" t="s">
        <v>39</v>
      </c>
      <c r="C500" s="3" t="s">
        <v>41</v>
      </c>
      <c r="D500" s="3" t="s">
        <v>44</v>
      </c>
      <c r="E500" s="3" t="s">
        <v>52</v>
      </c>
      <c r="F500" s="3" t="s">
        <v>54</v>
      </c>
      <c r="G500" s="3" t="s">
        <v>25</v>
      </c>
      <c r="H500" s="3" t="s">
        <v>35</v>
      </c>
      <c r="I500" s="6">
        <v>44774</v>
      </c>
      <c r="J500" s="4">
        <v>0</v>
      </c>
      <c r="K500" s="4">
        <v>0</v>
      </c>
      <c r="L500" s="4">
        <v>41.603000000000002</v>
      </c>
      <c r="M500" s="4">
        <v>8.3206000000000007</v>
      </c>
      <c r="N500" s="4">
        <v>41.603000000000002</v>
      </c>
      <c r="O500" s="4">
        <v>8.3206000000000007</v>
      </c>
      <c r="P500" s="4">
        <v>0</v>
      </c>
      <c r="Q500" s="3" t="s">
        <v>26</v>
      </c>
      <c r="R500" s="3">
        <v>0</v>
      </c>
      <c r="S500" s="4">
        <v>0</v>
      </c>
      <c r="T500" s="4">
        <v>31</v>
      </c>
      <c r="U500" s="4">
        <v>59</v>
      </c>
      <c r="V500" s="4">
        <f>IF(ISERROR(VLOOKUP($S$500,'TAR FIN'!$A$1:$O$92,15,0)),0,VLOOKUP($S$500,'TAR FIN'!$A$1:$O$92,15,0))</f>
        <v>0</v>
      </c>
      <c r="W500" s="4">
        <f>IF(ISERROR(VLOOKUP($T$500,'TAR FIN'!$A$1:$O$92,15,0)),0,VLOOKUP($T$500,'TAR FIN'!$A$1:$O$92,15,0))</f>
        <v>87.73</v>
      </c>
      <c r="X500" s="4">
        <f>IF(ISERROR(VLOOKUP($U$500,'TAR FIN'!$A$1:$O$92,15,0)),0,VLOOKUP($U$500,'TAR FIN'!$A$1:$O$92,15,0))</f>
        <v>253.9</v>
      </c>
      <c r="Y500" s="4"/>
      <c r="Z500" s="4">
        <f ca="1">('TUSD BE'!$AM$12+'TUSD BF'!$AM$12+'TUSD CVA'!$AM$12)*1</f>
        <v>109.44196476324252</v>
      </c>
      <c r="AA500" s="4">
        <f>('TE BE'!$AB$6+'TE BF'!$AB$6+'TE CVA'!$AB$6)*1</f>
        <v>317.3874512882154</v>
      </c>
      <c r="AB500" s="4">
        <f>$K$500*$V$500</f>
        <v>0</v>
      </c>
      <c r="AC500" s="4">
        <f>$M$500*$W$500</f>
        <v>729.96623800000009</v>
      </c>
      <c r="AD500" s="4">
        <f>$O$500*$X$500</f>
        <v>2112.6003400000004</v>
      </c>
      <c r="AE500" s="4">
        <f>$K$500*$Y$500</f>
        <v>0</v>
      </c>
      <c r="AF500" s="4">
        <f ca="1">$M$500*$Z$500</f>
        <v>910.62281200903578</v>
      </c>
      <c r="AG500" s="4">
        <f>$O$500*$AA$500</f>
        <v>2640.8540271887255</v>
      </c>
    </row>
    <row r="501" spans="1:33" ht="11.25" customHeight="1" x14ac:dyDescent="0.25">
      <c r="A501" s="3" t="s">
        <v>21</v>
      </c>
      <c r="B501" s="3" t="s">
        <v>39</v>
      </c>
      <c r="C501" s="3" t="s">
        <v>41</v>
      </c>
      <c r="D501" s="3" t="s">
        <v>44</v>
      </c>
      <c r="E501" s="3" t="s">
        <v>52</v>
      </c>
      <c r="F501" s="3" t="s">
        <v>54</v>
      </c>
      <c r="G501" s="3" t="s">
        <v>25</v>
      </c>
      <c r="H501" s="3" t="s">
        <v>35</v>
      </c>
      <c r="I501" s="6">
        <v>44805</v>
      </c>
      <c r="J501" s="4">
        <v>0</v>
      </c>
      <c r="K501" s="4">
        <v>0</v>
      </c>
      <c r="L501" s="4">
        <v>101.09099999999999</v>
      </c>
      <c r="M501" s="4">
        <v>20.2182</v>
      </c>
      <c r="N501" s="4">
        <v>101.09099999999999</v>
      </c>
      <c r="O501" s="4">
        <v>20.2182</v>
      </c>
      <c r="P501" s="4">
        <v>0</v>
      </c>
      <c r="Q501" s="3" t="s">
        <v>26</v>
      </c>
      <c r="R501" s="3">
        <v>0</v>
      </c>
      <c r="S501" s="4">
        <v>0</v>
      </c>
      <c r="T501" s="4">
        <v>31</v>
      </c>
      <c r="U501" s="4">
        <v>59</v>
      </c>
      <c r="V501" s="4">
        <f>IF(ISERROR(VLOOKUP($S$501,'TAR FIN'!$A$1:$O$92,15,0)),0,VLOOKUP($S$501,'TAR FIN'!$A$1:$O$92,15,0))</f>
        <v>0</v>
      </c>
      <c r="W501" s="4">
        <f>IF(ISERROR(VLOOKUP($T$501,'TAR FIN'!$A$1:$O$92,15,0)),0,VLOOKUP($T$501,'TAR FIN'!$A$1:$O$92,15,0))</f>
        <v>87.73</v>
      </c>
      <c r="X501" s="4">
        <f>IF(ISERROR(VLOOKUP($U$501,'TAR FIN'!$A$1:$O$92,15,0)),0,VLOOKUP($U$501,'TAR FIN'!$A$1:$O$92,15,0))</f>
        <v>253.9</v>
      </c>
      <c r="Y501" s="4"/>
      <c r="Z501" s="4">
        <f ca="1">('TUSD BE'!$AM$12+'TUSD BF'!$AM$12+'TUSD CVA'!$AM$12)*1</f>
        <v>109.44196476324252</v>
      </c>
      <c r="AA501" s="4">
        <f>('TE BE'!$AB$6+'TE BF'!$AB$6+'TE CVA'!$AB$6)*1</f>
        <v>317.3874512882154</v>
      </c>
      <c r="AB501" s="4">
        <f>$K$501*$V$501</f>
        <v>0</v>
      </c>
      <c r="AC501" s="4">
        <f>$M$501*$W$501</f>
        <v>1773.742686</v>
      </c>
      <c r="AD501" s="4">
        <f>$O$501*$X$501</f>
        <v>5133.4009800000003</v>
      </c>
      <c r="AE501" s="4">
        <f>$K$501*$Y$501</f>
        <v>0</v>
      </c>
      <c r="AF501" s="4">
        <f ca="1">$M$501*$Z$501</f>
        <v>2212.71953197619</v>
      </c>
      <c r="AG501" s="4">
        <f>$O$501*$AA$501</f>
        <v>6417.0029676353961</v>
      </c>
    </row>
    <row r="502" spans="1:33" ht="11.25" customHeight="1" x14ac:dyDescent="0.25">
      <c r="A502" s="3" t="s">
        <v>55</v>
      </c>
      <c r="B502" s="3" t="s">
        <v>39</v>
      </c>
      <c r="C502" s="3" t="s">
        <v>41</v>
      </c>
      <c r="D502" s="3" t="s">
        <v>44</v>
      </c>
      <c r="E502" s="3" t="s">
        <v>52</v>
      </c>
      <c r="F502" s="3" t="s">
        <v>54</v>
      </c>
      <c r="G502" s="3" t="s">
        <v>25</v>
      </c>
      <c r="H502" s="3" t="s">
        <v>35</v>
      </c>
      <c r="I502" s="6">
        <v>44835</v>
      </c>
      <c r="J502" s="4">
        <v>0</v>
      </c>
      <c r="K502" s="4">
        <v>0</v>
      </c>
      <c r="L502" s="4">
        <v>101.09099999999999</v>
      </c>
      <c r="M502" s="4">
        <v>20.2182</v>
      </c>
      <c r="N502" s="4">
        <v>101.09099999999999</v>
      </c>
      <c r="O502" s="4">
        <v>20.2182</v>
      </c>
      <c r="P502" s="4">
        <v>0</v>
      </c>
      <c r="Q502" s="3" t="s">
        <v>26</v>
      </c>
      <c r="R502" s="3">
        <v>0</v>
      </c>
      <c r="S502" s="4">
        <v>0</v>
      </c>
      <c r="T502" s="4">
        <v>31</v>
      </c>
      <c r="U502" s="4">
        <v>59</v>
      </c>
      <c r="V502" s="4">
        <f>IF(ISERROR(VLOOKUP($S$502,'TAR FIN'!$A$1:$O$92,15,0)),0,VLOOKUP($S$502,'TAR FIN'!$A$1:$O$92,15,0))</f>
        <v>0</v>
      </c>
      <c r="W502" s="4">
        <f>IF(ISERROR(VLOOKUP($T$502,'TAR FIN'!$A$1:$O$92,15,0)),0,VLOOKUP($T$502,'TAR FIN'!$A$1:$O$92,15,0))</f>
        <v>87.73</v>
      </c>
      <c r="X502" s="4">
        <f>IF(ISERROR(VLOOKUP($U$502,'TAR FIN'!$A$1:$O$92,15,0)),0,VLOOKUP($U$502,'TAR FIN'!$A$1:$O$92,15,0))</f>
        <v>253.9</v>
      </c>
      <c r="Y502" s="4"/>
      <c r="Z502" s="4">
        <f ca="1">('TUSD BE'!$AM$12+'TUSD BF'!$AM$12+'TUSD CVA'!$AM$12)*1</f>
        <v>109.44196476324252</v>
      </c>
      <c r="AA502" s="4">
        <f>('TE BE'!$AB$6+'TE BF'!$AB$6+'TE CVA'!$AB$6)*1</f>
        <v>317.3874512882154</v>
      </c>
      <c r="AB502" s="4">
        <f>$K$502*$V$502</f>
        <v>0</v>
      </c>
      <c r="AC502" s="4">
        <f>$M$502*$W$502</f>
        <v>1773.742686</v>
      </c>
      <c r="AD502" s="4">
        <f>$O$502*$X$502</f>
        <v>5133.4009800000003</v>
      </c>
      <c r="AE502" s="4">
        <f>$K$502*$Y$502</f>
        <v>0</v>
      </c>
      <c r="AF502" s="4">
        <f ca="1">$M$502*$Z$502</f>
        <v>2212.71953197619</v>
      </c>
      <c r="AG502" s="4">
        <f>$O$502*$AA$502</f>
        <v>6417.0029676353961</v>
      </c>
    </row>
    <row r="503" spans="1:33" ht="11.25" customHeight="1" x14ac:dyDescent="0.25">
      <c r="A503" s="3" t="s">
        <v>21</v>
      </c>
      <c r="B503" s="3" t="s">
        <v>39</v>
      </c>
      <c r="C503" s="3" t="s">
        <v>41</v>
      </c>
      <c r="D503" s="3" t="s">
        <v>44</v>
      </c>
      <c r="E503" s="3" t="s">
        <v>52</v>
      </c>
      <c r="F503" s="3" t="s">
        <v>25</v>
      </c>
      <c r="G503" s="3" t="s">
        <v>25</v>
      </c>
      <c r="H503" s="3" t="s">
        <v>35</v>
      </c>
      <c r="I503" s="6">
        <v>44501</v>
      </c>
      <c r="J503" s="4">
        <v>0</v>
      </c>
      <c r="K503" s="64">
        <v>0</v>
      </c>
      <c r="L503" s="4">
        <v>374.07400000000001</v>
      </c>
      <c r="M503" s="64">
        <v>374.07400000000001</v>
      </c>
      <c r="N503" s="4">
        <v>374.07400000000001</v>
      </c>
      <c r="O503" s="64">
        <v>374.07400000000001</v>
      </c>
      <c r="P503" s="4">
        <v>0</v>
      </c>
      <c r="Q503" s="3" t="s">
        <v>26</v>
      </c>
      <c r="R503" s="3">
        <v>0</v>
      </c>
      <c r="S503" s="4">
        <v>0</v>
      </c>
      <c r="T503" s="4">
        <v>31</v>
      </c>
      <c r="U503" s="4">
        <v>59</v>
      </c>
      <c r="V503" s="64">
        <f>IF(ISERROR(VLOOKUP($S$503,'TAR FIN'!$A$1:$O$92,15,0)),0,VLOOKUP($S$503,'TAR FIN'!$A$1:$O$92,15,0))</f>
        <v>0</v>
      </c>
      <c r="W503" s="64">
        <f>IF(ISERROR(VLOOKUP($T$503,'TAR FIN'!$A$1:$O$92,15,0)),0,VLOOKUP($T$503,'TAR FIN'!$A$1:$O$92,15,0))*(1-0.04)</f>
        <v>84.220799999999997</v>
      </c>
      <c r="X503" s="64">
        <f>IF(ISERROR(VLOOKUP($U$503,'TAR FIN'!$A$1:$O$92,15,0)),0,VLOOKUP($U$503,'TAR FIN'!$A$1:$O$92,15,0))*(1-0.04)</f>
        <v>243.744</v>
      </c>
      <c r="Y503" s="64"/>
      <c r="Z503" s="64">
        <f ca="1">('TUSD BE'!$AM$12+'TUSD BF'!$AM$12+'TUSD CVA'!$AM$12)*1*(1-0.02)</f>
        <v>107.25312546797767</v>
      </c>
      <c r="AA503" s="64">
        <f>('TE BE'!$AB$6+'TE BF'!$AB$6+'TE CVA'!$AB$6)*1*(1-0.02)</f>
        <v>311.0397022624511</v>
      </c>
      <c r="AB503" s="4">
        <f>$K$503*$V$503</f>
        <v>0</v>
      </c>
      <c r="AC503" s="4">
        <f>$M$503*$W$503</f>
        <v>31504.8115392</v>
      </c>
      <c r="AD503" s="4">
        <f>$O$503*$X$503</f>
        <v>91178.29305600001</v>
      </c>
      <c r="AE503" s="4">
        <f>$K$503*$Y$503</f>
        <v>0</v>
      </c>
      <c r="AF503" s="4">
        <f ca="1">$M$503*$Z$503</f>
        <v>40120.605656308282</v>
      </c>
      <c r="AG503" s="4">
        <f>$O$503*$AA$503</f>
        <v>116351.86558412414</v>
      </c>
    </row>
    <row r="504" spans="1:33" ht="11.25" customHeight="1" x14ac:dyDescent="0.25">
      <c r="A504" s="3" t="s">
        <v>21</v>
      </c>
      <c r="B504" s="3" t="s">
        <v>39</v>
      </c>
      <c r="C504" s="3" t="s">
        <v>41</v>
      </c>
      <c r="D504" s="3" t="s">
        <v>44</v>
      </c>
      <c r="E504" s="3" t="s">
        <v>52</v>
      </c>
      <c r="F504" s="3" t="s">
        <v>25</v>
      </c>
      <c r="G504" s="3" t="s">
        <v>25</v>
      </c>
      <c r="H504" s="3" t="s">
        <v>35</v>
      </c>
      <c r="I504" s="6">
        <v>44531</v>
      </c>
      <c r="J504" s="4">
        <v>0</v>
      </c>
      <c r="K504" s="64">
        <v>0</v>
      </c>
      <c r="L504" s="4">
        <v>522.27499999999998</v>
      </c>
      <c r="M504" s="64">
        <v>522.27499999999998</v>
      </c>
      <c r="N504" s="4">
        <v>522.27499999999998</v>
      </c>
      <c r="O504" s="64">
        <v>522.27499999999998</v>
      </c>
      <c r="P504" s="4">
        <v>0</v>
      </c>
      <c r="Q504" s="3" t="s">
        <v>26</v>
      </c>
      <c r="R504" s="3">
        <v>0</v>
      </c>
      <c r="S504" s="4">
        <v>0</v>
      </c>
      <c r="T504" s="4">
        <v>31</v>
      </c>
      <c r="U504" s="4">
        <v>59</v>
      </c>
      <c r="V504" s="64">
        <f>IF(ISERROR(VLOOKUP($S$504,'TAR FIN'!$A$1:$O$92,15,0)),0,VLOOKUP($S$504,'TAR FIN'!$A$1:$O$92,15,0))</f>
        <v>0</v>
      </c>
      <c r="W504" s="64">
        <f>IF(ISERROR(VLOOKUP($T$504,'TAR FIN'!$A$1:$O$92,15,0)),0,VLOOKUP($T$504,'TAR FIN'!$A$1:$O$92,15,0))*(1-0.04)</f>
        <v>84.220799999999997</v>
      </c>
      <c r="X504" s="64">
        <f>IF(ISERROR(VLOOKUP($U$504,'TAR FIN'!$A$1:$O$92,15,0)),0,VLOOKUP($U$504,'TAR FIN'!$A$1:$O$92,15,0))*(1-0.04)</f>
        <v>243.744</v>
      </c>
      <c r="Y504" s="64"/>
      <c r="Z504" s="64">
        <f ca="1">('TUSD BE'!$AM$12+'TUSD BF'!$AM$12+'TUSD CVA'!$AM$12)*1*(1-0.02)</f>
        <v>107.25312546797767</v>
      </c>
      <c r="AA504" s="64">
        <f>('TE BE'!$AB$6+'TE BF'!$AB$6+'TE CVA'!$AB$6)*1*(1-0.02)</f>
        <v>311.0397022624511</v>
      </c>
      <c r="AB504" s="4">
        <f>$K$504*$V$504</f>
        <v>0</v>
      </c>
      <c r="AC504" s="4">
        <f>$M$504*$W$504</f>
        <v>43986.418319999997</v>
      </c>
      <c r="AD504" s="4">
        <f>$O$504*$X$504</f>
        <v>127301.3976</v>
      </c>
      <c r="AE504" s="4">
        <f>$K$504*$Y$504</f>
        <v>0</v>
      </c>
      <c r="AF504" s="4">
        <f ca="1">$M$504*$Z$504</f>
        <v>56015.626103788032</v>
      </c>
      <c r="AG504" s="4">
        <f>$O$504*$AA$504</f>
        <v>162448.26049912165</v>
      </c>
    </row>
    <row r="505" spans="1:33" ht="11.25" customHeight="1" x14ac:dyDescent="0.25">
      <c r="A505" s="3" t="s">
        <v>21</v>
      </c>
      <c r="B505" s="3" t="s">
        <v>39</v>
      </c>
      <c r="C505" s="3" t="s">
        <v>41</v>
      </c>
      <c r="D505" s="3" t="s">
        <v>44</v>
      </c>
      <c r="E505" s="3" t="s">
        <v>52</v>
      </c>
      <c r="F505" s="3" t="s">
        <v>25</v>
      </c>
      <c r="G505" s="3" t="s">
        <v>25</v>
      </c>
      <c r="H505" s="3" t="s">
        <v>35</v>
      </c>
      <c r="I505" s="6">
        <v>44562</v>
      </c>
      <c r="J505" s="4">
        <v>0</v>
      </c>
      <c r="K505" s="64">
        <v>0</v>
      </c>
      <c r="L505" s="4">
        <v>533.25800000000004</v>
      </c>
      <c r="M505" s="64">
        <v>533.25800000000004</v>
      </c>
      <c r="N505" s="4">
        <v>533.25800000000004</v>
      </c>
      <c r="O505" s="64">
        <v>533.25800000000004</v>
      </c>
      <c r="P505" s="4">
        <v>0</v>
      </c>
      <c r="Q505" s="3" t="s">
        <v>26</v>
      </c>
      <c r="R505" s="3">
        <v>0</v>
      </c>
      <c r="S505" s="4">
        <v>0</v>
      </c>
      <c r="T505" s="4">
        <v>31</v>
      </c>
      <c r="U505" s="4">
        <v>59</v>
      </c>
      <c r="V505" s="64">
        <f>IF(ISERROR(VLOOKUP($S$505,'TAR FIN'!$A$1:$O$92,15,0)),0,VLOOKUP($S$505,'TAR FIN'!$A$1:$O$92,15,0))</f>
        <v>0</v>
      </c>
      <c r="W505" s="64">
        <f>IF(ISERROR(VLOOKUP($T$505,'TAR FIN'!$A$1:$O$92,15,0)),0,VLOOKUP($T$505,'TAR FIN'!$A$1:$O$92,15,0))*(1-0.04)</f>
        <v>84.220799999999997</v>
      </c>
      <c r="X505" s="64">
        <f>IF(ISERROR(VLOOKUP($U$505,'TAR FIN'!$A$1:$O$92,15,0)),0,VLOOKUP($U$505,'TAR FIN'!$A$1:$O$92,15,0))*(1-0.04)</f>
        <v>243.744</v>
      </c>
      <c r="Y505" s="64"/>
      <c r="Z505" s="64">
        <f ca="1">('TUSD BE'!$AM$12+'TUSD BF'!$AM$12+'TUSD CVA'!$AM$12)*1*(1-0.02)</f>
        <v>107.25312546797767</v>
      </c>
      <c r="AA505" s="64">
        <f>('TE BE'!$AB$6+'TE BF'!$AB$6+'TE CVA'!$AB$6)*1*(1-0.02)</f>
        <v>311.0397022624511</v>
      </c>
      <c r="AB505" s="4">
        <f>$K$505*$V$505</f>
        <v>0</v>
      </c>
      <c r="AC505" s="4">
        <f>$M$505*$W$505</f>
        <v>44911.415366400004</v>
      </c>
      <c r="AD505" s="4">
        <f>$O$505*$X$505</f>
        <v>129978.43795200001</v>
      </c>
      <c r="AE505" s="4">
        <f>$K$505*$Y$505</f>
        <v>0</v>
      </c>
      <c r="AF505" s="4">
        <f ca="1">$M$505*$Z$505</f>
        <v>57193.587180802839</v>
      </c>
      <c r="AG505" s="4">
        <f>$O$505*$AA$505</f>
        <v>165864.40954907017</v>
      </c>
    </row>
    <row r="506" spans="1:33" ht="11.25" customHeight="1" x14ac:dyDescent="0.25">
      <c r="A506" s="3" t="s">
        <v>21</v>
      </c>
      <c r="B506" s="3" t="s">
        <v>39</v>
      </c>
      <c r="C506" s="3" t="s">
        <v>41</v>
      </c>
      <c r="D506" s="3" t="s">
        <v>44</v>
      </c>
      <c r="E506" s="3" t="s">
        <v>52</v>
      </c>
      <c r="F506" s="3" t="s">
        <v>25</v>
      </c>
      <c r="G506" s="3" t="s">
        <v>25</v>
      </c>
      <c r="H506" s="3" t="s">
        <v>35</v>
      </c>
      <c r="I506" s="6">
        <v>44593</v>
      </c>
      <c r="J506" s="4">
        <v>0</v>
      </c>
      <c r="K506" s="64">
        <v>0</v>
      </c>
      <c r="L506" s="4">
        <v>513.38699999999994</v>
      </c>
      <c r="M506" s="64">
        <v>513.38699999999994</v>
      </c>
      <c r="N506" s="4">
        <v>513.38699999999994</v>
      </c>
      <c r="O506" s="64">
        <v>513.38699999999994</v>
      </c>
      <c r="P506" s="4">
        <v>0</v>
      </c>
      <c r="Q506" s="3" t="s">
        <v>26</v>
      </c>
      <c r="R506" s="3">
        <v>0</v>
      </c>
      <c r="S506" s="4">
        <v>0</v>
      </c>
      <c r="T506" s="4">
        <v>31</v>
      </c>
      <c r="U506" s="4">
        <v>59</v>
      </c>
      <c r="V506" s="64">
        <f>IF(ISERROR(VLOOKUP($S$506,'TAR FIN'!$A$1:$O$92,15,0)),0,VLOOKUP($S$506,'TAR FIN'!$A$1:$O$92,15,0))</f>
        <v>0</v>
      </c>
      <c r="W506" s="64">
        <f>IF(ISERROR(VLOOKUP($T$506,'TAR FIN'!$A$1:$O$92,15,0)),0,VLOOKUP($T$506,'TAR FIN'!$A$1:$O$92,15,0))*(1-0.04)</f>
        <v>84.220799999999997</v>
      </c>
      <c r="X506" s="64">
        <f>IF(ISERROR(VLOOKUP($U$506,'TAR FIN'!$A$1:$O$92,15,0)),0,VLOOKUP($U$506,'TAR FIN'!$A$1:$O$92,15,0))*(1-0.04)</f>
        <v>243.744</v>
      </c>
      <c r="Y506" s="64"/>
      <c r="Z506" s="64">
        <f ca="1">('TUSD BE'!$AM$12+'TUSD BF'!$AM$12+'TUSD CVA'!$AM$12)*1*(1-0.02)</f>
        <v>107.25312546797767</v>
      </c>
      <c r="AA506" s="64">
        <f>('TE BE'!$AB$6+'TE BF'!$AB$6+'TE CVA'!$AB$6)*1*(1-0.02)</f>
        <v>311.0397022624511</v>
      </c>
      <c r="AB506" s="4">
        <f>$K$506*$V$506</f>
        <v>0</v>
      </c>
      <c r="AC506" s="4">
        <f>$M$506*$W$506</f>
        <v>43237.863849599991</v>
      </c>
      <c r="AD506" s="4">
        <f>$O$506*$X$506</f>
        <v>125135.00092799998</v>
      </c>
      <c r="AE506" s="4">
        <f>$K$506*$Y$506</f>
        <v>0</v>
      </c>
      <c r="AF506" s="4">
        <f ca="1">$M$506*$Z$506</f>
        <v>55062.360324628644</v>
      </c>
      <c r="AG506" s="4">
        <f>$O$506*$AA$506</f>
        <v>159683.73962541297</v>
      </c>
    </row>
    <row r="507" spans="1:33" ht="11.25" customHeight="1" x14ac:dyDescent="0.25">
      <c r="A507" s="3" t="s">
        <v>27</v>
      </c>
      <c r="B507" s="3" t="s">
        <v>39</v>
      </c>
      <c r="C507" s="3" t="s">
        <v>41</v>
      </c>
      <c r="D507" s="3" t="s">
        <v>44</v>
      </c>
      <c r="E507" s="3" t="s">
        <v>52</v>
      </c>
      <c r="F507" s="3" t="s">
        <v>25</v>
      </c>
      <c r="G507" s="3" t="s">
        <v>25</v>
      </c>
      <c r="H507" s="3" t="s">
        <v>35</v>
      </c>
      <c r="I507" s="6">
        <v>44593</v>
      </c>
      <c r="J507" s="4">
        <v>0</v>
      </c>
      <c r="K507" s="64">
        <v>0</v>
      </c>
      <c r="L507" s="4">
        <v>-49.314</v>
      </c>
      <c r="M507" s="64">
        <v>-49.314</v>
      </c>
      <c r="N507" s="4">
        <v>-49.314</v>
      </c>
      <c r="O507" s="64">
        <v>-49.314</v>
      </c>
      <c r="P507" s="4">
        <v>0</v>
      </c>
      <c r="Q507" s="3" t="s">
        <v>26</v>
      </c>
      <c r="R507" s="3">
        <v>0</v>
      </c>
      <c r="S507" s="4">
        <v>0</v>
      </c>
      <c r="T507" s="4">
        <v>31</v>
      </c>
      <c r="U507" s="4">
        <v>59</v>
      </c>
      <c r="V507" s="64">
        <f>IF(ISERROR(VLOOKUP($S$507,'TAR FIN'!$A$1:$O$92,15,0)),0,VLOOKUP($S$507,'TAR FIN'!$A$1:$O$92,15,0))</f>
        <v>0</v>
      </c>
      <c r="W507" s="64">
        <f>IF(ISERROR(VLOOKUP($T$507,'TAR FIN'!$A$1:$O$92,15,0)),0,VLOOKUP($T$507,'TAR FIN'!$A$1:$O$92,15,0))*(1-0.04)</f>
        <v>84.220799999999997</v>
      </c>
      <c r="X507" s="64">
        <f>IF(ISERROR(VLOOKUP($U$507,'TAR FIN'!$A$1:$O$92,15,0)),0,VLOOKUP($U$507,'TAR FIN'!$A$1:$O$92,15,0))*(1-0.04)</f>
        <v>243.744</v>
      </c>
      <c r="Y507" s="64"/>
      <c r="Z507" s="64">
        <f ca="1">('TUSD BE'!$AM$12+'TUSD BF'!$AM$12+'TUSD CVA'!$AM$12)*1*(1-0.02)</f>
        <v>107.25312546797767</v>
      </c>
      <c r="AA507" s="64">
        <f>('TE BE'!$AB$6+'TE BF'!$AB$6+'TE CVA'!$AB$6)*1*(1-0.02)</f>
        <v>311.0397022624511</v>
      </c>
      <c r="AB507" s="4">
        <f>$K$507*$V$507</f>
        <v>0</v>
      </c>
      <c r="AC507" s="4">
        <f>$M$507*$W$507</f>
        <v>-4153.2645311999995</v>
      </c>
      <c r="AD507" s="4">
        <f>$O$507*$X$507</f>
        <v>-12019.991615999999</v>
      </c>
      <c r="AE507" s="4">
        <f>$K$507*$Y$507</f>
        <v>0</v>
      </c>
      <c r="AF507" s="4">
        <f ca="1">$M$507*$Z$507</f>
        <v>-5289.0806293278511</v>
      </c>
      <c r="AG507" s="4">
        <f>$O$507*$AA$507</f>
        <v>-15338.611877370513</v>
      </c>
    </row>
    <row r="508" spans="1:33" ht="11.25" customHeight="1" x14ac:dyDescent="0.25">
      <c r="A508" s="3" t="s">
        <v>21</v>
      </c>
      <c r="B508" s="3" t="s">
        <v>39</v>
      </c>
      <c r="C508" s="3" t="s">
        <v>41</v>
      </c>
      <c r="D508" s="3" t="s">
        <v>44</v>
      </c>
      <c r="E508" s="3" t="s">
        <v>52</v>
      </c>
      <c r="F508" s="3" t="s">
        <v>25</v>
      </c>
      <c r="G508" s="3" t="s">
        <v>25</v>
      </c>
      <c r="H508" s="3" t="s">
        <v>35</v>
      </c>
      <c r="I508" s="6">
        <v>44621</v>
      </c>
      <c r="J508" s="4">
        <v>0</v>
      </c>
      <c r="K508" s="64">
        <v>0</v>
      </c>
      <c r="L508" s="4">
        <v>113.63500000000001</v>
      </c>
      <c r="M508" s="64">
        <v>113.63500000000001</v>
      </c>
      <c r="N508" s="4">
        <v>113.63500000000001</v>
      </c>
      <c r="O508" s="64">
        <v>113.63500000000001</v>
      </c>
      <c r="P508" s="4">
        <v>0</v>
      </c>
      <c r="Q508" s="3" t="s">
        <v>26</v>
      </c>
      <c r="R508" s="3">
        <v>0</v>
      </c>
      <c r="S508" s="4">
        <v>0</v>
      </c>
      <c r="T508" s="4">
        <v>31</v>
      </c>
      <c r="U508" s="4">
        <v>59</v>
      </c>
      <c r="V508" s="64">
        <f>IF(ISERROR(VLOOKUP($S$508,'TAR FIN'!$A$1:$O$92,15,0)),0,VLOOKUP($S$508,'TAR FIN'!$A$1:$O$92,15,0))</f>
        <v>0</v>
      </c>
      <c r="W508" s="64">
        <f>IF(ISERROR(VLOOKUP($T$508,'TAR FIN'!$A$1:$O$92,15,0)),0,VLOOKUP($T$508,'TAR FIN'!$A$1:$O$92,15,0))*(1-0.04)</f>
        <v>84.220799999999997</v>
      </c>
      <c r="X508" s="64">
        <f>IF(ISERROR(VLOOKUP($U$508,'TAR FIN'!$A$1:$O$92,15,0)),0,VLOOKUP($U$508,'TAR FIN'!$A$1:$O$92,15,0))*(1-0.04)</f>
        <v>243.744</v>
      </c>
      <c r="Y508" s="64"/>
      <c r="Z508" s="64">
        <f ca="1">('TUSD BE'!$AM$12+'TUSD BF'!$AM$12+'TUSD CVA'!$AM$12)*1*(1-0.02)</f>
        <v>107.25312546797767</v>
      </c>
      <c r="AA508" s="64">
        <f>('TE BE'!$AB$6+'TE BF'!$AB$6+'TE CVA'!$AB$6)*1*(1-0.02)</f>
        <v>311.0397022624511</v>
      </c>
      <c r="AB508" s="4">
        <f>$K$508*$V$508</f>
        <v>0</v>
      </c>
      <c r="AC508" s="4">
        <f>$M$508*$W$508</f>
        <v>9570.4306080000006</v>
      </c>
      <c r="AD508" s="4">
        <f>$O$508*$X$508</f>
        <v>27697.849440000002</v>
      </c>
      <c r="AE508" s="4">
        <f>$K$508*$Y$508</f>
        <v>0</v>
      </c>
      <c r="AF508" s="4">
        <f ca="1">$M$508*$Z$508</f>
        <v>12187.708912553642</v>
      </c>
      <c r="AG508" s="4">
        <f>$O$508*$AA$508</f>
        <v>35344.996566593632</v>
      </c>
    </row>
    <row r="509" spans="1:33" ht="11.25" customHeight="1" x14ac:dyDescent="0.25">
      <c r="A509" s="3" t="s">
        <v>27</v>
      </c>
      <c r="B509" s="3" t="s">
        <v>39</v>
      </c>
      <c r="C509" s="3" t="s">
        <v>41</v>
      </c>
      <c r="D509" s="3" t="s">
        <v>44</v>
      </c>
      <c r="E509" s="3" t="s">
        <v>52</v>
      </c>
      <c r="F509" s="3" t="s">
        <v>25</v>
      </c>
      <c r="G509" s="3" t="s">
        <v>25</v>
      </c>
      <c r="H509" s="3" t="s">
        <v>35</v>
      </c>
      <c r="I509" s="6">
        <v>44621</v>
      </c>
      <c r="J509" s="4">
        <v>0</v>
      </c>
      <c r="K509" s="64">
        <v>0</v>
      </c>
      <c r="L509" s="4">
        <v>83.165000000000006</v>
      </c>
      <c r="M509" s="64">
        <v>83.165000000000006</v>
      </c>
      <c r="N509" s="4">
        <v>83.165000000000006</v>
      </c>
      <c r="O509" s="64">
        <v>83.165000000000006</v>
      </c>
      <c r="P509" s="4">
        <v>0</v>
      </c>
      <c r="Q509" s="3" t="s">
        <v>26</v>
      </c>
      <c r="R509" s="3">
        <v>0</v>
      </c>
      <c r="S509" s="4">
        <v>0</v>
      </c>
      <c r="T509" s="4">
        <v>31</v>
      </c>
      <c r="U509" s="4">
        <v>59</v>
      </c>
      <c r="V509" s="64">
        <f>IF(ISERROR(VLOOKUP($S$509,'TAR FIN'!$A$1:$O$92,15,0)),0,VLOOKUP($S$509,'TAR FIN'!$A$1:$O$92,15,0))</f>
        <v>0</v>
      </c>
      <c r="W509" s="64">
        <f>IF(ISERROR(VLOOKUP($T$509,'TAR FIN'!$A$1:$O$92,15,0)),0,VLOOKUP($T$509,'TAR FIN'!$A$1:$O$92,15,0))*(1-0.04)</f>
        <v>84.220799999999997</v>
      </c>
      <c r="X509" s="64">
        <f>IF(ISERROR(VLOOKUP($U$509,'TAR FIN'!$A$1:$O$92,15,0)),0,VLOOKUP($U$509,'TAR FIN'!$A$1:$O$92,15,0))*(1-0.04)</f>
        <v>243.744</v>
      </c>
      <c r="Y509" s="64"/>
      <c r="Z509" s="64">
        <f ca="1">('TUSD BE'!$AM$12+'TUSD BF'!$AM$12+'TUSD CVA'!$AM$12)*1*(1-0.02)</f>
        <v>107.25312546797767</v>
      </c>
      <c r="AA509" s="64">
        <f>('TE BE'!$AB$6+'TE BF'!$AB$6+'TE CVA'!$AB$6)*1*(1-0.02)</f>
        <v>311.0397022624511</v>
      </c>
      <c r="AB509" s="4">
        <f>$K$509*$V$509</f>
        <v>0</v>
      </c>
      <c r="AC509" s="4">
        <f>$M$509*$W$509</f>
        <v>7004.2228320000004</v>
      </c>
      <c r="AD509" s="4">
        <f>$O$509*$X$509</f>
        <v>20270.96976</v>
      </c>
      <c r="AE509" s="4">
        <f>$K$509*$Y$509</f>
        <v>0</v>
      </c>
      <c r="AF509" s="4">
        <f ca="1">$M$509*$Z$509</f>
        <v>8919.7061795443642</v>
      </c>
      <c r="AG509" s="4">
        <f>$O$509*$AA$509</f>
        <v>25867.616838656748</v>
      </c>
    </row>
    <row r="510" spans="1:33" ht="11.25" customHeight="1" x14ac:dyDescent="0.25">
      <c r="A510" s="3" t="s">
        <v>21</v>
      </c>
      <c r="B510" s="3" t="s">
        <v>39</v>
      </c>
      <c r="C510" s="3" t="s">
        <v>41</v>
      </c>
      <c r="D510" s="3" t="s">
        <v>44</v>
      </c>
      <c r="E510" s="3" t="s">
        <v>52</v>
      </c>
      <c r="F510" s="3" t="s">
        <v>25</v>
      </c>
      <c r="G510" s="3" t="s">
        <v>25</v>
      </c>
      <c r="H510" s="3" t="s">
        <v>35</v>
      </c>
      <c r="I510" s="6">
        <v>44652</v>
      </c>
      <c r="J510" s="4">
        <v>0</v>
      </c>
      <c r="K510" s="64">
        <v>0</v>
      </c>
      <c r="L510" s="4">
        <v>113.63500000000001</v>
      </c>
      <c r="M510" s="64">
        <v>113.63500000000001</v>
      </c>
      <c r="N510" s="4">
        <v>113.63500000000001</v>
      </c>
      <c r="O510" s="64">
        <v>113.63500000000001</v>
      </c>
      <c r="P510" s="4">
        <v>0</v>
      </c>
      <c r="Q510" s="3" t="s">
        <v>26</v>
      </c>
      <c r="R510" s="3">
        <v>0</v>
      </c>
      <c r="S510" s="4">
        <v>0</v>
      </c>
      <c r="T510" s="4">
        <v>31</v>
      </c>
      <c r="U510" s="4">
        <v>59</v>
      </c>
      <c r="V510" s="64">
        <f>IF(ISERROR(VLOOKUP($S$510,'TAR FIN'!$A$1:$O$92,15,0)),0,VLOOKUP($S$510,'TAR FIN'!$A$1:$O$92,15,0))</f>
        <v>0</v>
      </c>
      <c r="W510" s="64">
        <f>IF(ISERROR(VLOOKUP($T$510,'TAR FIN'!$A$1:$O$92,15,0)),0,VLOOKUP($T$510,'TAR FIN'!$A$1:$O$92,15,0))*(1-0.04)</f>
        <v>84.220799999999997</v>
      </c>
      <c r="X510" s="64">
        <f>IF(ISERROR(VLOOKUP($U$510,'TAR FIN'!$A$1:$O$92,15,0)),0,VLOOKUP($U$510,'TAR FIN'!$A$1:$O$92,15,0))*(1-0.04)</f>
        <v>243.744</v>
      </c>
      <c r="Y510" s="64"/>
      <c r="Z510" s="64">
        <f ca="1">('TUSD BE'!$AM$12+'TUSD BF'!$AM$12+'TUSD CVA'!$AM$12)*1*(1-0.02)</f>
        <v>107.25312546797767</v>
      </c>
      <c r="AA510" s="64">
        <f>('TE BE'!$AB$6+'TE BF'!$AB$6+'TE CVA'!$AB$6)*1*(1-0.02)</f>
        <v>311.0397022624511</v>
      </c>
      <c r="AB510" s="4">
        <f>$K$510*$V$510</f>
        <v>0</v>
      </c>
      <c r="AC510" s="4">
        <f>$M$510*$W$510</f>
        <v>9570.4306080000006</v>
      </c>
      <c r="AD510" s="4">
        <f>$O$510*$X$510</f>
        <v>27697.849440000002</v>
      </c>
      <c r="AE510" s="4">
        <f>$K$510*$Y$510</f>
        <v>0</v>
      </c>
      <c r="AF510" s="4">
        <f ca="1">$M$510*$Z$510</f>
        <v>12187.708912553642</v>
      </c>
      <c r="AG510" s="4">
        <f>$O$510*$AA$510</f>
        <v>35344.996566593632</v>
      </c>
    </row>
    <row r="511" spans="1:33" ht="11.25" customHeight="1" x14ac:dyDescent="0.25">
      <c r="A511" s="3" t="s">
        <v>27</v>
      </c>
      <c r="B511" s="3" t="s">
        <v>39</v>
      </c>
      <c r="C511" s="3" t="s">
        <v>41</v>
      </c>
      <c r="D511" s="3" t="s">
        <v>44</v>
      </c>
      <c r="E511" s="3" t="s">
        <v>52</v>
      </c>
      <c r="F511" s="3" t="s">
        <v>25</v>
      </c>
      <c r="G511" s="3" t="s">
        <v>25</v>
      </c>
      <c r="H511" s="3" t="s">
        <v>35</v>
      </c>
      <c r="I511" s="6">
        <v>44652</v>
      </c>
      <c r="J511" s="4">
        <v>0</v>
      </c>
      <c r="K511" s="64">
        <v>0</v>
      </c>
      <c r="L511" s="4">
        <v>83.165000000000006</v>
      </c>
      <c r="M511" s="64">
        <v>83.165000000000006</v>
      </c>
      <c r="N511" s="4">
        <v>83.165000000000006</v>
      </c>
      <c r="O511" s="64">
        <v>83.165000000000006</v>
      </c>
      <c r="P511" s="4">
        <v>0</v>
      </c>
      <c r="Q511" s="3" t="s">
        <v>26</v>
      </c>
      <c r="R511" s="3">
        <v>0</v>
      </c>
      <c r="S511" s="4">
        <v>0</v>
      </c>
      <c r="T511" s="4">
        <v>31</v>
      </c>
      <c r="U511" s="4">
        <v>59</v>
      </c>
      <c r="V511" s="64">
        <f>IF(ISERROR(VLOOKUP($S$511,'TAR FIN'!$A$1:$O$92,15,0)),0,VLOOKUP($S$511,'TAR FIN'!$A$1:$O$92,15,0))</f>
        <v>0</v>
      </c>
      <c r="W511" s="64">
        <f>IF(ISERROR(VLOOKUP($T$511,'TAR FIN'!$A$1:$O$92,15,0)),0,VLOOKUP($T$511,'TAR FIN'!$A$1:$O$92,15,0))*(1-0.04)</f>
        <v>84.220799999999997</v>
      </c>
      <c r="X511" s="64">
        <f>IF(ISERROR(VLOOKUP($U$511,'TAR FIN'!$A$1:$O$92,15,0)),0,VLOOKUP($U$511,'TAR FIN'!$A$1:$O$92,15,0))*(1-0.04)</f>
        <v>243.744</v>
      </c>
      <c r="Y511" s="64"/>
      <c r="Z511" s="64">
        <f ca="1">('TUSD BE'!$AM$12+'TUSD BF'!$AM$12+'TUSD CVA'!$AM$12)*1*(1-0.02)</f>
        <v>107.25312546797767</v>
      </c>
      <c r="AA511" s="64">
        <f>('TE BE'!$AB$6+'TE BF'!$AB$6+'TE CVA'!$AB$6)*1*(1-0.02)</f>
        <v>311.0397022624511</v>
      </c>
      <c r="AB511" s="4">
        <f>$K$511*$V$511</f>
        <v>0</v>
      </c>
      <c r="AC511" s="4">
        <f>$M$511*$W$511</f>
        <v>7004.2228320000004</v>
      </c>
      <c r="AD511" s="4">
        <f>$O$511*$X$511</f>
        <v>20270.96976</v>
      </c>
      <c r="AE511" s="4">
        <f>$K$511*$Y$511</f>
        <v>0</v>
      </c>
      <c r="AF511" s="4">
        <f ca="1">$M$511*$Z$511</f>
        <v>8919.7061795443642</v>
      </c>
      <c r="AG511" s="4">
        <f>$O$511*$AA$511</f>
        <v>25867.616838656748</v>
      </c>
    </row>
    <row r="512" spans="1:33" ht="11.25" customHeight="1" x14ac:dyDescent="0.25">
      <c r="A512" s="3" t="s">
        <v>21</v>
      </c>
      <c r="B512" s="3" t="s">
        <v>39</v>
      </c>
      <c r="C512" s="3" t="s">
        <v>41</v>
      </c>
      <c r="D512" s="3" t="s">
        <v>44</v>
      </c>
      <c r="E512" s="3" t="s">
        <v>52</v>
      </c>
      <c r="F512" s="3" t="s">
        <v>25</v>
      </c>
      <c r="G512" s="3" t="s">
        <v>25</v>
      </c>
      <c r="H512" s="3" t="s">
        <v>35</v>
      </c>
      <c r="I512" s="6">
        <v>44682</v>
      </c>
      <c r="J512" s="4">
        <v>0</v>
      </c>
      <c r="K512" s="64">
        <v>0</v>
      </c>
      <c r="L512" s="4">
        <v>24.876999999999999</v>
      </c>
      <c r="M512" s="64">
        <v>24.876999999999999</v>
      </c>
      <c r="N512" s="4">
        <v>24.876999999999999</v>
      </c>
      <c r="O512" s="64">
        <v>24.876999999999999</v>
      </c>
      <c r="P512" s="4">
        <v>0</v>
      </c>
      <c r="Q512" s="3" t="s">
        <v>26</v>
      </c>
      <c r="R512" s="3">
        <v>0</v>
      </c>
      <c r="S512" s="4">
        <v>0</v>
      </c>
      <c r="T512" s="4">
        <v>31</v>
      </c>
      <c r="U512" s="4">
        <v>59</v>
      </c>
      <c r="V512" s="64">
        <f>IF(ISERROR(VLOOKUP($S$512,'TAR FIN'!$A$1:$O$92,15,0)),0,VLOOKUP($S$512,'TAR FIN'!$A$1:$O$92,15,0))</f>
        <v>0</v>
      </c>
      <c r="W512" s="64">
        <f>IF(ISERROR(VLOOKUP($T$512,'TAR FIN'!$A$1:$O$92,15,0)),0,VLOOKUP($T$512,'TAR FIN'!$A$1:$O$92,15,0))*(1-0.04)</f>
        <v>84.220799999999997</v>
      </c>
      <c r="X512" s="64">
        <f>IF(ISERROR(VLOOKUP($U$512,'TAR FIN'!$A$1:$O$92,15,0)),0,VLOOKUP($U$512,'TAR FIN'!$A$1:$O$92,15,0))*(1-0.04)</f>
        <v>243.744</v>
      </c>
      <c r="Y512" s="64"/>
      <c r="Z512" s="64">
        <f ca="1">('TUSD BE'!$AM$12+'TUSD BF'!$AM$12+'TUSD CVA'!$AM$12)*1*(1-0.02)</f>
        <v>107.25312546797767</v>
      </c>
      <c r="AA512" s="64">
        <f>('TE BE'!$AB$6+'TE BF'!$AB$6+'TE CVA'!$AB$6)*1*(1-0.02)</f>
        <v>311.0397022624511</v>
      </c>
      <c r="AB512" s="4">
        <f>$K$512*$V$512</f>
        <v>0</v>
      </c>
      <c r="AC512" s="4">
        <f>$M$512*$W$512</f>
        <v>2095.1608415999999</v>
      </c>
      <c r="AD512" s="4">
        <f>$O$512*$X$512</f>
        <v>6063.6194879999994</v>
      </c>
      <c r="AE512" s="4">
        <f>$K$512*$Y$512</f>
        <v>0</v>
      </c>
      <c r="AF512" s="4">
        <f ca="1">$M$512*$Z$512</f>
        <v>2668.1360022668805</v>
      </c>
      <c r="AG512" s="4">
        <f>$O$512*$AA$512</f>
        <v>7737.7346731829957</v>
      </c>
    </row>
    <row r="513" spans="1:33" ht="11.25" customHeight="1" x14ac:dyDescent="0.25">
      <c r="A513" s="3" t="s">
        <v>27</v>
      </c>
      <c r="B513" s="3" t="s">
        <v>39</v>
      </c>
      <c r="C513" s="3" t="s">
        <v>41</v>
      </c>
      <c r="D513" s="3" t="s">
        <v>44</v>
      </c>
      <c r="E513" s="3" t="s">
        <v>52</v>
      </c>
      <c r="F513" s="3" t="s">
        <v>25</v>
      </c>
      <c r="G513" s="3" t="s">
        <v>25</v>
      </c>
      <c r="H513" s="3" t="s">
        <v>35</v>
      </c>
      <c r="I513" s="6">
        <v>44682</v>
      </c>
      <c r="J513" s="4">
        <v>0</v>
      </c>
      <c r="K513" s="64">
        <v>0</v>
      </c>
      <c r="L513" s="4">
        <v>-270.83999999999997</v>
      </c>
      <c r="M513" s="64">
        <v>-270.83999999999997</v>
      </c>
      <c r="N513" s="4">
        <v>-270.83999999999997</v>
      </c>
      <c r="O513" s="64">
        <v>-270.83999999999997</v>
      </c>
      <c r="P513" s="4">
        <v>0</v>
      </c>
      <c r="Q513" s="3" t="s">
        <v>26</v>
      </c>
      <c r="R513" s="3">
        <v>0</v>
      </c>
      <c r="S513" s="4">
        <v>0</v>
      </c>
      <c r="T513" s="4">
        <v>31</v>
      </c>
      <c r="U513" s="4">
        <v>59</v>
      </c>
      <c r="V513" s="64">
        <f>IF(ISERROR(VLOOKUP($S$513,'TAR FIN'!$A$1:$O$92,15,0)),0,VLOOKUP($S$513,'TAR FIN'!$A$1:$O$92,15,0))</f>
        <v>0</v>
      </c>
      <c r="W513" s="64">
        <f>IF(ISERROR(VLOOKUP($T$513,'TAR FIN'!$A$1:$O$92,15,0)),0,VLOOKUP($T$513,'TAR FIN'!$A$1:$O$92,15,0))*(1-0.04)</f>
        <v>84.220799999999997</v>
      </c>
      <c r="X513" s="64">
        <f>IF(ISERROR(VLOOKUP($U$513,'TAR FIN'!$A$1:$O$92,15,0)),0,VLOOKUP($U$513,'TAR FIN'!$A$1:$O$92,15,0))*(1-0.04)</f>
        <v>243.744</v>
      </c>
      <c r="Y513" s="64"/>
      <c r="Z513" s="64">
        <f ca="1">('TUSD BE'!$AM$12+'TUSD BF'!$AM$12+'TUSD CVA'!$AM$12)*1*(1-0.02)</f>
        <v>107.25312546797767</v>
      </c>
      <c r="AA513" s="64">
        <f>('TE BE'!$AB$6+'TE BF'!$AB$6+'TE CVA'!$AB$6)*1*(1-0.02)</f>
        <v>311.0397022624511</v>
      </c>
      <c r="AB513" s="4">
        <f>$K$513*$V$513</f>
        <v>0</v>
      </c>
      <c r="AC513" s="4">
        <f>$M$513*$W$513</f>
        <v>-22810.361471999997</v>
      </c>
      <c r="AD513" s="4">
        <f>$O$513*$X$513</f>
        <v>-66015.624960000001</v>
      </c>
      <c r="AE513" s="4">
        <f>$K$513*$Y$513</f>
        <v>0</v>
      </c>
      <c r="AF513" s="4">
        <f ca="1">$M$513*$Z$513</f>
        <v>-29048.43650174707</v>
      </c>
      <c r="AG513" s="4">
        <f>$O$513*$AA$513</f>
        <v>-84241.992960762247</v>
      </c>
    </row>
    <row r="514" spans="1:33" ht="11.25" customHeight="1" x14ac:dyDescent="0.25">
      <c r="A514" s="3" t="s">
        <v>21</v>
      </c>
      <c r="B514" s="3" t="s">
        <v>39</v>
      </c>
      <c r="C514" s="3" t="s">
        <v>41</v>
      </c>
      <c r="D514" s="3" t="s">
        <v>44</v>
      </c>
      <c r="E514" s="3" t="s">
        <v>52</v>
      </c>
      <c r="F514" s="3" t="s">
        <v>25</v>
      </c>
      <c r="G514" s="3" t="s">
        <v>25</v>
      </c>
      <c r="H514" s="3" t="s">
        <v>35</v>
      </c>
      <c r="I514" s="6">
        <v>44713</v>
      </c>
      <c r="J514" s="4">
        <v>0</v>
      </c>
      <c r="K514" s="64">
        <v>0</v>
      </c>
      <c r="L514" s="4">
        <v>15.004</v>
      </c>
      <c r="M514" s="64">
        <v>15.004</v>
      </c>
      <c r="N514" s="4">
        <v>15.004</v>
      </c>
      <c r="O514" s="64">
        <v>15.004</v>
      </c>
      <c r="P514" s="4">
        <v>0</v>
      </c>
      <c r="Q514" s="3" t="s">
        <v>26</v>
      </c>
      <c r="R514" s="3">
        <v>0</v>
      </c>
      <c r="S514" s="4">
        <v>0</v>
      </c>
      <c r="T514" s="4">
        <v>31</v>
      </c>
      <c r="U514" s="4">
        <v>59</v>
      </c>
      <c r="V514" s="64">
        <f>IF(ISERROR(VLOOKUP($S$514,'TAR FIN'!$A$1:$O$92,15,0)),0,VLOOKUP($S$514,'TAR FIN'!$A$1:$O$92,15,0))</f>
        <v>0</v>
      </c>
      <c r="W514" s="64">
        <f>IF(ISERROR(VLOOKUP($T$514,'TAR FIN'!$A$1:$O$92,15,0)),0,VLOOKUP($T$514,'TAR FIN'!$A$1:$O$92,15,0))*(1-0.04)</f>
        <v>84.220799999999997</v>
      </c>
      <c r="X514" s="64">
        <f>IF(ISERROR(VLOOKUP($U$514,'TAR FIN'!$A$1:$O$92,15,0)),0,VLOOKUP($U$514,'TAR FIN'!$A$1:$O$92,15,0))*(1-0.04)</f>
        <v>243.744</v>
      </c>
      <c r="Y514" s="64"/>
      <c r="Z514" s="64">
        <f ca="1">('TUSD BE'!$AM$12+'TUSD BF'!$AM$12+'TUSD CVA'!$AM$12)*1*(1-0.02)</f>
        <v>107.25312546797767</v>
      </c>
      <c r="AA514" s="64">
        <f>('TE BE'!$AB$6+'TE BF'!$AB$6+'TE CVA'!$AB$6)*1*(1-0.02)</f>
        <v>311.0397022624511</v>
      </c>
      <c r="AB514" s="4">
        <f>$K$514*$V$514</f>
        <v>0</v>
      </c>
      <c r="AC514" s="4">
        <f>$M$514*$W$514</f>
        <v>1263.6488832</v>
      </c>
      <c r="AD514" s="4">
        <f>$O$514*$X$514</f>
        <v>3657.1349759999998</v>
      </c>
      <c r="AE514" s="4">
        <f>$K$514*$Y$514</f>
        <v>0</v>
      </c>
      <c r="AF514" s="4">
        <f ca="1">$M$514*$Z$514</f>
        <v>1609.2258945215369</v>
      </c>
      <c r="AG514" s="4">
        <f>$O$514*$AA$514</f>
        <v>4666.8396927458161</v>
      </c>
    </row>
    <row r="515" spans="1:33" ht="11.25" customHeight="1" x14ac:dyDescent="0.25">
      <c r="A515" s="3" t="s">
        <v>21</v>
      </c>
      <c r="B515" s="3" t="s">
        <v>39</v>
      </c>
      <c r="C515" s="3" t="s">
        <v>41</v>
      </c>
      <c r="D515" s="3" t="s">
        <v>44</v>
      </c>
      <c r="E515" s="3" t="s">
        <v>52</v>
      </c>
      <c r="F515" s="3" t="s">
        <v>25</v>
      </c>
      <c r="G515" s="3" t="s">
        <v>25</v>
      </c>
      <c r="H515" s="3" t="s">
        <v>35</v>
      </c>
      <c r="I515" s="6">
        <v>44743</v>
      </c>
      <c r="J515" s="4">
        <v>0</v>
      </c>
      <c r="K515" s="64">
        <v>0</v>
      </c>
      <c r="L515" s="4">
        <v>16.501000000000001</v>
      </c>
      <c r="M515" s="64">
        <v>16.501000000000001</v>
      </c>
      <c r="N515" s="4">
        <v>16.501000000000001</v>
      </c>
      <c r="O515" s="64">
        <v>16.501000000000001</v>
      </c>
      <c r="P515" s="4">
        <v>0</v>
      </c>
      <c r="Q515" s="3" t="s">
        <v>26</v>
      </c>
      <c r="R515" s="3">
        <v>0</v>
      </c>
      <c r="S515" s="4">
        <v>0</v>
      </c>
      <c r="T515" s="4">
        <v>31</v>
      </c>
      <c r="U515" s="4">
        <v>59</v>
      </c>
      <c r="V515" s="64">
        <f>IF(ISERROR(VLOOKUP($S$515,'TAR FIN'!$A$1:$O$92,15,0)),0,VLOOKUP($S$515,'TAR FIN'!$A$1:$O$92,15,0))</f>
        <v>0</v>
      </c>
      <c r="W515" s="64">
        <f>IF(ISERROR(VLOOKUP($T$515,'TAR FIN'!$A$1:$O$92,15,0)),0,VLOOKUP($T$515,'TAR FIN'!$A$1:$O$92,15,0))*(1-0.04)</f>
        <v>84.220799999999997</v>
      </c>
      <c r="X515" s="64">
        <f>IF(ISERROR(VLOOKUP($U$515,'TAR FIN'!$A$1:$O$92,15,0)),0,VLOOKUP($U$515,'TAR FIN'!$A$1:$O$92,15,0))*(1-0.04)</f>
        <v>243.744</v>
      </c>
      <c r="Y515" s="64"/>
      <c r="Z515" s="64">
        <f ca="1">('TUSD BE'!$AM$12+'TUSD BF'!$AM$12+'TUSD CVA'!$AM$12)*1*(1-0.02)</f>
        <v>107.25312546797767</v>
      </c>
      <c r="AA515" s="64">
        <f>('TE BE'!$AB$6+'TE BF'!$AB$6+'TE CVA'!$AB$6)*1*(1-0.02)</f>
        <v>311.0397022624511</v>
      </c>
      <c r="AB515" s="4">
        <f>$K$515*$V$515</f>
        <v>0</v>
      </c>
      <c r="AC515" s="4">
        <f>$M$515*$W$515</f>
        <v>1389.7274208000001</v>
      </c>
      <c r="AD515" s="4">
        <f>$O$515*$X$515</f>
        <v>4022.0197440000002</v>
      </c>
      <c r="AE515" s="4">
        <f>$K$515*$Y$515</f>
        <v>0</v>
      </c>
      <c r="AF515" s="4">
        <f ca="1">$M$515*$Z$515</f>
        <v>1769.7838233470995</v>
      </c>
      <c r="AG515" s="4">
        <f>$O$515*$AA$515</f>
        <v>5132.466127032706</v>
      </c>
    </row>
    <row r="516" spans="1:33" ht="11.25" customHeight="1" x14ac:dyDescent="0.25">
      <c r="A516" s="3" t="s">
        <v>21</v>
      </c>
      <c r="B516" s="3" t="s">
        <v>39</v>
      </c>
      <c r="C516" s="3" t="s">
        <v>41</v>
      </c>
      <c r="D516" s="3" t="s">
        <v>44</v>
      </c>
      <c r="E516" s="3" t="s">
        <v>52</v>
      </c>
      <c r="F516" s="3" t="s">
        <v>25</v>
      </c>
      <c r="G516" s="3" t="s">
        <v>25</v>
      </c>
      <c r="H516" s="3" t="s">
        <v>35</v>
      </c>
      <c r="I516" s="6">
        <v>44774</v>
      </c>
      <c r="J516" s="4">
        <v>0</v>
      </c>
      <c r="K516" s="64">
        <v>0</v>
      </c>
      <c r="L516" s="4">
        <v>87.394000000000005</v>
      </c>
      <c r="M516" s="64">
        <v>87.394000000000005</v>
      </c>
      <c r="N516" s="4">
        <v>87.394000000000005</v>
      </c>
      <c r="O516" s="64">
        <v>87.394000000000005</v>
      </c>
      <c r="P516" s="4">
        <v>0</v>
      </c>
      <c r="Q516" s="3" t="s">
        <v>26</v>
      </c>
      <c r="R516" s="3">
        <v>0</v>
      </c>
      <c r="S516" s="4">
        <v>0</v>
      </c>
      <c r="T516" s="4">
        <v>31</v>
      </c>
      <c r="U516" s="4">
        <v>59</v>
      </c>
      <c r="V516" s="64">
        <f>IF(ISERROR(VLOOKUP($S$516,'TAR FIN'!$A$1:$O$92,15,0)),0,VLOOKUP($S$516,'TAR FIN'!$A$1:$O$92,15,0))</f>
        <v>0</v>
      </c>
      <c r="W516" s="64">
        <f>IF(ISERROR(VLOOKUP($T$516,'TAR FIN'!$A$1:$O$92,15,0)),0,VLOOKUP($T$516,'TAR FIN'!$A$1:$O$92,15,0))*(1-0.04)</f>
        <v>84.220799999999997</v>
      </c>
      <c r="X516" s="64">
        <f>IF(ISERROR(VLOOKUP($U$516,'TAR FIN'!$A$1:$O$92,15,0)),0,VLOOKUP($U$516,'TAR FIN'!$A$1:$O$92,15,0))*(1-0.04)</f>
        <v>243.744</v>
      </c>
      <c r="Y516" s="64"/>
      <c r="Z516" s="64">
        <f ca="1">('TUSD BE'!$AM$12+'TUSD BF'!$AM$12+'TUSD CVA'!$AM$12)*1*(1-0.02)</f>
        <v>107.25312546797767</v>
      </c>
      <c r="AA516" s="64">
        <f>('TE BE'!$AB$6+'TE BF'!$AB$6+'TE CVA'!$AB$6)*1*(1-0.02)</f>
        <v>311.0397022624511</v>
      </c>
      <c r="AB516" s="4">
        <f>$K$516*$V$516</f>
        <v>0</v>
      </c>
      <c r="AC516" s="4">
        <f>$M$516*$W$516</f>
        <v>7360.3925952</v>
      </c>
      <c r="AD516" s="4">
        <f>$O$516*$X$516</f>
        <v>21301.763136000001</v>
      </c>
      <c r="AE516" s="4">
        <f>$K$516*$Y$516</f>
        <v>0</v>
      </c>
      <c r="AF516" s="4">
        <f ca="1">$M$516*$Z$516</f>
        <v>9373.2796471484417</v>
      </c>
      <c r="AG516" s="4">
        <f>$O$516*$AA$516</f>
        <v>27183.003739524655</v>
      </c>
    </row>
    <row r="517" spans="1:33" ht="11.25" customHeight="1" x14ac:dyDescent="0.25">
      <c r="A517" s="3" t="s">
        <v>21</v>
      </c>
      <c r="B517" s="3" t="s">
        <v>39</v>
      </c>
      <c r="C517" s="3" t="s">
        <v>41</v>
      </c>
      <c r="D517" s="3" t="s">
        <v>44</v>
      </c>
      <c r="E517" s="3" t="s">
        <v>52</v>
      </c>
      <c r="F517" s="3" t="s">
        <v>25</v>
      </c>
      <c r="G517" s="3" t="s">
        <v>25</v>
      </c>
      <c r="H517" s="3" t="s">
        <v>35</v>
      </c>
      <c r="I517" s="6">
        <v>44805</v>
      </c>
      <c r="J517" s="4">
        <v>0</v>
      </c>
      <c r="K517" s="64">
        <v>0</v>
      </c>
      <c r="L517" s="4">
        <v>147.00399999999999</v>
      </c>
      <c r="M517" s="64">
        <v>147.00399999999999</v>
      </c>
      <c r="N517" s="4">
        <v>147.00399999999999</v>
      </c>
      <c r="O517" s="64">
        <v>147.00399999999999</v>
      </c>
      <c r="P517" s="4">
        <v>0</v>
      </c>
      <c r="Q517" s="3" t="s">
        <v>26</v>
      </c>
      <c r="R517" s="3">
        <v>0</v>
      </c>
      <c r="S517" s="4">
        <v>0</v>
      </c>
      <c r="T517" s="4">
        <v>31</v>
      </c>
      <c r="U517" s="4">
        <v>59</v>
      </c>
      <c r="V517" s="64">
        <f>IF(ISERROR(VLOOKUP($S$517,'TAR FIN'!$A$1:$O$92,15,0)),0,VLOOKUP($S$517,'TAR FIN'!$A$1:$O$92,15,0))</f>
        <v>0</v>
      </c>
      <c r="W517" s="64">
        <f>IF(ISERROR(VLOOKUP($T$517,'TAR FIN'!$A$1:$O$92,15,0)),0,VLOOKUP($T$517,'TAR FIN'!$A$1:$O$92,15,0))*(1-0.04)</f>
        <v>84.220799999999997</v>
      </c>
      <c r="X517" s="64">
        <f>IF(ISERROR(VLOOKUP($U$517,'TAR FIN'!$A$1:$O$92,15,0)),0,VLOOKUP($U$517,'TAR FIN'!$A$1:$O$92,15,0))*(1-0.04)</f>
        <v>243.744</v>
      </c>
      <c r="Y517" s="64"/>
      <c r="Z517" s="64">
        <f ca="1">('TUSD BE'!$AM$12+'TUSD BF'!$AM$12+'TUSD CVA'!$AM$12)*1*(1-0.02)</f>
        <v>107.25312546797767</v>
      </c>
      <c r="AA517" s="64">
        <f>('TE BE'!$AB$6+'TE BF'!$AB$6+'TE CVA'!$AB$6)*1*(1-0.02)</f>
        <v>311.0397022624511</v>
      </c>
      <c r="AB517" s="4">
        <f>$K$517*$V$517</f>
        <v>0</v>
      </c>
      <c r="AC517" s="4">
        <f>$M$517*$W$517</f>
        <v>12380.794483199999</v>
      </c>
      <c r="AD517" s="4">
        <f>$O$517*$X$517</f>
        <v>35831.342976</v>
      </c>
      <c r="AE517" s="4">
        <f>$K$517*$Y$517</f>
        <v>0</v>
      </c>
      <c r="AF517" s="4">
        <f ca="1">$M$517*$Z$517</f>
        <v>15766.638456294588</v>
      </c>
      <c r="AG517" s="4">
        <f>$O$517*$AA$517</f>
        <v>45724.080391389361</v>
      </c>
    </row>
    <row r="518" spans="1:33" ht="11.25" customHeight="1" x14ac:dyDescent="0.25">
      <c r="A518" s="3" t="s">
        <v>55</v>
      </c>
      <c r="B518" s="3" t="s">
        <v>39</v>
      </c>
      <c r="C518" s="3" t="s">
        <v>41</v>
      </c>
      <c r="D518" s="3" t="s">
        <v>44</v>
      </c>
      <c r="E518" s="3" t="s">
        <v>52</v>
      </c>
      <c r="F518" s="3" t="s">
        <v>25</v>
      </c>
      <c r="G518" s="3" t="s">
        <v>25</v>
      </c>
      <c r="H518" s="3" t="s">
        <v>35</v>
      </c>
      <c r="I518" s="6">
        <v>44835</v>
      </c>
      <c r="J518" s="4">
        <v>0</v>
      </c>
      <c r="K518" s="64">
        <v>0</v>
      </c>
      <c r="L518" s="4">
        <v>147.00399999999999</v>
      </c>
      <c r="M518" s="64">
        <v>147.00399999999999</v>
      </c>
      <c r="N518" s="4">
        <v>147.00399999999999</v>
      </c>
      <c r="O518" s="64">
        <v>147.00399999999999</v>
      </c>
      <c r="P518" s="4">
        <v>0</v>
      </c>
      <c r="Q518" s="3" t="s">
        <v>26</v>
      </c>
      <c r="R518" s="3">
        <v>0</v>
      </c>
      <c r="S518" s="4">
        <v>0</v>
      </c>
      <c r="T518" s="4">
        <v>31</v>
      </c>
      <c r="U518" s="4">
        <v>59</v>
      </c>
      <c r="V518" s="64">
        <f>IF(ISERROR(VLOOKUP($S$518,'TAR FIN'!$A$1:$O$92,15,0)),0,VLOOKUP($S$518,'TAR FIN'!$A$1:$O$92,15,0))</f>
        <v>0</v>
      </c>
      <c r="W518" s="64">
        <f>IF(ISERROR(VLOOKUP($T$518,'TAR FIN'!$A$1:$O$92,15,0)),0,VLOOKUP($T$518,'TAR FIN'!$A$1:$O$92,15,0))*(1-0.04)</f>
        <v>84.220799999999997</v>
      </c>
      <c r="X518" s="64">
        <f>IF(ISERROR(VLOOKUP($U$518,'TAR FIN'!$A$1:$O$92,15,0)),0,VLOOKUP($U$518,'TAR FIN'!$A$1:$O$92,15,0))*(1-0.04)</f>
        <v>243.744</v>
      </c>
      <c r="Y518" s="64"/>
      <c r="Z518" s="64">
        <f ca="1">('TUSD BE'!$AM$12+'TUSD BF'!$AM$12+'TUSD CVA'!$AM$12)*1*(1-0.02)</f>
        <v>107.25312546797767</v>
      </c>
      <c r="AA518" s="64">
        <f>('TE BE'!$AB$6+'TE BF'!$AB$6+'TE CVA'!$AB$6)*1*(1-0.02)</f>
        <v>311.0397022624511</v>
      </c>
      <c r="AB518" s="4">
        <f>$K$518*$V$518</f>
        <v>0</v>
      </c>
      <c r="AC518" s="4">
        <f>$M$518*$W$518</f>
        <v>12380.794483199999</v>
      </c>
      <c r="AD518" s="4">
        <f>$O$518*$X$518</f>
        <v>35831.342976</v>
      </c>
      <c r="AE518" s="4">
        <f>$K$518*$Y$518</f>
        <v>0</v>
      </c>
      <c r="AF518" s="4">
        <f ca="1">$M$518*$Z$518</f>
        <v>15766.638456294588</v>
      </c>
      <c r="AG518" s="4">
        <f>$O$518*$AA$518</f>
        <v>45724.080391389361</v>
      </c>
    </row>
    <row r="519" spans="1:33" ht="11.25" customHeight="1" x14ac:dyDescent="0.25">
      <c r="A519" s="3" t="s">
        <v>21</v>
      </c>
      <c r="B519" s="3" t="s">
        <v>39</v>
      </c>
      <c r="C519" s="3" t="s">
        <v>41</v>
      </c>
      <c r="D519" s="3" t="s">
        <v>44</v>
      </c>
      <c r="E519" s="3" t="s">
        <v>52</v>
      </c>
      <c r="F519" s="3" t="s">
        <v>25</v>
      </c>
      <c r="G519" s="3" t="s">
        <v>25</v>
      </c>
      <c r="H519" s="3" t="s">
        <v>25</v>
      </c>
      <c r="I519" s="6">
        <v>44501</v>
      </c>
      <c r="J519" s="4">
        <v>2001</v>
      </c>
      <c r="K519" s="64">
        <v>2001</v>
      </c>
      <c r="L519" s="4">
        <v>0</v>
      </c>
      <c r="M519" s="64">
        <v>0</v>
      </c>
      <c r="N519" s="4">
        <v>0</v>
      </c>
      <c r="O519" s="64">
        <v>0</v>
      </c>
      <c r="P519" s="4">
        <v>13</v>
      </c>
      <c r="Q519" s="3" t="s">
        <v>26</v>
      </c>
      <c r="R519" s="3">
        <v>0</v>
      </c>
      <c r="S519" s="4">
        <v>18</v>
      </c>
      <c r="T519" s="4">
        <v>0</v>
      </c>
      <c r="U519" s="4">
        <v>0</v>
      </c>
      <c r="V519" s="64">
        <f>IF(ISERROR(VLOOKUP($S$519,'TAR FIN'!$A$1:$O$92,15,0)),0,VLOOKUP($S$519,'TAR FIN'!$A$1:$O$92,15,0))*(1-0.04)</f>
        <v>14.054399999999999</v>
      </c>
      <c r="W519" s="64">
        <f>IF(ISERROR(VLOOKUP($T$519,'TAR FIN'!$A$1:$O$92,15,0)),0,VLOOKUP($T$519,'TAR FIN'!$A$1:$O$92,15,0))</f>
        <v>0</v>
      </c>
      <c r="X519" s="64">
        <f>IF(ISERROR(VLOOKUP($U$519,'TAR FIN'!$A$1:$O$92,15,0)),0,VLOOKUP($U$519,'TAR FIN'!$A$1:$O$92,15,0))</f>
        <v>0</v>
      </c>
      <c r="Y519" s="64">
        <f ca="1">('TUSD BE'!$AM$10+'TUSD BF'!$AM$10+'TUSD CVA'!$AM$10)*1*(1-0.02)</f>
        <v>18.643987249835956</v>
      </c>
      <c r="Z519" s="64"/>
      <c r="AA519" s="64"/>
      <c r="AB519" s="4">
        <f>$K$519*$V$519</f>
        <v>28122.8544</v>
      </c>
      <c r="AC519" s="4">
        <f>$M$519*$W$519</f>
        <v>0</v>
      </c>
      <c r="AD519" s="4">
        <f>$O$519*$X$519</f>
        <v>0</v>
      </c>
      <c r="AE519" s="4">
        <f ca="1">$K$519*$Y$519</f>
        <v>37306.618486921747</v>
      </c>
      <c r="AF519" s="4">
        <f>$M$519*$Z$519</f>
        <v>0</v>
      </c>
      <c r="AG519" s="4">
        <f>$O$519*$AA$519</f>
        <v>0</v>
      </c>
    </row>
    <row r="520" spans="1:33" ht="11.25" customHeight="1" x14ac:dyDescent="0.25">
      <c r="A520" s="3" t="s">
        <v>21</v>
      </c>
      <c r="B520" s="3" t="s">
        <v>39</v>
      </c>
      <c r="C520" s="3" t="s">
        <v>41</v>
      </c>
      <c r="D520" s="3" t="s">
        <v>44</v>
      </c>
      <c r="E520" s="3" t="s">
        <v>52</v>
      </c>
      <c r="F520" s="3" t="s">
        <v>25</v>
      </c>
      <c r="G520" s="3" t="s">
        <v>25</v>
      </c>
      <c r="H520" s="3" t="s">
        <v>25</v>
      </c>
      <c r="I520" s="6">
        <v>44531</v>
      </c>
      <c r="J520" s="4">
        <v>2081</v>
      </c>
      <c r="K520" s="64">
        <v>2081</v>
      </c>
      <c r="L520" s="4">
        <v>0</v>
      </c>
      <c r="M520" s="64">
        <v>0</v>
      </c>
      <c r="N520" s="4">
        <v>0</v>
      </c>
      <c r="O520" s="64">
        <v>0</v>
      </c>
      <c r="P520" s="4">
        <v>13</v>
      </c>
      <c r="Q520" s="3" t="s">
        <v>26</v>
      </c>
      <c r="R520" s="3">
        <v>0</v>
      </c>
      <c r="S520" s="4">
        <v>18</v>
      </c>
      <c r="T520" s="4">
        <v>0</v>
      </c>
      <c r="U520" s="4">
        <v>0</v>
      </c>
      <c r="V520" s="64">
        <f>IF(ISERROR(VLOOKUP($S$520,'TAR FIN'!$A$1:$O$92,15,0)),0,VLOOKUP($S$520,'TAR FIN'!$A$1:$O$92,15,0))*(1-0.04)</f>
        <v>14.054399999999999</v>
      </c>
      <c r="W520" s="64">
        <f>IF(ISERROR(VLOOKUP($T$520,'TAR FIN'!$A$1:$O$92,15,0)),0,VLOOKUP($T$520,'TAR FIN'!$A$1:$O$92,15,0))</f>
        <v>0</v>
      </c>
      <c r="X520" s="64">
        <f>IF(ISERROR(VLOOKUP($U$520,'TAR FIN'!$A$1:$O$92,15,0)),0,VLOOKUP($U$520,'TAR FIN'!$A$1:$O$92,15,0))</f>
        <v>0</v>
      </c>
      <c r="Y520" s="64">
        <f ca="1">('TUSD BE'!$AM$10+'TUSD BF'!$AM$10+'TUSD CVA'!$AM$10)*1*(1-0.02)</f>
        <v>18.643987249835956</v>
      </c>
      <c r="Z520" s="64"/>
      <c r="AA520" s="64"/>
      <c r="AB520" s="4">
        <f>$K$520*$V$520</f>
        <v>29247.206399999999</v>
      </c>
      <c r="AC520" s="4">
        <f>$M$520*$W$520</f>
        <v>0</v>
      </c>
      <c r="AD520" s="4">
        <f>$O$520*$X$520</f>
        <v>0</v>
      </c>
      <c r="AE520" s="4">
        <f ca="1">$K$520*$Y$520</f>
        <v>38798.137466908622</v>
      </c>
      <c r="AF520" s="4">
        <f>$M$520*$Z$520</f>
        <v>0</v>
      </c>
      <c r="AG520" s="4">
        <f>$O$520*$AA$520</f>
        <v>0</v>
      </c>
    </row>
    <row r="521" spans="1:33" ht="11.25" customHeight="1" x14ac:dyDescent="0.25">
      <c r="A521" s="3" t="s">
        <v>21</v>
      </c>
      <c r="B521" s="3" t="s">
        <v>39</v>
      </c>
      <c r="C521" s="3" t="s">
        <v>41</v>
      </c>
      <c r="D521" s="3" t="s">
        <v>44</v>
      </c>
      <c r="E521" s="3" t="s">
        <v>52</v>
      </c>
      <c r="F521" s="3" t="s">
        <v>25</v>
      </c>
      <c r="G521" s="3" t="s">
        <v>25</v>
      </c>
      <c r="H521" s="3" t="s">
        <v>25</v>
      </c>
      <c r="I521" s="6">
        <v>44562</v>
      </c>
      <c r="J521" s="4">
        <v>2954</v>
      </c>
      <c r="K521" s="64">
        <v>2954</v>
      </c>
      <c r="L521" s="4">
        <v>0</v>
      </c>
      <c r="M521" s="64">
        <v>0</v>
      </c>
      <c r="N521" s="4">
        <v>0</v>
      </c>
      <c r="O521" s="64">
        <v>0</v>
      </c>
      <c r="P521" s="4">
        <v>16</v>
      </c>
      <c r="Q521" s="3" t="s">
        <v>26</v>
      </c>
      <c r="R521" s="3">
        <v>0</v>
      </c>
      <c r="S521" s="4">
        <v>18</v>
      </c>
      <c r="T521" s="4">
        <v>0</v>
      </c>
      <c r="U521" s="4">
        <v>0</v>
      </c>
      <c r="V521" s="64">
        <f>IF(ISERROR(VLOOKUP($S$521,'TAR FIN'!$A$1:$O$92,15,0)),0,VLOOKUP($S$521,'TAR FIN'!$A$1:$O$92,15,0))*(1-0.04)</f>
        <v>14.054399999999999</v>
      </c>
      <c r="W521" s="64">
        <f>IF(ISERROR(VLOOKUP($T$521,'TAR FIN'!$A$1:$O$92,15,0)),0,VLOOKUP($T$521,'TAR FIN'!$A$1:$O$92,15,0))</f>
        <v>0</v>
      </c>
      <c r="X521" s="64">
        <f>IF(ISERROR(VLOOKUP($U$521,'TAR FIN'!$A$1:$O$92,15,0)),0,VLOOKUP($U$521,'TAR FIN'!$A$1:$O$92,15,0))</f>
        <v>0</v>
      </c>
      <c r="Y521" s="64">
        <f ca="1">('TUSD BE'!$AM$10+'TUSD BF'!$AM$10+'TUSD CVA'!$AM$10)*1*(1-0.02)</f>
        <v>18.643987249835956</v>
      </c>
      <c r="Z521" s="64"/>
      <c r="AA521" s="64"/>
      <c r="AB521" s="4">
        <f>$K$521*$V$521</f>
        <v>41516.6976</v>
      </c>
      <c r="AC521" s="4">
        <f>$M$521*$W$521</f>
        <v>0</v>
      </c>
      <c r="AD521" s="4">
        <f>$O$521*$X$521</f>
        <v>0</v>
      </c>
      <c r="AE521" s="4">
        <f ca="1">$K$521*$Y$521</f>
        <v>55074.338336015411</v>
      </c>
      <c r="AF521" s="4">
        <f>$M$521*$Z$521</f>
        <v>0</v>
      </c>
      <c r="AG521" s="4">
        <f>$O$521*$AA$521</f>
        <v>0</v>
      </c>
    </row>
    <row r="522" spans="1:33" ht="11.25" customHeight="1" x14ac:dyDescent="0.25">
      <c r="A522" s="3" t="s">
        <v>21</v>
      </c>
      <c r="B522" s="3" t="s">
        <v>39</v>
      </c>
      <c r="C522" s="3" t="s">
        <v>41</v>
      </c>
      <c r="D522" s="3" t="s">
        <v>44</v>
      </c>
      <c r="E522" s="3" t="s">
        <v>52</v>
      </c>
      <c r="F522" s="3" t="s">
        <v>25</v>
      </c>
      <c r="G522" s="3" t="s">
        <v>25</v>
      </c>
      <c r="H522" s="3" t="s">
        <v>25</v>
      </c>
      <c r="I522" s="6">
        <v>44593</v>
      </c>
      <c r="J522" s="4">
        <v>2358</v>
      </c>
      <c r="K522" s="64">
        <v>2358</v>
      </c>
      <c r="L522" s="4">
        <v>0</v>
      </c>
      <c r="M522" s="64">
        <v>0</v>
      </c>
      <c r="N522" s="4">
        <v>0</v>
      </c>
      <c r="O522" s="64">
        <v>0</v>
      </c>
      <c r="P522" s="4">
        <v>16</v>
      </c>
      <c r="Q522" s="3" t="s">
        <v>26</v>
      </c>
      <c r="R522" s="3">
        <v>0</v>
      </c>
      <c r="S522" s="4">
        <v>18</v>
      </c>
      <c r="T522" s="4">
        <v>0</v>
      </c>
      <c r="U522" s="4">
        <v>0</v>
      </c>
      <c r="V522" s="64">
        <f>IF(ISERROR(VLOOKUP($S$522,'TAR FIN'!$A$1:$O$92,15,0)),0,VLOOKUP($S$522,'TAR FIN'!$A$1:$O$92,15,0))*(1-0.04)</f>
        <v>14.054399999999999</v>
      </c>
      <c r="W522" s="64">
        <f>IF(ISERROR(VLOOKUP($T$522,'TAR FIN'!$A$1:$O$92,15,0)),0,VLOOKUP($T$522,'TAR FIN'!$A$1:$O$92,15,0))</f>
        <v>0</v>
      </c>
      <c r="X522" s="64">
        <f>IF(ISERROR(VLOOKUP($U$522,'TAR FIN'!$A$1:$O$92,15,0)),0,VLOOKUP($U$522,'TAR FIN'!$A$1:$O$92,15,0))</f>
        <v>0</v>
      </c>
      <c r="Y522" s="64">
        <f ca="1">('TUSD BE'!$AM$10+'TUSD BF'!$AM$10+'TUSD CVA'!$AM$10)*1*(1-0.02)</f>
        <v>18.643987249835956</v>
      </c>
      <c r="Z522" s="64"/>
      <c r="AA522" s="64"/>
      <c r="AB522" s="4">
        <f>$K$522*$V$522</f>
        <v>33140.275199999996</v>
      </c>
      <c r="AC522" s="4">
        <f>$M$522*$W$522</f>
        <v>0</v>
      </c>
      <c r="AD522" s="4">
        <f>$O$522*$X$522</f>
        <v>0</v>
      </c>
      <c r="AE522" s="4">
        <f ca="1">$K$522*$Y$522</f>
        <v>43962.521935113182</v>
      </c>
      <c r="AF522" s="4">
        <f>$M$522*$Z$522</f>
        <v>0</v>
      </c>
      <c r="AG522" s="4">
        <f>$O$522*$AA$522</f>
        <v>0</v>
      </c>
    </row>
    <row r="523" spans="1:33" ht="11.25" customHeight="1" x14ac:dyDescent="0.25">
      <c r="A523" s="3" t="s">
        <v>27</v>
      </c>
      <c r="B523" s="3" t="s">
        <v>39</v>
      </c>
      <c r="C523" s="3" t="s">
        <v>41</v>
      </c>
      <c r="D523" s="3" t="s">
        <v>44</v>
      </c>
      <c r="E523" s="3" t="s">
        <v>52</v>
      </c>
      <c r="F523" s="3" t="s">
        <v>25</v>
      </c>
      <c r="G523" s="3" t="s">
        <v>25</v>
      </c>
      <c r="H523" s="3" t="s">
        <v>25</v>
      </c>
      <c r="I523" s="6">
        <v>44593</v>
      </c>
      <c r="J523" s="4">
        <v>-307</v>
      </c>
      <c r="K523" s="64">
        <v>-307</v>
      </c>
      <c r="L523" s="4">
        <v>0</v>
      </c>
      <c r="M523" s="64">
        <v>0</v>
      </c>
      <c r="N523" s="4">
        <v>0</v>
      </c>
      <c r="O523" s="64">
        <v>0</v>
      </c>
      <c r="P523" s="4">
        <v>-1</v>
      </c>
      <c r="Q523" s="3" t="s">
        <v>26</v>
      </c>
      <c r="R523" s="3">
        <v>0</v>
      </c>
      <c r="S523" s="4">
        <v>18</v>
      </c>
      <c r="T523" s="4">
        <v>0</v>
      </c>
      <c r="U523" s="4">
        <v>0</v>
      </c>
      <c r="V523" s="64">
        <f>IF(ISERROR(VLOOKUP($S$523,'TAR FIN'!$A$1:$O$92,15,0)),0,VLOOKUP($S$523,'TAR FIN'!$A$1:$O$92,15,0))*(1-0.04)</f>
        <v>14.054399999999999</v>
      </c>
      <c r="W523" s="64">
        <f>IF(ISERROR(VLOOKUP($T$523,'TAR FIN'!$A$1:$O$92,15,0)),0,VLOOKUP($T$523,'TAR FIN'!$A$1:$O$92,15,0))</f>
        <v>0</v>
      </c>
      <c r="X523" s="64">
        <f>IF(ISERROR(VLOOKUP($U$523,'TAR FIN'!$A$1:$O$92,15,0)),0,VLOOKUP($U$523,'TAR FIN'!$A$1:$O$92,15,0))</f>
        <v>0</v>
      </c>
      <c r="Y523" s="64">
        <f ca="1">('TUSD BE'!$AM$10+'TUSD BF'!$AM$10+'TUSD CVA'!$AM$10)*1*(1-0.02)</f>
        <v>18.643987249835956</v>
      </c>
      <c r="Z523" s="64"/>
      <c r="AA523" s="64"/>
      <c r="AB523" s="4">
        <f>$K$523*$V$523</f>
        <v>-4314.7007999999996</v>
      </c>
      <c r="AC523" s="4">
        <f>$M$523*$W$523</f>
        <v>0</v>
      </c>
      <c r="AD523" s="4">
        <f>$O$523*$X$523</f>
        <v>0</v>
      </c>
      <c r="AE523" s="4">
        <f ca="1">$K$523*$Y$523</f>
        <v>-5723.7040856996382</v>
      </c>
      <c r="AF523" s="4">
        <f>$M$523*$Z$523</f>
        <v>0</v>
      </c>
      <c r="AG523" s="4">
        <f>$O$523*$AA$523</f>
        <v>0</v>
      </c>
    </row>
    <row r="524" spans="1:33" ht="11.25" customHeight="1" x14ac:dyDescent="0.25">
      <c r="A524" s="3" t="s">
        <v>21</v>
      </c>
      <c r="B524" s="3" t="s">
        <v>39</v>
      </c>
      <c r="C524" s="3" t="s">
        <v>41</v>
      </c>
      <c r="D524" s="3" t="s">
        <v>44</v>
      </c>
      <c r="E524" s="3" t="s">
        <v>52</v>
      </c>
      <c r="F524" s="3" t="s">
        <v>25</v>
      </c>
      <c r="G524" s="3" t="s">
        <v>25</v>
      </c>
      <c r="H524" s="3" t="s">
        <v>25</v>
      </c>
      <c r="I524" s="6">
        <v>44621</v>
      </c>
      <c r="J524" s="4">
        <v>2578</v>
      </c>
      <c r="K524" s="64">
        <v>2578</v>
      </c>
      <c r="L524" s="4">
        <v>0</v>
      </c>
      <c r="M524" s="64">
        <v>0</v>
      </c>
      <c r="N524" s="4">
        <v>0</v>
      </c>
      <c r="O524" s="64">
        <v>0</v>
      </c>
      <c r="P524" s="4">
        <v>15</v>
      </c>
      <c r="Q524" s="3" t="s">
        <v>26</v>
      </c>
      <c r="R524" s="3">
        <v>0</v>
      </c>
      <c r="S524" s="4">
        <v>18</v>
      </c>
      <c r="T524" s="4">
        <v>0</v>
      </c>
      <c r="U524" s="4">
        <v>0</v>
      </c>
      <c r="V524" s="64">
        <f>IF(ISERROR(VLOOKUP($S$524,'TAR FIN'!$A$1:$O$92,15,0)),0,VLOOKUP($S$524,'TAR FIN'!$A$1:$O$92,15,0))*(1-0.04)</f>
        <v>14.054399999999999</v>
      </c>
      <c r="W524" s="64">
        <f>IF(ISERROR(VLOOKUP($T$524,'TAR FIN'!$A$1:$O$92,15,0)),0,VLOOKUP($T$524,'TAR FIN'!$A$1:$O$92,15,0))</f>
        <v>0</v>
      </c>
      <c r="X524" s="64">
        <f>IF(ISERROR(VLOOKUP($U$524,'TAR FIN'!$A$1:$O$92,15,0)),0,VLOOKUP($U$524,'TAR FIN'!$A$1:$O$92,15,0))</f>
        <v>0</v>
      </c>
      <c r="Y524" s="64">
        <f ca="1">('TUSD BE'!$AM$10+'TUSD BF'!$AM$10+'TUSD CVA'!$AM$10)*1*(1-0.02)</f>
        <v>18.643987249835956</v>
      </c>
      <c r="Z524" s="64"/>
      <c r="AA524" s="64"/>
      <c r="AB524" s="4">
        <f>$K$524*$V$524</f>
        <v>36232.243199999997</v>
      </c>
      <c r="AC524" s="4">
        <f>$M$524*$W$524</f>
        <v>0</v>
      </c>
      <c r="AD524" s="4">
        <f>$O$524*$X$524</f>
        <v>0</v>
      </c>
      <c r="AE524" s="4">
        <f ca="1">$K$524*$Y$524</f>
        <v>48064.199130077097</v>
      </c>
      <c r="AF524" s="4">
        <f>$M$524*$Z$524</f>
        <v>0</v>
      </c>
      <c r="AG524" s="4">
        <f>$O$524*$AA$524</f>
        <v>0</v>
      </c>
    </row>
    <row r="525" spans="1:33" ht="11.25" customHeight="1" x14ac:dyDescent="0.25">
      <c r="A525" s="3" t="s">
        <v>27</v>
      </c>
      <c r="B525" s="3" t="s">
        <v>39</v>
      </c>
      <c r="C525" s="3" t="s">
        <v>41</v>
      </c>
      <c r="D525" s="3" t="s">
        <v>44</v>
      </c>
      <c r="E525" s="3" t="s">
        <v>52</v>
      </c>
      <c r="F525" s="3" t="s">
        <v>25</v>
      </c>
      <c r="G525" s="3" t="s">
        <v>25</v>
      </c>
      <c r="H525" s="3" t="s">
        <v>25</v>
      </c>
      <c r="I525" s="6">
        <v>44621</v>
      </c>
      <c r="J525" s="4">
        <v>211</v>
      </c>
      <c r="K525" s="64">
        <v>211</v>
      </c>
      <c r="L525" s="4">
        <v>0</v>
      </c>
      <c r="M525" s="64">
        <v>0</v>
      </c>
      <c r="N525" s="4">
        <v>0</v>
      </c>
      <c r="O525" s="64">
        <v>0</v>
      </c>
      <c r="P525" s="4">
        <v>0</v>
      </c>
      <c r="Q525" s="3" t="s">
        <v>26</v>
      </c>
      <c r="R525" s="3">
        <v>0</v>
      </c>
      <c r="S525" s="4">
        <v>18</v>
      </c>
      <c r="T525" s="4">
        <v>0</v>
      </c>
      <c r="U525" s="4">
        <v>0</v>
      </c>
      <c r="V525" s="64">
        <f>IF(ISERROR(VLOOKUP($S$525,'TAR FIN'!$A$1:$O$92,15,0)),0,VLOOKUP($S$525,'TAR FIN'!$A$1:$O$92,15,0))*(1-0.04)</f>
        <v>14.054399999999999</v>
      </c>
      <c r="W525" s="64">
        <f>IF(ISERROR(VLOOKUP($T$525,'TAR FIN'!$A$1:$O$92,15,0)),0,VLOOKUP($T$525,'TAR FIN'!$A$1:$O$92,15,0))</f>
        <v>0</v>
      </c>
      <c r="X525" s="64">
        <f>IF(ISERROR(VLOOKUP($U$525,'TAR FIN'!$A$1:$O$92,15,0)),0,VLOOKUP($U$525,'TAR FIN'!$A$1:$O$92,15,0))</f>
        <v>0</v>
      </c>
      <c r="Y525" s="64">
        <f ca="1">('TUSD BE'!$AM$10+'TUSD BF'!$AM$10+'TUSD CVA'!$AM$10)*1*(1-0.02)</f>
        <v>18.643987249835956</v>
      </c>
      <c r="Z525" s="64"/>
      <c r="AA525" s="64"/>
      <c r="AB525" s="4">
        <f>$K$525*$V$525</f>
        <v>2965.4784</v>
      </c>
      <c r="AC525" s="4">
        <f>$M$525*$W$525</f>
        <v>0</v>
      </c>
      <c r="AD525" s="4">
        <f>$O$525*$X$525</f>
        <v>0</v>
      </c>
      <c r="AE525" s="4">
        <f ca="1">$K$525*$Y$525</f>
        <v>3933.8813097153866</v>
      </c>
      <c r="AF525" s="4">
        <f>$M$525*$Z$525</f>
        <v>0</v>
      </c>
      <c r="AG525" s="4">
        <f>$O$525*$AA$525</f>
        <v>0</v>
      </c>
    </row>
    <row r="526" spans="1:33" ht="11.25" customHeight="1" x14ac:dyDescent="0.25">
      <c r="A526" s="3" t="s">
        <v>21</v>
      </c>
      <c r="B526" s="3" t="s">
        <v>39</v>
      </c>
      <c r="C526" s="3" t="s">
        <v>41</v>
      </c>
      <c r="D526" s="3" t="s">
        <v>44</v>
      </c>
      <c r="E526" s="3" t="s">
        <v>52</v>
      </c>
      <c r="F526" s="3" t="s">
        <v>25</v>
      </c>
      <c r="G526" s="3" t="s">
        <v>25</v>
      </c>
      <c r="H526" s="3" t="s">
        <v>25</v>
      </c>
      <c r="I526" s="6">
        <v>44652</v>
      </c>
      <c r="J526" s="4">
        <v>2578</v>
      </c>
      <c r="K526" s="64">
        <v>2578</v>
      </c>
      <c r="L526" s="4">
        <v>0</v>
      </c>
      <c r="M526" s="64">
        <v>0</v>
      </c>
      <c r="N526" s="4">
        <v>0</v>
      </c>
      <c r="O526" s="64">
        <v>0</v>
      </c>
      <c r="P526" s="4">
        <v>15</v>
      </c>
      <c r="Q526" s="3" t="s">
        <v>26</v>
      </c>
      <c r="R526" s="3">
        <v>0</v>
      </c>
      <c r="S526" s="4">
        <v>18</v>
      </c>
      <c r="T526" s="4">
        <v>0</v>
      </c>
      <c r="U526" s="4">
        <v>0</v>
      </c>
      <c r="V526" s="64">
        <f>IF(ISERROR(VLOOKUP($S$526,'TAR FIN'!$A$1:$O$92,15,0)),0,VLOOKUP($S$526,'TAR FIN'!$A$1:$O$92,15,0))*(1-0.04)</f>
        <v>14.054399999999999</v>
      </c>
      <c r="W526" s="64">
        <f>IF(ISERROR(VLOOKUP($T$526,'TAR FIN'!$A$1:$O$92,15,0)),0,VLOOKUP($T$526,'TAR FIN'!$A$1:$O$92,15,0))</f>
        <v>0</v>
      </c>
      <c r="X526" s="64">
        <f>IF(ISERROR(VLOOKUP($U$526,'TAR FIN'!$A$1:$O$92,15,0)),0,VLOOKUP($U$526,'TAR FIN'!$A$1:$O$92,15,0))</f>
        <v>0</v>
      </c>
      <c r="Y526" s="64">
        <f ca="1">('TUSD BE'!$AM$10+'TUSD BF'!$AM$10+'TUSD CVA'!$AM$10)*1*(1-0.02)</f>
        <v>18.643987249835956</v>
      </c>
      <c r="Z526" s="64"/>
      <c r="AA526" s="64"/>
      <c r="AB526" s="4">
        <f>$K$526*$V$526</f>
        <v>36232.243199999997</v>
      </c>
      <c r="AC526" s="4">
        <f>$M$526*$W$526</f>
        <v>0</v>
      </c>
      <c r="AD526" s="4">
        <f>$O$526*$X$526</f>
        <v>0</v>
      </c>
      <c r="AE526" s="4">
        <f ca="1">$K$526*$Y$526</f>
        <v>48064.199130077097</v>
      </c>
      <c r="AF526" s="4">
        <f>$M$526*$Z$526</f>
        <v>0</v>
      </c>
      <c r="AG526" s="4">
        <f>$O$526*$AA$526</f>
        <v>0</v>
      </c>
    </row>
    <row r="527" spans="1:33" ht="11.25" customHeight="1" x14ac:dyDescent="0.25">
      <c r="A527" s="3" t="s">
        <v>27</v>
      </c>
      <c r="B527" s="3" t="s">
        <v>39</v>
      </c>
      <c r="C527" s="3" t="s">
        <v>41</v>
      </c>
      <c r="D527" s="3" t="s">
        <v>44</v>
      </c>
      <c r="E527" s="3" t="s">
        <v>52</v>
      </c>
      <c r="F527" s="3" t="s">
        <v>25</v>
      </c>
      <c r="G527" s="3" t="s">
        <v>25</v>
      </c>
      <c r="H527" s="3" t="s">
        <v>25</v>
      </c>
      <c r="I527" s="6">
        <v>44652</v>
      </c>
      <c r="J527" s="4">
        <v>211</v>
      </c>
      <c r="K527" s="64">
        <v>211</v>
      </c>
      <c r="L527" s="4">
        <v>0</v>
      </c>
      <c r="M527" s="64">
        <v>0</v>
      </c>
      <c r="N527" s="4">
        <v>0</v>
      </c>
      <c r="O527" s="64">
        <v>0</v>
      </c>
      <c r="P527" s="4">
        <v>0</v>
      </c>
      <c r="Q527" s="3" t="s">
        <v>26</v>
      </c>
      <c r="R527" s="3">
        <v>0</v>
      </c>
      <c r="S527" s="4">
        <v>18</v>
      </c>
      <c r="T527" s="4">
        <v>0</v>
      </c>
      <c r="U527" s="4">
        <v>0</v>
      </c>
      <c r="V527" s="64">
        <f>IF(ISERROR(VLOOKUP($S$527,'TAR FIN'!$A$1:$O$92,15,0)),0,VLOOKUP($S$527,'TAR FIN'!$A$1:$O$92,15,0))*(1-0.04)</f>
        <v>14.054399999999999</v>
      </c>
      <c r="W527" s="64">
        <f>IF(ISERROR(VLOOKUP($T$527,'TAR FIN'!$A$1:$O$92,15,0)),0,VLOOKUP($T$527,'TAR FIN'!$A$1:$O$92,15,0))</f>
        <v>0</v>
      </c>
      <c r="X527" s="64">
        <f>IF(ISERROR(VLOOKUP($U$527,'TAR FIN'!$A$1:$O$92,15,0)),0,VLOOKUP($U$527,'TAR FIN'!$A$1:$O$92,15,0))</f>
        <v>0</v>
      </c>
      <c r="Y527" s="64">
        <f ca="1">('TUSD BE'!$AM$10+'TUSD BF'!$AM$10+'TUSD CVA'!$AM$10)*1*(1-0.02)</f>
        <v>18.643987249835956</v>
      </c>
      <c r="Z527" s="64"/>
      <c r="AA527" s="64"/>
      <c r="AB527" s="4">
        <f>$K$527*$V$527</f>
        <v>2965.4784</v>
      </c>
      <c r="AC527" s="4">
        <f>$M$527*$W$527</f>
        <v>0</v>
      </c>
      <c r="AD527" s="4">
        <f>$O$527*$X$527</f>
        <v>0</v>
      </c>
      <c r="AE527" s="4">
        <f ca="1">$K$527*$Y$527</f>
        <v>3933.8813097153866</v>
      </c>
      <c r="AF527" s="4">
        <f>$M$527*$Z$527</f>
        <v>0</v>
      </c>
      <c r="AG527" s="4">
        <f>$O$527*$AA$527</f>
        <v>0</v>
      </c>
    </row>
    <row r="528" spans="1:33" ht="11.25" customHeight="1" x14ac:dyDescent="0.25">
      <c r="A528" s="3" t="s">
        <v>21</v>
      </c>
      <c r="B528" s="3" t="s">
        <v>39</v>
      </c>
      <c r="C528" s="3" t="s">
        <v>41</v>
      </c>
      <c r="D528" s="3" t="s">
        <v>44</v>
      </c>
      <c r="E528" s="3" t="s">
        <v>52</v>
      </c>
      <c r="F528" s="3" t="s">
        <v>25</v>
      </c>
      <c r="G528" s="3" t="s">
        <v>25</v>
      </c>
      <c r="H528" s="3" t="s">
        <v>25</v>
      </c>
      <c r="I528" s="6">
        <v>44682</v>
      </c>
      <c r="J528" s="4">
        <v>480</v>
      </c>
      <c r="K528" s="64">
        <v>480</v>
      </c>
      <c r="L528" s="4">
        <v>0</v>
      </c>
      <c r="M528" s="64">
        <v>0</v>
      </c>
      <c r="N528" s="4">
        <v>0</v>
      </c>
      <c r="O528" s="64">
        <v>0</v>
      </c>
      <c r="P528" s="4">
        <v>14</v>
      </c>
      <c r="Q528" s="3" t="s">
        <v>26</v>
      </c>
      <c r="R528" s="3">
        <v>0</v>
      </c>
      <c r="S528" s="4">
        <v>18</v>
      </c>
      <c r="T528" s="4">
        <v>0</v>
      </c>
      <c r="U528" s="4">
        <v>0</v>
      </c>
      <c r="V528" s="64">
        <f>IF(ISERROR(VLOOKUP($S$528,'TAR FIN'!$A$1:$O$92,15,0)),0,VLOOKUP($S$528,'TAR FIN'!$A$1:$O$92,15,0))*(1-0.04)</f>
        <v>14.054399999999999</v>
      </c>
      <c r="W528" s="64">
        <f>IF(ISERROR(VLOOKUP($T$528,'TAR FIN'!$A$1:$O$92,15,0)),0,VLOOKUP($T$528,'TAR FIN'!$A$1:$O$92,15,0))</f>
        <v>0</v>
      </c>
      <c r="X528" s="64">
        <f>IF(ISERROR(VLOOKUP($U$528,'TAR FIN'!$A$1:$O$92,15,0)),0,VLOOKUP($U$528,'TAR FIN'!$A$1:$O$92,15,0))</f>
        <v>0</v>
      </c>
      <c r="Y528" s="64">
        <f ca="1">('TUSD BE'!$AM$10+'TUSD BF'!$AM$10+'TUSD CVA'!$AM$10)*1*(1-0.02)</f>
        <v>18.643987249835956</v>
      </c>
      <c r="Z528" s="64"/>
      <c r="AA528" s="64"/>
      <c r="AB528" s="4">
        <f>$K$528*$V$528</f>
        <v>6746.1120000000001</v>
      </c>
      <c r="AC528" s="4">
        <f>$M$528*$W$528</f>
        <v>0</v>
      </c>
      <c r="AD528" s="4">
        <f>$O$528*$X$528</f>
        <v>0</v>
      </c>
      <c r="AE528" s="4">
        <f ca="1">$K$528*$Y$528</f>
        <v>8949.1138799212586</v>
      </c>
      <c r="AF528" s="4">
        <f>$M$528*$Z$528</f>
        <v>0</v>
      </c>
      <c r="AG528" s="4">
        <f>$O$528*$AA$528</f>
        <v>0</v>
      </c>
    </row>
    <row r="529" spans="1:33" ht="11.25" customHeight="1" x14ac:dyDescent="0.25">
      <c r="A529" s="3" t="s">
        <v>21</v>
      </c>
      <c r="B529" s="3" t="s">
        <v>39</v>
      </c>
      <c r="C529" s="3" t="s">
        <v>41</v>
      </c>
      <c r="D529" s="3" t="s">
        <v>44</v>
      </c>
      <c r="E529" s="3" t="s">
        <v>52</v>
      </c>
      <c r="F529" s="3" t="s">
        <v>25</v>
      </c>
      <c r="G529" s="3" t="s">
        <v>25</v>
      </c>
      <c r="H529" s="3" t="s">
        <v>25</v>
      </c>
      <c r="I529" s="6">
        <v>44713</v>
      </c>
      <c r="J529" s="4">
        <v>651</v>
      </c>
      <c r="K529" s="64">
        <v>651</v>
      </c>
      <c r="L529" s="4">
        <v>0</v>
      </c>
      <c r="M529" s="64">
        <v>0</v>
      </c>
      <c r="N529" s="4">
        <v>0</v>
      </c>
      <c r="O529" s="64">
        <v>0</v>
      </c>
      <c r="P529" s="4">
        <v>15</v>
      </c>
      <c r="Q529" s="3" t="s">
        <v>26</v>
      </c>
      <c r="R529" s="3">
        <v>0</v>
      </c>
      <c r="S529" s="4">
        <v>18</v>
      </c>
      <c r="T529" s="4">
        <v>0</v>
      </c>
      <c r="U529" s="4">
        <v>0</v>
      </c>
      <c r="V529" s="64">
        <f>IF(ISERROR(VLOOKUP($S$529,'TAR FIN'!$A$1:$O$92,15,0)),0,VLOOKUP($S$529,'TAR FIN'!$A$1:$O$92,15,0))*(1-0.04)</f>
        <v>14.054399999999999</v>
      </c>
      <c r="W529" s="64">
        <f>IF(ISERROR(VLOOKUP($T$529,'TAR FIN'!$A$1:$O$92,15,0)),0,VLOOKUP($T$529,'TAR FIN'!$A$1:$O$92,15,0))</f>
        <v>0</v>
      </c>
      <c r="X529" s="64">
        <f>IF(ISERROR(VLOOKUP($U$529,'TAR FIN'!$A$1:$O$92,15,0)),0,VLOOKUP($U$529,'TAR FIN'!$A$1:$O$92,15,0))</f>
        <v>0</v>
      </c>
      <c r="Y529" s="64">
        <f ca="1">('TUSD BE'!$AM$10+'TUSD BF'!$AM$10+'TUSD CVA'!$AM$10)*1*(1-0.02)</f>
        <v>18.643987249835956</v>
      </c>
      <c r="Z529" s="64"/>
      <c r="AA529" s="64"/>
      <c r="AB529" s="4">
        <f>$K$529*$V$529</f>
        <v>9149.4143999999997</v>
      </c>
      <c r="AC529" s="4">
        <f>$M$529*$W$529</f>
        <v>0</v>
      </c>
      <c r="AD529" s="4">
        <f>$O$529*$X$529</f>
        <v>0</v>
      </c>
      <c r="AE529" s="4">
        <f ca="1">$K$529*$Y$529</f>
        <v>12137.235699643206</v>
      </c>
      <c r="AF529" s="4">
        <f>$M$529*$Z$529</f>
        <v>0</v>
      </c>
      <c r="AG529" s="4">
        <f>$O$529*$AA$529</f>
        <v>0</v>
      </c>
    </row>
    <row r="530" spans="1:33" ht="11.25" customHeight="1" x14ac:dyDescent="0.25">
      <c r="A530" s="3" t="s">
        <v>21</v>
      </c>
      <c r="B530" s="3" t="s">
        <v>39</v>
      </c>
      <c r="C530" s="3" t="s">
        <v>41</v>
      </c>
      <c r="D530" s="3" t="s">
        <v>44</v>
      </c>
      <c r="E530" s="3" t="s">
        <v>52</v>
      </c>
      <c r="F530" s="3" t="s">
        <v>25</v>
      </c>
      <c r="G530" s="3" t="s">
        <v>25</v>
      </c>
      <c r="H530" s="3" t="s">
        <v>25</v>
      </c>
      <c r="I530" s="6">
        <v>44743</v>
      </c>
      <c r="J530" s="4">
        <v>464</v>
      </c>
      <c r="K530" s="64">
        <v>464</v>
      </c>
      <c r="L530" s="4">
        <v>0</v>
      </c>
      <c r="M530" s="64">
        <v>0</v>
      </c>
      <c r="N530" s="4">
        <v>0</v>
      </c>
      <c r="O530" s="64">
        <v>0</v>
      </c>
      <c r="P530" s="4">
        <v>14</v>
      </c>
      <c r="Q530" s="3" t="s">
        <v>26</v>
      </c>
      <c r="R530" s="3">
        <v>0</v>
      </c>
      <c r="S530" s="4">
        <v>18</v>
      </c>
      <c r="T530" s="4">
        <v>0</v>
      </c>
      <c r="U530" s="4">
        <v>0</v>
      </c>
      <c r="V530" s="64">
        <f>IF(ISERROR(VLOOKUP($S$530,'TAR FIN'!$A$1:$O$92,15,0)),0,VLOOKUP($S$530,'TAR FIN'!$A$1:$O$92,15,0))*(1-0.04)</f>
        <v>14.054399999999999</v>
      </c>
      <c r="W530" s="64">
        <f>IF(ISERROR(VLOOKUP($T$530,'TAR FIN'!$A$1:$O$92,15,0)),0,VLOOKUP($T$530,'TAR FIN'!$A$1:$O$92,15,0))</f>
        <v>0</v>
      </c>
      <c r="X530" s="64">
        <f>IF(ISERROR(VLOOKUP($U$530,'TAR FIN'!$A$1:$O$92,15,0)),0,VLOOKUP($U$530,'TAR FIN'!$A$1:$O$92,15,0))</f>
        <v>0</v>
      </c>
      <c r="Y530" s="64">
        <f ca="1">('TUSD BE'!$AM$10+'TUSD BF'!$AM$10+'TUSD CVA'!$AM$10)*1*(1-0.02)</f>
        <v>18.643987249835956</v>
      </c>
      <c r="Z530" s="64"/>
      <c r="AA530" s="64"/>
      <c r="AB530" s="4">
        <f>$K$530*$V$530</f>
        <v>6521.2415999999994</v>
      </c>
      <c r="AC530" s="4">
        <f>$M$530*$W$530</f>
        <v>0</v>
      </c>
      <c r="AD530" s="4">
        <f>$O$530*$X$530</f>
        <v>0</v>
      </c>
      <c r="AE530" s="4">
        <f ca="1">$K$530*$Y$530</f>
        <v>8650.8100839238832</v>
      </c>
      <c r="AF530" s="4">
        <f>$M$530*$Z$530</f>
        <v>0</v>
      </c>
      <c r="AG530" s="4">
        <f>$O$530*$AA$530</f>
        <v>0</v>
      </c>
    </row>
    <row r="531" spans="1:33" ht="11.25" customHeight="1" x14ac:dyDescent="0.25">
      <c r="A531" s="3" t="s">
        <v>21</v>
      </c>
      <c r="B531" s="3" t="s">
        <v>39</v>
      </c>
      <c r="C531" s="3" t="s">
        <v>41</v>
      </c>
      <c r="D531" s="3" t="s">
        <v>44</v>
      </c>
      <c r="E531" s="3" t="s">
        <v>52</v>
      </c>
      <c r="F531" s="3" t="s">
        <v>25</v>
      </c>
      <c r="G531" s="3" t="s">
        <v>25</v>
      </c>
      <c r="H531" s="3" t="s">
        <v>25</v>
      </c>
      <c r="I531" s="6">
        <v>44774</v>
      </c>
      <c r="J531" s="4">
        <v>1392</v>
      </c>
      <c r="K531" s="64">
        <v>1392</v>
      </c>
      <c r="L531" s="4">
        <v>0</v>
      </c>
      <c r="M531" s="64">
        <v>0</v>
      </c>
      <c r="N531" s="4">
        <v>0</v>
      </c>
      <c r="O531" s="64">
        <v>0</v>
      </c>
      <c r="P531" s="4">
        <v>15</v>
      </c>
      <c r="Q531" s="3" t="s">
        <v>26</v>
      </c>
      <c r="R531" s="3">
        <v>0</v>
      </c>
      <c r="S531" s="4">
        <v>18</v>
      </c>
      <c r="T531" s="4">
        <v>0</v>
      </c>
      <c r="U531" s="4">
        <v>0</v>
      </c>
      <c r="V531" s="64">
        <f>IF(ISERROR(VLOOKUP($S$531,'TAR FIN'!$A$1:$O$92,15,0)),0,VLOOKUP($S$531,'TAR FIN'!$A$1:$O$92,15,0))*(1-0.04)</f>
        <v>14.054399999999999</v>
      </c>
      <c r="W531" s="64">
        <f>IF(ISERROR(VLOOKUP($T$531,'TAR FIN'!$A$1:$O$92,15,0)),0,VLOOKUP($T$531,'TAR FIN'!$A$1:$O$92,15,0))</f>
        <v>0</v>
      </c>
      <c r="X531" s="64">
        <f>IF(ISERROR(VLOOKUP($U$531,'TAR FIN'!$A$1:$O$92,15,0)),0,VLOOKUP($U$531,'TAR FIN'!$A$1:$O$92,15,0))</f>
        <v>0</v>
      </c>
      <c r="Y531" s="64">
        <f ca="1">('TUSD BE'!$AM$10+'TUSD BF'!$AM$10+'TUSD CVA'!$AM$10)*1*(1-0.02)</f>
        <v>18.643987249835956</v>
      </c>
      <c r="Z531" s="64"/>
      <c r="AA531" s="64"/>
      <c r="AB531" s="4">
        <f>$K$531*$V$531</f>
        <v>19563.7248</v>
      </c>
      <c r="AC531" s="4">
        <f>$M$531*$W$531</f>
        <v>0</v>
      </c>
      <c r="AD531" s="4">
        <f>$O$531*$X$531</f>
        <v>0</v>
      </c>
      <c r="AE531" s="4">
        <f ca="1">$K$531*$Y$531</f>
        <v>25952.43025177165</v>
      </c>
      <c r="AF531" s="4">
        <f>$M$531*$Z$531</f>
        <v>0</v>
      </c>
      <c r="AG531" s="4">
        <f>$O$531*$AA$531</f>
        <v>0</v>
      </c>
    </row>
    <row r="532" spans="1:33" ht="11.25" customHeight="1" x14ac:dyDescent="0.25">
      <c r="A532" s="3" t="s">
        <v>21</v>
      </c>
      <c r="B532" s="3" t="s">
        <v>39</v>
      </c>
      <c r="C532" s="3" t="s">
        <v>41</v>
      </c>
      <c r="D532" s="3" t="s">
        <v>44</v>
      </c>
      <c r="E532" s="3" t="s">
        <v>52</v>
      </c>
      <c r="F532" s="3" t="s">
        <v>25</v>
      </c>
      <c r="G532" s="3" t="s">
        <v>25</v>
      </c>
      <c r="H532" s="3" t="s">
        <v>25</v>
      </c>
      <c r="I532" s="6">
        <v>44805</v>
      </c>
      <c r="J532" s="4">
        <v>1521</v>
      </c>
      <c r="K532" s="64">
        <v>1521</v>
      </c>
      <c r="L532" s="4">
        <v>0</v>
      </c>
      <c r="M532" s="64">
        <v>0</v>
      </c>
      <c r="N532" s="4">
        <v>0</v>
      </c>
      <c r="O532" s="64">
        <v>0</v>
      </c>
      <c r="P532" s="4">
        <v>16</v>
      </c>
      <c r="Q532" s="3" t="s">
        <v>26</v>
      </c>
      <c r="R532" s="3">
        <v>0</v>
      </c>
      <c r="S532" s="4">
        <v>18</v>
      </c>
      <c r="T532" s="4">
        <v>0</v>
      </c>
      <c r="U532" s="4">
        <v>0</v>
      </c>
      <c r="V532" s="64">
        <f>IF(ISERROR(VLOOKUP($S$532,'TAR FIN'!$A$1:$O$92,15,0)),0,VLOOKUP($S$532,'TAR FIN'!$A$1:$O$92,15,0))*(1-0.04)</f>
        <v>14.054399999999999</v>
      </c>
      <c r="W532" s="64">
        <f>IF(ISERROR(VLOOKUP($T$532,'TAR FIN'!$A$1:$O$92,15,0)),0,VLOOKUP($T$532,'TAR FIN'!$A$1:$O$92,15,0))</f>
        <v>0</v>
      </c>
      <c r="X532" s="64">
        <f>IF(ISERROR(VLOOKUP($U$532,'TAR FIN'!$A$1:$O$92,15,0)),0,VLOOKUP($U$532,'TAR FIN'!$A$1:$O$92,15,0))</f>
        <v>0</v>
      </c>
      <c r="Y532" s="64">
        <f ca="1">('TUSD BE'!$AM$10+'TUSD BF'!$AM$10+'TUSD CVA'!$AM$10)*1*(1-0.02)</f>
        <v>18.643987249835956</v>
      </c>
      <c r="Z532" s="64"/>
      <c r="AA532" s="64"/>
      <c r="AB532" s="4">
        <f>$K$532*$V$532</f>
        <v>21376.742399999999</v>
      </c>
      <c r="AC532" s="4">
        <f>$M$532*$W$532</f>
        <v>0</v>
      </c>
      <c r="AD532" s="4">
        <f>$O$532*$X$532</f>
        <v>0</v>
      </c>
      <c r="AE532" s="4">
        <f ca="1">$K$532*$Y$532</f>
        <v>28357.50460700049</v>
      </c>
      <c r="AF532" s="4">
        <f>$M$532*$Z$532</f>
        <v>0</v>
      </c>
      <c r="AG532" s="4">
        <f>$O$532*$AA$532</f>
        <v>0</v>
      </c>
    </row>
    <row r="533" spans="1:33" ht="11.25" customHeight="1" x14ac:dyDescent="0.25">
      <c r="A533" s="3" t="s">
        <v>55</v>
      </c>
      <c r="B533" s="3" t="s">
        <v>39</v>
      </c>
      <c r="C533" s="3" t="s">
        <v>41</v>
      </c>
      <c r="D533" s="3" t="s">
        <v>44</v>
      </c>
      <c r="E533" s="3" t="s">
        <v>52</v>
      </c>
      <c r="F533" s="3" t="s">
        <v>25</v>
      </c>
      <c r="G533" s="3" t="s">
        <v>25</v>
      </c>
      <c r="H533" s="3" t="s">
        <v>25</v>
      </c>
      <c r="I533" s="6">
        <v>44835</v>
      </c>
      <c r="J533" s="4">
        <v>1521</v>
      </c>
      <c r="K533" s="64">
        <v>1521</v>
      </c>
      <c r="L533" s="4">
        <v>0</v>
      </c>
      <c r="M533" s="64">
        <v>0</v>
      </c>
      <c r="N533" s="4">
        <v>0</v>
      </c>
      <c r="O533" s="64">
        <v>0</v>
      </c>
      <c r="P533" s="4">
        <v>16</v>
      </c>
      <c r="Q533" s="3" t="s">
        <v>26</v>
      </c>
      <c r="R533" s="3">
        <v>0</v>
      </c>
      <c r="S533" s="4">
        <v>18</v>
      </c>
      <c r="T533" s="4">
        <v>0</v>
      </c>
      <c r="U533" s="4">
        <v>0</v>
      </c>
      <c r="V533" s="64">
        <f>IF(ISERROR(VLOOKUP($S$533,'TAR FIN'!$A$1:$O$92,15,0)),0,VLOOKUP($S$533,'TAR FIN'!$A$1:$O$92,15,0))*(1-0.04)</f>
        <v>14.054399999999999</v>
      </c>
      <c r="W533" s="64">
        <f>IF(ISERROR(VLOOKUP($T$533,'TAR FIN'!$A$1:$O$92,15,0)),0,VLOOKUP($T$533,'TAR FIN'!$A$1:$O$92,15,0))</f>
        <v>0</v>
      </c>
      <c r="X533" s="64">
        <f>IF(ISERROR(VLOOKUP($U$533,'TAR FIN'!$A$1:$O$92,15,0)),0,VLOOKUP($U$533,'TAR FIN'!$A$1:$O$92,15,0))</f>
        <v>0</v>
      </c>
      <c r="Y533" s="64">
        <f ca="1">('TUSD BE'!$AM$10+'TUSD BF'!$AM$10+'TUSD CVA'!$AM$10)*1*(1-0.02)</f>
        <v>18.643987249835956</v>
      </c>
      <c r="Z533" s="64"/>
      <c r="AA533" s="64"/>
      <c r="AB533" s="4">
        <f>$K$533*$V$533</f>
        <v>21376.742399999999</v>
      </c>
      <c r="AC533" s="4">
        <f>$M$533*$W$533</f>
        <v>0</v>
      </c>
      <c r="AD533" s="4">
        <f>$O$533*$X$533</f>
        <v>0</v>
      </c>
      <c r="AE533" s="4">
        <f ca="1">$K$533*$Y$533</f>
        <v>28357.50460700049</v>
      </c>
      <c r="AF533" s="4">
        <f>$M$533*$Z$533</f>
        <v>0</v>
      </c>
      <c r="AG533" s="4">
        <f>$O$533*$AA$533</f>
        <v>0</v>
      </c>
    </row>
    <row r="534" spans="1:33" ht="11.25" customHeight="1" x14ac:dyDescent="0.25">
      <c r="A534" s="3" t="s">
        <v>21</v>
      </c>
      <c r="B534" s="3" t="s">
        <v>39</v>
      </c>
      <c r="C534" s="3" t="s">
        <v>41</v>
      </c>
      <c r="D534" s="3" t="s">
        <v>44</v>
      </c>
      <c r="E534" s="3" t="s">
        <v>52</v>
      </c>
      <c r="F534" s="3" t="s">
        <v>25</v>
      </c>
      <c r="G534" s="3" t="s">
        <v>25</v>
      </c>
      <c r="H534" s="3" t="s">
        <v>34</v>
      </c>
      <c r="I534" s="6">
        <v>44501</v>
      </c>
      <c r="J534" s="4">
        <v>0</v>
      </c>
      <c r="K534" s="64">
        <v>0</v>
      </c>
      <c r="L534" s="4">
        <v>11.041</v>
      </c>
      <c r="M534" s="64">
        <v>11.041</v>
      </c>
      <c r="N534" s="4">
        <v>11.041</v>
      </c>
      <c r="O534" s="64">
        <v>11.041</v>
      </c>
      <c r="P534" s="4">
        <v>0</v>
      </c>
      <c r="Q534" s="3" t="s">
        <v>26</v>
      </c>
      <c r="R534" s="3">
        <v>0</v>
      </c>
      <c r="S534" s="4">
        <v>0</v>
      </c>
      <c r="T534" s="4">
        <v>11</v>
      </c>
      <c r="U534" s="4">
        <v>71</v>
      </c>
      <c r="V534" s="64">
        <f>IF(ISERROR(VLOOKUP($S$534,'TAR FIN'!$A$1:$O$92,15,0)),0,VLOOKUP($S$534,'TAR FIN'!$A$1:$O$92,15,0))</f>
        <v>0</v>
      </c>
      <c r="W534" s="64">
        <f>IF(ISERROR(VLOOKUP($T$534,'TAR FIN'!$A$1:$O$92,15,0)),0,VLOOKUP($T$534,'TAR FIN'!$A$1:$O$92,15,0))*(1-0.04)</f>
        <v>1109.2895999999998</v>
      </c>
      <c r="X534" s="64">
        <f>IF(ISERROR(VLOOKUP($U$534,'TAR FIN'!$A$1:$O$92,15,0)),0,VLOOKUP($U$534,'TAR FIN'!$A$1:$O$92,15,0))*(1-0.04)</f>
        <v>416.41919999999999</v>
      </c>
      <c r="Y534" s="64"/>
      <c r="Z534" s="64">
        <f ca="1">('TUSD BE'!$AM$11+'TUSD BF'!$AM$11+'TUSD CVA'!$AM$11)*1*(1-0.02)</f>
        <v>1463.9061467887163</v>
      </c>
      <c r="AA534" s="64">
        <f>('TE BE'!$AB$5+'TE BF'!$AB$5+'TE CVA'!$AB$5)*1*(1-0.02)</f>
        <v>531.98726410884376</v>
      </c>
      <c r="AB534" s="4">
        <f>$K$534*$V$534</f>
        <v>0</v>
      </c>
      <c r="AC534" s="4">
        <f>$M$534*$W$534</f>
        <v>12247.666473599998</v>
      </c>
      <c r="AD534" s="4">
        <f>$O$534*$X$534</f>
        <v>4597.6843871999999</v>
      </c>
      <c r="AE534" s="4">
        <f>$K$534*$Y$534</f>
        <v>0</v>
      </c>
      <c r="AF534" s="4">
        <f ca="1">$M$534*$Z$534</f>
        <v>16162.987766694217</v>
      </c>
      <c r="AG534" s="4">
        <f>$O$534*$AA$534</f>
        <v>5873.671383025744</v>
      </c>
    </row>
    <row r="535" spans="1:33" ht="11.25" customHeight="1" x14ac:dyDescent="0.25">
      <c r="A535" s="3" t="s">
        <v>21</v>
      </c>
      <c r="B535" s="3" t="s">
        <v>39</v>
      </c>
      <c r="C535" s="3" t="s">
        <v>41</v>
      </c>
      <c r="D535" s="3" t="s">
        <v>44</v>
      </c>
      <c r="E535" s="3" t="s">
        <v>52</v>
      </c>
      <c r="F535" s="3" t="s">
        <v>25</v>
      </c>
      <c r="G535" s="3" t="s">
        <v>25</v>
      </c>
      <c r="H535" s="3" t="s">
        <v>34</v>
      </c>
      <c r="I535" s="6">
        <v>44531</v>
      </c>
      <c r="J535" s="4">
        <v>0</v>
      </c>
      <c r="K535" s="64">
        <v>0</v>
      </c>
      <c r="L535" s="4">
        <v>20.324000000000002</v>
      </c>
      <c r="M535" s="64">
        <v>20.324000000000002</v>
      </c>
      <c r="N535" s="4">
        <v>20.324000000000002</v>
      </c>
      <c r="O535" s="64">
        <v>20.324000000000002</v>
      </c>
      <c r="P535" s="4">
        <v>0</v>
      </c>
      <c r="Q535" s="3" t="s">
        <v>26</v>
      </c>
      <c r="R535" s="3">
        <v>0</v>
      </c>
      <c r="S535" s="4">
        <v>0</v>
      </c>
      <c r="T535" s="4">
        <v>11</v>
      </c>
      <c r="U535" s="4">
        <v>71</v>
      </c>
      <c r="V535" s="64">
        <f>IF(ISERROR(VLOOKUP($S$535,'TAR FIN'!$A$1:$O$92,15,0)),0,VLOOKUP($S$535,'TAR FIN'!$A$1:$O$92,15,0))</f>
        <v>0</v>
      </c>
      <c r="W535" s="64">
        <f>IF(ISERROR(VLOOKUP($T$535,'TAR FIN'!$A$1:$O$92,15,0)),0,VLOOKUP($T$535,'TAR FIN'!$A$1:$O$92,15,0))*(1-0.04)</f>
        <v>1109.2895999999998</v>
      </c>
      <c r="X535" s="64">
        <f>IF(ISERROR(VLOOKUP($U$535,'TAR FIN'!$A$1:$O$92,15,0)),0,VLOOKUP($U$535,'TAR FIN'!$A$1:$O$92,15,0))*(1-0.04)</f>
        <v>416.41919999999999</v>
      </c>
      <c r="Y535" s="64"/>
      <c r="Z535" s="64">
        <f ca="1">('TUSD BE'!$AM$11+'TUSD BF'!$AM$11+'TUSD CVA'!$AM$11)*1*(1-0.02)</f>
        <v>1463.9061467887163</v>
      </c>
      <c r="AA535" s="64">
        <f>('TE BE'!$AB$5+'TE BF'!$AB$5+'TE CVA'!$AB$5)*1*(1-0.02)</f>
        <v>531.98726410884376</v>
      </c>
      <c r="AB535" s="4">
        <f>$K$535*$V$535</f>
        <v>0</v>
      </c>
      <c r="AC535" s="4">
        <f>$M$535*$W$535</f>
        <v>22545.201830399998</v>
      </c>
      <c r="AD535" s="4">
        <f>$O$535*$X$535</f>
        <v>8463.3038207999998</v>
      </c>
      <c r="AE535" s="4">
        <f>$K$535*$Y$535</f>
        <v>0</v>
      </c>
      <c r="AF535" s="4">
        <f ca="1">$M$535*$Z$535</f>
        <v>29752.428527333872</v>
      </c>
      <c r="AG535" s="4">
        <f>$O$535*$AA$535</f>
        <v>10812.109155748141</v>
      </c>
    </row>
    <row r="536" spans="1:33" ht="11.25" customHeight="1" x14ac:dyDescent="0.25">
      <c r="A536" s="3" t="s">
        <v>21</v>
      </c>
      <c r="B536" s="3" t="s">
        <v>39</v>
      </c>
      <c r="C536" s="3" t="s">
        <v>41</v>
      </c>
      <c r="D536" s="3" t="s">
        <v>44</v>
      </c>
      <c r="E536" s="3" t="s">
        <v>52</v>
      </c>
      <c r="F536" s="3" t="s">
        <v>25</v>
      </c>
      <c r="G536" s="3" t="s">
        <v>25</v>
      </c>
      <c r="H536" s="3" t="s">
        <v>34</v>
      </c>
      <c r="I536" s="6">
        <v>44562</v>
      </c>
      <c r="J536" s="4">
        <v>0</v>
      </c>
      <c r="K536" s="64">
        <v>0</v>
      </c>
      <c r="L536" s="4">
        <v>21.841000000000001</v>
      </c>
      <c r="M536" s="64">
        <v>21.841000000000001</v>
      </c>
      <c r="N536" s="4">
        <v>21.841000000000001</v>
      </c>
      <c r="O536" s="64">
        <v>21.841000000000001</v>
      </c>
      <c r="P536" s="4">
        <v>0</v>
      </c>
      <c r="Q536" s="3" t="s">
        <v>26</v>
      </c>
      <c r="R536" s="3">
        <v>0</v>
      </c>
      <c r="S536" s="4">
        <v>0</v>
      </c>
      <c r="T536" s="4">
        <v>11</v>
      </c>
      <c r="U536" s="4">
        <v>71</v>
      </c>
      <c r="V536" s="64">
        <f>IF(ISERROR(VLOOKUP($S$536,'TAR FIN'!$A$1:$O$92,15,0)),0,VLOOKUP($S$536,'TAR FIN'!$A$1:$O$92,15,0))</f>
        <v>0</v>
      </c>
      <c r="W536" s="64">
        <f>IF(ISERROR(VLOOKUP($T$536,'TAR FIN'!$A$1:$O$92,15,0)),0,VLOOKUP($T$536,'TAR FIN'!$A$1:$O$92,15,0))*(1-0.04)</f>
        <v>1109.2895999999998</v>
      </c>
      <c r="X536" s="64">
        <f>IF(ISERROR(VLOOKUP($U$536,'TAR FIN'!$A$1:$O$92,15,0)),0,VLOOKUP($U$536,'TAR FIN'!$A$1:$O$92,15,0))*(1-0.04)</f>
        <v>416.41919999999999</v>
      </c>
      <c r="Y536" s="64"/>
      <c r="Z536" s="64">
        <f ca="1">('TUSD BE'!$AM$11+'TUSD BF'!$AM$11+'TUSD CVA'!$AM$11)*1*(1-0.02)</f>
        <v>1463.9061467887163</v>
      </c>
      <c r="AA536" s="64">
        <f>('TE BE'!$AB$5+'TE BF'!$AB$5+'TE CVA'!$AB$5)*1*(1-0.02)</f>
        <v>531.98726410884376</v>
      </c>
      <c r="AB536" s="4">
        <f>$K$536*$V$536</f>
        <v>0</v>
      </c>
      <c r="AC536" s="4">
        <f>$M$536*$W$536</f>
        <v>24227.994153599997</v>
      </c>
      <c r="AD536" s="4">
        <f>$O$536*$X$536</f>
        <v>9095.0117472000002</v>
      </c>
      <c r="AE536" s="4">
        <f>$K$536*$Y$536</f>
        <v>0</v>
      </c>
      <c r="AF536" s="4">
        <f ca="1">$M$536*$Z$536</f>
        <v>31973.174152012354</v>
      </c>
      <c r="AG536" s="4">
        <f>$O$536*$AA$536</f>
        <v>11619.133835401257</v>
      </c>
    </row>
    <row r="537" spans="1:33" ht="11.25" customHeight="1" x14ac:dyDescent="0.25">
      <c r="A537" s="3" t="s">
        <v>21</v>
      </c>
      <c r="B537" s="3" t="s">
        <v>39</v>
      </c>
      <c r="C537" s="3" t="s">
        <v>41</v>
      </c>
      <c r="D537" s="3" t="s">
        <v>44</v>
      </c>
      <c r="E537" s="3" t="s">
        <v>52</v>
      </c>
      <c r="F537" s="3" t="s">
        <v>25</v>
      </c>
      <c r="G537" s="3" t="s">
        <v>25</v>
      </c>
      <c r="H537" s="3" t="s">
        <v>34</v>
      </c>
      <c r="I537" s="6">
        <v>44593</v>
      </c>
      <c r="J537" s="4">
        <v>0</v>
      </c>
      <c r="K537" s="64">
        <v>0</v>
      </c>
      <c r="L537" s="4">
        <v>24.782</v>
      </c>
      <c r="M537" s="64">
        <v>24.782</v>
      </c>
      <c r="N537" s="4">
        <v>24.782</v>
      </c>
      <c r="O537" s="64">
        <v>24.782</v>
      </c>
      <c r="P537" s="4">
        <v>0</v>
      </c>
      <c r="Q537" s="3" t="s">
        <v>26</v>
      </c>
      <c r="R537" s="3">
        <v>0</v>
      </c>
      <c r="S537" s="4">
        <v>0</v>
      </c>
      <c r="T537" s="4">
        <v>11</v>
      </c>
      <c r="U537" s="4">
        <v>71</v>
      </c>
      <c r="V537" s="64">
        <f>IF(ISERROR(VLOOKUP($S$537,'TAR FIN'!$A$1:$O$92,15,0)),0,VLOOKUP($S$537,'TAR FIN'!$A$1:$O$92,15,0))</f>
        <v>0</v>
      </c>
      <c r="W537" s="64">
        <f>IF(ISERROR(VLOOKUP($T$537,'TAR FIN'!$A$1:$O$92,15,0)),0,VLOOKUP($T$537,'TAR FIN'!$A$1:$O$92,15,0))*(1-0.04)</f>
        <v>1109.2895999999998</v>
      </c>
      <c r="X537" s="64">
        <f>IF(ISERROR(VLOOKUP($U$537,'TAR FIN'!$A$1:$O$92,15,0)),0,VLOOKUP($U$537,'TAR FIN'!$A$1:$O$92,15,0))*(1-0.04)</f>
        <v>416.41919999999999</v>
      </c>
      <c r="Y537" s="64"/>
      <c r="Z537" s="64">
        <f ca="1">('TUSD BE'!$AM$11+'TUSD BF'!$AM$11+'TUSD CVA'!$AM$11)*1*(1-0.02)</f>
        <v>1463.9061467887163</v>
      </c>
      <c r="AA537" s="64">
        <f>('TE BE'!$AB$5+'TE BF'!$AB$5+'TE CVA'!$AB$5)*1*(1-0.02)</f>
        <v>531.98726410884376</v>
      </c>
      <c r="AB537" s="4">
        <f>$K$537*$V$537</f>
        <v>0</v>
      </c>
      <c r="AC537" s="4">
        <f>$M$537*$W$537</f>
        <v>27490.414867199997</v>
      </c>
      <c r="AD537" s="4">
        <f>$O$537*$X$537</f>
        <v>10319.700614400001</v>
      </c>
      <c r="AE537" s="4">
        <f>$K$537*$Y$537</f>
        <v>0</v>
      </c>
      <c r="AF537" s="4">
        <f ca="1">$M$537*$Z$537</f>
        <v>36278.522129717967</v>
      </c>
      <c r="AG537" s="4">
        <f>$O$537*$AA$537</f>
        <v>13183.708379145366</v>
      </c>
    </row>
    <row r="538" spans="1:33" ht="11.25" customHeight="1" x14ac:dyDescent="0.25">
      <c r="A538" s="3" t="s">
        <v>27</v>
      </c>
      <c r="B538" s="3" t="s">
        <v>39</v>
      </c>
      <c r="C538" s="3" t="s">
        <v>41</v>
      </c>
      <c r="D538" s="3" t="s">
        <v>44</v>
      </c>
      <c r="E538" s="3" t="s">
        <v>52</v>
      </c>
      <c r="F538" s="3" t="s">
        <v>25</v>
      </c>
      <c r="G538" s="3" t="s">
        <v>25</v>
      </c>
      <c r="H538" s="3" t="s">
        <v>34</v>
      </c>
      <c r="I538" s="6">
        <v>44593</v>
      </c>
      <c r="J538" s="4">
        <v>0</v>
      </c>
      <c r="K538" s="64">
        <v>0</v>
      </c>
      <c r="L538" s="4">
        <v>-1.3069999999999999</v>
      </c>
      <c r="M538" s="64">
        <v>-1.3069999999999999</v>
      </c>
      <c r="N538" s="4">
        <v>-1.3069999999999999</v>
      </c>
      <c r="O538" s="64">
        <v>-1.3069999999999999</v>
      </c>
      <c r="P538" s="4">
        <v>0</v>
      </c>
      <c r="Q538" s="3" t="s">
        <v>26</v>
      </c>
      <c r="R538" s="3">
        <v>0</v>
      </c>
      <c r="S538" s="4">
        <v>0</v>
      </c>
      <c r="T538" s="4">
        <v>11</v>
      </c>
      <c r="U538" s="4">
        <v>71</v>
      </c>
      <c r="V538" s="64">
        <f>IF(ISERROR(VLOOKUP($S$538,'TAR FIN'!$A$1:$O$92,15,0)),0,VLOOKUP($S$538,'TAR FIN'!$A$1:$O$92,15,0))</f>
        <v>0</v>
      </c>
      <c r="W538" s="64">
        <f>IF(ISERROR(VLOOKUP($T$538,'TAR FIN'!$A$1:$O$92,15,0)),0,VLOOKUP($T$538,'TAR FIN'!$A$1:$O$92,15,0))*(1-0.04)</f>
        <v>1109.2895999999998</v>
      </c>
      <c r="X538" s="64">
        <f>IF(ISERROR(VLOOKUP($U$538,'TAR FIN'!$A$1:$O$92,15,0)),0,VLOOKUP($U$538,'TAR FIN'!$A$1:$O$92,15,0))*(1-0.04)</f>
        <v>416.41919999999999</v>
      </c>
      <c r="Y538" s="64"/>
      <c r="Z538" s="64">
        <f ca="1">('TUSD BE'!$AM$11+'TUSD BF'!$AM$11+'TUSD CVA'!$AM$11)*1*(1-0.02)</f>
        <v>1463.9061467887163</v>
      </c>
      <c r="AA538" s="64">
        <f>('TE BE'!$AB$5+'TE BF'!$AB$5+'TE CVA'!$AB$5)*1*(1-0.02)</f>
        <v>531.98726410884376</v>
      </c>
      <c r="AB538" s="4">
        <f>$K$538*$V$538</f>
        <v>0</v>
      </c>
      <c r="AC538" s="4">
        <f>$M$538*$W$538</f>
        <v>-1449.8415071999998</v>
      </c>
      <c r="AD538" s="4">
        <f>$O$538*$X$538</f>
        <v>-544.25989440000001</v>
      </c>
      <c r="AE538" s="4">
        <f>$K$538*$Y$538</f>
        <v>0</v>
      </c>
      <c r="AF538" s="4">
        <f ca="1">$M$538*$Z$538</f>
        <v>-1913.3253338528523</v>
      </c>
      <c r="AG538" s="4">
        <f>$O$538*$AA$538</f>
        <v>-695.30735419025871</v>
      </c>
    </row>
    <row r="539" spans="1:33" ht="11.25" customHeight="1" x14ac:dyDescent="0.25">
      <c r="A539" s="3" t="s">
        <v>21</v>
      </c>
      <c r="B539" s="3" t="s">
        <v>39</v>
      </c>
      <c r="C539" s="3" t="s">
        <v>41</v>
      </c>
      <c r="D539" s="3" t="s">
        <v>44</v>
      </c>
      <c r="E539" s="3" t="s">
        <v>52</v>
      </c>
      <c r="F539" s="3" t="s">
        <v>25</v>
      </c>
      <c r="G539" s="3" t="s">
        <v>25</v>
      </c>
      <c r="H539" s="3" t="s">
        <v>34</v>
      </c>
      <c r="I539" s="6">
        <v>44621</v>
      </c>
      <c r="J539" s="4">
        <v>0</v>
      </c>
      <c r="K539" s="64">
        <v>0</v>
      </c>
      <c r="L539" s="4">
        <v>12.180999999999999</v>
      </c>
      <c r="M539" s="64">
        <v>12.180999999999999</v>
      </c>
      <c r="N539" s="4">
        <v>12.180999999999999</v>
      </c>
      <c r="O539" s="64">
        <v>12.180999999999999</v>
      </c>
      <c r="P539" s="4">
        <v>0</v>
      </c>
      <c r="Q539" s="3" t="s">
        <v>26</v>
      </c>
      <c r="R539" s="3">
        <v>0</v>
      </c>
      <c r="S539" s="4">
        <v>0</v>
      </c>
      <c r="T539" s="4">
        <v>11</v>
      </c>
      <c r="U539" s="4">
        <v>71</v>
      </c>
      <c r="V539" s="64">
        <f>IF(ISERROR(VLOOKUP($S$539,'TAR FIN'!$A$1:$O$92,15,0)),0,VLOOKUP($S$539,'TAR FIN'!$A$1:$O$92,15,0))</f>
        <v>0</v>
      </c>
      <c r="W539" s="64">
        <f>IF(ISERROR(VLOOKUP($T$539,'TAR FIN'!$A$1:$O$92,15,0)),0,VLOOKUP($T$539,'TAR FIN'!$A$1:$O$92,15,0))*(1-0.04)</f>
        <v>1109.2895999999998</v>
      </c>
      <c r="X539" s="64">
        <f>IF(ISERROR(VLOOKUP($U$539,'TAR FIN'!$A$1:$O$92,15,0)),0,VLOOKUP($U$539,'TAR FIN'!$A$1:$O$92,15,0))*(1-0.04)</f>
        <v>416.41919999999999</v>
      </c>
      <c r="Y539" s="64"/>
      <c r="Z539" s="64">
        <f ca="1">('TUSD BE'!$AM$11+'TUSD BF'!$AM$11+'TUSD CVA'!$AM$11)*1*(1-0.02)</f>
        <v>1463.9061467887163</v>
      </c>
      <c r="AA539" s="64">
        <f>('TE BE'!$AB$5+'TE BF'!$AB$5+'TE CVA'!$AB$5)*1*(1-0.02)</f>
        <v>531.98726410884376</v>
      </c>
      <c r="AB539" s="4">
        <f>$K$539*$V$539</f>
        <v>0</v>
      </c>
      <c r="AC539" s="4">
        <f>$M$539*$W$539</f>
        <v>13512.256617599996</v>
      </c>
      <c r="AD539" s="4">
        <f>$O$539*$X$539</f>
        <v>5072.4022751999992</v>
      </c>
      <c r="AE539" s="4">
        <f>$K$539*$Y$539</f>
        <v>0</v>
      </c>
      <c r="AF539" s="4">
        <f ca="1">$M$539*$Z$539</f>
        <v>17831.840774033353</v>
      </c>
      <c r="AG539" s="4">
        <f>$O$539*$AA$539</f>
        <v>6480.1368641098252</v>
      </c>
    </row>
    <row r="540" spans="1:33" ht="11.25" customHeight="1" x14ac:dyDescent="0.25">
      <c r="A540" s="3" t="s">
        <v>27</v>
      </c>
      <c r="B540" s="3" t="s">
        <v>39</v>
      </c>
      <c r="C540" s="3" t="s">
        <v>41</v>
      </c>
      <c r="D540" s="3" t="s">
        <v>44</v>
      </c>
      <c r="E540" s="3" t="s">
        <v>52</v>
      </c>
      <c r="F540" s="3" t="s">
        <v>25</v>
      </c>
      <c r="G540" s="3" t="s">
        <v>25</v>
      </c>
      <c r="H540" s="3" t="s">
        <v>34</v>
      </c>
      <c r="I540" s="6">
        <v>44621</v>
      </c>
      <c r="J540" s="4">
        <v>0</v>
      </c>
      <c r="K540" s="64">
        <v>0</v>
      </c>
      <c r="L540" s="4">
        <v>8.8490000000000002</v>
      </c>
      <c r="M540" s="64">
        <v>8.8490000000000002</v>
      </c>
      <c r="N540" s="4">
        <v>8.8490000000000002</v>
      </c>
      <c r="O540" s="64">
        <v>8.8490000000000002</v>
      </c>
      <c r="P540" s="4">
        <v>0</v>
      </c>
      <c r="Q540" s="3" t="s">
        <v>26</v>
      </c>
      <c r="R540" s="3">
        <v>0</v>
      </c>
      <c r="S540" s="4">
        <v>0</v>
      </c>
      <c r="T540" s="4">
        <v>11</v>
      </c>
      <c r="U540" s="4">
        <v>71</v>
      </c>
      <c r="V540" s="64">
        <f>IF(ISERROR(VLOOKUP($S$540,'TAR FIN'!$A$1:$O$92,15,0)),0,VLOOKUP($S$540,'TAR FIN'!$A$1:$O$92,15,0))</f>
        <v>0</v>
      </c>
      <c r="W540" s="64">
        <f>IF(ISERROR(VLOOKUP($T$540,'TAR FIN'!$A$1:$O$92,15,0)),0,VLOOKUP($T$540,'TAR FIN'!$A$1:$O$92,15,0))*(1-0.04)</f>
        <v>1109.2895999999998</v>
      </c>
      <c r="X540" s="64">
        <f>IF(ISERROR(VLOOKUP($U$540,'TAR FIN'!$A$1:$O$92,15,0)),0,VLOOKUP($U$540,'TAR FIN'!$A$1:$O$92,15,0))*(1-0.04)</f>
        <v>416.41919999999999</v>
      </c>
      <c r="Y540" s="64"/>
      <c r="Z540" s="64">
        <f ca="1">('TUSD BE'!$AM$11+'TUSD BF'!$AM$11+'TUSD CVA'!$AM$11)*1*(1-0.02)</f>
        <v>1463.9061467887163</v>
      </c>
      <c r="AA540" s="64">
        <f>('TE BE'!$AB$5+'TE BF'!$AB$5+'TE CVA'!$AB$5)*1*(1-0.02)</f>
        <v>531.98726410884376</v>
      </c>
      <c r="AB540" s="4">
        <f>$K$540*$V$540</f>
        <v>0</v>
      </c>
      <c r="AC540" s="4">
        <f>$M$540*$W$540</f>
        <v>9816.103670399998</v>
      </c>
      <c r="AD540" s="4">
        <f>$O$540*$X$540</f>
        <v>3684.8935007999999</v>
      </c>
      <c r="AE540" s="4">
        <f>$K$540*$Y$540</f>
        <v>0</v>
      </c>
      <c r="AF540" s="4">
        <f ca="1">$M$540*$Z$540</f>
        <v>12954.105492933351</v>
      </c>
      <c r="AG540" s="4">
        <f>$O$540*$AA$540</f>
        <v>4707.5553000991586</v>
      </c>
    </row>
    <row r="541" spans="1:33" ht="11.25" customHeight="1" x14ac:dyDescent="0.25">
      <c r="A541" s="3" t="s">
        <v>21</v>
      </c>
      <c r="B541" s="3" t="s">
        <v>39</v>
      </c>
      <c r="C541" s="3" t="s">
        <v>41</v>
      </c>
      <c r="D541" s="3" t="s">
        <v>44</v>
      </c>
      <c r="E541" s="3" t="s">
        <v>52</v>
      </c>
      <c r="F541" s="3" t="s">
        <v>25</v>
      </c>
      <c r="G541" s="3" t="s">
        <v>25</v>
      </c>
      <c r="H541" s="3" t="s">
        <v>34</v>
      </c>
      <c r="I541" s="6">
        <v>44652</v>
      </c>
      <c r="J541" s="4">
        <v>0</v>
      </c>
      <c r="K541" s="64">
        <v>0</v>
      </c>
      <c r="L541" s="4">
        <v>12.180999999999999</v>
      </c>
      <c r="M541" s="64">
        <v>12.180999999999999</v>
      </c>
      <c r="N541" s="4">
        <v>12.180999999999999</v>
      </c>
      <c r="O541" s="64">
        <v>12.180999999999999</v>
      </c>
      <c r="P541" s="4">
        <v>0</v>
      </c>
      <c r="Q541" s="3" t="s">
        <v>26</v>
      </c>
      <c r="R541" s="3">
        <v>0</v>
      </c>
      <c r="S541" s="4">
        <v>0</v>
      </c>
      <c r="T541" s="4">
        <v>11</v>
      </c>
      <c r="U541" s="4">
        <v>71</v>
      </c>
      <c r="V541" s="64">
        <f>IF(ISERROR(VLOOKUP($S$541,'TAR FIN'!$A$1:$O$92,15,0)),0,VLOOKUP($S$541,'TAR FIN'!$A$1:$O$92,15,0))</f>
        <v>0</v>
      </c>
      <c r="W541" s="64">
        <f>IF(ISERROR(VLOOKUP($T$541,'TAR FIN'!$A$1:$O$92,15,0)),0,VLOOKUP($T$541,'TAR FIN'!$A$1:$O$92,15,0))*(1-0.04)</f>
        <v>1109.2895999999998</v>
      </c>
      <c r="X541" s="64">
        <f>IF(ISERROR(VLOOKUP($U$541,'TAR FIN'!$A$1:$O$92,15,0)),0,VLOOKUP($U$541,'TAR FIN'!$A$1:$O$92,15,0))*(1-0.04)</f>
        <v>416.41919999999999</v>
      </c>
      <c r="Y541" s="64"/>
      <c r="Z541" s="64">
        <f ca="1">('TUSD BE'!$AM$11+'TUSD BF'!$AM$11+'TUSD CVA'!$AM$11)*1*(1-0.02)</f>
        <v>1463.9061467887163</v>
      </c>
      <c r="AA541" s="64">
        <f>('TE BE'!$AB$5+'TE BF'!$AB$5+'TE CVA'!$AB$5)*1*(1-0.02)</f>
        <v>531.98726410884376</v>
      </c>
      <c r="AB541" s="4">
        <f>$K$541*$V$541</f>
        <v>0</v>
      </c>
      <c r="AC541" s="4">
        <f>$M$541*$W$541</f>
        <v>13512.256617599996</v>
      </c>
      <c r="AD541" s="4">
        <f>$O$541*$X$541</f>
        <v>5072.4022751999992</v>
      </c>
      <c r="AE541" s="4">
        <f>$K$541*$Y$541</f>
        <v>0</v>
      </c>
      <c r="AF541" s="4">
        <f ca="1">$M$541*$Z$541</f>
        <v>17831.840774033353</v>
      </c>
      <c r="AG541" s="4">
        <f>$O$541*$AA$541</f>
        <v>6480.1368641098252</v>
      </c>
    </row>
    <row r="542" spans="1:33" ht="11.25" customHeight="1" x14ac:dyDescent="0.25">
      <c r="A542" s="3" t="s">
        <v>27</v>
      </c>
      <c r="B542" s="3" t="s">
        <v>39</v>
      </c>
      <c r="C542" s="3" t="s">
        <v>41</v>
      </c>
      <c r="D542" s="3" t="s">
        <v>44</v>
      </c>
      <c r="E542" s="3" t="s">
        <v>52</v>
      </c>
      <c r="F542" s="3" t="s">
        <v>25</v>
      </c>
      <c r="G542" s="3" t="s">
        <v>25</v>
      </c>
      <c r="H542" s="3" t="s">
        <v>34</v>
      </c>
      <c r="I542" s="6">
        <v>44652</v>
      </c>
      <c r="J542" s="4">
        <v>0</v>
      </c>
      <c r="K542" s="64">
        <v>0</v>
      </c>
      <c r="L542" s="4">
        <v>8.8490000000000002</v>
      </c>
      <c r="M542" s="64">
        <v>8.8490000000000002</v>
      </c>
      <c r="N542" s="4">
        <v>8.8490000000000002</v>
      </c>
      <c r="O542" s="64">
        <v>8.8490000000000002</v>
      </c>
      <c r="P542" s="4">
        <v>0</v>
      </c>
      <c r="Q542" s="3" t="s">
        <v>26</v>
      </c>
      <c r="R542" s="3">
        <v>0</v>
      </c>
      <c r="S542" s="4">
        <v>0</v>
      </c>
      <c r="T542" s="4">
        <v>11</v>
      </c>
      <c r="U542" s="4">
        <v>71</v>
      </c>
      <c r="V542" s="64">
        <f>IF(ISERROR(VLOOKUP($S$542,'TAR FIN'!$A$1:$O$92,15,0)),0,VLOOKUP($S$542,'TAR FIN'!$A$1:$O$92,15,0))</f>
        <v>0</v>
      </c>
      <c r="W542" s="64">
        <f>IF(ISERROR(VLOOKUP($T$542,'TAR FIN'!$A$1:$O$92,15,0)),0,VLOOKUP($T$542,'TAR FIN'!$A$1:$O$92,15,0))*(1-0.04)</f>
        <v>1109.2895999999998</v>
      </c>
      <c r="X542" s="64">
        <f>IF(ISERROR(VLOOKUP($U$542,'TAR FIN'!$A$1:$O$92,15,0)),0,VLOOKUP($U$542,'TAR FIN'!$A$1:$O$92,15,0))*(1-0.04)</f>
        <v>416.41919999999999</v>
      </c>
      <c r="Y542" s="64"/>
      <c r="Z542" s="64">
        <f ca="1">('TUSD BE'!$AM$11+'TUSD BF'!$AM$11+'TUSD CVA'!$AM$11)*1*(1-0.02)</f>
        <v>1463.9061467887163</v>
      </c>
      <c r="AA542" s="64">
        <f>('TE BE'!$AB$5+'TE BF'!$AB$5+'TE CVA'!$AB$5)*1*(1-0.02)</f>
        <v>531.98726410884376</v>
      </c>
      <c r="AB542" s="4">
        <f>$K$542*$V$542</f>
        <v>0</v>
      </c>
      <c r="AC542" s="4">
        <f>$M$542*$W$542</f>
        <v>9816.103670399998</v>
      </c>
      <c r="AD542" s="4">
        <f>$O$542*$X$542</f>
        <v>3684.8935007999999</v>
      </c>
      <c r="AE542" s="4">
        <f>$K$542*$Y$542</f>
        <v>0</v>
      </c>
      <c r="AF542" s="4">
        <f ca="1">$M$542*$Z$542</f>
        <v>12954.105492933351</v>
      </c>
      <c r="AG542" s="4">
        <f>$O$542*$AA$542</f>
        <v>4707.5553000991586</v>
      </c>
    </row>
    <row r="543" spans="1:33" ht="11.25" customHeight="1" x14ac:dyDescent="0.25">
      <c r="A543" s="3" t="s">
        <v>21</v>
      </c>
      <c r="B543" s="3" t="s">
        <v>39</v>
      </c>
      <c r="C543" s="3" t="s">
        <v>41</v>
      </c>
      <c r="D543" s="3" t="s">
        <v>44</v>
      </c>
      <c r="E543" s="3" t="s">
        <v>52</v>
      </c>
      <c r="F543" s="3" t="s">
        <v>25</v>
      </c>
      <c r="G543" s="3" t="s">
        <v>25</v>
      </c>
      <c r="H543" s="3" t="s">
        <v>34</v>
      </c>
      <c r="I543" s="6">
        <v>44682</v>
      </c>
      <c r="J543" s="4">
        <v>0</v>
      </c>
      <c r="K543" s="64">
        <v>0</v>
      </c>
      <c r="L543" s="4">
        <v>2.996</v>
      </c>
      <c r="M543" s="64">
        <v>2.996</v>
      </c>
      <c r="N543" s="4">
        <v>2.996</v>
      </c>
      <c r="O543" s="64">
        <v>2.996</v>
      </c>
      <c r="P543" s="4">
        <v>0</v>
      </c>
      <c r="Q543" s="3" t="s">
        <v>26</v>
      </c>
      <c r="R543" s="3">
        <v>0</v>
      </c>
      <c r="S543" s="4">
        <v>0</v>
      </c>
      <c r="T543" s="4">
        <v>11</v>
      </c>
      <c r="U543" s="4">
        <v>71</v>
      </c>
      <c r="V543" s="64">
        <f>IF(ISERROR(VLOOKUP($S$543,'TAR FIN'!$A$1:$O$92,15,0)),0,VLOOKUP($S$543,'TAR FIN'!$A$1:$O$92,15,0))</f>
        <v>0</v>
      </c>
      <c r="W543" s="64">
        <f>IF(ISERROR(VLOOKUP($T$543,'TAR FIN'!$A$1:$O$92,15,0)),0,VLOOKUP($T$543,'TAR FIN'!$A$1:$O$92,15,0))*(1-0.04)</f>
        <v>1109.2895999999998</v>
      </c>
      <c r="X543" s="64">
        <f>IF(ISERROR(VLOOKUP($U$543,'TAR FIN'!$A$1:$O$92,15,0)),0,VLOOKUP($U$543,'TAR FIN'!$A$1:$O$92,15,0))*(1-0.04)</f>
        <v>416.41919999999999</v>
      </c>
      <c r="Y543" s="64"/>
      <c r="Z543" s="64">
        <f ca="1">('TUSD BE'!$AM$11+'TUSD BF'!$AM$11+'TUSD CVA'!$AM$11)*1*(1-0.02)</f>
        <v>1463.9061467887163</v>
      </c>
      <c r="AA543" s="64">
        <f>('TE BE'!$AB$5+'TE BF'!$AB$5+'TE CVA'!$AB$5)*1*(1-0.02)</f>
        <v>531.98726410884376</v>
      </c>
      <c r="AB543" s="4">
        <f>$K$543*$V$543</f>
        <v>0</v>
      </c>
      <c r="AC543" s="4">
        <f>$M$543*$W$543</f>
        <v>3323.4316415999997</v>
      </c>
      <c r="AD543" s="4">
        <f>$O$543*$X$543</f>
        <v>1247.5919231999999</v>
      </c>
      <c r="AE543" s="4">
        <f>$K$543*$Y$543</f>
        <v>0</v>
      </c>
      <c r="AF543" s="4">
        <f ca="1">$M$543*$Z$543</f>
        <v>4385.8628157789944</v>
      </c>
      <c r="AG543" s="4">
        <f>$O$543*$AA$543</f>
        <v>1593.8338432700959</v>
      </c>
    </row>
    <row r="544" spans="1:33" ht="11.25" customHeight="1" x14ac:dyDescent="0.25">
      <c r="A544" s="3" t="s">
        <v>27</v>
      </c>
      <c r="B544" s="3" t="s">
        <v>39</v>
      </c>
      <c r="C544" s="3" t="s">
        <v>41</v>
      </c>
      <c r="D544" s="3" t="s">
        <v>44</v>
      </c>
      <c r="E544" s="3" t="s">
        <v>52</v>
      </c>
      <c r="F544" s="3" t="s">
        <v>25</v>
      </c>
      <c r="G544" s="3" t="s">
        <v>25</v>
      </c>
      <c r="H544" s="3" t="s">
        <v>34</v>
      </c>
      <c r="I544" s="6">
        <v>44682</v>
      </c>
      <c r="J544" s="4">
        <v>0</v>
      </c>
      <c r="K544" s="64">
        <v>0</v>
      </c>
      <c r="L544" s="4">
        <v>-31.196000000000002</v>
      </c>
      <c r="M544" s="64">
        <v>-31.196000000000002</v>
      </c>
      <c r="N544" s="4">
        <v>-31.196000000000002</v>
      </c>
      <c r="O544" s="64">
        <v>-31.196000000000002</v>
      </c>
      <c r="P544" s="4">
        <v>0</v>
      </c>
      <c r="Q544" s="3" t="s">
        <v>26</v>
      </c>
      <c r="R544" s="3">
        <v>0</v>
      </c>
      <c r="S544" s="4">
        <v>0</v>
      </c>
      <c r="T544" s="4">
        <v>11</v>
      </c>
      <c r="U544" s="4">
        <v>71</v>
      </c>
      <c r="V544" s="64">
        <f>IF(ISERROR(VLOOKUP($S$544,'TAR FIN'!$A$1:$O$92,15,0)),0,VLOOKUP($S$544,'TAR FIN'!$A$1:$O$92,15,0))</f>
        <v>0</v>
      </c>
      <c r="W544" s="64">
        <f>IF(ISERROR(VLOOKUP($T$544,'TAR FIN'!$A$1:$O$92,15,0)),0,VLOOKUP($T$544,'TAR FIN'!$A$1:$O$92,15,0))*(1-0.04)</f>
        <v>1109.2895999999998</v>
      </c>
      <c r="X544" s="64">
        <f>IF(ISERROR(VLOOKUP($U$544,'TAR FIN'!$A$1:$O$92,15,0)),0,VLOOKUP($U$544,'TAR FIN'!$A$1:$O$92,15,0))*(1-0.04)</f>
        <v>416.41919999999999</v>
      </c>
      <c r="Y544" s="64"/>
      <c r="Z544" s="64">
        <f ca="1">('TUSD BE'!$AM$11+'TUSD BF'!$AM$11+'TUSD CVA'!$AM$11)*1*(1-0.02)</f>
        <v>1463.9061467887163</v>
      </c>
      <c r="AA544" s="64">
        <f>('TE BE'!$AB$5+'TE BF'!$AB$5+'TE CVA'!$AB$5)*1*(1-0.02)</f>
        <v>531.98726410884376</v>
      </c>
      <c r="AB544" s="4">
        <f>$K$544*$V$544</f>
        <v>0</v>
      </c>
      <c r="AC544" s="4">
        <f>$M$544*$W$544</f>
        <v>-34605.398361599997</v>
      </c>
      <c r="AD544" s="4">
        <f>$O$544*$X$544</f>
        <v>-12990.6133632</v>
      </c>
      <c r="AE544" s="4">
        <f>$K$544*$Y$544</f>
        <v>0</v>
      </c>
      <c r="AF544" s="4">
        <f ca="1">$M$544*$Z$544</f>
        <v>-45668.016155220794</v>
      </c>
      <c r="AG544" s="4">
        <f>$O$544*$AA$544</f>
        <v>-16595.874691139492</v>
      </c>
    </row>
    <row r="545" spans="1:33" ht="11.25" customHeight="1" x14ac:dyDescent="0.25">
      <c r="A545" s="3" t="s">
        <v>21</v>
      </c>
      <c r="B545" s="3" t="s">
        <v>39</v>
      </c>
      <c r="C545" s="3" t="s">
        <v>41</v>
      </c>
      <c r="D545" s="3" t="s">
        <v>44</v>
      </c>
      <c r="E545" s="3" t="s">
        <v>52</v>
      </c>
      <c r="F545" s="3" t="s">
        <v>25</v>
      </c>
      <c r="G545" s="3" t="s">
        <v>25</v>
      </c>
      <c r="H545" s="3" t="s">
        <v>34</v>
      </c>
      <c r="I545" s="6">
        <v>44713</v>
      </c>
      <c r="J545" s="4">
        <v>0</v>
      </c>
      <c r="K545" s="64">
        <v>0</v>
      </c>
      <c r="L545" s="4">
        <v>1.722</v>
      </c>
      <c r="M545" s="64">
        <v>1.722</v>
      </c>
      <c r="N545" s="4">
        <v>1.722</v>
      </c>
      <c r="O545" s="64">
        <v>1.722</v>
      </c>
      <c r="P545" s="4">
        <v>0</v>
      </c>
      <c r="Q545" s="3" t="s">
        <v>26</v>
      </c>
      <c r="R545" s="3">
        <v>0</v>
      </c>
      <c r="S545" s="4">
        <v>0</v>
      </c>
      <c r="T545" s="4">
        <v>11</v>
      </c>
      <c r="U545" s="4">
        <v>71</v>
      </c>
      <c r="V545" s="64">
        <f>IF(ISERROR(VLOOKUP($S$545,'TAR FIN'!$A$1:$O$92,15,0)),0,VLOOKUP($S$545,'TAR FIN'!$A$1:$O$92,15,0))</f>
        <v>0</v>
      </c>
      <c r="W545" s="64">
        <f>IF(ISERROR(VLOOKUP($T$545,'TAR FIN'!$A$1:$O$92,15,0)),0,VLOOKUP($T$545,'TAR FIN'!$A$1:$O$92,15,0))*(1-0.04)</f>
        <v>1109.2895999999998</v>
      </c>
      <c r="X545" s="64">
        <f>IF(ISERROR(VLOOKUP($U$545,'TAR FIN'!$A$1:$O$92,15,0)),0,VLOOKUP($U$545,'TAR FIN'!$A$1:$O$92,15,0))*(1-0.04)</f>
        <v>416.41919999999999</v>
      </c>
      <c r="Y545" s="64"/>
      <c r="Z545" s="64">
        <f ca="1">('TUSD BE'!$AM$11+'TUSD BF'!$AM$11+'TUSD CVA'!$AM$11)*1*(1-0.02)</f>
        <v>1463.9061467887163</v>
      </c>
      <c r="AA545" s="64">
        <f>('TE BE'!$AB$5+'TE BF'!$AB$5+'TE CVA'!$AB$5)*1*(1-0.02)</f>
        <v>531.98726410884376</v>
      </c>
      <c r="AB545" s="4">
        <f>$K$545*$V$545</f>
        <v>0</v>
      </c>
      <c r="AC545" s="4">
        <f>$M$545*$W$545</f>
        <v>1910.1966911999998</v>
      </c>
      <c r="AD545" s="4">
        <f>$O$545*$X$545</f>
        <v>717.07386239999994</v>
      </c>
      <c r="AE545" s="4">
        <f>$K$545*$Y$545</f>
        <v>0</v>
      </c>
      <c r="AF545" s="4">
        <f ca="1">$M$545*$Z$545</f>
        <v>2520.8463847701696</v>
      </c>
      <c r="AG545" s="4">
        <f>$O$545*$AA$545</f>
        <v>916.082068795429</v>
      </c>
    </row>
    <row r="546" spans="1:33" ht="11.25" customHeight="1" x14ac:dyDescent="0.25">
      <c r="A546" s="3" t="s">
        <v>21</v>
      </c>
      <c r="B546" s="3" t="s">
        <v>39</v>
      </c>
      <c r="C546" s="3" t="s">
        <v>41</v>
      </c>
      <c r="D546" s="3" t="s">
        <v>44</v>
      </c>
      <c r="E546" s="3" t="s">
        <v>52</v>
      </c>
      <c r="F546" s="3" t="s">
        <v>25</v>
      </c>
      <c r="G546" s="3" t="s">
        <v>25</v>
      </c>
      <c r="H546" s="3" t="s">
        <v>34</v>
      </c>
      <c r="I546" s="6">
        <v>44743</v>
      </c>
      <c r="J546" s="4">
        <v>0</v>
      </c>
      <c r="K546" s="64">
        <v>0</v>
      </c>
      <c r="L546" s="4">
        <v>1.9039999999999999</v>
      </c>
      <c r="M546" s="64">
        <v>1.9039999999999999</v>
      </c>
      <c r="N546" s="4">
        <v>1.9039999999999999</v>
      </c>
      <c r="O546" s="64">
        <v>1.9039999999999999</v>
      </c>
      <c r="P546" s="4">
        <v>0</v>
      </c>
      <c r="Q546" s="3" t="s">
        <v>26</v>
      </c>
      <c r="R546" s="3">
        <v>0</v>
      </c>
      <c r="S546" s="4">
        <v>0</v>
      </c>
      <c r="T546" s="4">
        <v>11</v>
      </c>
      <c r="U546" s="4">
        <v>71</v>
      </c>
      <c r="V546" s="64">
        <f>IF(ISERROR(VLOOKUP($S$546,'TAR FIN'!$A$1:$O$92,15,0)),0,VLOOKUP($S$546,'TAR FIN'!$A$1:$O$92,15,0))</f>
        <v>0</v>
      </c>
      <c r="W546" s="64">
        <f>IF(ISERROR(VLOOKUP($T$546,'TAR FIN'!$A$1:$O$92,15,0)),0,VLOOKUP($T$546,'TAR FIN'!$A$1:$O$92,15,0))*(1-0.04)</f>
        <v>1109.2895999999998</v>
      </c>
      <c r="X546" s="64">
        <f>IF(ISERROR(VLOOKUP($U$546,'TAR FIN'!$A$1:$O$92,15,0)),0,VLOOKUP($U$546,'TAR FIN'!$A$1:$O$92,15,0))*(1-0.04)</f>
        <v>416.41919999999999</v>
      </c>
      <c r="Y546" s="64"/>
      <c r="Z546" s="64">
        <f ca="1">('TUSD BE'!$AM$11+'TUSD BF'!$AM$11+'TUSD CVA'!$AM$11)*1*(1-0.02)</f>
        <v>1463.9061467887163</v>
      </c>
      <c r="AA546" s="64">
        <f>('TE BE'!$AB$5+'TE BF'!$AB$5+'TE CVA'!$AB$5)*1*(1-0.02)</f>
        <v>531.98726410884376</v>
      </c>
      <c r="AB546" s="4">
        <f>$K$546*$V$546</f>
        <v>0</v>
      </c>
      <c r="AC546" s="4">
        <f>$M$546*$W$546</f>
        <v>2112.0873983999995</v>
      </c>
      <c r="AD546" s="4">
        <f>$O$546*$X$546</f>
        <v>792.86215679999998</v>
      </c>
      <c r="AE546" s="4">
        <f>$K$546*$Y$546</f>
        <v>0</v>
      </c>
      <c r="AF546" s="4">
        <f ca="1">$M$546*$Z$546</f>
        <v>2787.2773034857159</v>
      </c>
      <c r="AG546" s="4">
        <f>$O$546*$AA$546</f>
        <v>1012.9037508632384</v>
      </c>
    </row>
    <row r="547" spans="1:33" ht="11.25" customHeight="1" x14ac:dyDescent="0.25">
      <c r="A547" s="3" t="s">
        <v>21</v>
      </c>
      <c r="B547" s="3" t="s">
        <v>39</v>
      </c>
      <c r="C547" s="3" t="s">
        <v>41</v>
      </c>
      <c r="D547" s="3" t="s">
        <v>44</v>
      </c>
      <c r="E547" s="3" t="s">
        <v>52</v>
      </c>
      <c r="F547" s="3" t="s">
        <v>25</v>
      </c>
      <c r="G547" s="3" t="s">
        <v>25</v>
      </c>
      <c r="H547" s="3" t="s">
        <v>34</v>
      </c>
      <c r="I547" s="6">
        <v>44774</v>
      </c>
      <c r="J547" s="4">
        <v>0</v>
      </c>
      <c r="K547" s="64">
        <v>0</v>
      </c>
      <c r="L547" s="4">
        <v>4.9359999999999999</v>
      </c>
      <c r="M547" s="64">
        <v>4.9359999999999999</v>
      </c>
      <c r="N547" s="4">
        <v>4.9359999999999999</v>
      </c>
      <c r="O547" s="64">
        <v>4.9359999999999999</v>
      </c>
      <c r="P547" s="4">
        <v>0</v>
      </c>
      <c r="Q547" s="3" t="s">
        <v>26</v>
      </c>
      <c r="R547" s="3">
        <v>0</v>
      </c>
      <c r="S547" s="4">
        <v>0</v>
      </c>
      <c r="T547" s="4">
        <v>11</v>
      </c>
      <c r="U547" s="4">
        <v>71</v>
      </c>
      <c r="V547" s="64">
        <f>IF(ISERROR(VLOOKUP($S$547,'TAR FIN'!$A$1:$O$92,15,0)),0,VLOOKUP($S$547,'TAR FIN'!$A$1:$O$92,15,0))</f>
        <v>0</v>
      </c>
      <c r="W547" s="64">
        <f>IF(ISERROR(VLOOKUP($T$547,'TAR FIN'!$A$1:$O$92,15,0)),0,VLOOKUP($T$547,'TAR FIN'!$A$1:$O$92,15,0))*(1-0.04)</f>
        <v>1109.2895999999998</v>
      </c>
      <c r="X547" s="64">
        <f>IF(ISERROR(VLOOKUP($U$547,'TAR FIN'!$A$1:$O$92,15,0)),0,VLOOKUP($U$547,'TAR FIN'!$A$1:$O$92,15,0))*(1-0.04)</f>
        <v>416.41919999999999</v>
      </c>
      <c r="Y547" s="64"/>
      <c r="Z547" s="64">
        <f ca="1">('TUSD BE'!$AM$11+'TUSD BF'!$AM$11+'TUSD CVA'!$AM$11)*1*(1-0.02)</f>
        <v>1463.9061467887163</v>
      </c>
      <c r="AA547" s="64">
        <f>('TE BE'!$AB$5+'TE BF'!$AB$5+'TE CVA'!$AB$5)*1*(1-0.02)</f>
        <v>531.98726410884376</v>
      </c>
      <c r="AB547" s="4">
        <f>$K$547*$V$547</f>
        <v>0</v>
      </c>
      <c r="AC547" s="4">
        <f>$M$547*$W$547</f>
        <v>5475.4534655999987</v>
      </c>
      <c r="AD547" s="4">
        <f>$O$547*$X$547</f>
        <v>2055.4451712</v>
      </c>
      <c r="AE547" s="4">
        <f>$K$547*$Y$547</f>
        <v>0</v>
      </c>
      <c r="AF547" s="4">
        <f ca="1">$M$547*$Z$547</f>
        <v>7225.8407405491034</v>
      </c>
      <c r="AG547" s="4">
        <f>$O$547*$AA$547</f>
        <v>2625.8891356412528</v>
      </c>
    </row>
    <row r="548" spans="1:33" ht="11.25" customHeight="1" x14ac:dyDescent="0.25">
      <c r="A548" s="3" t="s">
        <v>21</v>
      </c>
      <c r="B548" s="3" t="s">
        <v>39</v>
      </c>
      <c r="C548" s="3" t="s">
        <v>41</v>
      </c>
      <c r="D548" s="3" t="s">
        <v>44</v>
      </c>
      <c r="E548" s="3" t="s">
        <v>52</v>
      </c>
      <c r="F548" s="3" t="s">
        <v>25</v>
      </c>
      <c r="G548" s="3" t="s">
        <v>25</v>
      </c>
      <c r="H548" s="3" t="s">
        <v>34</v>
      </c>
      <c r="I548" s="6">
        <v>44805</v>
      </c>
      <c r="J548" s="4">
        <v>0</v>
      </c>
      <c r="K548" s="64">
        <v>0</v>
      </c>
      <c r="L548" s="4">
        <v>3.6779999999999999</v>
      </c>
      <c r="M548" s="64">
        <v>3.6779999999999999</v>
      </c>
      <c r="N548" s="4">
        <v>3.6779999999999999</v>
      </c>
      <c r="O548" s="64">
        <v>3.6779999999999999</v>
      </c>
      <c r="P548" s="4">
        <v>0</v>
      </c>
      <c r="Q548" s="3" t="s">
        <v>26</v>
      </c>
      <c r="R548" s="3">
        <v>0</v>
      </c>
      <c r="S548" s="4">
        <v>0</v>
      </c>
      <c r="T548" s="4">
        <v>11</v>
      </c>
      <c r="U548" s="4">
        <v>71</v>
      </c>
      <c r="V548" s="64">
        <f>IF(ISERROR(VLOOKUP($S$548,'TAR FIN'!$A$1:$O$92,15,0)),0,VLOOKUP($S$548,'TAR FIN'!$A$1:$O$92,15,0))</f>
        <v>0</v>
      </c>
      <c r="W548" s="64">
        <f>IF(ISERROR(VLOOKUP($T$548,'TAR FIN'!$A$1:$O$92,15,0)),0,VLOOKUP($T$548,'TAR FIN'!$A$1:$O$92,15,0))*(1-0.04)</f>
        <v>1109.2895999999998</v>
      </c>
      <c r="X548" s="64">
        <f>IF(ISERROR(VLOOKUP($U$548,'TAR FIN'!$A$1:$O$92,15,0)),0,VLOOKUP($U$548,'TAR FIN'!$A$1:$O$92,15,0))*(1-0.04)</f>
        <v>416.41919999999999</v>
      </c>
      <c r="Y548" s="64"/>
      <c r="Z548" s="64">
        <f ca="1">('TUSD BE'!$AM$11+'TUSD BF'!$AM$11+'TUSD CVA'!$AM$11)*1*(1-0.02)</f>
        <v>1463.9061467887163</v>
      </c>
      <c r="AA548" s="64">
        <f>('TE BE'!$AB$5+'TE BF'!$AB$5+'TE CVA'!$AB$5)*1*(1-0.02)</f>
        <v>531.98726410884376</v>
      </c>
      <c r="AB548" s="4">
        <f>$K$548*$V$548</f>
        <v>0</v>
      </c>
      <c r="AC548" s="4">
        <f>$M$548*$W$548</f>
        <v>4079.9671487999994</v>
      </c>
      <c r="AD548" s="4">
        <f>$O$548*$X$548</f>
        <v>1531.5898175999998</v>
      </c>
      <c r="AE548" s="4">
        <f>$K$548*$Y$548</f>
        <v>0</v>
      </c>
      <c r="AF548" s="4">
        <f ca="1">$M$548*$Z$548</f>
        <v>5384.2468078888987</v>
      </c>
      <c r="AG548" s="4">
        <f>$O$548*$AA$548</f>
        <v>1956.6491573923274</v>
      </c>
    </row>
    <row r="549" spans="1:33" ht="11.25" customHeight="1" x14ac:dyDescent="0.25">
      <c r="A549" s="3" t="s">
        <v>55</v>
      </c>
      <c r="B549" s="3" t="s">
        <v>39</v>
      </c>
      <c r="C549" s="3" t="s">
        <v>41</v>
      </c>
      <c r="D549" s="3" t="s">
        <v>44</v>
      </c>
      <c r="E549" s="3" t="s">
        <v>52</v>
      </c>
      <c r="F549" s="3" t="s">
        <v>25</v>
      </c>
      <c r="G549" s="3" t="s">
        <v>25</v>
      </c>
      <c r="H549" s="3" t="s">
        <v>34</v>
      </c>
      <c r="I549" s="6">
        <v>44835</v>
      </c>
      <c r="J549" s="4">
        <v>0</v>
      </c>
      <c r="K549" s="64">
        <v>0</v>
      </c>
      <c r="L549" s="4">
        <v>3.6779999999999999</v>
      </c>
      <c r="M549" s="64">
        <v>3.6779999999999999</v>
      </c>
      <c r="N549" s="4">
        <v>3.6779999999999999</v>
      </c>
      <c r="O549" s="64">
        <v>3.6779999999999999</v>
      </c>
      <c r="P549" s="4">
        <v>0</v>
      </c>
      <c r="Q549" s="3" t="s">
        <v>26</v>
      </c>
      <c r="R549" s="3">
        <v>0</v>
      </c>
      <c r="S549" s="4">
        <v>0</v>
      </c>
      <c r="T549" s="4">
        <v>11</v>
      </c>
      <c r="U549" s="4">
        <v>71</v>
      </c>
      <c r="V549" s="64">
        <f>IF(ISERROR(VLOOKUP($S$549,'TAR FIN'!$A$1:$O$92,15,0)),0,VLOOKUP($S$549,'TAR FIN'!$A$1:$O$92,15,0))</f>
        <v>0</v>
      </c>
      <c r="W549" s="64">
        <f>IF(ISERROR(VLOOKUP($T$549,'TAR FIN'!$A$1:$O$92,15,0)),0,VLOOKUP($T$549,'TAR FIN'!$A$1:$O$92,15,0))*(1-0.04)</f>
        <v>1109.2895999999998</v>
      </c>
      <c r="X549" s="64">
        <f>IF(ISERROR(VLOOKUP($U$549,'TAR FIN'!$A$1:$O$92,15,0)),0,VLOOKUP($U$549,'TAR FIN'!$A$1:$O$92,15,0))*(1-0.04)</f>
        <v>416.41919999999999</v>
      </c>
      <c r="Y549" s="64"/>
      <c r="Z549" s="64">
        <f ca="1">('TUSD BE'!$AM$11+'TUSD BF'!$AM$11+'TUSD CVA'!$AM$11)*1*(1-0.02)</f>
        <v>1463.9061467887163</v>
      </c>
      <c r="AA549" s="64">
        <f>('TE BE'!$AB$5+'TE BF'!$AB$5+'TE CVA'!$AB$5)*1*(1-0.02)</f>
        <v>531.98726410884376</v>
      </c>
      <c r="AB549" s="4">
        <f>$K$549*$V$549</f>
        <v>0</v>
      </c>
      <c r="AC549" s="4">
        <f>$M$549*$W$549</f>
        <v>4079.9671487999994</v>
      </c>
      <c r="AD549" s="4">
        <f>$O$549*$X$549</f>
        <v>1531.5898175999998</v>
      </c>
      <c r="AE549" s="4">
        <f>$K$549*$Y$549</f>
        <v>0</v>
      </c>
      <c r="AF549" s="4">
        <f ca="1">$M$549*$Z$549</f>
        <v>5384.2468078888987</v>
      </c>
      <c r="AG549" s="4">
        <f>$O$549*$AA$549</f>
        <v>1956.6491573923274</v>
      </c>
    </row>
    <row r="550" spans="1:33" ht="11.25" customHeight="1" x14ac:dyDescent="0.25">
      <c r="A550" s="3" t="s">
        <v>21</v>
      </c>
      <c r="B550" s="3" t="s">
        <v>39</v>
      </c>
      <c r="C550" s="3" t="s">
        <v>41</v>
      </c>
      <c r="D550" s="3" t="s">
        <v>44</v>
      </c>
      <c r="E550" s="3" t="s">
        <v>25</v>
      </c>
      <c r="F550" s="3" t="s">
        <v>25</v>
      </c>
      <c r="G550" s="3" t="s">
        <v>25</v>
      </c>
      <c r="H550" s="3" t="s">
        <v>35</v>
      </c>
      <c r="I550" s="6">
        <v>44501</v>
      </c>
      <c r="J550" s="4">
        <v>0</v>
      </c>
      <c r="K550" s="64">
        <v>0</v>
      </c>
      <c r="L550" s="4">
        <v>362.14699999999999</v>
      </c>
      <c r="M550" s="64">
        <v>362.14699999999999</v>
      </c>
      <c r="N550" s="4">
        <v>362.14699999999999</v>
      </c>
      <c r="O550" s="64">
        <v>362.14699999999999</v>
      </c>
      <c r="P550" s="4">
        <v>0</v>
      </c>
      <c r="Q550" s="3" t="s">
        <v>26</v>
      </c>
      <c r="R550" s="3">
        <v>0</v>
      </c>
      <c r="S550" s="4">
        <v>0</v>
      </c>
      <c r="T550" s="4">
        <v>31</v>
      </c>
      <c r="U550" s="4">
        <v>59</v>
      </c>
      <c r="V550" s="64">
        <f>IF(ISERROR(VLOOKUP($S$550,'TAR FIN'!$A$1:$O$92,15,0)),0,VLOOKUP($S$550,'TAR FIN'!$A$1:$O$92,15,0))</f>
        <v>0</v>
      </c>
      <c r="W550" s="64">
        <f>IF(ISERROR(VLOOKUP($T$550,'TAR FIN'!$A$1:$O$92,15,0)),0,VLOOKUP($T$550,'TAR FIN'!$A$1:$O$92,15,0))*(1-0.04)</f>
        <v>84.220799999999997</v>
      </c>
      <c r="X550" s="64">
        <f>IF(ISERROR(VLOOKUP($U$550,'TAR FIN'!$A$1:$O$92,15,0)),0,VLOOKUP($U$550,'TAR FIN'!$A$1:$O$92,15,0))*(1-0.04)</f>
        <v>243.744</v>
      </c>
      <c r="Y550" s="64"/>
      <c r="Z550" s="64">
        <f ca="1">('TUSD BE'!$AM$12+'TUSD BF'!$AM$12+'TUSD CVA'!$AM$12)*1*(1-0.02)</f>
        <v>107.25312546797767</v>
      </c>
      <c r="AA550" s="64">
        <f>('TE BE'!$AB$6+'TE BF'!$AB$6+'TE CVA'!$AB$6)*1*(1-0.02)</f>
        <v>311.0397022624511</v>
      </c>
      <c r="AB550" s="4">
        <f>$K$550*$V$550</f>
        <v>0</v>
      </c>
      <c r="AC550" s="4">
        <f>$M$550*$W$550</f>
        <v>30500.3100576</v>
      </c>
      <c r="AD550" s="4">
        <f>$O$550*$X$550</f>
        <v>88271.158368000004</v>
      </c>
      <c r="AE550" s="4">
        <f>$K$550*$Y$550</f>
        <v>0</v>
      </c>
      <c r="AF550" s="4">
        <f ca="1">$M$550*$Z$550</f>
        <v>38841.397628851708</v>
      </c>
      <c r="AG550" s="4">
        <f>$O$550*$AA$550</f>
        <v>112642.09505523987</v>
      </c>
    </row>
    <row r="551" spans="1:33" ht="11.25" customHeight="1" x14ac:dyDescent="0.25">
      <c r="A551" s="3" t="s">
        <v>21</v>
      </c>
      <c r="B551" s="3" t="s">
        <v>39</v>
      </c>
      <c r="C551" s="3" t="s">
        <v>41</v>
      </c>
      <c r="D551" s="3" t="s">
        <v>44</v>
      </c>
      <c r="E551" s="3" t="s">
        <v>25</v>
      </c>
      <c r="F551" s="3" t="s">
        <v>25</v>
      </c>
      <c r="G551" s="3" t="s">
        <v>25</v>
      </c>
      <c r="H551" s="3" t="s">
        <v>35</v>
      </c>
      <c r="I551" s="6">
        <v>44531</v>
      </c>
      <c r="J551" s="4">
        <v>0</v>
      </c>
      <c r="K551" s="64">
        <v>0</v>
      </c>
      <c r="L551" s="4">
        <v>496.774</v>
      </c>
      <c r="M551" s="64">
        <v>496.774</v>
      </c>
      <c r="N551" s="4">
        <v>496.774</v>
      </c>
      <c r="O551" s="64">
        <v>496.774</v>
      </c>
      <c r="P551" s="4">
        <v>0</v>
      </c>
      <c r="Q551" s="3" t="s">
        <v>26</v>
      </c>
      <c r="R551" s="3">
        <v>0</v>
      </c>
      <c r="S551" s="4">
        <v>0</v>
      </c>
      <c r="T551" s="4">
        <v>31</v>
      </c>
      <c r="U551" s="4">
        <v>59</v>
      </c>
      <c r="V551" s="64">
        <f>IF(ISERROR(VLOOKUP($S$551,'TAR FIN'!$A$1:$O$92,15,0)),0,VLOOKUP($S$551,'TAR FIN'!$A$1:$O$92,15,0))</f>
        <v>0</v>
      </c>
      <c r="W551" s="64">
        <f>IF(ISERROR(VLOOKUP($T$551,'TAR FIN'!$A$1:$O$92,15,0)),0,VLOOKUP($T$551,'TAR FIN'!$A$1:$O$92,15,0))*(1-0.04)</f>
        <v>84.220799999999997</v>
      </c>
      <c r="X551" s="64">
        <f>IF(ISERROR(VLOOKUP($U$551,'TAR FIN'!$A$1:$O$92,15,0)),0,VLOOKUP($U$551,'TAR FIN'!$A$1:$O$92,15,0))*(1-0.04)</f>
        <v>243.744</v>
      </c>
      <c r="Y551" s="64"/>
      <c r="Z551" s="64">
        <f ca="1">('TUSD BE'!$AM$12+'TUSD BF'!$AM$12+'TUSD CVA'!$AM$12)*1*(1-0.02)</f>
        <v>107.25312546797767</v>
      </c>
      <c r="AA551" s="64">
        <f>('TE BE'!$AB$6+'TE BF'!$AB$6+'TE CVA'!$AB$6)*1*(1-0.02)</f>
        <v>311.0397022624511</v>
      </c>
      <c r="AB551" s="4">
        <f>$K$551*$V$551</f>
        <v>0</v>
      </c>
      <c r="AC551" s="4">
        <f>$M$551*$W$551</f>
        <v>41838.703699199999</v>
      </c>
      <c r="AD551" s="4">
        <f>$O$551*$X$551</f>
        <v>121085.681856</v>
      </c>
      <c r="AE551" s="4">
        <f>$K$551*$Y$551</f>
        <v>0</v>
      </c>
      <c r="AF551" s="4">
        <f ca="1">$M$551*$Z$551</f>
        <v>53280.56415122914</v>
      </c>
      <c r="AG551" s="4">
        <f>$O$551*$AA$551</f>
        <v>154516.43705172688</v>
      </c>
    </row>
    <row r="552" spans="1:33" ht="11.25" customHeight="1" x14ac:dyDescent="0.25">
      <c r="A552" s="3" t="s">
        <v>21</v>
      </c>
      <c r="B552" s="3" t="s">
        <v>39</v>
      </c>
      <c r="C552" s="3" t="s">
        <v>41</v>
      </c>
      <c r="D552" s="3" t="s">
        <v>44</v>
      </c>
      <c r="E552" s="3" t="s">
        <v>25</v>
      </c>
      <c r="F552" s="3" t="s">
        <v>25</v>
      </c>
      <c r="G552" s="3" t="s">
        <v>25</v>
      </c>
      <c r="H552" s="3" t="s">
        <v>35</v>
      </c>
      <c r="I552" s="6">
        <v>44562</v>
      </c>
      <c r="J552" s="4">
        <v>0</v>
      </c>
      <c r="K552" s="64">
        <v>0</v>
      </c>
      <c r="L552" s="4">
        <v>838.00699999999995</v>
      </c>
      <c r="M552" s="64">
        <v>838.00699999999995</v>
      </c>
      <c r="N552" s="4">
        <v>838.00699999999995</v>
      </c>
      <c r="O552" s="64">
        <v>838.00699999999995</v>
      </c>
      <c r="P552" s="4">
        <v>0</v>
      </c>
      <c r="Q552" s="3" t="s">
        <v>26</v>
      </c>
      <c r="R552" s="3">
        <v>0</v>
      </c>
      <c r="S552" s="4">
        <v>0</v>
      </c>
      <c r="T552" s="4">
        <v>31</v>
      </c>
      <c r="U552" s="4">
        <v>59</v>
      </c>
      <c r="V552" s="64">
        <f>IF(ISERROR(VLOOKUP($S$552,'TAR FIN'!$A$1:$O$92,15,0)),0,VLOOKUP($S$552,'TAR FIN'!$A$1:$O$92,15,0))</f>
        <v>0</v>
      </c>
      <c r="W552" s="64">
        <f>IF(ISERROR(VLOOKUP($T$552,'TAR FIN'!$A$1:$O$92,15,0)),0,VLOOKUP($T$552,'TAR FIN'!$A$1:$O$92,15,0))*(1-0.04)</f>
        <v>84.220799999999997</v>
      </c>
      <c r="X552" s="64">
        <f>IF(ISERROR(VLOOKUP($U$552,'TAR FIN'!$A$1:$O$92,15,0)),0,VLOOKUP($U$552,'TAR FIN'!$A$1:$O$92,15,0))*(1-0.04)</f>
        <v>243.744</v>
      </c>
      <c r="Y552" s="64"/>
      <c r="Z552" s="64">
        <f ca="1">('TUSD BE'!$AM$12+'TUSD BF'!$AM$12+'TUSD CVA'!$AM$12)*1*(1-0.02)</f>
        <v>107.25312546797767</v>
      </c>
      <c r="AA552" s="64">
        <f>('TE BE'!$AB$6+'TE BF'!$AB$6+'TE CVA'!$AB$6)*1*(1-0.02)</f>
        <v>311.0397022624511</v>
      </c>
      <c r="AB552" s="4">
        <f>$K$552*$V$552</f>
        <v>0</v>
      </c>
      <c r="AC552" s="4">
        <f>$M$552*$W$552</f>
        <v>70577.619945599989</v>
      </c>
      <c r="AD552" s="4">
        <f>$O$552*$X$552</f>
        <v>204259.178208</v>
      </c>
      <c r="AE552" s="4">
        <f>$K$552*$Y$552</f>
        <v>0</v>
      </c>
      <c r="AF552" s="4">
        <f ca="1">$M$552*$Z$552</f>
        <v>89878.869914043549</v>
      </c>
      <c r="AG552" s="4">
        <f>$O$552*$AA$552</f>
        <v>260653.44777384985</v>
      </c>
    </row>
    <row r="553" spans="1:33" ht="11.25" customHeight="1" x14ac:dyDescent="0.25">
      <c r="A553" s="3" t="s">
        <v>21</v>
      </c>
      <c r="B553" s="3" t="s">
        <v>39</v>
      </c>
      <c r="C553" s="3" t="s">
        <v>41</v>
      </c>
      <c r="D553" s="3" t="s">
        <v>44</v>
      </c>
      <c r="E553" s="3" t="s">
        <v>25</v>
      </c>
      <c r="F553" s="3" t="s">
        <v>25</v>
      </c>
      <c r="G553" s="3" t="s">
        <v>25</v>
      </c>
      <c r="H553" s="3" t="s">
        <v>35</v>
      </c>
      <c r="I553" s="6">
        <v>44593</v>
      </c>
      <c r="J553" s="4">
        <v>0</v>
      </c>
      <c r="K553" s="64">
        <v>0</v>
      </c>
      <c r="L553" s="4">
        <v>546.04499999999996</v>
      </c>
      <c r="M553" s="64">
        <v>546.04499999999996</v>
      </c>
      <c r="N553" s="4">
        <v>546.04499999999996</v>
      </c>
      <c r="O553" s="64">
        <v>546.04499999999996</v>
      </c>
      <c r="P553" s="4">
        <v>0</v>
      </c>
      <c r="Q553" s="3" t="s">
        <v>26</v>
      </c>
      <c r="R553" s="3">
        <v>0</v>
      </c>
      <c r="S553" s="4">
        <v>0</v>
      </c>
      <c r="T553" s="4">
        <v>31</v>
      </c>
      <c r="U553" s="4">
        <v>59</v>
      </c>
      <c r="V553" s="64">
        <f>IF(ISERROR(VLOOKUP($S$553,'TAR FIN'!$A$1:$O$92,15,0)),0,VLOOKUP($S$553,'TAR FIN'!$A$1:$O$92,15,0))</f>
        <v>0</v>
      </c>
      <c r="W553" s="64">
        <f>IF(ISERROR(VLOOKUP($T$553,'TAR FIN'!$A$1:$O$92,15,0)),0,VLOOKUP($T$553,'TAR FIN'!$A$1:$O$92,15,0))*(1-0.04)</f>
        <v>84.220799999999997</v>
      </c>
      <c r="X553" s="64">
        <f>IF(ISERROR(VLOOKUP($U$553,'TAR FIN'!$A$1:$O$92,15,0)),0,VLOOKUP($U$553,'TAR FIN'!$A$1:$O$92,15,0))*(1-0.04)</f>
        <v>243.744</v>
      </c>
      <c r="Y553" s="64"/>
      <c r="Z553" s="64">
        <f ca="1">('TUSD BE'!$AM$12+'TUSD BF'!$AM$12+'TUSD CVA'!$AM$12)*1*(1-0.02)</f>
        <v>107.25312546797767</v>
      </c>
      <c r="AA553" s="64">
        <f>('TE BE'!$AB$6+'TE BF'!$AB$6+'TE CVA'!$AB$6)*1*(1-0.02)</f>
        <v>311.0397022624511</v>
      </c>
      <c r="AB553" s="4">
        <f>$K$553*$V$553</f>
        <v>0</v>
      </c>
      <c r="AC553" s="4">
        <f>$M$553*$W$553</f>
        <v>45988.346735999992</v>
      </c>
      <c r="AD553" s="4">
        <f>$O$553*$X$553</f>
        <v>133095.19248</v>
      </c>
      <c r="AE553" s="4">
        <f>$K$553*$Y$553</f>
        <v>0</v>
      </c>
      <c r="AF553" s="4">
        <f ca="1">$M$553*$Z$553</f>
        <v>58565.032896161858</v>
      </c>
      <c r="AG553" s="4">
        <f>$O$553*$AA$553</f>
        <v>169841.67422190009</v>
      </c>
    </row>
    <row r="554" spans="1:33" ht="11.25" customHeight="1" x14ac:dyDescent="0.25">
      <c r="A554" s="3" t="s">
        <v>21</v>
      </c>
      <c r="B554" s="3" t="s">
        <v>39</v>
      </c>
      <c r="C554" s="3" t="s">
        <v>41</v>
      </c>
      <c r="D554" s="3" t="s">
        <v>44</v>
      </c>
      <c r="E554" s="3" t="s">
        <v>25</v>
      </c>
      <c r="F554" s="3" t="s">
        <v>25</v>
      </c>
      <c r="G554" s="3" t="s">
        <v>25</v>
      </c>
      <c r="H554" s="3" t="s">
        <v>35</v>
      </c>
      <c r="I554" s="6">
        <v>44621</v>
      </c>
      <c r="J554" s="4">
        <v>0</v>
      </c>
      <c r="K554" s="64">
        <v>0</v>
      </c>
      <c r="L554" s="4">
        <v>193.53800000000001</v>
      </c>
      <c r="M554" s="64">
        <v>193.53800000000001</v>
      </c>
      <c r="N554" s="4">
        <v>193.53800000000001</v>
      </c>
      <c r="O554" s="64">
        <v>193.53800000000001</v>
      </c>
      <c r="P554" s="4">
        <v>0</v>
      </c>
      <c r="Q554" s="3" t="s">
        <v>26</v>
      </c>
      <c r="R554" s="3">
        <v>0</v>
      </c>
      <c r="S554" s="4">
        <v>0</v>
      </c>
      <c r="T554" s="4">
        <v>31</v>
      </c>
      <c r="U554" s="4">
        <v>59</v>
      </c>
      <c r="V554" s="64">
        <f>IF(ISERROR(VLOOKUP($S$554,'TAR FIN'!$A$1:$O$92,15,0)),0,VLOOKUP($S$554,'TAR FIN'!$A$1:$O$92,15,0))</f>
        <v>0</v>
      </c>
      <c r="W554" s="64">
        <f>IF(ISERROR(VLOOKUP($T$554,'TAR FIN'!$A$1:$O$92,15,0)),0,VLOOKUP($T$554,'TAR FIN'!$A$1:$O$92,15,0))*(1-0.04)</f>
        <v>84.220799999999997</v>
      </c>
      <c r="X554" s="64">
        <f>IF(ISERROR(VLOOKUP($U$554,'TAR FIN'!$A$1:$O$92,15,0)),0,VLOOKUP($U$554,'TAR FIN'!$A$1:$O$92,15,0))*(1-0.04)</f>
        <v>243.744</v>
      </c>
      <c r="Y554" s="64"/>
      <c r="Z554" s="64">
        <f ca="1">('TUSD BE'!$AM$12+'TUSD BF'!$AM$12+'TUSD CVA'!$AM$12)*1*(1-0.02)</f>
        <v>107.25312546797767</v>
      </c>
      <c r="AA554" s="64">
        <f>('TE BE'!$AB$6+'TE BF'!$AB$6+'TE CVA'!$AB$6)*1*(1-0.02)</f>
        <v>311.0397022624511</v>
      </c>
      <c r="AB554" s="4">
        <f>$K$554*$V$554</f>
        <v>0</v>
      </c>
      <c r="AC554" s="4">
        <f>$M$554*$W$554</f>
        <v>16299.925190400001</v>
      </c>
      <c r="AD554" s="4">
        <f>$O$554*$X$554</f>
        <v>47173.726272</v>
      </c>
      <c r="AE554" s="4">
        <f>$K$554*$Y$554</f>
        <v>0</v>
      </c>
      <c r="AF554" s="4">
        <f ca="1">$M$554*$Z$554</f>
        <v>20757.555396821463</v>
      </c>
      <c r="AG554" s="4">
        <f>$O$554*$AA$554</f>
        <v>60198.001896470261</v>
      </c>
    </row>
    <row r="555" spans="1:33" ht="11.25" customHeight="1" x14ac:dyDescent="0.25">
      <c r="A555" s="3" t="s">
        <v>21</v>
      </c>
      <c r="B555" s="3" t="s">
        <v>39</v>
      </c>
      <c r="C555" s="3" t="s">
        <v>41</v>
      </c>
      <c r="D555" s="3" t="s">
        <v>44</v>
      </c>
      <c r="E555" s="3" t="s">
        <v>25</v>
      </c>
      <c r="F555" s="3" t="s">
        <v>25</v>
      </c>
      <c r="G555" s="3" t="s">
        <v>25</v>
      </c>
      <c r="H555" s="3" t="s">
        <v>35</v>
      </c>
      <c r="I555" s="6">
        <v>44652</v>
      </c>
      <c r="J555" s="4">
        <v>0</v>
      </c>
      <c r="K555" s="64">
        <v>0</v>
      </c>
      <c r="L555" s="4">
        <v>193.53800000000001</v>
      </c>
      <c r="M555" s="64">
        <v>193.53800000000001</v>
      </c>
      <c r="N555" s="4">
        <v>193.53800000000001</v>
      </c>
      <c r="O555" s="64">
        <v>193.53800000000001</v>
      </c>
      <c r="P555" s="4">
        <v>0</v>
      </c>
      <c r="Q555" s="3" t="s">
        <v>26</v>
      </c>
      <c r="R555" s="3">
        <v>0</v>
      </c>
      <c r="S555" s="4">
        <v>0</v>
      </c>
      <c r="T555" s="4">
        <v>31</v>
      </c>
      <c r="U555" s="4">
        <v>59</v>
      </c>
      <c r="V555" s="64">
        <f>IF(ISERROR(VLOOKUP($S$555,'TAR FIN'!$A$1:$O$92,15,0)),0,VLOOKUP($S$555,'TAR FIN'!$A$1:$O$92,15,0))</f>
        <v>0</v>
      </c>
      <c r="W555" s="64">
        <f>IF(ISERROR(VLOOKUP($T$555,'TAR FIN'!$A$1:$O$92,15,0)),0,VLOOKUP($T$555,'TAR FIN'!$A$1:$O$92,15,0))*(1-0.04)</f>
        <v>84.220799999999997</v>
      </c>
      <c r="X555" s="64">
        <f>IF(ISERROR(VLOOKUP($U$555,'TAR FIN'!$A$1:$O$92,15,0)),0,VLOOKUP($U$555,'TAR FIN'!$A$1:$O$92,15,0))*(1-0.04)</f>
        <v>243.744</v>
      </c>
      <c r="Y555" s="64"/>
      <c r="Z555" s="64">
        <f ca="1">('TUSD BE'!$AM$12+'TUSD BF'!$AM$12+'TUSD CVA'!$AM$12)*1*(1-0.02)</f>
        <v>107.25312546797767</v>
      </c>
      <c r="AA555" s="64">
        <f>('TE BE'!$AB$6+'TE BF'!$AB$6+'TE CVA'!$AB$6)*1*(1-0.02)</f>
        <v>311.0397022624511</v>
      </c>
      <c r="AB555" s="4">
        <f>$K$555*$V$555</f>
        <v>0</v>
      </c>
      <c r="AC555" s="4">
        <f>$M$555*$W$555</f>
        <v>16299.925190400001</v>
      </c>
      <c r="AD555" s="4">
        <f>$O$555*$X$555</f>
        <v>47173.726272</v>
      </c>
      <c r="AE555" s="4">
        <f>$K$555*$Y$555</f>
        <v>0</v>
      </c>
      <c r="AF555" s="4">
        <f ca="1">$M$555*$Z$555</f>
        <v>20757.555396821463</v>
      </c>
      <c r="AG555" s="4">
        <f>$O$555*$AA$555</f>
        <v>60198.001896470261</v>
      </c>
    </row>
    <row r="556" spans="1:33" ht="11.25" customHeight="1" x14ac:dyDescent="0.25">
      <c r="A556" s="3" t="s">
        <v>21</v>
      </c>
      <c r="B556" s="3" t="s">
        <v>39</v>
      </c>
      <c r="C556" s="3" t="s">
        <v>41</v>
      </c>
      <c r="D556" s="3" t="s">
        <v>44</v>
      </c>
      <c r="E556" s="3" t="s">
        <v>25</v>
      </c>
      <c r="F556" s="3" t="s">
        <v>25</v>
      </c>
      <c r="G556" s="3" t="s">
        <v>25</v>
      </c>
      <c r="H556" s="3" t="s">
        <v>35</v>
      </c>
      <c r="I556" s="6">
        <v>44682</v>
      </c>
      <c r="J556" s="4">
        <v>0</v>
      </c>
      <c r="K556" s="64">
        <v>0</v>
      </c>
      <c r="L556" s="4">
        <v>128.68899999999999</v>
      </c>
      <c r="M556" s="64">
        <v>128.68899999999999</v>
      </c>
      <c r="N556" s="4">
        <v>128.68899999999999</v>
      </c>
      <c r="O556" s="64">
        <v>128.68899999999999</v>
      </c>
      <c r="P556" s="4">
        <v>0</v>
      </c>
      <c r="Q556" s="3" t="s">
        <v>26</v>
      </c>
      <c r="R556" s="3">
        <v>0</v>
      </c>
      <c r="S556" s="4">
        <v>0</v>
      </c>
      <c r="T556" s="4">
        <v>31</v>
      </c>
      <c r="U556" s="4">
        <v>59</v>
      </c>
      <c r="V556" s="64">
        <f>IF(ISERROR(VLOOKUP($S$556,'TAR FIN'!$A$1:$O$92,15,0)),0,VLOOKUP($S$556,'TAR FIN'!$A$1:$O$92,15,0))</f>
        <v>0</v>
      </c>
      <c r="W556" s="64">
        <f>IF(ISERROR(VLOOKUP($T$556,'TAR FIN'!$A$1:$O$92,15,0)),0,VLOOKUP($T$556,'TAR FIN'!$A$1:$O$92,15,0))*(1-0.04)</f>
        <v>84.220799999999997</v>
      </c>
      <c r="X556" s="64">
        <f>IF(ISERROR(VLOOKUP($U$556,'TAR FIN'!$A$1:$O$92,15,0)),0,VLOOKUP($U$556,'TAR FIN'!$A$1:$O$92,15,0))*(1-0.04)</f>
        <v>243.744</v>
      </c>
      <c r="Y556" s="64"/>
      <c r="Z556" s="64">
        <f ca="1">('TUSD BE'!$AM$12+'TUSD BF'!$AM$12+'TUSD CVA'!$AM$12)*1*(1-0.02)</f>
        <v>107.25312546797767</v>
      </c>
      <c r="AA556" s="64">
        <f>('TE BE'!$AB$6+'TE BF'!$AB$6+'TE CVA'!$AB$6)*1*(1-0.02)</f>
        <v>311.0397022624511</v>
      </c>
      <c r="AB556" s="4">
        <f>$K$556*$V$556</f>
        <v>0</v>
      </c>
      <c r="AC556" s="4">
        <f>$M$556*$W$556</f>
        <v>10838.290531199998</v>
      </c>
      <c r="AD556" s="4">
        <f>$O$556*$X$556</f>
        <v>31367.171616</v>
      </c>
      <c r="AE556" s="4">
        <f>$K$556*$Y$556</f>
        <v>0</v>
      </c>
      <c r="AF556" s="4">
        <f ca="1">$M$556*$Z$556</f>
        <v>13802.297463348577</v>
      </c>
      <c r="AG556" s="4">
        <f>$O$556*$AA$556</f>
        <v>40027.388244452566</v>
      </c>
    </row>
    <row r="557" spans="1:33" ht="11.25" customHeight="1" x14ac:dyDescent="0.25">
      <c r="A557" s="3" t="s">
        <v>28</v>
      </c>
      <c r="B557" s="3" t="s">
        <v>39</v>
      </c>
      <c r="C557" s="3" t="s">
        <v>41</v>
      </c>
      <c r="D557" s="3" t="s">
        <v>44</v>
      </c>
      <c r="E557" s="3" t="s">
        <v>25</v>
      </c>
      <c r="F557" s="3" t="s">
        <v>25</v>
      </c>
      <c r="G557" s="3" t="s">
        <v>25</v>
      </c>
      <c r="H557" s="3" t="s">
        <v>35</v>
      </c>
      <c r="I557" s="6">
        <v>44682</v>
      </c>
      <c r="J557" s="4">
        <v>0</v>
      </c>
      <c r="K557" s="64">
        <v>0</v>
      </c>
      <c r="L557" s="4">
        <v>188.392</v>
      </c>
      <c r="M557" s="64">
        <v>188.392</v>
      </c>
      <c r="N557" s="4">
        <v>188.392</v>
      </c>
      <c r="O557" s="64">
        <v>188.392</v>
      </c>
      <c r="P557" s="4">
        <v>0</v>
      </c>
      <c r="Q557" s="3" t="s">
        <v>26</v>
      </c>
      <c r="R557" s="3">
        <v>0</v>
      </c>
      <c r="S557" s="4">
        <v>0</v>
      </c>
      <c r="T557" s="4">
        <v>31</v>
      </c>
      <c r="U557" s="4">
        <v>59</v>
      </c>
      <c r="V557" s="64">
        <f>IF(ISERROR(VLOOKUP($S$557,'TAR FIN'!$A$1:$O$92,15,0)),0,VLOOKUP($S$557,'TAR FIN'!$A$1:$O$92,15,0))</f>
        <v>0</v>
      </c>
      <c r="W557" s="64">
        <f>IF(ISERROR(VLOOKUP($T$557,'TAR FIN'!$A$1:$O$92,15,0)),0,VLOOKUP($T$557,'TAR FIN'!$A$1:$O$92,15,0))*(1-0.04)</f>
        <v>84.220799999999997</v>
      </c>
      <c r="X557" s="64">
        <f>IF(ISERROR(VLOOKUP($U$557,'TAR FIN'!$A$1:$O$92,15,0)),0,VLOOKUP($U$557,'TAR FIN'!$A$1:$O$92,15,0))*(1-0.04)</f>
        <v>243.744</v>
      </c>
      <c r="Y557" s="64"/>
      <c r="Z557" s="64">
        <f ca="1">('TUSD BE'!$AM$12+'TUSD BF'!$AM$12+'TUSD CVA'!$AM$12)*1*(1-0.02)</f>
        <v>107.25312546797767</v>
      </c>
      <c r="AA557" s="64">
        <f>('TE BE'!$AB$6+'TE BF'!$AB$6+'TE CVA'!$AB$6)*1*(1-0.02)</f>
        <v>311.0397022624511</v>
      </c>
      <c r="AB557" s="4">
        <f>$K$557*$V$557</f>
        <v>0</v>
      </c>
      <c r="AC557" s="4">
        <f>$M$557*$W$557</f>
        <v>15866.524953599999</v>
      </c>
      <c r="AD557" s="4">
        <f>$O$557*$X$557</f>
        <v>45919.419647999996</v>
      </c>
      <c r="AE557" s="4">
        <f>$K$557*$Y$557</f>
        <v>0</v>
      </c>
      <c r="AF557" s="4">
        <f ca="1">$M$557*$Z$557</f>
        <v>20205.630813163247</v>
      </c>
      <c r="AG557" s="4">
        <f>$O$557*$AA$557</f>
        <v>58597.391588627688</v>
      </c>
    </row>
    <row r="558" spans="1:33" ht="11.25" customHeight="1" x14ac:dyDescent="0.25">
      <c r="A558" s="3" t="s">
        <v>21</v>
      </c>
      <c r="B558" s="3" t="s">
        <v>39</v>
      </c>
      <c r="C558" s="3" t="s">
        <v>41</v>
      </c>
      <c r="D558" s="3" t="s">
        <v>44</v>
      </c>
      <c r="E558" s="3" t="s">
        <v>25</v>
      </c>
      <c r="F558" s="3" t="s">
        <v>25</v>
      </c>
      <c r="G558" s="3" t="s">
        <v>25</v>
      </c>
      <c r="H558" s="3" t="s">
        <v>35</v>
      </c>
      <c r="I558" s="6">
        <v>44713</v>
      </c>
      <c r="J558" s="4">
        <v>0</v>
      </c>
      <c r="K558" s="64">
        <v>0</v>
      </c>
      <c r="L558" s="4">
        <v>116.25</v>
      </c>
      <c r="M558" s="64">
        <v>116.25</v>
      </c>
      <c r="N558" s="4">
        <v>116.25</v>
      </c>
      <c r="O558" s="64">
        <v>116.25</v>
      </c>
      <c r="P558" s="4">
        <v>0</v>
      </c>
      <c r="Q558" s="3" t="s">
        <v>26</v>
      </c>
      <c r="R558" s="3">
        <v>0</v>
      </c>
      <c r="S558" s="4">
        <v>0</v>
      </c>
      <c r="T558" s="4">
        <v>31</v>
      </c>
      <c r="U558" s="4">
        <v>59</v>
      </c>
      <c r="V558" s="64">
        <f>IF(ISERROR(VLOOKUP($S$558,'TAR FIN'!$A$1:$O$92,15,0)),0,VLOOKUP($S$558,'TAR FIN'!$A$1:$O$92,15,0))</f>
        <v>0</v>
      </c>
      <c r="W558" s="64">
        <f>IF(ISERROR(VLOOKUP($T$558,'TAR FIN'!$A$1:$O$92,15,0)),0,VLOOKUP($T$558,'TAR FIN'!$A$1:$O$92,15,0))*(1-0.04)</f>
        <v>84.220799999999997</v>
      </c>
      <c r="X558" s="64">
        <f>IF(ISERROR(VLOOKUP($U$558,'TAR FIN'!$A$1:$O$92,15,0)),0,VLOOKUP($U$558,'TAR FIN'!$A$1:$O$92,15,0))*(1-0.04)</f>
        <v>243.744</v>
      </c>
      <c r="Y558" s="64"/>
      <c r="Z558" s="64">
        <f ca="1">('TUSD BE'!$AM$12+'TUSD BF'!$AM$12+'TUSD CVA'!$AM$12)*1*(1-0.02)</f>
        <v>107.25312546797767</v>
      </c>
      <c r="AA558" s="64">
        <f>('TE BE'!$AB$6+'TE BF'!$AB$6+'TE CVA'!$AB$6)*1*(1-0.02)</f>
        <v>311.0397022624511</v>
      </c>
      <c r="AB558" s="4">
        <f>$K$558*$V$558</f>
        <v>0</v>
      </c>
      <c r="AC558" s="4">
        <f>$M$558*$W$558</f>
        <v>9790.6679999999997</v>
      </c>
      <c r="AD558" s="4">
        <f>$O$558*$X$558</f>
        <v>28335.24</v>
      </c>
      <c r="AE558" s="4">
        <f>$K$558*$Y$558</f>
        <v>0</v>
      </c>
      <c r="AF558" s="4">
        <f ca="1">$M$558*$Z$558</f>
        <v>12468.175835652404</v>
      </c>
      <c r="AG558" s="4">
        <f>$O$558*$AA$558</f>
        <v>36158.365388009937</v>
      </c>
    </row>
    <row r="559" spans="1:33" ht="11.25" customHeight="1" x14ac:dyDescent="0.25">
      <c r="A559" s="3" t="s">
        <v>28</v>
      </c>
      <c r="B559" s="3" t="s">
        <v>39</v>
      </c>
      <c r="C559" s="3" t="s">
        <v>41</v>
      </c>
      <c r="D559" s="3" t="s">
        <v>44</v>
      </c>
      <c r="E559" s="3" t="s">
        <v>25</v>
      </c>
      <c r="F559" s="3" t="s">
        <v>25</v>
      </c>
      <c r="G559" s="3" t="s">
        <v>25</v>
      </c>
      <c r="H559" s="3" t="s">
        <v>35</v>
      </c>
      <c r="I559" s="6">
        <v>44713</v>
      </c>
      <c r="J559" s="4">
        <v>0</v>
      </c>
      <c r="K559" s="64">
        <v>0</v>
      </c>
      <c r="L559" s="4">
        <v>45.506999999999998</v>
      </c>
      <c r="M559" s="64">
        <v>45.506999999999998</v>
      </c>
      <c r="N559" s="4">
        <v>45.506999999999998</v>
      </c>
      <c r="O559" s="64">
        <v>45.506999999999998</v>
      </c>
      <c r="P559" s="4">
        <v>0</v>
      </c>
      <c r="Q559" s="3" t="s">
        <v>26</v>
      </c>
      <c r="R559" s="3">
        <v>0</v>
      </c>
      <c r="S559" s="4">
        <v>0</v>
      </c>
      <c r="T559" s="4">
        <v>31</v>
      </c>
      <c r="U559" s="4">
        <v>59</v>
      </c>
      <c r="V559" s="64">
        <f>IF(ISERROR(VLOOKUP($S$559,'TAR FIN'!$A$1:$O$92,15,0)),0,VLOOKUP($S$559,'TAR FIN'!$A$1:$O$92,15,0))</f>
        <v>0</v>
      </c>
      <c r="W559" s="64">
        <f>IF(ISERROR(VLOOKUP($T$559,'TAR FIN'!$A$1:$O$92,15,0)),0,VLOOKUP($T$559,'TAR FIN'!$A$1:$O$92,15,0))*(1-0.04)</f>
        <v>84.220799999999997</v>
      </c>
      <c r="X559" s="64">
        <f>IF(ISERROR(VLOOKUP($U$559,'TAR FIN'!$A$1:$O$92,15,0)),0,VLOOKUP($U$559,'TAR FIN'!$A$1:$O$92,15,0))*(1-0.04)</f>
        <v>243.744</v>
      </c>
      <c r="Y559" s="64"/>
      <c r="Z559" s="64">
        <f ca="1">('TUSD BE'!$AM$12+'TUSD BF'!$AM$12+'TUSD CVA'!$AM$12)*1*(1-0.02)</f>
        <v>107.25312546797767</v>
      </c>
      <c r="AA559" s="64">
        <f>('TE BE'!$AB$6+'TE BF'!$AB$6+'TE CVA'!$AB$6)*1*(1-0.02)</f>
        <v>311.0397022624511</v>
      </c>
      <c r="AB559" s="4">
        <f>$K$559*$V$559</f>
        <v>0</v>
      </c>
      <c r="AC559" s="4">
        <f>$M$559*$W$559</f>
        <v>3832.6359455999996</v>
      </c>
      <c r="AD559" s="4">
        <f>$O$559*$X$559</f>
        <v>11092.058208</v>
      </c>
      <c r="AE559" s="4">
        <f>$K$559*$Y$559</f>
        <v>0</v>
      </c>
      <c r="AF559" s="4">
        <f ca="1">$M$559*$Z$559</f>
        <v>4880.7679806712595</v>
      </c>
      <c r="AG559" s="4">
        <f>$O$559*$AA$559</f>
        <v>14154.483730857362</v>
      </c>
    </row>
    <row r="560" spans="1:33" ht="11.25" customHeight="1" x14ac:dyDescent="0.25">
      <c r="A560" s="3" t="s">
        <v>21</v>
      </c>
      <c r="B560" s="3" t="s">
        <v>39</v>
      </c>
      <c r="C560" s="3" t="s">
        <v>41</v>
      </c>
      <c r="D560" s="3" t="s">
        <v>44</v>
      </c>
      <c r="E560" s="3" t="s">
        <v>25</v>
      </c>
      <c r="F560" s="3" t="s">
        <v>25</v>
      </c>
      <c r="G560" s="3" t="s">
        <v>25</v>
      </c>
      <c r="H560" s="3" t="s">
        <v>35</v>
      </c>
      <c r="I560" s="6">
        <v>44743</v>
      </c>
      <c r="J560" s="4">
        <v>0</v>
      </c>
      <c r="K560" s="64">
        <v>0</v>
      </c>
      <c r="L560" s="4">
        <v>141.434</v>
      </c>
      <c r="M560" s="64">
        <v>141.434</v>
      </c>
      <c r="N560" s="4">
        <v>141.434</v>
      </c>
      <c r="O560" s="64">
        <v>141.434</v>
      </c>
      <c r="P560" s="4">
        <v>0</v>
      </c>
      <c r="Q560" s="3" t="s">
        <v>26</v>
      </c>
      <c r="R560" s="3">
        <v>0</v>
      </c>
      <c r="S560" s="4">
        <v>0</v>
      </c>
      <c r="T560" s="4">
        <v>31</v>
      </c>
      <c r="U560" s="4">
        <v>59</v>
      </c>
      <c r="V560" s="64">
        <f>IF(ISERROR(VLOOKUP($S$560,'TAR FIN'!$A$1:$O$92,15,0)),0,VLOOKUP($S$560,'TAR FIN'!$A$1:$O$92,15,0))</f>
        <v>0</v>
      </c>
      <c r="W560" s="64">
        <f>IF(ISERROR(VLOOKUP($T$560,'TAR FIN'!$A$1:$O$92,15,0)),0,VLOOKUP($T$560,'TAR FIN'!$A$1:$O$92,15,0))*(1-0.04)</f>
        <v>84.220799999999997</v>
      </c>
      <c r="X560" s="64">
        <f>IF(ISERROR(VLOOKUP($U$560,'TAR FIN'!$A$1:$O$92,15,0)),0,VLOOKUP($U$560,'TAR FIN'!$A$1:$O$92,15,0))*(1-0.04)</f>
        <v>243.744</v>
      </c>
      <c r="Y560" s="64"/>
      <c r="Z560" s="64">
        <f ca="1">('TUSD BE'!$AM$12+'TUSD BF'!$AM$12+'TUSD CVA'!$AM$12)*1*(1-0.02)</f>
        <v>107.25312546797767</v>
      </c>
      <c r="AA560" s="64">
        <f>('TE BE'!$AB$6+'TE BF'!$AB$6+'TE CVA'!$AB$6)*1*(1-0.02)</f>
        <v>311.0397022624511</v>
      </c>
      <c r="AB560" s="4">
        <f>$K$560*$V$560</f>
        <v>0</v>
      </c>
      <c r="AC560" s="4">
        <f>$M$560*$W$560</f>
        <v>11911.6846272</v>
      </c>
      <c r="AD560" s="4">
        <f>$O$560*$X$560</f>
        <v>34473.688896</v>
      </c>
      <c r="AE560" s="4">
        <f>$K$560*$Y$560</f>
        <v>0</v>
      </c>
      <c r="AF560" s="4">
        <f ca="1">$M$560*$Z$560</f>
        <v>15169.238547437953</v>
      </c>
      <c r="AG560" s="4">
        <f>$O$560*$AA$560</f>
        <v>43991.58924978751</v>
      </c>
    </row>
    <row r="561" spans="1:33" ht="11.25" customHeight="1" x14ac:dyDescent="0.25">
      <c r="A561" s="3" t="s">
        <v>28</v>
      </c>
      <c r="B561" s="3" t="s">
        <v>39</v>
      </c>
      <c r="C561" s="3" t="s">
        <v>41</v>
      </c>
      <c r="D561" s="3" t="s">
        <v>44</v>
      </c>
      <c r="E561" s="3" t="s">
        <v>25</v>
      </c>
      <c r="F561" s="3" t="s">
        <v>25</v>
      </c>
      <c r="G561" s="3" t="s">
        <v>25</v>
      </c>
      <c r="H561" s="3" t="s">
        <v>35</v>
      </c>
      <c r="I561" s="6">
        <v>44743</v>
      </c>
      <c r="J561" s="4">
        <v>0</v>
      </c>
      <c r="K561" s="64">
        <v>0</v>
      </c>
      <c r="L561" s="4">
        <v>48.308</v>
      </c>
      <c r="M561" s="64">
        <v>48.308</v>
      </c>
      <c r="N561" s="4">
        <v>48.308</v>
      </c>
      <c r="O561" s="64">
        <v>48.308</v>
      </c>
      <c r="P561" s="4">
        <v>0</v>
      </c>
      <c r="Q561" s="3" t="s">
        <v>26</v>
      </c>
      <c r="R561" s="3">
        <v>0</v>
      </c>
      <c r="S561" s="4">
        <v>0</v>
      </c>
      <c r="T561" s="4">
        <v>31</v>
      </c>
      <c r="U561" s="4">
        <v>59</v>
      </c>
      <c r="V561" s="64">
        <f>IF(ISERROR(VLOOKUP($S$561,'TAR FIN'!$A$1:$O$92,15,0)),0,VLOOKUP($S$561,'TAR FIN'!$A$1:$O$92,15,0))</f>
        <v>0</v>
      </c>
      <c r="W561" s="64">
        <f>IF(ISERROR(VLOOKUP($T$561,'TAR FIN'!$A$1:$O$92,15,0)),0,VLOOKUP($T$561,'TAR FIN'!$A$1:$O$92,15,0))*(1-0.04)</f>
        <v>84.220799999999997</v>
      </c>
      <c r="X561" s="64">
        <f>IF(ISERROR(VLOOKUP($U$561,'TAR FIN'!$A$1:$O$92,15,0)),0,VLOOKUP($U$561,'TAR FIN'!$A$1:$O$92,15,0))*(1-0.04)</f>
        <v>243.744</v>
      </c>
      <c r="Y561" s="64"/>
      <c r="Z561" s="64">
        <f ca="1">('TUSD BE'!$AM$12+'TUSD BF'!$AM$12+'TUSD CVA'!$AM$12)*1*(1-0.02)</f>
        <v>107.25312546797767</v>
      </c>
      <c r="AA561" s="64">
        <f>('TE BE'!$AB$6+'TE BF'!$AB$6+'TE CVA'!$AB$6)*1*(1-0.02)</f>
        <v>311.0397022624511</v>
      </c>
      <c r="AB561" s="4">
        <f>$K$561*$V$561</f>
        <v>0</v>
      </c>
      <c r="AC561" s="4">
        <f>$M$561*$W$561</f>
        <v>4068.5384064</v>
      </c>
      <c r="AD561" s="4">
        <f>$O$561*$X$561</f>
        <v>11774.785152</v>
      </c>
      <c r="AE561" s="4">
        <f>$K$561*$Y$561</f>
        <v>0</v>
      </c>
      <c r="AF561" s="4">
        <f ca="1">$M$561*$Z$561</f>
        <v>5181.1839851070654</v>
      </c>
      <c r="AG561" s="4">
        <f>$O$561*$AA$561</f>
        <v>15025.705936894488</v>
      </c>
    </row>
    <row r="562" spans="1:33" ht="11.25" customHeight="1" x14ac:dyDescent="0.25">
      <c r="A562" s="3" t="s">
        <v>21</v>
      </c>
      <c r="B562" s="3" t="s">
        <v>39</v>
      </c>
      <c r="C562" s="3" t="s">
        <v>41</v>
      </c>
      <c r="D562" s="3" t="s">
        <v>44</v>
      </c>
      <c r="E562" s="3" t="s">
        <v>25</v>
      </c>
      <c r="F562" s="3" t="s">
        <v>25</v>
      </c>
      <c r="G562" s="3" t="s">
        <v>25</v>
      </c>
      <c r="H562" s="3" t="s">
        <v>35</v>
      </c>
      <c r="I562" s="6">
        <v>44774</v>
      </c>
      <c r="J562" s="4">
        <v>0</v>
      </c>
      <c r="K562" s="64">
        <v>0</v>
      </c>
      <c r="L562" s="4">
        <v>138.553</v>
      </c>
      <c r="M562" s="64">
        <v>138.553</v>
      </c>
      <c r="N562" s="4">
        <v>138.553</v>
      </c>
      <c r="O562" s="64">
        <v>138.553</v>
      </c>
      <c r="P562" s="4">
        <v>0</v>
      </c>
      <c r="Q562" s="3" t="s">
        <v>26</v>
      </c>
      <c r="R562" s="3">
        <v>0</v>
      </c>
      <c r="S562" s="4">
        <v>0</v>
      </c>
      <c r="T562" s="4">
        <v>31</v>
      </c>
      <c r="U562" s="4">
        <v>59</v>
      </c>
      <c r="V562" s="64">
        <f>IF(ISERROR(VLOOKUP($S$562,'TAR FIN'!$A$1:$O$92,15,0)),0,VLOOKUP($S$562,'TAR FIN'!$A$1:$O$92,15,0))</f>
        <v>0</v>
      </c>
      <c r="W562" s="64">
        <f>IF(ISERROR(VLOOKUP($T$562,'TAR FIN'!$A$1:$O$92,15,0)),0,VLOOKUP($T$562,'TAR FIN'!$A$1:$O$92,15,0))*(1-0.04)</f>
        <v>84.220799999999997</v>
      </c>
      <c r="X562" s="64">
        <f>IF(ISERROR(VLOOKUP($U$562,'TAR FIN'!$A$1:$O$92,15,0)),0,VLOOKUP($U$562,'TAR FIN'!$A$1:$O$92,15,0))*(1-0.04)</f>
        <v>243.744</v>
      </c>
      <c r="Y562" s="64"/>
      <c r="Z562" s="64">
        <f ca="1">('TUSD BE'!$AM$12+'TUSD BF'!$AM$12+'TUSD CVA'!$AM$12)*1*(1-0.02)</f>
        <v>107.25312546797767</v>
      </c>
      <c r="AA562" s="64">
        <f>('TE BE'!$AB$6+'TE BF'!$AB$6+'TE CVA'!$AB$6)*1*(1-0.02)</f>
        <v>311.0397022624511</v>
      </c>
      <c r="AB562" s="4">
        <f>$K$562*$V$562</f>
        <v>0</v>
      </c>
      <c r="AC562" s="4">
        <f>$M$562*$W$562</f>
        <v>11669.0445024</v>
      </c>
      <c r="AD562" s="4">
        <f>$O$562*$X$562</f>
        <v>33771.462432</v>
      </c>
      <c r="AE562" s="4">
        <f>$K$562*$Y$562</f>
        <v>0</v>
      </c>
      <c r="AF562" s="4">
        <f ca="1">$M$562*$Z$562</f>
        <v>14860.242292964709</v>
      </c>
      <c r="AG562" s="4">
        <f>$O$562*$AA$562</f>
        <v>43095.48386756939</v>
      </c>
    </row>
    <row r="563" spans="1:33" ht="11.25" customHeight="1" x14ac:dyDescent="0.25">
      <c r="A563" s="3" t="s">
        <v>28</v>
      </c>
      <c r="B563" s="3" t="s">
        <v>39</v>
      </c>
      <c r="C563" s="3" t="s">
        <v>41</v>
      </c>
      <c r="D563" s="3" t="s">
        <v>44</v>
      </c>
      <c r="E563" s="3" t="s">
        <v>25</v>
      </c>
      <c r="F563" s="3" t="s">
        <v>25</v>
      </c>
      <c r="G563" s="3" t="s">
        <v>25</v>
      </c>
      <c r="H563" s="3" t="s">
        <v>35</v>
      </c>
      <c r="I563" s="6">
        <v>44774</v>
      </c>
      <c r="J563" s="4">
        <v>0</v>
      </c>
      <c r="K563" s="64">
        <v>0</v>
      </c>
      <c r="L563" s="4">
        <v>49.478000000000002</v>
      </c>
      <c r="M563" s="64">
        <v>49.478000000000002</v>
      </c>
      <c r="N563" s="4">
        <v>49.478000000000002</v>
      </c>
      <c r="O563" s="64">
        <v>49.478000000000002</v>
      </c>
      <c r="P563" s="4">
        <v>0</v>
      </c>
      <c r="Q563" s="3" t="s">
        <v>26</v>
      </c>
      <c r="R563" s="3">
        <v>0</v>
      </c>
      <c r="S563" s="4">
        <v>0</v>
      </c>
      <c r="T563" s="4">
        <v>31</v>
      </c>
      <c r="U563" s="4">
        <v>59</v>
      </c>
      <c r="V563" s="64">
        <f>IF(ISERROR(VLOOKUP($S$563,'TAR FIN'!$A$1:$O$92,15,0)),0,VLOOKUP($S$563,'TAR FIN'!$A$1:$O$92,15,0))</f>
        <v>0</v>
      </c>
      <c r="W563" s="64">
        <f>IF(ISERROR(VLOOKUP($T$563,'TAR FIN'!$A$1:$O$92,15,0)),0,VLOOKUP($T$563,'TAR FIN'!$A$1:$O$92,15,0))*(1-0.04)</f>
        <v>84.220799999999997</v>
      </c>
      <c r="X563" s="64">
        <f>IF(ISERROR(VLOOKUP($U$563,'TAR FIN'!$A$1:$O$92,15,0)),0,VLOOKUP($U$563,'TAR FIN'!$A$1:$O$92,15,0))*(1-0.04)</f>
        <v>243.744</v>
      </c>
      <c r="Y563" s="64"/>
      <c r="Z563" s="64">
        <f ca="1">('TUSD BE'!$AM$12+'TUSD BF'!$AM$12+'TUSD CVA'!$AM$12)*1*(1-0.02)</f>
        <v>107.25312546797767</v>
      </c>
      <c r="AA563" s="64">
        <f>('TE BE'!$AB$6+'TE BF'!$AB$6+'TE CVA'!$AB$6)*1*(1-0.02)</f>
        <v>311.0397022624511</v>
      </c>
      <c r="AB563" s="4">
        <f>$K$563*$V$563</f>
        <v>0</v>
      </c>
      <c r="AC563" s="4">
        <f>$M$563*$W$563</f>
        <v>4167.0767423999996</v>
      </c>
      <c r="AD563" s="4">
        <f>$O$563*$X$563</f>
        <v>12059.965631999999</v>
      </c>
      <c r="AE563" s="4">
        <f>$K$563*$Y$563</f>
        <v>0</v>
      </c>
      <c r="AF563" s="4">
        <f ca="1">$M$563*$Z$563</f>
        <v>5306.6701419045994</v>
      </c>
      <c r="AG563" s="4">
        <f>$O$563*$AA$563</f>
        <v>15389.622388541557</v>
      </c>
    </row>
    <row r="564" spans="1:33" ht="11.25" customHeight="1" x14ac:dyDescent="0.25">
      <c r="A564" s="3" t="s">
        <v>21</v>
      </c>
      <c r="B564" s="3" t="s">
        <v>39</v>
      </c>
      <c r="C564" s="3" t="s">
        <v>41</v>
      </c>
      <c r="D564" s="3" t="s">
        <v>44</v>
      </c>
      <c r="E564" s="3" t="s">
        <v>25</v>
      </c>
      <c r="F564" s="3" t="s">
        <v>25</v>
      </c>
      <c r="G564" s="3" t="s">
        <v>25</v>
      </c>
      <c r="H564" s="3" t="s">
        <v>35</v>
      </c>
      <c r="I564" s="6">
        <v>44805</v>
      </c>
      <c r="J564" s="4">
        <v>0</v>
      </c>
      <c r="K564" s="64">
        <v>0</v>
      </c>
      <c r="L564" s="4">
        <v>147.29400000000001</v>
      </c>
      <c r="M564" s="64">
        <v>147.29400000000001</v>
      </c>
      <c r="N564" s="4">
        <v>147.29400000000001</v>
      </c>
      <c r="O564" s="64">
        <v>147.29400000000001</v>
      </c>
      <c r="P564" s="4">
        <v>0</v>
      </c>
      <c r="Q564" s="3" t="s">
        <v>26</v>
      </c>
      <c r="R564" s="3">
        <v>0</v>
      </c>
      <c r="S564" s="4">
        <v>0</v>
      </c>
      <c r="T564" s="4">
        <v>31</v>
      </c>
      <c r="U564" s="4">
        <v>59</v>
      </c>
      <c r="V564" s="64">
        <f>IF(ISERROR(VLOOKUP($S$564,'TAR FIN'!$A$1:$O$92,15,0)),0,VLOOKUP($S$564,'TAR FIN'!$A$1:$O$92,15,0))</f>
        <v>0</v>
      </c>
      <c r="W564" s="64">
        <f>IF(ISERROR(VLOOKUP($T$564,'TAR FIN'!$A$1:$O$92,15,0)),0,VLOOKUP($T$564,'TAR FIN'!$A$1:$O$92,15,0))*(1-0.04)</f>
        <v>84.220799999999997</v>
      </c>
      <c r="X564" s="64">
        <f>IF(ISERROR(VLOOKUP($U$564,'TAR FIN'!$A$1:$O$92,15,0)),0,VLOOKUP($U$564,'TAR FIN'!$A$1:$O$92,15,0))*(1-0.04)</f>
        <v>243.744</v>
      </c>
      <c r="Y564" s="64"/>
      <c r="Z564" s="64">
        <f ca="1">('TUSD BE'!$AM$12+'TUSD BF'!$AM$12+'TUSD CVA'!$AM$12)*1*(1-0.02)</f>
        <v>107.25312546797767</v>
      </c>
      <c r="AA564" s="64">
        <f>('TE BE'!$AB$6+'TE BF'!$AB$6+'TE CVA'!$AB$6)*1*(1-0.02)</f>
        <v>311.0397022624511</v>
      </c>
      <c r="AB564" s="4">
        <f>$K$564*$V$564</f>
        <v>0</v>
      </c>
      <c r="AC564" s="4">
        <f>$M$564*$W$564</f>
        <v>12405.2185152</v>
      </c>
      <c r="AD564" s="4">
        <f>$O$564*$X$564</f>
        <v>35902.028736</v>
      </c>
      <c r="AE564" s="4">
        <f>$K$564*$Y$564</f>
        <v>0</v>
      </c>
      <c r="AF564" s="4">
        <f ca="1">$M$564*$Z$564</f>
        <v>15797.741862680305</v>
      </c>
      <c r="AG564" s="4">
        <f>$O$564*$AA$564</f>
        <v>45814.281905045478</v>
      </c>
    </row>
    <row r="565" spans="1:33" ht="11.25" customHeight="1" x14ac:dyDescent="0.25">
      <c r="A565" s="3" t="s">
        <v>28</v>
      </c>
      <c r="B565" s="3" t="s">
        <v>39</v>
      </c>
      <c r="C565" s="3" t="s">
        <v>41</v>
      </c>
      <c r="D565" s="3" t="s">
        <v>44</v>
      </c>
      <c r="E565" s="3" t="s">
        <v>25</v>
      </c>
      <c r="F565" s="3" t="s">
        <v>25</v>
      </c>
      <c r="G565" s="3" t="s">
        <v>25</v>
      </c>
      <c r="H565" s="3" t="s">
        <v>35</v>
      </c>
      <c r="I565" s="6">
        <v>44805</v>
      </c>
      <c r="J565" s="4">
        <v>0</v>
      </c>
      <c r="K565" s="64">
        <v>0</v>
      </c>
      <c r="L565" s="4">
        <v>41.61</v>
      </c>
      <c r="M565" s="64">
        <v>41.61</v>
      </c>
      <c r="N565" s="4">
        <v>41.61</v>
      </c>
      <c r="O565" s="64">
        <v>41.61</v>
      </c>
      <c r="P565" s="4">
        <v>0</v>
      </c>
      <c r="Q565" s="3" t="s">
        <v>26</v>
      </c>
      <c r="R565" s="3">
        <v>0</v>
      </c>
      <c r="S565" s="4">
        <v>0</v>
      </c>
      <c r="T565" s="4">
        <v>31</v>
      </c>
      <c r="U565" s="4">
        <v>59</v>
      </c>
      <c r="V565" s="64">
        <f>IF(ISERROR(VLOOKUP($S$565,'TAR FIN'!$A$1:$O$92,15,0)),0,VLOOKUP($S$565,'TAR FIN'!$A$1:$O$92,15,0))</f>
        <v>0</v>
      </c>
      <c r="W565" s="64">
        <f>IF(ISERROR(VLOOKUP($T$565,'TAR FIN'!$A$1:$O$92,15,0)),0,VLOOKUP($T$565,'TAR FIN'!$A$1:$O$92,15,0))*(1-0.04)</f>
        <v>84.220799999999997</v>
      </c>
      <c r="X565" s="64">
        <f>IF(ISERROR(VLOOKUP($U$565,'TAR FIN'!$A$1:$O$92,15,0)),0,VLOOKUP($U$565,'TAR FIN'!$A$1:$O$92,15,0))*(1-0.04)</f>
        <v>243.744</v>
      </c>
      <c r="Y565" s="64"/>
      <c r="Z565" s="64">
        <f ca="1">('TUSD BE'!$AM$12+'TUSD BF'!$AM$12+'TUSD CVA'!$AM$12)*1*(1-0.02)</f>
        <v>107.25312546797767</v>
      </c>
      <c r="AA565" s="64">
        <f>('TE BE'!$AB$6+'TE BF'!$AB$6+'TE CVA'!$AB$6)*1*(1-0.02)</f>
        <v>311.0397022624511</v>
      </c>
      <c r="AB565" s="4">
        <f>$K$565*$V$565</f>
        <v>0</v>
      </c>
      <c r="AC565" s="4">
        <f>$M$565*$W$565</f>
        <v>3504.4274879999998</v>
      </c>
      <c r="AD565" s="4">
        <f>$O$565*$X$565</f>
        <v>10142.187840000001</v>
      </c>
      <c r="AE565" s="4">
        <f>$K$565*$Y$565</f>
        <v>0</v>
      </c>
      <c r="AF565" s="4">
        <f ca="1">$M$565*$Z$565</f>
        <v>4462.8025507225511</v>
      </c>
      <c r="AG565" s="4">
        <f>$O$565*$AA$565</f>
        <v>12942.362011140591</v>
      </c>
    </row>
    <row r="566" spans="1:33" ht="11.25" customHeight="1" x14ac:dyDescent="0.25">
      <c r="A566" s="3" t="s">
        <v>55</v>
      </c>
      <c r="B566" s="3" t="s">
        <v>39</v>
      </c>
      <c r="C566" s="3" t="s">
        <v>41</v>
      </c>
      <c r="D566" s="3" t="s">
        <v>44</v>
      </c>
      <c r="E566" s="3" t="s">
        <v>25</v>
      </c>
      <c r="F566" s="3" t="s">
        <v>25</v>
      </c>
      <c r="G566" s="3" t="s">
        <v>25</v>
      </c>
      <c r="H566" s="3" t="s">
        <v>35</v>
      </c>
      <c r="I566" s="6">
        <v>44835</v>
      </c>
      <c r="J566" s="4">
        <v>0</v>
      </c>
      <c r="K566" s="64">
        <v>0</v>
      </c>
      <c r="L566" s="4">
        <v>147.29400000000001</v>
      </c>
      <c r="M566" s="64">
        <v>147.29400000000001</v>
      </c>
      <c r="N566" s="4">
        <v>147.29400000000001</v>
      </c>
      <c r="O566" s="64">
        <v>147.29400000000001</v>
      </c>
      <c r="P566" s="4">
        <v>0</v>
      </c>
      <c r="Q566" s="3" t="s">
        <v>26</v>
      </c>
      <c r="R566" s="3">
        <v>0</v>
      </c>
      <c r="S566" s="4">
        <v>0</v>
      </c>
      <c r="T566" s="4">
        <v>31</v>
      </c>
      <c r="U566" s="4">
        <v>59</v>
      </c>
      <c r="V566" s="64">
        <f>IF(ISERROR(VLOOKUP($S$566,'TAR FIN'!$A$1:$O$92,15,0)),0,VLOOKUP($S$566,'TAR FIN'!$A$1:$O$92,15,0))</f>
        <v>0</v>
      </c>
      <c r="W566" s="64">
        <f>IF(ISERROR(VLOOKUP($T$566,'TAR FIN'!$A$1:$O$92,15,0)),0,VLOOKUP($T$566,'TAR FIN'!$A$1:$O$92,15,0))*(1-0.04)</f>
        <v>84.220799999999997</v>
      </c>
      <c r="X566" s="64">
        <f>IF(ISERROR(VLOOKUP($U$566,'TAR FIN'!$A$1:$O$92,15,0)),0,VLOOKUP($U$566,'TAR FIN'!$A$1:$O$92,15,0))*(1-0.04)</f>
        <v>243.744</v>
      </c>
      <c r="Y566" s="64"/>
      <c r="Z566" s="64">
        <f ca="1">('TUSD BE'!$AM$12+'TUSD BF'!$AM$12+'TUSD CVA'!$AM$12)*1*(1-0.02)</f>
        <v>107.25312546797767</v>
      </c>
      <c r="AA566" s="64">
        <f>('TE BE'!$AB$6+'TE BF'!$AB$6+'TE CVA'!$AB$6)*1*(1-0.02)</f>
        <v>311.0397022624511</v>
      </c>
      <c r="AB566" s="4">
        <f>$K$566*$V$566</f>
        <v>0</v>
      </c>
      <c r="AC566" s="4">
        <f>$M$566*$W$566</f>
        <v>12405.2185152</v>
      </c>
      <c r="AD566" s="4">
        <f>$O$566*$X$566</f>
        <v>35902.028736</v>
      </c>
      <c r="AE566" s="4">
        <f>$K$566*$Y$566</f>
        <v>0</v>
      </c>
      <c r="AF566" s="4">
        <f ca="1">$M$566*$Z$566</f>
        <v>15797.741862680305</v>
      </c>
      <c r="AG566" s="4">
        <f>$O$566*$AA$566</f>
        <v>45814.281905045478</v>
      </c>
    </row>
    <row r="567" spans="1:33" ht="11.25" customHeight="1" x14ac:dyDescent="0.25">
      <c r="A567" s="3" t="s">
        <v>55</v>
      </c>
      <c r="B567" s="3" t="s">
        <v>39</v>
      </c>
      <c r="C567" s="3" t="s">
        <v>41</v>
      </c>
      <c r="D567" s="3" t="s">
        <v>44</v>
      </c>
      <c r="E567" s="3" t="s">
        <v>25</v>
      </c>
      <c r="F567" s="3" t="s">
        <v>25</v>
      </c>
      <c r="G567" s="3" t="s">
        <v>25</v>
      </c>
      <c r="H567" s="3" t="s">
        <v>35</v>
      </c>
      <c r="I567" s="6">
        <v>44835</v>
      </c>
      <c r="J567" s="4">
        <v>0</v>
      </c>
      <c r="K567" s="64">
        <v>0</v>
      </c>
      <c r="L567" s="4">
        <v>41.61</v>
      </c>
      <c r="M567" s="64">
        <v>41.61</v>
      </c>
      <c r="N567" s="4">
        <v>41.61</v>
      </c>
      <c r="O567" s="64">
        <v>41.61</v>
      </c>
      <c r="P567" s="4">
        <v>0</v>
      </c>
      <c r="Q567" s="3" t="s">
        <v>26</v>
      </c>
      <c r="R567" s="3">
        <v>0</v>
      </c>
      <c r="S567" s="4">
        <v>0</v>
      </c>
      <c r="T567" s="4">
        <v>31</v>
      </c>
      <c r="U567" s="4">
        <v>59</v>
      </c>
      <c r="V567" s="64">
        <f>IF(ISERROR(VLOOKUP($S$567,'TAR FIN'!$A$1:$O$92,15,0)),0,VLOOKUP($S$567,'TAR FIN'!$A$1:$O$92,15,0))</f>
        <v>0</v>
      </c>
      <c r="W567" s="64">
        <f>IF(ISERROR(VLOOKUP($T$567,'TAR FIN'!$A$1:$O$92,15,0)),0,VLOOKUP($T$567,'TAR FIN'!$A$1:$O$92,15,0))*(1-0.04)</f>
        <v>84.220799999999997</v>
      </c>
      <c r="X567" s="64">
        <f>IF(ISERROR(VLOOKUP($U$567,'TAR FIN'!$A$1:$O$92,15,0)),0,VLOOKUP($U$567,'TAR FIN'!$A$1:$O$92,15,0))*(1-0.04)</f>
        <v>243.744</v>
      </c>
      <c r="Y567" s="64"/>
      <c r="Z567" s="64">
        <f ca="1">('TUSD BE'!$AM$12+'TUSD BF'!$AM$12+'TUSD CVA'!$AM$12)*1*(1-0.02)</f>
        <v>107.25312546797767</v>
      </c>
      <c r="AA567" s="64">
        <f>('TE BE'!$AB$6+'TE BF'!$AB$6+'TE CVA'!$AB$6)*1*(1-0.02)</f>
        <v>311.0397022624511</v>
      </c>
      <c r="AB567" s="4">
        <f>$K$567*$V$567</f>
        <v>0</v>
      </c>
      <c r="AC567" s="4">
        <f>$M$567*$W$567</f>
        <v>3504.4274879999998</v>
      </c>
      <c r="AD567" s="4">
        <f>$O$567*$X$567</f>
        <v>10142.187840000001</v>
      </c>
      <c r="AE567" s="4">
        <f>$K$567*$Y$567</f>
        <v>0</v>
      </c>
      <c r="AF567" s="4">
        <f ca="1">$M$567*$Z$567</f>
        <v>4462.8025507225511</v>
      </c>
      <c r="AG567" s="4">
        <f>$O$567*$AA$567</f>
        <v>12942.362011140591</v>
      </c>
    </row>
    <row r="568" spans="1:33" ht="11.25" customHeight="1" x14ac:dyDescent="0.25">
      <c r="A568" s="3" t="s">
        <v>21</v>
      </c>
      <c r="B568" s="3" t="s">
        <v>39</v>
      </c>
      <c r="C568" s="3" t="s">
        <v>41</v>
      </c>
      <c r="D568" s="3" t="s">
        <v>44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44501</v>
      </c>
      <c r="J568" s="4">
        <v>2435</v>
      </c>
      <c r="K568" s="64">
        <v>2435</v>
      </c>
      <c r="L568" s="4">
        <v>0</v>
      </c>
      <c r="M568" s="64">
        <v>0</v>
      </c>
      <c r="N568" s="4">
        <v>0</v>
      </c>
      <c r="O568" s="64">
        <v>0</v>
      </c>
      <c r="P568" s="4">
        <v>14</v>
      </c>
      <c r="Q568" s="3" t="s">
        <v>26</v>
      </c>
      <c r="R568" s="3">
        <v>0</v>
      </c>
      <c r="S568" s="4">
        <v>18</v>
      </c>
      <c r="T568" s="4">
        <v>0</v>
      </c>
      <c r="U568" s="4">
        <v>0</v>
      </c>
      <c r="V568" s="64">
        <f>IF(ISERROR(VLOOKUP($S$568,'TAR FIN'!$A$1:$O$92,15,0)),0,VLOOKUP($S$568,'TAR FIN'!$A$1:$O$92,15,0))*(1-0.04)</f>
        <v>14.054399999999999</v>
      </c>
      <c r="W568" s="64">
        <f>IF(ISERROR(VLOOKUP($T$568,'TAR FIN'!$A$1:$O$92,15,0)),0,VLOOKUP($T$568,'TAR FIN'!$A$1:$O$92,15,0))</f>
        <v>0</v>
      </c>
      <c r="X568" s="64">
        <f>IF(ISERROR(VLOOKUP($U$568,'TAR FIN'!$A$1:$O$92,15,0)),0,VLOOKUP($U$568,'TAR FIN'!$A$1:$O$92,15,0))</f>
        <v>0</v>
      </c>
      <c r="Y568" s="64">
        <f ca="1">('TUSD BE'!$AM$10+'TUSD BF'!$AM$10+'TUSD CVA'!$AM$10)*1*(1-0.02)</f>
        <v>18.643987249835956</v>
      </c>
      <c r="Z568" s="64"/>
      <c r="AA568" s="64"/>
      <c r="AB568" s="4">
        <f>$K$568*$V$568</f>
        <v>34222.464</v>
      </c>
      <c r="AC568" s="4">
        <f>$M$568*$W$568</f>
        <v>0</v>
      </c>
      <c r="AD568" s="4">
        <f>$O$568*$X$568</f>
        <v>0</v>
      </c>
      <c r="AE568" s="4">
        <f ca="1">$K$568*$Y$568</f>
        <v>45398.108953350551</v>
      </c>
      <c r="AF568" s="4">
        <f>$M$568*$Z$568</f>
        <v>0</v>
      </c>
      <c r="AG568" s="4">
        <f>$O$568*$AA$568</f>
        <v>0</v>
      </c>
    </row>
    <row r="569" spans="1:33" ht="11.25" customHeight="1" x14ac:dyDescent="0.25">
      <c r="A569" s="3" t="s">
        <v>21</v>
      </c>
      <c r="B569" s="3" t="s">
        <v>39</v>
      </c>
      <c r="C569" s="3" t="s">
        <v>41</v>
      </c>
      <c r="D569" s="3" t="s">
        <v>44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44531</v>
      </c>
      <c r="J569" s="4">
        <v>2329</v>
      </c>
      <c r="K569" s="64">
        <v>2329</v>
      </c>
      <c r="L569" s="4">
        <v>0</v>
      </c>
      <c r="M569" s="64">
        <v>0</v>
      </c>
      <c r="N569" s="4">
        <v>0</v>
      </c>
      <c r="O569" s="64">
        <v>0</v>
      </c>
      <c r="P569" s="4">
        <v>13</v>
      </c>
      <c r="Q569" s="3" t="s">
        <v>26</v>
      </c>
      <c r="R569" s="3">
        <v>0</v>
      </c>
      <c r="S569" s="4">
        <v>18</v>
      </c>
      <c r="T569" s="4">
        <v>0</v>
      </c>
      <c r="U569" s="4">
        <v>0</v>
      </c>
      <c r="V569" s="64">
        <f>IF(ISERROR(VLOOKUP($S$569,'TAR FIN'!$A$1:$O$92,15,0)),0,VLOOKUP($S$569,'TAR FIN'!$A$1:$O$92,15,0))*(1-0.04)</f>
        <v>14.054399999999999</v>
      </c>
      <c r="W569" s="64">
        <f>IF(ISERROR(VLOOKUP($T$569,'TAR FIN'!$A$1:$O$92,15,0)),0,VLOOKUP($T$569,'TAR FIN'!$A$1:$O$92,15,0))</f>
        <v>0</v>
      </c>
      <c r="X569" s="64">
        <f>IF(ISERROR(VLOOKUP($U$569,'TAR FIN'!$A$1:$O$92,15,0)),0,VLOOKUP($U$569,'TAR FIN'!$A$1:$O$92,15,0))</f>
        <v>0</v>
      </c>
      <c r="Y569" s="64">
        <f ca="1">('TUSD BE'!$AM$10+'TUSD BF'!$AM$10+'TUSD CVA'!$AM$10)*1*(1-0.02)</f>
        <v>18.643987249835956</v>
      </c>
      <c r="Z569" s="64"/>
      <c r="AA569" s="64"/>
      <c r="AB569" s="4">
        <f>$K$569*$V$569</f>
        <v>32732.6976</v>
      </c>
      <c r="AC569" s="4">
        <f>$M$569*$W$569</f>
        <v>0</v>
      </c>
      <c r="AD569" s="4">
        <f>$O$569*$X$569</f>
        <v>0</v>
      </c>
      <c r="AE569" s="4">
        <f ca="1">$K$569*$Y$569</f>
        <v>43421.84630486794</v>
      </c>
      <c r="AF569" s="4">
        <f>$M$569*$Z$569</f>
        <v>0</v>
      </c>
      <c r="AG569" s="4">
        <f>$O$569*$AA$569</f>
        <v>0</v>
      </c>
    </row>
    <row r="570" spans="1:33" ht="11.25" customHeight="1" x14ac:dyDescent="0.25">
      <c r="A570" s="3" t="s">
        <v>21</v>
      </c>
      <c r="B570" s="3" t="s">
        <v>39</v>
      </c>
      <c r="C570" s="3" t="s">
        <v>41</v>
      </c>
      <c r="D570" s="3" t="s">
        <v>44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44562</v>
      </c>
      <c r="J570" s="4">
        <v>2483</v>
      </c>
      <c r="K570" s="64">
        <v>2483</v>
      </c>
      <c r="L570" s="4">
        <v>0</v>
      </c>
      <c r="M570" s="64">
        <v>0</v>
      </c>
      <c r="N570" s="4">
        <v>0</v>
      </c>
      <c r="O570" s="64">
        <v>0</v>
      </c>
      <c r="P570" s="4">
        <v>13</v>
      </c>
      <c r="Q570" s="3" t="s">
        <v>26</v>
      </c>
      <c r="R570" s="3">
        <v>0</v>
      </c>
      <c r="S570" s="4">
        <v>18</v>
      </c>
      <c r="T570" s="4">
        <v>0</v>
      </c>
      <c r="U570" s="4">
        <v>0</v>
      </c>
      <c r="V570" s="64">
        <f>IF(ISERROR(VLOOKUP($S$570,'TAR FIN'!$A$1:$O$92,15,0)),0,VLOOKUP($S$570,'TAR FIN'!$A$1:$O$92,15,0))*(1-0.04)</f>
        <v>14.054399999999999</v>
      </c>
      <c r="W570" s="64">
        <f>IF(ISERROR(VLOOKUP($T$570,'TAR FIN'!$A$1:$O$92,15,0)),0,VLOOKUP($T$570,'TAR FIN'!$A$1:$O$92,15,0))</f>
        <v>0</v>
      </c>
      <c r="X570" s="64">
        <f>IF(ISERROR(VLOOKUP($U$570,'TAR FIN'!$A$1:$O$92,15,0)),0,VLOOKUP($U$570,'TAR FIN'!$A$1:$O$92,15,0))</f>
        <v>0</v>
      </c>
      <c r="Y570" s="64">
        <f ca="1">('TUSD BE'!$AM$10+'TUSD BF'!$AM$10+'TUSD CVA'!$AM$10)*1*(1-0.02)</f>
        <v>18.643987249835956</v>
      </c>
      <c r="Z570" s="64"/>
      <c r="AA570" s="64"/>
      <c r="AB570" s="4">
        <f>$K$570*$V$570</f>
        <v>34897.075199999999</v>
      </c>
      <c r="AC570" s="4">
        <f>$M$570*$W$570</f>
        <v>0</v>
      </c>
      <c r="AD570" s="4">
        <f>$O$570*$X$570</f>
        <v>0</v>
      </c>
      <c r="AE570" s="4">
        <f ca="1">$K$570*$Y$570</f>
        <v>46293.020341342679</v>
      </c>
      <c r="AF570" s="4">
        <f>$M$570*$Z$570</f>
        <v>0</v>
      </c>
      <c r="AG570" s="4">
        <f>$O$570*$AA$570</f>
        <v>0</v>
      </c>
    </row>
    <row r="571" spans="1:33" ht="11.25" customHeight="1" x14ac:dyDescent="0.25">
      <c r="A571" s="3" t="s">
        <v>21</v>
      </c>
      <c r="B571" s="3" t="s">
        <v>39</v>
      </c>
      <c r="C571" s="3" t="s">
        <v>41</v>
      </c>
      <c r="D571" s="3" t="s">
        <v>44</v>
      </c>
      <c r="E571" s="3" t="s">
        <v>25</v>
      </c>
      <c r="F571" s="3" t="s">
        <v>25</v>
      </c>
      <c r="G571" s="3" t="s">
        <v>25</v>
      </c>
      <c r="H571" s="3" t="s">
        <v>25</v>
      </c>
      <c r="I571" s="6">
        <v>44593</v>
      </c>
      <c r="J571" s="4">
        <v>2976</v>
      </c>
      <c r="K571" s="64">
        <v>2976</v>
      </c>
      <c r="L571" s="4">
        <v>0</v>
      </c>
      <c r="M571" s="64">
        <v>0</v>
      </c>
      <c r="N571" s="4">
        <v>0</v>
      </c>
      <c r="O571" s="64">
        <v>0</v>
      </c>
      <c r="P571" s="4">
        <v>14</v>
      </c>
      <c r="Q571" s="3" t="s">
        <v>26</v>
      </c>
      <c r="R571" s="3">
        <v>0</v>
      </c>
      <c r="S571" s="4">
        <v>18</v>
      </c>
      <c r="T571" s="4">
        <v>0</v>
      </c>
      <c r="U571" s="4">
        <v>0</v>
      </c>
      <c r="V571" s="64">
        <f>IF(ISERROR(VLOOKUP($S$571,'TAR FIN'!$A$1:$O$92,15,0)),0,VLOOKUP($S$571,'TAR FIN'!$A$1:$O$92,15,0))*(1-0.04)</f>
        <v>14.054399999999999</v>
      </c>
      <c r="W571" s="64">
        <f>IF(ISERROR(VLOOKUP($T$571,'TAR FIN'!$A$1:$O$92,15,0)),0,VLOOKUP($T$571,'TAR FIN'!$A$1:$O$92,15,0))</f>
        <v>0</v>
      </c>
      <c r="X571" s="64">
        <f>IF(ISERROR(VLOOKUP($U$571,'TAR FIN'!$A$1:$O$92,15,0)),0,VLOOKUP($U$571,'TAR FIN'!$A$1:$O$92,15,0))</f>
        <v>0</v>
      </c>
      <c r="Y571" s="64">
        <f ca="1">('TUSD BE'!$AM$10+'TUSD BF'!$AM$10+'TUSD CVA'!$AM$10)*1*(1-0.02)</f>
        <v>18.643987249835956</v>
      </c>
      <c r="Z571" s="64"/>
      <c r="AA571" s="64"/>
      <c r="AB571" s="4">
        <f>$K$571*$V$571</f>
        <v>41825.894399999997</v>
      </c>
      <c r="AC571" s="4">
        <f>$M$571*$W$571</f>
        <v>0</v>
      </c>
      <c r="AD571" s="4">
        <f>$O$571*$X$571</f>
        <v>0</v>
      </c>
      <c r="AE571" s="4">
        <f ca="1">$K$571*$Y$571</f>
        <v>55484.506055511803</v>
      </c>
      <c r="AF571" s="4">
        <f>$M$571*$Z$571</f>
        <v>0</v>
      </c>
      <c r="AG571" s="4">
        <f>$O$571*$AA$571</f>
        <v>0</v>
      </c>
    </row>
    <row r="572" spans="1:33" ht="11.25" customHeight="1" x14ac:dyDescent="0.25">
      <c r="A572" s="3" t="s">
        <v>21</v>
      </c>
      <c r="B572" s="3" t="s">
        <v>39</v>
      </c>
      <c r="C572" s="3" t="s">
        <v>41</v>
      </c>
      <c r="D572" s="3" t="s">
        <v>44</v>
      </c>
      <c r="E572" s="3" t="s">
        <v>25</v>
      </c>
      <c r="F572" s="3" t="s">
        <v>25</v>
      </c>
      <c r="G572" s="3" t="s">
        <v>25</v>
      </c>
      <c r="H572" s="3" t="s">
        <v>25</v>
      </c>
      <c r="I572" s="6">
        <v>44621</v>
      </c>
      <c r="J572" s="4">
        <v>2120</v>
      </c>
      <c r="K572" s="64">
        <v>2120</v>
      </c>
      <c r="L572" s="4">
        <v>0</v>
      </c>
      <c r="M572" s="64">
        <v>0</v>
      </c>
      <c r="N572" s="4">
        <v>0</v>
      </c>
      <c r="O572" s="64">
        <v>0</v>
      </c>
      <c r="P572" s="4">
        <v>14</v>
      </c>
      <c r="Q572" s="3" t="s">
        <v>26</v>
      </c>
      <c r="R572" s="3">
        <v>0</v>
      </c>
      <c r="S572" s="4">
        <v>18</v>
      </c>
      <c r="T572" s="4">
        <v>0</v>
      </c>
      <c r="U572" s="4">
        <v>0</v>
      </c>
      <c r="V572" s="64">
        <f>IF(ISERROR(VLOOKUP($S$572,'TAR FIN'!$A$1:$O$92,15,0)),0,VLOOKUP($S$572,'TAR FIN'!$A$1:$O$92,15,0))*(1-0.04)</f>
        <v>14.054399999999999</v>
      </c>
      <c r="W572" s="64">
        <f>IF(ISERROR(VLOOKUP($T$572,'TAR FIN'!$A$1:$O$92,15,0)),0,VLOOKUP($T$572,'TAR FIN'!$A$1:$O$92,15,0))</f>
        <v>0</v>
      </c>
      <c r="X572" s="64">
        <f>IF(ISERROR(VLOOKUP($U$572,'TAR FIN'!$A$1:$O$92,15,0)),0,VLOOKUP($U$572,'TAR FIN'!$A$1:$O$92,15,0))</f>
        <v>0</v>
      </c>
      <c r="Y572" s="64">
        <f ca="1">('TUSD BE'!$AM$10+'TUSD BF'!$AM$10+'TUSD CVA'!$AM$10)*1*(1-0.02)</f>
        <v>18.643987249835956</v>
      </c>
      <c r="Z572" s="64"/>
      <c r="AA572" s="64"/>
      <c r="AB572" s="4">
        <f>$K$572*$V$572</f>
        <v>29795.327999999998</v>
      </c>
      <c r="AC572" s="4">
        <f>$M$572*$W$572</f>
        <v>0</v>
      </c>
      <c r="AD572" s="4">
        <f>$O$572*$X$572</f>
        <v>0</v>
      </c>
      <c r="AE572" s="4">
        <f ca="1">$K$572*$Y$572</f>
        <v>39525.252969652225</v>
      </c>
      <c r="AF572" s="4">
        <f>$M$572*$Z$572</f>
        <v>0</v>
      </c>
      <c r="AG572" s="4">
        <f>$O$572*$AA$572</f>
        <v>0</v>
      </c>
    </row>
    <row r="573" spans="1:33" ht="11.25" customHeight="1" x14ac:dyDescent="0.25">
      <c r="A573" s="3" t="s">
        <v>21</v>
      </c>
      <c r="B573" s="3" t="s">
        <v>39</v>
      </c>
      <c r="C573" s="3" t="s">
        <v>41</v>
      </c>
      <c r="D573" s="3" t="s">
        <v>44</v>
      </c>
      <c r="E573" s="3" t="s">
        <v>25</v>
      </c>
      <c r="F573" s="3" t="s">
        <v>25</v>
      </c>
      <c r="G573" s="3" t="s">
        <v>25</v>
      </c>
      <c r="H573" s="3" t="s">
        <v>25</v>
      </c>
      <c r="I573" s="6">
        <v>44652</v>
      </c>
      <c r="J573" s="4">
        <v>2120</v>
      </c>
      <c r="K573" s="64">
        <v>2120</v>
      </c>
      <c r="L573" s="4">
        <v>0</v>
      </c>
      <c r="M573" s="64">
        <v>0</v>
      </c>
      <c r="N573" s="4">
        <v>0</v>
      </c>
      <c r="O573" s="64">
        <v>0</v>
      </c>
      <c r="P573" s="4">
        <v>14</v>
      </c>
      <c r="Q573" s="3" t="s">
        <v>26</v>
      </c>
      <c r="R573" s="3">
        <v>0</v>
      </c>
      <c r="S573" s="4">
        <v>18</v>
      </c>
      <c r="T573" s="4">
        <v>0</v>
      </c>
      <c r="U573" s="4">
        <v>0</v>
      </c>
      <c r="V573" s="64">
        <f>IF(ISERROR(VLOOKUP($S$573,'TAR FIN'!$A$1:$O$92,15,0)),0,VLOOKUP($S$573,'TAR FIN'!$A$1:$O$92,15,0))*(1-0.04)</f>
        <v>14.054399999999999</v>
      </c>
      <c r="W573" s="64">
        <f>IF(ISERROR(VLOOKUP($T$573,'TAR FIN'!$A$1:$O$92,15,0)),0,VLOOKUP($T$573,'TAR FIN'!$A$1:$O$92,15,0))</f>
        <v>0</v>
      </c>
      <c r="X573" s="64">
        <f>IF(ISERROR(VLOOKUP($U$573,'TAR FIN'!$A$1:$O$92,15,0)),0,VLOOKUP($U$573,'TAR FIN'!$A$1:$O$92,15,0))</f>
        <v>0</v>
      </c>
      <c r="Y573" s="64">
        <f ca="1">('TUSD BE'!$AM$10+'TUSD BF'!$AM$10+'TUSD CVA'!$AM$10)*1*(1-0.02)</f>
        <v>18.643987249835956</v>
      </c>
      <c r="Z573" s="64"/>
      <c r="AA573" s="64"/>
      <c r="AB573" s="4">
        <f>$K$573*$V$573</f>
        <v>29795.327999999998</v>
      </c>
      <c r="AC573" s="4">
        <f>$M$573*$W$573</f>
        <v>0</v>
      </c>
      <c r="AD573" s="4">
        <f>$O$573*$X$573</f>
        <v>0</v>
      </c>
      <c r="AE573" s="4">
        <f ca="1">$K$573*$Y$573</f>
        <v>39525.252969652225</v>
      </c>
      <c r="AF573" s="4">
        <f>$M$573*$Z$573</f>
        <v>0</v>
      </c>
      <c r="AG573" s="4">
        <f>$O$573*$AA$573</f>
        <v>0</v>
      </c>
    </row>
    <row r="574" spans="1:33" ht="11.25" customHeight="1" x14ac:dyDescent="0.25">
      <c r="A574" s="3" t="s">
        <v>21</v>
      </c>
      <c r="B574" s="3" t="s">
        <v>39</v>
      </c>
      <c r="C574" s="3" t="s">
        <v>41</v>
      </c>
      <c r="D574" s="3" t="s">
        <v>44</v>
      </c>
      <c r="E574" s="3" t="s">
        <v>25</v>
      </c>
      <c r="F574" s="3" t="s">
        <v>25</v>
      </c>
      <c r="G574" s="3" t="s">
        <v>25</v>
      </c>
      <c r="H574" s="3" t="s">
        <v>25</v>
      </c>
      <c r="I574" s="6">
        <v>44682</v>
      </c>
      <c r="J574" s="4">
        <v>950</v>
      </c>
      <c r="K574" s="64">
        <v>950</v>
      </c>
      <c r="L574" s="4">
        <v>0</v>
      </c>
      <c r="M574" s="64">
        <v>0</v>
      </c>
      <c r="N574" s="4">
        <v>0</v>
      </c>
      <c r="O574" s="64">
        <v>0</v>
      </c>
      <c r="P574" s="4">
        <v>15</v>
      </c>
      <c r="Q574" s="3" t="s">
        <v>26</v>
      </c>
      <c r="R574" s="3">
        <v>0</v>
      </c>
      <c r="S574" s="4">
        <v>18</v>
      </c>
      <c r="T574" s="4">
        <v>0</v>
      </c>
      <c r="U574" s="4">
        <v>0</v>
      </c>
      <c r="V574" s="64">
        <f>IF(ISERROR(VLOOKUP($S$574,'TAR FIN'!$A$1:$O$92,15,0)),0,VLOOKUP($S$574,'TAR FIN'!$A$1:$O$92,15,0))*(1-0.04)</f>
        <v>14.054399999999999</v>
      </c>
      <c r="W574" s="64">
        <f>IF(ISERROR(VLOOKUP($T$574,'TAR FIN'!$A$1:$O$92,15,0)),0,VLOOKUP($T$574,'TAR FIN'!$A$1:$O$92,15,0))</f>
        <v>0</v>
      </c>
      <c r="X574" s="64">
        <f>IF(ISERROR(VLOOKUP($U$574,'TAR FIN'!$A$1:$O$92,15,0)),0,VLOOKUP($U$574,'TAR FIN'!$A$1:$O$92,15,0))</f>
        <v>0</v>
      </c>
      <c r="Y574" s="64">
        <f ca="1">('TUSD BE'!$AM$10+'TUSD BF'!$AM$10+'TUSD CVA'!$AM$10)*1*(1-0.02)</f>
        <v>18.643987249835956</v>
      </c>
      <c r="Z574" s="64"/>
      <c r="AA574" s="64"/>
      <c r="AB574" s="4">
        <f>$K$574*$V$574</f>
        <v>13351.679999999998</v>
      </c>
      <c r="AC574" s="4">
        <f>$M$574*$W$574</f>
        <v>0</v>
      </c>
      <c r="AD574" s="4">
        <f>$O$574*$X$574</f>
        <v>0</v>
      </c>
      <c r="AE574" s="4">
        <f ca="1">$K$574*$Y$574</f>
        <v>17711.787887344159</v>
      </c>
      <c r="AF574" s="4">
        <f>$M$574*$Z$574</f>
        <v>0</v>
      </c>
      <c r="AG574" s="4">
        <f>$O$574*$AA$574</f>
        <v>0</v>
      </c>
    </row>
    <row r="575" spans="1:33" ht="11.25" customHeight="1" x14ac:dyDescent="0.25">
      <c r="A575" s="3" t="s">
        <v>28</v>
      </c>
      <c r="B575" s="3" t="s">
        <v>39</v>
      </c>
      <c r="C575" s="3" t="s">
        <v>41</v>
      </c>
      <c r="D575" s="3" t="s">
        <v>44</v>
      </c>
      <c r="E575" s="3" t="s">
        <v>25</v>
      </c>
      <c r="F575" s="3" t="s">
        <v>25</v>
      </c>
      <c r="G575" s="3" t="s">
        <v>25</v>
      </c>
      <c r="H575" s="3" t="s">
        <v>25</v>
      </c>
      <c r="I575" s="6">
        <v>44682</v>
      </c>
      <c r="J575" s="4">
        <v>1028</v>
      </c>
      <c r="K575" s="64">
        <v>1028</v>
      </c>
      <c r="L575" s="4">
        <v>0</v>
      </c>
      <c r="M575" s="64">
        <v>0</v>
      </c>
      <c r="N575" s="4">
        <v>0</v>
      </c>
      <c r="O575" s="64">
        <v>0</v>
      </c>
      <c r="P575" s="4">
        <v>8</v>
      </c>
      <c r="Q575" s="3" t="s">
        <v>26</v>
      </c>
      <c r="R575" s="3">
        <v>0</v>
      </c>
      <c r="S575" s="4">
        <v>18</v>
      </c>
      <c r="T575" s="4">
        <v>0</v>
      </c>
      <c r="U575" s="4">
        <v>0</v>
      </c>
      <c r="V575" s="64">
        <f>IF(ISERROR(VLOOKUP($S$575,'TAR FIN'!$A$1:$O$92,15,0)),0,VLOOKUP($S$575,'TAR FIN'!$A$1:$O$92,15,0))*(1-0.04)</f>
        <v>14.054399999999999</v>
      </c>
      <c r="W575" s="64">
        <f>IF(ISERROR(VLOOKUP($T$575,'TAR FIN'!$A$1:$O$92,15,0)),0,VLOOKUP($T$575,'TAR FIN'!$A$1:$O$92,15,0))</f>
        <v>0</v>
      </c>
      <c r="X575" s="64">
        <f>IF(ISERROR(VLOOKUP($U$575,'TAR FIN'!$A$1:$O$92,15,0)),0,VLOOKUP($U$575,'TAR FIN'!$A$1:$O$92,15,0))</f>
        <v>0</v>
      </c>
      <c r="Y575" s="64">
        <f ca="1">('TUSD BE'!$AM$10+'TUSD BF'!$AM$10+'TUSD CVA'!$AM$10)*1*(1-0.02)</f>
        <v>18.643987249835956</v>
      </c>
      <c r="Z575" s="64"/>
      <c r="AA575" s="64"/>
      <c r="AB575" s="4">
        <f>$K$575*$V$575</f>
        <v>14447.923199999999</v>
      </c>
      <c r="AC575" s="4">
        <f>$M$575*$W$575</f>
        <v>0</v>
      </c>
      <c r="AD575" s="4">
        <f>$O$575*$X$575</f>
        <v>0</v>
      </c>
      <c r="AE575" s="4">
        <f ca="1">$K$575*$Y$575</f>
        <v>19166.018892831362</v>
      </c>
      <c r="AF575" s="4">
        <f>$M$575*$Z$575</f>
        <v>0</v>
      </c>
      <c r="AG575" s="4">
        <f>$O$575*$AA$575</f>
        <v>0</v>
      </c>
    </row>
    <row r="576" spans="1:33" ht="11.25" customHeight="1" x14ac:dyDescent="0.25">
      <c r="A576" s="3" t="s">
        <v>21</v>
      </c>
      <c r="B576" s="3" t="s">
        <v>39</v>
      </c>
      <c r="C576" s="3" t="s">
        <v>41</v>
      </c>
      <c r="D576" s="3" t="s">
        <v>44</v>
      </c>
      <c r="E576" s="3" t="s">
        <v>25</v>
      </c>
      <c r="F576" s="3" t="s">
        <v>25</v>
      </c>
      <c r="G576" s="3" t="s">
        <v>25</v>
      </c>
      <c r="H576" s="3" t="s">
        <v>25</v>
      </c>
      <c r="I576" s="6">
        <v>44713</v>
      </c>
      <c r="J576" s="4">
        <v>1156</v>
      </c>
      <c r="K576" s="64">
        <v>1156</v>
      </c>
      <c r="L576" s="4">
        <v>0</v>
      </c>
      <c r="M576" s="64">
        <v>0</v>
      </c>
      <c r="N576" s="4">
        <v>0</v>
      </c>
      <c r="O576" s="64">
        <v>0</v>
      </c>
      <c r="P576" s="4">
        <v>17</v>
      </c>
      <c r="Q576" s="3" t="s">
        <v>26</v>
      </c>
      <c r="R576" s="3">
        <v>0</v>
      </c>
      <c r="S576" s="4">
        <v>18</v>
      </c>
      <c r="T576" s="4">
        <v>0</v>
      </c>
      <c r="U576" s="4">
        <v>0</v>
      </c>
      <c r="V576" s="64">
        <f>IF(ISERROR(VLOOKUP($S$576,'TAR FIN'!$A$1:$O$92,15,0)),0,VLOOKUP($S$576,'TAR FIN'!$A$1:$O$92,15,0))*(1-0.04)</f>
        <v>14.054399999999999</v>
      </c>
      <c r="W576" s="64">
        <f>IF(ISERROR(VLOOKUP($T$576,'TAR FIN'!$A$1:$O$92,15,0)),0,VLOOKUP($T$576,'TAR FIN'!$A$1:$O$92,15,0))</f>
        <v>0</v>
      </c>
      <c r="X576" s="64">
        <f>IF(ISERROR(VLOOKUP($U$576,'TAR FIN'!$A$1:$O$92,15,0)),0,VLOOKUP($U$576,'TAR FIN'!$A$1:$O$92,15,0))</f>
        <v>0</v>
      </c>
      <c r="Y576" s="64">
        <f ca="1">('TUSD BE'!$AM$10+'TUSD BF'!$AM$10+'TUSD CVA'!$AM$10)*1*(1-0.02)</f>
        <v>18.643987249835956</v>
      </c>
      <c r="Z576" s="64"/>
      <c r="AA576" s="64"/>
      <c r="AB576" s="4">
        <f>$K$576*$V$576</f>
        <v>16246.886399999999</v>
      </c>
      <c r="AC576" s="4">
        <f>$M$576*$W$576</f>
        <v>0</v>
      </c>
      <c r="AD576" s="4">
        <f>$O$576*$X$576</f>
        <v>0</v>
      </c>
      <c r="AE576" s="4">
        <f ca="1">$K$576*$Y$576</f>
        <v>21552.449260810365</v>
      </c>
      <c r="AF576" s="4">
        <f>$M$576*$Z$576</f>
        <v>0</v>
      </c>
      <c r="AG576" s="4">
        <f>$O$576*$AA$576</f>
        <v>0</v>
      </c>
    </row>
    <row r="577" spans="1:33" ht="11.25" customHeight="1" x14ac:dyDescent="0.25">
      <c r="A577" s="3" t="s">
        <v>28</v>
      </c>
      <c r="B577" s="3" t="s">
        <v>39</v>
      </c>
      <c r="C577" s="3" t="s">
        <v>41</v>
      </c>
      <c r="D577" s="3" t="s">
        <v>44</v>
      </c>
      <c r="E577" s="3" t="s">
        <v>25</v>
      </c>
      <c r="F577" s="3" t="s">
        <v>25</v>
      </c>
      <c r="G577" s="3" t="s">
        <v>25</v>
      </c>
      <c r="H577" s="3" t="s">
        <v>25</v>
      </c>
      <c r="I577" s="6">
        <v>44713</v>
      </c>
      <c r="J577" s="4">
        <v>268</v>
      </c>
      <c r="K577" s="64">
        <v>268</v>
      </c>
      <c r="L577" s="4">
        <v>0</v>
      </c>
      <c r="M577" s="64">
        <v>0</v>
      </c>
      <c r="N577" s="4">
        <v>0</v>
      </c>
      <c r="O577" s="64">
        <v>0</v>
      </c>
      <c r="P577" s="4">
        <v>2</v>
      </c>
      <c r="Q577" s="3" t="s">
        <v>26</v>
      </c>
      <c r="R577" s="3">
        <v>0</v>
      </c>
      <c r="S577" s="4">
        <v>18</v>
      </c>
      <c r="T577" s="4">
        <v>0</v>
      </c>
      <c r="U577" s="4">
        <v>0</v>
      </c>
      <c r="V577" s="64">
        <f>IF(ISERROR(VLOOKUP($S$577,'TAR FIN'!$A$1:$O$92,15,0)),0,VLOOKUP($S$577,'TAR FIN'!$A$1:$O$92,15,0))*(1-0.04)</f>
        <v>14.054399999999999</v>
      </c>
      <c r="W577" s="64">
        <f>IF(ISERROR(VLOOKUP($T$577,'TAR FIN'!$A$1:$O$92,15,0)),0,VLOOKUP($T$577,'TAR FIN'!$A$1:$O$92,15,0))</f>
        <v>0</v>
      </c>
      <c r="X577" s="64">
        <f>IF(ISERROR(VLOOKUP($U$577,'TAR FIN'!$A$1:$O$92,15,0)),0,VLOOKUP($U$577,'TAR FIN'!$A$1:$O$92,15,0))</f>
        <v>0</v>
      </c>
      <c r="Y577" s="64">
        <f ca="1">('TUSD BE'!$AM$10+'TUSD BF'!$AM$10+'TUSD CVA'!$AM$10)*1*(1-0.02)</f>
        <v>18.643987249835956</v>
      </c>
      <c r="Z577" s="64"/>
      <c r="AA577" s="64"/>
      <c r="AB577" s="4">
        <f>$K$577*$V$577</f>
        <v>3766.5791999999997</v>
      </c>
      <c r="AC577" s="4">
        <f>$M$577*$W$577</f>
        <v>0</v>
      </c>
      <c r="AD577" s="4">
        <f>$O$577*$X$577</f>
        <v>0</v>
      </c>
      <c r="AE577" s="4">
        <f ca="1">$K$577*$Y$577</f>
        <v>4996.5885829560357</v>
      </c>
      <c r="AF577" s="4">
        <f>$M$577*$Z$577</f>
        <v>0</v>
      </c>
      <c r="AG577" s="4">
        <f>$O$577*$AA$577</f>
        <v>0</v>
      </c>
    </row>
    <row r="578" spans="1:33" ht="11.25" customHeight="1" x14ac:dyDescent="0.25">
      <c r="A578" s="3" t="s">
        <v>21</v>
      </c>
      <c r="B578" s="3" t="s">
        <v>39</v>
      </c>
      <c r="C578" s="3" t="s">
        <v>41</v>
      </c>
      <c r="D578" s="3" t="s">
        <v>44</v>
      </c>
      <c r="E578" s="3" t="s">
        <v>25</v>
      </c>
      <c r="F578" s="3" t="s">
        <v>25</v>
      </c>
      <c r="G578" s="3" t="s">
        <v>25</v>
      </c>
      <c r="H578" s="3" t="s">
        <v>25</v>
      </c>
      <c r="I578" s="6">
        <v>44743</v>
      </c>
      <c r="J578" s="4">
        <v>1113</v>
      </c>
      <c r="K578" s="64">
        <v>1113</v>
      </c>
      <c r="L578" s="4">
        <v>0</v>
      </c>
      <c r="M578" s="64">
        <v>0</v>
      </c>
      <c r="N578" s="4">
        <v>0</v>
      </c>
      <c r="O578" s="64">
        <v>0</v>
      </c>
      <c r="P578" s="4">
        <v>16</v>
      </c>
      <c r="Q578" s="3" t="s">
        <v>26</v>
      </c>
      <c r="R578" s="3">
        <v>0</v>
      </c>
      <c r="S578" s="4">
        <v>18</v>
      </c>
      <c r="T578" s="4">
        <v>0</v>
      </c>
      <c r="U578" s="4">
        <v>0</v>
      </c>
      <c r="V578" s="64">
        <f>IF(ISERROR(VLOOKUP($S$578,'TAR FIN'!$A$1:$O$92,15,0)),0,VLOOKUP($S$578,'TAR FIN'!$A$1:$O$92,15,0))*(1-0.04)</f>
        <v>14.054399999999999</v>
      </c>
      <c r="W578" s="64">
        <f>IF(ISERROR(VLOOKUP($T$578,'TAR FIN'!$A$1:$O$92,15,0)),0,VLOOKUP($T$578,'TAR FIN'!$A$1:$O$92,15,0))</f>
        <v>0</v>
      </c>
      <c r="X578" s="64">
        <f>IF(ISERROR(VLOOKUP($U$578,'TAR FIN'!$A$1:$O$92,15,0)),0,VLOOKUP($U$578,'TAR FIN'!$A$1:$O$92,15,0))</f>
        <v>0</v>
      </c>
      <c r="Y578" s="64">
        <f ca="1">('TUSD BE'!$AM$10+'TUSD BF'!$AM$10+'TUSD CVA'!$AM$10)*1*(1-0.02)</f>
        <v>18.643987249835956</v>
      </c>
      <c r="Z578" s="64"/>
      <c r="AA578" s="64"/>
      <c r="AB578" s="4">
        <f>$K$578*$V$578</f>
        <v>15642.547199999999</v>
      </c>
      <c r="AC578" s="4">
        <f>$M$578*$W$578</f>
        <v>0</v>
      </c>
      <c r="AD578" s="4">
        <f>$O$578*$X$578</f>
        <v>0</v>
      </c>
      <c r="AE578" s="4">
        <f ca="1">$K$578*$Y$578</f>
        <v>20750.757809067418</v>
      </c>
      <c r="AF578" s="4">
        <f>$M$578*$Z$578</f>
        <v>0</v>
      </c>
      <c r="AG578" s="4">
        <f>$O$578*$AA$578</f>
        <v>0</v>
      </c>
    </row>
    <row r="579" spans="1:33" ht="11.25" customHeight="1" x14ac:dyDescent="0.25">
      <c r="A579" s="3" t="s">
        <v>28</v>
      </c>
      <c r="B579" s="3" t="s">
        <v>39</v>
      </c>
      <c r="C579" s="3" t="s">
        <v>41</v>
      </c>
      <c r="D579" s="3" t="s">
        <v>44</v>
      </c>
      <c r="E579" s="3" t="s">
        <v>25</v>
      </c>
      <c r="F579" s="3" t="s">
        <v>25</v>
      </c>
      <c r="G579" s="3" t="s">
        <v>25</v>
      </c>
      <c r="H579" s="3" t="s">
        <v>25</v>
      </c>
      <c r="I579" s="6">
        <v>44743</v>
      </c>
      <c r="J579" s="4">
        <v>249</v>
      </c>
      <c r="K579" s="64">
        <v>249</v>
      </c>
      <c r="L579" s="4">
        <v>0</v>
      </c>
      <c r="M579" s="64">
        <v>0</v>
      </c>
      <c r="N579" s="4">
        <v>0</v>
      </c>
      <c r="O579" s="64">
        <v>0</v>
      </c>
      <c r="P579" s="4">
        <v>2</v>
      </c>
      <c r="Q579" s="3" t="s">
        <v>26</v>
      </c>
      <c r="R579" s="3">
        <v>0</v>
      </c>
      <c r="S579" s="4">
        <v>18</v>
      </c>
      <c r="T579" s="4">
        <v>0</v>
      </c>
      <c r="U579" s="4">
        <v>0</v>
      </c>
      <c r="V579" s="64">
        <f>IF(ISERROR(VLOOKUP($S$579,'TAR FIN'!$A$1:$O$92,15,0)),0,VLOOKUP($S$579,'TAR FIN'!$A$1:$O$92,15,0))*(1-0.04)</f>
        <v>14.054399999999999</v>
      </c>
      <c r="W579" s="64">
        <f>IF(ISERROR(VLOOKUP($T$579,'TAR FIN'!$A$1:$O$92,15,0)),0,VLOOKUP($T$579,'TAR FIN'!$A$1:$O$92,15,0))</f>
        <v>0</v>
      </c>
      <c r="X579" s="64">
        <f>IF(ISERROR(VLOOKUP($U$579,'TAR FIN'!$A$1:$O$92,15,0)),0,VLOOKUP($U$579,'TAR FIN'!$A$1:$O$92,15,0))</f>
        <v>0</v>
      </c>
      <c r="Y579" s="64">
        <f ca="1">('TUSD BE'!$AM$10+'TUSD BF'!$AM$10+'TUSD CVA'!$AM$10)*1*(1-0.02)</f>
        <v>18.643987249835956</v>
      </c>
      <c r="Z579" s="64"/>
      <c r="AA579" s="64"/>
      <c r="AB579" s="4">
        <f>$K$579*$V$579</f>
        <v>3499.5455999999999</v>
      </c>
      <c r="AC579" s="4">
        <f>$M$579*$W$579</f>
        <v>0</v>
      </c>
      <c r="AD579" s="4">
        <f>$O$579*$X$579</f>
        <v>0</v>
      </c>
      <c r="AE579" s="4">
        <f ca="1">$K$579*$Y$579</f>
        <v>4642.3528252091528</v>
      </c>
      <c r="AF579" s="4">
        <f>$M$579*$Z$579</f>
        <v>0</v>
      </c>
      <c r="AG579" s="4">
        <f>$O$579*$AA$579</f>
        <v>0</v>
      </c>
    </row>
    <row r="580" spans="1:33" ht="11.25" customHeight="1" x14ac:dyDescent="0.25">
      <c r="A580" s="3" t="s">
        <v>21</v>
      </c>
      <c r="B580" s="3" t="s">
        <v>39</v>
      </c>
      <c r="C580" s="3" t="s">
        <v>41</v>
      </c>
      <c r="D580" s="3" t="s">
        <v>44</v>
      </c>
      <c r="E580" s="3" t="s">
        <v>25</v>
      </c>
      <c r="F580" s="3" t="s">
        <v>25</v>
      </c>
      <c r="G580" s="3" t="s">
        <v>25</v>
      </c>
      <c r="H580" s="3" t="s">
        <v>25</v>
      </c>
      <c r="I580" s="6">
        <v>44774</v>
      </c>
      <c r="J580" s="4">
        <v>965</v>
      </c>
      <c r="K580" s="64">
        <v>965</v>
      </c>
      <c r="L580" s="4">
        <v>0</v>
      </c>
      <c r="M580" s="64">
        <v>0</v>
      </c>
      <c r="N580" s="4">
        <v>0</v>
      </c>
      <c r="O580" s="64">
        <v>0</v>
      </c>
      <c r="P580" s="4">
        <v>13</v>
      </c>
      <c r="Q580" s="3" t="s">
        <v>26</v>
      </c>
      <c r="R580" s="3">
        <v>0</v>
      </c>
      <c r="S580" s="4">
        <v>18</v>
      </c>
      <c r="T580" s="4">
        <v>0</v>
      </c>
      <c r="U580" s="4">
        <v>0</v>
      </c>
      <c r="V580" s="64">
        <f>IF(ISERROR(VLOOKUP($S$580,'TAR FIN'!$A$1:$O$92,15,0)),0,VLOOKUP($S$580,'TAR FIN'!$A$1:$O$92,15,0))*(1-0.04)</f>
        <v>14.054399999999999</v>
      </c>
      <c r="W580" s="64">
        <f>IF(ISERROR(VLOOKUP($T$580,'TAR FIN'!$A$1:$O$92,15,0)),0,VLOOKUP($T$580,'TAR FIN'!$A$1:$O$92,15,0))</f>
        <v>0</v>
      </c>
      <c r="X580" s="64">
        <f>IF(ISERROR(VLOOKUP($U$580,'TAR FIN'!$A$1:$O$92,15,0)),0,VLOOKUP($U$580,'TAR FIN'!$A$1:$O$92,15,0))</f>
        <v>0</v>
      </c>
      <c r="Y580" s="64">
        <f ca="1">('TUSD BE'!$AM$10+'TUSD BF'!$AM$10+'TUSD CVA'!$AM$10)*1*(1-0.02)</f>
        <v>18.643987249835956</v>
      </c>
      <c r="Z580" s="64"/>
      <c r="AA580" s="64"/>
      <c r="AB580" s="4">
        <f>$K$580*$V$580</f>
        <v>13562.495999999999</v>
      </c>
      <c r="AC580" s="4">
        <f>$M$580*$W$580</f>
        <v>0</v>
      </c>
      <c r="AD580" s="4">
        <f>$O$580*$X$580</f>
        <v>0</v>
      </c>
      <c r="AE580" s="4">
        <f ca="1">$K$580*$Y$580</f>
        <v>17991.447696091698</v>
      </c>
      <c r="AF580" s="4">
        <f>$M$580*$Z$580</f>
        <v>0</v>
      </c>
      <c r="AG580" s="4">
        <f>$O$580*$AA$580</f>
        <v>0</v>
      </c>
    </row>
    <row r="581" spans="1:33" ht="11.25" customHeight="1" x14ac:dyDescent="0.25">
      <c r="A581" s="3" t="s">
        <v>28</v>
      </c>
      <c r="B581" s="3" t="s">
        <v>39</v>
      </c>
      <c r="C581" s="3" t="s">
        <v>41</v>
      </c>
      <c r="D581" s="3" t="s">
        <v>44</v>
      </c>
      <c r="E581" s="3" t="s">
        <v>25</v>
      </c>
      <c r="F581" s="3" t="s">
        <v>25</v>
      </c>
      <c r="G581" s="3" t="s">
        <v>25</v>
      </c>
      <c r="H581" s="3" t="s">
        <v>25</v>
      </c>
      <c r="I581" s="6">
        <v>44774</v>
      </c>
      <c r="J581" s="4">
        <v>499</v>
      </c>
      <c r="K581" s="64">
        <v>499</v>
      </c>
      <c r="L581" s="4">
        <v>0</v>
      </c>
      <c r="M581" s="64">
        <v>0</v>
      </c>
      <c r="N581" s="4">
        <v>0</v>
      </c>
      <c r="O581" s="64">
        <v>0</v>
      </c>
      <c r="P581" s="4">
        <v>3</v>
      </c>
      <c r="Q581" s="3" t="s">
        <v>26</v>
      </c>
      <c r="R581" s="3">
        <v>0</v>
      </c>
      <c r="S581" s="4">
        <v>18</v>
      </c>
      <c r="T581" s="4">
        <v>0</v>
      </c>
      <c r="U581" s="4">
        <v>0</v>
      </c>
      <c r="V581" s="64">
        <f>IF(ISERROR(VLOOKUP($S$581,'TAR FIN'!$A$1:$O$92,15,0)),0,VLOOKUP($S$581,'TAR FIN'!$A$1:$O$92,15,0))*(1-0.04)</f>
        <v>14.054399999999999</v>
      </c>
      <c r="W581" s="64">
        <f>IF(ISERROR(VLOOKUP($T$581,'TAR FIN'!$A$1:$O$92,15,0)),0,VLOOKUP($T$581,'TAR FIN'!$A$1:$O$92,15,0))</f>
        <v>0</v>
      </c>
      <c r="X581" s="64">
        <f>IF(ISERROR(VLOOKUP($U$581,'TAR FIN'!$A$1:$O$92,15,0)),0,VLOOKUP($U$581,'TAR FIN'!$A$1:$O$92,15,0))</f>
        <v>0</v>
      </c>
      <c r="Y581" s="64">
        <f ca="1">('TUSD BE'!$AM$10+'TUSD BF'!$AM$10+'TUSD CVA'!$AM$10)*1*(1-0.02)</f>
        <v>18.643987249835956</v>
      </c>
      <c r="Z581" s="64"/>
      <c r="AA581" s="64"/>
      <c r="AB581" s="4">
        <f>$K$581*$V$581</f>
        <v>7013.1455999999998</v>
      </c>
      <c r="AC581" s="4">
        <f>$M$581*$W$581</f>
        <v>0</v>
      </c>
      <c r="AD581" s="4">
        <f>$O$581*$X$581</f>
        <v>0</v>
      </c>
      <c r="AE581" s="4">
        <f ca="1">$K$581*$Y$581</f>
        <v>9303.3496376681414</v>
      </c>
      <c r="AF581" s="4">
        <f>$M$581*$Z$581</f>
        <v>0</v>
      </c>
      <c r="AG581" s="4">
        <f>$O$581*$AA$581</f>
        <v>0</v>
      </c>
    </row>
    <row r="582" spans="1:33" ht="11.25" customHeight="1" x14ac:dyDescent="0.25">
      <c r="A582" s="3" t="s">
        <v>21</v>
      </c>
      <c r="B582" s="3" t="s">
        <v>39</v>
      </c>
      <c r="C582" s="3" t="s">
        <v>41</v>
      </c>
      <c r="D582" s="3" t="s">
        <v>44</v>
      </c>
      <c r="E582" s="3" t="s">
        <v>25</v>
      </c>
      <c r="F582" s="3" t="s">
        <v>25</v>
      </c>
      <c r="G582" s="3" t="s">
        <v>25</v>
      </c>
      <c r="H582" s="3" t="s">
        <v>25</v>
      </c>
      <c r="I582" s="6">
        <v>44805</v>
      </c>
      <c r="J582" s="4">
        <v>974</v>
      </c>
      <c r="K582" s="64">
        <v>974</v>
      </c>
      <c r="L582" s="4">
        <v>0</v>
      </c>
      <c r="M582" s="64">
        <v>0</v>
      </c>
      <c r="N582" s="4">
        <v>0</v>
      </c>
      <c r="O582" s="64">
        <v>0</v>
      </c>
      <c r="P582" s="4">
        <v>12</v>
      </c>
      <c r="Q582" s="3" t="s">
        <v>26</v>
      </c>
      <c r="R582" s="3">
        <v>0</v>
      </c>
      <c r="S582" s="4">
        <v>18</v>
      </c>
      <c r="T582" s="4">
        <v>0</v>
      </c>
      <c r="U582" s="4">
        <v>0</v>
      </c>
      <c r="V582" s="64">
        <f>IF(ISERROR(VLOOKUP($S$582,'TAR FIN'!$A$1:$O$92,15,0)),0,VLOOKUP($S$582,'TAR FIN'!$A$1:$O$92,15,0))*(1-0.04)</f>
        <v>14.054399999999999</v>
      </c>
      <c r="W582" s="64">
        <f>IF(ISERROR(VLOOKUP($T$582,'TAR FIN'!$A$1:$O$92,15,0)),0,VLOOKUP($T$582,'TAR FIN'!$A$1:$O$92,15,0))</f>
        <v>0</v>
      </c>
      <c r="X582" s="64">
        <f>IF(ISERROR(VLOOKUP($U$582,'TAR FIN'!$A$1:$O$92,15,0)),0,VLOOKUP($U$582,'TAR FIN'!$A$1:$O$92,15,0))</f>
        <v>0</v>
      </c>
      <c r="Y582" s="64">
        <f ca="1">('TUSD BE'!$AM$10+'TUSD BF'!$AM$10+'TUSD CVA'!$AM$10)*1*(1-0.02)</f>
        <v>18.643987249835956</v>
      </c>
      <c r="Z582" s="64"/>
      <c r="AA582" s="64"/>
      <c r="AB582" s="4">
        <f>$K$582*$V$582</f>
        <v>13688.9856</v>
      </c>
      <c r="AC582" s="4">
        <f>$M$582*$W$582</f>
        <v>0</v>
      </c>
      <c r="AD582" s="4">
        <f>$O$582*$X$582</f>
        <v>0</v>
      </c>
      <c r="AE582" s="4">
        <f ca="1">$K$582*$Y$582</f>
        <v>18159.243581340219</v>
      </c>
      <c r="AF582" s="4">
        <f>$M$582*$Z$582</f>
        <v>0</v>
      </c>
      <c r="AG582" s="4">
        <f>$O$582*$AA$582</f>
        <v>0</v>
      </c>
    </row>
    <row r="583" spans="1:33" ht="11.25" customHeight="1" x14ac:dyDescent="0.25">
      <c r="A583" s="3" t="s">
        <v>28</v>
      </c>
      <c r="B583" s="3" t="s">
        <v>39</v>
      </c>
      <c r="C583" s="3" t="s">
        <v>41</v>
      </c>
      <c r="D583" s="3" t="s">
        <v>44</v>
      </c>
      <c r="E583" s="3" t="s">
        <v>25</v>
      </c>
      <c r="F583" s="3" t="s">
        <v>25</v>
      </c>
      <c r="G583" s="3" t="s">
        <v>25</v>
      </c>
      <c r="H583" s="3" t="s">
        <v>25</v>
      </c>
      <c r="I583" s="6">
        <v>44805</v>
      </c>
      <c r="J583" s="4">
        <v>251</v>
      </c>
      <c r="K583" s="64">
        <v>251</v>
      </c>
      <c r="L583" s="4">
        <v>0</v>
      </c>
      <c r="M583" s="64">
        <v>0</v>
      </c>
      <c r="N583" s="4">
        <v>0</v>
      </c>
      <c r="O583" s="64">
        <v>0</v>
      </c>
      <c r="P583" s="4">
        <v>2</v>
      </c>
      <c r="Q583" s="3" t="s">
        <v>26</v>
      </c>
      <c r="R583" s="3">
        <v>0</v>
      </c>
      <c r="S583" s="4">
        <v>18</v>
      </c>
      <c r="T583" s="4">
        <v>0</v>
      </c>
      <c r="U583" s="4">
        <v>0</v>
      </c>
      <c r="V583" s="64">
        <f>IF(ISERROR(VLOOKUP($S$583,'TAR FIN'!$A$1:$O$92,15,0)),0,VLOOKUP($S$583,'TAR FIN'!$A$1:$O$92,15,0))*(1-0.04)</f>
        <v>14.054399999999999</v>
      </c>
      <c r="W583" s="64">
        <f>IF(ISERROR(VLOOKUP($T$583,'TAR FIN'!$A$1:$O$92,15,0)),0,VLOOKUP($T$583,'TAR FIN'!$A$1:$O$92,15,0))</f>
        <v>0</v>
      </c>
      <c r="X583" s="64">
        <f>IF(ISERROR(VLOOKUP($U$583,'TAR FIN'!$A$1:$O$92,15,0)),0,VLOOKUP($U$583,'TAR FIN'!$A$1:$O$92,15,0))</f>
        <v>0</v>
      </c>
      <c r="Y583" s="64">
        <f ca="1">('TUSD BE'!$AM$10+'TUSD BF'!$AM$10+'TUSD CVA'!$AM$10)*1*(1-0.02)</f>
        <v>18.643987249835956</v>
      </c>
      <c r="Z583" s="64"/>
      <c r="AA583" s="64"/>
      <c r="AB583" s="4">
        <f>$K$583*$V$583</f>
        <v>3527.6543999999999</v>
      </c>
      <c r="AC583" s="4">
        <f>$M$583*$W$583</f>
        <v>0</v>
      </c>
      <c r="AD583" s="4">
        <f>$O$583*$X$583</f>
        <v>0</v>
      </c>
      <c r="AE583" s="4">
        <f ca="1">$K$583*$Y$583</f>
        <v>4679.6407997088245</v>
      </c>
      <c r="AF583" s="4">
        <f>$M$583*$Z$583</f>
        <v>0</v>
      </c>
      <c r="AG583" s="4">
        <f>$O$583*$AA$583</f>
        <v>0</v>
      </c>
    </row>
    <row r="584" spans="1:33" ht="11.25" customHeight="1" x14ac:dyDescent="0.25">
      <c r="A584" s="3" t="s">
        <v>55</v>
      </c>
      <c r="B584" s="3" t="s">
        <v>39</v>
      </c>
      <c r="C584" s="3" t="s">
        <v>41</v>
      </c>
      <c r="D584" s="3" t="s">
        <v>44</v>
      </c>
      <c r="E584" s="3" t="s">
        <v>25</v>
      </c>
      <c r="F584" s="3" t="s">
        <v>25</v>
      </c>
      <c r="G584" s="3" t="s">
        <v>25</v>
      </c>
      <c r="H584" s="3" t="s">
        <v>25</v>
      </c>
      <c r="I584" s="6">
        <v>44835</v>
      </c>
      <c r="J584" s="4">
        <v>974</v>
      </c>
      <c r="K584" s="64">
        <v>974</v>
      </c>
      <c r="L584" s="4">
        <v>0</v>
      </c>
      <c r="M584" s="64">
        <v>0</v>
      </c>
      <c r="N584" s="4">
        <v>0</v>
      </c>
      <c r="O584" s="64">
        <v>0</v>
      </c>
      <c r="P584" s="4">
        <v>12</v>
      </c>
      <c r="Q584" s="3" t="s">
        <v>26</v>
      </c>
      <c r="R584" s="3">
        <v>0</v>
      </c>
      <c r="S584" s="4">
        <v>18</v>
      </c>
      <c r="T584" s="4">
        <v>0</v>
      </c>
      <c r="U584" s="4">
        <v>0</v>
      </c>
      <c r="V584" s="64">
        <f>IF(ISERROR(VLOOKUP($S$584,'TAR FIN'!$A$1:$O$92,15,0)),0,VLOOKUP($S$584,'TAR FIN'!$A$1:$O$92,15,0))*(1-0.04)</f>
        <v>14.054399999999999</v>
      </c>
      <c r="W584" s="64">
        <f>IF(ISERROR(VLOOKUP($T$584,'TAR FIN'!$A$1:$O$92,15,0)),0,VLOOKUP($T$584,'TAR FIN'!$A$1:$O$92,15,0))</f>
        <v>0</v>
      </c>
      <c r="X584" s="64">
        <f>IF(ISERROR(VLOOKUP($U$584,'TAR FIN'!$A$1:$O$92,15,0)),0,VLOOKUP($U$584,'TAR FIN'!$A$1:$O$92,15,0))</f>
        <v>0</v>
      </c>
      <c r="Y584" s="64">
        <f ca="1">('TUSD BE'!$AM$10+'TUSD BF'!$AM$10+'TUSD CVA'!$AM$10)*1*(1-0.02)</f>
        <v>18.643987249835956</v>
      </c>
      <c r="Z584" s="64"/>
      <c r="AA584" s="64"/>
      <c r="AB584" s="4">
        <f>$K$584*$V$584</f>
        <v>13688.9856</v>
      </c>
      <c r="AC584" s="4">
        <f>$M$584*$W$584</f>
        <v>0</v>
      </c>
      <c r="AD584" s="4">
        <f>$O$584*$X$584</f>
        <v>0</v>
      </c>
      <c r="AE584" s="4">
        <f ca="1">$K$584*$Y$584</f>
        <v>18159.243581340219</v>
      </c>
      <c r="AF584" s="4">
        <f>$M$584*$Z$584</f>
        <v>0</v>
      </c>
      <c r="AG584" s="4">
        <f>$O$584*$AA$584</f>
        <v>0</v>
      </c>
    </row>
    <row r="585" spans="1:33" ht="11.25" customHeight="1" x14ac:dyDescent="0.25">
      <c r="A585" s="3" t="s">
        <v>55</v>
      </c>
      <c r="B585" s="3" t="s">
        <v>39</v>
      </c>
      <c r="C585" s="3" t="s">
        <v>41</v>
      </c>
      <c r="D585" s="3" t="s">
        <v>44</v>
      </c>
      <c r="E585" s="3" t="s">
        <v>25</v>
      </c>
      <c r="F585" s="3" t="s">
        <v>25</v>
      </c>
      <c r="G585" s="3" t="s">
        <v>25</v>
      </c>
      <c r="H585" s="3" t="s">
        <v>25</v>
      </c>
      <c r="I585" s="6">
        <v>44835</v>
      </c>
      <c r="J585" s="4">
        <v>251</v>
      </c>
      <c r="K585" s="64">
        <v>251</v>
      </c>
      <c r="L585" s="4">
        <v>0</v>
      </c>
      <c r="M585" s="64">
        <v>0</v>
      </c>
      <c r="N585" s="4">
        <v>0</v>
      </c>
      <c r="O585" s="64">
        <v>0</v>
      </c>
      <c r="P585" s="4">
        <v>2</v>
      </c>
      <c r="Q585" s="3" t="s">
        <v>26</v>
      </c>
      <c r="R585" s="3">
        <v>0</v>
      </c>
      <c r="S585" s="4">
        <v>18</v>
      </c>
      <c r="T585" s="4">
        <v>0</v>
      </c>
      <c r="U585" s="4">
        <v>0</v>
      </c>
      <c r="V585" s="64">
        <f>IF(ISERROR(VLOOKUP($S$585,'TAR FIN'!$A$1:$O$92,15,0)),0,VLOOKUP($S$585,'TAR FIN'!$A$1:$O$92,15,0))*(1-0.04)</f>
        <v>14.054399999999999</v>
      </c>
      <c r="W585" s="64">
        <f>IF(ISERROR(VLOOKUP($T$585,'TAR FIN'!$A$1:$O$92,15,0)),0,VLOOKUP($T$585,'TAR FIN'!$A$1:$O$92,15,0))</f>
        <v>0</v>
      </c>
      <c r="X585" s="64">
        <f>IF(ISERROR(VLOOKUP($U$585,'TAR FIN'!$A$1:$O$92,15,0)),0,VLOOKUP($U$585,'TAR FIN'!$A$1:$O$92,15,0))</f>
        <v>0</v>
      </c>
      <c r="Y585" s="64">
        <f ca="1">('TUSD BE'!$AM$10+'TUSD BF'!$AM$10+'TUSD CVA'!$AM$10)*1*(1-0.02)</f>
        <v>18.643987249835956</v>
      </c>
      <c r="Z585" s="64"/>
      <c r="AA585" s="64"/>
      <c r="AB585" s="4">
        <f>$K$585*$V$585</f>
        <v>3527.6543999999999</v>
      </c>
      <c r="AC585" s="4">
        <f>$M$585*$W$585</f>
        <v>0</v>
      </c>
      <c r="AD585" s="4">
        <f>$O$585*$X$585</f>
        <v>0</v>
      </c>
      <c r="AE585" s="4">
        <f ca="1">$K$585*$Y$585</f>
        <v>4679.6407997088245</v>
      </c>
      <c r="AF585" s="4">
        <f>$M$585*$Z$585</f>
        <v>0</v>
      </c>
      <c r="AG585" s="4">
        <f>$O$585*$AA$585</f>
        <v>0</v>
      </c>
    </row>
    <row r="586" spans="1:33" ht="11.25" customHeight="1" x14ac:dyDescent="0.25">
      <c r="A586" s="3" t="s">
        <v>21</v>
      </c>
      <c r="B586" s="3" t="s">
        <v>39</v>
      </c>
      <c r="C586" s="3" t="s">
        <v>41</v>
      </c>
      <c r="D586" s="3" t="s">
        <v>44</v>
      </c>
      <c r="E586" s="3" t="s">
        <v>25</v>
      </c>
      <c r="F586" s="3" t="s">
        <v>25</v>
      </c>
      <c r="G586" s="3" t="s">
        <v>25</v>
      </c>
      <c r="H586" s="3" t="s">
        <v>34</v>
      </c>
      <c r="I586" s="6">
        <v>44501</v>
      </c>
      <c r="J586" s="4">
        <v>0</v>
      </c>
      <c r="K586" s="64">
        <v>0</v>
      </c>
      <c r="L586" s="4">
        <v>11.599</v>
      </c>
      <c r="M586" s="64">
        <v>11.599</v>
      </c>
      <c r="N586" s="4">
        <v>11.599</v>
      </c>
      <c r="O586" s="64">
        <v>11.599</v>
      </c>
      <c r="P586" s="4">
        <v>0</v>
      </c>
      <c r="Q586" s="3" t="s">
        <v>26</v>
      </c>
      <c r="R586" s="3">
        <v>0</v>
      </c>
      <c r="S586" s="4">
        <v>0</v>
      </c>
      <c r="T586" s="4">
        <v>11</v>
      </c>
      <c r="U586" s="4">
        <v>71</v>
      </c>
      <c r="V586" s="64">
        <f>IF(ISERROR(VLOOKUP($S$586,'TAR FIN'!$A$1:$O$92,15,0)),0,VLOOKUP($S$586,'TAR FIN'!$A$1:$O$92,15,0))</f>
        <v>0</v>
      </c>
      <c r="W586" s="64">
        <f>IF(ISERROR(VLOOKUP($T$586,'TAR FIN'!$A$1:$O$92,15,0)),0,VLOOKUP($T$586,'TAR FIN'!$A$1:$O$92,15,0))*(1-0.04)</f>
        <v>1109.2895999999998</v>
      </c>
      <c r="X586" s="64">
        <f>IF(ISERROR(VLOOKUP($U$586,'TAR FIN'!$A$1:$O$92,15,0)),0,VLOOKUP($U$586,'TAR FIN'!$A$1:$O$92,15,0))*(1-0.04)</f>
        <v>416.41919999999999</v>
      </c>
      <c r="Y586" s="64"/>
      <c r="Z586" s="64">
        <f ca="1">('TUSD BE'!$AM$11+'TUSD BF'!$AM$11+'TUSD CVA'!$AM$11)*1*(1-0.02)</f>
        <v>1463.9061467887163</v>
      </c>
      <c r="AA586" s="64">
        <f>('TE BE'!$AB$5+'TE BF'!$AB$5+'TE CVA'!$AB$5)*1*(1-0.02)</f>
        <v>531.98726410884376</v>
      </c>
      <c r="AB586" s="4">
        <f>$K$586*$V$586</f>
        <v>0</v>
      </c>
      <c r="AC586" s="4">
        <f>$M$586*$W$586</f>
        <v>12866.650070399999</v>
      </c>
      <c r="AD586" s="4">
        <f>$O$586*$X$586</f>
        <v>4830.0463007999997</v>
      </c>
      <c r="AE586" s="4">
        <f>$K$586*$Y$586</f>
        <v>0</v>
      </c>
      <c r="AF586" s="4">
        <f ca="1">$M$586*$Z$586</f>
        <v>16979.847396602319</v>
      </c>
      <c r="AG586" s="4">
        <f>$O$586*$AA$586</f>
        <v>6170.5202763984789</v>
      </c>
    </row>
    <row r="587" spans="1:33" ht="11.25" customHeight="1" x14ac:dyDescent="0.25">
      <c r="A587" s="3" t="s">
        <v>21</v>
      </c>
      <c r="B587" s="3" t="s">
        <v>39</v>
      </c>
      <c r="C587" s="3" t="s">
        <v>41</v>
      </c>
      <c r="D587" s="3" t="s">
        <v>44</v>
      </c>
      <c r="E587" s="3" t="s">
        <v>25</v>
      </c>
      <c r="F587" s="3" t="s">
        <v>25</v>
      </c>
      <c r="G587" s="3" t="s">
        <v>25</v>
      </c>
      <c r="H587" s="3" t="s">
        <v>34</v>
      </c>
      <c r="I587" s="6">
        <v>44531</v>
      </c>
      <c r="J587" s="4">
        <v>0</v>
      </c>
      <c r="K587" s="64">
        <v>0</v>
      </c>
      <c r="L587" s="4">
        <v>23.734999999999999</v>
      </c>
      <c r="M587" s="64">
        <v>23.734999999999999</v>
      </c>
      <c r="N587" s="4">
        <v>23.734999999999999</v>
      </c>
      <c r="O587" s="64">
        <v>23.734999999999999</v>
      </c>
      <c r="P587" s="4">
        <v>0</v>
      </c>
      <c r="Q587" s="3" t="s">
        <v>26</v>
      </c>
      <c r="R587" s="3">
        <v>0</v>
      </c>
      <c r="S587" s="4">
        <v>0</v>
      </c>
      <c r="T587" s="4">
        <v>11</v>
      </c>
      <c r="U587" s="4">
        <v>71</v>
      </c>
      <c r="V587" s="64">
        <f>IF(ISERROR(VLOOKUP($S$587,'TAR FIN'!$A$1:$O$92,15,0)),0,VLOOKUP($S$587,'TAR FIN'!$A$1:$O$92,15,0))</f>
        <v>0</v>
      </c>
      <c r="W587" s="64">
        <f>IF(ISERROR(VLOOKUP($T$587,'TAR FIN'!$A$1:$O$92,15,0)),0,VLOOKUP($T$587,'TAR FIN'!$A$1:$O$92,15,0))*(1-0.04)</f>
        <v>1109.2895999999998</v>
      </c>
      <c r="X587" s="64">
        <f>IF(ISERROR(VLOOKUP($U$587,'TAR FIN'!$A$1:$O$92,15,0)),0,VLOOKUP($U$587,'TAR FIN'!$A$1:$O$92,15,0))*(1-0.04)</f>
        <v>416.41919999999999</v>
      </c>
      <c r="Y587" s="64"/>
      <c r="Z587" s="64">
        <f ca="1">('TUSD BE'!$AM$11+'TUSD BF'!$AM$11+'TUSD CVA'!$AM$11)*1*(1-0.02)</f>
        <v>1463.9061467887163</v>
      </c>
      <c r="AA587" s="64">
        <f>('TE BE'!$AB$5+'TE BF'!$AB$5+'TE CVA'!$AB$5)*1*(1-0.02)</f>
        <v>531.98726410884376</v>
      </c>
      <c r="AB587" s="4">
        <f>$K$587*$V$587</f>
        <v>0</v>
      </c>
      <c r="AC587" s="4">
        <f>$M$587*$W$587</f>
        <v>26328.988655999994</v>
      </c>
      <c r="AD587" s="4">
        <f>$O$587*$X$587</f>
        <v>9883.7097119999999</v>
      </c>
      <c r="AE587" s="4">
        <f>$K$587*$Y$587</f>
        <v>0</v>
      </c>
      <c r="AF587" s="4">
        <f ca="1">$M$587*$Z$587</f>
        <v>34745.812394030181</v>
      </c>
      <c r="AG587" s="4">
        <f>$O$587*$AA$587</f>
        <v>12626.717713623406</v>
      </c>
    </row>
    <row r="588" spans="1:33" ht="11.25" customHeight="1" x14ac:dyDescent="0.25">
      <c r="A588" s="3" t="s">
        <v>21</v>
      </c>
      <c r="B588" s="3" t="s">
        <v>39</v>
      </c>
      <c r="C588" s="3" t="s">
        <v>41</v>
      </c>
      <c r="D588" s="3" t="s">
        <v>44</v>
      </c>
      <c r="E588" s="3" t="s">
        <v>25</v>
      </c>
      <c r="F588" s="3" t="s">
        <v>25</v>
      </c>
      <c r="G588" s="3" t="s">
        <v>25</v>
      </c>
      <c r="H588" s="3" t="s">
        <v>34</v>
      </c>
      <c r="I588" s="6">
        <v>44562</v>
      </c>
      <c r="J588" s="4">
        <v>0</v>
      </c>
      <c r="K588" s="64">
        <v>0</v>
      </c>
      <c r="L588" s="4">
        <v>42.036000000000001</v>
      </c>
      <c r="M588" s="64">
        <v>42.036000000000001</v>
      </c>
      <c r="N588" s="4">
        <v>42.036000000000001</v>
      </c>
      <c r="O588" s="64">
        <v>42.036000000000001</v>
      </c>
      <c r="P588" s="4">
        <v>0</v>
      </c>
      <c r="Q588" s="3" t="s">
        <v>26</v>
      </c>
      <c r="R588" s="3">
        <v>0</v>
      </c>
      <c r="S588" s="4">
        <v>0</v>
      </c>
      <c r="T588" s="4">
        <v>11</v>
      </c>
      <c r="U588" s="4">
        <v>71</v>
      </c>
      <c r="V588" s="64">
        <f>IF(ISERROR(VLOOKUP($S$588,'TAR FIN'!$A$1:$O$92,15,0)),0,VLOOKUP($S$588,'TAR FIN'!$A$1:$O$92,15,0))</f>
        <v>0</v>
      </c>
      <c r="W588" s="64">
        <f>IF(ISERROR(VLOOKUP($T$588,'TAR FIN'!$A$1:$O$92,15,0)),0,VLOOKUP($T$588,'TAR FIN'!$A$1:$O$92,15,0))*(1-0.04)</f>
        <v>1109.2895999999998</v>
      </c>
      <c r="X588" s="64">
        <f>IF(ISERROR(VLOOKUP($U$588,'TAR FIN'!$A$1:$O$92,15,0)),0,VLOOKUP($U$588,'TAR FIN'!$A$1:$O$92,15,0))*(1-0.04)</f>
        <v>416.41919999999999</v>
      </c>
      <c r="Y588" s="64"/>
      <c r="Z588" s="64">
        <f ca="1">('TUSD BE'!$AM$11+'TUSD BF'!$AM$11+'TUSD CVA'!$AM$11)*1*(1-0.02)</f>
        <v>1463.9061467887163</v>
      </c>
      <c r="AA588" s="64">
        <f>('TE BE'!$AB$5+'TE BF'!$AB$5+'TE CVA'!$AB$5)*1*(1-0.02)</f>
        <v>531.98726410884376</v>
      </c>
      <c r="AB588" s="4">
        <f>$K$588*$V$588</f>
        <v>0</v>
      </c>
      <c r="AC588" s="4">
        <f>$M$588*$W$588</f>
        <v>46630.097625599992</v>
      </c>
      <c r="AD588" s="4">
        <f>$O$588*$X$588</f>
        <v>17504.597491199998</v>
      </c>
      <c r="AE588" s="4">
        <f>$K$588*$Y$588</f>
        <v>0</v>
      </c>
      <c r="AF588" s="4">
        <f ca="1">$M$588*$Z$588</f>
        <v>61536.758786410479</v>
      </c>
      <c r="AG588" s="4">
        <f>$O$588*$AA$588</f>
        <v>22362.616634079357</v>
      </c>
    </row>
    <row r="589" spans="1:33" ht="11.25" customHeight="1" x14ac:dyDescent="0.25">
      <c r="A589" s="3" t="s">
        <v>21</v>
      </c>
      <c r="B589" s="3" t="s">
        <v>39</v>
      </c>
      <c r="C589" s="3" t="s">
        <v>41</v>
      </c>
      <c r="D589" s="3" t="s">
        <v>44</v>
      </c>
      <c r="E589" s="3" t="s">
        <v>25</v>
      </c>
      <c r="F589" s="3" t="s">
        <v>25</v>
      </c>
      <c r="G589" s="3" t="s">
        <v>25</v>
      </c>
      <c r="H589" s="3" t="s">
        <v>34</v>
      </c>
      <c r="I589" s="6">
        <v>44593</v>
      </c>
      <c r="J589" s="4">
        <v>0</v>
      </c>
      <c r="K589" s="64">
        <v>0</v>
      </c>
      <c r="L589" s="4">
        <v>23.89</v>
      </c>
      <c r="M589" s="64">
        <v>23.89</v>
      </c>
      <c r="N589" s="4">
        <v>23.89</v>
      </c>
      <c r="O589" s="64">
        <v>23.89</v>
      </c>
      <c r="P589" s="4">
        <v>0</v>
      </c>
      <c r="Q589" s="3" t="s">
        <v>26</v>
      </c>
      <c r="R589" s="3">
        <v>0</v>
      </c>
      <c r="S589" s="4">
        <v>0</v>
      </c>
      <c r="T589" s="4">
        <v>11</v>
      </c>
      <c r="U589" s="4">
        <v>71</v>
      </c>
      <c r="V589" s="64">
        <f>IF(ISERROR(VLOOKUP($S$589,'TAR FIN'!$A$1:$O$92,15,0)),0,VLOOKUP($S$589,'TAR FIN'!$A$1:$O$92,15,0))</f>
        <v>0</v>
      </c>
      <c r="W589" s="64">
        <f>IF(ISERROR(VLOOKUP($T$589,'TAR FIN'!$A$1:$O$92,15,0)),0,VLOOKUP($T$589,'TAR FIN'!$A$1:$O$92,15,0))*(1-0.04)</f>
        <v>1109.2895999999998</v>
      </c>
      <c r="X589" s="64">
        <f>IF(ISERROR(VLOOKUP($U$589,'TAR FIN'!$A$1:$O$92,15,0)),0,VLOOKUP($U$589,'TAR FIN'!$A$1:$O$92,15,0))*(1-0.04)</f>
        <v>416.41919999999999</v>
      </c>
      <c r="Y589" s="64"/>
      <c r="Z589" s="64">
        <f ca="1">('TUSD BE'!$AM$11+'TUSD BF'!$AM$11+'TUSD CVA'!$AM$11)*1*(1-0.02)</f>
        <v>1463.9061467887163</v>
      </c>
      <c r="AA589" s="64">
        <f>('TE BE'!$AB$5+'TE BF'!$AB$5+'TE CVA'!$AB$5)*1*(1-0.02)</f>
        <v>531.98726410884376</v>
      </c>
      <c r="AB589" s="4">
        <f>$K$589*$V$589</f>
        <v>0</v>
      </c>
      <c r="AC589" s="4">
        <f>$M$589*$W$589</f>
        <v>26500.928543999999</v>
      </c>
      <c r="AD589" s="4">
        <f>$O$589*$X$589</f>
        <v>9948.2546879999991</v>
      </c>
      <c r="AE589" s="4">
        <f>$K$589*$Y$589</f>
        <v>0</v>
      </c>
      <c r="AF589" s="4">
        <f ca="1">$M$589*$Z$589</f>
        <v>34972.717846782434</v>
      </c>
      <c r="AG589" s="4">
        <f>$O$589*$AA$589</f>
        <v>12709.175739560278</v>
      </c>
    </row>
    <row r="590" spans="1:33" ht="11.25" customHeight="1" x14ac:dyDescent="0.25">
      <c r="A590" s="3" t="s">
        <v>21</v>
      </c>
      <c r="B590" s="3" t="s">
        <v>39</v>
      </c>
      <c r="C590" s="3" t="s">
        <v>41</v>
      </c>
      <c r="D590" s="3" t="s">
        <v>44</v>
      </c>
      <c r="E590" s="3" t="s">
        <v>25</v>
      </c>
      <c r="F590" s="3" t="s">
        <v>25</v>
      </c>
      <c r="G590" s="3" t="s">
        <v>25</v>
      </c>
      <c r="H590" s="3" t="s">
        <v>34</v>
      </c>
      <c r="I590" s="6">
        <v>44621</v>
      </c>
      <c r="J590" s="4">
        <v>0</v>
      </c>
      <c r="K590" s="64">
        <v>0</v>
      </c>
      <c r="L590" s="4">
        <v>10.209</v>
      </c>
      <c r="M590" s="64">
        <v>10.209</v>
      </c>
      <c r="N590" s="4">
        <v>10.209</v>
      </c>
      <c r="O590" s="64">
        <v>10.209</v>
      </c>
      <c r="P590" s="4">
        <v>0</v>
      </c>
      <c r="Q590" s="3" t="s">
        <v>26</v>
      </c>
      <c r="R590" s="3">
        <v>0</v>
      </c>
      <c r="S590" s="4">
        <v>0</v>
      </c>
      <c r="T590" s="4">
        <v>11</v>
      </c>
      <c r="U590" s="4">
        <v>71</v>
      </c>
      <c r="V590" s="64">
        <f>IF(ISERROR(VLOOKUP($S$590,'TAR FIN'!$A$1:$O$92,15,0)),0,VLOOKUP($S$590,'TAR FIN'!$A$1:$O$92,15,0))</f>
        <v>0</v>
      </c>
      <c r="W590" s="64">
        <f>IF(ISERROR(VLOOKUP($T$590,'TAR FIN'!$A$1:$O$92,15,0)),0,VLOOKUP($T$590,'TAR FIN'!$A$1:$O$92,15,0))*(1-0.04)</f>
        <v>1109.2895999999998</v>
      </c>
      <c r="X590" s="64">
        <f>IF(ISERROR(VLOOKUP($U$590,'TAR FIN'!$A$1:$O$92,15,0)),0,VLOOKUP($U$590,'TAR FIN'!$A$1:$O$92,15,0))*(1-0.04)</f>
        <v>416.41919999999999</v>
      </c>
      <c r="Y590" s="64"/>
      <c r="Z590" s="64">
        <f ca="1">('TUSD BE'!$AM$11+'TUSD BF'!$AM$11+'TUSD CVA'!$AM$11)*1*(1-0.02)</f>
        <v>1463.9061467887163</v>
      </c>
      <c r="AA590" s="64">
        <f>('TE BE'!$AB$5+'TE BF'!$AB$5+'TE CVA'!$AB$5)*1*(1-0.02)</f>
        <v>531.98726410884376</v>
      </c>
      <c r="AB590" s="4">
        <f>$K$590*$V$590</f>
        <v>0</v>
      </c>
      <c r="AC590" s="4">
        <f>$M$590*$W$590</f>
        <v>11324.737526399998</v>
      </c>
      <c r="AD590" s="4">
        <f>$O$590*$X$590</f>
        <v>4251.2236127999995</v>
      </c>
      <c r="AE590" s="4">
        <f>$K$590*$Y$590</f>
        <v>0</v>
      </c>
      <c r="AF590" s="4">
        <f ca="1">$M$590*$Z$590</f>
        <v>14945.017852566005</v>
      </c>
      <c r="AG590" s="4">
        <f>$O$590*$AA$590</f>
        <v>5431.0579792871858</v>
      </c>
    </row>
    <row r="591" spans="1:33" ht="11.25" customHeight="1" x14ac:dyDescent="0.25">
      <c r="A591" s="3" t="s">
        <v>21</v>
      </c>
      <c r="B591" s="3" t="s">
        <v>39</v>
      </c>
      <c r="C591" s="3" t="s">
        <v>41</v>
      </c>
      <c r="D591" s="3" t="s">
        <v>44</v>
      </c>
      <c r="E591" s="3" t="s">
        <v>25</v>
      </c>
      <c r="F591" s="3" t="s">
        <v>25</v>
      </c>
      <c r="G591" s="3" t="s">
        <v>25</v>
      </c>
      <c r="H591" s="3" t="s">
        <v>34</v>
      </c>
      <c r="I591" s="6">
        <v>44652</v>
      </c>
      <c r="J591" s="4">
        <v>0</v>
      </c>
      <c r="K591" s="64">
        <v>0</v>
      </c>
      <c r="L591" s="4">
        <v>10.209</v>
      </c>
      <c r="M591" s="64">
        <v>10.209</v>
      </c>
      <c r="N591" s="4">
        <v>10.209</v>
      </c>
      <c r="O591" s="64">
        <v>10.209</v>
      </c>
      <c r="P591" s="4">
        <v>0</v>
      </c>
      <c r="Q591" s="3" t="s">
        <v>26</v>
      </c>
      <c r="R591" s="3">
        <v>0</v>
      </c>
      <c r="S591" s="4">
        <v>0</v>
      </c>
      <c r="T591" s="4">
        <v>11</v>
      </c>
      <c r="U591" s="4">
        <v>71</v>
      </c>
      <c r="V591" s="64">
        <f>IF(ISERROR(VLOOKUP($S$591,'TAR FIN'!$A$1:$O$92,15,0)),0,VLOOKUP($S$591,'TAR FIN'!$A$1:$O$92,15,0))</f>
        <v>0</v>
      </c>
      <c r="W591" s="64">
        <f>IF(ISERROR(VLOOKUP($T$591,'TAR FIN'!$A$1:$O$92,15,0)),0,VLOOKUP($T$591,'TAR FIN'!$A$1:$O$92,15,0))*(1-0.04)</f>
        <v>1109.2895999999998</v>
      </c>
      <c r="X591" s="64">
        <f>IF(ISERROR(VLOOKUP($U$591,'TAR FIN'!$A$1:$O$92,15,0)),0,VLOOKUP($U$591,'TAR FIN'!$A$1:$O$92,15,0))*(1-0.04)</f>
        <v>416.41919999999999</v>
      </c>
      <c r="Y591" s="64"/>
      <c r="Z591" s="64">
        <f ca="1">('TUSD BE'!$AM$11+'TUSD BF'!$AM$11+'TUSD CVA'!$AM$11)*1*(1-0.02)</f>
        <v>1463.9061467887163</v>
      </c>
      <c r="AA591" s="64">
        <f>('TE BE'!$AB$5+'TE BF'!$AB$5+'TE CVA'!$AB$5)*1*(1-0.02)</f>
        <v>531.98726410884376</v>
      </c>
      <c r="AB591" s="4">
        <f>$K$591*$V$591</f>
        <v>0</v>
      </c>
      <c r="AC591" s="4">
        <f>$M$591*$W$591</f>
        <v>11324.737526399998</v>
      </c>
      <c r="AD591" s="4">
        <f>$O$591*$X$591</f>
        <v>4251.2236127999995</v>
      </c>
      <c r="AE591" s="4">
        <f>$K$591*$Y$591</f>
        <v>0</v>
      </c>
      <c r="AF591" s="4">
        <f ca="1">$M$591*$Z$591</f>
        <v>14945.017852566005</v>
      </c>
      <c r="AG591" s="4">
        <f>$O$591*$AA$591</f>
        <v>5431.0579792871858</v>
      </c>
    </row>
    <row r="592" spans="1:33" ht="11.25" customHeight="1" x14ac:dyDescent="0.25">
      <c r="A592" s="3" t="s">
        <v>21</v>
      </c>
      <c r="B592" s="3" t="s">
        <v>39</v>
      </c>
      <c r="C592" s="3" t="s">
        <v>41</v>
      </c>
      <c r="D592" s="3" t="s">
        <v>44</v>
      </c>
      <c r="E592" s="3" t="s">
        <v>25</v>
      </c>
      <c r="F592" s="3" t="s">
        <v>25</v>
      </c>
      <c r="G592" s="3" t="s">
        <v>25</v>
      </c>
      <c r="H592" s="3" t="s">
        <v>34</v>
      </c>
      <c r="I592" s="6">
        <v>44682</v>
      </c>
      <c r="J592" s="4">
        <v>0</v>
      </c>
      <c r="K592" s="64">
        <v>0</v>
      </c>
      <c r="L592" s="4">
        <v>6.5140000000000002</v>
      </c>
      <c r="M592" s="64">
        <v>6.5140000000000002</v>
      </c>
      <c r="N592" s="4">
        <v>6.5140000000000002</v>
      </c>
      <c r="O592" s="64">
        <v>6.5140000000000002</v>
      </c>
      <c r="P592" s="4">
        <v>0</v>
      </c>
      <c r="Q592" s="3" t="s">
        <v>26</v>
      </c>
      <c r="R592" s="3">
        <v>0</v>
      </c>
      <c r="S592" s="4">
        <v>0</v>
      </c>
      <c r="T592" s="4">
        <v>11</v>
      </c>
      <c r="U592" s="4">
        <v>71</v>
      </c>
      <c r="V592" s="64">
        <f>IF(ISERROR(VLOOKUP($S$592,'TAR FIN'!$A$1:$O$92,15,0)),0,VLOOKUP($S$592,'TAR FIN'!$A$1:$O$92,15,0))</f>
        <v>0</v>
      </c>
      <c r="W592" s="64">
        <f>IF(ISERROR(VLOOKUP($T$592,'TAR FIN'!$A$1:$O$92,15,0)),0,VLOOKUP($T$592,'TAR FIN'!$A$1:$O$92,15,0))*(1-0.04)</f>
        <v>1109.2895999999998</v>
      </c>
      <c r="X592" s="64">
        <f>IF(ISERROR(VLOOKUP($U$592,'TAR FIN'!$A$1:$O$92,15,0)),0,VLOOKUP($U$592,'TAR FIN'!$A$1:$O$92,15,0))*(1-0.04)</f>
        <v>416.41919999999999</v>
      </c>
      <c r="Y592" s="64"/>
      <c r="Z592" s="64">
        <f ca="1">('TUSD BE'!$AM$11+'TUSD BF'!$AM$11+'TUSD CVA'!$AM$11)*1*(1-0.02)</f>
        <v>1463.9061467887163</v>
      </c>
      <c r="AA592" s="64">
        <f>('TE BE'!$AB$5+'TE BF'!$AB$5+'TE CVA'!$AB$5)*1*(1-0.02)</f>
        <v>531.98726410884376</v>
      </c>
      <c r="AB592" s="4">
        <f>$K$592*$V$592</f>
        <v>0</v>
      </c>
      <c r="AC592" s="4">
        <f>$M$592*$W$592</f>
        <v>7225.9124543999988</v>
      </c>
      <c r="AD592" s="4">
        <f>$O$592*$X$592</f>
        <v>2712.5546687999999</v>
      </c>
      <c r="AE592" s="4">
        <f>$K$592*$Y$592</f>
        <v>0</v>
      </c>
      <c r="AF592" s="4">
        <f ca="1">$M$592*$Z$592</f>
        <v>9535.8846401816991</v>
      </c>
      <c r="AG592" s="4">
        <f>$O$592*$AA$592</f>
        <v>3465.3650384050084</v>
      </c>
    </row>
    <row r="593" spans="1:33" ht="11.25" customHeight="1" x14ac:dyDescent="0.25">
      <c r="A593" s="3" t="s">
        <v>28</v>
      </c>
      <c r="B593" s="3" t="s">
        <v>39</v>
      </c>
      <c r="C593" s="3" t="s">
        <v>41</v>
      </c>
      <c r="D593" s="3" t="s">
        <v>44</v>
      </c>
      <c r="E593" s="3" t="s">
        <v>25</v>
      </c>
      <c r="F593" s="3" t="s">
        <v>25</v>
      </c>
      <c r="G593" s="3" t="s">
        <v>25</v>
      </c>
      <c r="H593" s="3" t="s">
        <v>34</v>
      </c>
      <c r="I593" s="6">
        <v>44682</v>
      </c>
      <c r="J593" s="4">
        <v>0</v>
      </c>
      <c r="K593" s="64">
        <v>0</v>
      </c>
      <c r="L593" s="4">
        <v>22.812000000000001</v>
      </c>
      <c r="M593" s="64">
        <v>22.812000000000001</v>
      </c>
      <c r="N593" s="4">
        <v>22.812000000000001</v>
      </c>
      <c r="O593" s="64">
        <v>22.812000000000001</v>
      </c>
      <c r="P593" s="4">
        <v>0</v>
      </c>
      <c r="Q593" s="3" t="s">
        <v>26</v>
      </c>
      <c r="R593" s="3">
        <v>0</v>
      </c>
      <c r="S593" s="4">
        <v>0</v>
      </c>
      <c r="T593" s="4">
        <v>11</v>
      </c>
      <c r="U593" s="4">
        <v>71</v>
      </c>
      <c r="V593" s="64">
        <f>IF(ISERROR(VLOOKUP($S$593,'TAR FIN'!$A$1:$O$92,15,0)),0,VLOOKUP($S$593,'TAR FIN'!$A$1:$O$92,15,0))</f>
        <v>0</v>
      </c>
      <c r="W593" s="64">
        <f>IF(ISERROR(VLOOKUP($T$593,'TAR FIN'!$A$1:$O$92,15,0)),0,VLOOKUP($T$593,'TAR FIN'!$A$1:$O$92,15,0))*(1-0.04)</f>
        <v>1109.2895999999998</v>
      </c>
      <c r="X593" s="64">
        <f>IF(ISERROR(VLOOKUP($U$593,'TAR FIN'!$A$1:$O$92,15,0)),0,VLOOKUP($U$593,'TAR FIN'!$A$1:$O$92,15,0))*(1-0.04)</f>
        <v>416.41919999999999</v>
      </c>
      <c r="Y593" s="64"/>
      <c r="Z593" s="64">
        <f ca="1">('TUSD BE'!$AM$11+'TUSD BF'!$AM$11+'TUSD CVA'!$AM$11)*1*(1-0.02)</f>
        <v>1463.9061467887163</v>
      </c>
      <c r="AA593" s="64">
        <f>('TE BE'!$AB$5+'TE BF'!$AB$5+'TE CVA'!$AB$5)*1*(1-0.02)</f>
        <v>531.98726410884376</v>
      </c>
      <c r="AB593" s="4">
        <f>$K$593*$V$593</f>
        <v>0</v>
      </c>
      <c r="AC593" s="4">
        <f>$M$593*$W$593</f>
        <v>25305.114355199996</v>
      </c>
      <c r="AD593" s="4">
        <f>$O$593*$X$593</f>
        <v>9499.3547904000006</v>
      </c>
      <c r="AE593" s="4">
        <f>$K$593*$Y$593</f>
        <v>0</v>
      </c>
      <c r="AF593" s="4">
        <f ca="1">$M$593*$Z$593</f>
        <v>33394.627020544198</v>
      </c>
      <c r="AG593" s="4">
        <f>$O$593*$AA$593</f>
        <v>12135.693468850945</v>
      </c>
    </row>
    <row r="594" spans="1:33" ht="11.25" customHeight="1" x14ac:dyDescent="0.25">
      <c r="A594" s="3" t="s">
        <v>21</v>
      </c>
      <c r="B594" s="3" t="s">
        <v>39</v>
      </c>
      <c r="C594" s="3" t="s">
        <v>41</v>
      </c>
      <c r="D594" s="3" t="s">
        <v>44</v>
      </c>
      <c r="E594" s="3" t="s">
        <v>25</v>
      </c>
      <c r="F594" s="3" t="s">
        <v>25</v>
      </c>
      <c r="G594" s="3" t="s">
        <v>25</v>
      </c>
      <c r="H594" s="3" t="s">
        <v>34</v>
      </c>
      <c r="I594" s="6">
        <v>44713</v>
      </c>
      <c r="J594" s="4">
        <v>0</v>
      </c>
      <c r="K594" s="64">
        <v>0</v>
      </c>
      <c r="L594" s="4">
        <v>5.7629999999999999</v>
      </c>
      <c r="M594" s="64">
        <v>5.7629999999999999</v>
      </c>
      <c r="N594" s="4">
        <v>5.7629999999999999</v>
      </c>
      <c r="O594" s="64">
        <v>5.7629999999999999</v>
      </c>
      <c r="P594" s="4">
        <v>0</v>
      </c>
      <c r="Q594" s="3" t="s">
        <v>26</v>
      </c>
      <c r="R594" s="3">
        <v>0</v>
      </c>
      <c r="S594" s="4">
        <v>0</v>
      </c>
      <c r="T594" s="4">
        <v>11</v>
      </c>
      <c r="U594" s="4">
        <v>71</v>
      </c>
      <c r="V594" s="64">
        <f>IF(ISERROR(VLOOKUP($S$594,'TAR FIN'!$A$1:$O$92,15,0)),0,VLOOKUP($S$594,'TAR FIN'!$A$1:$O$92,15,0))</f>
        <v>0</v>
      </c>
      <c r="W594" s="64">
        <f>IF(ISERROR(VLOOKUP($T$594,'TAR FIN'!$A$1:$O$92,15,0)),0,VLOOKUP($T$594,'TAR FIN'!$A$1:$O$92,15,0))*(1-0.04)</f>
        <v>1109.2895999999998</v>
      </c>
      <c r="X594" s="64">
        <f>IF(ISERROR(VLOOKUP($U$594,'TAR FIN'!$A$1:$O$92,15,0)),0,VLOOKUP($U$594,'TAR FIN'!$A$1:$O$92,15,0))*(1-0.04)</f>
        <v>416.41919999999999</v>
      </c>
      <c r="Y594" s="64"/>
      <c r="Z594" s="64">
        <f ca="1">('TUSD BE'!$AM$11+'TUSD BF'!$AM$11+'TUSD CVA'!$AM$11)*1*(1-0.02)</f>
        <v>1463.9061467887163</v>
      </c>
      <c r="AA594" s="64">
        <f>('TE BE'!$AB$5+'TE BF'!$AB$5+'TE CVA'!$AB$5)*1*(1-0.02)</f>
        <v>531.98726410884376</v>
      </c>
      <c r="AB594" s="4">
        <f>$K$594*$V$594</f>
        <v>0</v>
      </c>
      <c r="AC594" s="4">
        <f>$M$594*$W$594</f>
        <v>6392.8359647999987</v>
      </c>
      <c r="AD594" s="4">
        <f>$O$594*$X$594</f>
        <v>2399.8238495999999</v>
      </c>
      <c r="AE594" s="4">
        <f>$K$594*$Y$594</f>
        <v>0</v>
      </c>
      <c r="AF594" s="4">
        <f ca="1">$M$594*$Z$594</f>
        <v>8436.4911239433713</v>
      </c>
      <c r="AG594" s="4">
        <f>$O$594*$AA$594</f>
        <v>3065.8426030592664</v>
      </c>
    </row>
    <row r="595" spans="1:33" ht="11.25" customHeight="1" x14ac:dyDescent="0.25">
      <c r="A595" s="3" t="s">
        <v>28</v>
      </c>
      <c r="B595" s="3" t="s">
        <v>39</v>
      </c>
      <c r="C595" s="3" t="s">
        <v>41</v>
      </c>
      <c r="D595" s="3" t="s">
        <v>44</v>
      </c>
      <c r="E595" s="3" t="s">
        <v>25</v>
      </c>
      <c r="F595" s="3" t="s">
        <v>25</v>
      </c>
      <c r="G595" s="3" t="s">
        <v>25</v>
      </c>
      <c r="H595" s="3" t="s">
        <v>34</v>
      </c>
      <c r="I595" s="6">
        <v>44713</v>
      </c>
      <c r="J595" s="4">
        <v>0</v>
      </c>
      <c r="K595" s="64">
        <v>0</v>
      </c>
      <c r="L595" s="4">
        <v>3.472</v>
      </c>
      <c r="M595" s="64">
        <v>3.472</v>
      </c>
      <c r="N595" s="4">
        <v>3.472</v>
      </c>
      <c r="O595" s="64">
        <v>3.472</v>
      </c>
      <c r="P595" s="4">
        <v>0</v>
      </c>
      <c r="Q595" s="3" t="s">
        <v>26</v>
      </c>
      <c r="R595" s="3">
        <v>0</v>
      </c>
      <c r="S595" s="4">
        <v>0</v>
      </c>
      <c r="T595" s="4">
        <v>11</v>
      </c>
      <c r="U595" s="4">
        <v>71</v>
      </c>
      <c r="V595" s="64">
        <f>IF(ISERROR(VLOOKUP($S$595,'TAR FIN'!$A$1:$O$92,15,0)),0,VLOOKUP($S$595,'TAR FIN'!$A$1:$O$92,15,0))</f>
        <v>0</v>
      </c>
      <c r="W595" s="64">
        <f>IF(ISERROR(VLOOKUP($T$595,'TAR FIN'!$A$1:$O$92,15,0)),0,VLOOKUP($T$595,'TAR FIN'!$A$1:$O$92,15,0))*(1-0.04)</f>
        <v>1109.2895999999998</v>
      </c>
      <c r="X595" s="64">
        <f>IF(ISERROR(VLOOKUP($U$595,'TAR FIN'!$A$1:$O$92,15,0)),0,VLOOKUP($U$595,'TAR FIN'!$A$1:$O$92,15,0))*(1-0.04)</f>
        <v>416.41919999999999</v>
      </c>
      <c r="Y595" s="64"/>
      <c r="Z595" s="64">
        <f ca="1">('TUSD BE'!$AM$11+'TUSD BF'!$AM$11+'TUSD CVA'!$AM$11)*1*(1-0.02)</f>
        <v>1463.9061467887163</v>
      </c>
      <c r="AA595" s="64">
        <f>('TE BE'!$AB$5+'TE BF'!$AB$5+'TE CVA'!$AB$5)*1*(1-0.02)</f>
        <v>531.98726410884376</v>
      </c>
      <c r="AB595" s="4">
        <f>$K$595*$V$595</f>
        <v>0</v>
      </c>
      <c r="AC595" s="4">
        <f>$M$595*$W$595</f>
        <v>3851.4534911999995</v>
      </c>
      <c r="AD595" s="4">
        <f>$O$595*$X$595</f>
        <v>1445.8074623999998</v>
      </c>
      <c r="AE595" s="4">
        <f>$K$595*$Y$595</f>
        <v>0</v>
      </c>
      <c r="AF595" s="4">
        <f ca="1">$M$595*$Z$595</f>
        <v>5082.6821416504235</v>
      </c>
      <c r="AG595" s="4">
        <f>$O$595*$AA$595</f>
        <v>1847.0597809859055</v>
      </c>
    </row>
    <row r="596" spans="1:33" ht="11.25" customHeight="1" x14ac:dyDescent="0.25">
      <c r="A596" s="3" t="s">
        <v>21</v>
      </c>
      <c r="B596" s="3" t="s">
        <v>39</v>
      </c>
      <c r="C596" s="3" t="s">
        <v>41</v>
      </c>
      <c r="D596" s="3" t="s">
        <v>44</v>
      </c>
      <c r="E596" s="3" t="s">
        <v>25</v>
      </c>
      <c r="F596" s="3" t="s">
        <v>25</v>
      </c>
      <c r="G596" s="3" t="s">
        <v>25</v>
      </c>
      <c r="H596" s="3" t="s">
        <v>34</v>
      </c>
      <c r="I596" s="6">
        <v>44743</v>
      </c>
      <c r="J596" s="4">
        <v>0</v>
      </c>
      <c r="K596" s="64">
        <v>0</v>
      </c>
      <c r="L596" s="4">
        <v>9.3849999999999998</v>
      </c>
      <c r="M596" s="64">
        <v>9.3849999999999998</v>
      </c>
      <c r="N596" s="4">
        <v>9.3849999999999998</v>
      </c>
      <c r="O596" s="64">
        <v>9.3849999999999998</v>
      </c>
      <c r="P596" s="4">
        <v>0</v>
      </c>
      <c r="Q596" s="3" t="s">
        <v>26</v>
      </c>
      <c r="R596" s="3">
        <v>0</v>
      </c>
      <c r="S596" s="4">
        <v>0</v>
      </c>
      <c r="T596" s="4">
        <v>11</v>
      </c>
      <c r="U596" s="4">
        <v>71</v>
      </c>
      <c r="V596" s="64">
        <f>IF(ISERROR(VLOOKUP($S$596,'TAR FIN'!$A$1:$O$92,15,0)),0,VLOOKUP($S$596,'TAR FIN'!$A$1:$O$92,15,0))</f>
        <v>0</v>
      </c>
      <c r="W596" s="64">
        <f>IF(ISERROR(VLOOKUP($T$596,'TAR FIN'!$A$1:$O$92,15,0)),0,VLOOKUP($T$596,'TAR FIN'!$A$1:$O$92,15,0))*(1-0.04)</f>
        <v>1109.2895999999998</v>
      </c>
      <c r="X596" s="64">
        <f>IF(ISERROR(VLOOKUP($U$596,'TAR FIN'!$A$1:$O$92,15,0)),0,VLOOKUP($U$596,'TAR FIN'!$A$1:$O$92,15,0))*(1-0.04)</f>
        <v>416.41919999999999</v>
      </c>
      <c r="Y596" s="64"/>
      <c r="Z596" s="64">
        <f ca="1">('TUSD BE'!$AM$11+'TUSD BF'!$AM$11+'TUSD CVA'!$AM$11)*1*(1-0.02)</f>
        <v>1463.9061467887163</v>
      </c>
      <c r="AA596" s="64">
        <f>('TE BE'!$AB$5+'TE BF'!$AB$5+'TE CVA'!$AB$5)*1*(1-0.02)</f>
        <v>531.98726410884376</v>
      </c>
      <c r="AB596" s="4">
        <f>$K$596*$V$596</f>
        <v>0</v>
      </c>
      <c r="AC596" s="4">
        <f>$M$596*$W$596</f>
        <v>10410.682895999998</v>
      </c>
      <c r="AD596" s="4">
        <f>$O$596*$X$596</f>
        <v>3908.094192</v>
      </c>
      <c r="AE596" s="4">
        <f>$K$596*$Y$596</f>
        <v>0</v>
      </c>
      <c r="AF596" s="4">
        <f ca="1">$M$596*$Z$596</f>
        <v>13738.759187612102</v>
      </c>
      <c r="AG596" s="4">
        <f>$O$596*$AA$596</f>
        <v>4992.700473661499</v>
      </c>
    </row>
    <row r="597" spans="1:33" ht="11.25" customHeight="1" x14ac:dyDescent="0.25">
      <c r="A597" s="3" t="s">
        <v>28</v>
      </c>
      <c r="B597" s="3" t="s">
        <v>39</v>
      </c>
      <c r="C597" s="3" t="s">
        <v>41</v>
      </c>
      <c r="D597" s="3" t="s">
        <v>44</v>
      </c>
      <c r="E597" s="3" t="s">
        <v>25</v>
      </c>
      <c r="F597" s="3" t="s">
        <v>25</v>
      </c>
      <c r="G597" s="3" t="s">
        <v>25</v>
      </c>
      <c r="H597" s="3" t="s">
        <v>34</v>
      </c>
      <c r="I597" s="6">
        <v>44743</v>
      </c>
      <c r="J597" s="4">
        <v>0</v>
      </c>
      <c r="K597" s="64">
        <v>0</v>
      </c>
      <c r="L597" s="4">
        <v>3.8210000000000002</v>
      </c>
      <c r="M597" s="64">
        <v>3.8210000000000002</v>
      </c>
      <c r="N597" s="4">
        <v>3.8210000000000002</v>
      </c>
      <c r="O597" s="64">
        <v>3.8210000000000002</v>
      </c>
      <c r="P597" s="4">
        <v>0</v>
      </c>
      <c r="Q597" s="3" t="s">
        <v>26</v>
      </c>
      <c r="R597" s="3">
        <v>0</v>
      </c>
      <c r="S597" s="4">
        <v>0</v>
      </c>
      <c r="T597" s="4">
        <v>11</v>
      </c>
      <c r="U597" s="4">
        <v>71</v>
      </c>
      <c r="V597" s="64">
        <f>IF(ISERROR(VLOOKUP($S$597,'TAR FIN'!$A$1:$O$92,15,0)),0,VLOOKUP($S$597,'TAR FIN'!$A$1:$O$92,15,0))</f>
        <v>0</v>
      </c>
      <c r="W597" s="64">
        <f>IF(ISERROR(VLOOKUP($T$597,'TAR FIN'!$A$1:$O$92,15,0)),0,VLOOKUP($T$597,'TAR FIN'!$A$1:$O$92,15,0))*(1-0.04)</f>
        <v>1109.2895999999998</v>
      </c>
      <c r="X597" s="64">
        <f>IF(ISERROR(VLOOKUP($U$597,'TAR FIN'!$A$1:$O$92,15,0)),0,VLOOKUP($U$597,'TAR FIN'!$A$1:$O$92,15,0))*(1-0.04)</f>
        <v>416.41919999999999</v>
      </c>
      <c r="Y597" s="64"/>
      <c r="Z597" s="64">
        <f ca="1">('TUSD BE'!$AM$11+'TUSD BF'!$AM$11+'TUSD CVA'!$AM$11)*1*(1-0.02)</f>
        <v>1463.9061467887163</v>
      </c>
      <c r="AA597" s="64">
        <f>('TE BE'!$AB$5+'TE BF'!$AB$5+'TE CVA'!$AB$5)*1*(1-0.02)</f>
        <v>531.98726410884376</v>
      </c>
      <c r="AB597" s="4">
        <f>$K$597*$V$597</f>
        <v>0</v>
      </c>
      <c r="AC597" s="4">
        <f>$M$597*$W$597</f>
        <v>4238.5955615999992</v>
      </c>
      <c r="AD597" s="4">
        <f>$O$597*$X$597</f>
        <v>1591.1377632000001</v>
      </c>
      <c r="AE597" s="4">
        <f>$K$597*$Y$597</f>
        <v>0</v>
      </c>
      <c r="AF597" s="4">
        <f ca="1">$M$597*$Z$597</f>
        <v>5593.5853868796858</v>
      </c>
      <c r="AG597" s="4">
        <f>$O$597*$AA$597</f>
        <v>2032.7233361598921</v>
      </c>
    </row>
    <row r="598" spans="1:33" ht="11.25" customHeight="1" x14ac:dyDescent="0.25">
      <c r="A598" s="3" t="s">
        <v>21</v>
      </c>
      <c r="B598" s="3" t="s">
        <v>39</v>
      </c>
      <c r="C598" s="3" t="s">
        <v>41</v>
      </c>
      <c r="D598" s="3" t="s">
        <v>44</v>
      </c>
      <c r="E598" s="3" t="s">
        <v>25</v>
      </c>
      <c r="F598" s="3" t="s">
        <v>25</v>
      </c>
      <c r="G598" s="3" t="s">
        <v>25</v>
      </c>
      <c r="H598" s="3" t="s">
        <v>34</v>
      </c>
      <c r="I598" s="6">
        <v>44774</v>
      </c>
      <c r="J598" s="4">
        <v>0</v>
      </c>
      <c r="K598" s="64">
        <v>0</v>
      </c>
      <c r="L598" s="4">
        <v>7.2969999999999997</v>
      </c>
      <c r="M598" s="64">
        <v>7.2969999999999997</v>
      </c>
      <c r="N598" s="4">
        <v>7.2969999999999997</v>
      </c>
      <c r="O598" s="64">
        <v>7.2969999999999997</v>
      </c>
      <c r="P598" s="4">
        <v>0</v>
      </c>
      <c r="Q598" s="3" t="s">
        <v>26</v>
      </c>
      <c r="R598" s="3">
        <v>0</v>
      </c>
      <c r="S598" s="4">
        <v>0</v>
      </c>
      <c r="T598" s="4">
        <v>11</v>
      </c>
      <c r="U598" s="4">
        <v>71</v>
      </c>
      <c r="V598" s="64">
        <f>IF(ISERROR(VLOOKUP($S$598,'TAR FIN'!$A$1:$O$92,15,0)),0,VLOOKUP($S$598,'TAR FIN'!$A$1:$O$92,15,0))</f>
        <v>0</v>
      </c>
      <c r="W598" s="64">
        <f>IF(ISERROR(VLOOKUP($T$598,'TAR FIN'!$A$1:$O$92,15,0)),0,VLOOKUP($T$598,'TAR FIN'!$A$1:$O$92,15,0))*(1-0.04)</f>
        <v>1109.2895999999998</v>
      </c>
      <c r="X598" s="64">
        <f>IF(ISERROR(VLOOKUP($U$598,'TAR FIN'!$A$1:$O$92,15,0)),0,VLOOKUP($U$598,'TAR FIN'!$A$1:$O$92,15,0))*(1-0.04)</f>
        <v>416.41919999999999</v>
      </c>
      <c r="Y598" s="64"/>
      <c r="Z598" s="64">
        <f ca="1">('TUSD BE'!$AM$11+'TUSD BF'!$AM$11+'TUSD CVA'!$AM$11)*1*(1-0.02)</f>
        <v>1463.9061467887163</v>
      </c>
      <c r="AA598" s="64">
        <f>('TE BE'!$AB$5+'TE BF'!$AB$5+'TE CVA'!$AB$5)*1*(1-0.02)</f>
        <v>531.98726410884376</v>
      </c>
      <c r="AB598" s="4">
        <f>$K$598*$V$598</f>
        <v>0</v>
      </c>
      <c r="AC598" s="4">
        <f>$M$598*$W$598</f>
        <v>8094.4862111999983</v>
      </c>
      <c r="AD598" s="4">
        <f>$O$598*$X$598</f>
        <v>3038.6109023999998</v>
      </c>
      <c r="AE598" s="4">
        <f>$K$598*$Y$598</f>
        <v>0</v>
      </c>
      <c r="AF598" s="4">
        <f ca="1">$M$598*$Z$598</f>
        <v>10682.123153117263</v>
      </c>
      <c r="AG598" s="4">
        <f>$O$598*$AA$598</f>
        <v>3881.9110662022326</v>
      </c>
    </row>
    <row r="599" spans="1:33" ht="11.25" customHeight="1" x14ac:dyDescent="0.25">
      <c r="A599" s="3" t="s">
        <v>28</v>
      </c>
      <c r="B599" s="3" t="s">
        <v>39</v>
      </c>
      <c r="C599" s="3" t="s">
        <v>41</v>
      </c>
      <c r="D599" s="3" t="s">
        <v>44</v>
      </c>
      <c r="E599" s="3" t="s">
        <v>25</v>
      </c>
      <c r="F599" s="3" t="s">
        <v>25</v>
      </c>
      <c r="G599" s="3" t="s">
        <v>25</v>
      </c>
      <c r="H599" s="3" t="s">
        <v>34</v>
      </c>
      <c r="I599" s="6">
        <v>44774</v>
      </c>
      <c r="J599" s="4">
        <v>0</v>
      </c>
      <c r="K599" s="64">
        <v>0</v>
      </c>
      <c r="L599" s="4">
        <v>4.4569999999999999</v>
      </c>
      <c r="M599" s="64">
        <v>4.4569999999999999</v>
      </c>
      <c r="N599" s="4">
        <v>4.4569999999999999</v>
      </c>
      <c r="O599" s="64">
        <v>4.4569999999999999</v>
      </c>
      <c r="P599" s="4">
        <v>0</v>
      </c>
      <c r="Q599" s="3" t="s">
        <v>26</v>
      </c>
      <c r="R599" s="3">
        <v>0</v>
      </c>
      <c r="S599" s="4">
        <v>0</v>
      </c>
      <c r="T599" s="4">
        <v>11</v>
      </c>
      <c r="U599" s="4">
        <v>71</v>
      </c>
      <c r="V599" s="64">
        <f>IF(ISERROR(VLOOKUP($S$599,'TAR FIN'!$A$1:$O$92,15,0)),0,VLOOKUP($S$599,'TAR FIN'!$A$1:$O$92,15,0))</f>
        <v>0</v>
      </c>
      <c r="W599" s="64">
        <f>IF(ISERROR(VLOOKUP($T$599,'TAR FIN'!$A$1:$O$92,15,0)),0,VLOOKUP($T$599,'TAR FIN'!$A$1:$O$92,15,0))*(1-0.04)</f>
        <v>1109.2895999999998</v>
      </c>
      <c r="X599" s="64">
        <f>IF(ISERROR(VLOOKUP($U$599,'TAR FIN'!$A$1:$O$92,15,0)),0,VLOOKUP($U$599,'TAR FIN'!$A$1:$O$92,15,0))*(1-0.04)</f>
        <v>416.41919999999999</v>
      </c>
      <c r="Y599" s="64"/>
      <c r="Z599" s="64">
        <f ca="1">('TUSD BE'!$AM$11+'TUSD BF'!$AM$11+'TUSD CVA'!$AM$11)*1*(1-0.02)</f>
        <v>1463.9061467887163</v>
      </c>
      <c r="AA599" s="64">
        <f>('TE BE'!$AB$5+'TE BF'!$AB$5+'TE CVA'!$AB$5)*1*(1-0.02)</f>
        <v>531.98726410884376</v>
      </c>
      <c r="AB599" s="4">
        <f>$K$599*$V$599</f>
        <v>0</v>
      </c>
      <c r="AC599" s="4">
        <f>$M$599*$W$599</f>
        <v>4944.1037471999989</v>
      </c>
      <c r="AD599" s="4">
        <f>$O$599*$X$599</f>
        <v>1855.9803743999998</v>
      </c>
      <c r="AE599" s="4">
        <f>$K$599*$Y$599</f>
        <v>0</v>
      </c>
      <c r="AF599" s="4">
        <f ca="1">$M$599*$Z$599</f>
        <v>6524.629696237309</v>
      </c>
      <c r="AG599" s="4">
        <f>$O$599*$AA$599</f>
        <v>2371.0672361331167</v>
      </c>
    </row>
    <row r="600" spans="1:33" ht="11.25" customHeight="1" x14ac:dyDescent="0.25">
      <c r="A600" s="3" t="s">
        <v>21</v>
      </c>
      <c r="B600" s="3" t="s">
        <v>39</v>
      </c>
      <c r="C600" s="3" t="s">
        <v>41</v>
      </c>
      <c r="D600" s="3" t="s">
        <v>44</v>
      </c>
      <c r="E600" s="3" t="s">
        <v>25</v>
      </c>
      <c r="F600" s="3" t="s">
        <v>25</v>
      </c>
      <c r="G600" s="3" t="s">
        <v>25</v>
      </c>
      <c r="H600" s="3" t="s">
        <v>34</v>
      </c>
      <c r="I600" s="6">
        <v>44805</v>
      </c>
      <c r="J600" s="4">
        <v>0</v>
      </c>
      <c r="K600" s="64">
        <v>0</v>
      </c>
      <c r="L600" s="4">
        <v>6.9470000000000001</v>
      </c>
      <c r="M600" s="64">
        <v>6.9470000000000001</v>
      </c>
      <c r="N600" s="4">
        <v>6.9470000000000001</v>
      </c>
      <c r="O600" s="64">
        <v>6.9470000000000001</v>
      </c>
      <c r="P600" s="4">
        <v>0</v>
      </c>
      <c r="Q600" s="3" t="s">
        <v>26</v>
      </c>
      <c r="R600" s="3">
        <v>0</v>
      </c>
      <c r="S600" s="4">
        <v>0</v>
      </c>
      <c r="T600" s="4">
        <v>11</v>
      </c>
      <c r="U600" s="4">
        <v>71</v>
      </c>
      <c r="V600" s="64">
        <f>IF(ISERROR(VLOOKUP($S$600,'TAR FIN'!$A$1:$O$92,15,0)),0,VLOOKUP($S$600,'TAR FIN'!$A$1:$O$92,15,0))</f>
        <v>0</v>
      </c>
      <c r="W600" s="64">
        <f>IF(ISERROR(VLOOKUP($T$600,'TAR FIN'!$A$1:$O$92,15,0)),0,VLOOKUP($T$600,'TAR FIN'!$A$1:$O$92,15,0))*(1-0.04)</f>
        <v>1109.2895999999998</v>
      </c>
      <c r="X600" s="64">
        <f>IF(ISERROR(VLOOKUP($U$600,'TAR FIN'!$A$1:$O$92,15,0)),0,VLOOKUP($U$600,'TAR FIN'!$A$1:$O$92,15,0))*(1-0.04)</f>
        <v>416.41919999999999</v>
      </c>
      <c r="Y600" s="64"/>
      <c r="Z600" s="64">
        <f ca="1">('TUSD BE'!$AM$11+'TUSD BF'!$AM$11+'TUSD CVA'!$AM$11)*1*(1-0.02)</f>
        <v>1463.9061467887163</v>
      </c>
      <c r="AA600" s="64">
        <f>('TE BE'!$AB$5+'TE BF'!$AB$5+'TE CVA'!$AB$5)*1*(1-0.02)</f>
        <v>531.98726410884376</v>
      </c>
      <c r="AB600" s="4">
        <f>$K$600*$V$600</f>
        <v>0</v>
      </c>
      <c r="AC600" s="4">
        <f>$M$600*$W$600</f>
        <v>7706.234851199999</v>
      </c>
      <c r="AD600" s="4">
        <f>$O$600*$X$600</f>
        <v>2892.8641824000001</v>
      </c>
      <c r="AE600" s="4">
        <f>$K$600*$Y$600</f>
        <v>0</v>
      </c>
      <c r="AF600" s="4">
        <f ca="1">$M$600*$Z$600</f>
        <v>10169.756001741212</v>
      </c>
      <c r="AG600" s="4">
        <f>$O$600*$AA$600</f>
        <v>3695.7155237641377</v>
      </c>
    </row>
    <row r="601" spans="1:33" ht="11.25" customHeight="1" x14ac:dyDescent="0.25">
      <c r="A601" s="3" t="s">
        <v>28</v>
      </c>
      <c r="B601" s="3" t="s">
        <v>39</v>
      </c>
      <c r="C601" s="3" t="s">
        <v>41</v>
      </c>
      <c r="D601" s="3" t="s">
        <v>44</v>
      </c>
      <c r="E601" s="3" t="s">
        <v>25</v>
      </c>
      <c r="F601" s="3" t="s">
        <v>25</v>
      </c>
      <c r="G601" s="3" t="s">
        <v>25</v>
      </c>
      <c r="H601" s="3" t="s">
        <v>34</v>
      </c>
      <c r="I601" s="6">
        <v>44805</v>
      </c>
      <c r="J601" s="4">
        <v>0</v>
      </c>
      <c r="K601" s="64">
        <v>0</v>
      </c>
      <c r="L601" s="4">
        <v>3.3580000000000001</v>
      </c>
      <c r="M601" s="64">
        <v>3.3580000000000001</v>
      </c>
      <c r="N601" s="4">
        <v>3.3580000000000001</v>
      </c>
      <c r="O601" s="64">
        <v>3.3580000000000001</v>
      </c>
      <c r="P601" s="4">
        <v>0</v>
      </c>
      <c r="Q601" s="3" t="s">
        <v>26</v>
      </c>
      <c r="R601" s="3">
        <v>0</v>
      </c>
      <c r="S601" s="4">
        <v>0</v>
      </c>
      <c r="T601" s="4">
        <v>11</v>
      </c>
      <c r="U601" s="4">
        <v>71</v>
      </c>
      <c r="V601" s="64">
        <f>IF(ISERROR(VLOOKUP($S$601,'TAR FIN'!$A$1:$O$92,15,0)),0,VLOOKUP($S$601,'TAR FIN'!$A$1:$O$92,15,0))</f>
        <v>0</v>
      </c>
      <c r="W601" s="64">
        <f>IF(ISERROR(VLOOKUP($T$601,'TAR FIN'!$A$1:$O$92,15,0)),0,VLOOKUP($T$601,'TAR FIN'!$A$1:$O$92,15,0))*(1-0.04)</f>
        <v>1109.2895999999998</v>
      </c>
      <c r="X601" s="64">
        <f>IF(ISERROR(VLOOKUP($U$601,'TAR FIN'!$A$1:$O$92,15,0)),0,VLOOKUP($U$601,'TAR FIN'!$A$1:$O$92,15,0))*(1-0.04)</f>
        <v>416.41919999999999</v>
      </c>
      <c r="Y601" s="64"/>
      <c r="Z601" s="64">
        <f ca="1">('TUSD BE'!$AM$11+'TUSD BF'!$AM$11+'TUSD CVA'!$AM$11)*1*(1-0.02)</f>
        <v>1463.9061467887163</v>
      </c>
      <c r="AA601" s="64">
        <f>('TE BE'!$AB$5+'TE BF'!$AB$5+'TE CVA'!$AB$5)*1*(1-0.02)</f>
        <v>531.98726410884376</v>
      </c>
      <c r="AB601" s="4">
        <f>$K$601*$V$601</f>
        <v>0</v>
      </c>
      <c r="AC601" s="4">
        <f>$M$601*$W$601</f>
        <v>3724.9944767999996</v>
      </c>
      <c r="AD601" s="4">
        <f>$O$601*$X$601</f>
        <v>1398.3356736000001</v>
      </c>
      <c r="AE601" s="4">
        <f>$K$601*$Y$601</f>
        <v>0</v>
      </c>
      <c r="AF601" s="4">
        <f ca="1">$M$601*$Z$601</f>
        <v>4915.7968409165096</v>
      </c>
      <c r="AG601" s="4">
        <f>$O$601*$AA$601</f>
        <v>1786.4132328774974</v>
      </c>
    </row>
    <row r="602" spans="1:33" ht="11.25" customHeight="1" x14ac:dyDescent="0.25">
      <c r="A602" s="3" t="s">
        <v>55</v>
      </c>
      <c r="B602" s="3" t="s">
        <v>39</v>
      </c>
      <c r="C602" s="3" t="s">
        <v>41</v>
      </c>
      <c r="D602" s="3" t="s">
        <v>44</v>
      </c>
      <c r="E602" s="3" t="s">
        <v>25</v>
      </c>
      <c r="F602" s="3" t="s">
        <v>25</v>
      </c>
      <c r="G602" s="3" t="s">
        <v>25</v>
      </c>
      <c r="H602" s="3" t="s">
        <v>34</v>
      </c>
      <c r="I602" s="6">
        <v>44835</v>
      </c>
      <c r="J602" s="4">
        <v>0</v>
      </c>
      <c r="K602" s="64">
        <v>0</v>
      </c>
      <c r="L602" s="4">
        <v>6.9470000000000001</v>
      </c>
      <c r="M602" s="64">
        <v>6.9470000000000001</v>
      </c>
      <c r="N602" s="4">
        <v>6.9470000000000001</v>
      </c>
      <c r="O602" s="64">
        <v>6.9470000000000001</v>
      </c>
      <c r="P602" s="4">
        <v>0</v>
      </c>
      <c r="Q602" s="3" t="s">
        <v>26</v>
      </c>
      <c r="R602" s="3">
        <v>0</v>
      </c>
      <c r="S602" s="4">
        <v>0</v>
      </c>
      <c r="T602" s="4">
        <v>11</v>
      </c>
      <c r="U602" s="4">
        <v>71</v>
      </c>
      <c r="V602" s="64">
        <f>IF(ISERROR(VLOOKUP($S$602,'TAR FIN'!$A$1:$O$92,15,0)),0,VLOOKUP($S$602,'TAR FIN'!$A$1:$O$92,15,0))</f>
        <v>0</v>
      </c>
      <c r="W602" s="64">
        <f>IF(ISERROR(VLOOKUP($T$602,'TAR FIN'!$A$1:$O$92,15,0)),0,VLOOKUP($T$602,'TAR FIN'!$A$1:$O$92,15,0))*(1-0.04)</f>
        <v>1109.2895999999998</v>
      </c>
      <c r="X602" s="64">
        <f>IF(ISERROR(VLOOKUP($U$602,'TAR FIN'!$A$1:$O$92,15,0)),0,VLOOKUP($U$602,'TAR FIN'!$A$1:$O$92,15,0))*(1-0.04)</f>
        <v>416.41919999999999</v>
      </c>
      <c r="Y602" s="64"/>
      <c r="Z602" s="64">
        <f ca="1">('TUSD BE'!$AM$11+'TUSD BF'!$AM$11+'TUSD CVA'!$AM$11)*1*(1-0.02)</f>
        <v>1463.9061467887163</v>
      </c>
      <c r="AA602" s="64">
        <f>('TE BE'!$AB$5+'TE BF'!$AB$5+'TE CVA'!$AB$5)*1*(1-0.02)</f>
        <v>531.98726410884376</v>
      </c>
      <c r="AB602" s="4">
        <f>$K$602*$V$602</f>
        <v>0</v>
      </c>
      <c r="AC602" s="4">
        <f>$M$602*$W$602</f>
        <v>7706.234851199999</v>
      </c>
      <c r="AD602" s="4">
        <f>$O$602*$X$602</f>
        <v>2892.8641824000001</v>
      </c>
      <c r="AE602" s="4">
        <f>$K$602*$Y$602</f>
        <v>0</v>
      </c>
      <c r="AF602" s="4">
        <f ca="1">$M$602*$Z$602</f>
        <v>10169.756001741212</v>
      </c>
      <c r="AG602" s="4">
        <f>$O$602*$AA$602</f>
        <v>3695.7155237641377</v>
      </c>
    </row>
    <row r="603" spans="1:33" ht="11.25" customHeight="1" x14ac:dyDescent="0.25">
      <c r="A603" s="3" t="s">
        <v>55</v>
      </c>
      <c r="B603" s="3" t="s">
        <v>39</v>
      </c>
      <c r="C603" s="3" t="s">
        <v>41</v>
      </c>
      <c r="D603" s="3" t="s">
        <v>44</v>
      </c>
      <c r="E603" s="3" t="s">
        <v>25</v>
      </c>
      <c r="F603" s="3" t="s">
        <v>25</v>
      </c>
      <c r="G603" s="3" t="s">
        <v>25</v>
      </c>
      <c r="H603" s="3" t="s">
        <v>34</v>
      </c>
      <c r="I603" s="6">
        <v>44835</v>
      </c>
      <c r="J603" s="4">
        <v>0</v>
      </c>
      <c r="K603" s="64">
        <v>0</v>
      </c>
      <c r="L603" s="4">
        <v>3.3580000000000001</v>
      </c>
      <c r="M603" s="64">
        <v>3.3580000000000001</v>
      </c>
      <c r="N603" s="4">
        <v>3.3580000000000001</v>
      </c>
      <c r="O603" s="64">
        <v>3.3580000000000001</v>
      </c>
      <c r="P603" s="4">
        <v>0</v>
      </c>
      <c r="Q603" s="3" t="s">
        <v>26</v>
      </c>
      <c r="R603" s="3">
        <v>0</v>
      </c>
      <c r="S603" s="4">
        <v>0</v>
      </c>
      <c r="T603" s="4">
        <v>11</v>
      </c>
      <c r="U603" s="4">
        <v>71</v>
      </c>
      <c r="V603" s="64">
        <f>IF(ISERROR(VLOOKUP($S$603,'TAR FIN'!$A$1:$O$92,15,0)),0,VLOOKUP($S$603,'TAR FIN'!$A$1:$O$92,15,0))</f>
        <v>0</v>
      </c>
      <c r="W603" s="64">
        <f>IF(ISERROR(VLOOKUP($T$603,'TAR FIN'!$A$1:$O$92,15,0)),0,VLOOKUP($T$603,'TAR FIN'!$A$1:$O$92,15,0))*(1-0.04)</f>
        <v>1109.2895999999998</v>
      </c>
      <c r="X603" s="64">
        <f>IF(ISERROR(VLOOKUP($U$603,'TAR FIN'!$A$1:$O$92,15,0)),0,VLOOKUP($U$603,'TAR FIN'!$A$1:$O$92,15,0))*(1-0.04)</f>
        <v>416.41919999999999</v>
      </c>
      <c r="Y603" s="64"/>
      <c r="Z603" s="64">
        <f ca="1">('TUSD BE'!$AM$11+'TUSD BF'!$AM$11+'TUSD CVA'!$AM$11)*1*(1-0.02)</f>
        <v>1463.9061467887163</v>
      </c>
      <c r="AA603" s="64">
        <f>('TE BE'!$AB$5+'TE BF'!$AB$5+'TE CVA'!$AB$5)*1*(1-0.02)</f>
        <v>531.98726410884376</v>
      </c>
      <c r="AB603" s="4">
        <f>$K$603*$V$603</f>
        <v>0</v>
      </c>
      <c r="AC603" s="4">
        <f>$M$603*$W$603</f>
        <v>3724.9944767999996</v>
      </c>
      <c r="AD603" s="4">
        <f>$O$603*$X$603</f>
        <v>1398.3356736000001</v>
      </c>
      <c r="AE603" s="4">
        <f>$K$603*$Y$603</f>
        <v>0</v>
      </c>
      <c r="AF603" s="4">
        <f ca="1">$M$603*$Z$603</f>
        <v>4915.7968409165096</v>
      </c>
      <c r="AG603" s="4">
        <f>$O$603*$AA$603</f>
        <v>1786.4132328774974</v>
      </c>
    </row>
    <row r="604" spans="1:33" ht="11.25" customHeight="1" x14ac:dyDescent="0.25">
      <c r="A604" s="3" t="s">
        <v>21</v>
      </c>
      <c r="B604" s="3" t="s">
        <v>39</v>
      </c>
      <c r="C604" s="3" t="s">
        <v>41</v>
      </c>
      <c r="D604" s="3" t="s">
        <v>49</v>
      </c>
      <c r="E604" s="3" t="s">
        <v>50</v>
      </c>
      <c r="F604" s="3" t="s">
        <v>25</v>
      </c>
      <c r="G604" s="3" t="s">
        <v>25</v>
      </c>
      <c r="H604" s="3" t="s">
        <v>35</v>
      </c>
      <c r="I604" s="6">
        <v>44501</v>
      </c>
      <c r="J604" s="4">
        <v>0</v>
      </c>
      <c r="K604" s="64">
        <v>0</v>
      </c>
      <c r="L604" s="4">
        <v>735.952</v>
      </c>
      <c r="M604" s="64">
        <v>735.952</v>
      </c>
      <c r="N604" s="4">
        <v>735.952</v>
      </c>
      <c r="O604" s="64">
        <v>735.952</v>
      </c>
      <c r="P604" s="4">
        <v>0</v>
      </c>
      <c r="Q604" s="3" t="s">
        <v>26</v>
      </c>
      <c r="R604" s="3">
        <v>0</v>
      </c>
      <c r="S604" s="4">
        <v>0</v>
      </c>
      <c r="T604" s="4">
        <v>31</v>
      </c>
      <c r="U604" s="4">
        <v>59</v>
      </c>
      <c r="V604" s="64">
        <f>IF(ISERROR(VLOOKUP($S$604,'TAR FIN'!$A$1:$O$92,15,0)),0,VLOOKUP($S$604,'TAR FIN'!$A$1:$O$92,15,0))</f>
        <v>0</v>
      </c>
      <c r="W604" s="64">
        <f>IF(ISERROR(VLOOKUP($T$604,'TAR FIN'!$A$1:$O$92,15,0)),0,VLOOKUP($T$604,'TAR FIN'!$A$1:$O$92,15,0))*(1-0.06)</f>
        <v>82.466200000000001</v>
      </c>
      <c r="X604" s="64">
        <f>IF(ISERROR(VLOOKUP($U$604,'TAR FIN'!$A$1:$O$92,15,0)),0,VLOOKUP($U$604,'TAR FIN'!$A$1:$O$92,15,0))*(1-0.06)</f>
        <v>238.666</v>
      </c>
      <c r="Y604" s="64"/>
      <c r="Z604" s="64">
        <f ca="1">('TUSD BE'!$AM$12+'TUSD BF'!$AM$12+'TUSD CVA'!$AM$12)*1*(1-0.03)</f>
        <v>106.15870582034525</v>
      </c>
      <c r="AA604" s="64">
        <f>('TE BE'!$AB$6+'TE BF'!$AB$6+'TE CVA'!$AB$6)*1*(1-0.03)</f>
        <v>307.86582774956895</v>
      </c>
      <c r="AB604" s="4">
        <f>$K$604*$V$604</f>
        <v>0</v>
      </c>
      <c r="AC604" s="4">
        <f>$M$604*$W$604</f>
        <v>60691.164822400002</v>
      </c>
      <c r="AD604" s="4">
        <f>$O$604*$X$604</f>
        <v>175646.72003199998</v>
      </c>
      <c r="AE604" s="4">
        <f>$K$604*$Y$604</f>
        <v>0</v>
      </c>
      <c r="AF604" s="4">
        <f ca="1">$M$604*$Z$604</f>
        <v>78127.711865894729</v>
      </c>
      <c r="AG604" s="4">
        <f>$O$604*$AA$604</f>
        <v>226574.47166395077</v>
      </c>
    </row>
    <row r="605" spans="1:33" ht="11.25" customHeight="1" x14ac:dyDescent="0.25">
      <c r="A605" s="3" t="s">
        <v>21</v>
      </c>
      <c r="B605" s="3" t="s">
        <v>39</v>
      </c>
      <c r="C605" s="3" t="s">
        <v>41</v>
      </c>
      <c r="D605" s="3" t="s">
        <v>49</v>
      </c>
      <c r="E605" s="3" t="s">
        <v>50</v>
      </c>
      <c r="F605" s="3" t="s">
        <v>25</v>
      </c>
      <c r="G605" s="3" t="s">
        <v>25</v>
      </c>
      <c r="H605" s="3" t="s">
        <v>35</v>
      </c>
      <c r="I605" s="6">
        <v>44531</v>
      </c>
      <c r="J605" s="4">
        <v>0</v>
      </c>
      <c r="K605" s="64">
        <v>0</v>
      </c>
      <c r="L605" s="4">
        <v>712.923</v>
      </c>
      <c r="M605" s="64">
        <v>712.923</v>
      </c>
      <c r="N605" s="4">
        <v>712.923</v>
      </c>
      <c r="O605" s="64">
        <v>712.923</v>
      </c>
      <c r="P605" s="4">
        <v>0</v>
      </c>
      <c r="Q605" s="3" t="s">
        <v>26</v>
      </c>
      <c r="R605" s="3">
        <v>0</v>
      </c>
      <c r="S605" s="4">
        <v>0</v>
      </c>
      <c r="T605" s="4">
        <v>31</v>
      </c>
      <c r="U605" s="4">
        <v>59</v>
      </c>
      <c r="V605" s="64">
        <f>IF(ISERROR(VLOOKUP($S$605,'TAR FIN'!$A$1:$O$92,15,0)),0,VLOOKUP($S$605,'TAR FIN'!$A$1:$O$92,15,0))</f>
        <v>0</v>
      </c>
      <c r="W605" s="64">
        <f>IF(ISERROR(VLOOKUP($T$605,'TAR FIN'!$A$1:$O$92,15,0)),0,VLOOKUP($T$605,'TAR FIN'!$A$1:$O$92,15,0))*(1-0.06)</f>
        <v>82.466200000000001</v>
      </c>
      <c r="X605" s="64">
        <f>IF(ISERROR(VLOOKUP($U$605,'TAR FIN'!$A$1:$O$92,15,0)),0,VLOOKUP($U$605,'TAR FIN'!$A$1:$O$92,15,0))*(1-0.06)</f>
        <v>238.666</v>
      </c>
      <c r="Y605" s="64"/>
      <c r="Z605" s="64">
        <f ca="1">('TUSD BE'!$AM$12+'TUSD BF'!$AM$12+'TUSD CVA'!$AM$12)*1*(1-0.03)</f>
        <v>106.15870582034525</v>
      </c>
      <c r="AA605" s="64">
        <f>('TE BE'!$AB$6+'TE BF'!$AB$6+'TE CVA'!$AB$6)*1*(1-0.03)</f>
        <v>307.86582774956895</v>
      </c>
      <c r="AB605" s="4">
        <f>$K$605*$V$605</f>
        <v>0</v>
      </c>
      <c r="AC605" s="4">
        <f>$M$605*$W$605</f>
        <v>58792.050702599998</v>
      </c>
      <c r="AD605" s="4">
        <f>$O$605*$X$605</f>
        <v>170150.48071800001</v>
      </c>
      <c r="AE605" s="4">
        <f>$K$605*$Y$605</f>
        <v>0</v>
      </c>
      <c r="AF605" s="4">
        <f ca="1">$M$605*$Z$605</f>
        <v>75682.983029557989</v>
      </c>
      <c r="AG605" s="4">
        <f>$O$605*$AA$605</f>
        <v>219484.62951670596</v>
      </c>
    </row>
    <row r="606" spans="1:33" ht="11.25" customHeight="1" x14ac:dyDescent="0.25">
      <c r="A606" s="3" t="s">
        <v>21</v>
      </c>
      <c r="B606" s="3" t="s">
        <v>39</v>
      </c>
      <c r="C606" s="3" t="s">
        <v>41</v>
      </c>
      <c r="D606" s="3" t="s">
        <v>49</v>
      </c>
      <c r="E606" s="3" t="s">
        <v>50</v>
      </c>
      <c r="F606" s="3" t="s">
        <v>25</v>
      </c>
      <c r="G606" s="3" t="s">
        <v>25</v>
      </c>
      <c r="H606" s="3" t="s">
        <v>35</v>
      </c>
      <c r="I606" s="6">
        <v>44562</v>
      </c>
      <c r="J606" s="4">
        <v>0</v>
      </c>
      <c r="K606" s="64">
        <v>0</v>
      </c>
      <c r="L606" s="4">
        <v>710.61199999999997</v>
      </c>
      <c r="M606" s="64">
        <v>710.61199999999997</v>
      </c>
      <c r="N606" s="4">
        <v>710.61199999999997</v>
      </c>
      <c r="O606" s="64">
        <v>710.61199999999997</v>
      </c>
      <c r="P606" s="4">
        <v>0</v>
      </c>
      <c r="Q606" s="3" t="s">
        <v>26</v>
      </c>
      <c r="R606" s="3">
        <v>0</v>
      </c>
      <c r="S606" s="4">
        <v>0</v>
      </c>
      <c r="T606" s="4">
        <v>31</v>
      </c>
      <c r="U606" s="4">
        <v>59</v>
      </c>
      <c r="V606" s="64">
        <f>IF(ISERROR(VLOOKUP($S$606,'TAR FIN'!$A$1:$O$92,15,0)),0,VLOOKUP($S$606,'TAR FIN'!$A$1:$O$92,15,0))</f>
        <v>0</v>
      </c>
      <c r="W606" s="64">
        <f>IF(ISERROR(VLOOKUP($T$606,'TAR FIN'!$A$1:$O$92,15,0)),0,VLOOKUP($T$606,'TAR FIN'!$A$1:$O$92,15,0))*(1-0.06)</f>
        <v>82.466200000000001</v>
      </c>
      <c r="X606" s="64">
        <f>IF(ISERROR(VLOOKUP($U$606,'TAR FIN'!$A$1:$O$92,15,0)),0,VLOOKUP($U$606,'TAR FIN'!$A$1:$O$92,15,0))*(1-0.06)</f>
        <v>238.666</v>
      </c>
      <c r="Y606" s="64"/>
      <c r="Z606" s="64">
        <f ca="1">('TUSD BE'!$AM$12+'TUSD BF'!$AM$12+'TUSD CVA'!$AM$12)*1*(1-0.03)</f>
        <v>106.15870582034525</v>
      </c>
      <c r="AA606" s="64">
        <f>('TE BE'!$AB$6+'TE BF'!$AB$6+'TE CVA'!$AB$6)*1*(1-0.03)</f>
        <v>307.86582774956895</v>
      </c>
      <c r="AB606" s="4">
        <f>$K$606*$V$606</f>
        <v>0</v>
      </c>
      <c r="AC606" s="4">
        <f>$M$606*$W$606</f>
        <v>58601.471314399998</v>
      </c>
      <c r="AD606" s="4">
        <f>$O$606*$X$606</f>
        <v>169598.92359199998</v>
      </c>
      <c r="AE606" s="4">
        <f>$K$606*$Y$606</f>
        <v>0</v>
      </c>
      <c r="AF606" s="4">
        <f ca="1">$M$606*$Z$606</f>
        <v>75437.650260407172</v>
      </c>
      <c r="AG606" s="4">
        <f>$O$606*$AA$606</f>
        <v>218773.15158877667</v>
      </c>
    </row>
    <row r="607" spans="1:33" ht="11.25" customHeight="1" x14ac:dyDescent="0.25">
      <c r="A607" s="3" t="s">
        <v>21</v>
      </c>
      <c r="B607" s="3" t="s">
        <v>39</v>
      </c>
      <c r="C607" s="3" t="s">
        <v>41</v>
      </c>
      <c r="D607" s="3" t="s">
        <v>49</v>
      </c>
      <c r="E607" s="3" t="s">
        <v>50</v>
      </c>
      <c r="F607" s="3" t="s">
        <v>25</v>
      </c>
      <c r="G607" s="3" t="s">
        <v>25</v>
      </c>
      <c r="H607" s="3" t="s">
        <v>35</v>
      </c>
      <c r="I607" s="6">
        <v>44593</v>
      </c>
      <c r="J607" s="4">
        <v>0</v>
      </c>
      <c r="K607" s="64">
        <v>0</v>
      </c>
      <c r="L607" s="4">
        <v>661.45600000000002</v>
      </c>
      <c r="M607" s="64">
        <v>661.45600000000002</v>
      </c>
      <c r="N607" s="4">
        <v>661.45600000000002</v>
      </c>
      <c r="O607" s="64">
        <v>661.45600000000002</v>
      </c>
      <c r="P607" s="4">
        <v>0</v>
      </c>
      <c r="Q607" s="3" t="s">
        <v>26</v>
      </c>
      <c r="R607" s="3">
        <v>0</v>
      </c>
      <c r="S607" s="4">
        <v>0</v>
      </c>
      <c r="T607" s="4">
        <v>31</v>
      </c>
      <c r="U607" s="4">
        <v>59</v>
      </c>
      <c r="V607" s="64">
        <f>IF(ISERROR(VLOOKUP($S$607,'TAR FIN'!$A$1:$O$92,15,0)),0,VLOOKUP($S$607,'TAR FIN'!$A$1:$O$92,15,0))</f>
        <v>0</v>
      </c>
      <c r="W607" s="64">
        <f>IF(ISERROR(VLOOKUP($T$607,'TAR FIN'!$A$1:$O$92,15,0)),0,VLOOKUP($T$607,'TAR FIN'!$A$1:$O$92,15,0))*(1-0.06)</f>
        <v>82.466200000000001</v>
      </c>
      <c r="X607" s="64">
        <f>IF(ISERROR(VLOOKUP($U$607,'TAR FIN'!$A$1:$O$92,15,0)),0,VLOOKUP($U$607,'TAR FIN'!$A$1:$O$92,15,0))*(1-0.06)</f>
        <v>238.666</v>
      </c>
      <c r="Y607" s="64"/>
      <c r="Z607" s="64">
        <f ca="1">('TUSD BE'!$AM$12+'TUSD BF'!$AM$12+'TUSD CVA'!$AM$12)*1*(1-0.03)</f>
        <v>106.15870582034525</v>
      </c>
      <c r="AA607" s="64">
        <f>('TE BE'!$AB$6+'TE BF'!$AB$6+'TE CVA'!$AB$6)*1*(1-0.03)</f>
        <v>307.86582774956895</v>
      </c>
      <c r="AB607" s="4">
        <f>$K$607*$V$607</f>
        <v>0</v>
      </c>
      <c r="AC607" s="4">
        <f>$M$607*$W$607</f>
        <v>54547.762787200001</v>
      </c>
      <c r="AD607" s="4">
        <f>$O$607*$X$607</f>
        <v>157867.057696</v>
      </c>
      <c r="AE607" s="4">
        <f>$K$607*$Y$607</f>
        <v>0</v>
      </c>
      <c r="AF607" s="4">
        <f ca="1">$M$607*$Z$607</f>
        <v>70219.312917102288</v>
      </c>
      <c r="AG607" s="4">
        <f>$O$607*$AA$607</f>
        <v>203639.6989599189</v>
      </c>
    </row>
    <row r="608" spans="1:33" ht="11.25" customHeight="1" x14ac:dyDescent="0.25">
      <c r="A608" s="3" t="s">
        <v>21</v>
      </c>
      <c r="B608" s="3" t="s">
        <v>39</v>
      </c>
      <c r="C608" s="3" t="s">
        <v>41</v>
      </c>
      <c r="D608" s="3" t="s">
        <v>49</v>
      </c>
      <c r="E608" s="3" t="s">
        <v>50</v>
      </c>
      <c r="F608" s="3" t="s">
        <v>25</v>
      </c>
      <c r="G608" s="3" t="s">
        <v>25</v>
      </c>
      <c r="H608" s="3" t="s">
        <v>35</v>
      </c>
      <c r="I608" s="6">
        <v>44621</v>
      </c>
      <c r="J608" s="4">
        <v>0</v>
      </c>
      <c r="K608" s="64">
        <v>0</v>
      </c>
      <c r="L608" s="4">
        <v>785.90200000000004</v>
      </c>
      <c r="M608" s="64">
        <v>785.90200000000004</v>
      </c>
      <c r="N608" s="4">
        <v>785.90200000000004</v>
      </c>
      <c r="O608" s="64">
        <v>785.90200000000004</v>
      </c>
      <c r="P608" s="4">
        <v>0</v>
      </c>
      <c r="Q608" s="3" t="s">
        <v>26</v>
      </c>
      <c r="R608" s="3">
        <v>0</v>
      </c>
      <c r="S608" s="4">
        <v>0</v>
      </c>
      <c r="T608" s="4">
        <v>31</v>
      </c>
      <c r="U608" s="4">
        <v>59</v>
      </c>
      <c r="V608" s="64">
        <f>IF(ISERROR(VLOOKUP($S$608,'TAR FIN'!$A$1:$O$92,15,0)),0,VLOOKUP($S$608,'TAR FIN'!$A$1:$O$92,15,0))</f>
        <v>0</v>
      </c>
      <c r="W608" s="64">
        <f>IF(ISERROR(VLOOKUP($T$608,'TAR FIN'!$A$1:$O$92,15,0)),0,VLOOKUP($T$608,'TAR FIN'!$A$1:$O$92,15,0))*(1-0.06)</f>
        <v>82.466200000000001</v>
      </c>
      <c r="X608" s="64">
        <f>IF(ISERROR(VLOOKUP($U$608,'TAR FIN'!$A$1:$O$92,15,0)),0,VLOOKUP($U$608,'TAR FIN'!$A$1:$O$92,15,0))*(1-0.06)</f>
        <v>238.666</v>
      </c>
      <c r="Y608" s="64"/>
      <c r="Z608" s="64">
        <f ca="1">('TUSD BE'!$AM$12+'TUSD BF'!$AM$12+'TUSD CVA'!$AM$12)*1*(1-0.03)</f>
        <v>106.15870582034525</v>
      </c>
      <c r="AA608" s="64">
        <f>('TE BE'!$AB$6+'TE BF'!$AB$6+'TE CVA'!$AB$6)*1*(1-0.03)</f>
        <v>307.86582774956895</v>
      </c>
      <c r="AB608" s="4">
        <f>$K$608*$V$608</f>
        <v>0</v>
      </c>
      <c r="AC608" s="4">
        <f>$M$608*$W$608</f>
        <v>64810.351512400004</v>
      </c>
      <c r="AD608" s="4">
        <f>$O$608*$X$608</f>
        <v>187568.086732</v>
      </c>
      <c r="AE608" s="4">
        <f>$K$608*$Y$608</f>
        <v>0</v>
      </c>
      <c r="AF608" s="4">
        <f ca="1">$M$608*$Z$608</f>
        <v>83430.339221620976</v>
      </c>
      <c r="AG608" s="4">
        <f>$O$608*$AA$608</f>
        <v>241952.36976004174</v>
      </c>
    </row>
    <row r="609" spans="1:33" ht="11.25" customHeight="1" x14ac:dyDescent="0.25">
      <c r="A609" s="3" t="s">
        <v>21</v>
      </c>
      <c r="B609" s="3" t="s">
        <v>39</v>
      </c>
      <c r="C609" s="3" t="s">
        <v>41</v>
      </c>
      <c r="D609" s="3" t="s">
        <v>49</v>
      </c>
      <c r="E609" s="3" t="s">
        <v>50</v>
      </c>
      <c r="F609" s="3" t="s">
        <v>25</v>
      </c>
      <c r="G609" s="3" t="s">
        <v>25</v>
      </c>
      <c r="H609" s="3" t="s">
        <v>35</v>
      </c>
      <c r="I609" s="6">
        <v>44652</v>
      </c>
      <c r="J609" s="4">
        <v>0</v>
      </c>
      <c r="K609" s="64">
        <v>0</v>
      </c>
      <c r="L609" s="4">
        <v>785.90200000000004</v>
      </c>
      <c r="M609" s="64">
        <v>785.90200000000004</v>
      </c>
      <c r="N609" s="4">
        <v>785.90200000000004</v>
      </c>
      <c r="O609" s="64">
        <v>785.90200000000004</v>
      </c>
      <c r="P609" s="4">
        <v>0</v>
      </c>
      <c r="Q609" s="3" t="s">
        <v>26</v>
      </c>
      <c r="R609" s="3">
        <v>0</v>
      </c>
      <c r="S609" s="4">
        <v>0</v>
      </c>
      <c r="T609" s="4">
        <v>31</v>
      </c>
      <c r="U609" s="4">
        <v>59</v>
      </c>
      <c r="V609" s="64">
        <f>IF(ISERROR(VLOOKUP($S$609,'TAR FIN'!$A$1:$O$92,15,0)),0,VLOOKUP($S$609,'TAR FIN'!$A$1:$O$92,15,0))</f>
        <v>0</v>
      </c>
      <c r="W609" s="64">
        <f>IF(ISERROR(VLOOKUP($T$609,'TAR FIN'!$A$1:$O$92,15,0)),0,VLOOKUP($T$609,'TAR FIN'!$A$1:$O$92,15,0))*(1-0.06)</f>
        <v>82.466200000000001</v>
      </c>
      <c r="X609" s="64">
        <f>IF(ISERROR(VLOOKUP($U$609,'TAR FIN'!$A$1:$O$92,15,0)),0,VLOOKUP($U$609,'TAR FIN'!$A$1:$O$92,15,0))*(1-0.06)</f>
        <v>238.666</v>
      </c>
      <c r="Y609" s="64"/>
      <c r="Z609" s="64">
        <f ca="1">('TUSD BE'!$AM$12+'TUSD BF'!$AM$12+'TUSD CVA'!$AM$12)*1*(1-0.03)</f>
        <v>106.15870582034525</v>
      </c>
      <c r="AA609" s="64">
        <f>('TE BE'!$AB$6+'TE BF'!$AB$6+'TE CVA'!$AB$6)*1*(1-0.03)</f>
        <v>307.86582774956895</v>
      </c>
      <c r="AB609" s="4">
        <f>$K$609*$V$609</f>
        <v>0</v>
      </c>
      <c r="AC609" s="4">
        <f>$M$609*$W$609</f>
        <v>64810.351512400004</v>
      </c>
      <c r="AD609" s="4">
        <f>$O$609*$X$609</f>
        <v>187568.086732</v>
      </c>
      <c r="AE609" s="4">
        <f>$K$609*$Y$609</f>
        <v>0</v>
      </c>
      <c r="AF609" s="4">
        <f ca="1">$M$609*$Z$609</f>
        <v>83430.339221620976</v>
      </c>
      <c r="AG609" s="4">
        <f>$O$609*$AA$609</f>
        <v>241952.36976004174</v>
      </c>
    </row>
    <row r="610" spans="1:33" ht="11.25" customHeight="1" x14ac:dyDescent="0.25">
      <c r="A610" s="3" t="s">
        <v>21</v>
      </c>
      <c r="B610" s="3" t="s">
        <v>39</v>
      </c>
      <c r="C610" s="3" t="s">
        <v>41</v>
      </c>
      <c r="D610" s="3" t="s">
        <v>49</v>
      </c>
      <c r="E610" s="3" t="s">
        <v>50</v>
      </c>
      <c r="F610" s="3" t="s">
        <v>25</v>
      </c>
      <c r="G610" s="3" t="s">
        <v>25</v>
      </c>
      <c r="H610" s="3" t="s">
        <v>35</v>
      </c>
      <c r="I610" s="6">
        <v>44682</v>
      </c>
      <c r="J610" s="4">
        <v>0</v>
      </c>
      <c r="K610" s="64">
        <v>0</v>
      </c>
      <c r="L610" s="4">
        <v>795.62699999999995</v>
      </c>
      <c r="M610" s="64">
        <v>795.62699999999995</v>
      </c>
      <c r="N610" s="4">
        <v>795.62699999999995</v>
      </c>
      <c r="O610" s="64">
        <v>795.62699999999995</v>
      </c>
      <c r="P610" s="4">
        <v>0</v>
      </c>
      <c r="Q610" s="3" t="s">
        <v>26</v>
      </c>
      <c r="R610" s="3">
        <v>0</v>
      </c>
      <c r="S610" s="4">
        <v>0</v>
      </c>
      <c r="T610" s="4">
        <v>31</v>
      </c>
      <c r="U610" s="4">
        <v>59</v>
      </c>
      <c r="V610" s="64">
        <f>IF(ISERROR(VLOOKUP($S$610,'TAR FIN'!$A$1:$O$92,15,0)),0,VLOOKUP($S$610,'TAR FIN'!$A$1:$O$92,15,0))</f>
        <v>0</v>
      </c>
      <c r="W610" s="64">
        <f>IF(ISERROR(VLOOKUP($T$610,'TAR FIN'!$A$1:$O$92,15,0)),0,VLOOKUP($T$610,'TAR FIN'!$A$1:$O$92,15,0))*(1-0.06)</f>
        <v>82.466200000000001</v>
      </c>
      <c r="X610" s="64">
        <f>IF(ISERROR(VLOOKUP($U$610,'TAR FIN'!$A$1:$O$92,15,0)),0,VLOOKUP($U$610,'TAR FIN'!$A$1:$O$92,15,0))*(1-0.06)</f>
        <v>238.666</v>
      </c>
      <c r="Y610" s="64"/>
      <c r="Z610" s="64">
        <f ca="1">('TUSD BE'!$AM$12+'TUSD BF'!$AM$12+'TUSD CVA'!$AM$12)*1*(1-0.03)</f>
        <v>106.15870582034525</v>
      </c>
      <c r="AA610" s="64">
        <f>('TE BE'!$AB$6+'TE BF'!$AB$6+'TE CVA'!$AB$6)*1*(1-0.03)</f>
        <v>307.86582774956895</v>
      </c>
      <c r="AB610" s="4">
        <f>$K$610*$V$610</f>
        <v>0</v>
      </c>
      <c r="AC610" s="4">
        <f>$M$610*$W$610</f>
        <v>65612.33530739999</v>
      </c>
      <c r="AD610" s="4">
        <f>$O$610*$X$610</f>
        <v>189889.11358199999</v>
      </c>
      <c r="AE610" s="4">
        <f>$K$610*$Y$610</f>
        <v>0</v>
      </c>
      <c r="AF610" s="4">
        <f ca="1">$M$610*$Z$610</f>
        <v>84462.73263572382</v>
      </c>
      <c r="AG610" s="4">
        <f>$O$610*$AA$610</f>
        <v>244946.36493490628</v>
      </c>
    </row>
    <row r="611" spans="1:33" ht="11.25" customHeight="1" x14ac:dyDescent="0.25">
      <c r="A611" s="3" t="s">
        <v>21</v>
      </c>
      <c r="B611" s="3" t="s">
        <v>39</v>
      </c>
      <c r="C611" s="3" t="s">
        <v>41</v>
      </c>
      <c r="D611" s="3" t="s">
        <v>49</v>
      </c>
      <c r="E611" s="3" t="s">
        <v>50</v>
      </c>
      <c r="F611" s="3" t="s">
        <v>25</v>
      </c>
      <c r="G611" s="3" t="s">
        <v>25</v>
      </c>
      <c r="H611" s="3" t="s">
        <v>35</v>
      </c>
      <c r="I611" s="6">
        <v>44713</v>
      </c>
      <c r="J611" s="4">
        <v>0</v>
      </c>
      <c r="K611" s="64">
        <v>0</v>
      </c>
      <c r="L611" s="4">
        <v>766.27700000000004</v>
      </c>
      <c r="M611" s="64">
        <v>766.27700000000004</v>
      </c>
      <c r="N611" s="4">
        <v>766.27700000000004</v>
      </c>
      <c r="O611" s="64">
        <v>766.27700000000004</v>
      </c>
      <c r="P611" s="4">
        <v>0</v>
      </c>
      <c r="Q611" s="3" t="s">
        <v>26</v>
      </c>
      <c r="R611" s="3">
        <v>0</v>
      </c>
      <c r="S611" s="4">
        <v>0</v>
      </c>
      <c r="T611" s="4">
        <v>31</v>
      </c>
      <c r="U611" s="4">
        <v>59</v>
      </c>
      <c r="V611" s="64">
        <f>IF(ISERROR(VLOOKUP($S$611,'TAR FIN'!$A$1:$O$92,15,0)),0,VLOOKUP($S$611,'TAR FIN'!$A$1:$O$92,15,0))</f>
        <v>0</v>
      </c>
      <c r="W611" s="64">
        <f>IF(ISERROR(VLOOKUP($T$611,'TAR FIN'!$A$1:$O$92,15,0)),0,VLOOKUP($T$611,'TAR FIN'!$A$1:$O$92,15,0))*(1-0.06)</f>
        <v>82.466200000000001</v>
      </c>
      <c r="X611" s="64">
        <f>IF(ISERROR(VLOOKUP($U$611,'TAR FIN'!$A$1:$O$92,15,0)),0,VLOOKUP($U$611,'TAR FIN'!$A$1:$O$92,15,0))*(1-0.06)</f>
        <v>238.666</v>
      </c>
      <c r="Y611" s="64"/>
      <c r="Z611" s="64">
        <f ca="1">('TUSD BE'!$AM$12+'TUSD BF'!$AM$12+'TUSD CVA'!$AM$12)*1*(1-0.03)</f>
        <v>106.15870582034525</v>
      </c>
      <c r="AA611" s="64">
        <f>('TE BE'!$AB$6+'TE BF'!$AB$6+'TE CVA'!$AB$6)*1*(1-0.03)</f>
        <v>307.86582774956895</v>
      </c>
      <c r="AB611" s="4">
        <f>$K$611*$V$611</f>
        <v>0</v>
      </c>
      <c r="AC611" s="4">
        <f>$M$611*$W$611</f>
        <v>63191.952337400005</v>
      </c>
      <c r="AD611" s="4">
        <f>$O$611*$X$611</f>
        <v>182884.26648200001</v>
      </c>
      <c r="AE611" s="4">
        <f>$K$611*$Y$611</f>
        <v>0</v>
      </c>
      <c r="AF611" s="4">
        <f ca="1">$M$611*$Z$611</f>
        <v>81346.974619896704</v>
      </c>
      <c r="AG611" s="4">
        <f>$O$611*$AA$611</f>
        <v>235910.50289045647</v>
      </c>
    </row>
    <row r="612" spans="1:33" ht="11.25" customHeight="1" x14ac:dyDescent="0.25">
      <c r="A612" s="3" t="s">
        <v>21</v>
      </c>
      <c r="B612" s="3" t="s">
        <v>39</v>
      </c>
      <c r="C612" s="3" t="s">
        <v>41</v>
      </c>
      <c r="D612" s="3" t="s">
        <v>49</v>
      </c>
      <c r="E612" s="3" t="s">
        <v>50</v>
      </c>
      <c r="F612" s="3" t="s">
        <v>25</v>
      </c>
      <c r="G612" s="3" t="s">
        <v>25</v>
      </c>
      <c r="H612" s="3" t="s">
        <v>35</v>
      </c>
      <c r="I612" s="6">
        <v>44743</v>
      </c>
      <c r="J612" s="4">
        <v>0</v>
      </c>
      <c r="K612" s="64">
        <v>0</v>
      </c>
      <c r="L612" s="4">
        <v>777.91300000000001</v>
      </c>
      <c r="M612" s="64">
        <v>777.91300000000001</v>
      </c>
      <c r="N612" s="4">
        <v>777.91300000000001</v>
      </c>
      <c r="O612" s="64">
        <v>777.91300000000001</v>
      </c>
      <c r="P612" s="4">
        <v>0</v>
      </c>
      <c r="Q612" s="3" t="s">
        <v>26</v>
      </c>
      <c r="R612" s="3">
        <v>0</v>
      </c>
      <c r="S612" s="4">
        <v>0</v>
      </c>
      <c r="T612" s="4">
        <v>31</v>
      </c>
      <c r="U612" s="4">
        <v>59</v>
      </c>
      <c r="V612" s="64">
        <f>IF(ISERROR(VLOOKUP($S$612,'TAR FIN'!$A$1:$O$92,15,0)),0,VLOOKUP($S$612,'TAR FIN'!$A$1:$O$92,15,0))</f>
        <v>0</v>
      </c>
      <c r="W612" s="64">
        <f>IF(ISERROR(VLOOKUP($T$612,'TAR FIN'!$A$1:$O$92,15,0)),0,VLOOKUP($T$612,'TAR FIN'!$A$1:$O$92,15,0))*(1-0.06)</f>
        <v>82.466200000000001</v>
      </c>
      <c r="X612" s="64">
        <f>IF(ISERROR(VLOOKUP($U$612,'TAR FIN'!$A$1:$O$92,15,0)),0,VLOOKUP($U$612,'TAR FIN'!$A$1:$O$92,15,0))*(1-0.06)</f>
        <v>238.666</v>
      </c>
      <c r="Y612" s="64"/>
      <c r="Z612" s="64">
        <f ca="1">('TUSD BE'!$AM$12+'TUSD BF'!$AM$12+'TUSD CVA'!$AM$12)*1*(1-0.03)</f>
        <v>106.15870582034525</v>
      </c>
      <c r="AA612" s="64">
        <f>('TE BE'!$AB$6+'TE BF'!$AB$6+'TE CVA'!$AB$6)*1*(1-0.03)</f>
        <v>307.86582774956895</v>
      </c>
      <c r="AB612" s="4">
        <f>$K$612*$V$612</f>
        <v>0</v>
      </c>
      <c r="AC612" s="4">
        <f>$M$612*$W$612</f>
        <v>64151.529040599999</v>
      </c>
      <c r="AD612" s="4">
        <f>$O$612*$X$612</f>
        <v>185661.384058</v>
      </c>
      <c r="AE612" s="4">
        <f>$K$612*$Y$612</f>
        <v>0</v>
      </c>
      <c r="AF612" s="4">
        <f ca="1">$M$612*$Z$612</f>
        <v>82582.237320822227</v>
      </c>
      <c r="AG612" s="4">
        <f>$O$612*$AA$612</f>
        <v>239492.82966215044</v>
      </c>
    </row>
    <row r="613" spans="1:33" ht="11.25" customHeight="1" x14ac:dyDescent="0.25">
      <c r="A613" s="3" t="s">
        <v>21</v>
      </c>
      <c r="B613" s="3" t="s">
        <v>39</v>
      </c>
      <c r="C613" s="3" t="s">
        <v>41</v>
      </c>
      <c r="D613" s="3" t="s">
        <v>49</v>
      </c>
      <c r="E613" s="3" t="s">
        <v>50</v>
      </c>
      <c r="F613" s="3" t="s">
        <v>25</v>
      </c>
      <c r="G613" s="3" t="s">
        <v>25</v>
      </c>
      <c r="H613" s="3" t="s">
        <v>35</v>
      </c>
      <c r="I613" s="6">
        <v>44774</v>
      </c>
      <c r="J613" s="4">
        <v>0</v>
      </c>
      <c r="K613" s="64">
        <v>0</v>
      </c>
      <c r="L613" s="4">
        <v>751.85199999999998</v>
      </c>
      <c r="M613" s="64">
        <v>751.85199999999998</v>
      </c>
      <c r="N613" s="4">
        <v>751.85199999999998</v>
      </c>
      <c r="O613" s="64">
        <v>751.85199999999998</v>
      </c>
      <c r="P613" s="4">
        <v>0</v>
      </c>
      <c r="Q613" s="3" t="s">
        <v>26</v>
      </c>
      <c r="R613" s="3">
        <v>0</v>
      </c>
      <c r="S613" s="4">
        <v>0</v>
      </c>
      <c r="T613" s="4">
        <v>31</v>
      </c>
      <c r="U613" s="4">
        <v>59</v>
      </c>
      <c r="V613" s="64">
        <f>IF(ISERROR(VLOOKUP($S$613,'TAR FIN'!$A$1:$O$92,15,0)),0,VLOOKUP($S$613,'TAR FIN'!$A$1:$O$92,15,0))</f>
        <v>0</v>
      </c>
      <c r="W613" s="64">
        <f>IF(ISERROR(VLOOKUP($T$613,'TAR FIN'!$A$1:$O$92,15,0)),0,VLOOKUP($T$613,'TAR FIN'!$A$1:$O$92,15,0))*(1-0.06)</f>
        <v>82.466200000000001</v>
      </c>
      <c r="X613" s="64">
        <f>IF(ISERROR(VLOOKUP($U$613,'TAR FIN'!$A$1:$O$92,15,0)),0,VLOOKUP($U$613,'TAR FIN'!$A$1:$O$92,15,0))*(1-0.06)</f>
        <v>238.666</v>
      </c>
      <c r="Y613" s="64"/>
      <c r="Z613" s="64">
        <f ca="1">('TUSD BE'!$AM$12+'TUSD BF'!$AM$12+'TUSD CVA'!$AM$12)*1*(1-0.03)</f>
        <v>106.15870582034525</v>
      </c>
      <c r="AA613" s="64">
        <f>('TE BE'!$AB$6+'TE BF'!$AB$6+'TE CVA'!$AB$6)*1*(1-0.03)</f>
        <v>307.86582774956895</v>
      </c>
      <c r="AB613" s="4">
        <f>$K$613*$V$613</f>
        <v>0</v>
      </c>
      <c r="AC613" s="4">
        <f>$M$613*$W$613</f>
        <v>62002.377402400001</v>
      </c>
      <c r="AD613" s="4">
        <f>$O$613*$X$613</f>
        <v>179441.50943199999</v>
      </c>
      <c r="AE613" s="4">
        <f>$K$613*$Y$613</f>
        <v>0</v>
      </c>
      <c r="AF613" s="4">
        <f ca="1">$M$613*$Z$613</f>
        <v>79815.635288438207</v>
      </c>
      <c r="AG613" s="4">
        <f>$O$613*$AA$613</f>
        <v>231469.53832516892</v>
      </c>
    </row>
    <row r="614" spans="1:33" ht="11.25" customHeight="1" x14ac:dyDescent="0.25">
      <c r="A614" s="3" t="s">
        <v>21</v>
      </c>
      <c r="B614" s="3" t="s">
        <v>39</v>
      </c>
      <c r="C614" s="3" t="s">
        <v>41</v>
      </c>
      <c r="D614" s="3" t="s">
        <v>49</v>
      </c>
      <c r="E614" s="3" t="s">
        <v>50</v>
      </c>
      <c r="F614" s="3" t="s">
        <v>25</v>
      </c>
      <c r="G614" s="3" t="s">
        <v>25</v>
      </c>
      <c r="H614" s="3" t="s">
        <v>35</v>
      </c>
      <c r="I614" s="6">
        <v>44805</v>
      </c>
      <c r="J614" s="4">
        <v>0</v>
      </c>
      <c r="K614" s="64">
        <v>0</v>
      </c>
      <c r="L614" s="4">
        <v>748.60699999999997</v>
      </c>
      <c r="M614" s="64">
        <v>748.60699999999997</v>
      </c>
      <c r="N614" s="4">
        <v>748.60699999999997</v>
      </c>
      <c r="O614" s="64">
        <v>748.60699999999997</v>
      </c>
      <c r="P614" s="4">
        <v>0</v>
      </c>
      <c r="Q614" s="3" t="s">
        <v>26</v>
      </c>
      <c r="R614" s="3">
        <v>0</v>
      </c>
      <c r="S614" s="4">
        <v>0</v>
      </c>
      <c r="T614" s="4">
        <v>31</v>
      </c>
      <c r="U614" s="4">
        <v>59</v>
      </c>
      <c r="V614" s="64">
        <f>IF(ISERROR(VLOOKUP($S$614,'TAR FIN'!$A$1:$O$92,15,0)),0,VLOOKUP($S$614,'TAR FIN'!$A$1:$O$92,15,0))</f>
        <v>0</v>
      </c>
      <c r="W614" s="64">
        <f>IF(ISERROR(VLOOKUP($T$614,'TAR FIN'!$A$1:$O$92,15,0)),0,VLOOKUP($T$614,'TAR FIN'!$A$1:$O$92,15,0))*(1-0.06)</f>
        <v>82.466200000000001</v>
      </c>
      <c r="X614" s="64">
        <f>IF(ISERROR(VLOOKUP($U$614,'TAR FIN'!$A$1:$O$92,15,0)),0,VLOOKUP($U$614,'TAR FIN'!$A$1:$O$92,15,0))*(1-0.06)</f>
        <v>238.666</v>
      </c>
      <c r="Y614" s="64"/>
      <c r="Z614" s="64">
        <f ca="1">('TUSD BE'!$AM$12+'TUSD BF'!$AM$12+'TUSD CVA'!$AM$12)*1*(1-0.03)</f>
        <v>106.15870582034525</v>
      </c>
      <c r="AA614" s="64">
        <f>('TE BE'!$AB$6+'TE BF'!$AB$6+'TE CVA'!$AB$6)*1*(1-0.03)</f>
        <v>307.86582774956895</v>
      </c>
      <c r="AB614" s="4">
        <f>$K$614*$V$614</f>
        <v>0</v>
      </c>
      <c r="AC614" s="4">
        <f>$M$614*$W$614</f>
        <v>61734.774583400002</v>
      </c>
      <c r="AD614" s="4">
        <f>$O$614*$X$614</f>
        <v>178667.03826199999</v>
      </c>
      <c r="AE614" s="4">
        <f>$K$614*$Y$614</f>
        <v>0</v>
      </c>
      <c r="AF614" s="4">
        <f ca="1">$M$614*$Z$614</f>
        <v>79471.150288051198</v>
      </c>
      <c r="AG614" s="4">
        <f>$O$614*$AA$614</f>
        <v>230470.51371412157</v>
      </c>
    </row>
    <row r="615" spans="1:33" ht="11.25" customHeight="1" x14ac:dyDescent="0.25">
      <c r="A615" s="3" t="s">
        <v>55</v>
      </c>
      <c r="B615" s="3" t="s">
        <v>39</v>
      </c>
      <c r="C615" s="3" t="s">
        <v>41</v>
      </c>
      <c r="D615" s="3" t="s">
        <v>49</v>
      </c>
      <c r="E615" s="3" t="s">
        <v>50</v>
      </c>
      <c r="F615" s="3" t="s">
        <v>25</v>
      </c>
      <c r="G615" s="3" t="s">
        <v>25</v>
      </c>
      <c r="H615" s="3" t="s">
        <v>35</v>
      </c>
      <c r="I615" s="6">
        <v>44835</v>
      </c>
      <c r="J615" s="4">
        <v>0</v>
      </c>
      <c r="K615" s="64">
        <v>0</v>
      </c>
      <c r="L615" s="4">
        <v>748.60699999999997</v>
      </c>
      <c r="M615" s="64">
        <v>748.60699999999997</v>
      </c>
      <c r="N615" s="4">
        <v>748.60699999999997</v>
      </c>
      <c r="O615" s="64">
        <v>748.60699999999997</v>
      </c>
      <c r="P615" s="4">
        <v>0</v>
      </c>
      <c r="Q615" s="3" t="s">
        <v>26</v>
      </c>
      <c r="R615" s="3">
        <v>0</v>
      </c>
      <c r="S615" s="4">
        <v>0</v>
      </c>
      <c r="T615" s="4">
        <v>31</v>
      </c>
      <c r="U615" s="4">
        <v>59</v>
      </c>
      <c r="V615" s="64">
        <f>IF(ISERROR(VLOOKUP($S$615,'TAR FIN'!$A$1:$O$92,15,0)),0,VLOOKUP($S$615,'TAR FIN'!$A$1:$O$92,15,0))</f>
        <v>0</v>
      </c>
      <c r="W615" s="64">
        <f>IF(ISERROR(VLOOKUP($T$615,'TAR FIN'!$A$1:$O$92,15,0)),0,VLOOKUP($T$615,'TAR FIN'!$A$1:$O$92,15,0))*(1-0.06)</f>
        <v>82.466200000000001</v>
      </c>
      <c r="X615" s="64">
        <f>IF(ISERROR(VLOOKUP($U$615,'TAR FIN'!$A$1:$O$92,15,0)),0,VLOOKUP($U$615,'TAR FIN'!$A$1:$O$92,15,0))*(1-0.06)</f>
        <v>238.666</v>
      </c>
      <c r="Y615" s="64"/>
      <c r="Z615" s="64">
        <f ca="1">('TUSD BE'!$AM$12+'TUSD BF'!$AM$12+'TUSD CVA'!$AM$12)*1*(1-0.03)</f>
        <v>106.15870582034525</v>
      </c>
      <c r="AA615" s="64">
        <f>('TE BE'!$AB$6+'TE BF'!$AB$6+'TE CVA'!$AB$6)*1*(1-0.03)</f>
        <v>307.86582774956895</v>
      </c>
      <c r="AB615" s="4">
        <f>$K$615*$V$615</f>
        <v>0</v>
      </c>
      <c r="AC615" s="4">
        <f>$M$615*$W$615</f>
        <v>61734.774583400002</v>
      </c>
      <c r="AD615" s="4">
        <f>$O$615*$X$615</f>
        <v>178667.03826199999</v>
      </c>
      <c r="AE615" s="4">
        <f>$K$615*$Y$615</f>
        <v>0</v>
      </c>
      <c r="AF615" s="4">
        <f ca="1">$M$615*$Z$615</f>
        <v>79471.150288051198</v>
      </c>
      <c r="AG615" s="4">
        <f>$O$615*$AA$615</f>
        <v>230470.51371412157</v>
      </c>
    </row>
    <row r="616" spans="1:33" ht="11.25" customHeight="1" x14ac:dyDescent="0.25">
      <c r="A616" s="3" t="s">
        <v>21</v>
      </c>
      <c r="B616" s="3" t="s">
        <v>39</v>
      </c>
      <c r="C616" s="3" t="s">
        <v>41</v>
      </c>
      <c r="D616" s="3" t="s">
        <v>49</v>
      </c>
      <c r="E616" s="3" t="s">
        <v>50</v>
      </c>
      <c r="F616" s="3" t="s">
        <v>25</v>
      </c>
      <c r="G616" s="3" t="s">
        <v>25</v>
      </c>
      <c r="H616" s="3" t="s">
        <v>25</v>
      </c>
      <c r="I616" s="6">
        <v>44501</v>
      </c>
      <c r="J616" s="4">
        <v>3540</v>
      </c>
      <c r="K616" s="63">
        <v>3540</v>
      </c>
      <c r="L616" s="4">
        <v>0</v>
      </c>
      <c r="M616" s="64">
        <v>0</v>
      </c>
      <c r="N616" s="4">
        <v>0</v>
      </c>
      <c r="O616" s="64">
        <v>0</v>
      </c>
      <c r="P616" s="4">
        <v>28</v>
      </c>
      <c r="Q616" s="3" t="s">
        <v>26</v>
      </c>
      <c r="R616" s="3">
        <v>0</v>
      </c>
      <c r="S616" s="4">
        <v>18</v>
      </c>
      <c r="T616" s="4">
        <v>0</v>
      </c>
      <c r="U616" s="4">
        <v>0</v>
      </c>
      <c r="V616" s="64">
        <f>IF(ISERROR(VLOOKUP($S$616,'TAR FIN'!$A$1:$O$92,15,0)),0,VLOOKUP($S$616,'TAR FIN'!$A$1:$O$92,15,0))*(1-0.06)</f>
        <v>13.7616</v>
      </c>
      <c r="W616" s="64">
        <f>IF(ISERROR(VLOOKUP($T$616,'TAR FIN'!$A$1:$O$92,15,0)),0,VLOOKUP($T$616,'TAR FIN'!$A$1:$O$92,15,0))</f>
        <v>0</v>
      </c>
      <c r="X616" s="64">
        <f>IF(ISERROR(VLOOKUP($U$616,'TAR FIN'!$A$1:$O$92,15,0)),0,VLOOKUP($U$616,'TAR FIN'!$A$1:$O$92,15,0))</f>
        <v>0</v>
      </c>
      <c r="Y616" s="64">
        <f ca="1">('TUSD BE'!$AM$10+'TUSD BF'!$AM$10+'TUSD CVA'!$AM$10)*1*(1-0.03)</f>
        <v>18.453742481980488</v>
      </c>
      <c r="Z616" s="64"/>
      <c r="AA616" s="64"/>
      <c r="AB616" s="4">
        <f>$K$616*$V$616</f>
        <v>48716.063999999998</v>
      </c>
      <c r="AC616" s="4">
        <f>$M$616*$W$616</f>
        <v>0</v>
      </c>
      <c r="AD616" s="4">
        <f>$O$616*$X$616</f>
        <v>0</v>
      </c>
      <c r="AE616" s="4">
        <f ca="1">$K$616*$Y$616</f>
        <v>65326.248386210929</v>
      </c>
      <c r="AF616" s="4">
        <f>$M$616*$Z$616</f>
        <v>0</v>
      </c>
      <c r="AG616" s="4">
        <f>$O$616*$AA$616</f>
        <v>0</v>
      </c>
    </row>
    <row r="617" spans="1:33" ht="11.25" customHeight="1" x14ac:dyDescent="0.25">
      <c r="A617" s="3" t="s">
        <v>21</v>
      </c>
      <c r="B617" s="3" t="s">
        <v>39</v>
      </c>
      <c r="C617" s="3" t="s">
        <v>41</v>
      </c>
      <c r="D617" s="3" t="s">
        <v>49</v>
      </c>
      <c r="E617" s="3" t="s">
        <v>50</v>
      </c>
      <c r="F617" s="3" t="s">
        <v>25</v>
      </c>
      <c r="G617" s="3" t="s">
        <v>25</v>
      </c>
      <c r="H617" s="3" t="s">
        <v>25</v>
      </c>
      <c r="I617" s="6">
        <v>44531</v>
      </c>
      <c r="J617" s="4">
        <v>3535</v>
      </c>
      <c r="K617" s="63">
        <v>3535</v>
      </c>
      <c r="L617" s="4">
        <v>0</v>
      </c>
      <c r="M617" s="64">
        <v>0</v>
      </c>
      <c r="N617" s="4">
        <v>0</v>
      </c>
      <c r="O617" s="64">
        <v>0</v>
      </c>
      <c r="P617" s="4">
        <v>28</v>
      </c>
      <c r="Q617" s="3" t="s">
        <v>26</v>
      </c>
      <c r="R617" s="3">
        <v>0</v>
      </c>
      <c r="S617" s="4">
        <v>18</v>
      </c>
      <c r="T617" s="4">
        <v>0</v>
      </c>
      <c r="U617" s="4">
        <v>0</v>
      </c>
      <c r="V617" s="64">
        <f>IF(ISERROR(VLOOKUP($S$617,'TAR FIN'!$A$1:$O$92,15,0)),0,VLOOKUP($S$617,'TAR FIN'!$A$1:$O$92,15,0))*(1-0.06)</f>
        <v>13.7616</v>
      </c>
      <c r="W617" s="64">
        <f>IF(ISERROR(VLOOKUP($T$617,'TAR FIN'!$A$1:$O$92,15,0)),0,VLOOKUP($T$617,'TAR FIN'!$A$1:$O$92,15,0))</f>
        <v>0</v>
      </c>
      <c r="X617" s="64">
        <f>IF(ISERROR(VLOOKUP($U$617,'TAR FIN'!$A$1:$O$92,15,0)),0,VLOOKUP($U$617,'TAR FIN'!$A$1:$O$92,15,0))</f>
        <v>0</v>
      </c>
      <c r="Y617" s="64">
        <f ca="1">('TUSD BE'!$AM$10+'TUSD BF'!$AM$10+'TUSD CVA'!$AM$10)*1*(1-0.03)</f>
        <v>18.453742481980488</v>
      </c>
      <c r="Z617" s="64"/>
      <c r="AA617" s="64"/>
      <c r="AB617" s="4">
        <f>$K$617*$V$617</f>
        <v>48647.256000000001</v>
      </c>
      <c r="AC617" s="4">
        <f>$M$617*$W$617</f>
        <v>0</v>
      </c>
      <c r="AD617" s="4">
        <f>$O$617*$X$617</f>
        <v>0</v>
      </c>
      <c r="AE617" s="4">
        <f ca="1">$K$617*$Y$617</f>
        <v>65233.979673801026</v>
      </c>
      <c r="AF617" s="4">
        <f>$M$617*$Z$617</f>
        <v>0</v>
      </c>
      <c r="AG617" s="4">
        <f>$O$617*$AA$617</f>
        <v>0</v>
      </c>
    </row>
    <row r="618" spans="1:33" ht="11.25" customHeight="1" x14ac:dyDescent="0.25">
      <c r="A618" s="3" t="s">
        <v>21</v>
      </c>
      <c r="B618" s="3" t="s">
        <v>39</v>
      </c>
      <c r="C618" s="3" t="s">
        <v>41</v>
      </c>
      <c r="D618" s="3" t="s">
        <v>49</v>
      </c>
      <c r="E618" s="3" t="s">
        <v>50</v>
      </c>
      <c r="F618" s="3" t="s">
        <v>25</v>
      </c>
      <c r="G618" s="3" t="s">
        <v>25</v>
      </c>
      <c r="H618" s="3" t="s">
        <v>25</v>
      </c>
      <c r="I618" s="6">
        <v>44562</v>
      </c>
      <c r="J618" s="4">
        <v>3535</v>
      </c>
      <c r="K618" s="63">
        <v>3535</v>
      </c>
      <c r="L618" s="4">
        <v>0</v>
      </c>
      <c r="M618" s="64">
        <v>0</v>
      </c>
      <c r="N618" s="4">
        <v>0</v>
      </c>
      <c r="O618" s="64">
        <v>0</v>
      </c>
      <c r="P618" s="4">
        <v>28</v>
      </c>
      <c r="Q618" s="3" t="s">
        <v>26</v>
      </c>
      <c r="R618" s="3">
        <v>0</v>
      </c>
      <c r="S618" s="4">
        <v>18</v>
      </c>
      <c r="T618" s="4">
        <v>0</v>
      </c>
      <c r="U618" s="4">
        <v>0</v>
      </c>
      <c r="V618" s="64">
        <f>IF(ISERROR(VLOOKUP($S$618,'TAR FIN'!$A$1:$O$92,15,0)),0,VLOOKUP($S$618,'TAR FIN'!$A$1:$O$92,15,0))*(1-0.06)</f>
        <v>13.7616</v>
      </c>
      <c r="W618" s="64">
        <f>IF(ISERROR(VLOOKUP($T$618,'TAR FIN'!$A$1:$O$92,15,0)),0,VLOOKUP($T$618,'TAR FIN'!$A$1:$O$92,15,0))</f>
        <v>0</v>
      </c>
      <c r="X618" s="64">
        <f>IF(ISERROR(VLOOKUP($U$618,'TAR FIN'!$A$1:$O$92,15,0)),0,VLOOKUP($U$618,'TAR FIN'!$A$1:$O$92,15,0))</f>
        <v>0</v>
      </c>
      <c r="Y618" s="64">
        <f ca="1">('TUSD BE'!$AM$10+'TUSD BF'!$AM$10+'TUSD CVA'!$AM$10)*1*(1-0.03)</f>
        <v>18.453742481980488</v>
      </c>
      <c r="Z618" s="64"/>
      <c r="AA618" s="64"/>
      <c r="AB618" s="4">
        <f>$K$618*$V$618</f>
        <v>48647.256000000001</v>
      </c>
      <c r="AC618" s="4">
        <f>$M$618*$W$618</f>
        <v>0</v>
      </c>
      <c r="AD618" s="4">
        <f>$O$618*$X$618</f>
        <v>0</v>
      </c>
      <c r="AE618" s="4">
        <f ca="1">$K$618*$Y$618</f>
        <v>65233.979673801026</v>
      </c>
      <c r="AF618" s="4">
        <f>$M$618*$Z$618</f>
        <v>0</v>
      </c>
      <c r="AG618" s="4">
        <f>$O$618*$AA$618</f>
        <v>0</v>
      </c>
    </row>
    <row r="619" spans="1:33" ht="11.25" customHeight="1" x14ac:dyDescent="0.25">
      <c r="A619" s="3" t="s">
        <v>21</v>
      </c>
      <c r="B619" s="3" t="s">
        <v>39</v>
      </c>
      <c r="C619" s="3" t="s">
        <v>41</v>
      </c>
      <c r="D619" s="3" t="s">
        <v>49</v>
      </c>
      <c r="E619" s="3" t="s">
        <v>50</v>
      </c>
      <c r="F619" s="3" t="s">
        <v>25</v>
      </c>
      <c r="G619" s="3" t="s">
        <v>25</v>
      </c>
      <c r="H619" s="3" t="s">
        <v>25</v>
      </c>
      <c r="I619" s="6">
        <v>44593</v>
      </c>
      <c r="J619" s="4">
        <v>3545</v>
      </c>
      <c r="K619" s="63">
        <v>3545</v>
      </c>
      <c r="L619" s="4">
        <v>0</v>
      </c>
      <c r="M619" s="64">
        <v>0</v>
      </c>
      <c r="N619" s="4">
        <v>0</v>
      </c>
      <c r="O619" s="64">
        <v>0</v>
      </c>
      <c r="P619" s="4">
        <v>28</v>
      </c>
      <c r="Q619" s="3" t="s">
        <v>26</v>
      </c>
      <c r="R619" s="3">
        <v>0</v>
      </c>
      <c r="S619" s="4">
        <v>18</v>
      </c>
      <c r="T619" s="4">
        <v>0</v>
      </c>
      <c r="U619" s="4">
        <v>0</v>
      </c>
      <c r="V619" s="64">
        <f>IF(ISERROR(VLOOKUP($S$619,'TAR FIN'!$A$1:$O$92,15,0)),0,VLOOKUP($S$619,'TAR FIN'!$A$1:$O$92,15,0))*(1-0.06)</f>
        <v>13.7616</v>
      </c>
      <c r="W619" s="64">
        <f>IF(ISERROR(VLOOKUP($T$619,'TAR FIN'!$A$1:$O$92,15,0)),0,VLOOKUP($T$619,'TAR FIN'!$A$1:$O$92,15,0))</f>
        <v>0</v>
      </c>
      <c r="X619" s="64">
        <f>IF(ISERROR(VLOOKUP($U$619,'TAR FIN'!$A$1:$O$92,15,0)),0,VLOOKUP($U$619,'TAR FIN'!$A$1:$O$92,15,0))</f>
        <v>0</v>
      </c>
      <c r="Y619" s="64">
        <f ca="1">('TUSD BE'!$AM$10+'TUSD BF'!$AM$10+'TUSD CVA'!$AM$10)*1*(1-0.03)</f>
        <v>18.453742481980488</v>
      </c>
      <c r="Z619" s="64"/>
      <c r="AA619" s="64"/>
      <c r="AB619" s="4">
        <f>$K$619*$V$619</f>
        <v>48784.871999999996</v>
      </c>
      <c r="AC619" s="4">
        <f>$M$619*$W$619</f>
        <v>0</v>
      </c>
      <c r="AD619" s="4">
        <f>$O$619*$X$619</f>
        <v>0</v>
      </c>
      <c r="AE619" s="4">
        <f ca="1">$K$619*$Y$619</f>
        <v>65418.517098620825</v>
      </c>
      <c r="AF619" s="4">
        <f>$M$619*$Z$619</f>
        <v>0</v>
      </c>
      <c r="AG619" s="4">
        <f>$O$619*$AA$619</f>
        <v>0</v>
      </c>
    </row>
    <row r="620" spans="1:33" ht="11.25" customHeight="1" x14ac:dyDescent="0.25">
      <c r="A620" s="3" t="s">
        <v>21</v>
      </c>
      <c r="B620" s="3" t="s">
        <v>39</v>
      </c>
      <c r="C620" s="3" t="s">
        <v>41</v>
      </c>
      <c r="D620" s="3" t="s">
        <v>49</v>
      </c>
      <c r="E620" s="3" t="s">
        <v>50</v>
      </c>
      <c r="F620" s="3" t="s">
        <v>25</v>
      </c>
      <c r="G620" s="3" t="s">
        <v>25</v>
      </c>
      <c r="H620" s="3" t="s">
        <v>25</v>
      </c>
      <c r="I620" s="6">
        <v>44621</v>
      </c>
      <c r="J620" s="4">
        <v>3562</v>
      </c>
      <c r="K620" s="63">
        <v>3562</v>
      </c>
      <c r="L620" s="4">
        <v>0</v>
      </c>
      <c r="M620" s="64">
        <v>0</v>
      </c>
      <c r="N620" s="4">
        <v>0</v>
      </c>
      <c r="O620" s="64">
        <v>0</v>
      </c>
      <c r="P620" s="4">
        <v>28</v>
      </c>
      <c r="Q620" s="3" t="s">
        <v>26</v>
      </c>
      <c r="R620" s="3">
        <v>0</v>
      </c>
      <c r="S620" s="4">
        <v>18</v>
      </c>
      <c r="T620" s="4">
        <v>0</v>
      </c>
      <c r="U620" s="4">
        <v>0</v>
      </c>
      <c r="V620" s="64">
        <f>IF(ISERROR(VLOOKUP($S$620,'TAR FIN'!$A$1:$O$92,15,0)),0,VLOOKUP($S$620,'TAR FIN'!$A$1:$O$92,15,0))*(1-0.06)</f>
        <v>13.7616</v>
      </c>
      <c r="W620" s="64">
        <f>IF(ISERROR(VLOOKUP($T$620,'TAR FIN'!$A$1:$O$92,15,0)),0,VLOOKUP($T$620,'TAR FIN'!$A$1:$O$92,15,0))</f>
        <v>0</v>
      </c>
      <c r="X620" s="64">
        <f>IF(ISERROR(VLOOKUP($U$620,'TAR FIN'!$A$1:$O$92,15,0)),0,VLOOKUP($U$620,'TAR FIN'!$A$1:$O$92,15,0))</f>
        <v>0</v>
      </c>
      <c r="Y620" s="64">
        <f ca="1">('TUSD BE'!$AM$10+'TUSD BF'!$AM$10+'TUSD CVA'!$AM$10)*1*(1-0.03)</f>
        <v>18.453742481980488</v>
      </c>
      <c r="Z620" s="64"/>
      <c r="AA620" s="64"/>
      <c r="AB620" s="4">
        <f>$K$620*$V$620</f>
        <v>49018.819199999998</v>
      </c>
      <c r="AC620" s="4">
        <f>$M$620*$W$620</f>
        <v>0</v>
      </c>
      <c r="AD620" s="4">
        <f>$O$620*$X$620</f>
        <v>0</v>
      </c>
      <c r="AE620" s="4">
        <f ca="1">$K$620*$Y$620</f>
        <v>65732.230720814492</v>
      </c>
      <c r="AF620" s="4">
        <f>$M$620*$Z$620</f>
        <v>0</v>
      </c>
      <c r="AG620" s="4">
        <f>$O$620*$AA$620</f>
        <v>0</v>
      </c>
    </row>
    <row r="621" spans="1:33" ht="11.25" customHeight="1" x14ac:dyDescent="0.25">
      <c r="A621" s="3" t="s">
        <v>21</v>
      </c>
      <c r="B621" s="3" t="s">
        <v>39</v>
      </c>
      <c r="C621" s="3" t="s">
        <v>41</v>
      </c>
      <c r="D621" s="3" t="s">
        <v>49</v>
      </c>
      <c r="E621" s="3" t="s">
        <v>50</v>
      </c>
      <c r="F621" s="3" t="s">
        <v>25</v>
      </c>
      <c r="G621" s="3" t="s">
        <v>25</v>
      </c>
      <c r="H621" s="3" t="s">
        <v>25</v>
      </c>
      <c r="I621" s="6">
        <v>44652</v>
      </c>
      <c r="J621" s="4">
        <v>3562</v>
      </c>
      <c r="K621" s="63">
        <v>3562</v>
      </c>
      <c r="L621" s="4">
        <v>0</v>
      </c>
      <c r="M621" s="64">
        <v>0</v>
      </c>
      <c r="N621" s="4">
        <v>0</v>
      </c>
      <c r="O621" s="64">
        <v>0</v>
      </c>
      <c r="P621" s="4">
        <v>28</v>
      </c>
      <c r="Q621" s="3" t="s">
        <v>26</v>
      </c>
      <c r="R621" s="3">
        <v>0</v>
      </c>
      <c r="S621" s="4">
        <v>18</v>
      </c>
      <c r="T621" s="4">
        <v>0</v>
      </c>
      <c r="U621" s="4">
        <v>0</v>
      </c>
      <c r="V621" s="64">
        <f>IF(ISERROR(VLOOKUP($S$621,'TAR FIN'!$A$1:$O$92,15,0)),0,VLOOKUP($S$621,'TAR FIN'!$A$1:$O$92,15,0))*(1-0.06)</f>
        <v>13.7616</v>
      </c>
      <c r="W621" s="64">
        <f>IF(ISERROR(VLOOKUP($T$621,'TAR FIN'!$A$1:$O$92,15,0)),0,VLOOKUP($T$621,'TAR FIN'!$A$1:$O$92,15,0))</f>
        <v>0</v>
      </c>
      <c r="X621" s="64">
        <f>IF(ISERROR(VLOOKUP($U$621,'TAR FIN'!$A$1:$O$92,15,0)),0,VLOOKUP($U$621,'TAR FIN'!$A$1:$O$92,15,0))</f>
        <v>0</v>
      </c>
      <c r="Y621" s="64">
        <f ca="1">('TUSD BE'!$AM$10+'TUSD BF'!$AM$10+'TUSD CVA'!$AM$10)*1*(1-0.03)</f>
        <v>18.453742481980488</v>
      </c>
      <c r="Z621" s="64"/>
      <c r="AA621" s="64"/>
      <c r="AB621" s="4">
        <f>$K$621*$V$621</f>
        <v>49018.819199999998</v>
      </c>
      <c r="AC621" s="4">
        <f>$M$621*$W$621</f>
        <v>0</v>
      </c>
      <c r="AD621" s="4">
        <f>$O$621*$X$621</f>
        <v>0</v>
      </c>
      <c r="AE621" s="4">
        <f ca="1">$K$621*$Y$621</f>
        <v>65732.230720814492</v>
      </c>
      <c r="AF621" s="4">
        <f>$M$621*$Z$621</f>
        <v>0</v>
      </c>
      <c r="AG621" s="4">
        <f>$O$621*$AA$621</f>
        <v>0</v>
      </c>
    </row>
    <row r="622" spans="1:33" ht="11.25" customHeight="1" x14ac:dyDescent="0.25">
      <c r="A622" s="3" t="s">
        <v>21</v>
      </c>
      <c r="B622" s="3" t="s">
        <v>39</v>
      </c>
      <c r="C622" s="3" t="s">
        <v>41</v>
      </c>
      <c r="D622" s="3" t="s">
        <v>49</v>
      </c>
      <c r="E622" s="3" t="s">
        <v>50</v>
      </c>
      <c r="F622" s="3" t="s">
        <v>25</v>
      </c>
      <c r="G622" s="3" t="s">
        <v>25</v>
      </c>
      <c r="H622" s="3" t="s">
        <v>25</v>
      </c>
      <c r="I622" s="6">
        <v>44682</v>
      </c>
      <c r="J622" s="4">
        <v>4028</v>
      </c>
      <c r="K622" s="63">
        <v>4028</v>
      </c>
      <c r="L622" s="4">
        <v>0</v>
      </c>
      <c r="M622" s="64">
        <v>0</v>
      </c>
      <c r="N622" s="4">
        <v>0</v>
      </c>
      <c r="O622" s="64">
        <v>0</v>
      </c>
      <c r="P622" s="4">
        <v>30</v>
      </c>
      <c r="Q622" s="3" t="s">
        <v>26</v>
      </c>
      <c r="R622" s="3">
        <v>0</v>
      </c>
      <c r="S622" s="4">
        <v>18</v>
      </c>
      <c r="T622" s="4">
        <v>0</v>
      </c>
      <c r="U622" s="4">
        <v>0</v>
      </c>
      <c r="V622" s="64">
        <f>IF(ISERROR(VLOOKUP($S$622,'TAR FIN'!$A$1:$O$92,15,0)),0,VLOOKUP($S$622,'TAR FIN'!$A$1:$O$92,15,0))*(1-0.06)</f>
        <v>13.7616</v>
      </c>
      <c r="W622" s="64">
        <f>IF(ISERROR(VLOOKUP($T$622,'TAR FIN'!$A$1:$O$92,15,0)),0,VLOOKUP($T$622,'TAR FIN'!$A$1:$O$92,15,0))</f>
        <v>0</v>
      </c>
      <c r="X622" s="64">
        <f>IF(ISERROR(VLOOKUP($U$622,'TAR FIN'!$A$1:$O$92,15,0)),0,VLOOKUP($U$622,'TAR FIN'!$A$1:$O$92,15,0))</f>
        <v>0</v>
      </c>
      <c r="Y622" s="64">
        <f ca="1">('TUSD BE'!$AM$10+'TUSD BF'!$AM$10+'TUSD CVA'!$AM$10)*1*(1-0.03)</f>
        <v>18.453742481980488</v>
      </c>
      <c r="Z622" s="64"/>
      <c r="AA622" s="64"/>
      <c r="AB622" s="4">
        <f>$K$622*$V$622</f>
        <v>55431.724799999996</v>
      </c>
      <c r="AC622" s="4">
        <f>$M$622*$W$622</f>
        <v>0</v>
      </c>
      <c r="AD622" s="4">
        <f>$O$622*$X$622</f>
        <v>0</v>
      </c>
      <c r="AE622" s="4">
        <f ca="1">$K$622*$Y$622</f>
        <v>74331.674717417409</v>
      </c>
      <c r="AF622" s="4">
        <f>$M$622*$Z$622</f>
        <v>0</v>
      </c>
      <c r="AG622" s="4">
        <f>$O$622*$AA$622</f>
        <v>0</v>
      </c>
    </row>
    <row r="623" spans="1:33" ht="11.25" customHeight="1" x14ac:dyDescent="0.25">
      <c r="A623" s="3" t="s">
        <v>21</v>
      </c>
      <c r="B623" s="3" t="s">
        <v>39</v>
      </c>
      <c r="C623" s="3" t="s">
        <v>41</v>
      </c>
      <c r="D623" s="3" t="s">
        <v>49</v>
      </c>
      <c r="E623" s="3" t="s">
        <v>50</v>
      </c>
      <c r="F623" s="3" t="s">
        <v>25</v>
      </c>
      <c r="G623" s="3" t="s">
        <v>25</v>
      </c>
      <c r="H623" s="3" t="s">
        <v>25</v>
      </c>
      <c r="I623" s="6">
        <v>44713</v>
      </c>
      <c r="J623" s="4">
        <v>3612</v>
      </c>
      <c r="K623" s="63">
        <v>3612</v>
      </c>
      <c r="L623" s="4">
        <v>0</v>
      </c>
      <c r="M623" s="64">
        <v>0</v>
      </c>
      <c r="N623" s="4">
        <v>0</v>
      </c>
      <c r="O623" s="64">
        <v>0</v>
      </c>
      <c r="P623" s="4">
        <v>30</v>
      </c>
      <c r="Q623" s="3" t="s">
        <v>26</v>
      </c>
      <c r="R623" s="3">
        <v>0</v>
      </c>
      <c r="S623" s="4">
        <v>18</v>
      </c>
      <c r="T623" s="4">
        <v>0</v>
      </c>
      <c r="U623" s="4">
        <v>0</v>
      </c>
      <c r="V623" s="64">
        <f>IF(ISERROR(VLOOKUP($S$623,'TAR FIN'!$A$1:$O$92,15,0)),0,VLOOKUP($S$623,'TAR FIN'!$A$1:$O$92,15,0))*(1-0.06)</f>
        <v>13.7616</v>
      </c>
      <c r="W623" s="64">
        <f>IF(ISERROR(VLOOKUP($T$623,'TAR FIN'!$A$1:$O$92,15,0)),0,VLOOKUP($T$623,'TAR FIN'!$A$1:$O$92,15,0))</f>
        <v>0</v>
      </c>
      <c r="X623" s="64">
        <f>IF(ISERROR(VLOOKUP($U$623,'TAR FIN'!$A$1:$O$92,15,0)),0,VLOOKUP($U$623,'TAR FIN'!$A$1:$O$92,15,0))</f>
        <v>0</v>
      </c>
      <c r="Y623" s="64">
        <f ca="1">('TUSD BE'!$AM$10+'TUSD BF'!$AM$10+'TUSD CVA'!$AM$10)*1*(1-0.03)</f>
        <v>18.453742481980488</v>
      </c>
      <c r="Z623" s="64"/>
      <c r="AA623" s="64"/>
      <c r="AB623" s="4">
        <f>$K$623*$V$623</f>
        <v>49706.8992</v>
      </c>
      <c r="AC623" s="4">
        <f>$M$623*$W$623</f>
        <v>0</v>
      </c>
      <c r="AD623" s="4">
        <f>$O$623*$X$623</f>
        <v>0</v>
      </c>
      <c r="AE623" s="4">
        <f ca="1">$K$623*$Y$623</f>
        <v>66654.917844913522</v>
      </c>
      <c r="AF623" s="4">
        <f>$M$623*$Z$623</f>
        <v>0</v>
      </c>
      <c r="AG623" s="4">
        <f>$O$623*$AA$623</f>
        <v>0</v>
      </c>
    </row>
    <row r="624" spans="1:33" ht="11.25" customHeight="1" x14ac:dyDescent="0.25">
      <c r="A624" s="3" t="s">
        <v>27</v>
      </c>
      <c r="B624" s="3" t="s">
        <v>39</v>
      </c>
      <c r="C624" s="3" t="s">
        <v>41</v>
      </c>
      <c r="D624" s="3" t="s">
        <v>49</v>
      </c>
      <c r="E624" s="3" t="s">
        <v>50</v>
      </c>
      <c r="F624" s="3" t="s">
        <v>25</v>
      </c>
      <c r="G624" s="3" t="s">
        <v>25</v>
      </c>
      <c r="H624" s="3" t="s">
        <v>25</v>
      </c>
      <c r="I624" s="6">
        <v>44713</v>
      </c>
      <c r="J624" s="4">
        <v>-420</v>
      </c>
      <c r="K624" s="63">
        <v>-420</v>
      </c>
      <c r="L624" s="4">
        <v>0</v>
      </c>
      <c r="M624" s="64">
        <v>0</v>
      </c>
      <c r="N624" s="4">
        <v>0</v>
      </c>
      <c r="O624" s="64">
        <v>0</v>
      </c>
      <c r="P624" s="4">
        <v>0</v>
      </c>
      <c r="Q624" s="3" t="s">
        <v>26</v>
      </c>
      <c r="R624" s="3">
        <v>0</v>
      </c>
      <c r="S624" s="4">
        <v>18</v>
      </c>
      <c r="T624" s="4">
        <v>0</v>
      </c>
      <c r="U624" s="4">
        <v>0</v>
      </c>
      <c r="V624" s="64">
        <f>IF(ISERROR(VLOOKUP($S$624,'TAR FIN'!$A$1:$O$92,15,0)),0,VLOOKUP($S$624,'TAR FIN'!$A$1:$O$92,15,0))*(1-0.06)</f>
        <v>13.7616</v>
      </c>
      <c r="W624" s="64">
        <f>IF(ISERROR(VLOOKUP($T$624,'TAR FIN'!$A$1:$O$92,15,0)),0,VLOOKUP($T$624,'TAR FIN'!$A$1:$O$92,15,0))</f>
        <v>0</v>
      </c>
      <c r="X624" s="64">
        <f>IF(ISERROR(VLOOKUP($U$624,'TAR FIN'!$A$1:$O$92,15,0)),0,VLOOKUP($U$624,'TAR FIN'!$A$1:$O$92,15,0))</f>
        <v>0</v>
      </c>
      <c r="Y624" s="64">
        <f ca="1">('TUSD BE'!$AM$10+'TUSD BF'!$AM$10+'TUSD CVA'!$AM$10)*1*(1-0.03)</f>
        <v>18.453742481980488</v>
      </c>
      <c r="Z624" s="64"/>
      <c r="AA624" s="64"/>
      <c r="AB624" s="4">
        <f>$K$624*$V$624</f>
        <v>-5779.8719999999994</v>
      </c>
      <c r="AC624" s="4">
        <f>$M$624*$W$624</f>
        <v>0</v>
      </c>
      <c r="AD624" s="4">
        <f>$O$624*$X$624</f>
        <v>0</v>
      </c>
      <c r="AE624" s="4">
        <f ca="1">$K$624*$Y$624</f>
        <v>-7750.5718424318047</v>
      </c>
      <c r="AF624" s="4">
        <f>$M$624*$Z$624</f>
        <v>0</v>
      </c>
      <c r="AG624" s="4">
        <f>$O$624*$AA$624</f>
        <v>0</v>
      </c>
    </row>
    <row r="625" spans="1:33" ht="11.25" customHeight="1" x14ac:dyDescent="0.25">
      <c r="A625" s="3" t="s">
        <v>21</v>
      </c>
      <c r="B625" s="3" t="s">
        <v>39</v>
      </c>
      <c r="C625" s="3" t="s">
        <v>41</v>
      </c>
      <c r="D625" s="3" t="s">
        <v>49</v>
      </c>
      <c r="E625" s="3" t="s">
        <v>50</v>
      </c>
      <c r="F625" s="3" t="s">
        <v>25</v>
      </c>
      <c r="G625" s="3" t="s">
        <v>25</v>
      </c>
      <c r="H625" s="3" t="s">
        <v>25</v>
      </c>
      <c r="I625" s="6">
        <v>44743</v>
      </c>
      <c r="J625" s="4">
        <v>3611</v>
      </c>
      <c r="K625" s="63">
        <v>3611</v>
      </c>
      <c r="L625" s="4">
        <v>0</v>
      </c>
      <c r="M625" s="64">
        <v>0</v>
      </c>
      <c r="N625" s="4">
        <v>0</v>
      </c>
      <c r="O625" s="64">
        <v>0</v>
      </c>
      <c r="P625" s="4">
        <v>30</v>
      </c>
      <c r="Q625" s="3" t="s">
        <v>26</v>
      </c>
      <c r="R625" s="3">
        <v>0</v>
      </c>
      <c r="S625" s="4">
        <v>18</v>
      </c>
      <c r="T625" s="4">
        <v>0</v>
      </c>
      <c r="U625" s="4">
        <v>0</v>
      </c>
      <c r="V625" s="64">
        <f>IF(ISERROR(VLOOKUP($S$625,'TAR FIN'!$A$1:$O$92,15,0)),0,VLOOKUP($S$625,'TAR FIN'!$A$1:$O$92,15,0))*(1-0.06)</f>
        <v>13.7616</v>
      </c>
      <c r="W625" s="64">
        <f>IF(ISERROR(VLOOKUP($T$625,'TAR FIN'!$A$1:$O$92,15,0)),0,VLOOKUP($T$625,'TAR FIN'!$A$1:$O$92,15,0))</f>
        <v>0</v>
      </c>
      <c r="X625" s="64">
        <f>IF(ISERROR(VLOOKUP($U$625,'TAR FIN'!$A$1:$O$92,15,0)),0,VLOOKUP($U$625,'TAR FIN'!$A$1:$O$92,15,0))</f>
        <v>0</v>
      </c>
      <c r="Y625" s="64">
        <f ca="1">('TUSD BE'!$AM$10+'TUSD BF'!$AM$10+'TUSD CVA'!$AM$10)*1*(1-0.03)</f>
        <v>18.453742481980488</v>
      </c>
      <c r="Z625" s="64"/>
      <c r="AA625" s="64"/>
      <c r="AB625" s="4">
        <f>$K$625*$V$625</f>
        <v>49693.137600000002</v>
      </c>
      <c r="AC625" s="4">
        <f>$M$625*$W$625</f>
        <v>0</v>
      </c>
      <c r="AD625" s="4">
        <f>$O$625*$X$625</f>
        <v>0</v>
      </c>
      <c r="AE625" s="4">
        <f ca="1">$K$625*$Y$625</f>
        <v>66636.464102431535</v>
      </c>
      <c r="AF625" s="4">
        <f>$M$625*$Z$625</f>
        <v>0</v>
      </c>
      <c r="AG625" s="4">
        <f>$O$625*$AA$625</f>
        <v>0</v>
      </c>
    </row>
    <row r="626" spans="1:33" ht="11.25" customHeight="1" x14ac:dyDescent="0.25">
      <c r="A626" s="3" t="s">
        <v>21</v>
      </c>
      <c r="B626" s="3" t="s">
        <v>39</v>
      </c>
      <c r="C626" s="3" t="s">
        <v>41</v>
      </c>
      <c r="D626" s="3" t="s">
        <v>49</v>
      </c>
      <c r="E626" s="3" t="s">
        <v>50</v>
      </c>
      <c r="F626" s="3" t="s">
        <v>25</v>
      </c>
      <c r="G626" s="3" t="s">
        <v>25</v>
      </c>
      <c r="H626" s="3" t="s">
        <v>25</v>
      </c>
      <c r="I626" s="6">
        <v>44774</v>
      </c>
      <c r="J626" s="4">
        <v>3617</v>
      </c>
      <c r="K626" s="63">
        <v>3617</v>
      </c>
      <c r="L626" s="4">
        <v>0</v>
      </c>
      <c r="M626" s="64">
        <v>0</v>
      </c>
      <c r="N626" s="4">
        <v>0</v>
      </c>
      <c r="O626" s="64">
        <v>0</v>
      </c>
      <c r="P626" s="4">
        <v>30</v>
      </c>
      <c r="Q626" s="3" t="s">
        <v>26</v>
      </c>
      <c r="R626" s="3">
        <v>0</v>
      </c>
      <c r="S626" s="4">
        <v>18</v>
      </c>
      <c r="T626" s="4">
        <v>0</v>
      </c>
      <c r="U626" s="4">
        <v>0</v>
      </c>
      <c r="V626" s="64">
        <f>IF(ISERROR(VLOOKUP($S$626,'TAR FIN'!$A$1:$O$92,15,0)),0,VLOOKUP($S$626,'TAR FIN'!$A$1:$O$92,15,0))*(1-0.06)</f>
        <v>13.7616</v>
      </c>
      <c r="W626" s="64">
        <f>IF(ISERROR(VLOOKUP($T$626,'TAR FIN'!$A$1:$O$92,15,0)),0,VLOOKUP($T$626,'TAR FIN'!$A$1:$O$92,15,0))</f>
        <v>0</v>
      </c>
      <c r="X626" s="64">
        <f>IF(ISERROR(VLOOKUP($U$626,'TAR FIN'!$A$1:$O$92,15,0)),0,VLOOKUP($U$626,'TAR FIN'!$A$1:$O$92,15,0))</f>
        <v>0</v>
      </c>
      <c r="Y626" s="64">
        <f ca="1">('TUSD BE'!$AM$10+'TUSD BF'!$AM$10+'TUSD CVA'!$AM$10)*1*(1-0.03)</f>
        <v>18.453742481980488</v>
      </c>
      <c r="Z626" s="64"/>
      <c r="AA626" s="64"/>
      <c r="AB626" s="4">
        <f>$K$626*$V$626</f>
        <v>49775.707199999997</v>
      </c>
      <c r="AC626" s="4">
        <f>$M$626*$W$626</f>
        <v>0</v>
      </c>
      <c r="AD626" s="4">
        <f>$O$626*$X$626</f>
        <v>0</v>
      </c>
      <c r="AE626" s="4">
        <f ca="1">$K$626*$Y$626</f>
        <v>66747.186557323424</v>
      </c>
      <c r="AF626" s="4">
        <f>$M$626*$Z$626</f>
        <v>0</v>
      </c>
      <c r="AG626" s="4">
        <f>$O$626*$AA$626</f>
        <v>0</v>
      </c>
    </row>
    <row r="627" spans="1:33" ht="11.25" customHeight="1" x14ac:dyDescent="0.25">
      <c r="A627" s="3" t="s">
        <v>21</v>
      </c>
      <c r="B627" s="3" t="s">
        <v>39</v>
      </c>
      <c r="C627" s="3" t="s">
        <v>41</v>
      </c>
      <c r="D627" s="3" t="s">
        <v>49</v>
      </c>
      <c r="E627" s="3" t="s">
        <v>50</v>
      </c>
      <c r="F627" s="3" t="s">
        <v>25</v>
      </c>
      <c r="G627" s="3" t="s">
        <v>25</v>
      </c>
      <c r="H627" s="3" t="s">
        <v>25</v>
      </c>
      <c r="I627" s="6">
        <v>44805</v>
      </c>
      <c r="J627" s="4">
        <v>3633</v>
      </c>
      <c r="K627" s="63">
        <v>3633</v>
      </c>
      <c r="L627" s="4">
        <v>0</v>
      </c>
      <c r="M627" s="64">
        <v>0</v>
      </c>
      <c r="N627" s="4">
        <v>0</v>
      </c>
      <c r="O627" s="64">
        <v>0</v>
      </c>
      <c r="P627" s="4">
        <v>30</v>
      </c>
      <c r="Q627" s="3" t="s">
        <v>26</v>
      </c>
      <c r="R627" s="3">
        <v>0</v>
      </c>
      <c r="S627" s="4">
        <v>18</v>
      </c>
      <c r="T627" s="4">
        <v>0</v>
      </c>
      <c r="U627" s="4">
        <v>0</v>
      </c>
      <c r="V627" s="64">
        <f>IF(ISERROR(VLOOKUP($S$627,'TAR FIN'!$A$1:$O$92,15,0)),0,VLOOKUP($S$627,'TAR FIN'!$A$1:$O$92,15,0))*(1-0.06)</f>
        <v>13.7616</v>
      </c>
      <c r="W627" s="64">
        <f>IF(ISERROR(VLOOKUP($T$627,'TAR FIN'!$A$1:$O$92,15,0)),0,VLOOKUP($T$627,'TAR FIN'!$A$1:$O$92,15,0))</f>
        <v>0</v>
      </c>
      <c r="X627" s="64">
        <f>IF(ISERROR(VLOOKUP($U$627,'TAR FIN'!$A$1:$O$92,15,0)),0,VLOOKUP($U$627,'TAR FIN'!$A$1:$O$92,15,0))</f>
        <v>0</v>
      </c>
      <c r="Y627" s="64">
        <f ca="1">('TUSD BE'!$AM$10+'TUSD BF'!$AM$10+'TUSD CVA'!$AM$10)*1*(1-0.03)</f>
        <v>18.453742481980488</v>
      </c>
      <c r="Z627" s="64"/>
      <c r="AA627" s="64"/>
      <c r="AB627" s="4">
        <f>$K$627*$V$627</f>
        <v>49995.892800000001</v>
      </c>
      <c r="AC627" s="4">
        <f>$M$627*$W$627</f>
        <v>0</v>
      </c>
      <c r="AD627" s="4">
        <f>$O$627*$X$627</f>
        <v>0</v>
      </c>
      <c r="AE627" s="4">
        <f ca="1">$K$627*$Y$627</f>
        <v>67042.446437035105</v>
      </c>
      <c r="AF627" s="4">
        <f>$M$627*$Z$627</f>
        <v>0</v>
      </c>
      <c r="AG627" s="4">
        <f>$O$627*$AA$627</f>
        <v>0</v>
      </c>
    </row>
    <row r="628" spans="1:33" ht="11.25" customHeight="1" x14ac:dyDescent="0.25">
      <c r="A628" s="3" t="s">
        <v>55</v>
      </c>
      <c r="B628" s="3" t="s">
        <v>39</v>
      </c>
      <c r="C628" s="3" t="s">
        <v>41</v>
      </c>
      <c r="D628" s="3" t="s">
        <v>49</v>
      </c>
      <c r="E628" s="3" t="s">
        <v>50</v>
      </c>
      <c r="F628" s="3" t="s">
        <v>25</v>
      </c>
      <c r="G628" s="3" t="s">
        <v>25</v>
      </c>
      <c r="H628" s="3" t="s">
        <v>25</v>
      </c>
      <c r="I628" s="6">
        <v>44835</v>
      </c>
      <c r="J628" s="4">
        <v>3633</v>
      </c>
      <c r="K628" s="63">
        <v>3633</v>
      </c>
      <c r="L628" s="4">
        <v>0</v>
      </c>
      <c r="M628" s="64">
        <v>0</v>
      </c>
      <c r="N628" s="4">
        <v>0</v>
      </c>
      <c r="O628" s="64">
        <v>0</v>
      </c>
      <c r="P628" s="4">
        <v>30</v>
      </c>
      <c r="Q628" s="3" t="s">
        <v>26</v>
      </c>
      <c r="R628" s="3">
        <v>0</v>
      </c>
      <c r="S628" s="4">
        <v>18</v>
      </c>
      <c r="T628" s="4">
        <v>0</v>
      </c>
      <c r="U628" s="4">
        <v>0</v>
      </c>
      <c r="V628" s="64">
        <f>IF(ISERROR(VLOOKUP($S$628,'TAR FIN'!$A$1:$O$92,15,0)),0,VLOOKUP($S$628,'TAR FIN'!$A$1:$O$92,15,0))*(1-0.06)</f>
        <v>13.7616</v>
      </c>
      <c r="W628" s="64">
        <f>IF(ISERROR(VLOOKUP($T$628,'TAR FIN'!$A$1:$O$92,15,0)),0,VLOOKUP($T$628,'TAR FIN'!$A$1:$O$92,15,0))</f>
        <v>0</v>
      </c>
      <c r="X628" s="64">
        <f>IF(ISERROR(VLOOKUP($U$628,'TAR FIN'!$A$1:$O$92,15,0)),0,VLOOKUP($U$628,'TAR FIN'!$A$1:$O$92,15,0))</f>
        <v>0</v>
      </c>
      <c r="Y628" s="64">
        <f ca="1">('TUSD BE'!$AM$10+'TUSD BF'!$AM$10+'TUSD CVA'!$AM$10)*1*(1-0.03)</f>
        <v>18.453742481980488</v>
      </c>
      <c r="Z628" s="64"/>
      <c r="AA628" s="64"/>
      <c r="AB628" s="4">
        <f>$K$628*$V$628</f>
        <v>49995.892800000001</v>
      </c>
      <c r="AC628" s="4">
        <f>$M$628*$W$628</f>
        <v>0</v>
      </c>
      <c r="AD628" s="4">
        <f>$O$628*$X$628</f>
        <v>0</v>
      </c>
      <c r="AE628" s="4">
        <f ca="1">$K$628*$Y$628</f>
        <v>67042.446437035105</v>
      </c>
      <c r="AF628" s="4">
        <f>$M$628*$Z$628</f>
        <v>0</v>
      </c>
      <c r="AG628" s="4">
        <f>$O$628*$AA$628</f>
        <v>0</v>
      </c>
    </row>
    <row r="629" spans="1:33" ht="11.25" customHeight="1" x14ac:dyDescent="0.25">
      <c r="A629" s="3" t="s">
        <v>21</v>
      </c>
      <c r="B629" s="3" t="s">
        <v>39</v>
      </c>
      <c r="C629" s="3" t="s">
        <v>41</v>
      </c>
      <c r="D629" s="3" t="s">
        <v>49</v>
      </c>
      <c r="E629" s="3" t="s">
        <v>50</v>
      </c>
      <c r="F629" s="3" t="s">
        <v>25</v>
      </c>
      <c r="G629" s="3" t="s">
        <v>25</v>
      </c>
      <c r="H629" s="3" t="s">
        <v>34</v>
      </c>
      <c r="I629" s="6">
        <v>44501</v>
      </c>
      <c r="J629" s="4">
        <v>0</v>
      </c>
      <c r="K629" s="64">
        <v>0</v>
      </c>
      <c r="L629" s="4">
        <v>70.024000000000001</v>
      </c>
      <c r="M629" s="64">
        <v>70.024000000000001</v>
      </c>
      <c r="N629" s="4">
        <v>70.024000000000001</v>
      </c>
      <c r="O629" s="64">
        <v>70.024000000000001</v>
      </c>
      <c r="P629" s="4">
        <v>0</v>
      </c>
      <c r="Q629" s="3" t="s">
        <v>26</v>
      </c>
      <c r="R629" s="3">
        <v>0</v>
      </c>
      <c r="S629" s="4">
        <v>0</v>
      </c>
      <c r="T629" s="4">
        <v>11</v>
      </c>
      <c r="U629" s="4">
        <v>71</v>
      </c>
      <c r="V629" s="64">
        <f>IF(ISERROR(VLOOKUP($S$629,'TAR FIN'!$A$1:$O$92,15,0)),0,VLOOKUP($S$629,'TAR FIN'!$A$1:$O$92,15,0))</f>
        <v>0</v>
      </c>
      <c r="W629" s="64">
        <f>IF(ISERROR(VLOOKUP($T$629,'TAR FIN'!$A$1:$O$92,15,0)),0,VLOOKUP($T$629,'TAR FIN'!$A$1:$O$92,15,0))*(1-0.06)</f>
        <v>1086.1794</v>
      </c>
      <c r="X629" s="64">
        <f>IF(ISERROR(VLOOKUP($U$629,'TAR FIN'!$A$1:$O$92,15,0)),0,VLOOKUP($U$629,'TAR FIN'!$A$1:$O$92,15,0))*(1-0.06)</f>
        <v>407.74379999999996</v>
      </c>
      <c r="Y629" s="64"/>
      <c r="Z629" s="64">
        <f ca="1">('TUSD BE'!$AM$11+'TUSD BF'!$AM$11+'TUSD CVA'!$AM$11)*1*(1-0.03)</f>
        <v>1448.9683289643417</v>
      </c>
      <c r="AA629" s="64">
        <f>('TE BE'!$AB$5+'TE BF'!$AB$5+'TE CVA'!$AB$5)*1*(1-0.03)</f>
        <v>526.5588226383453</v>
      </c>
      <c r="AB629" s="4">
        <f>$K$629*$V$629</f>
        <v>0</v>
      </c>
      <c r="AC629" s="4">
        <f>$M$629*$W$629</f>
        <v>76058.626305600003</v>
      </c>
      <c r="AD629" s="4">
        <f>$O$629*$X$629</f>
        <v>28551.851851199997</v>
      </c>
      <c r="AE629" s="4">
        <f>$K$629*$Y$629</f>
        <v>0</v>
      </c>
      <c r="AF629" s="4">
        <f ca="1">$M$629*$Z$629</f>
        <v>101462.55826739907</v>
      </c>
      <c r="AG629" s="4">
        <f>$O$629*$AA$629</f>
        <v>36871.754996427495</v>
      </c>
    </row>
    <row r="630" spans="1:33" ht="11.25" customHeight="1" x14ac:dyDescent="0.25">
      <c r="A630" s="3" t="s">
        <v>21</v>
      </c>
      <c r="B630" s="3" t="s">
        <v>39</v>
      </c>
      <c r="C630" s="3" t="s">
        <v>41</v>
      </c>
      <c r="D630" s="3" t="s">
        <v>49</v>
      </c>
      <c r="E630" s="3" t="s">
        <v>50</v>
      </c>
      <c r="F630" s="3" t="s">
        <v>25</v>
      </c>
      <c r="G630" s="3" t="s">
        <v>25</v>
      </c>
      <c r="H630" s="3" t="s">
        <v>34</v>
      </c>
      <c r="I630" s="6">
        <v>44531</v>
      </c>
      <c r="J630" s="4">
        <v>0</v>
      </c>
      <c r="K630" s="64">
        <v>0</v>
      </c>
      <c r="L630" s="4">
        <v>76.138000000000005</v>
      </c>
      <c r="M630" s="64">
        <v>76.138000000000005</v>
      </c>
      <c r="N630" s="4">
        <v>76.138000000000005</v>
      </c>
      <c r="O630" s="64">
        <v>76.138000000000005</v>
      </c>
      <c r="P630" s="4">
        <v>0</v>
      </c>
      <c r="Q630" s="3" t="s">
        <v>26</v>
      </c>
      <c r="R630" s="3">
        <v>0</v>
      </c>
      <c r="S630" s="4">
        <v>0</v>
      </c>
      <c r="T630" s="4">
        <v>11</v>
      </c>
      <c r="U630" s="4">
        <v>71</v>
      </c>
      <c r="V630" s="64">
        <f>IF(ISERROR(VLOOKUP($S$630,'TAR FIN'!$A$1:$O$92,15,0)),0,VLOOKUP($S$630,'TAR FIN'!$A$1:$O$92,15,0))</f>
        <v>0</v>
      </c>
      <c r="W630" s="64">
        <f>IF(ISERROR(VLOOKUP($T$630,'TAR FIN'!$A$1:$O$92,15,0)),0,VLOOKUP($T$630,'TAR FIN'!$A$1:$O$92,15,0))*(1-0.06)</f>
        <v>1086.1794</v>
      </c>
      <c r="X630" s="64">
        <f>IF(ISERROR(VLOOKUP($U$630,'TAR FIN'!$A$1:$O$92,15,0)),0,VLOOKUP($U$630,'TAR FIN'!$A$1:$O$92,15,0))*(1-0.06)</f>
        <v>407.74379999999996</v>
      </c>
      <c r="Y630" s="64"/>
      <c r="Z630" s="64">
        <f ca="1">('TUSD BE'!$AM$11+'TUSD BF'!$AM$11+'TUSD CVA'!$AM$11)*1*(1-0.03)</f>
        <v>1448.9683289643417</v>
      </c>
      <c r="AA630" s="64">
        <f>('TE BE'!$AB$5+'TE BF'!$AB$5+'TE CVA'!$AB$5)*1*(1-0.03)</f>
        <v>526.5588226383453</v>
      </c>
      <c r="AB630" s="4">
        <f>$K$630*$V$630</f>
        <v>0</v>
      </c>
      <c r="AC630" s="4">
        <f>$M$630*$W$630</f>
        <v>82699.527157200006</v>
      </c>
      <c r="AD630" s="4">
        <f>$O$630*$X$630</f>
        <v>31044.797444399999</v>
      </c>
      <c r="AE630" s="4">
        <f>$K$630*$Y$630</f>
        <v>0</v>
      </c>
      <c r="AF630" s="4">
        <f ca="1">$M$630*$Z$630</f>
        <v>110321.55063068705</v>
      </c>
      <c r="AG630" s="4">
        <f>$O$630*$AA$630</f>
        <v>40091.135638038337</v>
      </c>
    </row>
    <row r="631" spans="1:33" ht="11.25" customHeight="1" x14ac:dyDescent="0.25">
      <c r="A631" s="3" t="s">
        <v>21</v>
      </c>
      <c r="B631" s="3" t="s">
        <v>39</v>
      </c>
      <c r="C631" s="3" t="s">
        <v>41</v>
      </c>
      <c r="D631" s="3" t="s">
        <v>49</v>
      </c>
      <c r="E631" s="3" t="s">
        <v>50</v>
      </c>
      <c r="F631" s="3" t="s">
        <v>25</v>
      </c>
      <c r="G631" s="3" t="s">
        <v>25</v>
      </c>
      <c r="H631" s="3" t="s">
        <v>34</v>
      </c>
      <c r="I631" s="6">
        <v>44562</v>
      </c>
      <c r="J631" s="4">
        <v>0</v>
      </c>
      <c r="K631" s="64">
        <v>0</v>
      </c>
      <c r="L631" s="4">
        <v>69.722999999999999</v>
      </c>
      <c r="M631" s="64">
        <v>69.722999999999999</v>
      </c>
      <c r="N631" s="4">
        <v>69.722999999999999</v>
      </c>
      <c r="O631" s="64">
        <v>69.722999999999999</v>
      </c>
      <c r="P631" s="4">
        <v>0</v>
      </c>
      <c r="Q631" s="3" t="s">
        <v>26</v>
      </c>
      <c r="R631" s="3">
        <v>0</v>
      </c>
      <c r="S631" s="4">
        <v>0</v>
      </c>
      <c r="T631" s="4">
        <v>11</v>
      </c>
      <c r="U631" s="4">
        <v>71</v>
      </c>
      <c r="V631" s="64">
        <f>IF(ISERROR(VLOOKUP($S$631,'TAR FIN'!$A$1:$O$92,15,0)),0,VLOOKUP($S$631,'TAR FIN'!$A$1:$O$92,15,0))</f>
        <v>0</v>
      </c>
      <c r="W631" s="64">
        <f>IF(ISERROR(VLOOKUP($T$631,'TAR FIN'!$A$1:$O$92,15,0)),0,VLOOKUP($T$631,'TAR FIN'!$A$1:$O$92,15,0))*(1-0.06)</f>
        <v>1086.1794</v>
      </c>
      <c r="X631" s="64">
        <f>IF(ISERROR(VLOOKUP($U$631,'TAR FIN'!$A$1:$O$92,15,0)),0,VLOOKUP($U$631,'TAR FIN'!$A$1:$O$92,15,0))*(1-0.06)</f>
        <v>407.74379999999996</v>
      </c>
      <c r="Y631" s="64"/>
      <c r="Z631" s="64">
        <f ca="1">('TUSD BE'!$AM$11+'TUSD BF'!$AM$11+'TUSD CVA'!$AM$11)*1*(1-0.03)</f>
        <v>1448.9683289643417</v>
      </c>
      <c r="AA631" s="64">
        <f>('TE BE'!$AB$5+'TE BF'!$AB$5+'TE CVA'!$AB$5)*1*(1-0.03)</f>
        <v>526.5588226383453</v>
      </c>
      <c r="AB631" s="4">
        <f>$K$631*$V$631</f>
        <v>0</v>
      </c>
      <c r="AC631" s="4">
        <f>$M$631*$W$631</f>
        <v>75731.686306200005</v>
      </c>
      <c r="AD631" s="4">
        <f>$O$631*$X$631</f>
        <v>28429.120967399998</v>
      </c>
      <c r="AE631" s="4">
        <f>$K$631*$Y$631</f>
        <v>0</v>
      </c>
      <c r="AF631" s="4">
        <f ca="1">$M$631*$Z$631</f>
        <v>101026.41880038079</v>
      </c>
      <c r="AG631" s="4">
        <f>$O$631*$AA$631</f>
        <v>36713.26079081335</v>
      </c>
    </row>
    <row r="632" spans="1:33" ht="11.25" customHeight="1" x14ac:dyDescent="0.25">
      <c r="A632" s="3" t="s">
        <v>21</v>
      </c>
      <c r="B632" s="3" t="s">
        <v>39</v>
      </c>
      <c r="C632" s="3" t="s">
        <v>41</v>
      </c>
      <c r="D632" s="3" t="s">
        <v>49</v>
      </c>
      <c r="E632" s="3" t="s">
        <v>50</v>
      </c>
      <c r="F632" s="3" t="s">
        <v>25</v>
      </c>
      <c r="G632" s="3" t="s">
        <v>25</v>
      </c>
      <c r="H632" s="3" t="s">
        <v>34</v>
      </c>
      <c r="I632" s="6">
        <v>44593</v>
      </c>
      <c r="J632" s="4">
        <v>0</v>
      </c>
      <c r="K632" s="64">
        <v>0</v>
      </c>
      <c r="L632" s="4">
        <v>67.254000000000005</v>
      </c>
      <c r="M632" s="64">
        <v>67.254000000000005</v>
      </c>
      <c r="N632" s="4">
        <v>67.254000000000005</v>
      </c>
      <c r="O632" s="64">
        <v>67.254000000000005</v>
      </c>
      <c r="P632" s="4">
        <v>0</v>
      </c>
      <c r="Q632" s="3" t="s">
        <v>26</v>
      </c>
      <c r="R632" s="3">
        <v>0</v>
      </c>
      <c r="S632" s="4">
        <v>0</v>
      </c>
      <c r="T632" s="4">
        <v>11</v>
      </c>
      <c r="U632" s="4">
        <v>71</v>
      </c>
      <c r="V632" s="64">
        <f>IF(ISERROR(VLOOKUP($S$632,'TAR FIN'!$A$1:$O$92,15,0)),0,VLOOKUP($S$632,'TAR FIN'!$A$1:$O$92,15,0))</f>
        <v>0</v>
      </c>
      <c r="W632" s="64">
        <f>IF(ISERROR(VLOOKUP($T$632,'TAR FIN'!$A$1:$O$92,15,0)),0,VLOOKUP($T$632,'TAR FIN'!$A$1:$O$92,15,0))*(1-0.06)</f>
        <v>1086.1794</v>
      </c>
      <c r="X632" s="64">
        <f>IF(ISERROR(VLOOKUP($U$632,'TAR FIN'!$A$1:$O$92,15,0)),0,VLOOKUP($U$632,'TAR FIN'!$A$1:$O$92,15,0))*(1-0.06)</f>
        <v>407.74379999999996</v>
      </c>
      <c r="Y632" s="64"/>
      <c r="Z632" s="64">
        <f ca="1">('TUSD BE'!$AM$11+'TUSD BF'!$AM$11+'TUSD CVA'!$AM$11)*1*(1-0.03)</f>
        <v>1448.9683289643417</v>
      </c>
      <c r="AA632" s="64">
        <f>('TE BE'!$AB$5+'TE BF'!$AB$5+'TE CVA'!$AB$5)*1*(1-0.03)</f>
        <v>526.5588226383453</v>
      </c>
      <c r="AB632" s="4">
        <f>$K$632*$V$632</f>
        <v>0</v>
      </c>
      <c r="AC632" s="4">
        <f>$M$632*$W$632</f>
        <v>73049.909367600005</v>
      </c>
      <c r="AD632" s="4">
        <f>$O$632*$X$632</f>
        <v>27422.401525199999</v>
      </c>
      <c r="AE632" s="4">
        <f>$K$632*$Y$632</f>
        <v>0</v>
      </c>
      <c r="AF632" s="4">
        <f ca="1">$M$632*$Z$632</f>
        <v>97448.915996167838</v>
      </c>
      <c r="AG632" s="4">
        <f>$O$632*$AA$632</f>
        <v>35413.187057719275</v>
      </c>
    </row>
    <row r="633" spans="1:33" ht="11.25" customHeight="1" x14ac:dyDescent="0.25">
      <c r="A633" s="3" t="s">
        <v>21</v>
      </c>
      <c r="B633" s="3" t="s">
        <v>39</v>
      </c>
      <c r="C633" s="3" t="s">
        <v>41</v>
      </c>
      <c r="D633" s="3" t="s">
        <v>49</v>
      </c>
      <c r="E633" s="3" t="s">
        <v>50</v>
      </c>
      <c r="F633" s="3" t="s">
        <v>25</v>
      </c>
      <c r="G633" s="3" t="s">
        <v>25</v>
      </c>
      <c r="H633" s="3" t="s">
        <v>34</v>
      </c>
      <c r="I633" s="6">
        <v>44621</v>
      </c>
      <c r="J633" s="4">
        <v>0</v>
      </c>
      <c r="K633" s="64">
        <v>0</v>
      </c>
      <c r="L633" s="4">
        <v>79.739000000000004</v>
      </c>
      <c r="M633" s="64">
        <v>79.739000000000004</v>
      </c>
      <c r="N633" s="4">
        <v>79.739000000000004</v>
      </c>
      <c r="O633" s="64">
        <v>79.739000000000004</v>
      </c>
      <c r="P633" s="4">
        <v>0</v>
      </c>
      <c r="Q633" s="3" t="s">
        <v>26</v>
      </c>
      <c r="R633" s="3">
        <v>0</v>
      </c>
      <c r="S633" s="4">
        <v>0</v>
      </c>
      <c r="T633" s="4">
        <v>11</v>
      </c>
      <c r="U633" s="4">
        <v>71</v>
      </c>
      <c r="V633" s="64">
        <f>IF(ISERROR(VLOOKUP($S$633,'TAR FIN'!$A$1:$O$92,15,0)),0,VLOOKUP($S$633,'TAR FIN'!$A$1:$O$92,15,0))</f>
        <v>0</v>
      </c>
      <c r="W633" s="64">
        <f>IF(ISERROR(VLOOKUP($T$633,'TAR FIN'!$A$1:$O$92,15,0)),0,VLOOKUP($T$633,'TAR FIN'!$A$1:$O$92,15,0))*(1-0.06)</f>
        <v>1086.1794</v>
      </c>
      <c r="X633" s="64">
        <f>IF(ISERROR(VLOOKUP($U$633,'TAR FIN'!$A$1:$O$92,15,0)),0,VLOOKUP($U$633,'TAR FIN'!$A$1:$O$92,15,0))*(1-0.06)</f>
        <v>407.74379999999996</v>
      </c>
      <c r="Y633" s="64"/>
      <c r="Z633" s="64">
        <f ca="1">('TUSD BE'!$AM$11+'TUSD BF'!$AM$11+'TUSD CVA'!$AM$11)*1*(1-0.03)</f>
        <v>1448.9683289643417</v>
      </c>
      <c r="AA633" s="64">
        <f>('TE BE'!$AB$5+'TE BF'!$AB$5+'TE CVA'!$AB$5)*1*(1-0.03)</f>
        <v>526.5588226383453</v>
      </c>
      <c r="AB633" s="4">
        <f>$K$633*$V$633</f>
        <v>0</v>
      </c>
      <c r="AC633" s="4">
        <f>$M$633*$W$633</f>
        <v>86610.859176600003</v>
      </c>
      <c r="AD633" s="4">
        <f>$O$633*$X$633</f>
        <v>32513.082868199999</v>
      </c>
      <c r="AE633" s="4">
        <f>$K$633*$Y$633</f>
        <v>0</v>
      </c>
      <c r="AF633" s="4">
        <f ca="1">$M$633*$Z$633</f>
        <v>115539.28558328765</v>
      </c>
      <c r="AG633" s="4">
        <f>$O$633*$AA$633</f>
        <v>41987.273958359016</v>
      </c>
    </row>
    <row r="634" spans="1:33" ht="11.25" customHeight="1" x14ac:dyDescent="0.25">
      <c r="A634" s="3" t="s">
        <v>21</v>
      </c>
      <c r="B634" s="3" t="s">
        <v>39</v>
      </c>
      <c r="C634" s="3" t="s">
        <v>41</v>
      </c>
      <c r="D634" s="3" t="s">
        <v>49</v>
      </c>
      <c r="E634" s="3" t="s">
        <v>50</v>
      </c>
      <c r="F634" s="3" t="s">
        <v>25</v>
      </c>
      <c r="G634" s="3" t="s">
        <v>25</v>
      </c>
      <c r="H634" s="3" t="s">
        <v>34</v>
      </c>
      <c r="I634" s="6">
        <v>44652</v>
      </c>
      <c r="J634" s="4">
        <v>0</v>
      </c>
      <c r="K634" s="64">
        <v>0</v>
      </c>
      <c r="L634" s="4">
        <v>79.739000000000004</v>
      </c>
      <c r="M634" s="64">
        <v>79.739000000000004</v>
      </c>
      <c r="N634" s="4">
        <v>79.739000000000004</v>
      </c>
      <c r="O634" s="64">
        <v>79.739000000000004</v>
      </c>
      <c r="P634" s="4">
        <v>0</v>
      </c>
      <c r="Q634" s="3" t="s">
        <v>26</v>
      </c>
      <c r="R634" s="3">
        <v>0</v>
      </c>
      <c r="S634" s="4">
        <v>0</v>
      </c>
      <c r="T634" s="4">
        <v>11</v>
      </c>
      <c r="U634" s="4">
        <v>71</v>
      </c>
      <c r="V634" s="64">
        <f>IF(ISERROR(VLOOKUP($S$634,'TAR FIN'!$A$1:$O$92,15,0)),0,VLOOKUP($S$634,'TAR FIN'!$A$1:$O$92,15,0))</f>
        <v>0</v>
      </c>
      <c r="W634" s="64">
        <f>IF(ISERROR(VLOOKUP($T$634,'TAR FIN'!$A$1:$O$92,15,0)),0,VLOOKUP($T$634,'TAR FIN'!$A$1:$O$92,15,0))*(1-0.06)</f>
        <v>1086.1794</v>
      </c>
      <c r="X634" s="64">
        <f>IF(ISERROR(VLOOKUP($U$634,'TAR FIN'!$A$1:$O$92,15,0)),0,VLOOKUP($U$634,'TAR FIN'!$A$1:$O$92,15,0))*(1-0.06)</f>
        <v>407.74379999999996</v>
      </c>
      <c r="Y634" s="64"/>
      <c r="Z634" s="64">
        <f ca="1">('TUSD BE'!$AM$11+'TUSD BF'!$AM$11+'TUSD CVA'!$AM$11)*1*(1-0.03)</f>
        <v>1448.9683289643417</v>
      </c>
      <c r="AA634" s="64">
        <f>('TE BE'!$AB$5+'TE BF'!$AB$5+'TE CVA'!$AB$5)*1*(1-0.03)</f>
        <v>526.5588226383453</v>
      </c>
      <c r="AB634" s="4">
        <f>$K$634*$V$634</f>
        <v>0</v>
      </c>
      <c r="AC634" s="4">
        <f>$M$634*$W$634</f>
        <v>86610.859176600003</v>
      </c>
      <c r="AD634" s="4">
        <f>$O$634*$X$634</f>
        <v>32513.082868199999</v>
      </c>
      <c r="AE634" s="4">
        <f>$K$634*$Y$634</f>
        <v>0</v>
      </c>
      <c r="AF634" s="4">
        <f ca="1">$M$634*$Z$634</f>
        <v>115539.28558328765</v>
      </c>
      <c r="AG634" s="4">
        <f>$O$634*$AA$634</f>
        <v>41987.273958359016</v>
      </c>
    </row>
    <row r="635" spans="1:33" ht="11.25" customHeight="1" x14ac:dyDescent="0.25">
      <c r="A635" s="3" t="s">
        <v>21</v>
      </c>
      <c r="B635" s="3" t="s">
        <v>39</v>
      </c>
      <c r="C635" s="3" t="s">
        <v>41</v>
      </c>
      <c r="D635" s="3" t="s">
        <v>49</v>
      </c>
      <c r="E635" s="3" t="s">
        <v>50</v>
      </c>
      <c r="F635" s="3" t="s">
        <v>25</v>
      </c>
      <c r="G635" s="3" t="s">
        <v>25</v>
      </c>
      <c r="H635" s="3" t="s">
        <v>34</v>
      </c>
      <c r="I635" s="6">
        <v>44682</v>
      </c>
      <c r="J635" s="4">
        <v>0</v>
      </c>
      <c r="K635" s="64">
        <v>0</v>
      </c>
      <c r="L635" s="4">
        <v>79.894999999999996</v>
      </c>
      <c r="M635" s="64">
        <v>79.894999999999996</v>
      </c>
      <c r="N635" s="4">
        <v>79.894999999999996</v>
      </c>
      <c r="O635" s="64">
        <v>79.894999999999996</v>
      </c>
      <c r="P635" s="4">
        <v>0</v>
      </c>
      <c r="Q635" s="3" t="s">
        <v>26</v>
      </c>
      <c r="R635" s="3">
        <v>0</v>
      </c>
      <c r="S635" s="4">
        <v>0</v>
      </c>
      <c r="T635" s="4">
        <v>11</v>
      </c>
      <c r="U635" s="4">
        <v>71</v>
      </c>
      <c r="V635" s="64">
        <f>IF(ISERROR(VLOOKUP($S$635,'TAR FIN'!$A$1:$O$92,15,0)),0,VLOOKUP($S$635,'TAR FIN'!$A$1:$O$92,15,0))</f>
        <v>0</v>
      </c>
      <c r="W635" s="64">
        <f>IF(ISERROR(VLOOKUP($T$635,'TAR FIN'!$A$1:$O$92,15,0)),0,VLOOKUP($T$635,'TAR FIN'!$A$1:$O$92,15,0))*(1-0.06)</f>
        <v>1086.1794</v>
      </c>
      <c r="X635" s="64">
        <f>IF(ISERROR(VLOOKUP($U$635,'TAR FIN'!$A$1:$O$92,15,0)),0,VLOOKUP($U$635,'TAR FIN'!$A$1:$O$92,15,0))*(1-0.06)</f>
        <v>407.74379999999996</v>
      </c>
      <c r="Y635" s="64"/>
      <c r="Z635" s="64">
        <f ca="1">('TUSD BE'!$AM$11+'TUSD BF'!$AM$11+'TUSD CVA'!$AM$11)*1*(1-0.03)</f>
        <v>1448.9683289643417</v>
      </c>
      <c r="AA635" s="64">
        <f>('TE BE'!$AB$5+'TE BF'!$AB$5+'TE CVA'!$AB$5)*1*(1-0.03)</f>
        <v>526.5588226383453</v>
      </c>
      <c r="AB635" s="4">
        <f>$K$635*$V$635</f>
        <v>0</v>
      </c>
      <c r="AC635" s="4">
        <f>$M$635*$W$635</f>
        <v>86780.30316299999</v>
      </c>
      <c r="AD635" s="4">
        <f>$O$635*$X$635</f>
        <v>32576.690900999994</v>
      </c>
      <c r="AE635" s="4">
        <f>$K$635*$Y$635</f>
        <v>0</v>
      </c>
      <c r="AF635" s="4">
        <f ca="1">$M$635*$Z$635</f>
        <v>115765.32464260608</v>
      </c>
      <c r="AG635" s="4">
        <f>$O$635*$AA$635</f>
        <v>42069.417134690593</v>
      </c>
    </row>
    <row r="636" spans="1:33" ht="11.25" customHeight="1" x14ac:dyDescent="0.25">
      <c r="A636" s="3" t="s">
        <v>21</v>
      </c>
      <c r="B636" s="3" t="s">
        <v>39</v>
      </c>
      <c r="C636" s="3" t="s">
        <v>41</v>
      </c>
      <c r="D636" s="3" t="s">
        <v>49</v>
      </c>
      <c r="E636" s="3" t="s">
        <v>50</v>
      </c>
      <c r="F636" s="3" t="s">
        <v>25</v>
      </c>
      <c r="G636" s="3" t="s">
        <v>25</v>
      </c>
      <c r="H636" s="3" t="s">
        <v>34</v>
      </c>
      <c r="I636" s="6">
        <v>44713</v>
      </c>
      <c r="J636" s="4">
        <v>0</v>
      </c>
      <c r="K636" s="64">
        <v>0</v>
      </c>
      <c r="L636" s="4">
        <v>74.900999999999996</v>
      </c>
      <c r="M636" s="64">
        <v>74.900999999999996</v>
      </c>
      <c r="N636" s="4">
        <v>74.900999999999996</v>
      </c>
      <c r="O636" s="64">
        <v>74.900999999999996</v>
      </c>
      <c r="P636" s="4">
        <v>0</v>
      </c>
      <c r="Q636" s="3" t="s">
        <v>26</v>
      </c>
      <c r="R636" s="3">
        <v>0</v>
      </c>
      <c r="S636" s="4">
        <v>0</v>
      </c>
      <c r="T636" s="4">
        <v>11</v>
      </c>
      <c r="U636" s="4">
        <v>71</v>
      </c>
      <c r="V636" s="64">
        <f>IF(ISERROR(VLOOKUP($S$636,'TAR FIN'!$A$1:$O$92,15,0)),0,VLOOKUP($S$636,'TAR FIN'!$A$1:$O$92,15,0))</f>
        <v>0</v>
      </c>
      <c r="W636" s="64">
        <f>IF(ISERROR(VLOOKUP($T$636,'TAR FIN'!$A$1:$O$92,15,0)),0,VLOOKUP($T$636,'TAR FIN'!$A$1:$O$92,15,0))*(1-0.06)</f>
        <v>1086.1794</v>
      </c>
      <c r="X636" s="64">
        <f>IF(ISERROR(VLOOKUP($U$636,'TAR FIN'!$A$1:$O$92,15,0)),0,VLOOKUP($U$636,'TAR FIN'!$A$1:$O$92,15,0))*(1-0.06)</f>
        <v>407.74379999999996</v>
      </c>
      <c r="Y636" s="64"/>
      <c r="Z636" s="64">
        <f ca="1">('TUSD BE'!$AM$11+'TUSD BF'!$AM$11+'TUSD CVA'!$AM$11)*1*(1-0.03)</f>
        <v>1448.9683289643417</v>
      </c>
      <c r="AA636" s="64">
        <f>('TE BE'!$AB$5+'TE BF'!$AB$5+'TE CVA'!$AB$5)*1*(1-0.03)</f>
        <v>526.5588226383453</v>
      </c>
      <c r="AB636" s="4">
        <f>$K$636*$V$636</f>
        <v>0</v>
      </c>
      <c r="AC636" s="4">
        <f>$M$636*$W$636</f>
        <v>81355.923239399999</v>
      </c>
      <c r="AD636" s="4">
        <f>$O$636*$X$636</f>
        <v>30540.418363799996</v>
      </c>
      <c r="AE636" s="4">
        <f>$K$636*$Y$636</f>
        <v>0</v>
      </c>
      <c r="AF636" s="4">
        <f ca="1">$M$636*$Z$636</f>
        <v>108529.17680775815</v>
      </c>
      <c r="AG636" s="4">
        <f>$O$636*$AA$636</f>
        <v>39439.782374434697</v>
      </c>
    </row>
    <row r="637" spans="1:33" ht="11.25" customHeight="1" x14ac:dyDescent="0.25">
      <c r="A637" s="3" t="s">
        <v>21</v>
      </c>
      <c r="B637" s="3" t="s">
        <v>39</v>
      </c>
      <c r="C637" s="3" t="s">
        <v>41</v>
      </c>
      <c r="D637" s="3" t="s">
        <v>49</v>
      </c>
      <c r="E637" s="3" t="s">
        <v>50</v>
      </c>
      <c r="F637" s="3" t="s">
        <v>25</v>
      </c>
      <c r="G637" s="3" t="s">
        <v>25</v>
      </c>
      <c r="H637" s="3" t="s">
        <v>34</v>
      </c>
      <c r="I637" s="6">
        <v>44743</v>
      </c>
      <c r="J637" s="4">
        <v>0</v>
      </c>
      <c r="K637" s="64">
        <v>0</v>
      </c>
      <c r="L637" s="4">
        <v>73.212999999999994</v>
      </c>
      <c r="M637" s="64">
        <v>73.212999999999994</v>
      </c>
      <c r="N637" s="4">
        <v>73.212999999999994</v>
      </c>
      <c r="O637" s="64">
        <v>73.212999999999994</v>
      </c>
      <c r="P637" s="4">
        <v>0</v>
      </c>
      <c r="Q637" s="3" t="s">
        <v>26</v>
      </c>
      <c r="R637" s="3">
        <v>0</v>
      </c>
      <c r="S637" s="4">
        <v>0</v>
      </c>
      <c r="T637" s="4">
        <v>11</v>
      </c>
      <c r="U637" s="4">
        <v>71</v>
      </c>
      <c r="V637" s="64">
        <f>IF(ISERROR(VLOOKUP($S$637,'TAR FIN'!$A$1:$O$92,15,0)),0,VLOOKUP($S$637,'TAR FIN'!$A$1:$O$92,15,0))</f>
        <v>0</v>
      </c>
      <c r="W637" s="64">
        <f>IF(ISERROR(VLOOKUP($T$637,'TAR FIN'!$A$1:$O$92,15,0)),0,VLOOKUP($T$637,'TAR FIN'!$A$1:$O$92,15,0))*(1-0.06)</f>
        <v>1086.1794</v>
      </c>
      <c r="X637" s="64">
        <f>IF(ISERROR(VLOOKUP($U$637,'TAR FIN'!$A$1:$O$92,15,0)),0,VLOOKUP($U$637,'TAR FIN'!$A$1:$O$92,15,0))*(1-0.06)</f>
        <v>407.74379999999996</v>
      </c>
      <c r="Y637" s="64"/>
      <c r="Z637" s="64">
        <f ca="1">('TUSD BE'!$AM$11+'TUSD BF'!$AM$11+'TUSD CVA'!$AM$11)*1*(1-0.03)</f>
        <v>1448.9683289643417</v>
      </c>
      <c r="AA637" s="64">
        <f>('TE BE'!$AB$5+'TE BF'!$AB$5+'TE CVA'!$AB$5)*1*(1-0.03)</f>
        <v>526.5588226383453</v>
      </c>
      <c r="AB637" s="4">
        <f>$K$637*$V$637</f>
        <v>0</v>
      </c>
      <c r="AC637" s="4">
        <f>$M$637*$W$637</f>
        <v>79522.452412199986</v>
      </c>
      <c r="AD637" s="4">
        <f>$O$637*$X$637</f>
        <v>29852.146829399993</v>
      </c>
      <c r="AE637" s="4">
        <f>$K$637*$Y$637</f>
        <v>0</v>
      </c>
      <c r="AF637" s="4">
        <f ca="1">$M$637*$Z$637</f>
        <v>106083.31826846633</v>
      </c>
      <c r="AG637" s="4">
        <f>$O$637*$AA$637</f>
        <v>38550.951081821171</v>
      </c>
    </row>
    <row r="638" spans="1:33" ht="11.25" customHeight="1" x14ac:dyDescent="0.25">
      <c r="A638" s="3" t="s">
        <v>21</v>
      </c>
      <c r="B638" s="3" t="s">
        <v>39</v>
      </c>
      <c r="C638" s="3" t="s">
        <v>41</v>
      </c>
      <c r="D638" s="3" t="s">
        <v>49</v>
      </c>
      <c r="E638" s="3" t="s">
        <v>50</v>
      </c>
      <c r="F638" s="3" t="s">
        <v>25</v>
      </c>
      <c r="G638" s="3" t="s">
        <v>25</v>
      </c>
      <c r="H638" s="3" t="s">
        <v>34</v>
      </c>
      <c r="I638" s="6">
        <v>44774</v>
      </c>
      <c r="J638" s="4">
        <v>0</v>
      </c>
      <c r="K638" s="64">
        <v>0</v>
      </c>
      <c r="L638" s="4">
        <v>78.441999999999993</v>
      </c>
      <c r="M638" s="64">
        <v>78.441999999999993</v>
      </c>
      <c r="N638" s="4">
        <v>78.441999999999993</v>
      </c>
      <c r="O638" s="64">
        <v>78.441999999999993</v>
      </c>
      <c r="P638" s="4">
        <v>0</v>
      </c>
      <c r="Q638" s="3" t="s">
        <v>26</v>
      </c>
      <c r="R638" s="3">
        <v>0</v>
      </c>
      <c r="S638" s="4">
        <v>0</v>
      </c>
      <c r="T638" s="4">
        <v>11</v>
      </c>
      <c r="U638" s="4">
        <v>71</v>
      </c>
      <c r="V638" s="64">
        <f>IF(ISERROR(VLOOKUP($S$638,'TAR FIN'!$A$1:$O$92,15,0)),0,VLOOKUP($S$638,'TAR FIN'!$A$1:$O$92,15,0))</f>
        <v>0</v>
      </c>
      <c r="W638" s="64">
        <f>IF(ISERROR(VLOOKUP($T$638,'TAR FIN'!$A$1:$O$92,15,0)),0,VLOOKUP($T$638,'TAR FIN'!$A$1:$O$92,15,0))*(1-0.06)</f>
        <v>1086.1794</v>
      </c>
      <c r="X638" s="64">
        <f>IF(ISERROR(VLOOKUP($U$638,'TAR FIN'!$A$1:$O$92,15,0)),0,VLOOKUP($U$638,'TAR FIN'!$A$1:$O$92,15,0))*(1-0.06)</f>
        <v>407.74379999999996</v>
      </c>
      <c r="Y638" s="64"/>
      <c r="Z638" s="64">
        <f ca="1">('TUSD BE'!$AM$11+'TUSD BF'!$AM$11+'TUSD CVA'!$AM$11)*1*(1-0.03)</f>
        <v>1448.9683289643417</v>
      </c>
      <c r="AA638" s="64">
        <f>('TE BE'!$AB$5+'TE BF'!$AB$5+'TE CVA'!$AB$5)*1*(1-0.03)</f>
        <v>526.5588226383453</v>
      </c>
      <c r="AB638" s="4">
        <f>$K$638*$V$638</f>
        <v>0</v>
      </c>
      <c r="AC638" s="4">
        <f>$M$638*$W$638</f>
        <v>85202.084494799987</v>
      </c>
      <c r="AD638" s="4">
        <f>$O$638*$X$638</f>
        <v>31984.239159599994</v>
      </c>
      <c r="AE638" s="4">
        <f>$K$638*$Y$638</f>
        <v>0</v>
      </c>
      <c r="AF638" s="4">
        <f ca="1">$M$638*$Z$638</f>
        <v>113659.97366062088</v>
      </c>
      <c r="AG638" s="4">
        <f>$O$638*$AA$638</f>
        <v>41304.327165397081</v>
      </c>
    </row>
    <row r="639" spans="1:33" ht="11.25" customHeight="1" x14ac:dyDescent="0.25">
      <c r="A639" s="3" t="s">
        <v>21</v>
      </c>
      <c r="B639" s="3" t="s">
        <v>39</v>
      </c>
      <c r="C639" s="3" t="s">
        <v>41</v>
      </c>
      <c r="D639" s="3" t="s">
        <v>49</v>
      </c>
      <c r="E639" s="3" t="s">
        <v>50</v>
      </c>
      <c r="F639" s="3" t="s">
        <v>25</v>
      </c>
      <c r="G639" s="3" t="s">
        <v>25</v>
      </c>
      <c r="H639" s="3" t="s">
        <v>34</v>
      </c>
      <c r="I639" s="6">
        <v>44805</v>
      </c>
      <c r="J639" s="4">
        <v>0</v>
      </c>
      <c r="K639" s="64">
        <v>0</v>
      </c>
      <c r="L639" s="4">
        <v>74.682000000000002</v>
      </c>
      <c r="M639" s="64">
        <v>74.682000000000002</v>
      </c>
      <c r="N639" s="4">
        <v>74.682000000000002</v>
      </c>
      <c r="O639" s="64">
        <v>74.682000000000002</v>
      </c>
      <c r="P639" s="4">
        <v>0</v>
      </c>
      <c r="Q639" s="3" t="s">
        <v>26</v>
      </c>
      <c r="R639" s="3">
        <v>0</v>
      </c>
      <c r="S639" s="4">
        <v>0</v>
      </c>
      <c r="T639" s="4">
        <v>11</v>
      </c>
      <c r="U639" s="4">
        <v>71</v>
      </c>
      <c r="V639" s="64">
        <f>IF(ISERROR(VLOOKUP($S$639,'TAR FIN'!$A$1:$O$92,15,0)),0,VLOOKUP($S$639,'TAR FIN'!$A$1:$O$92,15,0))</f>
        <v>0</v>
      </c>
      <c r="W639" s="64">
        <f>IF(ISERROR(VLOOKUP($T$639,'TAR FIN'!$A$1:$O$92,15,0)),0,VLOOKUP($T$639,'TAR FIN'!$A$1:$O$92,15,0))*(1-0.06)</f>
        <v>1086.1794</v>
      </c>
      <c r="X639" s="64">
        <f>IF(ISERROR(VLOOKUP($U$639,'TAR FIN'!$A$1:$O$92,15,0)),0,VLOOKUP($U$639,'TAR FIN'!$A$1:$O$92,15,0))*(1-0.06)</f>
        <v>407.74379999999996</v>
      </c>
      <c r="Y639" s="64"/>
      <c r="Z639" s="64">
        <f ca="1">('TUSD BE'!$AM$11+'TUSD BF'!$AM$11+'TUSD CVA'!$AM$11)*1*(1-0.03)</f>
        <v>1448.9683289643417</v>
      </c>
      <c r="AA639" s="64">
        <f>('TE BE'!$AB$5+'TE BF'!$AB$5+'TE CVA'!$AB$5)*1*(1-0.03)</f>
        <v>526.5588226383453</v>
      </c>
      <c r="AB639" s="4">
        <f>$K$639*$V$639</f>
        <v>0</v>
      </c>
      <c r="AC639" s="4">
        <f>$M$639*$W$639</f>
        <v>81118.049950800007</v>
      </c>
      <c r="AD639" s="4">
        <f>$O$639*$X$639</f>
        <v>30451.1224716</v>
      </c>
      <c r="AE639" s="4">
        <f>$K$639*$Y$639</f>
        <v>0</v>
      </c>
      <c r="AF639" s="4">
        <f ca="1">$M$639*$Z$639</f>
        <v>108211.85274371498</v>
      </c>
      <c r="AG639" s="4">
        <f>$O$639*$AA$639</f>
        <v>39324.465992276906</v>
      </c>
    </row>
    <row r="640" spans="1:33" ht="11.25" customHeight="1" x14ac:dyDescent="0.25">
      <c r="A640" s="3" t="s">
        <v>55</v>
      </c>
      <c r="B640" s="3" t="s">
        <v>39</v>
      </c>
      <c r="C640" s="3" t="s">
        <v>41</v>
      </c>
      <c r="D640" s="3" t="s">
        <v>49</v>
      </c>
      <c r="E640" s="3" t="s">
        <v>50</v>
      </c>
      <c r="F640" s="3" t="s">
        <v>25</v>
      </c>
      <c r="G640" s="3" t="s">
        <v>25</v>
      </c>
      <c r="H640" s="3" t="s">
        <v>34</v>
      </c>
      <c r="I640" s="6">
        <v>44835</v>
      </c>
      <c r="J640" s="4">
        <v>0</v>
      </c>
      <c r="K640" s="64">
        <v>0</v>
      </c>
      <c r="L640" s="4">
        <v>74.682000000000002</v>
      </c>
      <c r="M640" s="64">
        <v>74.682000000000002</v>
      </c>
      <c r="N640" s="4">
        <v>74.682000000000002</v>
      </c>
      <c r="O640" s="64">
        <v>74.682000000000002</v>
      </c>
      <c r="P640" s="4">
        <v>0</v>
      </c>
      <c r="Q640" s="3" t="s">
        <v>26</v>
      </c>
      <c r="R640" s="3">
        <v>0</v>
      </c>
      <c r="S640" s="4">
        <v>0</v>
      </c>
      <c r="T640" s="4">
        <v>11</v>
      </c>
      <c r="U640" s="4">
        <v>71</v>
      </c>
      <c r="V640" s="64">
        <f>IF(ISERROR(VLOOKUP($S$640,'TAR FIN'!$A$1:$O$92,15,0)),0,VLOOKUP($S$640,'TAR FIN'!$A$1:$O$92,15,0))</f>
        <v>0</v>
      </c>
      <c r="W640" s="64">
        <f>IF(ISERROR(VLOOKUP($T$640,'TAR FIN'!$A$1:$O$92,15,0)),0,VLOOKUP($T$640,'TAR FIN'!$A$1:$O$92,15,0))*(1-0.06)</f>
        <v>1086.1794</v>
      </c>
      <c r="X640" s="64">
        <f>IF(ISERROR(VLOOKUP($U$640,'TAR FIN'!$A$1:$O$92,15,0)),0,VLOOKUP($U$640,'TAR FIN'!$A$1:$O$92,15,0))*(1-0.06)</f>
        <v>407.74379999999996</v>
      </c>
      <c r="Y640" s="64"/>
      <c r="Z640" s="64">
        <f ca="1">('TUSD BE'!$AM$11+'TUSD BF'!$AM$11+'TUSD CVA'!$AM$11)*1*(1-0.03)</f>
        <v>1448.9683289643417</v>
      </c>
      <c r="AA640" s="64">
        <f>('TE BE'!$AB$5+'TE BF'!$AB$5+'TE CVA'!$AB$5)*1*(1-0.03)</f>
        <v>526.5588226383453</v>
      </c>
      <c r="AB640" s="4">
        <f>$K$640*$V$640</f>
        <v>0</v>
      </c>
      <c r="AC640" s="4">
        <f>$M$640*$W$640</f>
        <v>81118.049950800007</v>
      </c>
      <c r="AD640" s="4">
        <f>$O$640*$X$640</f>
        <v>30451.1224716</v>
      </c>
      <c r="AE640" s="4">
        <f>$K$640*$Y$640</f>
        <v>0</v>
      </c>
      <c r="AF640" s="4">
        <f ca="1">$M$640*$Z$640</f>
        <v>108211.85274371498</v>
      </c>
      <c r="AG640" s="4">
        <f>$O$640*$AA$640</f>
        <v>39324.465992276906</v>
      </c>
    </row>
    <row r="641" spans="1:33" ht="11.25" customHeight="1" x14ac:dyDescent="0.25">
      <c r="A641" s="3" t="s">
        <v>21</v>
      </c>
      <c r="B641" s="3" t="s">
        <v>22</v>
      </c>
      <c r="C641" s="3" t="s">
        <v>33</v>
      </c>
      <c r="D641" s="3" t="s">
        <v>24</v>
      </c>
      <c r="E641" s="3" t="s">
        <v>24</v>
      </c>
      <c r="F641" s="3" t="s">
        <v>25</v>
      </c>
      <c r="G641" s="3" t="s">
        <v>25</v>
      </c>
      <c r="H641" s="3" t="s">
        <v>35</v>
      </c>
      <c r="I641" s="6">
        <v>44501</v>
      </c>
      <c r="J641" s="4">
        <v>0</v>
      </c>
      <c r="K641" s="4">
        <v>0</v>
      </c>
      <c r="L641" s="4">
        <v>65.575000000000003</v>
      </c>
      <c r="M641" s="4">
        <v>65.575000000000003</v>
      </c>
      <c r="N641" s="4">
        <v>65.575000000000003</v>
      </c>
      <c r="O641" s="4">
        <v>65.575000000000003</v>
      </c>
      <c r="P641" s="4">
        <v>0</v>
      </c>
      <c r="Q641" s="3" t="s">
        <v>26</v>
      </c>
      <c r="R641" s="3">
        <v>0</v>
      </c>
      <c r="S641" s="4">
        <v>0</v>
      </c>
      <c r="T641" s="4">
        <v>35</v>
      </c>
      <c r="U641" s="4">
        <v>43</v>
      </c>
      <c r="V641" s="4">
        <f>IF(ISERROR(VLOOKUP($S$641,'TAR FIN'!$A$1:$O$92,15,0)),0,VLOOKUP($S$641,'TAR FIN'!$A$1:$O$92,15,0))</f>
        <v>0</v>
      </c>
      <c r="W641" s="4">
        <f>IF(ISERROR(VLOOKUP($T$641,'TAR FIN'!$A$1:$O$92,15,0)),0,VLOOKUP($T$641,'TAR FIN'!$A$1:$O$92,15,0))</f>
        <v>235.45</v>
      </c>
      <c r="X641" s="4">
        <f>IF(ISERROR(VLOOKUP($U$641,'TAR FIN'!$A$1:$O$92,15,0)),0,VLOOKUP($U$641,'TAR FIN'!$A$1:$O$92,15,0))</f>
        <v>253.9</v>
      </c>
      <c r="Y641" s="4"/>
      <c r="Z641" s="4">
        <f ca="1">('TUSD BE'!$AM$19+'TUSD BF'!$AM$19+'TUSD CVA'!$AM$19)*1</f>
        <v>300.82918197526317</v>
      </c>
      <c r="AA641" s="4">
        <f>('TE BE'!$AB$10+'TE BF'!$AB$10+'TE CVA'!$AB$10)*1</f>
        <v>317.3874512882154</v>
      </c>
      <c r="AB641" s="4">
        <f>$K$641*$V$641</f>
        <v>0</v>
      </c>
      <c r="AC641" s="4">
        <f>$M$641*$W$641</f>
        <v>15439.633749999999</v>
      </c>
      <c r="AD641" s="4">
        <f>$O$641*$X$641</f>
        <v>16649.4925</v>
      </c>
      <c r="AE641" s="4">
        <f>$K$641*$Y$641</f>
        <v>0</v>
      </c>
      <c r="AF641" s="4">
        <f ca="1">$M$641*$Z$641</f>
        <v>19726.873608027883</v>
      </c>
      <c r="AG641" s="4">
        <f>$O$641*$AA$641</f>
        <v>20812.682118224726</v>
      </c>
    </row>
    <row r="642" spans="1:33" ht="11.25" customHeight="1" x14ac:dyDescent="0.25">
      <c r="A642" s="3" t="s">
        <v>28</v>
      </c>
      <c r="B642" s="3" t="s">
        <v>22</v>
      </c>
      <c r="C642" s="3" t="s">
        <v>33</v>
      </c>
      <c r="D642" s="3" t="s">
        <v>24</v>
      </c>
      <c r="E642" s="3" t="s">
        <v>24</v>
      </c>
      <c r="F642" s="3" t="s">
        <v>25</v>
      </c>
      <c r="G642" s="3" t="s">
        <v>25</v>
      </c>
      <c r="H642" s="3" t="s">
        <v>35</v>
      </c>
      <c r="I642" s="6">
        <v>44501</v>
      </c>
      <c r="J642" s="4">
        <v>0</v>
      </c>
      <c r="K642" s="4">
        <v>0</v>
      </c>
      <c r="L642" s="4">
        <v>0.70899999999999996</v>
      </c>
      <c r="M642" s="4">
        <v>0.70899999999999996</v>
      </c>
      <c r="N642" s="4">
        <v>0.70899999999999996</v>
      </c>
      <c r="O642" s="4">
        <v>0.70899999999999996</v>
      </c>
      <c r="P642" s="4">
        <v>0</v>
      </c>
      <c r="Q642" s="3" t="s">
        <v>26</v>
      </c>
      <c r="R642" s="3">
        <v>0</v>
      </c>
      <c r="S642" s="4">
        <v>0</v>
      </c>
      <c r="T642" s="4">
        <v>35</v>
      </c>
      <c r="U642" s="4">
        <v>43</v>
      </c>
      <c r="V642" s="4">
        <f>IF(ISERROR(VLOOKUP($S$642,'TAR FIN'!$A$1:$O$92,15,0)),0,VLOOKUP($S$642,'TAR FIN'!$A$1:$O$92,15,0))</f>
        <v>0</v>
      </c>
      <c r="W642" s="4">
        <f>IF(ISERROR(VLOOKUP($T$642,'TAR FIN'!$A$1:$O$92,15,0)),0,VLOOKUP($T$642,'TAR FIN'!$A$1:$O$92,15,0))</f>
        <v>235.45</v>
      </c>
      <c r="X642" s="4">
        <f>IF(ISERROR(VLOOKUP($U$642,'TAR FIN'!$A$1:$O$92,15,0)),0,VLOOKUP($U$642,'TAR FIN'!$A$1:$O$92,15,0))</f>
        <v>253.9</v>
      </c>
      <c r="Y642" s="4"/>
      <c r="Z642" s="4">
        <f ca="1">('TUSD BE'!$AM$19+'TUSD BF'!$AM$19+'TUSD CVA'!$AM$19)*1</f>
        <v>300.82918197526317</v>
      </c>
      <c r="AA642" s="4">
        <f>('TE BE'!$AB$10+'TE BF'!$AB$10+'TE CVA'!$AB$10)*1</f>
        <v>317.3874512882154</v>
      </c>
      <c r="AB642" s="4">
        <f>$K$642*$V$642</f>
        <v>0</v>
      </c>
      <c r="AC642" s="4">
        <f>$M$642*$W$642</f>
        <v>166.93404999999998</v>
      </c>
      <c r="AD642" s="4">
        <f>$O$642*$X$642</f>
        <v>180.01509999999999</v>
      </c>
      <c r="AE642" s="4">
        <f>$K$642*$Y$642</f>
        <v>0</v>
      </c>
      <c r="AF642" s="4">
        <f ca="1">$M$642*$Z$642</f>
        <v>213.28789002046159</v>
      </c>
      <c r="AG642" s="4">
        <f>$O$642*$AA$642</f>
        <v>225.02770296334472</v>
      </c>
    </row>
    <row r="643" spans="1:33" ht="11.25" customHeight="1" x14ac:dyDescent="0.25">
      <c r="A643" s="3" t="s">
        <v>21</v>
      </c>
      <c r="B643" s="3" t="s">
        <v>22</v>
      </c>
      <c r="C643" s="3" t="s">
        <v>33</v>
      </c>
      <c r="D643" s="3" t="s">
        <v>24</v>
      </c>
      <c r="E643" s="3" t="s">
        <v>24</v>
      </c>
      <c r="F643" s="3" t="s">
        <v>25</v>
      </c>
      <c r="G643" s="3" t="s">
        <v>25</v>
      </c>
      <c r="H643" s="3" t="s">
        <v>35</v>
      </c>
      <c r="I643" s="6">
        <v>44531</v>
      </c>
      <c r="J643" s="4">
        <v>0</v>
      </c>
      <c r="K643" s="4">
        <v>0</v>
      </c>
      <c r="L643" s="4">
        <v>58.158999999999999</v>
      </c>
      <c r="M643" s="4">
        <v>58.158999999999999</v>
      </c>
      <c r="N643" s="4">
        <v>58.158999999999999</v>
      </c>
      <c r="O643" s="4">
        <v>58.158999999999999</v>
      </c>
      <c r="P643" s="4">
        <v>0</v>
      </c>
      <c r="Q643" s="3" t="s">
        <v>26</v>
      </c>
      <c r="R643" s="3">
        <v>0</v>
      </c>
      <c r="S643" s="4">
        <v>0</v>
      </c>
      <c r="T643" s="4">
        <v>35</v>
      </c>
      <c r="U643" s="4">
        <v>43</v>
      </c>
      <c r="V643" s="4">
        <f>IF(ISERROR(VLOOKUP($S$643,'TAR FIN'!$A$1:$O$92,15,0)),0,VLOOKUP($S$643,'TAR FIN'!$A$1:$O$92,15,0))</f>
        <v>0</v>
      </c>
      <c r="W643" s="4">
        <f>IF(ISERROR(VLOOKUP($T$643,'TAR FIN'!$A$1:$O$92,15,0)),0,VLOOKUP($T$643,'TAR FIN'!$A$1:$O$92,15,0))</f>
        <v>235.45</v>
      </c>
      <c r="X643" s="4">
        <f>IF(ISERROR(VLOOKUP($U$643,'TAR FIN'!$A$1:$O$92,15,0)),0,VLOOKUP($U$643,'TAR FIN'!$A$1:$O$92,15,0))</f>
        <v>253.9</v>
      </c>
      <c r="Y643" s="4"/>
      <c r="Z643" s="4">
        <f ca="1">('TUSD BE'!$AM$19+'TUSD BF'!$AM$19+'TUSD CVA'!$AM$19)*1</f>
        <v>300.82918197526317</v>
      </c>
      <c r="AA643" s="4">
        <f>('TE BE'!$AB$10+'TE BF'!$AB$10+'TE CVA'!$AB$10)*1</f>
        <v>317.3874512882154</v>
      </c>
      <c r="AB643" s="4">
        <f>$K$643*$V$643</f>
        <v>0</v>
      </c>
      <c r="AC643" s="4">
        <f>$M$643*$W$643</f>
        <v>13693.536549999999</v>
      </c>
      <c r="AD643" s="4">
        <f>$O$643*$X$643</f>
        <v>14766.570100000001</v>
      </c>
      <c r="AE643" s="4">
        <f>$K$643*$Y$643</f>
        <v>0</v>
      </c>
      <c r="AF643" s="4">
        <f ca="1">$M$643*$Z$643</f>
        <v>17495.924394499329</v>
      </c>
      <c r="AG643" s="4">
        <f>$O$643*$AA$643</f>
        <v>18458.936779471318</v>
      </c>
    </row>
    <row r="644" spans="1:33" ht="11.25" customHeight="1" x14ac:dyDescent="0.25">
      <c r="A644" s="3" t="s">
        <v>28</v>
      </c>
      <c r="B644" s="3" t="s">
        <v>22</v>
      </c>
      <c r="C644" s="3" t="s">
        <v>33</v>
      </c>
      <c r="D644" s="3" t="s">
        <v>24</v>
      </c>
      <c r="E644" s="3" t="s">
        <v>24</v>
      </c>
      <c r="F644" s="3" t="s">
        <v>25</v>
      </c>
      <c r="G644" s="3" t="s">
        <v>25</v>
      </c>
      <c r="H644" s="3" t="s">
        <v>35</v>
      </c>
      <c r="I644" s="6">
        <v>44531</v>
      </c>
      <c r="J644" s="4">
        <v>0</v>
      </c>
      <c r="K644" s="4">
        <v>0</v>
      </c>
      <c r="L644" s="4">
        <v>0.61799999999999999</v>
      </c>
      <c r="M644" s="4">
        <v>0.61799999999999999</v>
      </c>
      <c r="N644" s="4">
        <v>0.61799999999999999</v>
      </c>
      <c r="O644" s="4">
        <v>0.61799999999999999</v>
      </c>
      <c r="P644" s="4">
        <v>0</v>
      </c>
      <c r="Q644" s="3" t="s">
        <v>26</v>
      </c>
      <c r="R644" s="3">
        <v>0</v>
      </c>
      <c r="S644" s="4">
        <v>0</v>
      </c>
      <c r="T644" s="4">
        <v>35</v>
      </c>
      <c r="U644" s="4">
        <v>43</v>
      </c>
      <c r="V644" s="4">
        <f>IF(ISERROR(VLOOKUP($S$644,'TAR FIN'!$A$1:$O$92,15,0)),0,VLOOKUP($S$644,'TAR FIN'!$A$1:$O$92,15,0))</f>
        <v>0</v>
      </c>
      <c r="W644" s="4">
        <f>IF(ISERROR(VLOOKUP($T$644,'TAR FIN'!$A$1:$O$92,15,0)),0,VLOOKUP($T$644,'TAR FIN'!$A$1:$O$92,15,0))</f>
        <v>235.45</v>
      </c>
      <c r="X644" s="4">
        <f>IF(ISERROR(VLOOKUP($U$644,'TAR FIN'!$A$1:$O$92,15,0)),0,VLOOKUP($U$644,'TAR FIN'!$A$1:$O$92,15,0))</f>
        <v>253.9</v>
      </c>
      <c r="Y644" s="4"/>
      <c r="Z644" s="4">
        <f ca="1">('TUSD BE'!$AM$19+'TUSD BF'!$AM$19+'TUSD CVA'!$AM$19)*1</f>
        <v>300.82918197526317</v>
      </c>
      <c r="AA644" s="4">
        <f>('TE BE'!$AB$10+'TE BF'!$AB$10+'TE CVA'!$AB$10)*1</f>
        <v>317.3874512882154</v>
      </c>
      <c r="AB644" s="4">
        <f>$K$644*$V$644</f>
        <v>0</v>
      </c>
      <c r="AC644" s="4">
        <f>$M$644*$W$644</f>
        <v>145.50809999999998</v>
      </c>
      <c r="AD644" s="4">
        <f>$O$644*$X$644</f>
        <v>156.9102</v>
      </c>
      <c r="AE644" s="4">
        <f>$K$644*$Y$644</f>
        <v>0</v>
      </c>
      <c r="AF644" s="4">
        <f ca="1">$M$644*$Z$644</f>
        <v>185.91243446071263</v>
      </c>
      <c r="AG644" s="4">
        <f>$O$644*$AA$644</f>
        <v>196.14544489611711</v>
      </c>
    </row>
    <row r="645" spans="1:33" ht="11.25" customHeight="1" x14ac:dyDescent="0.25">
      <c r="A645" s="3" t="s">
        <v>21</v>
      </c>
      <c r="B645" s="3" t="s">
        <v>22</v>
      </c>
      <c r="C645" s="3" t="s">
        <v>33</v>
      </c>
      <c r="D645" s="3" t="s">
        <v>24</v>
      </c>
      <c r="E645" s="3" t="s">
        <v>24</v>
      </c>
      <c r="F645" s="3" t="s">
        <v>25</v>
      </c>
      <c r="G645" s="3" t="s">
        <v>25</v>
      </c>
      <c r="H645" s="3" t="s">
        <v>35</v>
      </c>
      <c r="I645" s="6">
        <v>44562</v>
      </c>
      <c r="J645" s="4">
        <v>0</v>
      </c>
      <c r="K645" s="4">
        <v>0</v>
      </c>
      <c r="L645" s="4">
        <v>50.734999999999999</v>
      </c>
      <c r="M645" s="4">
        <v>50.734999999999999</v>
      </c>
      <c r="N645" s="4">
        <v>50.734999999999999</v>
      </c>
      <c r="O645" s="4">
        <v>50.734999999999999</v>
      </c>
      <c r="P645" s="4">
        <v>0</v>
      </c>
      <c r="Q645" s="3" t="s">
        <v>26</v>
      </c>
      <c r="R645" s="3">
        <v>0</v>
      </c>
      <c r="S645" s="4">
        <v>0</v>
      </c>
      <c r="T645" s="4">
        <v>35</v>
      </c>
      <c r="U645" s="4">
        <v>43</v>
      </c>
      <c r="V645" s="4">
        <f>IF(ISERROR(VLOOKUP($S$645,'TAR FIN'!$A$1:$O$92,15,0)),0,VLOOKUP($S$645,'TAR FIN'!$A$1:$O$92,15,0))</f>
        <v>0</v>
      </c>
      <c r="W645" s="4">
        <f>IF(ISERROR(VLOOKUP($T$645,'TAR FIN'!$A$1:$O$92,15,0)),0,VLOOKUP($T$645,'TAR FIN'!$A$1:$O$92,15,0))</f>
        <v>235.45</v>
      </c>
      <c r="X645" s="4">
        <f>IF(ISERROR(VLOOKUP($U$645,'TAR FIN'!$A$1:$O$92,15,0)),0,VLOOKUP($U$645,'TAR FIN'!$A$1:$O$92,15,0))</f>
        <v>253.9</v>
      </c>
      <c r="Y645" s="4"/>
      <c r="Z645" s="4">
        <f ca="1">('TUSD BE'!$AM$19+'TUSD BF'!$AM$19+'TUSD CVA'!$AM$19)*1</f>
        <v>300.82918197526317</v>
      </c>
      <c r="AA645" s="4">
        <f>('TE BE'!$AB$10+'TE BF'!$AB$10+'TE CVA'!$AB$10)*1</f>
        <v>317.3874512882154</v>
      </c>
      <c r="AB645" s="4">
        <f>$K$645*$V$645</f>
        <v>0</v>
      </c>
      <c r="AC645" s="4">
        <f>$M$645*$W$645</f>
        <v>11945.55575</v>
      </c>
      <c r="AD645" s="4">
        <f>$O$645*$X$645</f>
        <v>12881.6165</v>
      </c>
      <c r="AE645" s="4">
        <f>$K$645*$Y$645</f>
        <v>0</v>
      </c>
      <c r="AF645" s="4">
        <f ca="1">$M$645*$Z$645</f>
        <v>15262.568547514977</v>
      </c>
      <c r="AG645" s="4">
        <f>$O$645*$AA$645</f>
        <v>16102.652341107609</v>
      </c>
    </row>
    <row r="646" spans="1:33" ht="11.25" customHeight="1" x14ac:dyDescent="0.25">
      <c r="A646" s="3" t="s">
        <v>28</v>
      </c>
      <c r="B646" s="3" t="s">
        <v>22</v>
      </c>
      <c r="C646" s="3" t="s">
        <v>33</v>
      </c>
      <c r="D646" s="3" t="s">
        <v>24</v>
      </c>
      <c r="E646" s="3" t="s">
        <v>24</v>
      </c>
      <c r="F646" s="3" t="s">
        <v>25</v>
      </c>
      <c r="G646" s="3" t="s">
        <v>25</v>
      </c>
      <c r="H646" s="3" t="s">
        <v>35</v>
      </c>
      <c r="I646" s="6">
        <v>44562</v>
      </c>
      <c r="J646" s="4">
        <v>0</v>
      </c>
      <c r="K646" s="4">
        <v>0</v>
      </c>
      <c r="L646" s="4">
        <v>0.57699999999999996</v>
      </c>
      <c r="M646" s="4">
        <v>0.57699999999999996</v>
      </c>
      <c r="N646" s="4">
        <v>0.57699999999999996</v>
      </c>
      <c r="O646" s="4">
        <v>0.57699999999999996</v>
      </c>
      <c r="P646" s="4">
        <v>0</v>
      </c>
      <c r="Q646" s="3" t="s">
        <v>26</v>
      </c>
      <c r="R646" s="3">
        <v>0</v>
      </c>
      <c r="S646" s="4">
        <v>0</v>
      </c>
      <c r="T646" s="4">
        <v>35</v>
      </c>
      <c r="U646" s="4">
        <v>43</v>
      </c>
      <c r="V646" s="4">
        <f>IF(ISERROR(VLOOKUP($S$646,'TAR FIN'!$A$1:$O$92,15,0)),0,VLOOKUP($S$646,'TAR FIN'!$A$1:$O$92,15,0))</f>
        <v>0</v>
      </c>
      <c r="W646" s="4">
        <f>IF(ISERROR(VLOOKUP($T$646,'TAR FIN'!$A$1:$O$92,15,0)),0,VLOOKUP($T$646,'TAR FIN'!$A$1:$O$92,15,0))</f>
        <v>235.45</v>
      </c>
      <c r="X646" s="4">
        <f>IF(ISERROR(VLOOKUP($U$646,'TAR FIN'!$A$1:$O$92,15,0)),0,VLOOKUP($U$646,'TAR FIN'!$A$1:$O$92,15,0))</f>
        <v>253.9</v>
      </c>
      <c r="Y646" s="4"/>
      <c r="Z646" s="4">
        <f ca="1">('TUSD BE'!$AM$19+'TUSD BF'!$AM$19+'TUSD CVA'!$AM$19)*1</f>
        <v>300.82918197526317</v>
      </c>
      <c r="AA646" s="4">
        <f>('TE BE'!$AB$10+'TE BF'!$AB$10+'TE CVA'!$AB$10)*1</f>
        <v>317.3874512882154</v>
      </c>
      <c r="AB646" s="4">
        <f>$K$646*$V$646</f>
        <v>0</v>
      </c>
      <c r="AC646" s="4">
        <f>$M$646*$W$646</f>
        <v>135.85464999999999</v>
      </c>
      <c r="AD646" s="4">
        <f>$O$646*$X$646</f>
        <v>146.50029999999998</v>
      </c>
      <c r="AE646" s="4">
        <f>$K$646*$Y$646</f>
        <v>0</v>
      </c>
      <c r="AF646" s="4">
        <f ca="1">$M$646*$Z$646</f>
        <v>173.57843799972684</v>
      </c>
      <c r="AG646" s="4">
        <f>$O$646*$AA$646</f>
        <v>183.13255939330028</v>
      </c>
    </row>
    <row r="647" spans="1:33" ht="11.25" customHeight="1" x14ac:dyDescent="0.25">
      <c r="A647" s="3" t="s">
        <v>21</v>
      </c>
      <c r="B647" s="3" t="s">
        <v>22</v>
      </c>
      <c r="C647" s="3" t="s">
        <v>33</v>
      </c>
      <c r="D647" s="3" t="s">
        <v>24</v>
      </c>
      <c r="E647" s="3" t="s">
        <v>24</v>
      </c>
      <c r="F647" s="3" t="s">
        <v>25</v>
      </c>
      <c r="G647" s="3" t="s">
        <v>25</v>
      </c>
      <c r="H647" s="3" t="s">
        <v>35</v>
      </c>
      <c r="I647" s="6">
        <v>44593</v>
      </c>
      <c r="J647" s="4">
        <v>0</v>
      </c>
      <c r="K647" s="4">
        <v>0</v>
      </c>
      <c r="L647" s="4">
        <v>54.89</v>
      </c>
      <c r="M647" s="4">
        <v>54.89</v>
      </c>
      <c r="N647" s="4">
        <v>54.89</v>
      </c>
      <c r="O647" s="4">
        <v>54.89</v>
      </c>
      <c r="P647" s="4">
        <v>0</v>
      </c>
      <c r="Q647" s="3" t="s">
        <v>26</v>
      </c>
      <c r="R647" s="3">
        <v>0</v>
      </c>
      <c r="S647" s="4">
        <v>0</v>
      </c>
      <c r="T647" s="4">
        <v>35</v>
      </c>
      <c r="U647" s="4">
        <v>43</v>
      </c>
      <c r="V647" s="4">
        <f>IF(ISERROR(VLOOKUP($S$647,'TAR FIN'!$A$1:$O$92,15,0)),0,VLOOKUP($S$647,'TAR FIN'!$A$1:$O$92,15,0))</f>
        <v>0</v>
      </c>
      <c r="W647" s="4">
        <f>IF(ISERROR(VLOOKUP($T$647,'TAR FIN'!$A$1:$O$92,15,0)),0,VLOOKUP($T$647,'TAR FIN'!$A$1:$O$92,15,0))</f>
        <v>235.45</v>
      </c>
      <c r="X647" s="4">
        <f>IF(ISERROR(VLOOKUP($U$647,'TAR FIN'!$A$1:$O$92,15,0)),0,VLOOKUP($U$647,'TAR FIN'!$A$1:$O$92,15,0))</f>
        <v>253.9</v>
      </c>
      <c r="Y647" s="4"/>
      <c r="Z647" s="4">
        <f ca="1">('TUSD BE'!$AM$19+'TUSD BF'!$AM$19+'TUSD CVA'!$AM$19)*1</f>
        <v>300.82918197526317</v>
      </c>
      <c r="AA647" s="4">
        <f>('TE BE'!$AB$10+'TE BF'!$AB$10+'TE CVA'!$AB$10)*1</f>
        <v>317.3874512882154</v>
      </c>
      <c r="AB647" s="4">
        <f>$K$647*$V$647</f>
        <v>0</v>
      </c>
      <c r="AC647" s="4">
        <f>$M$647*$W$647</f>
        <v>12923.850499999999</v>
      </c>
      <c r="AD647" s="4">
        <f>$O$647*$X$647</f>
        <v>13936.571</v>
      </c>
      <c r="AE647" s="4">
        <f>$K$647*$Y$647</f>
        <v>0</v>
      </c>
      <c r="AF647" s="4">
        <f ca="1">$M$647*$Z$647</f>
        <v>16512.513798622196</v>
      </c>
      <c r="AG647" s="4">
        <f>$O$647*$AA$647</f>
        <v>17421.397201210144</v>
      </c>
    </row>
    <row r="648" spans="1:33" ht="11.25" customHeight="1" x14ac:dyDescent="0.25">
      <c r="A648" s="3" t="s">
        <v>28</v>
      </c>
      <c r="B648" s="3" t="s">
        <v>22</v>
      </c>
      <c r="C648" s="3" t="s">
        <v>33</v>
      </c>
      <c r="D648" s="3" t="s">
        <v>24</v>
      </c>
      <c r="E648" s="3" t="s">
        <v>24</v>
      </c>
      <c r="F648" s="3" t="s">
        <v>25</v>
      </c>
      <c r="G648" s="3" t="s">
        <v>25</v>
      </c>
      <c r="H648" s="3" t="s">
        <v>35</v>
      </c>
      <c r="I648" s="6">
        <v>44593</v>
      </c>
      <c r="J648" s="4">
        <v>0</v>
      </c>
      <c r="K648" s="4">
        <v>0</v>
      </c>
      <c r="L648" s="4">
        <v>0.59199999999999997</v>
      </c>
      <c r="M648" s="4">
        <v>0.59199999999999997</v>
      </c>
      <c r="N648" s="4">
        <v>0.59199999999999997</v>
      </c>
      <c r="O648" s="4">
        <v>0.59199999999999997</v>
      </c>
      <c r="P648" s="4">
        <v>0</v>
      </c>
      <c r="Q648" s="3" t="s">
        <v>26</v>
      </c>
      <c r="R648" s="3">
        <v>0</v>
      </c>
      <c r="S648" s="4">
        <v>0</v>
      </c>
      <c r="T648" s="4">
        <v>35</v>
      </c>
      <c r="U648" s="4">
        <v>43</v>
      </c>
      <c r="V648" s="4">
        <f>IF(ISERROR(VLOOKUP($S$648,'TAR FIN'!$A$1:$O$92,15,0)),0,VLOOKUP($S$648,'TAR FIN'!$A$1:$O$92,15,0))</f>
        <v>0</v>
      </c>
      <c r="W648" s="4">
        <f>IF(ISERROR(VLOOKUP($T$648,'TAR FIN'!$A$1:$O$92,15,0)),0,VLOOKUP($T$648,'TAR FIN'!$A$1:$O$92,15,0))</f>
        <v>235.45</v>
      </c>
      <c r="X648" s="4">
        <f>IF(ISERROR(VLOOKUP($U$648,'TAR FIN'!$A$1:$O$92,15,0)),0,VLOOKUP($U$648,'TAR FIN'!$A$1:$O$92,15,0))</f>
        <v>253.9</v>
      </c>
      <c r="Y648" s="4"/>
      <c r="Z648" s="4">
        <f ca="1">('TUSD BE'!$AM$19+'TUSD BF'!$AM$19+'TUSD CVA'!$AM$19)*1</f>
        <v>300.82918197526317</v>
      </c>
      <c r="AA648" s="4">
        <f>('TE BE'!$AB$10+'TE BF'!$AB$10+'TE CVA'!$AB$10)*1</f>
        <v>317.3874512882154</v>
      </c>
      <c r="AB648" s="4">
        <f>$K$648*$V$648</f>
        <v>0</v>
      </c>
      <c r="AC648" s="4">
        <f>$M$648*$W$648</f>
        <v>139.38639999999998</v>
      </c>
      <c r="AD648" s="4">
        <f>$O$648*$X$648</f>
        <v>150.30879999999999</v>
      </c>
      <c r="AE648" s="4">
        <f>$K$648*$Y$648</f>
        <v>0</v>
      </c>
      <c r="AF648" s="4">
        <f ca="1">$M$648*$Z$648</f>
        <v>178.09087572935579</v>
      </c>
      <c r="AG648" s="4">
        <f>$O$648*$AA$648</f>
        <v>187.89337116262351</v>
      </c>
    </row>
    <row r="649" spans="1:33" ht="11.25" customHeight="1" x14ac:dyDescent="0.25">
      <c r="A649" s="3" t="s">
        <v>21</v>
      </c>
      <c r="B649" s="3" t="s">
        <v>22</v>
      </c>
      <c r="C649" s="3" t="s">
        <v>33</v>
      </c>
      <c r="D649" s="3" t="s">
        <v>24</v>
      </c>
      <c r="E649" s="3" t="s">
        <v>24</v>
      </c>
      <c r="F649" s="3" t="s">
        <v>25</v>
      </c>
      <c r="G649" s="3" t="s">
        <v>25</v>
      </c>
      <c r="H649" s="3" t="s">
        <v>35</v>
      </c>
      <c r="I649" s="6">
        <v>44621</v>
      </c>
      <c r="J649" s="4">
        <v>0</v>
      </c>
      <c r="K649" s="4">
        <v>0</v>
      </c>
      <c r="L649" s="4">
        <v>45.198999999999998</v>
      </c>
      <c r="M649" s="4">
        <v>45.198999999999998</v>
      </c>
      <c r="N649" s="4">
        <v>45.198999999999998</v>
      </c>
      <c r="O649" s="4">
        <v>45.198999999999998</v>
      </c>
      <c r="P649" s="4">
        <v>0</v>
      </c>
      <c r="Q649" s="3" t="s">
        <v>26</v>
      </c>
      <c r="R649" s="3">
        <v>0</v>
      </c>
      <c r="S649" s="4">
        <v>0</v>
      </c>
      <c r="T649" s="4">
        <v>35</v>
      </c>
      <c r="U649" s="4">
        <v>43</v>
      </c>
      <c r="V649" s="4">
        <f>IF(ISERROR(VLOOKUP($S$649,'TAR FIN'!$A$1:$O$92,15,0)),0,VLOOKUP($S$649,'TAR FIN'!$A$1:$O$92,15,0))</f>
        <v>0</v>
      </c>
      <c r="W649" s="4">
        <f>IF(ISERROR(VLOOKUP($T$649,'TAR FIN'!$A$1:$O$92,15,0)),0,VLOOKUP($T$649,'TAR FIN'!$A$1:$O$92,15,0))</f>
        <v>235.45</v>
      </c>
      <c r="X649" s="4">
        <f>IF(ISERROR(VLOOKUP($U$649,'TAR FIN'!$A$1:$O$92,15,0)),0,VLOOKUP($U$649,'TAR FIN'!$A$1:$O$92,15,0))</f>
        <v>253.9</v>
      </c>
      <c r="Y649" s="4"/>
      <c r="Z649" s="4">
        <f ca="1">('TUSD BE'!$AM$19+'TUSD BF'!$AM$19+'TUSD CVA'!$AM$19)*1</f>
        <v>300.82918197526317</v>
      </c>
      <c r="AA649" s="4">
        <f>('TE BE'!$AB$10+'TE BF'!$AB$10+'TE CVA'!$AB$10)*1</f>
        <v>317.3874512882154</v>
      </c>
      <c r="AB649" s="4">
        <f>$K$649*$V$649</f>
        <v>0</v>
      </c>
      <c r="AC649" s="4">
        <f>$M$649*$W$649</f>
        <v>10642.104549999998</v>
      </c>
      <c r="AD649" s="4">
        <f>$O$649*$X$649</f>
        <v>11476.026099999999</v>
      </c>
      <c r="AE649" s="4">
        <f>$K$649*$Y$649</f>
        <v>0</v>
      </c>
      <c r="AF649" s="4">
        <f ca="1">$M$649*$Z$649</f>
        <v>13597.17819609992</v>
      </c>
      <c r="AG649" s="4">
        <f>$O$649*$AA$649</f>
        <v>14345.595410776048</v>
      </c>
    </row>
    <row r="650" spans="1:33" ht="11.25" customHeight="1" x14ac:dyDescent="0.25">
      <c r="A650" s="3" t="s">
        <v>28</v>
      </c>
      <c r="B650" s="3" t="s">
        <v>22</v>
      </c>
      <c r="C650" s="3" t="s">
        <v>33</v>
      </c>
      <c r="D650" s="3" t="s">
        <v>24</v>
      </c>
      <c r="E650" s="3" t="s">
        <v>24</v>
      </c>
      <c r="F650" s="3" t="s">
        <v>25</v>
      </c>
      <c r="G650" s="3" t="s">
        <v>25</v>
      </c>
      <c r="H650" s="3" t="s">
        <v>35</v>
      </c>
      <c r="I650" s="6">
        <v>44621</v>
      </c>
      <c r="J650" s="4">
        <v>0</v>
      </c>
      <c r="K650" s="4">
        <v>0</v>
      </c>
      <c r="L650" s="4">
        <v>0.50800000000000001</v>
      </c>
      <c r="M650" s="4">
        <v>0.50800000000000001</v>
      </c>
      <c r="N650" s="4">
        <v>0.50800000000000001</v>
      </c>
      <c r="O650" s="4">
        <v>0.50800000000000001</v>
      </c>
      <c r="P650" s="4">
        <v>0</v>
      </c>
      <c r="Q650" s="3" t="s">
        <v>26</v>
      </c>
      <c r="R650" s="3">
        <v>0</v>
      </c>
      <c r="S650" s="4">
        <v>0</v>
      </c>
      <c r="T650" s="4">
        <v>35</v>
      </c>
      <c r="U650" s="4">
        <v>43</v>
      </c>
      <c r="V650" s="4">
        <f>IF(ISERROR(VLOOKUP($S$650,'TAR FIN'!$A$1:$O$92,15,0)),0,VLOOKUP($S$650,'TAR FIN'!$A$1:$O$92,15,0))</f>
        <v>0</v>
      </c>
      <c r="W650" s="4">
        <f>IF(ISERROR(VLOOKUP($T$650,'TAR FIN'!$A$1:$O$92,15,0)),0,VLOOKUP($T$650,'TAR FIN'!$A$1:$O$92,15,0))</f>
        <v>235.45</v>
      </c>
      <c r="X650" s="4">
        <f>IF(ISERROR(VLOOKUP($U$650,'TAR FIN'!$A$1:$O$92,15,0)),0,VLOOKUP($U$650,'TAR FIN'!$A$1:$O$92,15,0))</f>
        <v>253.9</v>
      </c>
      <c r="Y650" s="4"/>
      <c r="Z650" s="4">
        <f ca="1">('TUSD BE'!$AM$19+'TUSD BF'!$AM$19+'TUSD CVA'!$AM$19)*1</f>
        <v>300.82918197526317</v>
      </c>
      <c r="AA650" s="4">
        <f>('TE BE'!$AB$10+'TE BF'!$AB$10+'TE CVA'!$AB$10)*1</f>
        <v>317.3874512882154</v>
      </c>
      <c r="AB650" s="4">
        <f>$K$650*$V$650</f>
        <v>0</v>
      </c>
      <c r="AC650" s="4">
        <f>$M$650*$W$650</f>
        <v>119.6086</v>
      </c>
      <c r="AD650" s="4">
        <f>$O$650*$X$650</f>
        <v>128.9812</v>
      </c>
      <c r="AE650" s="4">
        <f>$K$650*$Y$650</f>
        <v>0</v>
      </c>
      <c r="AF650" s="4">
        <f ca="1">$M$650*$Z$650</f>
        <v>152.82122444343369</v>
      </c>
      <c r="AG650" s="4">
        <f>$O$650*$AA$650</f>
        <v>161.23282525441343</v>
      </c>
    </row>
    <row r="651" spans="1:33" ht="11.25" customHeight="1" x14ac:dyDescent="0.25">
      <c r="A651" s="3" t="s">
        <v>21</v>
      </c>
      <c r="B651" s="3" t="s">
        <v>22</v>
      </c>
      <c r="C651" s="3" t="s">
        <v>33</v>
      </c>
      <c r="D651" s="3" t="s">
        <v>24</v>
      </c>
      <c r="E651" s="3" t="s">
        <v>24</v>
      </c>
      <c r="F651" s="3" t="s">
        <v>25</v>
      </c>
      <c r="G651" s="3" t="s">
        <v>25</v>
      </c>
      <c r="H651" s="3" t="s">
        <v>35</v>
      </c>
      <c r="I651" s="6">
        <v>44652</v>
      </c>
      <c r="J651" s="4">
        <v>0</v>
      </c>
      <c r="K651" s="4">
        <v>0</v>
      </c>
      <c r="L651" s="4">
        <v>45.198999999999998</v>
      </c>
      <c r="M651" s="4">
        <v>45.198999999999998</v>
      </c>
      <c r="N651" s="4">
        <v>45.198999999999998</v>
      </c>
      <c r="O651" s="4">
        <v>45.198999999999998</v>
      </c>
      <c r="P651" s="4">
        <v>0</v>
      </c>
      <c r="Q651" s="3" t="s">
        <v>26</v>
      </c>
      <c r="R651" s="3">
        <v>0</v>
      </c>
      <c r="S651" s="4">
        <v>0</v>
      </c>
      <c r="T651" s="4">
        <v>35</v>
      </c>
      <c r="U651" s="4">
        <v>43</v>
      </c>
      <c r="V651" s="4">
        <f>IF(ISERROR(VLOOKUP($S$651,'TAR FIN'!$A$1:$O$92,15,0)),0,VLOOKUP($S$651,'TAR FIN'!$A$1:$O$92,15,0))</f>
        <v>0</v>
      </c>
      <c r="W651" s="4">
        <f>IF(ISERROR(VLOOKUP($T$651,'TAR FIN'!$A$1:$O$92,15,0)),0,VLOOKUP($T$651,'TAR FIN'!$A$1:$O$92,15,0))</f>
        <v>235.45</v>
      </c>
      <c r="X651" s="4">
        <f>IF(ISERROR(VLOOKUP($U$651,'TAR FIN'!$A$1:$O$92,15,0)),0,VLOOKUP($U$651,'TAR FIN'!$A$1:$O$92,15,0))</f>
        <v>253.9</v>
      </c>
      <c r="Y651" s="4"/>
      <c r="Z651" s="4">
        <f ca="1">('TUSD BE'!$AM$19+'TUSD BF'!$AM$19+'TUSD CVA'!$AM$19)*1</f>
        <v>300.82918197526317</v>
      </c>
      <c r="AA651" s="4">
        <f>('TE BE'!$AB$10+'TE BF'!$AB$10+'TE CVA'!$AB$10)*1</f>
        <v>317.3874512882154</v>
      </c>
      <c r="AB651" s="4">
        <f>$K$651*$V$651</f>
        <v>0</v>
      </c>
      <c r="AC651" s="4">
        <f>$M$651*$W$651</f>
        <v>10642.104549999998</v>
      </c>
      <c r="AD651" s="4">
        <f>$O$651*$X$651</f>
        <v>11476.026099999999</v>
      </c>
      <c r="AE651" s="4">
        <f>$K$651*$Y$651</f>
        <v>0</v>
      </c>
      <c r="AF651" s="4">
        <f ca="1">$M$651*$Z$651</f>
        <v>13597.17819609992</v>
      </c>
      <c r="AG651" s="4">
        <f>$O$651*$AA$651</f>
        <v>14345.595410776048</v>
      </c>
    </row>
    <row r="652" spans="1:33" ht="11.25" customHeight="1" x14ac:dyDescent="0.25">
      <c r="A652" s="3" t="s">
        <v>28</v>
      </c>
      <c r="B652" s="3" t="s">
        <v>22</v>
      </c>
      <c r="C652" s="3" t="s">
        <v>33</v>
      </c>
      <c r="D652" s="3" t="s">
        <v>24</v>
      </c>
      <c r="E652" s="3" t="s">
        <v>24</v>
      </c>
      <c r="F652" s="3" t="s">
        <v>25</v>
      </c>
      <c r="G652" s="3" t="s">
        <v>25</v>
      </c>
      <c r="H652" s="3" t="s">
        <v>35</v>
      </c>
      <c r="I652" s="6">
        <v>44652</v>
      </c>
      <c r="J652" s="4">
        <v>0</v>
      </c>
      <c r="K652" s="4">
        <v>0</v>
      </c>
      <c r="L652" s="4">
        <v>0.50800000000000001</v>
      </c>
      <c r="M652" s="4">
        <v>0.50800000000000001</v>
      </c>
      <c r="N652" s="4">
        <v>0.50800000000000001</v>
      </c>
      <c r="O652" s="4">
        <v>0.50800000000000001</v>
      </c>
      <c r="P652" s="4">
        <v>0</v>
      </c>
      <c r="Q652" s="3" t="s">
        <v>26</v>
      </c>
      <c r="R652" s="3">
        <v>0</v>
      </c>
      <c r="S652" s="4">
        <v>0</v>
      </c>
      <c r="T652" s="4">
        <v>35</v>
      </c>
      <c r="U652" s="4">
        <v>43</v>
      </c>
      <c r="V652" s="4">
        <f>IF(ISERROR(VLOOKUP($S$652,'TAR FIN'!$A$1:$O$92,15,0)),0,VLOOKUP($S$652,'TAR FIN'!$A$1:$O$92,15,0))</f>
        <v>0</v>
      </c>
      <c r="W652" s="4">
        <f>IF(ISERROR(VLOOKUP($T$652,'TAR FIN'!$A$1:$O$92,15,0)),0,VLOOKUP($T$652,'TAR FIN'!$A$1:$O$92,15,0))</f>
        <v>235.45</v>
      </c>
      <c r="X652" s="4">
        <f>IF(ISERROR(VLOOKUP($U$652,'TAR FIN'!$A$1:$O$92,15,0)),0,VLOOKUP($U$652,'TAR FIN'!$A$1:$O$92,15,0))</f>
        <v>253.9</v>
      </c>
      <c r="Y652" s="4"/>
      <c r="Z652" s="4">
        <f ca="1">('TUSD BE'!$AM$19+'TUSD BF'!$AM$19+'TUSD CVA'!$AM$19)*1</f>
        <v>300.82918197526317</v>
      </c>
      <c r="AA652" s="4">
        <f>('TE BE'!$AB$10+'TE BF'!$AB$10+'TE CVA'!$AB$10)*1</f>
        <v>317.3874512882154</v>
      </c>
      <c r="AB652" s="4">
        <f>$K$652*$V$652</f>
        <v>0</v>
      </c>
      <c r="AC652" s="4">
        <f>$M$652*$W$652</f>
        <v>119.6086</v>
      </c>
      <c r="AD652" s="4">
        <f>$O$652*$X$652</f>
        <v>128.9812</v>
      </c>
      <c r="AE652" s="4">
        <f>$K$652*$Y$652</f>
        <v>0</v>
      </c>
      <c r="AF652" s="4">
        <f ca="1">$M$652*$Z$652</f>
        <v>152.82122444343369</v>
      </c>
      <c r="AG652" s="4">
        <f>$O$652*$AA$652</f>
        <v>161.23282525441343</v>
      </c>
    </row>
    <row r="653" spans="1:33" ht="11.25" customHeight="1" x14ac:dyDescent="0.25">
      <c r="A653" s="3" t="s">
        <v>21</v>
      </c>
      <c r="B653" s="3" t="s">
        <v>22</v>
      </c>
      <c r="C653" s="3" t="s">
        <v>33</v>
      </c>
      <c r="D653" s="3" t="s">
        <v>24</v>
      </c>
      <c r="E653" s="3" t="s">
        <v>24</v>
      </c>
      <c r="F653" s="3" t="s">
        <v>25</v>
      </c>
      <c r="G653" s="3" t="s">
        <v>25</v>
      </c>
      <c r="H653" s="3" t="s">
        <v>35</v>
      </c>
      <c r="I653" s="6">
        <v>44682</v>
      </c>
      <c r="J653" s="4">
        <v>0</v>
      </c>
      <c r="K653" s="4">
        <v>0</v>
      </c>
      <c r="L653" s="4">
        <v>40.454999999999998</v>
      </c>
      <c r="M653" s="4">
        <v>40.454999999999998</v>
      </c>
      <c r="N653" s="4">
        <v>40.454999999999998</v>
      </c>
      <c r="O653" s="4">
        <v>40.454999999999998</v>
      </c>
      <c r="P653" s="4">
        <v>0</v>
      </c>
      <c r="Q653" s="3" t="s">
        <v>26</v>
      </c>
      <c r="R653" s="3">
        <v>0</v>
      </c>
      <c r="S653" s="4">
        <v>0</v>
      </c>
      <c r="T653" s="4">
        <v>35</v>
      </c>
      <c r="U653" s="4">
        <v>43</v>
      </c>
      <c r="V653" s="4">
        <f>IF(ISERROR(VLOOKUP($S$653,'TAR FIN'!$A$1:$O$92,15,0)),0,VLOOKUP($S$653,'TAR FIN'!$A$1:$O$92,15,0))</f>
        <v>0</v>
      </c>
      <c r="W653" s="4">
        <f>IF(ISERROR(VLOOKUP($T$653,'TAR FIN'!$A$1:$O$92,15,0)),0,VLOOKUP($T$653,'TAR FIN'!$A$1:$O$92,15,0))</f>
        <v>235.45</v>
      </c>
      <c r="X653" s="4">
        <f>IF(ISERROR(VLOOKUP($U$653,'TAR FIN'!$A$1:$O$92,15,0)),0,VLOOKUP($U$653,'TAR FIN'!$A$1:$O$92,15,0))</f>
        <v>253.9</v>
      </c>
      <c r="Y653" s="4"/>
      <c r="Z653" s="4">
        <f ca="1">('TUSD BE'!$AM$19+'TUSD BF'!$AM$19+'TUSD CVA'!$AM$19)*1</f>
        <v>300.82918197526317</v>
      </c>
      <c r="AA653" s="4">
        <f>('TE BE'!$AB$10+'TE BF'!$AB$10+'TE CVA'!$AB$10)*1</f>
        <v>317.3874512882154</v>
      </c>
      <c r="AB653" s="4">
        <f>$K$653*$V$653</f>
        <v>0</v>
      </c>
      <c r="AC653" s="4">
        <f>$M$653*$W$653</f>
        <v>9525.1297499999982</v>
      </c>
      <c r="AD653" s="4">
        <f>$O$653*$X$653</f>
        <v>10271.5245</v>
      </c>
      <c r="AE653" s="4">
        <f>$K$653*$Y$653</f>
        <v>0</v>
      </c>
      <c r="AF653" s="4">
        <f ca="1">$M$653*$Z$653</f>
        <v>12170.044556809271</v>
      </c>
      <c r="AG653" s="4">
        <f>$O$653*$AA$653</f>
        <v>12839.909341864754</v>
      </c>
    </row>
    <row r="654" spans="1:33" ht="11.25" customHeight="1" x14ac:dyDescent="0.25">
      <c r="A654" s="3" t="s">
        <v>28</v>
      </c>
      <c r="B654" s="3" t="s">
        <v>22</v>
      </c>
      <c r="C654" s="3" t="s">
        <v>33</v>
      </c>
      <c r="D654" s="3" t="s">
        <v>24</v>
      </c>
      <c r="E654" s="3" t="s">
        <v>24</v>
      </c>
      <c r="F654" s="3" t="s">
        <v>25</v>
      </c>
      <c r="G654" s="3" t="s">
        <v>25</v>
      </c>
      <c r="H654" s="3" t="s">
        <v>35</v>
      </c>
      <c r="I654" s="6">
        <v>44682</v>
      </c>
      <c r="J654" s="4">
        <v>0</v>
      </c>
      <c r="K654" s="4">
        <v>0</v>
      </c>
      <c r="L654" s="4">
        <v>2.1520000000000001</v>
      </c>
      <c r="M654" s="4">
        <v>2.1520000000000001</v>
      </c>
      <c r="N654" s="4">
        <v>2.1520000000000001</v>
      </c>
      <c r="O654" s="4">
        <v>2.1520000000000001</v>
      </c>
      <c r="P654" s="4">
        <v>0</v>
      </c>
      <c r="Q654" s="3" t="s">
        <v>26</v>
      </c>
      <c r="R654" s="3">
        <v>0</v>
      </c>
      <c r="S654" s="4">
        <v>0</v>
      </c>
      <c r="T654" s="4">
        <v>35</v>
      </c>
      <c r="U654" s="4">
        <v>43</v>
      </c>
      <c r="V654" s="4">
        <f>IF(ISERROR(VLOOKUP($S$654,'TAR FIN'!$A$1:$O$92,15,0)),0,VLOOKUP($S$654,'TAR FIN'!$A$1:$O$92,15,0))</f>
        <v>0</v>
      </c>
      <c r="W654" s="4">
        <f>IF(ISERROR(VLOOKUP($T$654,'TAR FIN'!$A$1:$O$92,15,0)),0,VLOOKUP($T$654,'TAR FIN'!$A$1:$O$92,15,0))</f>
        <v>235.45</v>
      </c>
      <c r="X654" s="4">
        <f>IF(ISERROR(VLOOKUP($U$654,'TAR FIN'!$A$1:$O$92,15,0)),0,VLOOKUP($U$654,'TAR FIN'!$A$1:$O$92,15,0))</f>
        <v>253.9</v>
      </c>
      <c r="Y654" s="4"/>
      <c r="Z654" s="4">
        <f ca="1">('TUSD BE'!$AM$19+'TUSD BF'!$AM$19+'TUSD CVA'!$AM$19)*1</f>
        <v>300.82918197526317</v>
      </c>
      <c r="AA654" s="4">
        <f>('TE BE'!$AB$10+'TE BF'!$AB$10+'TE CVA'!$AB$10)*1</f>
        <v>317.3874512882154</v>
      </c>
      <c r="AB654" s="4">
        <f>$K$654*$V$654</f>
        <v>0</v>
      </c>
      <c r="AC654" s="4">
        <f>$M$654*$W$654</f>
        <v>506.6884</v>
      </c>
      <c r="AD654" s="4">
        <f>$O$654*$X$654</f>
        <v>546.39280000000008</v>
      </c>
      <c r="AE654" s="4">
        <f>$K$654*$Y$654</f>
        <v>0</v>
      </c>
      <c r="AF654" s="4">
        <f ca="1">$M$654*$Z$654</f>
        <v>647.38439961076642</v>
      </c>
      <c r="AG654" s="4">
        <f>$O$654*$AA$654</f>
        <v>683.01779517223963</v>
      </c>
    </row>
    <row r="655" spans="1:33" ht="11.25" customHeight="1" x14ac:dyDescent="0.25">
      <c r="A655" s="3" t="s">
        <v>21</v>
      </c>
      <c r="B655" s="3" t="s">
        <v>22</v>
      </c>
      <c r="C655" s="3" t="s">
        <v>33</v>
      </c>
      <c r="D655" s="3" t="s">
        <v>24</v>
      </c>
      <c r="E655" s="3" t="s">
        <v>24</v>
      </c>
      <c r="F655" s="3" t="s">
        <v>25</v>
      </c>
      <c r="G655" s="3" t="s">
        <v>25</v>
      </c>
      <c r="H655" s="3" t="s">
        <v>35</v>
      </c>
      <c r="I655" s="6">
        <v>44713</v>
      </c>
      <c r="J655" s="4">
        <v>0</v>
      </c>
      <c r="K655" s="4">
        <v>0</v>
      </c>
      <c r="L655" s="4">
        <v>38.088000000000001</v>
      </c>
      <c r="M655" s="4">
        <v>38.088000000000001</v>
      </c>
      <c r="N655" s="4">
        <v>38.088000000000001</v>
      </c>
      <c r="O655" s="4">
        <v>38.088000000000001</v>
      </c>
      <c r="P655" s="4">
        <v>0</v>
      </c>
      <c r="Q655" s="3" t="s">
        <v>26</v>
      </c>
      <c r="R655" s="3">
        <v>0</v>
      </c>
      <c r="S655" s="4">
        <v>0</v>
      </c>
      <c r="T655" s="4">
        <v>35</v>
      </c>
      <c r="U655" s="4">
        <v>43</v>
      </c>
      <c r="V655" s="4">
        <f>IF(ISERROR(VLOOKUP($S$655,'TAR FIN'!$A$1:$O$92,15,0)),0,VLOOKUP($S$655,'TAR FIN'!$A$1:$O$92,15,0))</f>
        <v>0</v>
      </c>
      <c r="W655" s="4">
        <f>IF(ISERROR(VLOOKUP($T$655,'TAR FIN'!$A$1:$O$92,15,0)),0,VLOOKUP($T$655,'TAR FIN'!$A$1:$O$92,15,0))</f>
        <v>235.45</v>
      </c>
      <c r="X655" s="4">
        <f>IF(ISERROR(VLOOKUP($U$655,'TAR FIN'!$A$1:$O$92,15,0)),0,VLOOKUP($U$655,'TAR FIN'!$A$1:$O$92,15,0))</f>
        <v>253.9</v>
      </c>
      <c r="Y655" s="4"/>
      <c r="Z655" s="4">
        <f ca="1">('TUSD BE'!$AM$19+'TUSD BF'!$AM$19+'TUSD CVA'!$AM$19)*1</f>
        <v>300.82918197526317</v>
      </c>
      <c r="AA655" s="4">
        <f>('TE BE'!$AB$10+'TE BF'!$AB$10+'TE CVA'!$AB$10)*1</f>
        <v>317.3874512882154</v>
      </c>
      <c r="AB655" s="4">
        <f>$K$655*$V$655</f>
        <v>0</v>
      </c>
      <c r="AC655" s="4">
        <f>$M$655*$W$655</f>
        <v>8967.8195999999989</v>
      </c>
      <c r="AD655" s="4">
        <f>$O$655*$X$655</f>
        <v>9670.5432000000001</v>
      </c>
      <c r="AE655" s="4">
        <f>$K$655*$Y$655</f>
        <v>0</v>
      </c>
      <c r="AF655" s="4">
        <f ca="1">$M$655*$Z$655</f>
        <v>11457.981883073824</v>
      </c>
      <c r="AG655" s="4">
        <f>$O$655*$AA$655</f>
        <v>12088.653244665549</v>
      </c>
    </row>
    <row r="656" spans="1:33" ht="11.25" customHeight="1" x14ac:dyDescent="0.25">
      <c r="A656" s="3" t="s">
        <v>28</v>
      </c>
      <c r="B656" s="3" t="s">
        <v>22</v>
      </c>
      <c r="C656" s="3" t="s">
        <v>33</v>
      </c>
      <c r="D656" s="3" t="s">
        <v>24</v>
      </c>
      <c r="E656" s="3" t="s">
        <v>24</v>
      </c>
      <c r="F656" s="3" t="s">
        <v>25</v>
      </c>
      <c r="G656" s="3" t="s">
        <v>25</v>
      </c>
      <c r="H656" s="3" t="s">
        <v>35</v>
      </c>
      <c r="I656" s="6">
        <v>44713</v>
      </c>
      <c r="J656" s="4">
        <v>0</v>
      </c>
      <c r="K656" s="4">
        <v>0</v>
      </c>
      <c r="L656" s="4">
        <v>0.38300000000000001</v>
      </c>
      <c r="M656" s="4">
        <v>0.38300000000000001</v>
      </c>
      <c r="N656" s="4">
        <v>0.38300000000000001</v>
      </c>
      <c r="O656" s="4">
        <v>0.38300000000000001</v>
      </c>
      <c r="P656" s="4">
        <v>0</v>
      </c>
      <c r="Q656" s="3" t="s">
        <v>26</v>
      </c>
      <c r="R656" s="3">
        <v>0</v>
      </c>
      <c r="S656" s="4">
        <v>0</v>
      </c>
      <c r="T656" s="4">
        <v>35</v>
      </c>
      <c r="U656" s="4">
        <v>43</v>
      </c>
      <c r="V656" s="4">
        <f>IF(ISERROR(VLOOKUP($S$656,'TAR FIN'!$A$1:$O$92,15,0)),0,VLOOKUP($S$656,'TAR FIN'!$A$1:$O$92,15,0))</f>
        <v>0</v>
      </c>
      <c r="W656" s="4">
        <f>IF(ISERROR(VLOOKUP($T$656,'TAR FIN'!$A$1:$O$92,15,0)),0,VLOOKUP($T$656,'TAR FIN'!$A$1:$O$92,15,0))</f>
        <v>235.45</v>
      </c>
      <c r="X656" s="4">
        <f>IF(ISERROR(VLOOKUP($U$656,'TAR FIN'!$A$1:$O$92,15,0)),0,VLOOKUP($U$656,'TAR FIN'!$A$1:$O$92,15,0))</f>
        <v>253.9</v>
      </c>
      <c r="Y656" s="4"/>
      <c r="Z656" s="4">
        <f ca="1">('TUSD BE'!$AM$19+'TUSD BF'!$AM$19+'TUSD CVA'!$AM$19)*1</f>
        <v>300.82918197526317</v>
      </c>
      <c r="AA656" s="4">
        <f>('TE BE'!$AB$10+'TE BF'!$AB$10+'TE CVA'!$AB$10)*1</f>
        <v>317.3874512882154</v>
      </c>
      <c r="AB656" s="4">
        <f>$K$656*$V$656</f>
        <v>0</v>
      </c>
      <c r="AC656" s="4">
        <f>$M$656*$W$656</f>
        <v>90.177350000000004</v>
      </c>
      <c r="AD656" s="4">
        <f>$O$656*$X$656</f>
        <v>97.243700000000004</v>
      </c>
      <c r="AE656" s="4">
        <f>$K$656*$Y$656</f>
        <v>0</v>
      </c>
      <c r="AF656" s="4">
        <f ca="1">$M$656*$Z$656</f>
        <v>115.2175766965258</v>
      </c>
      <c r="AG656" s="4">
        <f>$O$656*$AA$656</f>
        <v>121.5593938433865</v>
      </c>
    </row>
    <row r="657" spans="1:33" ht="11.25" customHeight="1" x14ac:dyDescent="0.25">
      <c r="A657" s="3" t="s">
        <v>21</v>
      </c>
      <c r="B657" s="3" t="s">
        <v>22</v>
      </c>
      <c r="C657" s="3" t="s">
        <v>33</v>
      </c>
      <c r="D657" s="3" t="s">
        <v>24</v>
      </c>
      <c r="E657" s="3" t="s">
        <v>24</v>
      </c>
      <c r="F657" s="3" t="s">
        <v>25</v>
      </c>
      <c r="G657" s="3" t="s">
        <v>25</v>
      </c>
      <c r="H657" s="3" t="s">
        <v>35</v>
      </c>
      <c r="I657" s="6">
        <v>44743</v>
      </c>
      <c r="J657" s="4">
        <v>0</v>
      </c>
      <c r="K657" s="4">
        <v>0</v>
      </c>
      <c r="L657" s="4">
        <v>38.624000000000002</v>
      </c>
      <c r="M657" s="4">
        <v>38.624000000000002</v>
      </c>
      <c r="N657" s="4">
        <v>38.624000000000002</v>
      </c>
      <c r="O657" s="4">
        <v>38.624000000000002</v>
      </c>
      <c r="P657" s="4">
        <v>0</v>
      </c>
      <c r="Q657" s="3" t="s">
        <v>26</v>
      </c>
      <c r="R657" s="3">
        <v>0</v>
      </c>
      <c r="S657" s="4">
        <v>0</v>
      </c>
      <c r="T657" s="4">
        <v>35</v>
      </c>
      <c r="U657" s="4">
        <v>43</v>
      </c>
      <c r="V657" s="4">
        <f>IF(ISERROR(VLOOKUP($S$657,'TAR FIN'!$A$1:$O$92,15,0)),0,VLOOKUP($S$657,'TAR FIN'!$A$1:$O$92,15,0))</f>
        <v>0</v>
      </c>
      <c r="W657" s="4">
        <f>IF(ISERROR(VLOOKUP($T$657,'TAR FIN'!$A$1:$O$92,15,0)),0,VLOOKUP($T$657,'TAR FIN'!$A$1:$O$92,15,0))</f>
        <v>235.45</v>
      </c>
      <c r="X657" s="4">
        <f>IF(ISERROR(VLOOKUP($U$657,'TAR FIN'!$A$1:$O$92,15,0)),0,VLOOKUP($U$657,'TAR FIN'!$A$1:$O$92,15,0))</f>
        <v>253.9</v>
      </c>
      <c r="Y657" s="4"/>
      <c r="Z657" s="4">
        <f ca="1">('TUSD BE'!$AM$19+'TUSD BF'!$AM$19+'TUSD CVA'!$AM$19)*1</f>
        <v>300.82918197526317</v>
      </c>
      <c r="AA657" s="4">
        <f>('TE BE'!$AB$10+'TE BF'!$AB$10+'TE CVA'!$AB$10)*1</f>
        <v>317.3874512882154</v>
      </c>
      <c r="AB657" s="4">
        <f>$K$657*$V$657</f>
        <v>0</v>
      </c>
      <c r="AC657" s="4">
        <f>$M$657*$W$657</f>
        <v>9094.0208000000002</v>
      </c>
      <c r="AD657" s="4">
        <f>$O$657*$X$657</f>
        <v>9806.633600000001</v>
      </c>
      <c r="AE657" s="4">
        <f>$K$657*$Y$657</f>
        <v>0</v>
      </c>
      <c r="AF657" s="4">
        <f ca="1">$M$657*$Z$657</f>
        <v>11619.226324612566</v>
      </c>
      <c r="AG657" s="4">
        <f>$O$657*$AA$657</f>
        <v>12258.772918556033</v>
      </c>
    </row>
    <row r="658" spans="1:33" ht="11.25" customHeight="1" x14ac:dyDescent="0.25">
      <c r="A658" s="3" t="s">
        <v>28</v>
      </c>
      <c r="B658" s="3" t="s">
        <v>22</v>
      </c>
      <c r="C658" s="3" t="s">
        <v>33</v>
      </c>
      <c r="D658" s="3" t="s">
        <v>24</v>
      </c>
      <c r="E658" s="3" t="s">
        <v>24</v>
      </c>
      <c r="F658" s="3" t="s">
        <v>25</v>
      </c>
      <c r="G658" s="3" t="s">
        <v>25</v>
      </c>
      <c r="H658" s="3" t="s">
        <v>35</v>
      </c>
      <c r="I658" s="6">
        <v>44743</v>
      </c>
      <c r="J658" s="4">
        <v>0</v>
      </c>
      <c r="K658" s="4">
        <v>0</v>
      </c>
      <c r="L658" s="4">
        <v>0.439</v>
      </c>
      <c r="M658" s="4">
        <v>0.439</v>
      </c>
      <c r="N658" s="4">
        <v>0.439</v>
      </c>
      <c r="O658" s="4">
        <v>0.439</v>
      </c>
      <c r="P658" s="4">
        <v>0</v>
      </c>
      <c r="Q658" s="3" t="s">
        <v>26</v>
      </c>
      <c r="R658" s="3">
        <v>0</v>
      </c>
      <c r="S658" s="4">
        <v>0</v>
      </c>
      <c r="T658" s="4">
        <v>35</v>
      </c>
      <c r="U658" s="4">
        <v>43</v>
      </c>
      <c r="V658" s="4">
        <f>IF(ISERROR(VLOOKUP($S$658,'TAR FIN'!$A$1:$O$92,15,0)),0,VLOOKUP($S$658,'TAR FIN'!$A$1:$O$92,15,0))</f>
        <v>0</v>
      </c>
      <c r="W658" s="4">
        <f>IF(ISERROR(VLOOKUP($T$658,'TAR FIN'!$A$1:$O$92,15,0)),0,VLOOKUP($T$658,'TAR FIN'!$A$1:$O$92,15,0))</f>
        <v>235.45</v>
      </c>
      <c r="X658" s="4">
        <f>IF(ISERROR(VLOOKUP($U$658,'TAR FIN'!$A$1:$O$92,15,0)),0,VLOOKUP($U$658,'TAR FIN'!$A$1:$O$92,15,0))</f>
        <v>253.9</v>
      </c>
      <c r="Y658" s="4"/>
      <c r="Z658" s="4">
        <f ca="1">('TUSD BE'!$AM$19+'TUSD BF'!$AM$19+'TUSD CVA'!$AM$19)*1</f>
        <v>300.82918197526317</v>
      </c>
      <c r="AA658" s="4">
        <f>('TE BE'!$AB$10+'TE BF'!$AB$10+'TE CVA'!$AB$10)*1</f>
        <v>317.3874512882154</v>
      </c>
      <c r="AB658" s="4">
        <f>$K$658*$V$658</f>
        <v>0</v>
      </c>
      <c r="AC658" s="4">
        <f>$M$658*$W$658</f>
        <v>103.36255</v>
      </c>
      <c r="AD658" s="4">
        <f>$O$658*$X$658</f>
        <v>111.46210000000001</v>
      </c>
      <c r="AE658" s="4">
        <f>$K$658*$Y$658</f>
        <v>0</v>
      </c>
      <c r="AF658" s="4">
        <f ca="1">$M$658*$Z$658</f>
        <v>132.06401088714054</v>
      </c>
      <c r="AG658" s="4">
        <f>$O$658*$AA$658</f>
        <v>139.33309111552657</v>
      </c>
    </row>
    <row r="659" spans="1:33" ht="11.25" customHeight="1" x14ac:dyDescent="0.25">
      <c r="A659" s="3" t="s">
        <v>21</v>
      </c>
      <c r="B659" s="3" t="s">
        <v>22</v>
      </c>
      <c r="C659" s="3" t="s">
        <v>33</v>
      </c>
      <c r="D659" s="3" t="s">
        <v>24</v>
      </c>
      <c r="E659" s="3" t="s">
        <v>24</v>
      </c>
      <c r="F659" s="3" t="s">
        <v>25</v>
      </c>
      <c r="G659" s="3" t="s">
        <v>25</v>
      </c>
      <c r="H659" s="3" t="s">
        <v>35</v>
      </c>
      <c r="I659" s="6">
        <v>44774</v>
      </c>
      <c r="J659" s="4">
        <v>0</v>
      </c>
      <c r="K659" s="4">
        <v>0</v>
      </c>
      <c r="L659" s="4">
        <v>47.058999999999997</v>
      </c>
      <c r="M659" s="4">
        <v>47.058999999999997</v>
      </c>
      <c r="N659" s="4">
        <v>47.058999999999997</v>
      </c>
      <c r="O659" s="4">
        <v>47.058999999999997</v>
      </c>
      <c r="P659" s="4">
        <v>0</v>
      </c>
      <c r="Q659" s="3" t="s">
        <v>26</v>
      </c>
      <c r="R659" s="3">
        <v>0</v>
      </c>
      <c r="S659" s="4">
        <v>0</v>
      </c>
      <c r="T659" s="4">
        <v>35</v>
      </c>
      <c r="U659" s="4">
        <v>43</v>
      </c>
      <c r="V659" s="4">
        <f>IF(ISERROR(VLOOKUP($S$659,'TAR FIN'!$A$1:$O$92,15,0)),0,VLOOKUP($S$659,'TAR FIN'!$A$1:$O$92,15,0))</f>
        <v>0</v>
      </c>
      <c r="W659" s="4">
        <f>IF(ISERROR(VLOOKUP($T$659,'TAR FIN'!$A$1:$O$92,15,0)),0,VLOOKUP($T$659,'TAR FIN'!$A$1:$O$92,15,0))</f>
        <v>235.45</v>
      </c>
      <c r="X659" s="4">
        <f>IF(ISERROR(VLOOKUP($U$659,'TAR FIN'!$A$1:$O$92,15,0)),0,VLOOKUP($U$659,'TAR FIN'!$A$1:$O$92,15,0))</f>
        <v>253.9</v>
      </c>
      <c r="Y659" s="4"/>
      <c r="Z659" s="4">
        <f ca="1">('TUSD BE'!$AM$19+'TUSD BF'!$AM$19+'TUSD CVA'!$AM$19)*1</f>
        <v>300.82918197526317</v>
      </c>
      <c r="AA659" s="4">
        <f>('TE BE'!$AB$10+'TE BF'!$AB$10+'TE CVA'!$AB$10)*1</f>
        <v>317.3874512882154</v>
      </c>
      <c r="AB659" s="4">
        <f>$K$659*$V$659</f>
        <v>0</v>
      </c>
      <c r="AC659" s="4">
        <f>$M$659*$W$659</f>
        <v>11080.041549999998</v>
      </c>
      <c r="AD659" s="4">
        <f>$O$659*$X$659</f>
        <v>11948.2801</v>
      </c>
      <c r="AE659" s="4">
        <f>$K$659*$Y$659</f>
        <v>0</v>
      </c>
      <c r="AF659" s="4">
        <f ca="1">$M$659*$Z$659</f>
        <v>14156.720474573909</v>
      </c>
      <c r="AG659" s="4">
        <f>$O$659*$AA$659</f>
        <v>14935.936070172127</v>
      </c>
    </row>
    <row r="660" spans="1:33" ht="11.25" customHeight="1" x14ac:dyDescent="0.25">
      <c r="A660" s="3" t="s">
        <v>28</v>
      </c>
      <c r="B660" s="3" t="s">
        <v>22</v>
      </c>
      <c r="C660" s="3" t="s">
        <v>33</v>
      </c>
      <c r="D660" s="3" t="s">
        <v>24</v>
      </c>
      <c r="E660" s="3" t="s">
        <v>24</v>
      </c>
      <c r="F660" s="3" t="s">
        <v>25</v>
      </c>
      <c r="G660" s="3" t="s">
        <v>25</v>
      </c>
      <c r="H660" s="3" t="s">
        <v>35</v>
      </c>
      <c r="I660" s="6">
        <v>44774</v>
      </c>
      <c r="J660" s="4">
        <v>0</v>
      </c>
      <c r="K660" s="4">
        <v>0</v>
      </c>
      <c r="L660" s="4">
        <v>0.53200000000000003</v>
      </c>
      <c r="M660" s="4">
        <v>0.53200000000000003</v>
      </c>
      <c r="N660" s="4">
        <v>0.53200000000000003</v>
      </c>
      <c r="O660" s="4">
        <v>0.53200000000000003</v>
      </c>
      <c r="P660" s="4">
        <v>0</v>
      </c>
      <c r="Q660" s="3" t="s">
        <v>26</v>
      </c>
      <c r="R660" s="3">
        <v>0</v>
      </c>
      <c r="S660" s="4">
        <v>0</v>
      </c>
      <c r="T660" s="4">
        <v>35</v>
      </c>
      <c r="U660" s="4">
        <v>43</v>
      </c>
      <c r="V660" s="4">
        <f>IF(ISERROR(VLOOKUP($S$660,'TAR FIN'!$A$1:$O$92,15,0)),0,VLOOKUP($S$660,'TAR FIN'!$A$1:$O$92,15,0))</f>
        <v>0</v>
      </c>
      <c r="W660" s="4">
        <f>IF(ISERROR(VLOOKUP($T$660,'TAR FIN'!$A$1:$O$92,15,0)),0,VLOOKUP($T$660,'TAR FIN'!$A$1:$O$92,15,0))</f>
        <v>235.45</v>
      </c>
      <c r="X660" s="4">
        <f>IF(ISERROR(VLOOKUP($U$660,'TAR FIN'!$A$1:$O$92,15,0)),0,VLOOKUP($U$660,'TAR FIN'!$A$1:$O$92,15,0))</f>
        <v>253.9</v>
      </c>
      <c r="Y660" s="4"/>
      <c r="Z660" s="4">
        <f ca="1">('TUSD BE'!$AM$19+'TUSD BF'!$AM$19+'TUSD CVA'!$AM$19)*1</f>
        <v>300.82918197526317</v>
      </c>
      <c r="AA660" s="4">
        <f>('TE BE'!$AB$10+'TE BF'!$AB$10+'TE CVA'!$AB$10)*1</f>
        <v>317.3874512882154</v>
      </c>
      <c r="AB660" s="4">
        <f>$K$660*$V$660</f>
        <v>0</v>
      </c>
      <c r="AC660" s="4">
        <f>$M$660*$W$660</f>
        <v>125.2594</v>
      </c>
      <c r="AD660" s="4">
        <f>$O$660*$X$660</f>
        <v>135.07480000000001</v>
      </c>
      <c r="AE660" s="4">
        <f>$K$660*$Y$660</f>
        <v>0</v>
      </c>
      <c r="AF660" s="4">
        <f ca="1">$M$660*$Z$660</f>
        <v>160.04112481084002</v>
      </c>
      <c r="AG660" s="4">
        <f>$O$660*$AA$660</f>
        <v>168.85012408533061</v>
      </c>
    </row>
    <row r="661" spans="1:33" ht="11.25" customHeight="1" x14ac:dyDescent="0.25">
      <c r="A661" s="3" t="s">
        <v>21</v>
      </c>
      <c r="B661" s="3" t="s">
        <v>22</v>
      </c>
      <c r="C661" s="3" t="s">
        <v>33</v>
      </c>
      <c r="D661" s="3" t="s">
        <v>24</v>
      </c>
      <c r="E661" s="3" t="s">
        <v>24</v>
      </c>
      <c r="F661" s="3" t="s">
        <v>25</v>
      </c>
      <c r="G661" s="3" t="s">
        <v>25</v>
      </c>
      <c r="H661" s="3" t="s">
        <v>35</v>
      </c>
      <c r="I661" s="6">
        <v>44805</v>
      </c>
      <c r="J661" s="4">
        <v>0</v>
      </c>
      <c r="K661" s="4">
        <v>0</v>
      </c>
      <c r="L661" s="4">
        <v>45.725000000000001</v>
      </c>
      <c r="M661" s="4">
        <v>45.725000000000001</v>
      </c>
      <c r="N661" s="4">
        <v>45.725000000000001</v>
      </c>
      <c r="O661" s="4">
        <v>45.725000000000001</v>
      </c>
      <c r="P661" s="4">
        <v>0</v>
      </c>
      <c r="Q661" s="3" t="s">
        <v>26</v>
      </c>
      <c r="R661" s="3">
        <v>0</v>
      </c>
      <c r="S661" s="4">
        <v>0</v>
      </c>
      <c r="T661" s="4">
        <v>35</v>
      </c>
      <c r="U661" s="4">
        <v>43</v>
      </c>
      <c r="V661" s="4">
        <f>IF(ISERROR(VLOOKUP($S$661,'TAR FIN'!$A$1:$O$92,15,0)),0,VLOOKUP($S$661,'TAR FIN'!$A$1:$O$92,15,0))</f>
        <v>0</v>
      </c>
      <c r="W661" s="4">
        <f>IF(ISERROR(VLOOKUP($T$661,'TAR FIN'!$A$1:$O$92,15,0)),0,VLOOKUP($T$661,'TAR FIN'!$A$1:$O$92,15,0))</f>
        <v>235.45</v>
      </c>
      <c r="X661" s="4">
        <f>IF(ISERROR(VLOOKUP($U$661,'TAR FIN'!$A$1:$O$92,15,0)),0,VLOOKUP($U$661,'TAR FIN'!$A$1:$O$92,15,0))</f>
        <v>253.9</v>
      </c>
      <c r="Y661" s="4"/>
      <c r="Z661" s="4">
        <f ca="1">('TUSD BE'!$AM$19+'TUSD BF'!$AM$19+'TUSD CVA'!$AM$19)*1</f>
        <v>300.82918197526317</v>
      </c>
      <c r="AA661" s="4">
        <f>('TE BE'!$AB$10+'TE BF'!$AB$10+'TE CVA'!$AB$10)*1</f>
        <v>317.3874512882154</v>
      </c>
      <c r="AB661" s="4">
        <f>$K$661*$V$661</f>
        <v>0</v>
      </c>
      <c r="AC661" s="4">
        <f>$M$661*$W$661</f>
        <v>10765.95125</v>
      </c>
      <c r="AD661" s="4">
        <f>$O$661*$X$661</f>
        <v>11609.577500000001</v>
      </c>
      <c r="AE661" s="4">
        <f>$K$661*$Y$661</f>
        <v>0</v>
      </c>
      <c r="AF661" s="4">
        <f ca="1">$M$661*$Z$661</f>
        <v>13755.414345818908</v>
      </c>
      <c r="AG661" s="4">
        <f>$O$661*$AA$661</f>
        <v>14512.541210153649</v>
      </c>
    </row>
    <row r="662" spans="1:33" ht="11.25" customHeight="1" x14ac:dyDescent="0.25">
      <c r="A662" s="3" t="s">
        <v>28</v>
      </c>
      <c r="B662" s="3" t="s">
        <v>22</v>
      </c>
      <c r="C662" s="3" t="s">
        <v>33</v>
      </c>
      <c r="D662" s="3" t="s">
        <v>24</v>
      </c>
      <c r="E662" s="3" t="s">
        <v>24</v>
      </c>
      <c r="F662" s="3" t="s">
        <v>25</v>
      </c>
      <c r="G662" s="3" t="s">
        <v>25</v>
      </c>
      <c r="H662" s="3" t="s">
        <v>35</v>
      </c>
      <c r="I662" s="6">
        <v>44805</v>
      </c>
      <c r="J662" s="4">
        <v>0</v>
      </c>
      <c r="K662" s="4">
        <v>0</v>
      </c>
      <c r="L662" s="4">
        <v>0.55400000000000005</v>
      </c>
      <c r="M662" s="4">
        <v>0.55400000000000005</v>
      </c>
      <c r="N662" s="4">
        <v>0.55400000000000005</v>
      </c>
      <c r="O662" s="4">
        <v>0.55400000000000005</v>
      </c>
      <c r="P662" s="4">
        <v>0</v>
      </c>
      <c r="Q662" s="3" t="s">
        <v>26</v>
      </c>
      <c r="R662" s="3">
        <v>0</v>
      </c>
      <c r="S662" s="4">
        <v>0</v>
      </c>
      <c r="T662" s="4">
        <v>35</v>
      </c>
      <c r="U662" s="4">
        <v>43</v>
      </c>
      <c r="V662" s="4">
        <f>IF(ISERROR(VLOOKUP($S$662,'TAR FIN'!$A$1:$O$92,15,0)),0,VLOOKUP($S$662,'TAR FIN'!$A$1:$O$92,15,0))</f>
        <v>0</v>
      </c>
      <c r="W662" s="4">
        <f>IF(ISERROR(VLOOKUP($T$662,'TAR FIN'!$A$1:$O$92,15,0)),0,VLOOKUP($T$662,'TAR FIN'!$A$1:$O$92,15,0))</f>
        <v>235.45</v>
      </c>
      <c r="X662" s="4">
        <f>IF(ISERROR(VLOOKUP($U$662,'TAR FIN'!$A$1:$O$92,15,0)),0,VLOOKUP($U$662,'TAR FIN'!$A$1:$O$92,15,0))</f>
        <v>253.9</v>
      </c>
      <c r="Y662" s="4"/>
      <c r="Z662" s="4">
        <f ca="1">('TUSD BE'!$AM$19+'TUSD BF'!$AM$19+'TUSD CVA'!$AM$19)*1</f>
        <v>300.82918197526317</v>
      </c>
      <c r="AA662" s="4">
        <f>('TE BE'!$AB$10+'TE BF'!$AB$10+'TE CVA'!$AB$10)*1</f>
        <v>317.3874512882154</v>
      </c>
      <c r="AB662" s="4">
        <f>$K$662*$V$662</f>
        <v>0</v>
      </c>
      <c r="AC662" s="4">
        <f>$M$662*$W$662</f>
        <v>130.4393</v>
      </c>
      <c r="AD662" s="4">
        <f>$O$662*$X$662</f>
        <v>140.66060000000002</v>
      </c>
      <c r="AE662" s="4">
        <f>$K$662*$Y$662</f>
        <v>0</v>
      </c>
      <c r="AF662" s="4">
        <f ca="1">$M$662*$Z$662</f>
        <v>166.65936681429582</v>
      </c>
      <c r="AG662" s="4">
        <f>$O$662*$AA$662</f>
        <v>175.83264801367136</v>
      </c>
    </row>
    <row r="663" spans="1:33" ht="11.25" customHeight="1" x14ac:dyDescent="0.25">
      <c r="A663" s="3" t="s">
        <v>55</v>
      </c>
      <c r="B663" s="3" t="s">
        <v>22</v>
      </c>
      <c r="C663" s="3" t="s">
        <v>33</v>
      </c>
      <c r="D663" s="3" t="s">
        <v>24</v>
      </c>
      <c r="E663" s="3" t="s">
        <v>24</v>
      </c>
      <c r="F663" s="3" t="s">
        <v>25</v>
      </c>
      <c r="G663" s="3" t="s">
        <v>25</v>
      </c>
      <c r="H663" s="3" t="s">
        <v>35</v>
      </c>
      <c r="I663" s="6">
        <v>44835</v>
      </c>
      <c r="J663" s="4">
        <v>0</v>
      </c>
      <c r="K663" s="4">
        <v>0</v>
      </c>
      <c r="L663" s="4">
        <v>45.725000000000001</v>
      </c>
      <c r="M663" s="4">
        <v>45.725000000000001</v>
      </c>
      <c r="N663" s="4">
        <v>45.725000000000001</v>
      </c>
      <c r="O663" s="4">
        <v>45.725000000000001</v>
      </c>
      <c r="P663" s="4">
        <v>0</v>
      </c>
      <c r="Q663" s="3" t="s">
        <v>26</v>
      </c>
      <c r="R663" s="3">
        <v>0</v>
      </c>
      <c r="S663" s="4">
        <v>0</v>
      </c>
      <c r="T663" s="4">
        <v>35</v>
      </c>
      <c r="U663" s="4">
        <v>43</v>
      </c>
      <c r="V663" s="4">
        <f>IF(ISERROR(VLOOKUP($S$663,'TAR FIN'!$A$1:$O$92,15,0)),0,VLOOKUP($S$663,'TAR FIN'!$A$1:$O$92,15,0))</f>
        <v>0</v>
      </c>
      <c r="W663" s="4">
        <f>IF(ISERROR(VLOOKUP($T$663,'TAR FIN'!$A$1:$O$92,15,0)),0,VLOOKUP($T$663,'TAR FIN'!$A$1:$O$92,15,0))</f>
        <v>235.45</v>
      </c>
      <c r="X663" s="4">
        <f>IF(ISERROR(VLOOKUP($U$663,'TAR FIN'!$A$1:$O$92,15,0)),0,VLOOKUP($U$663,'TAR FIN'!$A$1:$O$92,15,0))</f>
        <v>253.9</v>
      </c>
      <c r="Y663" s="4"/>
      <c r="Z663" s="4">
        <f ca="1">('TUSD BE'!$AM$19+'TUSD BF'!$AM$19+'TUSD CVA'!$AM$19)*1</f>
        <v>300.82918197526317</v>
      </c>
      <c r="AA663" s="4">
        <f>('TE BE'!$AB$10+'TE BF'!$AB$10+'TE CVA'!$AB$10)*1</f>
        <v>317.3874512882154</v>
      </c>
      <c r="AB663" s="4">
        <f>$K$663*$V$663</f>
        <v>0</v>
      </c>
      <c r="AC663" s="4">
        <f>$M$663*$W$663</f>
        <v>10765.95125</v>
      </c>
      <c r="AD663" s="4">
        <f>$O$663*$X$663</f>
        <v>11609.577500000001</v>
      </c>
      <c r="AE663" s="4">
        <f>$K$663*$Y$663</f>
        <v>0</v>
      </c>
      <c r="AF663" s="4">
        <f ca="1">$M$663*$Z$663</f>
        <v>13755.414345818908</v>
      </c>
      <c r="AG663" s="4">
        <f>$O$663*$AA$663</f>
        <v>14512.541210153649</v>
      </c>
    </row>
    <row r="664" spans="1:33" ht="11.25" customHeight="1" x14ac:dyDescent="0.25">
      <c r="A664" s="3" t="s">
        <v>55</v>
      </c>
      <c r="B664" s="3" t="s">
        <v>22</v>
      </c>
      <c r="C664" s="3" t="s">
        <v>33</v>
      </c>
      <c r="D664" s="3" t="s">
        <v>24</v>
      </c>
      <c r="E664" s="3" t="s">
        <v>24</v>
      </c>
      <c r="F664" s="3" t="s">
        <v>25</v>
      </c>
      <c r="G664" s="3" t="s">
        <v>25</v>
      </c>
      <c r="H664" s="3" t="s">
        <v>35</v>
      </c>
      <c r="I664" s="6">
        <v>44835</v>
      </c>
      <c r="J664" s="4">
        <v>0</v>
      </c>
      <c r="K664" s="4">
        <v>0</v>
      </c>
      <c r="L664" s="4">
        <v>0.55400000000000005</v>
      </c>
      <c r="M664" s="4">
        <v>0.55400000000000005</v>
      </c>
      <c r="N664" s="4">
        <v>0.55400000000000005</v>
      </c>
      <c r="O664" s="4">
        <v>0.55400000000000005</v>
      </c>
      <c r="P664" s="4">
        <v>0</v>
      </c>
      <c r="Q664" s="3" t="s">
        <v>26</v>
      </c>
      <c r="R664" s="3">
        <v>0</v>
      </c>
      <c r="S664" s="4">
        <v>0</v>
      </c>
      <c r="T664" s="4">
        <v>35</v>
      </c>
      <c r="U664" s="4">
        <v>43</v>
      </c>
      <c r="V664" s="4">
        <f>IF(ISERROR(VLOOKUP($S$664,'TAR FIN'!$A$1:$O$92,15,0)),0,VLOOKUP($S$664,'TAR FIN'!$A$1:$O$92,15,0))</f>
        <v>0</v>
      </c>
      <c r="W664" s="4">
        <f>IF(ISERROR(VLOOKUP($T$664,'TAR FIN'!$A$1:$O$92,15,0)),0,VLOOKUP($T$664,'TAR FIN'!$A$1:$O$92,15,0))</f>
        <v>235.45</v>
      </c>
      <c r="X664" s="4">
        <f>IF(ISERROR(VLOOKUP($U$664,'TAR FIN'!$A$1:$O$92,15,0)),0,VLOOKUP($U$664,'TAR FIN'!$A$1:$O$92,15,0))</f>
        <v>253.9</v>
      </c>
      <c r="Y664" s="4"/>
      <c r="Z664" s="4">
        <f ca="1">('TUSD BE'!$AM$19+'TUSD BF'!$AM$19+'TUSD CVA'!$AM$19)*1</f>
        <v>300.82918197526317</v>
      </c>
      <c r="AA664" s="4">
        <f>('TE BE'!$AB$10+'TE BF'!$AB$10+'TE CVA'!$AB$10)*1</f>
        <v>317.3874512882154</v>
      </c>
      <c r="AB664" s="4">
        <f>$K$664*$V$664</f>
        <v>0</v>
      </c>
      <c r="AC664" s="4">
        <f>$M$664*$W$664</f>
        <v>130.4393</v>
      </c>
      <c r="AD664" s="4">
        <f>$O$664*$X$664</f>
        <v>140.66060000000002</v>
      </c>
      <c r="AE664" s="4">
        <f>$K$664*$Y$664</f>
        <v>0</v>
      </c>
      <c r="AF664" s="4">
        <f ca="1">$M$664*$Z$664</f>
        <v>166.65936681429582</v>
      </c>
      <c r="AG664" s="4">
        <f>$O$664*$AA$664</f>
        <v>175.83264801367136</v>
      </c>
    </row>
    <row r="665" spans="1:33" ht="11.25" customHeight="1" x14ac:dyDescent="0.25">
      <c r="A665" s="3" t="s">
        <v>21</v>
      </c>
      <c r="B665" s="3" t="s">
        <v>22</v>
      </c>
      <c r="C665" s="3" t="s">
        <v>33</v>
      </c>
      <c r="D665" s="3" t="s">
        <v>24</v>
      </c>
      <c r="E665" s="3" t="s">
        <v>24</v>
      </c>
      <c r="F665" s="3" t="s">
        <v>25</v>
      </c>
      <c r="G665" s="3" t="s">
        <v>25</v>
      </c>
      <c r="H665" s="3" t="s">
        <v>36</v>
      </c>
      <c r="I665" s="6">
        <v>44501</v>
      </c>
      <c r="J665" s="4">
        <v>0</v>
      </c>
      <c r="K665" s="4">
        <v>0</v>
      </c>
      <c r="L665" s="4">
        <v>4.1340000000000003</v>
      </c>
      <c r="M665" s="4">
        <v>4.1340000000000003</v>
      </c>
      <c r="N665" s="4">
        <v>4.1340000000000003</v>
      </c>
      <c r="O665" s="4">
        <v>4.1340000000000003</v>
      </c>
      <c r="P665" s="4">
        <v>0</v>
      </c>
      <c r="Q665" s="3" t="s">
        <v>26</v>
      </c>
      <c r="R665" s="3">
        <v>0</v>
      </c>
      <c r="S665" s="4">
        <v>0</v>
      </c>
      <c r="T665" s="4">
        <v>28</v>
      </c>
      <c r="U665" s="4">
        <v>36</v>
      </c>
      <c r="V665" s="4">
        <f>IF(ISERROR(VLOOKUP($S$665,'TAR FIN'!$A$1:$O$92,15,0)),0,VLOOKUP($S$665,'TAR FIN'!$A$1:$O$92,15,0))</f>
        <v>0</v>
      </c>
      <c r="W665" s="4">
        <f>IF(ISERROR(VLOOKUP($T$665,'TAR FIN'!$A$1:$O$92,15,0)),0,VLOOKUP($T$665,'TAR FIN'!$A$1:$O$92,15,0))</f>
        <v>472.7</v>
      </c>
      <c r="X665" s="4">
        <f>IF(ISERROR(VLOOKUP($U$665,'TAR FIN'!$A$1:$O$92,15,0)),0,VLOOKUP($U$665,'TAR FIN'!$A$1:$O$92,15,0))</f>
        <v>253.9</v>
      </c>
      <c r="Y665" s="4"/>
      <c r="Z665" s="4">
        <f ca="1">('TUSD BE'!$AM$18+'TUSD BF'!$AM$18+'TUSD CVA'!$AM$18)*1</f>
        <v>607.79168450012742</v>
      </c>
      <c r="AA665" s="4">
        <f>('TE BE'!$AB$9+'TE BF'!$AB$9+'TE CVA'!$AB$9)*1</f>
        <v>317.3874512882154</v>
      </c>
      <c r="AB665" s="4">
        <f>$K$665*$V$665</f>
        <v>0</v>
      </c>
      <c r="AC665" s="4">
        <f>$M$665*$W$665</f>
        <v>1954.1418000000001</v>
      </c>
      <c r="AD665" s="4">
        <f>$O$665*$X$665</f>
        <v>1049.6226000000001</v>
      </c>
      <c r="AE665" s="4">
        <f>$K$665*$Y$665</f>
        <v>0</v>
      </c>
      <c r="AF665" s="4">
        <f ca="1">$M$665*$Z$665</f>
        <v>2512.6108237235271</v>
      </c>
      <c r="AG665" s="4">
        <f>$O$665*$AA$665</f>
        <v>1312.0797236254825</v>
      </c>
    </row>
    <row r="666" spans="1:33" ht="11.25" customHeight="1" x14ac:dyDescent="0.25">
      <c r="A666" s="3" t="s">
        <v>21</v>
      </c>
      <c r="B666" s="3" t="s">
        <v>22</v>
      </c>
      <c r="C666" s="3" t="s">
        <v>33</v>
      </c>
      <c r="D666" s="3" t="s">
        <v>24</v>
      </c>
      <c r="E666" s="3" t="s">
        <v>24</v>
      </c>
      <c r="F666" s="3" t="s">
        <v>25</v>
      </c>
      <c r="G666" s="3" t="s">
        <v>25</v>
      </c>
      <c r="H666" s="3" t="s">
        <v>36</v>
      </c>
      <c r="I666" s="6">
        <v>44531</v>
      </c>
      <c r="J666" s="4">
        <v>0</v>
      </c>
      <c r="K666" s="4">
        <v>0</v>
      </c>
      <c r="L666" s="4">
        <v>4.0659999999999998</v>
      </c>
      <c r="M666" s="4">
        <v>4.0659999999999998</v>
      </c>
      <c r="N666" s="4">
        <v>4.0659999999999998</v>
      </c>
      <c r="O666" s="4">
        <v>4.0659999999999998</v>
      </c>
      <c r="P666" s="4">
        <v>0</v>
      </c>
      <c r="Q666" s="3" t="s">
        <v>26</v>
      </c>
      <c r="R666" s="3">
        <v>0</v>
      </c>
      <c r="S666" s="4">
        <v>0</v>
      </c>
      <c r="T666" s="4">
        <v>28</v>
      </c>
      <c r="U666" s="4">
        <v>36</v>
      </c>
      <c r="V666" s="4">
        <f>IF(ISERROR(VLOOKUP($S$666,'TAR FIN'!$A$1:$O$92,15,0)),0,VLOOKUP($S$666,'TAR FIN'!$A$1:$O$92,15,0))</f>
        <v>0</v>
      </c>
      <c r="W666" s="4">
        <f>IF(ISERROR(VLOOKUP($T$666,'TAR FIN'!$A$1:$O$92,15,0)),0,VLOOKUP($T$666,'TAR FIN'!$A$1:$O$92,15,0))</f>
        <v>472.7</v>
      </c>
      <c r="X666" s="4">
        <f>IF(ISERROR(VLOOKUP($U$666,'TAR FIN'!$A$1:$O$92,15,0)),0,VLOOKUP($U$666,'TAR FIN'!$A$1:$O$92,15,0))</f>
        <v>253.9</v>
      </c>
      <c r="Y666" s="4"/>
      <c r="Z666" s="4">
        <f ca="1">('TUSD BE'!$AM$18+'TUSD BF'!$AM$18+'TUSD CVA'!$AM$18)*1</f>
        <v>607.79168450012742</v>
      </c>
      <c r="AA666" s="4">
        <f>('TE BE'!$AB$9+'TE BF'!$AB$9+'TE CVA'!$AB$9)*1</f>
        <v>317.3874512882154</v>
      </c>
      <c r="AB666" s="4">
        <f>$K$666*$V$666</f>
        <v>0</v>
      </c>
      <c r="AC666" s="4">
        <f>$M$666*$W$666</f>
        <v>1921.9981999999998</v>
      </c>
      <c r="AD666" s="4">
        <f>$O$666*$X$666</f>
        <v>1032.3573999999999</v>
      </c>
      <c r="AE666" s="4">
        <f>$K$666*$Y$666</f>
        <v>0</v>
      </c>
      <c r="AF666" s="4">
        <f ca="1">$M$666*$Z$666</f>
        <v>2471.2809891775178</v>
      </c>
      <c r="AG666" s="4">
        <f>$O$666*$AA$666</f>
        <v>1290.4973769378837</v>
      </c>
    </row>
    <row r="667" spans="1:33" ht="11.25" customHeight="1" x14ac:dyDescent="0.25">
      <c r="A667" s="3" t="s">
        <v>21</v>
      </c>
      <c r="B667" s="3" t="s">
        <v>22</v>
      </c>
      <c r="C667" s="3" t="s">
        <v>33</v>
      </c>
      <c r="D667" s="3" t="s">
        <v>24</v>
      </c>
      <c r="E667" s="3" t="s">
        <v>24</v>
      </c>
      <c r="F667" s="3" t="s">
        <v>25</v>
      </c>
      <c r="G667" s="3" t="s">
        <v>25</v>
      </c>
      <c r="H667" s="3" t="s">
        <v>36</v>
      </c>
      <c r="I667" s="6">
        <v>44562</v>
      </c>
      <c r="J667" s="4">
        <v>0</v>
      </c>
      <c r="K667" s="4">
        <v>0</v>
      </c>
      <c r="L667" s="4">
        <v>3.4689999999999999</v>
      </c>
      <c r="M667" s="4">
        <v>3.4689999999999999</v>
      </c>
      <c r="N667" s="4">
        <v>3.4689999999999999</v>
      </c>
      <c r="O667" s="4">
        <v>3.4689999999999999</v>
      </c>
      <c r="P667" s="4">
        <v>0</v>
      </c>
      <c r="Q667" s="3" t="s">
        <v>26</v>
      </c>
      <c r="R667" s="3">
        <v>0</v>
      </c>
      <c r="S667" s="4">
        <v>0</v>
      </c>
      <c r="T667" s="4">
        <v>28</v>
      </c>
      <c r="U667" s="4">
        <v>36</v>
      </c>
      <c r="V667" s="4">
        <f>IF(ISERROR(VLOOKUP($S$667,'TAR FIN'!$A$1:$O$92,15,0)),0,VLOOKUP($S$667,'TAR FIN'!$A$1:$O$92,15,0))</f>
        <v>0</v>
      </c>
      <c r="W667" s="4">
        <f>IF(ISERROR(VLOOKUP($T$667,'TAR FIN'!$A$1:$O$92,15,0)),0,VLOOKUP($T$667,'TAR FIN'!$A$1:$O$92,15,0))</f>
        <v>472.7</v>
      </c>
      <c r="X667" s="4">
        <f>IF(ISERROR(VLOOKUP($U$667,'TAR FIN'!$A$1:$O$92,15,0)),0,VLOOKUP($U$667,'TAR FIN'!$A$1:$O$92,15,0))</f>
        <v>253.9</v>
      </c>
      <c r="Y667" s="4"/>
      <c r="Z667" s="4">
        <f ca="1">('TUSD BE'!$AM$18+'TUSD BF'!$AM$18+'TUSD CVA'!$AM$18)*1</f>
        <v>607.79168450012742</v>
      </c>
      <c r="AA667" s="4">
        <f>('TE BE'!$AB$9+'TE BF'!$AB$9+'TE CVA'!$AB$9)*1</f>
        <v>317.3874512882154</v>
      </c>
      <c r="AB667" s="4">
        <f>$K$667*$V$667</f>
        <v>0</v>
      </c>
      <c r="AC667" s="4">
        <f>$M$667*$W$667</f>
        <v>1639.7963</v>
      </c>
      <c r="AD667" s="4">
        <f>$O$667*$X$667</f>
        <v>880.77909999999997</v>
      </c>
      <c r="AE667" s="4">
        <f>$K$667*$Y$667</f>
        <v>0</v>
      </c>
      <c r="AF667" s="4">
        <f ca="1">$M$667*$Z$667</f>
        <v>2108.4293535309421</v>
      </c>
      <c r="AG667" s="4">
        <f>$O$667*$AA$667</f>
        <v>1101.0170685188191</v>
      </c>
    </row>
    <row r="668" spans="1:33" ht="11.25" customHeight="1" x14ac:dyDescent="0.25">
      <c r="A668" s="3" t="s">
        <v>21</v>
      </c>
      <c r="B668" s="3" t="s">
        <v>22</v>
      </c>
      <c r="C668" s="3" t="s">
        <v>33</v>
      </c>
      <c r="D668" s="3" t="s">
        <v>24</v>
      </c>
      <c r="E668" s="3" t="s">
        <v>24</v>
      </c>
      <c r="F668" s="3" t="s">
        <v>25</v>
      </c>
      <c r="G668" s="3" t="s">
        <v>25</v>
      </c>
      <c r="H668" s="3" t="s">
        <v>36</v>
      </c>
      <c r="I668" s="6">
        <v>44593</v>
      </c>
      <c r="J668" s="4">
        <v>0</v>
      </c>
      <c r="K668" s="4">
        <v>0</v>
      </c>
      <c r="L668" s="4">
        <v>3.867</v>
      </c>
      <c r="M668" s="4">
        <v>3.867</v>
      </c>
      <c r="N668" s="4">
        <v>3.867</v>
      </c>
      <c r="O668" s="4">
        <v>3.867</v>
      </c>
      <c r="P668" s="4">
        <v>0</v>
      </c>
      <c r="Q668" s="3" t="s">
        <v>26</v>
      </c>
      <c r="R668" s="3">
        <v>0</v>
      </c>
      <c r="S668" s="4">
        <v>0</v>
      </c>
      <c r="T668" s="4">
        <v>28</v>
      </c>
      <c r="U668" s="4">
        <v>36</v>
      </c>
      <c r="V668" s="4">
        <f>IF(ISERROR(VLOOKUP($S$668,'TAR FIN'!$A$1:$O$92,15,0)),0,VLOOKUP($S$668,'TAR FIN'!$A$1:$O$92,15,0))</f>
        <v>0</v>
      </c>
      <c r="W668" s="4">
        <f>IF(ISERROR(VLOOKUP($T$668,'TAR FIN'!$A$1:$O$92,15,0)),0,VLOOKUP($T$668,'TAR FIN'!$A$1:$O$92,15,0))</f>
        <v>472.7</v>
      </c>
      <c r="X668" s="4">
        <f>IF(ISERROR(VLOOKUP($U$668,'TAR FIN'!$A$1:$O$92,15,0)),0,VLOOKUP($U$668,'TAR FIN'!$A$1:$O$92,15,0))</f>
        <v>253.9</v>
      </c>
      <c r="Y668" s="4"/>
      <c r="Z668" s="4">
        <f ca="1">('TUSD BE'!$AM$18+'TUSD BF'!$AM$18+'TUSD CVA'!$AM$18)*1</f>
        <v>607.79168450012742</v>
      </c>
      <c r="AA668" s="4">
        <f>('TE BE'!$AB$9+'TE BF'!$AB$9+'TE CVA'!$AB$9)*1</f>
        <v>317.3874512882154</v>
      </c>
      <c r="AB668" s="4">
        <f>$K$668*$V$668</f>
        <v>0</v>
      </c>
      <c r="AC668" s="4">
        <f>$M$668*$W$668</f>
        <v>1827.9309000000001</v>
      </c>
      <c r="AD668" s="4">
        <f>$O$668*$X$668</f>
        <v>981.83130000000006</v>
      </c>
      <c r="AE668" s="4">
        <f>$K$668*$Y$668</f>
        <v>0</v>
      </c>
      <c r="AF668" s="4">
        <f ca="1">$M$668*$Z$668</f>
        <v>2350.3304439619928</v>
      </c>
      <c r="AG668" s="4">
        <f>$O$668*$AA$668</f>
        <v>1227.3372741315291</v>
      </c>
    </row>
    <row r="669" spans="1:33" ht="11.25" customHeight="1" x14ac:dyDescent="0.25">
      <c r="A669" s="3" t="s">
        <v>21</v>
      </c>
      <c r="B669" s="3" t="s">
        <v>22</v>
      </c>
      <c r="C669" s="3" t="s">
        <v>33</v>
      </c>
      <c r="D669" s="3" t="s">
        <v>24</v>
      </c>
      <c r="E669" s="3" t="s">
        <v>24</v>
      </c>
      <c r="F669" s="3" t="s">
        <v>25</v>
      </c>
      <c r="G669" s="3" t="s">
        <v>25</v>
      </c>
      <c r="H669" s="3" t="s">
        <v>36</v>
      </c>
      <c r="I669" s="6">
        <v>44621</v>
      </c>
      <c r="J669" s="4">
        <v>0</v>
      </c>
      <c r="K669" s="4">
        <v>0</v>
      </c>
      <c r="L669" s="4">
        <v>3.5209999999999999</v>
      </c>
      <c r="M669" s="4">
        <v>3.5209999999999999</v>
      </c>
      <c r="N669" s="4">
        <v>3.5209999999999999</v>
      </c>
      <c r="O669" s="4">
        <v>3.5209999999999999</v>
      </c>
      <c r="P669" s="4">
        <v>0</v>
      </c>
      <c r="Q669" s="3" t="s">
        <v>26</v>
      </c>
      <c r="R669" s="3">
        <v>0</v>
      </c>
      <c r="S669" s="4">
        <v>0</v>
      </c>
      <c r="T669" s="4">
        <v>28</v>
      </c>
      <c r="U669" s="4">
        <v>36</v>
      </c>
      <c r="V669" s="4">
        <f>IF(ISERROR(VLOOKUP($S$669,'TAR FIN'!$A$1:$O$92,15,0)),0,VLOOKUP($S$669,'TAR FIN'!$A$1:$O$92,15,0))</f>
        <v>0</v>
      </c>
      <c r="W669" s="4">
        <f>IF(ISERROR(VLOOKUP($T$669,'TAR FIN'!$A$1:$O$92,15,0)),0,VLOOKUP($T$669,'TAR FIN'!$A$1:$O$92,15,0))</f>
        <v>472.7</v>
      </c>
      <c r="X669" s="4">
        <f>IF(ISERROR(VLOOKUP($U$669,'TAR FIN'!$A$1:$O$92,15,0)),0,VLOOKUP($U$669,'TAR FIN'!$A$1:$O$92,15,0))</f>
        <v>253.9</v>
      </c>
      <c r="Y669" s="4"/>
      <c r="Z669" s="4">
        <f ca="1">('TUSD BE'!$AM$18+'TUSD BF'!$AM$18+'TUSD CVA'!$AM$18)*1</f>
        <v>607.79168450012742</v>
      </c>
      <c r="AA669" s="4">
        <f>('TE BE'!$AB$9+'TE BF'!$AB$9+'TE CVA'!$AB$9)*1</f>
        <v>317.3874512882154</v>
      </c>
      <c r="AB669" s="4">
        <f>$K$669*$V$669</f>
        <v>0</v>
      </c>
      <c r="AC669" s="4">
        <f>$M$669*$W$669</f>
        <v>1664.3767</v>
      </c>
      <c r="AD669" s="4">
        <f>$O$669*$X$669</f>
        <v>893.9819</v>
      </c>
      <c r="AE669" s="4">
        <f>$K$669*$Y$669</f>
        <v>0</v>
      </c>
      <c r="AF669" s="4">
        <f ca="1">$M$669*$Z$669</f>
        <v>2140.0345211249487</v>
      </c>
      <c r="AG669" s="4">
        <f>$O$669*$AA$669</f>
        <v>1117.5212159858063</v>
      </c>
    </row>
    <row r="670" spans="1:33" ht="11.25" customHeight="1" x14ac:dyDescent="0.25">
      <c r="A670" s="3" t="s">
        <v>21</v>
      </c>
      <c r="B670" s="3" t="s">
        <v>22</v>
      </c>
      <c r="C670" s="3" t="s">
        <v>33</v>
      </c>
      <c r="D670" s="3" t="s">
        <v>24</v>
      </c>
      <c r="E670" s="3" t="s">
        <v>24</v>
      </c>
      <c r="F670" s="3" t="s">
        <v>25</v>
      </c>
      <c r="G670" s="3" t="s">
        <v>25</v>
      </c>
      <c r="H670" s="3" t="s">
        <v>36</v>
      </c>
      <c r="I670" s="6">
        <v>44652</v>
      </c>
      <c r="J670" s="4">
        <v>0</v>
      </c>
      <c r="K670" s="4">
        <v>0</v>
      </c>
      <c r="L670" s="4">
        <v>3.5209999999999999</v>
      </c>
      <c r="M670" s="4">
        <v>3.5209999999999999</v>
      </c>
      <c r="N670" s="4">
        <v>3.5209999999999999</v>
      </c>
      <c r="O670" s="4">
        <v>3.5209999999999999</v>
      </c>
      <c r="P670" s="4">
        <v>0</v>
      </c>
      <c r="Q670" s="3" t="s">
        <v>26</v>
      </c>
      <c r="R670" s="3">
        <v>0</v>
      </c>
      <c r="S670" s="4">
        <v>0</v>
      </c>
      <c r="T670" s="4">
        <v>28</v>
      </c>
      <c r="U670" s="4">
        <v>36</v>
      </c>
      <c r="V670" s="4">
        <f>IF(ISERROR(VLOOKUP($S$670,'TAR FIN'!$A$1:$O$92,15,0)),0,VLOOKUP($S$670,'TAR FIN'!$A$1:$O$92,15,0))</f>
        <v>0</v>
      </c>
      <c r="W670" s="4">
        <f>IF(ISERROR(VLOOKUP($T$670,'TAR FIN'!$A$1:$O$92,15,0)),0,VLOOKUP($T$670,'TAR FIN'!$A$1:$O$92,15,0))</f>
        <v>472.7</v>
      </c>
      <c r="X670" s="4">
        <f>IF(ISERROR(VLOOKUP($U$670,'TAR FIN'!$A$1:$O$92,15,0)),0,VLOOKUP($U$670,'TAR FIN'!$A$1:$O$92,15,0))</f>
        <v>253.9</v>
      </c>
      <c r="Y670" s="4"/>
      <c r="Z670" s="4">
        <f ca="1">('TUSD BE'!$AM$18+'TUSD BF'!$AM$18+'TUSD CVA'!$AM$18)*1</f>
        <v>607.79168450012742</v>
      </c>
      <c r="AA670" s="4">
        <f>('TE BE'!$AB$9+'TE BF'!$AB$9+'TE CVA'!$AB$9)*1</f>
        <v>317.3874512882154</v>
      </c>
      <c r="AB670" s="4">
        <f>$K$670*$V$670</f>
        <v>0</v>
      </c>
      <c r="AC670" s="4">
        <f>$M$670*$W$670</f>
        <v>1664.3767</v>
      </c>
      <c r="AD670" s="4">
        <f>$O$670*$X$670</f>
        <v>893.9819</v>
      </c>
      <c r="AE670" s="4">
        <f>$K$670*$Y$670</f>
        <v>0</v>
      </c>
      <c r="AF670" s="4">
        <f ca="1">$M$670*$Z$670</f>
        <v>2140.0345211249487</v>
      </c>
      <c r="AG670" s="4">
        <f>$O$670*$AA$670</f>
        <v>1117.5212159858063</v>
      </c>
    </row>
    <row r="671" spans="1:33" ht="11.25" customHeight="1" x14ac:dyDescent="0.25">
      <c r="A671" s="3" t="s">
        <v>21</v>
      </c>
      <c r="B671" s="3" t="s">
        <v>22</v>
      </c>
      <c r="C671" s="3" t="s">
        <v>33</v>
      </c>
      <c r="D671" s="3" t="s">
        <v>24</v>
      </c>
      <c r="E671" s="3" t="s">
        <v>24</v>
      </c>
      <c r="F671" s="3" t="s">
        <v>25</v>
      </c>
      <c r="G671" s="3" t="s">
        <v>25</v>
      </c>
      <c r="H671" s="3" t="s">
        <v>36</v>
      </c>
      <c r="I671" s="6">
        <v>44682</v>
      </c>
      <c r="J671" s="4">
        <v>0</v>
      </c>
      <c r="K671" s="4">
        <v>0</v>
      </c>
      <c r="L671" s="4">
        <v>3.0379999999999998</v>
      </c>
      <c r="M671" s="4">
        <v>3.0379999999999998</v>
      </c>
      <c r="N671" s="4">
        <v>3.0379999999999998</v>
      </c>
      <c r="O671" s="4">
        <v>3.0379999999999998</v>
      </c>
      <c r="P671" s="4">
        <v>0</v>
      </c>
      <c r="Q671" s="3" t="s">
        <v>26</v>
      </c>
      <c r="R671" s="3">
        <v>0</v>
      </c>
      <c r="S671" s="4">
        <v>0</v>
      </c>
      <c r="T671" s="4">
        <v>28</v>
      </c>
      <c r="U671" s="4">
        <v>36</v>
      </c>
      <c r="V671" s="4">
        <f>IF(ISERROR(VLOOKUP($S$671,'TAR FIN'!$A$1:$O$92,15,0)),0,VLOOKUP($S$671,'TAR FIN'!$A$1:$O$92,15,0))</f>
        <v>0</v>
      </c>
      <c r="W671" s="4">
        <f>IF(ISERROR(VLOOKUP($T$671,'TAR FIN'!$A$1:$O$92,15,0)),0,VLOOKUP($T$671,'TAR FIN'!$A$1:$O$92,15,0))</f>
        <v>472.7</v>
      </c>
      <c r="X671" s="4">
        <f>IF(ISERROR(VLOOKUP($U$671,'TAR FIN'!$A$1:$O$92,15,0)),0,VLOOKUP($U$671,'TAR FIN'!$A$1:$O$92,15,0))</f>
        <v>253.9</v>
      </c>
      <c r="Y671" s="4"/>
      <c r="Z671" s="4">
        <f ca="1">('TUSD BE'!$AM$18+'TUSD BF'!$AM$18+'TUSD CVA'!$AM$18)*1</f>
        <v>607.79168450012742</v>
      </c>
      <c r="AA671" s="4">
        <f>('TE BE'!$AB$9+'TE BF'!$AB$9+'TE CVA'!$AB$9)*1</f>
        <v>317.3874512882154</v>
      </c>
      <c r="AB671" s="4">
        <f>$K$671*$V$671</f>
        <v>0</v>
      </c>
      <c r="AC671" s="4">
        <f>$M$671*$W$671</f>
        <v>1436.0626</v>
      </c>
      <c r="AD671" s="4">
        <f>$O$671*$X$671</f>
        <v>771.34820000000002</v>
      </c>
      <c r="AE671" s="4">
        <f>$K$671*$Y$671</f>
        <v>0</v>
      </c>
      <c r="AF671" s="4">
        <f ca="1">$M$671*$Z$671</f>
        <v>1846.471137511387</v>
      </c>
      <c r="AG671" s="4">
        <f>$O$671*$AA$671</f>
        <v>964.2230770135983</v>
      </c>
    </row>
    <row r="672" spans="1:33" ht="11.25" customHeight="1" x14ac:dyDescent="0.25">
      <c r="A672" s="3" t="s">
        <v>21</v>
      </c>
      <c r="B672" s="3" t="s">
        <v>22</v>
      </c>
      <c r="C672" s="3" t="s">
        <v>33</v>
      </c>
      <c r="D672" s="3" t="s">
        <v>24</v>
      </c>
      <c r="E672" s="3" t="s">
        <v>24</v>
      </c>
      <c r="F672" s="3" t="s">
        <v>25</v>
      </c>
      <c r="G672" s="3" t="s">
        <v>25</v>
      </c>
      <c r="H672" s="3" t="s">
        <v>36</v>
      </c>
      <c r="I672" s="6">
        <v>44713</v>
      </c>
      <c r="J672" s="4">
        <v>0</v>
      </c>
      <c r="K672" s="4">
        <v>0</v>
      </c>
      <c r="L672" s="4">
        <v>2.9569999999999999</v>
      </c>
      <c r="M672" s="4">
        <v>2.9569999999999999</v>
      </c>
      <c r="N672" s="4">
        <v>2.9569999999999999</v>
      </c>
      <c r="O672" s="4">
        <v>2.9569999999999999</v>
      </c>
      <c r="P672" s="4">
        <v>0</v>
      </c>
      <c r="Q672" s="3" t="s">
        <v>26</v>
      </c>
      <c r="R672" s="3">
        <v>0</v>
      </c>
      <c r="S672" s="4">
        <v>0</v>
      </c>
      <c r="T672" s="4">
        <v>28</v>
      </c>
      <c r="U672" s="4">
        <v>36</v>
      </c>
      <c r="V672" s="4">
        <f>IF(ISERROR(VLOOKUP($S$672,'TAR FIN'!$A$1:$O$92,15,0)),0,VLOOKUP($S$672,'TAR FIN'!$A$1:$O$92,15,0))</f>
        <v>0</v>
      </c>
      <c r="W672" s="4">
        <f>IF(ISERROR(VLOOKUP($T$672,'TAR FIN'!$A$1:$O$92,15,0)),0,VLOOKUP($T$672,'TAR FIN'!$A$1:$O$92,15,0))</f>
        <v>472.7</v>
      </c>
      <c r="X672" s="4">
        <f>IF(ISERROR(VLOOKUP($U$672,'TAR FIN'!$A$1:$O$92,15,0)),0,VLOOKUP($U$672,'TAR FIN'!$A$1:$O$92,15,0))</f>
        <v>253.9</v>
      </c>
      <c r="Y672" s="4"/>
      <c r="Z672" s="4">
        <f ca="1">('TUSD BE'!$AM$18+'TUSD BF'!$AM$18+'TUSD CVA'!$AM$18)*1</f>
        <v>607.79168450012742</v>
      </c>
      <c r="AA672" s="4">
        <f>('TE BE'!$AB$9+'TE BF'!$AB$9+'TE CVA'!$AB$9)*1</f>
        <v>317.3874512882154</v>
      </c>
      <c r="AB672" s="4">
        <f>$K$672*$V$672</f>
        <v>0</v>
      </c>
      <c r="AC672" s="4">
        <f>$M$672*$W$672</f>
        <v>1397.7738999999999</v>
      </c>
      <c r="AD672" s="4">
        <f>$O$672*$X$672</f>
        <v>750.78229999999996</v>
      </c>
      <c r="AE672" s="4">
        <f>$K$672*$Y$672</f>
        <v>0</v>
      </c>
      <c r="AF672" s="4">
        <f ca="1">$M$672*$Z$672</f>
        <v>1797.2400110668766</v>
      </c>
      <c r="AG672" s="4">
        <f>$O$672*$AA$672</f>
        <v>938.51469345925295</v>
      </c>
    </row>
    <row r="673" spans="1:33" ht="11.25" customHeight="1" x14ac:dyDescent="0.25">
      <c r="A673" s="3" t="s">
        <v>21</v>
      </c>
      <c r="B673" s="3" t="s">
        <v>22</v>
      </c>
      <c r="C673" s="3" t="s">
        <v>33</v>
      </c>
      <c r="D673" s="3" t="s">
        <v>24</v>
      </c>
      <c r="E673" s="3" t="s">
        <v>24</v>
      </c>
      <c r="F673" s="3" t="s">
        <v>25</v>
      </c>
      <c r="G673" s="3" t="s">
        <v>25</v>
      </c>
      <c r="H673" s="3" t="s">
        <v>36</v>
      </c>
      <c r="I673" s="6">
        <v>44743</v>
      </c>
      <c r="J673" s="4">
        <v>0</v>
      </c>
      <c r="K673" s="4">
        <v>0</v>
      </c>
      <c r="L673" s="4">
        <v>3.0139999999999998</v>
      </c>
      <c r="M673" s="4">
        <v>3.0139999999999998</v>
      </c>
      <c r="N673" s="4">
        <v>3.0139999999999998</v>
      </c>
      <c r="O673" s="4">
        <v>3.0139999999999998</v>
      </c>
      <c r="P673" s="4">
        <v>0</v>
      </c>
      <c r="Q673" s="3" t="s">
        <v>26</v>
      </c>
      <c r="R673" s="3">
        <v>0</v>
      </c>
      <c r="S673" s="4">
        <v>0</v>
      </c>
      <c r="T673" s="4">
        <v>28</v>
      </c>
      <c r="U673" s="4">
        <v>36</v>
      </c>
      <c r="V673" s="4">
        <f>IF(ISERROR(VLOOKUP($S$673,'TAR FIN'!$A$1:$O$92,15,0)),0,VLOOKUP($S$673,'TAR FIN'!$A$1:$O$92,15,0))</f>
        <v>0</v>
      </c>
      <c r="W673" s="4">
        <f>IF(ISERROR(VLOOKUP($T$673,'TAR FIN'!$A$1:$O$92,15,0)),0,VLOOKUP($T$673,'TAR FIN'!$A$1:$O$92,15,0))</f>
        <v>472.7</v>
      </c>
      <c r="X673" s="4">
        <f>IF(ISERROR(VLOOKUP($U$673,'TAR FIN'!$A$1:$O$92,15,0)),0,VLOOKUP($U$673,'TAR FIN'!$A$1:$O$92,15,0))</f>
        <v>253.9</v>
      </c>
      <c r="Y673" s="4"/>
      <c r="Z673" s="4">
        <f ca="1">('TUSD BE'!$AM$18+'TUSD BF'!$AM$18+'TUSD CVA'!$AM$18)*1</f>
        <v>607.79168450012742</v>
      </c>
      <c r="AA673" s="4">
        <f>('TE BE'!$AB$9+'TE BF'!$AB$9+'TE CVA'!$AB$9)*1</f>
        <v>317.3874512882154</v>
      </c>
      <c r="AB673" s="4">
        <f>$K$673*$V$673</f>
        <v>0</v>
      </c>
      <c r="AC673" s="4">
        <f>$M$673*$W$673</f>
        <v>1424.7177999999999</v>
      </c>
      <c r="AD673" s="4">
        <f>$O$673*$X$673</f>
        <v>765.25459999999998</v>
      </c>
      <c r="AE673" s="4">
        <f>$K$673*$Y$673</f>
        <v>0</v>
      </c>
      <c r="AF673" s="4">
        <f ca="1">$M$673*$Z$673</f>
        <v>1831.8841370833838</v>
      </c>
      <c r="AG673" s="4">
        <f>$O$673*$AA$673</f>
        <v>956.60577818268121</v>
      </c>
    </row>
    <row r="674" spans="1:33" ht="11.25" customHeight="1" x14ac:dyDescent="0.25">
      <c r="A674" s="3" t="s">
        <v>21</v>
      </c>
      <c r="B674" s="3" t="s">
        <v>22</v>
      </c>
      <c r="C674" s="3" t="s">
        <v>33</v>
      </c>
      <c r="D674" s="3" t="s">
        <v>24</v>
      </c>
      <c r="E674" s="3" t="s">
        <v>24</v>
      </c>
      <c r="F674" s="3" t="s">
        <v>25</v>
      </c>
      <c r="G674" s="3" t="s">
        <v>25</v>
      </c>
      <c r="H674" s="3" t="s">
        <v>36</v>
      </c>
      <c r="I674" s="6">
        <v>44774</v>
      </c>
      <c r="J674" s="4">
        <v>0</v>
      </c>
      <c r="K674" s="4">
        <v>0</v>
      </c>
      <c r="L674" s="4">
        <v>3.6819999999999999</v>
      </c>
      <c r="M674" s="4">
        <v>3.6819999999999999</v>
      </c>
      <c r="N674" s="4">
        <v>3.6819999999999999</v>
      </c>
      <c r="O674" s="4">
        <v>3.6819999999999999</v>
      </c>
      <c r="P674" s="4">
        <v>0</v>
      </c>
      <c r="Q674" s="3" t="s">
        <v>26</v>
      </c>
      <c r="R674" s="3">
        <v>0</v>
      </c>
      <c r="S674" s="4">
        <v>0</v>
      </c>
      <c r="T674" s="4">
        <v>28</v>
      </c>
      <c r="U674" s="4">
        <v>36</v>
      </c>
      <c r="V674" s="4">
        <f>IF(ISERROR(VLOOKUP($S$674,'TAR FIN'!$A$1:$O$92,15,0)),0,VLOOKUP($S$674,'TAR FIN'!$A$1:$O$92,15,0))</f>
        <v>0</v>
      </c>
      <c r="W674" s="4">
        <f>IF(ISERROR(VLOOKUP($T$674,'TAR FIN'!$A$1:$O$92,15,0)),0,VLOOKUP($T$674,'TAR FIN'!$A$1:$O$92,15,0))</f>
        <v>472.7</v>
      </c>
      <c r="X674" s="4">
        <f>IF(ISERROR(VLOOKUP($U$674,'TAR FIN'!$A$1:$O$92,15,0)),0,VLOOKUP($U$674,'TAR FIN'!$A$1:$O$92,15,0))</f>
        <v>253.9</v>
      </c>
      <c r="Y674" s="4"/>
      <c r="Z674" s="4">
        <f ca="1">('TUSD BE'!$AM$18+'TUSD BF'!$AM$18+'TUSD CVA'!$AM$18)*1</f>
        <v>607.79168450012742</v>
      </c>
      <c r="AA674" s="4">
        <f>('TE BE'!$AB$9+'TE BF'!$AB$9+'TE CVA'!$AB$9)*1</f>
        <v>317.3874512882154</v>
      </c>
      <c r="AB674" s="4">
        <f>$K$674*$V$674</f>
        <v>0</v>
      </c>
      <c r="AC674" s="4">
        <f>$M$674*$W$674</f>
        <v>1740.4813999999999</v>
      </c>
      <c r="AD674" s="4">
        <f>$O$674*$X$674</f>
        <v>934.85979999999995</v>
      </c>
      <c r="AE674" s="4">
        <f>$K$674*$Y$674</f>
        <v>0</v>
      </c>
      <c r="AF674" s="4">
        <f ca="1">$M$674*$Z$674</f>
        <v>2237.8889823294689</v>
      </c>
      <c r="AG674" s="4">
        <f>$O$674*$AA$674</f>
        <v>1168.6205956432091</v>
      </c>
    </row>
    <row r="675" spans="1:33" ht="11.25" customHeight="1" x14ac:dyDescent="0.25">
      <c r="A675" s="3" t="s">
        <v>21</v>
      </c>
      <c r="B675" s="3" t="s">
        <v>22</v>
      </c>
      <c r="C675" s="3" t="s">
        <v>33</v>
      </c>
      <c r="D675" s="3" t="s">
        <v>24</v>
      </c>
      <c r="E675" s="3" t="s">
        <v>24</v>
      </c>
      <c r="F675" s="3" t="s">
        <v>25</v>
      </c>
      <c r="G675" s="3" t="s">
        <v>25</v>
      </c>
      <c r="H675" s="3" t="s">
        <v>36</v>
      </c>
      <c r="I675" s="6">
        <v>44805</v>
      </c>
      <c r="J675" s="4">
        <v>0</v>
      </c>
      <c r="K675" s="4">
        <v>0</v>
      </c>
      <c r="L675" s="4">
        <v>3.3959999999999999</v>
      </c>
      <c r="M675" s="4">
        <v>3.3959999999999999</v>
      </c>
      <c r="N675" s="4">
        <v>3.3959999999999999</v>
      </c>
      <c r="O675" s="4">
        <v>3.3959999999999999</v>
      </c>
      <c r="P675" s="4">
        <v>0</v>
      </c>
      <c r="Q675" s="3" t="s">
        <v>26</v>
      </c>
      <c r="R675" s="3">
        <v>0</v>
      </c>
      <c r="S675" s="4">
        <v>0</v>
      </c>
      <c r="T675" s="4">
        <v>28</v>
      </c>
      <c r="U675" s="4">
        <v>36</v>
      </c>
      <c r="V675" s="4">
        <f>IF(ISERROR(VLOOKUP($S$675,'TAR FIN'!$A$1:$O$92,15,0)),0,VLOOKUP($S$675,'TAR FIN'!$A$1:$O$92,15,0))</f>
        <v>0</v>
      </c>
      <c r="W675" s="4">
        <f>IF(ISERROR(VLOOKUP($T$675,'TAR FIN'!$A$1:$O$92,15,0)),0,VLOOKUP($T$675,'TAR FIN'!$A$1:$O$92,15,0))</f>
        <v>472.7</v>
      </c>
      <c r="X675" s="4">
        <f>IF(ISERROR(VLOOKUP($U$675,'TAR FIN'!$A$1:$O$92,15,0)),0,VLOOKUP($U$675,'TAR FIN'!$A$1:$O$92,15,0))</f>
        <v>253.9</v>
      </c>
      <c r="Y675" s="4"/>
      <c r="Z675" s="4">
        <f ca="1">('TUSD BE'!$AM$18+'TUSD BF'!$AM$18+'TUSD CVA'!$AM$18)*1</f>
        <v>607.79168450012742</v>
      </c>
      <c r="AA675" s="4">
        <f>('TE BE'!$AB$9+'TE BF'!$AB$9+'TE CVA'!$AB$9)*1</f>
        <v>317.3874512882154</v>
      </c>
      <c r="AB675" s="4">
        <f>$K$675*$V$675</f>
        <v>0</v>
      </c>
      <c r="AC675" s="4">
        <f>$M$675*$W$675</f>
        <v>1605.2891999999999</v>
      </c>
      <c r="AD675" s="4">
        <f>$O$675*$X$675</f>
        <v>862.24440000000004</v>
      </c>
      <c r="AE675" s="4">
        <f>$K$675*$Y$675</f>
        <v>0</v>
      </c>
      <c r="AF675" s="4">
        <f ca="1">$M$675*$Z$675</f>
        <v>2064.0605605624328</v>
      </c>
      <c r="AG675" s="4">
        <f>$O$675*$AA$675</f>
        <v>1077.8477845747796</v>
      </c>
    </row>
    <row r="676" spans="1:33" ht="11.25" customHeight="1" x14ac:dyDescent="0.25">
      <c r="A676" s="3" t="s">
        <v>55</v>
      </c>
      <c r="B676" s="3" t="s">
        <v>22</v>
      </c>
      <c r="C676" s="3" t="s">
        <v>33</v>
      </c>
      <c r="D676" s="3" t="s">
        <v>24</v>
      </c>
      <c r="E676" s="3" t="s">
        <v>24</v>
      </c>
      <c r="F676" s="3" t="s">
        <v>25</v>
      </c>
      <c r="G676" s="3" t="s">
        <v>25</v>
      </c>
      <c r="H676" s="3" t="s">
        <v>36</v>
      </c>
      <c r="I676" s="6">
        <v>44835</v>
      </c>
      <c r="J676" s="4">
        <v>0</v>
      </c>
      <c r="K676" s="4">
        <v>0</v>
      </c>
      <c r="L676" s="4">
        <v>3.3959999999999999</v>
      </c>
      <c r="M676" s="4">
        <v>3.3959999999999999</v>
      </c>
      <c r="N676" s="4">
        <v>3.3959999999999999</v>
      </c>
      <c r="O676" s="4">
        <v>3.3959999999999999</v>
      </c>
      <c r="P676" s="4">
        <v>0</v>
      </c>
      <c r="Q676" s="3" t="s">
        <v>26</v>
      </c>
      <c r="R676" s="3">
        <v>0</v>
      </c>
      <c r="S676" s="4">
        <v>0</v>
      </c>
      <c r="T676" s="4">
        <v>28</v>
      </c>
      <c r="U676" s="4">
        <v>36</v>
      </c>
      <c r="V676" s="4">
        <f>IF(ISERROR(VLOOKUP($S$676,'TAR FIN'!$A$1:$O$92,15,0)),0,VLOOKUP($S$676,'TAR FIN'!$A$1:$O$92,15,0))</f>
        <v>0</v>
      </c>
      <c r="W676" s="4">
        <f>IF(ISERROR(VLOOKUP($T$676,'TAR FIN'!$A$1:$O$92,15,0)),0,VLOOKUP($T$676,'TAR FIN'!$A$1:$O$92,15,0))</f>
        <v>472.7</v>
      </c>
      <c r="X676" s="4">
        <f>IF(ISERROR(VLOOKUP($U$676,'TAR FIN'!$A$1:$O$92,15,0)),0,VLOOKUP($U$676,'TAR FIN'!$A$1:$O$92,15,0))</f>
        <v>253.9</v>
      </c>
      <c r="Y676" s="4"/>
      <c r="Z676" s="4">
        <f ca="1">('TUSD BE'!$AM$18+'TUSD BF'!$AM$18+'TUSD CVA'!$AM$18)*1</f>
        <v>607.79168450012742</v>
      </c>
      <c r="AA676" s="4">
        <f>('TE BE'!$AB$9+'TE BF'!$AB$9+'TE CVA'!$AB$9)*1</f>
        <v>317.3874512882154</v>
      </c>
      <c r="AB676" s="4">
        <f>$K$676*$V$676</f>
        <v>0</v>
      </c>
      <c r="AC676" s="4">
        <f>$M$676*$W$676</f>
        <v>1605.2891999999999</v>
      </c>
      <c r="AD676" s="4">
        <f>$O$676*$X$676</f>
        <v>862.24440000000004</v>
      </c>
      <c r="AE676" s="4">
        <f>$K$676*$Y$676</f>
        <v>0</v>
      </c>
      <c r="AF676" s="4">
        <f ca="1">$M$676*$Z$676</f>
        <v>2064.0605605624328</v>
      </c>
      <c r="AG676" s="4">
        <f>$O$676*$AA$676</f>
        <v>1077.8477845747796</v>
      </c>
    </row>
    <row r="677" spans="1:33" ht="11.25" customHeight="1" x14ac:dyDescent="0.25">
      <c r="A677" s="3" t="s">
        <v>21</v>
      </c>
      <c r="B677" s="3" t="s">
        <v>22</v>
      </c>
      <c r="C677" s="3" t="s">
        <v>33</v>
      </c>
      <c r="D677" s="3" t="s">
        <v>24</v>
      </c>
      <c r="E677" s="3" t="s">
        <v>24</v>
      </c>
      <c r="F677" s="3" t="s">
        <v>25</v>
      </c>
      <c r="G677" s="3" t="s">
        <v>25</v>
      </c>
      <c r="H677" s="3" t="s">
        <v>34</v>
      </c>
      <c r="I677" s="6">
        <v>44501</v>
      </c>
      <c r="J677" s="4">
        <v>0</v>
      </c>
      <c r="K677" s="4">
        <v>0</v>
      </c>
      <c r="L677" s="4">
        <v>5.9640000000000004</v>
      </c>
      <c r="M677" s="4">
        <v>5.9640000000000004</v>
      </c>
      <c r="N677" s="4">
        <v>5.9640000000000004</v>
      </c>
      <c r="O677" s="4">
        <v>5.9640000000000004</v>
      </c>
      <c r="P677" s="4">
        <v>0</v>
      </c>
      <c r="Q677" s="3" t="s">
        <v>26</v>
      </c>
      <c r="R677" s="3">
        <v>0</v>
      </c>
      <c r="S677" s="4">
        <v>0</v>
      </c>
      <c r="T677" s="4">
        <v>13</v>
      </c>
      <c r="U677" s="4">
        <v>26</v>
      </c>
      <c r="V677" s="4">
        <f>IF(ISERROR(VLOOKUP($S$677,'TAR FIN'!$A$1:$O$92,15,0)),0,VLOOKUP($S$677,'TAR FIN'!$A$1:$O$92,15,0))</f>
        <v>0</v>
      </c>
      <c r="W677" s="4">
        <f>IF(ISERROR(VLOOKUP($T$677,'TAR FIN'!$A$1:$O$92,15,0)),0,VLOOKUP($T$677,'TAR FIN'!$A$1:$O$92,15,0))</f>
        <v>709.98</v>
      </c>
      <c r="X677" s="4">
        <f>IF(ISERROR(VLOOKUP($U$677,'TAR FIN'!$A$1:$O$92,15,0)),0,VLOOKUP($U$677,'TAR FIN'!$A$1:$O$92,15,0))</f>
        <v>433.77</v>
      </c>
      <c r="Y677" s="4"/>
      <c r="Z677" s="4">
        <f ca="1">('TUSD BE'!$AM$17+'TUSD BF'!$AM$17+'TUSD CVA'!$AM$17)*1</f>
        <v>914.77051895233399</v>
      </c>
      <c r="AA677" s="4">
        <f>('TE BE'!$AB$8+'TE BF'!$AB$8+'TE CVA'!$AB$8)*1</f>
        <v>542.84414704984056</v>
      </c>
      <c r="AB677" s="4">
        <f>$K$677*$V$677</f>
        <v>0</v>
      </c>
      <c r="AC677" s="4">
        <f>$M$677*$W$677</f>
        <v>4234.3207200000006</v>
      </c>
      <c r="AD677" s="4">
        <f>$O$677*$X$677</f>
        <v>2587.0042800000001</v>
      </c>
      <c r="AE677" s="4">
        <f>$K$677*$Y$677</f>
        <v>0</v>
      </c>
      <c r="AF677" s="4">
        <f ca="1">$M$677*$Z$677</f>
        <v>5455.6913750317199</v>
      </c>
      <c r="AG677" s="4">
        <f>$O$677*$AA$677</f>
        <v>3237.5224930052491</v>
      </c>
    </row>
    <row r="678" spans="1:33" ht="11.25" customHeight="1" x14ac:dyDescent="0.25">
      <c r="A678" s="3" t="s">
        <v>28</v>
      </c>
      <c r="B678" s="3" t="s">
        <v>22</v>
      </c>
      <c r="C678" s="3" t="s">
        <v>33</v>
      </c>
      <c r="D678" s="3" t="s">
        <v>24</v>
      </c>
      <c r="E678" s="3" t="s">
        <v>24</v>
      </c>
      <c r="F678" s="3" t="s">
        <v>25</v>
      </c>
      <c r="G678" s="3" t="s">
        <v>25</v>
      </c>
      <c r="H678" s="3" t="s">
        <v>34</v>
      </c>
      <c r="I678" s="6">
        <v>44501</v>
      </c>
      <c r="J678" s="4">
        <v>0</v>
      </c>
      <c r="K678" s="4">
        <v>0</v>
      </c>
      <c r="L678" s="4">
        <v>8.7999999999999995E-2</v>
      </c>
      <c r="M678" s="4">
        <v>8.7999999999999995E-2</v>
      </c>
      <c r="N678" s="4">
        <v>8.7999999999999995E-2</v>
      </c>
      <c r="O678" s="4">
        <v>8.7999999999999995E-2</v>
      </c>
      <c r="P678" s="4">
        <v>0</v>
      </c>
      <c r="Q678" s="3" t="s">
        <v>26</v>
      </c>
      <c r="R678" s="3">
        <v>0</v>
      </c>
      <c r="S678" s="4">
        <v>0</v>
      </c>
      <c r="T678" s="4">
        <v>13</v>
      </c>
      <c r="U678" s="4">
        <v>26</v>
      </c>
      <c r="V678" s="4">
        <f>IF(ISERROR(VLOOKUP($S$678,'TAR FIN'!$A$1:$O$92,15,0)),0,VLOOKUP($S$678,'TAR FIN'!$A$1:$O$92,15,0))</f>
        <v>0</v>
      </c>
      <c r="W678" s="4">
        <f>IF(ISERROR(VLOOKUP($T$678,'TAR FIN'!$A$1:$O$92,15,0)),0,VLOOKUP($T$678,'TAR FIN'!$A$1:$O$92,15,0))</f>
        <v>709.98</v>
      </c>
      <c r="X678" s="4">
        <f>IF(ISERROR(VLOOKUP($U$678,'TAR FIN'!$A$1:$O$92,15,0)),0,VLOOKUP($U$678,'TAR FIN'!$A$1:$O$92,15,0))</f>
        <v>433.77</v>
      </c>
      <c r="Y678" s="4"/>
      <c r="Z678" s="4">
        <f ca="1">('TUSD BE'!$AM$17+'TUSD BF'!$AM$17+'TUSD CVA'!$AM$17)*1</f>
        <v>914.77051895233399</v>
      </c>
      <c r="AA678" s="4">
        <f>('TE BE'!$AB$8+'TE BF'!$AB$8+'TE CVA'!$AB$8)*1</f>
        <v>542.84414704984056</v>
      </c>
      <c r="AB678" s="4">
        <f>$K$678*$V$678</f>
        <v>0</v>
      </c>
      <c r="AC678" s="4">
        <f>$M$678*$W$678</f>
        <v>62.47824</v>
      </c>
      <c r="AD678" s="4">
        <f>$O$678*$X$678</f>
        <v>38.171759999999999</v>
      </c>
      <c r="AE678" s="4">
        <f>$K$678*$Y$678</f>
        <v>0</v>
      </c>
      <c r="AF678" s="4">
        <f ca="1">$M$678*$Z$678</f>
        <v>80.49980566780539</v>
      </c>
      <c r="AG678" s="4">
        <f>$O$678*$AA$678</f>
        <v>47.770284940385963</v>
      </c>
    </row>
    <row r="679" spans="1:33" ht="11.25" customHeight="1" x14ac:dyDescent="0.25">
      <c r="A679" s="3" t="s">
        <v>21</v>
      </c>
      <c r="B679" s="3" t="s">
        <v>22</v>
      </c>
      <c r="C679" s="3" t="s">
        <v>33</v>
      </c>
      <c r="D679" s="3" t="s">
        <v>24</v>
      </c>
      <c r="E679" s="3" t="s">
        <v>24</v>
      </c>
      <c r="F679" s="3" t="s">
        <v>25</v>
      </c>
      <c r="G679" s="3" t="s">
        <v>25</v>
      </c>
      <c r="H679" s="3" t="s">
        <v>34</v>
      </c>
      <c r="I679" s="6">
        <v>44531</v>
      </c>
      <c r="J679" s="4">
        <v>0</v>
      </c>
      <c r="K679" s="4">
        <v>0</v>
      </c>
      <c r="L679" s="4">
        <v>5.851</v>
      </c>
      <c r="M679" s="4">
        <v>5.851</v>
      </c>
      <c r="N679" s="4">
        <v>5.851</v>
      </c>
      <c r="O679" s="4">
        <v>5.851</v>
      </c>
      <c r="P679" s="4">
        <v>0</v>
      </c>
      <c r="Q679" s="3" t="s">
        <v>26</v>
      </c>
      <c r="R679" s="3">
        <v>0</v>
      </c>
      <c r="S679" s="4">
        <v>0</v>
      </c>
      <c r="T679" s="4">
        <v>13</v>
      </c>
      <c r="U679" s="4">
        <v>26</v>
      </c>
      <c r="V679" s="4">
        <f>IF(ISERROR(VLOOKUP($S$679,'TAR FIN'!$A$1:$O$92,15,0)),0,VLOOKUP($S$679,'TAR FIN'!$A$1:$O$92,15,0))</f>
        <v>0</v>
      </c>
      <c r="W679" s="4">
        <f>IF(ISERROR(VLOOKUP($T$679,'TAR FIN'!$A$1:$O$92,15,0)),0,VLOOKUP($T$679,'TAR FIN'!$A$1:$O$92,15,0))</f>
        <v>709.98</v>
      </c>
      <c r="X679" s="4">
        <f>IF(ISERROR(VLOOKUP($U$679,'TAR FIN'!$A$1:$O$92,15,0)),0,VLOOKUP($U$679,'TAR FIN'!$A$1:$O$92,15,0))</f>
        <v>433.77</v>
      </c>
      <c r="Y679" s="4"/>
      <c r="Z679" s="4">
        <f ca="1">('TUSD BE'!$AM$17+'TUSD BF'!$AM$17+'TUSD CVA'!$AM$17)*1</f>
        <v>914.77051895233399</v>
      </c>
      <c r="AA679" s="4">
        <f>('TE BE'!$AB$8+'TE BF'!$AB$8+'TE CVA'!$AB$8)*1</f>
        <v>542.84414704984056</v>
      </c>
      <c r="AB679" s="4">
        <f>$K$679*$V$679</f>
        <v>0</v>
      </c>
      <c r="AC679" s="4">
        <f>$M$679*$W$679</f>
        <v>4154.0929800000004</v>
      </c>
      <c r="AD679" s="4">
        <f>$O$679*$X$679</f>
        <v>2537.9882699999998</v>
      </c>
      <c r="AE679" s="4">
        <f>$K$679*$Y$679</f>
        <v>0</v>
      </c>
      <c r="AF679" s="4">
        <f ca="1">$M$679*$Z$679</f>
        <v>5352.322306390106</v>
      </c>
      <c r="AG679" s="4">
        <f>$O$679*$AA$679</f>
        <v>3176.1811043886173</v>
      </c>
    </row>
    <row r="680" spans="1:33" ht="11.25" customHeight="1" x14ac:dyDescent="0.25">
      <c r="A680" s="3" t="s">
        <v>28</v>
      </c>
      <c r="B680" s="3" t="s">
        <v>22</v>
      </c>
      <c r="C680" s="3" t="s">
        <v>33</v>
      </c>
      <c r="D680" s="3" t="s">
        <v>24</v>
      </c>
      <c r="E680" s="3" t="s">
        <v>24</v>
      </c>
      <c r="F680" s="3" t="s">
        <v>25</v>
      </c>
      <c r="G680" s="3" t="s">
        <v>25</v>
      </c>
      <c r="H680" s="3" t="s">
        <v>34</v>
      </c>
      <c r="I680" s="6">
        <v>44531</v>
      </c>
      <c r="J680" s="4">
        <v>0</v>
      </c>
      <c r="K680" s="4">
        <v>0</v>
      </c>
      <c r="L680" s="4">
        <v>6.2E-2</v>
      </c>
      <c r="M680" s="4">
        <v>6.2E-2</v>
      </c>
      <c r="N680" s="4">
        <v>6.2E-2</v>
      </c>
      <c r="O680" s="4">
        <v>6.2E-2</v>
      </c>
      <c r="P680" s="4">
        <v>0</v>
      </c>
      <c r="Q680" s="3" t="s">
        <v>26</v>
      </c>
      <c r="R680" s="3">
        <v>0</v>
      </c>
      <c r="S680" s="4">
        <v>0</v>
      </c>
      <c r="T680" s="4">
        <v>13</v>
      </c>
      <c r="U680" s="4">
        <v>26</v>
      </c>
      <c r="V680" s="4">
        <f>IF(ISERROR(VLOOKUP($S$680,'TAR FIN'!$A$1:$O$92,15,0)),0,VLOOKUP($S$680,'TAR FIN'!$A$1:$O$92,15,0))</f>
        <v>0</v>
      </c>
      <c r="W680" s="4">
        <f>IF(ISERROR(VLOOKUP($T$680,'TAR FIN'!$A$1:$O$92,15,0)),0,VLOOKUP($T$680,'TAR FIN'!$A$1:$O$92,15,0))</f>
        <v>709.98</v>
      </c>
      <c r="X680" s="4">
        <f>IF(ISERROR(VLOOKUP($U$680,'TAR FIN'!$A$1:$O$92,15,0)),0,VLOOKUP($U$680,'TAR FIN'!$A$1:$O$92,15,0))</f>
        <v>433.77</v>
      </c>
      <c r="Y680" s="4"/>
      <c r="Z680" s="4">
        <f ca="1">('TUSD BE'!$AM$17+'TUSD BF'!$AM$17+'TUSD CVA'!$AM$17)*1</f>
        <v>914.77051895233399</v>
      </c>
      <c r="AA680" s="4">
        <f>('TE BE'!$AB$8+'TE BF'!$AB$8+'TE CVA'!$AB$8)*1</f>
        <v>542.84414704984056</v>
      </c>
      <c r="AB680" s="4">
        <f>$K$680*$V$680</f>
        <v>0</v>
      </c>
      <c r="AC680" s="4">
        <f>$M$680*$W$680</f>
        <v>44.01876</v>
      </c>
      <c r="AD680" s="4">
        <f>$O$680*$X$680</f>
        <v>26.893739999999998</v>
      </c>
      <c r="AE680" s="4">
        <f>$K$680*$Y$680</f>
        <v>0</v>
      </c>
      <c r="AF680" s="4">
        <f ca="1">$M$680*$Z$680</f>
        <v>56.715772175044705</v>
      </c>
      <c r="AG680" s="4">
        <f>$O$680*$AA$680</f>
        <v>33.656337117090118</v>
      </c>
    </row>
    <row r="681" spans="1:33" ht="11.25" customHeight="1" x14ac:dyDescent="0.25">
      <c r="A681" s="3" t="s">
        <v>21</v>
      </c>
      <c r="B681" s="3" t="s">
        <v>22</v>
      </c>
      <c r="C681" s="3" t="s">
        <v>33</v>
      </c>
      <c r="D681" s="3" t="s">
        <v>24</v>
      </c>
      <c r="E681" s="3" t="s">
        <v>24</v>
      </c>
      <c r="F681" s="3" t="s">
        <v>25</v>
      </c>
      <c r="G681" s="3" t="s">
        <v>25</v>
      </c>
      <c r="H681" s="3" t="s">
        <v>34</v>
      </c>
      <c r="I681" s="6">
        <v>44562</v>
      </c>
      <c r="J681" s="4">
        <v>0</v>
      </c>
      <c r="K681" s="4">
        <v>0</v>
      </c>
      <c r="L681" s="4">
        <v>5.1840000000000002</v>
      </c>
      <c r="M681" s="4">
        <v>5.1840000000000002</v>
      </c>
      <c r="N681" s="4">
        <v>5.1840000000000002</v>
      </c>
      <c r="O681" s="4">
        <v>5.1840000000000002</v>
      </c>
      <c r="P681" s="4">
        <v>0</v>
      </c>
      <c r="Q681" s="3" t="s">
        <v>26</v>
      </c>
      <c r="R681" s="3">
        <v>0</v>
      </c>
      <c r="S681" s="4">
        <v>0</v>
      </c>
      <c r="T681" s="4">
        <v>13</v>
      </c>
      <c r="U681" s="4">
        <v>26</v>
      </c>
      <c r="V681" s="4">
        <f>IF(ISERROR(VLOOKUP($S$681,'TAR FIN'!$A$1:$O$92,15,0)),0,VLOOKUP($S$681,'TAR FIN'!$A$1:$O$92,15,0))</f>
        <v>0</v>
      </c>
      <c r="W681" s="4">
        <f>IF(ISERROR(VLOOKUP($T$681,'TAR FIN'!$A$1:$O$92,15,0)),0,VLOOKUP($T$681,'TAR FIN'!$A$1:$O$92,15,0))</f>
        <v>709.98</v>
      </c>
      <c r="X681" s="4">
        <f>IF(ISERROR(VLOOKUP($U$681,'TAR FIN'!$A$1:$O$92,15,0)),0,VLOOKUP($U$681,'TAR FIN'!$A$1:$O$92,15,0))</f>
        <v>433.77</v>
      </c>
      <c r="Y681" s="4"/>
      <c r="Z681" s="4">
        <f ca="1">('TUSD BE'!$AM$17+'TUSD BF'!$AM$17+'TUSD CVA'!$AM$17)*1</f>
        <v>914.77051895233399</v>
      </c>
      <c r="AA681" s="4">
        <f>('TE BE'!$AB$8+'TE BF'!$AB$8+'TE CVA'!$AB$8)*1</f>
        <v>542.84414704984056</v>
      </c>
      <c r="AB681" s="4">
        <f>$K$681*$V$681</f>
        <v>0</v>
      </c>
      <c r="AC681" s="4">
        <f>$M$681*$W$681</f>
        <v>3680.5363200000002</v>
      </c>
      <c r="AD681" s="4">
        <f>$O$681*$X$681</f>
        <v>2248.6636800000001</v>
      </c>
      <c r="AE681" s="4">
        <f>$K$681*$Y$681</f>
        <v>0</v>
      </c>
      <c r="AF681" s="4">
        <f ca="1">$M$681*$Z$681</f>
        <v>4742.1703702488994</v>
      </c>
      <c r="AG681" s="4">
        <f>$O$681*$AA$681</f>
        <v>2814.1040583063736</v>
      </c>
    </row>
    <row r="682" spans="1:33" ht="11.25" customHeight="1" x14ac:dyDescent="0.25">
      <c r="A682" s="3" t="s">
        <v>28</v>
      </c>
      <c r="B682" s="3" t="s">
        <v>22</v>
      </c>
      <c r="C682" s="3" t="s">
        <v>33</v>
      </c>
      <c r="D682" s="3" t="s">
        <v>24</v>
      </c>
      <c r="E682" s="3" t="s">
        <v>24</v>
      </c>
      <c r="F682" s="3" t="s">
        <v>25</v>
      </c>
      <c r="G682" s="3" t="s">
        <v>25</v>
      </c>
      <c r="H682" s="3" t="s">
        <v>34</v>
      </c>
      <c r="I682" s="6">
        <v>44562</v>
      </c>
      <c r="J682" s="4">
        <v>0</v>
      </c>
      <c r="K682" s="4">
        <v>0</v>
      </c>
      <c r="L682" s="4">
        <v>6.7000000000000004E-2</v>
      </c>
      <c r="M682" s="4">
        <v>6.7000000000000004E-2</v>
      </c>
      <c r="N682" s="4">
        <v>6.7000000000000004E-2</v>
      </c>
      <c r="O682" s="4">
        <v>6.7000000000000004E-2</v>
      </c>
      <c r="P682" s="4">
        <v>0</v>
      </c>
      <c r="Q682" s="3" t="s">
        <v>26</v>
      </c>
      <c r="R682" s="3">
        <v>0</v>
      </c>
      <c r="S682" s="4">
        <v>0</v>
      </c>
      <c r="T682" s="4">
        <v>13</v>
      </c>
      <c r="U682" s="4">
        <v>26</v>
      </c>
      <c r="V682" s="4">
        <f>IF(ISERROR(VLOOKUP($S$682,'TAR FIN'!$A$1:$O$92,15,0)),0,VLOOKUP($S$682,'TAR FIN'!$A$1:$O$92,15,0))</f>
        <v>0</v>
      </c>
      <c r="W682" s="4">
        <f>IF(ISERROR(VLOOKUP($T$682,'TAR FIN'!$A$1:$O$92,15,0)),0,VLOOKUP($T$682,'TAR FIN'!$A$1:$O$92,15,0))</f>
        <v>709.98</v>
      </c>
      <c r="X682" s="4">
        <f>IF(ISERROR(VLOOKUP($U$682,'TAR FIN'!$A$1:$O$92,15,0)),0,VLOOKUP($U$682,'TAR FIN'!$A$1:$O$92,15,0))</f>
        <v>433.77</v>
      </c>
      <c r="Y682" s="4"/>
      <c r="Z682" s="4">
        <f ca="1">('TUSD BE'!$AM$17+'TUSD BF'!$AM$17+'TUSD CVA'!$AM$17)*1</f>
        <v>914.77051895233399</v>
      </c>
      <c r="AA682" s="4">
        <f>('TE BE'!$AB$8+'TE BF'!$AB$8+'TE CVA'!$AB$8)*1</f>
        <v>542.84414704984056</v>
      </c>
      <c r="AB682" s="4">
        <f>$K$682*$V$682</f>
        <v>0</v>
      </c>
      <c r="AC682" s="4">
        <f>$M$682*$W$682</f>
        <v>47.568660000000001</v>
      </c>
      <c r="AD682" s="4">
        <f>$O$682*$X$682</f>
        <v>29.06259</v>
      </c>
      <c r="AE682" s="4">
        <f>$K$682*$Y$682</f>
        <v>0</v>
      </c>
      <c r="AF682" s="4">
        <f ca="1">$M$682*$Z$682</f>
        <v>61.28962476980638</v>
      </c>
      <c r="AG682" s="4">
        <f>$O$682*$AA$682</f>
        <v>36.370557852339317</v>
      </c>
    </row>
    <row r="683" spans="1:33" ht="11.25" customHeight="1" x14ac:dyDescent="0.25">
      <c r="A683" s="3" t="s">
        <v>21</v>
      </c>
      <c r="B683" s="3" t="s">
        <v>22</v>
      </c>
      <c r="C683" s="3" t="s">
        <v>33</v>
      </c>
      <c r="D683" s="3" t="s">
        <v>24</v>
      </c>
      <c r="E683" s="3" t="s">
        <v>24</v>
      </c>
      <c r="F683" s="3" t="s">
        <v>25</v>
      </c>
      <c r="G683" s="3" t="s">
        <v>25</v>
      </c>
      <c r="H683" s="3" t="s">
        <v>34</v>
      </c>
      <c r="I683" s="6">
        <v>44593</v>
      </c>
      <c r="J683" s="4">
        <v>0</v>
      </c>
      <c r="K683" s="4">
        <v>0</v>
      </c>
      <c r="L683" s="4">
        <v>5.74</v>
      </c>
      <c r="M683" s="4">
        <v>5.74</v>
      </c>
      <c r="N683" s="4">
        <v>5.74</v>
      </c>
      <c r="O683" s="4">
        <v>5.74</v>
      </c>
      <c r="P683" s="4">
        <v>0</v>
      </c>
      <c r="Q683" s="3" t="s">
        <v>26</v>
      </c>
      <c r="R683" s="3">
        <v>0</v>
      </c>
      <c r="S683" s="4">
        <v>0</v>
      </c>
      <c r="T683" s="4">
        <v>13</v>
      </c>
      <c r="U683" s="4">
        <v>26</v>
      </c>
      <c r="V683" s="4">
        <f>IF(ISERROR(VLOOKUP($S$683,'TAR FIN'!$A$1:$O$92,15,0)),0,VLOOKUP($S$683,'TAR FIN'!$A$1:$O$92,15,0))</f>
        <v>0</v>
      </c>
      <c r="W683" s="4">
        <f>IF(ISERROR(VLOOKUP($T$683,'TAR FIN'!$A$1:$O$92,15,0)),0,VLOOKUP($T$683,'TAR FIN'!$A$1:$O$92,15,0))</f>
        <v>709.98</v>
      </c>
      <c r="X683" s="4">
        <f>IF(ISERROR(VLOOKUP($U$683,'TAR FIN'!$A$1:$O$92,15,0)),0,VLOOKUP($U$683,'TAR FIN'!$A$1:$O$92,15,0))</f>
        <v>433.77</v>
      </c>
      <c r="Y683" s="4"/>
      <c r="Z683" s="4">
        <f ca="1">('TUSD BE'!$AM$17+'TUSD BF'!$AM$17+'TUSD CVA'!$AM$17)*1</f>
        <v>914.77051895233399</v>
      </c>
      <c r="AA683" s="4">
        <f>('TE BE'!$AB$8+'TE BF'!$AB$8+'TE CVA'!$AB$8)*1</f>
        <v>542.84414704984056</v>
      </c>
      <c r="AB683" s="4">
        <f>$K$683*$V$683</f>
        <v>0</v>
      </c>
      <c r="AC683" s="4">
        <f>$M$683*$W$683</f>
        <v>4075.2852000000003</v>
      </c>
      <c r="AD683" s="4">
        <f>$O$683*$X$683</f>
        <v>2489.8398000000002</v>
      </c>
      <c r="AE683" s="4">
        <f>$K$683*$Y$683</f>
        <v>0</v>
      </c>
      <c r="AF683" s="4">
        <f ca="1">$M$683*$Z$683</f>
        <v>5250.7827787863971</v>
      </c>
      <c r="AG683" s="4">
        <f>$O$683*$AA$683</f>
        <v>3115.9254040660849</v>
      </c>
    </row>
    <row r="684" spans="1:33" ht="11.25" customHeight="1" x14ac:dyDescent="0.25">
      <c r="A684" s="3" t="s">
        <v>28</v>
      </c>
      <c r="B684" s="3" t="s">
        <v>22</v>
      </c>
      <c r="C684" s="3" t="s">
        <v>33</v>
      </c>
      <c r="D684" s="3" t="s">
        <v>24</v>
      </c>
      <c r="E684" s="3" t="s">
        <v>24</v>
      </c>
      <c r="F684" s="3" t="s">
        <v>25</v>
      </c>
      <c r="G684" s="3" t="s">
        <v>25</v>
      </c>
      <c r="H684" s="3" t="s">
        <v>34</v>
      </c>
      <c r="I684" s="6">
        <v>44593</v>
      </c>
      <c r="J684" s="4">
        <v>0</v>
      </c>
      <c r="K684" s="4">
        <v>0</v>
      </c>
      <c r="L684" s="4">
        <v>8.2000000000000003E-2</v>
      </c>
      <c r="M684" s="4">
        <v>8.2000000000000003E-2</v>
      </c>
      <c r="N684" s="4">
        <v>8.2000000000000003E-2</v>
      </c>
      <c r="O684" s="4">
        <v>8.2000000000000003E-2</v>
      </c>
      <c r="P684" s="4">
        <v>0</v>
      </c>
      <c r="Q684" s="3" t="s">
        <v>26</v>
      </c>
      <c r="R684" s="3">
        <v>0</v>
      </c>
      <c r="S684" s="4">
        <v>0</v>
      </c>
      <c r="T684" s="4">
        <v>13</v>
      </c>
      <c r="U684" s="4">
        <v>26</v>
      </c>
      <c r="V684" s="4">
        <f>IF(ISERROR(VLOOKUP($S$684,'TAR FIN'!$A$1:$O$92,15,0)),0,VLOOKUP($S$684,'TAR FIN'!$A$1:$O$92,15,0))</f>
        <v>0</v>
      </c>
      <c r="W684" s="4">
        <f>IF(ISERROR(VLOOKUP($T$684,'TAR FIN'!$A$1:$O$92,15,0)),0,VLOOKUP($T$684,'TAR FIN'!$A$1:$O$92,15,0))</f>
        <v>709.98</v>
      </c>
      <c r="X684" s="4">
        <f>IF(ISERROR(VLOOKUP($U$684,'TAR FIN'!$A$1:$O$92,15,0)),0,VLOOKUP($U$684,'TAR FIN'!$A$1:$O$92,15,0))</f>
        <v>433.77</v>
      </c>
      <c r="Y684" s="4"/>
      <c r="Z684" s="4">
        <f ca="1">('TUSD BE'!$AM$17+'TUSD BF'!$AM$17+'TUSD CVA'!$AM$17)*1</f>
        <v>914.77051895233399</v>
      </c>
      <c r="AA684" s="4">
        <f>('TE BE'!$AB$8+'TE BF'!$AB$8+'TE CVA'!$AB$8)*1</f>
        <v>542.84414704984056</v>
      </c>
      <c r="AB684" s="4">
        <f>$K$684*$V$684</f>
        <v>0</v>
      </c>
      <c r="AC684" s="4">
        <f>$M$684*$W$684</f>
        <v>58.218360000000004</v>
      </c>
      <c r="AD684" s="4">
        <f>$O$684*$X$684</f>
        <v>35.569139999999997</v>
      </c>
      <c r="AE684" s="4">
        <f>$K$684*$Y$684</f>
        <v>0</v>
      </c>
      <c r="AF684" s="4">
        <f ca="1">$M$684*$Z$684</f>
        <v>75.011182554091391</v>
      </c>
      <c r="AG684" s="4">
        <f>$O$684*$AA$684</f>
        <v>44.513220058086929</v>
      </c>
    </row>
    <row r="685" spans="1:33" ht="11.25" customHeight="1" x14ac:dyDescent="0.25">
      <c r="A685" s="3" t="s">
        <v>21</v>
      </c>
      <c r="B685" s="3" t="s">
        <v>22</v>
      </c>
      <c r="C685" s="3" t="s">
        <v>33</v>
      </c>
      <c r="D685" s="3" t="s">
        <v>24</v>
      </c>
      <c r="E685" s="3" t="s">
        <v>24</v>
      </c>
      <c r="F685" s="3" t="s">
        <v>25</v>
      </c>
      <c r="G685" s="3" t="s">
        <v>25</v>
      </c>
      <c r="H685" s="3" t="s">
        <v>34</v>
      </c>
      <c r="I685" s="6">
        <v>44621</v>
      </c>
      <c r="J685" s="4">
        <v>0</v>
      </c>
      <c r="K685" s="4">
        <v>0</v>
      </c>
      <c r="L685" s="4">
        <v>5.0720000000000001</v>
      </c>
      <c r="M685" s="4">
        <v>5.0720000000000001</v>
      </c>
      <c r="N685" s="4">
        <v>5.0720000000000001</v>
      </c>
      <c r="O685" s="4">
        <v>5.0720000000000001</v>
      </c>
      <c r="P685" s="4">
        <v>0</v>
      </c>
      <c r="Q685" s="3" t="s">
        <v>26</v>
      </c>
      <c r="R685" s="3">
        <v>0</v>
      </c>
      <c r="S685" s="4">
        <v>0</v>
      </c>
      <c r="T685" s="4">
        <v>13</v>
      </c>
      <c r="U685" s="4">
        <v>26</v>
      </c>
      <c r="V685" s="4">
        <f>IF(ISERROR(VLOOKUP($S$685,'TAR FIN'!$A$1:$O$92,15,0)),0,VLOOKUP($S$685,'TAR FIN'!$A$1:$O$92,15,0))</f>
        <v>0</v>
      </c>
      <c r="W685" s="4">
        <f>IF(ISERROR(VLOOKUP($T$685,'TAR FIN'!$A$1:$O$92,15,0)),0,VLOOKUP($T$685,'TAR FIN'!$A$1:$O$92,15,0))</f>
        <v>709.98</v>
      </c>
      <c r="X685" s="4">
        <f>IF(ISERROR(VLOOKUP($U$685,'TAR FIN'!$A$1:$O$92,15,0)),0,VLOOKUP($U$685,'TAR FIN'!$A$1:$O$92,15,0))</f>
        <v>433.77</v>
      </c>
      <c r="Y685" s="4"/>
      <c r="Z685" s="4">
        <f ca="1">('TUSD BE'!$AM$17+'TUSD BF'!$AM$17+'TUSD CVA'!$AM$17)*1</f>
        <v>914.77051895233399</v>
      </c>
      <c r="AA685" s="4">
        <f>('TE BE'!$AB$8+'TE BF'!$AB$8+'TE CVA'!$AB$8)*1</f>
        <v>542.84414704984056</v>
      </c>
      <c r="AB685" s="4">
        <f>$K$685*$V$685</f>
        <v>0</v>
      </c>
      <c r="AC685" s="4">
        <f>$M$685*$W$685</f>
        <v>3601.01856</v>
      </c>
      <c r="AD685" s="4">
        <f>$O$685*$X$685</f>
        <v>2200.0814399999999</v>
      </c>
      <c r="AE685" s="4">
        <f>$K$685*$Y$685</f>
        <v>0</v>
      </c>
      <c r="AF685" s="4">
        <f ca="1">$M$685*$Z$685</f>
        <v>4639.716072126238</v>
      </c>
      <c r="AG685" s="4">
        <f>$O$685*$AA$685</f>
        <v>2753.3055138367913</v>
      </c>
    </row>
    <row r="686" spans="1:33" ht="11.25" customHeight="1" x14ac:dyDescent="0.25">
      <c r="A686" s="3" t="s">
        <v>28</v>
      </c>
      <c r="B686" s="3" t="s">
        <v>22</v>
      </c>
      <c r="C686" s="3" t="s">
        <v>33</v>
      </c>
      <c r="D686" s="3" t="s">
        <v>24</v>
      </c>
      <c r="E686" s="3" t="s">
        <v>24</v>
      </c>
      <c r="F686" s="3" t="s">
        <v>25</v>
      </c>
      <c r="G686" s="3" t="s">
        <v>25</v>
      </c>
      <c r="H686" s="3" t="s">
        <v>34</v>
      </c>
      <c r="I686" s="6">
        <v>44621</v>
      </c>
      <c r="J686" s="4">
        <v>0</v>
      </c>
      <c r="K686" s="4">
        <v>0</v>
      </c>
      <c r="L686" s="4">
        <v>8.4000000000000005E-2</v>
      </c>
      <c r="M686" s="4">
        <v>8.4000000000000005E-2</v>
      </c>
      <c r="N686" s="4">
        <v>8.4000000000000005E-2</v>
      </c>
      <c r="O686" s="4">
        <v>8.4000000000000005E-2</v>
      </c>
      <c r="P686" s="4">
        <v>0</v>
      </c>
      <c r="Q686" s="3" t="s">
        <v>26</v>
      </c>
      <c r="R686" s="3">
        <v>0</v>
      </c>
      <c r="S686" s="4">
        <v>0</v>
      </c>
      <c r="T686" s="4">
        <v>13</v>
      </c>
      <c r="U686" s="4">
        <v>26</v>
      </c>
      <c r="V686" s="4">
        <f>IF(ISERROR(VLOOKUP($S$686,'TAR FIN'!$A$1:$O$92,15,0)),0,VLOOKUP($S$686,'TAR FIN'!$A$1:$O$92,15,0))</f>
        <v>0</v>
      </c>
      <c r="W686" s="4">
        <f>IF(ISERROR(VLOOKUP($T$686,'TAR FIN'!$A$1:$O$92,15,0)),0,VLOOKUP($T$686,'TAR FIN'!$A$1:$O$92,15,0))</f>
        <v>709.98</v>
      </c>
      <c r="X686" s="4">
        <f>IF(ISERROR(VLOOKUP($U$686,'TAR FIN'!$A$1:$O$92,15,0)),0,VLOOKUP($U$686,'TAR FIN'!$A$1:$O$92,15,0))</f>
        <v>433.77</v>
      </c>
      <c r="Y686" s="4"/>
      <c r="Z686" s="4">
        <f ca="1">('TUSD BE'!$AM$17+'TUSD BF'!$AM$17+'TUSD CVA'!$AM$17)*1</f>
        <v>914.77051895233399</v>
      </c>
      <c r="AA686" s="4">
        <f>('TE BE'!$AB$8+'TE BF'!$AB$8+'TE CVA'!$AB$8)*1</f>
        <v>542.84414704984056</v>
      </c>
      <c r="AB686" s="4">
        <f>$K$686*$V$686</f>
        <v>0</v>
      </c>
      <c r="AC686" s="4">
        <f>$M$686*$W$686</f>
        <v>59.638320000000007</v>
      </c>
      <c r="AD686" s="4">
        <f>$O$686*$X$686</f>
        <v>36.436680000000003</v>
      </c>
      <c r="AE686" s="4">
        <f>$K$686*$Y$686</f>
        <v>0</v>
      </c>
      <c r="AF686" s="4">
        <f ca="1">$M$686*$Z$686</f>
        <v>76.840723591996053</v>
      </c>
      <c r="AG686" s="4">
        <f>$O$686*$AA$686</f>
        <v>45.598908352186612</v>
      </c>
    </row>
    <row r="687" spans="1:33" ht="11.25" customHeight="1" x14ac:dyDescent="0.25">
      <c r="A687" s="3" t="s">
        <v>21</v>
      </c>
      <c r="B687" s="3" t="s">
        <v>22</v>
      </c>
      <c r="C687" s="3" t="s">
        <v>33</v>
      </c>
      <c r="D687" s="3" t="s">
        <v>24</v>
      </c>
      <c r="E687" s="3" t="s">
        <v>24</v>
      </c>
      <c r="F687" s="3" t="s">
        <v>25</v>
      </c>
      <c r="G687" s="3" t="s">
        <v>25</v>
      </c>
      <c r="H687" s="3" t="s">
        <v>34</v>
      </c>
      <c r="I687" s="6">
        <v>44652</v>
      </c>
      <c r="J687" s="4">
        <v>0</v>
      </c>
      <c r="K687" s="4">
        <v>0</v>
      </c>
      <c r="L687" s="4">
        <v>5.0720000000000001</v>
      </c>
      <c r="M687" s="4">
        <v>5.0720000000000001</v>
      </c>
      <c r="N687" s="4">
        <v>5.0720000000000001</v>
      </c>
      <c r="O687" s="4">
        <v>5.0720000000000001</v>
      </c>
      <c r="P687" s="4">
        <v>0</v>
      </c>
      <c r="Q687" s="3" t="s">
        <v>26</v>
      </c>
      <c r="R687" s="3">
        <v>0</v>
      </c>
      <c r="S687" s="4">
        <v>0</v>
      </c>
      <c r="T687" s="4">
        <v>13</v>
      </c>
      <c r="U687" s="4">
        <v>26</v>
      </c>
      <c r="V687" s="4">
        <f>IF(ISERROR(VLOOKUP($S$687,'TAR FIN'!$A$1:$O$92,15,0)),0,VLOOKUP($S$687,'TAR FIN'!$A$1:$O$92,15,0))</f>
        <v>0</v>
      </c>
      <c r="W687" s="4">
        <f>IF(ISERROR(VLOOKUP($T$687,'TAR FIN'!$A$1:$O$92,15,0)),0,VLOOKUP($T$687,'TAR FIN'!$A$1:$O$92,15,0))</f>
        <v>709.98</v>
      </c>
      <c r="X687" s="4">
        <f>IF(ISERROR(VLOOKUP($U$687,'TAR FIN'!$A$1:$O$92,15,0)),0,VLOOKUP($U$687,'TAR FIN'!$A$1:$O$92,15,0))</f>
        <v>433.77</v>
      </c>
      <c r="Y687" s="4"/>
      <c r="Z687" s="4">
        <f ca="1">('TUSD BE'!$AM$17+'TUSD BF'!$AM$17+'TUSD CVA'!$AM$17)*1</f>
        <v>914.77051895233399</v>
      </c>
      <c r="AA687" s="4">
        <f>('TE BE'!$AB$8+'TE BF'!$AB$8+'TE CVA'!$AB$8)*1</f>
        <v>542.84414704984056</v>
      </c>
      <c r="AB687" s="4">
        <f>$K$687*$V$687</f>
        <v>0</v>
      </c>
      <c r="AC687" s="4">
        <f>$M$687*$W$687</f>
        <v>3601.01856</v>
      </c>
      <c r="AD687" s="4">
        <f>$O$687*$X$687</f>
        <v>2200.0814399999999</v>
      </c>
      <c r="AE687" s="4">
        <f>$K$687*$Y$687</f>
        <v>0</v>
      </c>
      <c r="AF687" s="4">
        <f ca="1">$M$687*$Z$687</f>
        <v>4639.716072126238</v>
      </c>
      <c r="AG687" s="4">
        <f>$O$687*$AA$687</f>
        <v>2753.3055138367913</v>
      </c>
    </row>
    <row r="688" spans="1:33" ht="11.25" customHeight="1" x14ac:dyDescent="0.25">
      <c r="A688" s="3" t="s">
        <v>28</v>
      </c>
      <c r="B688" s="3" t="s">
        <v>22</v>
      </c>
      <c r="C688" s="3" t="s">
        <v>33</v>
      </c>
      <c r="D688" s="3" t="s">
        <v>24</v>
      </c>
      <c r="E688" s="3" t="s">
        <v>24</v>
      </c>
      <c r="F688" s="3" t="s">
        <v>25</v>
      </c>
      <c r="G688" s="3" t="s">
        <v>25</v>
      </c>
      <c r="H688" s="3" t="s">
        <v>34</v>
      </c>
      <c r="I688" s="6">
        <v>44652</v>
      </c>
      <c r="J688" s="4">
        <v>0</v>
      </c>
      <c r="K688" s="4">
        <v>0</v>
      </c>
      <c r="L688" s="4">
        <v>8.4000000000000005E-2</v>
      </c>
      <c r="M688" s="4">
        <v>8.4000000000000005E-2</v>
      </c>
      <c r="N688" s="4">
        <v>8.4000000000000005E-2</v>
      </c>
      <c r="O688" s="4">
        <v>8.4000000000000005E-2</v>
      </c>
      <c r="P688" s="4">
        <v>0</v>
      </c>
      <c r="Q688" s="3" t="s">
        <v>26</v>
      </c>
      <c r="R688" s="3">
        <v>0</v>
      </c>
      <c r="S688" s="4">
        <v>0</v>
      </c>
      <c r="T688" s="4">
        <v>13</v>
      </c>
      <c r="U688" s="4">
        <v>26</v>
      </c>
      <c r="V688" s="4">
        <f>IF(ISERROR(VLOOKUP($S$688,'TAR FIN'!$A$1:$O$92,15,0)),0,VLOOKUP($S$688,'TAR FIN'!$A$1:$O$92,15,0))</f>
        <v>0</v>
      </c>
      <c r="W688" s="4">
        <f>IF(ISERROR(VLOOKUP($T$688,'TAR FIN'!$A$1:$O$92,15,0)),0,VLOOKUP($T$688,'TAR FIN'!$A$1:$O$92,15,0))</f>
        <v>709.98</v>
      </c>
      <c r="X688" s="4">
        <f>IF(ISERROR(VLOOKUP($U$688,'TAR FIN'!$A$1:$O$92,15,0)),0,VLOOKUP($U$688,'TAR FIN'!$A$1:$O$92,15,0))</f>
        <v>433.77</v>
      </c>
      <c r="Y688" s="4"/>
      <c r="Z688" s="4">
        <f ca="1">('TUSD BE'!$AM$17+'TUSD BF'!$AM$17+'TUSD CVA'!$AM$17)*1</f>
        <v>914.77051895233399</v>
      </c>
      <c r="AA688" s="4">
        <f>('TE BE'!$AB$8+'TE BF'!$AB$8+'TE CVA'!$AB$8)*1</f>
        <v>542.84414704984056</v>
      </c>
      <c r="AB688" s="4">
        <f>$K$688*$V$688</f>
        <v>0</v>
      </c>
      <c r="AC688" s="4">
        <f>$M$688*$W$688</f>
        <v>59.638320000000007</v>
      </c>
      <c r="AD688" s="4">
        <f>$O$688*$X$688</f>
        <v>36.436680000000003</v>
      </c>
      <c r="AE688" s="4">
        <f>$K$688*$Y$688</f>
        <v>0</v>
      </c>
      <c r="AF688" s="4">
        <f ca="1">$M$688*$Z$688</f>
        <v>76.840723591996053</v>
      </c>
      <c r="AG688" s="4">
        <f>$O$688*$AA$688</f>
        <v>45.598908352186612</v>
      </c>
    </row>
    <row r="689" spans="1:33" ht="11.25" customHeight="1" x14ac:dyDescent="0.25">
      <c r="A689" s="3" t="s">
        <v>21</v>
      </c>
      <c r="B689" s="3" t="s">
        <v>22</v>
      </c>
      <c r="C689" s="3" t="s">
        <v>33</v>
      </c>
      <c r="D689" s="3" t="s">
        <v>24</v>
      </c>
      <c r="E689" s="3" t="s">
        <v>24</v>
      </c>
      <c r="F689" s="3" t="s">
        <v>25</v>
      </c>
      <c r="G689" s="3" t="s">
        <v>25</v>
      </c>
      <c r="H689" s="3" t="s">
        <v>34</v>
      </c>
      <c r="I689" s="6">
        <v>44682</v>
      </c>
      <c r="J689" s="4">
        <v>0</v>
      </c>
      <c r="K689" s="4">
        <v>0</v>
      </c>
      <c r="L689" s="4">
        <v>4.3920000000000003</v>
      </c>
      <c r="M689" s="4">
        <v>4.3920000000000003</v>
      </c>
      <c r="N689" s="4">
        <v>4.3920000000000003</v>
      </c>
      <c r="O689" s="4">
        <v>4.3920000000000003</v>
      </c>
      <c r="P689" s="4">
        <v>0</v>
      </c>
      <c r="Q689" s="3" t="s">
        <v>26</v>
      </c>
      <c r="R689" s="3">
        <v>0</v>
      </c>
      <c r="S689" s="4">
        <v>0</v>
      </c>
      <c r="T689" s="4">
        <v>13</v>
      </c>
      <c r="U689" s="4">
        <v>26</v>
      </c>
      <c r="V689" s="4">
        <f>IF(ISERROR(VLOOKUP($S$689,'TAR FIN'!$A$1:$O$92,15,0)),0,VLOOKUP($S$689,'TAR FIN'!$A$1:$O$92,15,0))</f>
        <v>0</v>
      </c>
      <c r="W689" s="4">
        <f>IF(ISERROR(VLOOKUP($T$689,'TAR FIN'!$A$1:$O$92,15,0)),0,VLOOKUP($T$689,'TAR FIN'!$A$1:$O$92,15,0))</f>
        <v>709.98</v>
      </c>
      <c r="X689" s="4">
        <f>IF(ISERROR(VLOOKUP($U$689,'TAR FIN'!$A$1:$O$92,15,0)),0,VLOOKUP($U$689,'TAR FIN'!$A$1:$O$92,15,0))</f>
        <v>433.77</v>
      </c>
      <c r="Y689" s="4"/>
      <c r="Z689" s="4">
        <f ca="1">('TUSD BE'!$AM$17+'TUSD BF'!$AM$17+'TUSD CVA'!$AM$17)*1</f>
        <v>914.77051895233399</v>
      </c>
      <c r="AA689" s="4">
        <f>('TE BE'!$AB$8+'TE BF'!$AB$8+'TE CVA'!$AB$8)*1</f>
        <v>542.84414704984056</v>
      </c>
      <c r="AB689" s="4">
        <f>$K$689*$V$689</f>
        <v>0</v>
      </c>
      <c r="AC689" s="4">
        <f>$M$689*$W$689</f>
        <v>3118.2321600000005</v>
      </c>
      <c r="AD689" s="4">
        <f>$O$689*$X$689</f>
        <v>1905.1178400000001</v>
      </c>
      <c r="AE689" s="4">
        <f>$K$689*$Y$689</f>
        <v>0</v>
      </c>
      <c r="AF689" s="4">
        <f ca="1">$M$689*$Z$689</f>
        <v>4017.6721192386512</v>
      </c>
      <c r="AG689" s="4">
        <f>$O$689*$AA$689</f>
        <v>2384.1714938429</v>
      </c>
    </row>
    <row r="690" spans="1:33" ht="11.25" customHeight="1" x14ac:dyDescent="0.25">
      <c r="A690" s="3" t="s">
        <v>28</v>
      </c>
      <c r="B690" s="3" t="s">
        <v>22</v>
      </c>
      <c r="C690" s="3" t="s">
        <v>33</v>
      </c>
      <c r="D690" s="3" t="s">
        <v>24</v>
      </c>
      <c r="E690" s="3" t="s">
        <v>24</v>
      </c>
      <c r="F690" s="3" t="s">
        <v>25</v>
      </c>
      <c r="G690" s="3" t="s">
        <v>25</v>
      </c>
      <c r="H690" s="3" t="s">
        <v>34</v>
      </c>
      <c r="I690" s="6">
        <v>44682</v>
      </c>
      <c r="J690" s="4">
        <v>0</v>
      </c>
      <c r="K690" s="4">
        <v>0</v>
      </c>
      <c r="L690" s="4">
        <v>0.26</v>
      </c>
      <c r="M690" s="4">
        <v>0.26</v>
      </c>
      <c r="N690" s="4">
        <v>0.26</v>
      </c>
      <c r="O690" s="4">
        <v>0.26</v>
      </c>
      <c r="P690" s="4">
        <v>0</v>
      </c>
      <c r="Q690" s="3" t="s">
        <v>26</v>
      </c>
      <c r="R690" s="3">
        <v>0</v>
      </c>
      <c r="S690" s="4">
        <v>0</v>
      </c>
      <c r="T690" s="4">
        <v>13</v>
      </c>
      <c r="U690" s="4">
        <v>26</v>
      </c>
      <c r="V690" s="4">
        <f>IF(ISERROR(VLOOKUP($S$690,'TAR FIN'!$A$1:$O$92,15,0)),0,VLOOKUP($S$690,'TAR FIN'!$A$1:$O$92,15,0))</f>
        <v>0</v>
      </c>
      <c r="W690" s="4">
        <f>IF(ISERROR(VLOOKUP($T$690,'TAR FIN'!$A$1:$O$92,15,0)),0,VLOOKUP($T$690,'TAR FIN'!$A$1:$O$92,15,0))</f>
        <v>709.98</v>
      </c>
      <c r="X690" s="4">
        <f>IF(ISERROR(VLOOKUP($U$690,'TAR FIN'!$A$1:$O$92,15,0)),0,VLOOKUP($U$690,'TAR FIN'!$A$1:$O$92,15,0))</f>
        <v>433.77</v>
      </c>
      <c r="Y690" s="4"/>
      <c r="Z690" s="4">
        <f ca="1">('TUSD BE'!$AM$17+'TUSD BF'!$AM$17+'TUSD CVA'!$AM$17)*1</f>
        <v>914.77051895233399</v>
      </c>
      <c r="AA690" s="4">
        <f>('TE BE'!$AB$8+'TE BF'!$AB$8+'TE CVA'!$AB$8)*1</f>
        <v>542.84414704984056</v>
      </c>
      <c r="AB690" s="4">
        <f>$K$690*$V$690</f>
        <v>0</v>
      </c>
      <c r="AC690" s="4">
        <f>$M$690*$W$690</f>
        <v>184.59480000000002</v>
      </c>
      <c r="AD690" s="4">
        <f>$O$690*$X$690</f>
        <v>112.78019999999999</v>
      </c>
      <c r="AE690" s="4">
        <f>$K$690*$Y$690</f>
        <v>0</v>
      </c>
      <c r="AF690" s="4">
        <f ca="1">$M$690*$Z$690</f>
        <v>237.84033492760685</v>
      </c>
      <c r="AG690" s="4">
        <f>$O$690*$AA$690</f>
        <v>141.13947823295854</v>
      </c>
    </row>
    <row r="691" spans="1:33" ht="11.25" customHeight="1" x14ac:dyDescent="0.25">
      <c r="A691" s="3" t="s">
        <v>21</v>
      </c>
      <c r="B691" s="3" t="s">
        <v>22</v>
      </c>
      <c r="C691" s="3" t="s">
        <v>33</v>
      </c>
      <c r="D691" s="3" t="s">
        <v>24</v>
      </c>
      <c r="E691" s="3" t="s">
        <v>24</v>
      </c>
      <c r="F691" s="3" t="s">
        <v>25</v>
      </c>
      <c r="G691" s="3" t="s">
        <v>25</v>
      </c>
      <c r="H691" s="3" t="s">
        <v>34</v>
      </c>
      <c r="I691" s="6">
        <v>44713</v>
      </c>
      <c r="J691" s="4">
        <v>0</v>
      </c>
      <c r="K691" s="4">
        <v>0</v>
      </c>
      <c r="L691" s="4">
        <v>4.133</v>
      </c>
      <c r="M691" s="4">
        <v>4.133</v>
      </c>
      <c r="N691" s="4">
        <v>4.133</v>
      </c>
      <c r="O691" s="4">
        <v>4.133</v>
      </c>
      <c r="P691" s="4">
        <v>0</v>
      </c>
      <c r="Q691" s="3" t="s">
        <v>26</v>
      </c>
      <c r="R691" s="3">
        <v>0</v>
      </c>
      <c r="S691" s="4">
        <v>0</v>
      </c>
      <c r="T691" s="4">
        <v>13</v>
      </c>
      <c r="U691" s="4">
        <v>26</v>
      </c>
      <c r="V691" s="4">
        <f>IF(ISERROR(VLOOKUP($S$691,'TAR FIN'!$A$1:$O$92,15,0)),0,VLOOKUP($S$691,'TAR FIN'!$A$1:$O$92,15,0))</f>
        <v>0</v>
      </c>
      <c r="W691" s="4">
        <f>IF(ISERROR(VLOOKUP($T$691,'TAR FIN'!$A$1:$O$92,15,0)),0,VLOOKUP($T$691,'TAR FIN'!$A$1:$O$92,15,0))</f>
        <v>709.98</v>
      </c>
      <c r="X691" s="4">
        <f>IF(ISERROR(VLOOKUP($U$691,'TAR FIN'!$A$1:$O$92,15,0)),0,VLOOKUP($U$691,'TAR FIN'!$A$1:$O$92,15,0))</f>
        <v>433.77</v>
      </c>
      <c r="Y691" s="4"/>
      <c r="Z691" s="4">
        <f ca="1">('TUSD BE'!$AM$17+'TUSD BF'!$AM$17+'TUSD CVA'!$AM$17)*1</f>
        <v>914.77051895233399</v>
      </c>
      <c r="AA691" s="4">
        <f>('TE BE'!$AB$8+'TE BF'!$AB$8+'TE CVA'!$AB$8)*1</f>
        <v>542.84414704984056</v>
      </c>
      <c r="AB691" s="4">
        <f>$K$691*$V$691</f>
        <v>0</v>
      </c>
      <c r="AC691" s="4">
        <f>$M$691*$W$691</f>
        <v>2934.3473400000003</v>
      </c>
      <c r="AD691" s="4">
        <f>$O$691*$X$691</f>
        <v>1792.7714099999998</v>
      </c>
      <c r="AE691" s="4">
        <f>$K$691*$Y$691</f>
        <v>0</v>
      </c>
      <c r="AF691" s="4">
        <f ca="1">$M$691*$Z$691</f>
        <v>3780.7465548299965</v>
      </c>
      <c r="AG691" s="4">
        <f>$O$691*$AA$691</f>
        <v>2243.5748597569909</v>
      </c>
    </row>
    <row r="692" spans="1:33" ht="11.25" customHeight="1" x14ac:dyDescent="0.25">
      <c r="A692" s="3" t="s">
        <v>28</v>
      </c>
      <c r="B692" s="3" t="s">
        <v>22</v>
      </c>
      <c r="C692" s="3" t="s">
        <v>33</v>
      </c>
      <c r="D692" s="3" t="s">
        <v>24</v>
      </c>
      <c r="E692" s="3" t="s">
        <v>24</v>
      </c>
      <c r="F692" s="3" t="s">
        <v>25</v>
      </c>
      <c r="G692" s="3" t="s">
        <v>25</v>
      </c>
      <c r="H692" s="3" t="s">
        <v>34</v>
      </c>
      <c r="I692" s="6">
        <v>44713</v>
      </c>
      <c r="J692" s="4">
        <v>0</v>
      </c>
      <c r="K692" s="4">
        <v>0</v>
      </c>
      <c r="L692" s="4">
        <v>5.0999999999999997E-2</v>
      </c>
      <c r="M692" s="4">
        <v>5.0999999999999997E-2</v>
      </c>
      <c r="N692" s="4">
        <v>5.0999999999999997E-2</v>
      </c>
      <c r="O692" s="4">
        <v>5.0999999999999997E-2</v>
      </c>
      <c r="P692" s="4">
        <v>0</v>
      </c>
      <c r="Q692" s="3" t="s">
        <v>26</v>
      </c>
      <c r="R692" s="3">
        <v>0</v>
      </c>
      <c r="S692" s="4">
        <v>0</v>
      </c>
      <c r="T692" s="4">
        <v>13</v>
      </c>
      <c r="U692" s="4">
        <v>26</v>
      </c>
      <c r="V692" s="4">
        <f>IF(ISERROR(VLOOKUP($S$692,'TAR FIN'!$A$1:$O$92,15,0)),0,VLOOKUP($S$692,'TAR FIN'!$A$1:$O$92,15,0))</f>
        <v>0</v>
      </c>
      <c r="W692" s="4">
        <f>IF(ISERROR(VLOOKUP($T$692,'TAR FIN'!$A$1:$O$92,15,0)),0,VLOOKUP($T$692,'TAR FIN'!$A$1:$O$92,15,0))</f>
        <v>709.98</v>
      </c>
      <c r="X692" s="4">
        <f>IF(ISERROR(VLOOKUP($U$692,'TAR FIN'!$A$1:$O$92,15,0)),0,VLOOKUP($U$692,'TAR FIN'!$A$1:$O$92,15,0))</f>
        <v>433.77</v>
      </c>
      <c r="Y692" s="4"/>
      <c r="Z692" s="4">
        <f ca="1">('TUSD BE'!$AM$17+'TUSD BF'!$AM$17+'TUSD CVA'!$AM$17)*1</f>
        <v>914.77051895233399</v>
      </c>
      <c r="AA692" s="4">
        <f>('TE BE'!$AB$8+'TE BF'!$AB$8+'TE CVA'!$AB$8)*1</f>
        <v>542.84414704984056</v>
      </c>
      <c r="AB692" s="4">
        <f>$K$692*$V$692</f>
        <v>0</v>
      </c>
      <c r="AC692" s="4">
        <f>$M$692*$W$692</f>
        <v>36.208979999999997</v>
      </c>
      <c r="AD692" s="4">
        <f>$O$692*$X$692</f>
        <v>22.122269999999997</v>
      </c>
      <c r="AE692" s="4">
        <f>$K$692*$Y$692</f>
        <v>0</v>
      </c>
      <c r="AF692" s="4">
        <f ca="1">$M$692*$Z$692</f>
        <v>46.653296466569032</v>
      </c>
      <c r="AG692" s="4">
        <f>$O$692*$AA$692</f>
        <v>27.685051499541867</v>
      </c>
    </row>
    <row r="693" spans="1:33" ht="11.25" customHeight="1" x14ac:dyDescent="0.25">
      <c r="A693" s="3" t="s">
        <v>21</v>
      </c>
      <c r="B693" s="3" t="s">
        <v>22</v>
      </c>
      <c r="C693" s="3" t="s">
        <v>33</v>
      </c>
      <c r="D693" s="3" t="s">
        <v>24</v>
      </c>
      <c r="E693" s="3" t="s">
        <v>24</v>
      </c>
      <c r="F693" s="3" t="s">
        <v>25</v>
      </c>
      <c r="G693" s="3" t="s">
        <v>25</v>
      </c>
      <c r="H693" s="3" t="s">
        <v>34</v>
      </c>
      <c r="I693" s="6">
        <v>44743</v>
      </c>
      <c r="J693" s="4">
        <v>0</v>
      </c>
      <c r="K693" s="4">
        <v>0</v>
      </c>
      <c r="L693" s="4">
        <v>9.3829999999999991</v>
      </c>
      <c r="M693" s="4">
        <v>9.3829999999999991</v>
      </c>
      <c r="N693" s="4">
        <v>9.3829999999999991</v>
      </c>
      <c r="O693" s="4">
        <v>9.3829999999999991</v>
      </c>
      <c r="P693" s="4">
        <v>0</v>
      </c>
      <c r="Q693" s="3" t="s">
        <v>26</v>
      </c>
      <c r="R693" s="3">
        <v>0</v>
      </c>
      <c r="S693" s="4">
        <v>0</v>
      </c>
      <c r="T693" s="4">
        <v>13</v>
      </c>
      <c r="U693" s="4">
        <v>26</v>
      </c>
      <c r="V693" s="4">
        <f>IF(ISERROR(VLOOKUP($S$693,'TAR FIN'!$A$1:$O$92,15,0)),0,VLOOKUP($S$693,'TAR FIN'!$A$1:$O$92,15,0))</f>
        <v>0</v>
      </c>
      <c r="W693" s="4">
        <f>IF(ISERROR(VLOOKUP($T$693,'TAR FIN'!$A$1:$O$92,15,0)),0,VLOOKUP($T$693,'TAR FIN'!$A$1:$O$92,15,0))</f>
        <v>709.98</v>
      </c>
      <c r="X693" s="4">
        <f>IF(ISERROR(VLOOKUP($U$693,'TAR FIN'!$A$1:$O$92,15,0)),0,VLOOKUP($U$693,'TAR FIN'!$A$1:$O$92,15,0))</f>
        <v>433.77</v>
      </c>
      <c r="Y693" s="4"/>
      <c r="Z693" s="4">
        <f ca="1">('TUSD BE'!$AM$17+'TUSD BF'!$AM$17+'TUSD CVA'!$AM$17)*1</f>
        <v>914.77051895233399</v>
      </c>
      <c r="AA693" s="4">
        <f>('TE BE'!$AB$8+'TE BF'!$AB$8+'TE CVA'!$AB$8)*1</f>
        <v>542.84414704984056</v>
      </c>
      <c r="AB693" s="4">
        <f>$K$693*$V$693</f>
        <v>0</v>
      </c>
      <c r="AC693" s="4">
        <f>$M$693*$W$693</f>
        <v>6661.7423399999998</v>
      </c>
      <c r="AD693" s="4">
        <f>$O$693*$X$693</f>
        <v>4070.0639099999994</v>
      </c>
      <c r="AE693" s="4">
        <f>$K$693*$Y$693</f>
        <v>0</v>
      </c>
      <c r="AF693" s="4">
        <f ca="1">$M$693*$Z$693</f>
        <v>8583.2917793297493</v>
      </c>
      <c r="AG693" s="4">
        <f>$O$693*$AA$693</f>
        <v>5093.5066317686533</v>
      </c>
    </row>
    <row r="694" spans="1:33" ht="11.25" customHeight="1" x14ac:dyDescent="0.25">
      <c r="A694" s="3" t="s">
        <v>28</v>
      </c>
      <c r="B694" s="3" t="s">
        <v>22</v>
      </c>
      <c r="C694" s="3" t="s">
        <v>33</v>
      </c>
      <c r="D694" s="3" t="s">
        <v>24</v>
      </c>
      <c r="E694" s="3" t="s">
        <v>24</v>
      </c>
      <c r="F694" s="3" t="s">
        <v>25</v>
      </c>
      <c r="G694" s="3" t="s">
        <v>25</v>
      </c>
      <c r="H694" s="3" t="s">
        <v>34</v>
      </c>
      <c r="I694" s="6">
        <v>44743</v>
      </c>
      <c r="J694" s="4">
        <v>0</v>
      </c>
      <c r="K694" s="4">
        <v>0</v>
      </c>
      <c r="L694" s="4">
        <v>6.6000000000000003E-2</v>
      </c>
      <c r="M694" s="4">
        <v>6.6000000000000003E-2</v>
      </c>
      <c r="N694" s="4">
        <v>6.6000000000000003E-2</v>
      </c>
      <c r="O694" s="4">
        <v>6.6000000000000003E-2</v>
      </c>
      <c r="P694" s="4">
        <v>0</v>
      </c>
      <c r="Q694" s="3" t="s">
        <v>26</v>
      </c>
      <c r="R694" s="3">
        <v>0</v>
      </c>
      <c r="S694" s="4">
        <v>0</v>
      </c>
      <c r="T694" s="4">
        <v>13</v>
      </c>
      <c r="U694" s="4">
        <v>26</v>
      </c>
      <c r="V694" s="4">
        <f>IF(ISERROR(VLOOKUP($S$694,'TAR FIN'!$A$1:$O$92,15,0)),0,VLOOKUP($S$694,'TAR FIN'!$A$1:$O$92,15,0))</f>
        <v>0</v>
      </c>
      <c r="W694" s="4">
        <f>IF(ISERROR(VLOOKUP($T$694,'TAR FIN'!$A$1:$O$92,15,0)),0,VLOOKUP($T$694,'TAR FIN'!$A$1:$O$92,15,0))</f>
        <v>709.98</v>
      </c>
      <c r="X694" s="4">
        <f>IF(ISERROR(VLOOKUP($U$694,'TAR FIN'!$A$1:$O$92,15,0)),0,VLOOKUP($U$694,'TAR FIN'!$A$1:$O$92,15,0))</f>
        <v>433.77</v>
      </c>
      <c r="Y694" s="4"/>
      <c r="Z694" s="4">
        <f ca="1">('TUSD BE'!$AM$17+'TUSD BF'!$AM$17+'TUSD CVA'!$AM$17)*1</f>
        <v>914.77051895233399</v>
      </c>
      <c r="AA694" s="4">
        <f>('TE BE'!$AB$8+'TE BF'!$AB$8+'TE CVA'!$AB$8)*1</f>
        <v>542.84414704984056</v>
      </c>
      <c r="AB694" s="4">
        <f>$K$694*$V$694</f>
        <v>0</v>
      </c>
      <c r="AC694" s="4">
        <f>$M$694*$W$694</f>
        <v>46.858680000000007</v>
      </c>
      <c r="AD694" s="4">
        <f>$O$694*$X$694</f>
        <v>28.628820000000001</v>
      </c>
      <c r="AE694" s="4">
        <f>$K$694*$Y$694</f>
        <v>0</v>
      </c>
      <c r="AF694" s="4">
        <f ca="1">$M$694*$Z$694</f>
        <v>60.374854250854042</v>
      </c>
      <c r="AG694" s="4">
        <f>$O$694*$AA$694</f>
        <v>35.827713705289476</v>
      </c>
    </row>
    <row r="695" spans="1:33" ht="11.25" customHeight="1" x14ac:dyDescent="0.25">
      <c r="A695" s="3" t="s">
        <v>21</v>
      </c>
      <c r="B695" s="3" t="s">
        <v>22</v>
      </c>
      <c r="C695" s="3" t="s">
        <v>33</v>
      </c>
      <c r="D695" s="3" t="s">
        <v>24</v>
      </c>
      <c r="E695" s="3" t="s">
        <v>24</v>
      </c>
      <c r="F695" s="3" t="s">
        <v>25</v>
      </c>
      <c r="G695" s="3" t="s">
        <v>25</v>
      </c>
      <c r="H695" s="3" t="s">
        <v>34</v>
      </c>
      <c r="I695" s="6">
        <v>44774</v>
      </c>
      <c r="J695" s="4">
        <v>0</v>
      </c>
      <c r="K695" s="4">
        <v>0</v>
      </c>
      <c r="L695" s="4">
        <v>5.3840000000000003</v>
      </c>
      <c r="M695" s="4">
        <v>5.3840000000000003</v>
      </c>
      <c r="N695" s="4">
        <v>5.3840000000000003</v>
      </c>
      <c r="O695" s="4">
        <v>5.3840000000000003</v>
      </c>
      <c r="P695" s="4">
        <v>0</v>
      </c>
      <c r="Q695" s="3" t="s">
        <v>26</v>
      </c>
      <c r="R695" s="3">
        <v>0</v>
      </c>
      <c r="S695" s="4">
        <v>0</v>
      </c>
      <c r="T695" s="4">
        <v>13</v>
      </c>
      <c r="U695" s="4">
        <v>26</v>
      </c>
      <c r="V695" s="4">
        <f>IF(ISERROR(VLOOKUP($S$695,'TAR FIN'!$A$1:$O$92,15,0)),0,VLOOKUP($S$695,'TAR FIN'!$A$1:$O$92,15,0))</f>
        <v>0</v>
      </c>
      <c r="W695" s="4">
        <f>IF(ISERROR(VLOOKUP($T$695,'TAR FIN'!$A$1:$O$92,15,0)),0,VLOOKUP($T$695,'TAR FIN'!$A$1:$O$92,15,0))</f>
        <v>709.98</v>
      </c>
      <c r="X695" s="4">
        <f>IF(ISERROR(VLOOKUP($U$695,'TAR FIN'!$A$1:$O$92,15,0)),0,VLOOKUP($U$695,'TAR FIN'!$A$1:$O$92,15,0))</f>
        <v>433.77</v>
      </c>
      <c r="Y695" s="4"/>
      <c r="Z695" s="4">
        <f ca="1">('TUSD BE'!$AM$17+'TUSD BF'!$AM$17+'TUSD CVA'!$AM$17)*1</f>
        <v>914.77051895233399</v>
      </c>
      <c r="AA695" s="4">
        <f>('TE BE'!$AB$8+'TE BF'!$AB$8+'TE CVA'!$AB$8)*1</f>
        <v>542.84414704984056</v>
      </c>
      <c r="AB695" s="4">
        <f>$K$695*$V$695</f>
        <v>0</v>
      </c>
      <c r="AC695" s="4">
        <f>$M$695*$W$695</f>
        <v>3822.5323200000003</v>
      </c>
      <c r="AD695" s="4">
        <f>$O$695*$X$695</f>
        <v>2335.41768</v>
      </c>
      <c r="AE695" s="4">
        <f>$K$695*$Y$695</f>
        <v>0</v>
      </c>
      <c r="AF695" s="4">
        <f ca="1">$M$695*$Z$695</f>
        <v>4925.1244740393668</v>
      </c>
      <c r="AG695" s="4">
        <f>$O$695*$AA$695</f>
        <v>2922.6728877163418</v>
      </c>
    </row>
    <row r="696" spans="1:33" ht="11.25" customHeight="1" x14ac:dyDescent="0.25">
      <c r="A696" s="3" t="s">
        <v>28</v>
      </c>
      <c r="B696" s="3" t="s">
        <v>22</v>
      </c>
      <c r="C696" s="3" t="s">
        <v>33</v>
      </c>
      <c r="D696" s="3" t="s">
        <v>24</v>
      </c>
      <c r="E696" s="3" t="s">
        <v>24</v>
      </c>
      <c r="F696" s="3" t="s">
        <v>25</v>
      </c>
      <c r="G696" s="3" t="s">
        <v>25</v>
      </c>
      <c r="H696" s="3" t="s">
        <v>34</v>
      </c>
      <c r="I696" s="6">
        <v>44774</v>
      </c>
      <c r="J696" s="4">
        <v>0</v>
      </c>
      <c r="K696" s="4">
        <v>0</v>
      </c>
      <c r="L696" s="4">
        <v>6.4000000000000001E-2</v>
      </c>
      <c r="M696" s="4">
        <v>6.4000000000000001E-2</v>
      </c>
      <c r="N696" s="4">
        <v>6.4000000000000001E-2</v>
      </c>
      <c r="O696" s="4">
        <v>6.4000000000000001E-2</v>
      </c>
      <c r="P696" s="4">
        <v>0</v>
      </c>
      <c r="Q696" s="3" t="s">
        <v>26</v>
      </c>
      <c r="R696" s="3">
        <v>0</v>
      </c>
      <c r="S696" s="4">
        <v>0</v>
      </c>
      <c r="T696" s="4">
        <v>13</v>
      </c>
      <c r="U696" s="4">
        <v>26</v>
      </c>
      <c r="V696" s="4">
        <f>IF(ISERROR(VLOOKUP($S$696,'TAR FIN'!$A$1:$O$92,15,0)),0,VLOOKUP($S$696,'TAR FIN'!$A$1:$O$92,15,0))</f>
        <v>0</v>
      </c>
      <c r="W696" s="4">
        <f>IF(ISERROR(VLOOKUP($T$696,'TAR FIN'!$A$1:$O$92,15,0)),0,VLOOKUP($T$696,'TAR FIN'!$A$1:$O$92,15,0))</f>
        <v>709.98</v>
      </c>
      <c r="X696" s="4">
        <f>IF(ISERROR(VLOOKUP($U$696,'TAR FIN'!$A$1:$O$92,15,0)),0,VLOOKUP($U$696,'TAR FIN'!$A$1:$O$92,15,0))</f>
        <v>433.77</v>
      </c>
      <c r="Y696" s="4"/>
      <c r="Z696" s="4">
        <f ca="1">('TUSD BE'!$AM$17+'TUSD BF'!$AM$17+'TUSD CVA'!$AM$17)*1</f>
        <v>914.77051895233399</v>
      </c>
      <c r="AA696" s="4">
        <f>('TE BE'!$AB$8+'TE BF'!$AB$8+'TE CVA'!$AB$8)*1</f>
        <v>542.84414704984056</v>
      </c>
      <c r="AB696" s="4">
        <f>$K$696*$V$696</f>
        <v>0</v>
      </c>
      <c r="AC696" s="4">
        <f>$M$696*$W$696</f>
        <v>45.438720000000004</v>
      </c>
      <c r="AD696" s="4">
        <f>$O$696*$X$696</f>
        <v>27.761279999999999</v>
      </c>
      <c r="AE696" s="4">
        <f>$K$696*$Y$696</f>
        <v>0</v>
      </c>
      <c r="AF696" s="4">
        <f ca="1">$M$696*$Z$696</f>
        <v>58.545313212949374</v>
      </c>
      <c r="AG696" s="4">
        <f>$O$696*$AA$696</f>
        <v>34.742025411189793</v>
      </c>
    </row>
    <row r="697" spans="1:33" ht="11.25" customHeight="1" x14ac:dyDescent="0.25">
      <c r="A697" s="3" t="s">
        <v>21</v>
      </c>
      <c r="B697" s="3" t="s">
        <v>22</v>
      </c>
      <c r="C697" s="3" t="s">
        <v>33</v>
      </c>
      <c r="D697" s="3" t="s">
        <v>24</v>
      </c>
      <c r="E697" s="3" t="s">
        <v>24</v>
      </c>
      <c r="F697" s="3" t="s">
        <v>25</v>
      </c>
      <c r="G697" s="3" t="s">
        <v>25</v>
      </c>
      <c r="H697" s="3" t="s">
        <v>34</v>
      </c>
      <c r="I697" s="6">
        <v>44805</v>
      </c>
      <c r="J697" s="4">
        <v>0</v>
      </c>
      <c r="K697" s="4">
        <v>0</v>
      </c>
      <c r="L697" s="4">
        <v>4.9820000000000002</v>
      </c>
      <c r="M697" s="4">
        <v>4.9820000000000002</v>
      </c>
      <c r="N697" s="4">
        <v>4.9820000000000002</v>
      </c>
      <c r="O697" s="4">
        <v>4.9820000000000002</v>
      </c>
      <c r="P697" s="4">
        <v>0</v>
      </c>
      <c r="Q697" s="3" t="s">
        <v>26</v>
      </c>
      <c r="R697" s="3">
        <v>0</v>
      </c>
      <c r="S697" s="4">
        <v>0</v>
      </c>
      <c r="T697" s="4">
        <v>13</v>
      </c>
      <c r="U697" s="4">
        <v>26</v>
      </c>
      <c r="V697" s="4">
        <f>IF(ISERROR(VLOOKUP($S$697,'TAR FIN'!$A$1:$O$92,15,0)),0,VLOOKUP($S$697,'TAR FIN'!$A$1:$O$92,15,0))</f>
        <v>0</v>
      </c>
      <c r="W697" s="4">
        <f>IF(ISERROR(VLOOKUP($T$697,'TAR FIN'!$A$1:$O$92,15,0)),0,VLOOKUP($T$697,'TAR FIN'!$A$1:$O$92,15,0))</f>
        <v>709.98</v>
      </c>
      <c r="X697" s="4">
        <f>IF(ISERROR(VLOOKUP($U$697,'TAR FIN'!$A$1:$O$92,15,0)),0,VLOOKUP($U$697,'TAR FIN'!$A$1:$O$92,15,0))</f>
        <v>433.77</v>
      </c>
      <c r="Y697" s="4"/>
      <c r="Z697" s="4">
        <f ca="1">('TUSD BE'!$AM$17+'TUSD BF'!$AM$17+'TUSD CVA'!$AM$17)*1</f>
        <v>914.77051895233399</v>
      </c>
      <c r="AA697" s="4">
        <f>('TE BE'!$AB$8+'TE BF'!$AB$8+'TE CVA'!$AB$8)*1</f>
        <v>542.84414704984056</v>
      </c>
      <c r="AB697" s="4">
        <f>$K$697*$V$697</f>
        <v>0</v>
      </c>
      <c r="AC697" s="4">
        <f>$M$697*$W$697</f>
        <v>3537.1203600000003</v>
      </c>
      <c r="AD697" s="4">
        <f>$O$697*$X$697</f>
        <v>2161.04214</v>
      </c>
      <c r="AE697" s="4">
        <f>$K$697*$Y$697</f>
        <v>0</v>
      </c>
      <c r="AF697" s="4">
        <f ca="1">$M$697*$Z$697</f>
        <v>4557.3867254205279</v>
      </c>
      <c r="AG697" s="4">
        <f>$O$697*$AA$697</f>
        <v>2704.4495406023057</v>
      </c>
    </row>
    <row r="698" spans="1:33" ht="11.25" customHeight="1" x14ac:dyDescent="0.25">
      <c r="A698" s="3" t="s">
        <v>28</v>
      </c>
      <c r="B698" s="3" t="s">
        <v>22</v>
      </c>
      <c r="C698" s="3" t="s">
        <v>33</v>
      </c>
      <c r="D698" s="3" t="s">
        <v>24</v>
      </c>
      <c r="E698" s="3" t="s">
        <v>24</v>
      </c>
      <c r="F698" s="3" t="s">
        <v>25</v>
      </c>
      <c r="G698" s="3" t="s">
        <v>25</v>
      </c>
      <c r="H698" s="3" t="s">
        <v>34</v>
      </c>
      <c r="I698" s="6">
        <v>44805</v>
      </c>
      <c r="J698" s="4">
        <v>0</v>
      </c>
      <c r="K698" s="4">
        <v>0</v>
      </c>
      <c r="L698" s="4">
        <v>0.09</v>
      </c>
      <c r="M698" s="4">
        <v>0.09</v>
      </c>
      <c r="N698" s="4">
        <v>0.09</v>
      </c>
      <c r="O698" s="4">
        <v>0.09</v>
      </c>
      <c r="P698" s="4">
        <v>0</v>
      </c>
      <c r="Q698" s="3" t="s">
        <v>26</v>
      </c>
      <c r="R698" s="3">
        <v>0</v>
      </c>
      <c r="S698" s="4">
        <v>0</v>
      </c>
      <c r="T698" s="4">
        <v>13</v>
      </c>
      <c r="U698" s="4">
        <v>26</v>
      </c>
      <c r="V698" s="4">
        <f>IF(ISERROR(VLOOKUP($S$698,'TAR FIN'!$A$1:$O$92,15,0)),0,VLOOKUP($S$698,'TAR FIN'!$A$1:$O$92,15,0))</f>
        <v>0</v>
      </c>
      <c r="W698" s="4">
        <f>IF(ISERROR(VLOOKUP($T$698,'TAR FIN'!$A$1:$O$92,15,0)),0,VLOOKUP($T$698,'TAR FIN'!$A$1:$O$92,15,0))</f>
        <v>709.98</v>
      </c>
      <c r="X698" s="4">
        <f>IF(ISERROR(VLOOKUP($U$698,'TAR FIN'!$A$1:$O$92,15,0)),0,VLOOKUP($U$698,'TAR FIN'!$A$1:$O$92,15,0))</f>
        <v>433.77</v>
      </c>
      <c r="Y698" s="4"/>
      <c r="Z698" s="4">
        <f ca="1">('TUSD BE'!$AM$17+'TUSD BF'!$AM$17+'TUSD CVA'!$AM$17)*1</f>
        <v>914.77051895233399</v>
      </c>
      <c r="AA698" s="4">
        <f>('TE BE'!$AB$8+'TE BF'!$AB$8+'TE CVA'!$AB$8)*1</f>
        <v>542.84414704984056</v>
      </c>
      <c r="AB698" s="4">
        <f>$K$698*$V$698</f>
        <v>0</v>
      </c>
      <c r="AC698" s="4">
        <f>$M$698*$W$698</f>
        <v>63.898200000000003</v>
      </c>
      <c r="AD698" s="4">
        <f>$O$698*$X$698</f>
        <v>39.039299999999997</v>
      </c>
      <c r="AE698" s="4">
        <f>$K$698*$Y$698</f>
        <v>0</v>
      </c>
      <c r="AF698" s="4">
        <f ca="1">$M$698*$Z$698</f>
        <v>82.329346705710051</v>
      </c>
      <c r="AG698" s="4">
        <f>$O$698*$AA$698</f>
        <v>48.855973234485646</v>
      </c>
    </row>
    <row r="699" spans="1:33" ht="11.25" customHeight="1" x14ac:dyDescent="0.25">
      <c r="A699" s="3" t="s">
        <v>55</v>
      </c>
      <c r="B699" s="3" t="s">
        <v>22</v>
      </c>
      <c r="C699" s="3" t="s">
        <v>33</v>
      </c>
      <c r="D699" s="3" t="s">
        <v>24</v>
      </c>
      <c r="E699" s="3" t="s">
        <v>24</v>
      </c>
      <c r="F699" s="3" t="s">
        <v>25</v>
      </c>
      <c r="G699" s="3" t="s">
        <v>25</v>
      </c>
      <c r="H699" s="3" t="s">
        <v>34</v>
      </c>
      <c r="I699" s="6">
        <v>44835</v>
      </c>
      <c r="J699" s="4">
        <v>0</v>
      </c>
      <c r="K699" s="4">
        <v>0</v>
      </c>
      <c r="L699" s="4">
        <v>4.9820000000000002</v>
      </c>
      <c r="M699" s="4">
        <v>4.9820000000000002</v>
      </c>
      <c r="N699" s="4">
        <v>4.9820000000000002</v>
      </c>
      <c r="O699" s="4">
        <v>4.9820000000000002</v>
      </c>
      <c r="P699" s="4">
        <v>0</v>
      </c>
      <c r="Q699" s="3" t="s">
        <v>26</v>
      </c>
      <c r="R699" s="3">
        <v>0</v>
      </c>
      <c r="S699" s="4">
        <v>0</v>
      </c>
      <c r="T699" s="4">
        <v>13</v>
      </c>
      <c r="U699" s="4">
        <v>26</v>
      </c>
      <c r="V699" s="4">
        <f>IF(ISERROR(VLOOKUP($S$699,'TAR FIN'!$A$1:$O$92,15,0)),0,VLOOKUP($S$699,'TAR FIN'!$A$1:$O$92,15,0))</f>
        <v>0</v>
      </c>
      <c r="W699" s="4">
        <f>IF(ISERROR(VLOOKUP($T$699,'TAR FIN'!$A$1:$O$92,15,0)),0,VLOOKUP($T$699,'TAR FIN'!$A$1:$O$92,15,0))</f>
        <v>709.98</v>
      </c>
      <c r="X699" s="4">
        <f>IF(ISERROR(VLOOKUP($U$699,'TAR FIN'!$A$1:$O$92,15,0)),0,VLOOKUP($U$699,'TAR FIN'!$A$1:$O$92,15,0))</f>
        <v>433.77</v>
      </c>
      <c r="Y699" s="4"/>
      <c r="Z699" s="4">
        <f ca="1">('TUSD BE'!$AM$17+'TUSD BF'!$AM$17+'TUSD CVA'!$AM$17)*1</f>
        <v>914.77051895233399</v>
      </c>
      <c r="AA699" s="4">
        <f>('TE BE'!$AB$8+'TE BF'!$AB$8+'TE CVA'!$AB$8)*1</f>
        <v>542.84414704984056</v>
      </c>
      <c r="AB699" s="4">
        <f>$K$699*$V$699</f>
        <v>0</v>
      </c>
      <c r="AC699" s="4">
        <f>$M$699*$W$699</f>
        <v>3537.1203600000003</v>
      </c>
      <c r="AD699" s="4">
        <f>$O$699*$X$699</f>
        <v>2161.04214</v>
      </c>
      <c r="AE699" s="4">
        <f>$K$699*$Y$699</f>
        <v>0</v>
      </c>
      <c r="AF699" s="4">
        <f ca="1">$M$699*$Z$699</f>
        <v>4557.3867254205279</v>
      </c>
      <c r="AG699" s="4">
        <f>$O$699*$AA$699</f>
        <v>2704.4495406023057</v>
      </c>
    </row>
    <row r="700" spans="1:33" ht="11.25" customHeight="1" x14ac:dyDescent="0.25">
      <c r="A700" s="3" t="s">
        <v>55</v>
      </c>
      <c r="B700" s="3" t="s">
        <v>22</v>
      </c>
      <c r="C700" s="3" t="s">
        <v>33</v>
      </c>
      <c r="D700" s="3" t="s">
        <v>24</v>
      </c>
      <c r="E700" s="3" t="s">
        <v>24</v>
      </c>
      <c r="F700" s="3" t="s">
        <v>25</v>
      </c>
      <c r="G700" s="3" t="s">
        <v>25</v>
      </c>
      <c r="H700" s="3" t="s">
        <v>34</v>
      </c>
      <c r="I700" s="6">
        <v>44835</v>
      </c>
      <c r="J700" s="4">
        <v>0</v>
      </c>
      <c r="K700" s="4">
        <v>0</v>
      </c>
      <c r="L700" s="4">
        <v>0.09</v>
      </c>
      <c r="M700" s="4">
        <v>0.09</v>
      </c>
      <c r="N700" s="4">
        <v>0.09</v>
      </c>
      <c r="O700" s="4">
        <v>0.09</v>
      </c>
      <c r="P700" s="4">
        <v>0</v>
      </c>
      <c r="Q700" s="3" t="s">
        <v>26</v>
      </c>
      <c r="R700" s="3">
        <v>0</v>
      </c>
      <c r="S700" s="4">
        <v>0</v>
      </c>
      <c r="T700" s="4">
        <v>13</v>
      </c>
      <c r="U700" s="4">
        <v>26</v>
      </c>
      <c r="V700" s="4">
        <f>IF(ISERROR(VLOOKUP($S$700,'TAR FIN'!$A$1:$O$92,15,0)),0,VLOOKUP($S$700,'TAR FIN'!$A$1:$O$92,15,0))</f>
        <v>0</v>
      </c>
      <c r="W700" s="4">
        <f>IF(ISERROR(VLOOKUP($T$700,'TAR FIN'!$A$1:$O$92,15,0)),0,VLOOKUP($T$700,'TAR FIN'!$A$1:$O$92,15,0))</f>
        <v>709.98</v>
      </c>
      <c r="X700" s="4">
        <f>IF(ISERROR(VLOOKUP($U$700,'TAR FIN'!$A$1:$O$92,15,0)),0,VLOOKUP($U$700,'TAR FIN'!$A$1:$O$92,15,0))</f>
        <v>433.77</v>
      </c>
      <c r="Y700" s="4"/>
      <c r="Z700" s="4">
        <f ca="1">('TUSD BE'!$AM$17+'TUSD BF'!$AM$17+'TUSD CVA'!$AM$17)*1</f>
        <v>914.77051895233399</v>
      </c>
      <c r="AA700" s="4">
        <f>('TE BE'!$AB$8+'TE BF'!$AB$8+'TE CVA'!$AB$8)*1</f>
        <v>542.84414704984056</v>
      </c>
      <c r="AB700" s="4">
        <f>$K$700*$V$700</f>
        <v>0</v>
      </c>
      <c r="AC700" s="4">
        <f>$M$700*$W$700</f>
        <v>63.898200000000003</v>
      </c>
      <c r="AD700" s="4">
        <f>$O$700*$X$700</f>
        <v>39.039299999999997</v>
      </c>
      <c r="AE700" s="4">
        <f>$K$700*$Y$700</f>
        <v>0</v>
      </c>
      <c r="AF700" s="4">
        <f ca="1">$M$700*$Z$700</f>
        <v>82.329346705710051</v>
      </c>
      <c r="AG700" s="4">
        <f>$O$700*$AA$700</f>
        <v>48.855973234485646</v>
      </c>
    </row>
    <row r="701" spans="1:33" ht="11.25" customHeight="1" x14ac:dyDescent="0.25">
      <c r="A701" s="3" t="s">
        <v>21</v>
      </c>
      <c r="B701" s="3" t="s">
        <v>22</v>
      </c>
      <c r="C701" s="3" t="s">
        <v>23</v>
      </c>
      <c r="D701" s="3" t="s">
        <v>24</v>
      </c>
      <c r="E701" s="3" t="s">
        <v>24</v>
      </c>
      <c r="F701" s="3" t="s">
        <v>25</v>
      </c>
      <c r="G701" s="3" t="s">
        <v>25</v>
      </c>
      <c r="H701" s="3" t="s">
        <v>25</v>
      </c>
      <c r="I701" s="6">
        <v>44501</v>
      </c>
      <c r="J701" s="4">
        <v>0</v>
      </c>
      <c r="K701" s="4">
        <v>0</v>
      </c>
      <c r="L701" s="4">
        <v>49041.118999999999</v>
      </c>
      <c r="M701" s="4">
        <v>49041.118999999999</v>
      </c>
      <c r="N701" s="4">
        <v>49041.118999999999</v>
      </c>
      <c r="O701" s="4">
        <v>49041.118999999999</v>
      </c>
      <c r="P701" s="4">
        <v>124757</v>
      </c>
      <c r="Q701" s="3" t="s">
        <v>26</v>
      </c>
      <c r="R701" s="3">
        <v>0</v>
      </c>
      <c r="S701" s="4">
        <v>0</v>
      </c>
      <c r="T701" s="4">
        <v>24</v>
      </c>
      <c r="U701" s="4">
        <v>40</v>
      </c>
      <c r="V701" s="4">
        <f>IF(ISERROR(VLOOKUP($S$701,'TAR FIN'!$A$1:$O$92,15,0)),0,VLOOKUP($S$701,'TAR FIN'!$A$1:$O$92,15,0))</f>
        <v>0</v>
      </c>
      <c r="W701" s="4">
        <f>IF(ISERROR(VLOOKUP($T$701,'TAR FIN'!$A$1:$O$92,15,0)),0,VLOOKUP($T$701,'TAR FIN'!$A$1:$O$92,15,0))</f>
        <v>311.27999999999997</v>
      </c>
      <c r="X701" s="4">
        <f>IF(ISERROR(VLOOKUP($U$701,'TAR FIN'!$A$1:$O$92,15,0)),0,VLOOKUP($U$701,'TAR FIN'!$A$1:$O$92,15,0))</f>
        <v>268.89</v>
      </c>
      <c r="Y701" s="4"/>
      <c r="Z701" s="4">
        <f ca="1">('TUSD BE'!$AM$20+'TUSD BF'!$AM$20+'TUSD CVA'!$AM$20)*1</f>
        <v>398.95397789704208</v>
      </c>
      <c r="AA701" s="4">
        <f>('TE BE'!$AB$11+'TE BF'!$AB$11+'TE CVA'!$AB$11)*1</f>
        <v>336.17550926835082</v>
      </c>
      <c r="AB701" s="4">
        <f>$K$701*$V$701</f>
        <v>0</v>
      </c>
      <c r="AC701" s="4">
        <f>$M$701*$W$701</f>
        <v>15265519.522319999</v>
      </c>
      <c r="AD701" s="4">
        <f>$O$701*$X$701</f>
        <v>13186666.487909999</v>
      </c>
      <c r="AE701" s="4">
        <f>$K$701*$Y$701</f>
        <v>0</v>
      </c>
      <c r="AF701" s="4">
        <f ca="1">$M$701*$Z$701</f>
        <v>19565149.505572211</v>
      </c>
      <c r="AG701" s="4">
        <f>$O$701*$AA$701</f>
        <v>16486423.154914794</v>
      </c>
    </row>
    <row r="702" spans="1:33" ht="11.25" customHeight="1" x14ac:dyDescent="0.25">
      <c r="A702" s="3" t="s">
        <v>27</v>
      </c>
      <c r="B702" s="3" t="s">
        <v>22</v>
      </c>
      <c r="C702" s="3" t="s">
        <v>23</v>
      </c>
      <c r="D702" s="3" t="s">
        <v>24</v>
      </c>
      <c r="E702" s="3" t="s">
        <v>24</v>
      </c>
      <c r="F702" s="3" t="s">
        <v>25</v>
      </c>
      <c r="G702" s="3" t="s">
        <v>25</v>
      </c>
      <c r="H702" s="3" t="s">
        <v>25</v>
      </c>
      <c r="I702" s="6">
        <v>44501</v>
      </c>
      <c r="J702" s="4">
        <v>0</v>
      </c>
      <c r="K702" s="4">
        <v>0</v>
      </c>
      <c r="L702" s="4">
        <v>-126.026</v>
      </c>
      <c r="M702" s="4">
        <v>-126.026</v>
      </c>
      <c r="N702" s="4">
        <v>-126.026</v>
      </c>
      <c r="O702" s="4">
        <v>-126.026</v>
      </c>
      <c r="P702" s="4">
        <v>-140</v>
      </c>
      <c r="Q702" s="3" t="s">
        <v>26</v>
      </c>
      <c r="R702" s="3">
        <v>0</v>
      </c>
      <c r="S702" s="4">
        <v>0</v>
      </c>
      <c r="T702" s="4">
        <v>24</v>
      </c>
      <c r="U702" s="4">
        <v>40</v>
      </c>
      <c r="V702" s="4">
        <f>IF(ISERROR(VLOOKUP($S$702,'TAR FIN'!$A$1:$O$92,15,0)),0,VLOOKUP($S$702,'TAR FIN'!$A$1:$O$92,15,0))</f>
        <v>0</v>
      </c>
      <c r="W702" s="4">
        <f>IF(ISERROR(VLOOKUP($T$702,'TAR FIN'!$A$1:$O$92,15,0)),0,VLOOKUP($T$702,'TAR FIN'!$A$1:$O$92,15,0))</f>
        <v>311.27999999999997</v>
      </c>
      <c r="X702" s="4">
        <f>IF(ISERROR(VLOOKUP($U$702,'TAR FIN'!$A$1:$O$92,15,0)),0,VLOOKUP($U$702,'TAR FIN'!$A$1:$O$92,15,0))</f>
        <v>268.89</v>
      </c>
      <c r="Y702" s="4"/>
      <c r="Z702" s="4">
        <f ca="1">('TUSD BE'!$AM$20+'TUSD BF'!$AM$20+'TUSD CVA'!$AM$20)*1</f>
        <v>398.95397789704208</v>
      </c>
      <c r="AA702" s="4">
        <f>('TE BE'!$AB$11+'TE BF'!$AB$11+'TE CVA'!$AB$11)*1</f>
        <v>336.17550926835082</v>
      </c>
      <c r="AB702" s="4">
        <f>$K$702*$V$702</f>
        <v>0</v>
      </c>
      <c r="AC702" s="4">
        <f>$M$702*$W$702</f>
        <v>-39229.373279999993</v>
      </c>
      <c r="AD702" s="4">
        <f>$O$702*$X$702</f>
        <v>-33887.131139999998</v>
      </c>
      <c r="AE702" s="4">
        <f>$K$702*$Y$702</f>
        <v>0</v>
      </c>
      <c r="AF702" s="4">
        <f ca="1">$M$702*$Z$702</f>
        <v>-50278.574018452622</v>
      </c>
      <c r="AG702" s="4">
        <f>$O$702*$AA$702</f>
        <v>-42366.854731053179</v>
      </c>
    </row>
    <row r="703" spans="1:33" ht="11.25" customHeight="1" x14ac:dyDescent="0.25">
      <c r="A703" s="3" t="s">
        <v>28</v>
      </c>
      <c r="B703" s="3" t="s">
        <v>22</v>
      </c>
      <c r="C703" s="3" t="s">
        <v>23</v>
      </c>
      <c r="D703" s="3" t="s">
        <v>24</v>
      </c>
      <c r="E703" s="3" t="s">
        <v>24</v>
      </c>
      <c r="F703" s="3" t="s">
        <v>25</v>
      </c>
      <c r="G703" s="3" t="s">
        <v>25</v>
      </c>
      <c r="H703" s="3" t="s">
        <v>25</v>
      </c>
      <c r="I703" s="6">
        <v>44501</v>
      </c>
      <c r="J703" s="4">
        <v>0</v>
      </c>
      <c r="K703" s="4">
        <v>0</v>
      </c>
      <c r="L703" s="4">
        <v>487.62299999999999</v>
      </c>
      <c r="M703" s="4">
        <v>487.62299999999999</v>
      </c>
      <c r="N703" s="4">
        <v>487.62299999999999</v>
      </c>
      <c r="O703" s="4">
        <v>487.62299999999999</v>
      </c>
      <c r="P703" s="4">
        <v>529</v>
      </c>
      <c r="Q703" s="3" t="s">
        <v>26</v>
      </c>
      <c r="R703" s="3">
        <v>0</v>
      </c>
      <c r="S703" s="4">
        <v>0</v>
      </c>
      <c r="T703" s="4">
        <v>24</v>
      </c>
      <c r="U703" s="4">
        <v>40</v>
      </c>
      <c r="V703" s="4">
        <f>IF(ISERROR(VLOOKUP($S$703,'TAR FIN'!$A$1:$O$92,15,0)),0,VLOOKUP($S$703,'TAR FIN'!$A$1:$O$92,15,0))</f>
        <v>0</v>
      </c>
      <c r="W703" s="4">
        <f>IF(ISERROR(VLOOKUP($T$703,'TAR FIN'!$A$1:$O$92,15,0)),0,VLOOKUP($T$703,'TAR FIN'!$A$1:$O$92,15,0))</f>
        <v>311.27999999999997</v>
      </c>
      <c r="X703" s="4">
        <f>IF(ISERROR(VLOOKUP($U$703,'TAR FIN'!$A$1:$O$92,15,0)),0,VLOOKUP($U$703,'TAR FIN'!$A$1:$O$92,15,0))</f>
        <v>268.89</v>
      </c>
      <c r="Y703" s="4"/>
      <c r="Z703" s="4">
        <f ca="1">('TUSD BE'!$AM$20+'TUSD BF'!$AM$20+'TUSD CVA'!$AM$20)*1</f>
        <v>398.95397789704208</v>
      </c>
      <c r="AA703" s="4">
        <f>('TE BE'!$AB$11+'TE BF'!$AB$11+'TE CVA'!$AB$11)*1</f>
        <v>336.17550926835082</v>
      </c>
      <c r="AB703" s="4">
        <f>$K$703*$V$703</f>
        <v>0</v>
      </c>
      <c r="AC703" s="4">
        <f>$M$703*$W$703</f>
        <v>151787.28743999999</v>
      </c>
      <c r="AD703" s="4">
        <f>$O$703*$X$703</f>
        <v>131116.94847</v>
      </c>
      <c r="AE703" s="4">
        <f>$K$703*$Y$703</f>
        <v>0</v>
      </c>
      <c r="AF703" s="4">
        <f ca="1">$M$703*$Z$703</f>
        <v>194539.13556408935</v>
      </c>
      <c r="AG703" s="4">
        <f>$O$703*$AA$703</f>
        <v>163926.91035596104</v>
      </c>
    </row>
    <row r="704" spans="1:33" ht="11.25" customHeight="1" x14ac:dyDescent="0.25">
      <c r="A704" s="3" t="s">
        <v>28</v>
      </c>
      <c r="B704" s="3" t="s">
        <v>22</v>
      </c>
      <c r="C704" s="3" t="s">
        <v>23</v>
      </c>
      <c r="D704" s="3" t="s">
        <v>24</v>
      </c>
      <c r="E704" s="3" t="s">
        <v>24</v>
      </c>
      <c r="F704" s="3" t="s">
        <v>25</v>
      </c>
      <c r="G704" s="3" t="s">
        <v>25</v>
      </c>
      <c r="H704" s="3" t="s">
        <v>25</v>
      </c>
      <c r="I704" s="6">
        <v>44501</v>
      </c>
      <c r="J704" s="4">
        <v>0</v>
      </c>
      <c r="K704" s="4">
        <v>0</v>
      </c>
      <c r="L704" s="4">
        <v>2.1629999999999998</v>
      </c>
      <c r="M704" s="4">
        <v>2.1629999999999998</v>
      </c>
      <c r="N704" s="4">
        <v>2.1629999999999998</v>
      </c>
      <c r="O704" s="4">
        <v>2.1629999999999998</v>
      </c>
      <c r="P704" s="4">
        <v>1</v>
      </c>
      <c r="Q704" s="3" t="s">
        <v>26</v>
      </c>
      <c r="R704" s="3">
        <v>0</v>
      </c>
      <c r="S704" s="4">
        <v>0</v>
      </c>
      <c r="T704" s="4">
        <v>24</v>
      </c>
      <c r="U704" s="4">
        <v>40</v>
      </c>
      <c r="V704" s="4">
        <f>IF(ISERROR(VLOOKUP($S$704,'TAR FIN'!$A$1:$O$92,15,0)),0,VLOOKUP($S$704,'TAR FIN'!$A$1:$O$92,15,0))</f>
        <v>0</v>
      </c>
      <c r="W704" s="4">
        <f>IF(ISERROR(VLOOKUP($T$704,'TAR FIN'!$A$1:$O$92,15,0)),0,VLOOKUP($T$704,'TAR FIN'!$A$1:$O$92,15,0))</f>
        <v>311.27999999999997</v>
      </c>
      <c r="X704" s="4">
        <f>IF(ISERROR(VLOOKUP($U$704,'TAR FIN'!$A$1:$O$92,15,0)),0,VLOOKUP($U$704,'TAR FIN'!$A$1:$O$92,15,0))</f>
        <v>268.89</v>
      </c>
      <c r="Y704" s="4"/>
      <c r="Z704" s="4">
        <f ca="1">('TUSD BE'!$AM$20+'TUSD BF'!$AM$20+'TUSD CVA'!$AM$20)*1</f>
        <v>398.95397789704208</v>
      </c>
      <c r="AA704" s="4">
        <f>('TE BE'!$AB$11+'TE BF'!$AB$11+'TE CVA'!$AB$11)*1</f>
        <v>336.17550926835082</v>
      </c>
      <c r="AB704" s="4">
        <f>$K$704*$V$704</f>
        <v>0</v>
      </c>
      <c r="AC704" s="4">
        <f>$M$704*$W$704</f>
        <v>673.29863999999986</v>
      </c>
      <c r="AD704" s="4">
        <f>$O$704*$X$704</f>
        <v>581.60906999999997</v>
      </c>
      <c r="AE704" s="4">
        <f>$K$704*$Y$704</f>
        <v>0</v>
      </c>
      <c r="AF704" s="4">
        <f ca="1">$M$704*$Z$704</f>
        <v>862.93745419130198</v>
      </c>
      <c r="AG704" s="4">
        <f>$O$704*$AA$704</f>
        <v>727.14762654744277</v>
      </c>
    </row>
    <row r="705" spans="1:33" ht="11.25" customHeight="1" x14ac:dyDescent="0.25">
      <c r="A705" s="3" t="s">
        <v>21</v>
      </c>
      <c r="B705" s="3" t="s">
        <v>22</v>
      </c>
      <c r="C705" s="3" t="s">
        <v>23</v>
      </c>
      <c r="D705" s="3" t="s">
        <v>24</v>
      </c>
      <c r="E705" s="3" t="s">
        <v>24</v>
      </c>
      <c r="F705" s="3" t="s">
        <v>25</v>
      </c>
      <c r="G705" s="3" t="s">
        <v>25</v>
      </c>
      <c r="H705" s="3" t="s">
        <v>25</v>
      </c>
      <c r="I705" s="6">
        <v>44531</v>
      </c>
      <c r="J705" s="4">
        <v>0</v>
      </c>
      <c r="K705" s="4">
        <v>0</v>
      </c>
      <c r="L705" s="4">
        <v>45706.932999999997</v>
      </c>
      <c r="M705" s="4">
        <v>45706.932999999997</v>
      </c>
      <c r="N705" s="4">
        <v>45706.932999999997</v>
      </c>
      <c r="O705" s="4">
        <v>45706.932999999997</v>
      </c>
      <c r="P705" s="4">
        <v>125428</v>
      </c>
      <c r="Q705" s="3" t="s">
        <v>26</v>
      </c>
      <c r="R705" s="3">
        <v>0</v>
      </c>
      <c r="S705" s="4">
        <v>0</v>
      </c>
      <c r="T705" s="4">
        <v>24</v>
      </c>
      <c r="U705" s="4">
        <v>40</v>
      </c>
      <c r="V705" s="4">
        <f>IF(ISERROR(VLOOKUP($S$705,'TAR FIN'!$A$1:$O$92,15,0)),0,VLOOKUP($S$705,'TAR FIN'!$A$1:$O$92,15,0))</f>
        <v>0</v>
      </c>
      <c r="W705" s="4">
        <f>IF(ISERROR(VLOOKUP($T$705,'TAR FIN'!$A$1:$O$92,15,0)),0,VLOOKUP($T$705,'TAR FIN'!$A$1:$O$92,15,0))</f>
        <v>311.27999999999997</v>
      </c>
      <c r="X705" s="4">
        <f>IF(ISERROR(VLOOKUP($U$705,'TAR FIN'!$A$1:$O$92,15,0)),0,VLOOKUP($U$705,'TAR FIN'!$A$1:$O$92,15,0))</f>
        <v>268.89</v>
      </c>
      <c r="Y705" s="4"/>
      <c r="Z705" s="4">
        <f ca="1">('TUSD BE'!$AM$20+'TUSD BF'!$AM$20+'TUSD CVA'!$AM$20)*1</f>
        <v>398.95397789704208</v>
      </c>
      <c r="AA705" s="4">
        <f>('TE BE'!$AB$11+'TE BF'!$AB$11+'TE CVA'!$AB$11)*1</f>
        <v>336.17550926835082</v>
      </c>
      <c r="AB705" s="4">
        <f>$K$705*$V$705</f>
        <v>0</v>
      </c>
      <c r="AC705" s="4">
        <f>$M$705*$W$705</f>
        <v>14227654.104239998</v>
      </c>
      <c r="AD705" s="4">
        <f>$O$705*$X$705</f>
        <v>12290137.214369999</v>
      </c>
      <c r="AE705" s="4">
        <f>$K$705*$Y$705</f>
        <v>0</v>
      </c>
      <c r="AF705" s="4">
        <f ca="1">$M$705*$Z$705</f>
        <v>18234962.737823583</v>
      </c>
      <c r="AG705" s="4">
        <f>$O$705*$AA$705</f>
        <v>15365551.478369389</v>
      </c>
    </row>
    <row r="706" spans="1:33" ht="11.25" customHeight="1" x14ac:dyDescent="0.25">
      <c r="A706" s="3" t="s">
        <v>27</v>
      </c>
      <c r="B706" s="3" t="s">
        <v>22</v>
      </c>
      <c r="C706" s="3" t="s">
        <v>23</v>
      </c>
      <c r="D706" s="3" t="s">
        <v>24</v>
      </c>
      <c r="E706" s="3" t="s">
        <v>24</v>
      </c>
      <c r="F706" s="3" t="s">
        <v>25</v>
      </c>
      <c r="G706" s="3" t="s">
        <v>25</v>
      </c>
      <c r="H706" s="3" t="s">
        <v>25</v>
      </c>
      <c r="I706" s="6">
        <v>44531</v>
      </c>
      <c r="J706" s="4">
        <v>0</v>
      </c>
      <c r="K706" s="4">
        <v>0</v>
      </c>
      <c r="L706" s="4">
        <v>-68.465999999999994</v>
      </c>
      <c r="M706" s="4">
        <v>-68.465999999999994</v>
      </c>
      <c r="N706" s="4">
        <v>-68.465999999999994</v>
      </c>
      <c r="O706" s="4">
        <v>-68.465999999999994</v>
      </c>
      <c r="P706" s="4">
        <v>-139</v>
      </c>
      <c r="Q706" s="3" t="s">
        <v>26</v>
      </c>
      <c r="R706" s="3">
        <v>0</v>
      </c>
      <c r="S706" s="4">
        <v>0</v>
      </c>
      <c r="T706" s="4">
        <v>24</v>
      </c>
      <c r="U706" s="4">
        <v>40</v>
      </c>
      <c r="V706" s="4">
        <f>IF(ISERROR(VLOOKUP($S$706,'TAR FIN'!$A$1:$O$92,15,0)),0,VLOOKUP($S$706,'TAR FIN'!$A$1:$O$92,15,0))</f>
        <v>0</v>
      </c>
      <c r="W706" s="4">
        <f>IF(ISERROR(VLOOKUP($T$706,'TAR FIN'!$A$1:$O$92,15,0)),0,VLOOKUP($T$706,'TAR FIN'!$A$1:$O$92,15,0))</f>
        <v>311.27999999999997</v>
      </c>
      <c r="X706" s="4">
        <f>IF(ISERROR(VLOOKUP($U$706,'TAR FIN'!$A$1:$O$92,15,0)),0,VLOOKUP($U$706,'TAR FIN'!$A$1:$O$92,15,0))</f>
        <v>268.89</v>
      </c>
      <c r="Y706" s="4"/>
      <c r="Z706" s="4">
        <f ca="1">('TUSD BE'!$AM$20+'TUSD BF'!$AM$20+'TUSD CVA'!$AM$20)*1</f>
        <v>398.95397789704208</v>
      </c>
      <c r="AA706" s="4">
        <f>('TE BE'!$AB$11+'TE BF'!$AB$11+'TE CVA'!$AB$11)*1</f>
        <v>336.17550926835082</v>
      </c>
      <c r="AB706" s="4">
        <f>$K$706*$V$706</f>
        <v>0</v>
      </c>
      <c r="AC706" s="4">
        <f>$M$706*$W$706</f>
        <v>-21312.096479999997</v>
      </c>
      <c r="AD706" s="4">
        <f>$O$706*$X$706</f>
        <v>-18409.822739999996</v>
      </c>
      <c r="AE706" s="4">
        <f>$K$706*$Y$706</f>
        <v>0</v>
      </c>
      <c r="AF706" s="4">
        <f ca="1">$M$706*$Z$706</f>
        <v>-27314.783050698879</v>
      </c>
      <c r="AG706" s="4">
        <f>$O$706*$AA$706</f>
        <v>-23016.592417566906</v>
      </c>
    </row>
    <row r="707" spans="1:33" ht="11.25" customHeight="1" x14ac:dyDescent="0.25">
      <c r="A707" s="3" t="s">
        <v>28</v>
      </c>
      <c r="B707" s="3" t="s">
        <v>22</v>
      </c>
      <c r="C707" s="3" t="s">
        <v>23</v>
      </c>
      <c r="D707" s="3" t="s">
        <v>24</v>
      </c>
      <c r="E707" s="3" t="s">
        <v>24</v>
      </c>
      <c r="F707" s="3" t="s">
        <v>25</v>
      </c>
      <c r="G707" s="3" t="s">
        <v>25</v>
      </c>
      <c r="H707" s="3" t="s">
        <v>25</v>
      </c>
      <c r="I707" s="6">
        <v>44531</v>
      </c>
      <c r="J707" s="4">
        <v>0</v>
      </c>
      <c r="K707" s="4">
        <v>0</v>
      </c>
      <c r="L707" s="4">
        <v>465.87</v>
      </c>
      <c r="M707" s="4">
        <v>465.87</v>
      </c>
      <c r="N707" s="4">
        <v>465.87</v>
      </c>
      <c r="O707" s="4">
        <v>465.87</v>
      </c>
      <c r="P707" s="4">
        <v>558</v>
      </c>
      <c r="Q707" s="3" t="s">
        <v>26</v>
      </c>
      <c r="R707" s="3">
        <v>0</v>
      </c>
      <c r="S707" s="4">
        <v>0</v>
      </c>
      <c r="T707" s="4">
        <v>24</v>
      </c>
      <c r="U707" s="4">
        <v>40</v>
      </c>
      <c r="V707" s="4">
        <f>IF(ISERROR(VLOOKUP($S$707,'TAR FIN'!$A$1:$O$92,15,0)),0,VLOOKUP($S$707,'TAR FIN'!$A$1:$O$92,15,0))</f>
        <v>0</v>
      </c>
      <c r="W707" s="4">
        <f>IF(ISERROR(VLOOKUP($T$707,'TAR FIN'!$A$1:$O$92,15,0)),0,VLOOKUP($T$707,'TAR FIN'!$A$1:$O$92,15,0))</f>
        <v>311.27999999999997</v>
      </c>
      <c r="X707" s="4">
        <f>IF(ISERROR(VLOOKUP($U$707,'TAR FIN'!$A$1:$O$92,15,0)),0,VLOOKUP($U$707,'TAR FIN'!$A$1:$O$92,15,0))</f>
        <v>268.89</v>
      </c>
      <c r="Y707" s="4"/>
      <c r="Z707" s="4">
        <f ca="1">('TUSD BE'!$AM$20+'TUSD BF'!$AM$20+'TUSD CVA'!$AM$20)*1</f>
        <v>398.95397789704208</v>
      </c>
      <c r="AA707" s="4">
        <f>('TE BE'!$AB$11+'TE BF'!$AB$11+'TE CVA'!$AB$11)*1</f>
        <v>336.17550926835082</v>
      </c>
      <c r="AB707" s="4">
        <f>$K$707*$V$707</f>
        <v>0</v>
      </c>
      <c r="AC707" s="4">
        <f>$M$707*$W$707</f>
        <v>145016.01359999998</v>
      </c>
      <c r="AD707" s="4">
        <f>$O$707*$X$707</f>
        <v>125267.7843</v>
      </c>
      <c r="AE707" s="4">
        <f>$K$707*$Y$707</f>
        <v>0</v>
      </c>
      <c r="AF707" s="4">
        <f ca="1">$M$707*$Z$707</f>
        <v>185860.689682895</v>
      </c>
      <c r="AG707" s="4">
        <f>$O$707*$AA$707</f>
        <v>156614.08450284658</v>
      </c>
    </row>
    <row r="708" spans="1:33" ht="11.25" customHeight="1" x14ac:dyDescent="0.25">
      <c r="A708" s="3" t="s">
        <v>28</v>
      </c>
      <c r="B708" s="3" t="s">
        <v>22</v>
      </c>
      <c r="C708" s="3" t="s">
        <v>23</v>
      </c>
      <c r="D708" s="3" t="s">
        <v>24</v>
      </c>
      <c r="E708" s="3" t="s">
        <v>24</v>
      </c>
      <c r="F708" s="3" t="s">
        <v>25</v>
      </c>
      <c r="G708" s="3" t="s">
        <v>25</v>
      </c>
      <c r="H708" s="3" t="s">
        <v>25</v>
      </c>
      <c r="I708" s="6">
        <v>44531</v>
      </c>
      <c r="J708" s="4">
        <v>0</v>
      </c>
      <c r="K708" s="4">
        <v>0</v>
      </c>
      <c r="L708" s="4">
        <v>1.512</v>
      </c>
      <c r="M708" s="4">
        <v>1.512</v>
      </c>
      <c r="N708" s="4">
        <v>1.512</v>
      </c>
      <c r="O708" s="4">
        <v>1.512</v>
      </c>
      <c r="P708" s="4">
        <v>1</v>
      </c>
      <c r="Q708" s="3" t="s">
        <v>26</v>
      </c>
      <c r="R708" s="3">
        <v>0</v>
      </c>
      <c r="S708" s="4">
        <v>0</v>
      </c>
      <c r="T708" s="4">
        <v>24</v>
      </c>
      <c r="U708" s="4">
        <v>40</v>
      </c>
      <c r="V708" s="4">
        <f>IF(ISERROR(VLOOKUP($S$708,'TAR FIN'!$A$1:$O$92,15,0)),0,VLOOKUP($S$708,'TAR FIN'!$A$1:$O$92,15,0))</f>
        <v>0</v>
      </c>
      <c r="W708" s="4">
        <f>IF(ISERROR(VLOOKUP($T$708,'TAR FIN'!$A$1:$O$92,15,0)),0,VLOOKUP($T$708,'TAR FIN'!$A$1:$O$92,15,0))</f>
        <v>311.27999999999997</v>
      </c>
      <c r="X708" s="4">
        <f>IF(ISERROR(VLOOKUP($U$708,'TAR FIN'!$A$1:$O$92,15,0)),0,VLOOKUP($U$708,'TAR FIN'!$A$1:$O$92,15,0))</f>
        <v>268.89</v>
      </c>
      <c r="Y708" s="4"/>
      <c r="Z708" s="4">
        <f ca="1">('TUSD BE'!$AM$20+'TUSD BF'!$AM$20+'TUSD CVA'!$AM$20)*1</f>
        <v>398.95397789704208</v>
      </c>
      <c r="AA708" s="4">
        <f>('TE BE'!$AB$11+'TE BF'!$AB$11+'TE CVA'!$AB$11)*1</f>
        <v>336.17550926835082</v>
      </c>
      <c r="AB708" s="4">
        <f>$K$708*$V$708</f>
        <v>0</v>
      </c>
      <c r="AC708" s="4">
        <f>$M$708*$W$708</f>
        <v>470.65535999999997</v>
      </c>
      <c r="AD708" s="4">
        <f>$O$708*$X$708</f>
        <v>406.56167999999997</v>
      </c>
      <c r="AE708" s="4">
        <f>$K$708*$Y$708</f>
        <v>0</v>
      </c>
      <c r="AF708" s="4">
        <f ca="1">$M$708*$Z$708</f>
        <v>603.21841458032759</v>
      </c>
      <c r="AG708" s="4">
        <f>$O$708*$AA$708</f>
        <v>508.29737001374644</v>
      </c>
    </row>
    <row r="709" spans="1:33" ht="11.25" customHeight="1" x14ac:dyDescent="0.25">
      <c r="A709" s="3" t="s">
        <v>21</v>
      </c>
      <c r="B709" s="3" t="s">
        <v>22</v>
      </c>
      <c r="C709" s="3" t="s">
        <v>23</v>
      </c>
      <c r="D709" s="3" t="s">
        <v>24</v>
      </c>
      <c r="E709" s="3" t="s">
        <v>24</v>
      </c>
      <c r="F709" s="3" t="s">
        <v>25</v>
      </c>
      <c r="G709" s="3" t="s">
        <v>25</v>
      </c>
      <c r="H709" s="3" t="s">
        <v>25</v>
      </c>
      <c r="I709" s="6">
        <v>44562</v>
      </c>
      <c r="J709" s="4">
        <v>0</v>
      </c>
      <c r="K709" s="4">
        <v>0</v>
      </c>
      <c r="L709" s="4">
        <v>42246.652999999998</v>
      </c>
      <c r="M709" s="4">
        <v>42246.652999999998</v>
      </c>
      <c r="N709" s="4">
        <v>42246.652999999998</v>
      </c>
      <c r="O709" s="4">
        <v>42246.652999999998</v>
      </c>
      <c r="P709" s="4">
        <v>125697</v>
      </c>
      <c r="Q709" s="3" t="s">
        <v>26</v>
      </c>
      <c r="R709" s="3">
        <v>0</v>
      </c>
      <c r="S709" s="4">
        <v>0</v>
      </c>
      <c r="T709" s="4">
        <v>24</v>
      </c>
      <c r="U709" s="4">
        <v>40</v>
      </c>
      <c r="V709" s="4">
        <f>IF(ISERROR(VLOOKUP($S$709,'TAR FIN'!$A$1:$O$92,15,0)),0,VLOOKUP($S$709,'TAR FIN'!$A$1:$O$92,15,0))</f>
        <v>0</v>
      </c>
      <c r="W709" s="4">
        <f>IF(ISERROR(VLOOKUP($T$709,'TAR FIN'!$A$1:$O$92,15,0)),0,VLOOKUP($T$709,'TAR FIN'!$A$1:$O$92,15,0))</f>
        <v>311.27999999999997</v>
      </c>
      <c r="X709" s="4">
        <f>IF(ISERROR(VLOOKUP($U$709,'TAR FIN'!$A$1:$O$92,15,0)),0,VLOOKUP($U$709,'TAR FIN'!$A$1:$O$92,15,0))</f>
        <v>268.89</v>
      </c>
      <c r="Y709" s="4"/>
      <c r="Z709" s="4">
        <f ca="1">('TUSD BE'!$AM$20+'TUSD BF'!$AM$20+'TUSD CVA'!$AM$20)*1</f>
        <v>398.95397789704208</v>
      </c>
      <c r="AA709" s="4">
        <f>('TE BE'!$AB$11+'TE BF'!$AB$11+'TE CVA'!$AB$11)*1</f>
        <v>336.17550926835082</v>
      </c>
      <c r="AB709" s="4">
        <f>$K$709*$V$709</f>
        <v>0</v>
      </c>
      <c r="AC709" s="4">
        <f>$M$709*$W$709</f>
        <v>13150538.145839998</v>
      </c>
      <c r="AD709" s="4">
        <f>$O$709*$X$709</f>
        <v>11359702.525169998</v>
      </c>
      <c r="AE709" s="4">
        <f>$K$709*$Y$709</f>
        <v>0</v>
      </c>
      <c r="AF709" s="4">
        <f ca="1">$M$709*$Z$709</f>
        <v>16854470.267186005</v>
      </c>
      <c r="AG709" s="4">
        <f>$O$709*$AA$709</f>
        <v>14202290.0871583</v>
      </c>
    </row>
    <row r="710" spans="1:33" ht="11.25" customHeight="1" x14ac:dyDescent="0.25">
      <c r="A710" s="3" t="s">
        <v>27</v>
      </c>
      <c r="B710" s="3" t="s">
        <v>22</v>
      </c>
      <c r="C710" s="3" t="s">
        <v>23</v>
      </c>
      <c r="D710" s="3" t="s">
        <v>24</v>
      </c>
      <c r="E710" s="3" t="s">
        <v>24</v>
      </c>
      <c r="F710" s="3" t="s">
        <v>25</v>
      </c>
      <c r="G710" s="3" t="s">
        <v>25</v>
      </c>
      <c r="H710" s="3" t="s">
        <v>25</v>
      </c>
      <c r="I710" s="6">
        <v>44562</v>
      </c>
      <c r="J710" s="4">
        <v>0</v>
      </c>
      <c r="K710" s="4">
        <v>0</v>
      </c>
      <c r="L710" s="4">
        <v>-54.203000000000003</v>
      </c>
      <c r="M710" s="4">
        <v>-54.203000000000003</v>
      </c>
      <c r="N710" s="4">
        <v>-54.203000000000003</v>
      </c>
      <c r="O710" s="4">
        <v>-54.203000000000003</v>
      </c>
      <c r="P710" s="4">
        <v>10</v>
      </c>
      <c r="Q710" s="3" t="s">
        <v>26</v>
      </c>
      <c r="R710" s="3">
        <v>0</v>
      </c>
      <c r="S710" s="4">
        <v>0</v>
      </c>
      <c r="T710" s="4">
        <v>24</v>
      </c>
      <c r="U710" s="4">
        <v>40</v>
      </c>
      <c r="V710" s="4">
        <f>IF(ISERROR(VLOOKUP($S$710,'TAR FIN'!$A$1:$O$92,15,0)),0,VLOOKUP($S$710,'TAR FIN'!$A$1:$O$92,15,0))</f>
        <v>0</v>
      </c>
      <c r="W710" s="4">
        <f>IF(ISERROR(VLOOKUP($T$710,'TAR FIN'!$A$1:$O$92,15,0)),0,VLOOKUP($T$710,'TAR FIN'!$A$1:$O$92,15,0))</f>
        <v>311.27999999999997</v>
      </c>
      <c r="X710" s="4">
        <f>IF(ISERROR(VLOOKUP($U$710,'TAR FIN'!$A$1:$O$92,15,0)),0,VLOOKUP($U$710,'TAR FIN'!$A$1:$O$92,15,0))</f>
        <v>268.89</v>
      </c>
      <c r="Y710" s="4"/>
      <c r="Z710" s="4">
        <f ca="1">('TUSD BE'!$AM$20+'TUSD BF'!$AM$20+'TUSD CVA'!$AM$20)*1</f>
        <v>398.95397789704208</v>
      </c>
      <c r="AA710" s="4">
        <f>('TE BE'!$AB$11+'TE BF'!$AB$11+'TE CVA'!$AB$11)*1</f>
        <v>336.17550926835082</v>
      </c>
      <c r="AB710" s="4">
        <f>$K$710*$V$710</f>
        <v>0</v>
      </c>
      <c r="AC710" s="4">
        <f>$M$710*$W$710</f>
        <v>-16872.309839999998</v>
      </c>
      <c r="AD710" s="4">
        <f>$O$710*$X$710</f>
        <v>-14574.64467</v>
      </c>
      <c r="AE710" s="4">
        <f>$K$710*$Y$710</f>
        <v>0</v>
      </c>
      <c r="AF710" s="4">
        <f ca="1">$M$710*$Z$710</f>
        <v>-21624.502463953373</v>
      </c>
      <c r="AG710" s="4">
        <f>$O$710*$AA$710</f>
        <v>-18221.721128872421</v>
      </c>
    </row>
    <row r="711" spans="1:33" ht="11.25" customHeight="1" x14ac:dyDescent="0.25">
      <c r="A711" s="3" t="s">
        <v>28</v>
      </c>
      <c r="B711" s="3" t="s">
        <v>22</v>
      </c>
      <c r="C711" s="3" t="s">
        <v>23</v>
      </c>
      <c r="D711" s="3" t="s">
        <v>24</v>
      </c>
      <c r="E711" s="3" t="s">
        <v>24</v>
      </c>
      <c r="F711" s="3" t="s">
        <v>25</v>
      </c>
      <c r="G711" s="3" t="s">
        <v>25</v>
      </c>
      <c r="H711" s="3" t="s">
        <v>25</v>
      </c>
      <c r="I711" s="6">
        <v>44562</v>
      </c>
      <c r="J711" s="4">
        <v>0</v>
      </c>
      <c r="K711" s="4">
        <v>0</v>
      </c>
      <c r="L711" s="4">
        <v>440.35300000000001</v>
      </c>
      <c r="M711" s="4">
        <v>440.35300000000001</v>
      </c>
      <c r="N711" s="4">
        <v>440.35300000000001</v>
      </c>
      <c r="O711" s="4">
        <v>440.35300000000001</v>
      </c>
      <c r="P711" s="4">
        <v>582</v>
      </c>
      <c r="Q711" s="3" t="s">
        <v>26</v>
      </c>
      <c r="R711" s="3">
        <v>0</v>
      </c>
      <c r="S711" s="4">
        <v>0</v>
      </c>
      <c r="T711" s="4">
        <v>24</v>
      </c>
      <c r="U711" s="4">
        <v>40</v>
      </c>
      <c r="V711" s="4">
        <f>IF(ISERROR(VLOOKUP($S$711,'TAR FIN'!$A$1:$O$92,15,0)),0,VLOOKUP($S$711,'TAR FIN'!$A$1:$O$92,15,0))</f>
        <v>0</v>
      </c>
      <c r="W711" s="4">
        <f>IF(ISERROR(VLOOKUP($T$711,'TAR FIN'!$A$1:$O$92,15,0)),0,VLOOKUP($T$711,'TAR FIN'!$A$1:$O$92,15,0))</f>
        <v>311.27999999999997</v>
      </c>
      <c r="X711" s="4">
        <f>IF(ISERROR(VLOOKUP($U$711,'TAR FIN'!$A$1:$O$92,15,0)),0,VLOOKUP($U$711,'TAR FIN'!$A$1:$O$92,15,0))</f>
        <v>268.89</v>
      </c>
      <c r="Y711" s="4"/>
      <c r="Z711" s="4">
        <f ca="1">('TUSD BE'!$AM$20+'TUSD BF'!$AM$20+'TUSD CVA'!$AM$20)*1</f>
        <v>398.95397789704208</v>
      </c>
      <c r="AA711" s="4">
        <f>('TE BE'!$AB$11+'TE BF'!$AB$11+'TE CVA'!$AB$11)*1</f>
        <v>336.17550926835082</v>
      </c>
      <c r="AB711" s="4">
        <f>$K$711*$V$711</f>
        <v>0</v>
      </c>
      <c r="AC711" s="4">
        <f>$M$711*$W$711</f>
        <v>137073.08184</v>
      </c>
      <c r="AD711" s="4">
        <f>$O$711*$X$711</f>
        <v>118406.51817</v>
      </c>
      <c r="AE711" s="4">
        <f>$K$711*$Y$711</f>
        <v>0</v>
      </c>
      <c r="AF711" s="4">
        <f ca="1">$M$711*$Z$711</f>
        <v>175680.58102889618</v>
      </c>
      <c r="AG711" s="4">
        <f>$O$711*$AA$711</f>
        <v>148035.89403284609</v>
      </c>
    </row>
    <row r="712" spans="1:33" ht="11.25" customHeight="1" x14ac:dyDescent="0.25">
      <c r="A712" s="3" t="s">
        <v>21</v>
      </c>
      <c r="B712" s="3" t="s">
        <v>22</v>
      </c>
      <c r="C712" s="3" t="s">
        <v>23</v>
      </c>
      <c r="D712" s="3" t="s">
        <v>24</v>
      </c>
      <c r="E712" s="3" t="s">
        <v>24</v>
      </c>
      <c r="F712" s="3" t="s">
        <v>25</v>
      </c>
      <c r="G712" s="3" t="s">
        <v>25</v>
      </c>
      <c r="H712" s="3" t="s">
        <v>25</v>
      </c>
      <c r="I712" s="6">
        <v>44593</v>
      </c>
      <c r="J712" s="4">
        <v>0</v>
      </c>
      <c r="K712" s="4">
        <v>0</v>
      </c>
      <c r="L712" s="4">
        <v>44085.08</v>
      </c>
      <c r="M712" s="4">
        <v>44085.08</v>
      </c>
      <c r="N712" s="4">
        <v>44085.08</v>
      </c>
      <c r="O712" s="4">
        <v>44085.08</v>
      </c>
      <c r="P712" s="4">
        <v>126004</v>
      </c>
      <c r="Q712" s="3" t="s">
        <v>26</v>
      </c>
      <c r="R712" s="3">
        <v>0</v>
      </c>
      <c r="S712" s="4">
        <v>0</v>
      </c>
      <c r="T712" s="4">
        <v>24</v>
      </c>
      <c r="U712" s="4">
        <v>40</v>
      </c>
      <c r="V712" s="4">
        <f>IF(ISERROR(VLOOKUP($S$712,'TAR FIN'!$A$1:$O$92,15,0)),0,VLOOKUP($S$712,'TAR FIN'!$A$1:$O$92,15,0))</f>
        <v>0</v>
      </c>
      <c r="W712" s="4">
        <f>IF(ISERROR(VLOOKUP($T$712,'TAR FIN'!$A$1:$O$92,15,0)),0,VLOOKUP($T$712,'TAR FIN'!$A$1:$O$92,15,0))</f>
        <v>311.27999999999997</v>
      </c>
      <c r="X712" s="4">
        <f>IF(ISERROR(VLOOKUP($U$712,'TAR FIN'!$A$1:$O$92,15,0)),0,VLOOKUP($U$712,'TAR FIN'!$A$1:$O$92,15,0))</f>
        <v>268.89</v>
      </c>
      <c r="Y712" s="4"/>
      <c r="Z712" s="4">
        <f ca="1">('TUSD BE'!$AM$20+'TUSD BF'!$AM$20+'TUSD CVA'!$AM$20)*1</f>
        <v>398.95397789704208</v>
      </c>
      <c r="AA712" s="4">
        <f>('TE BE'!$AB$11+'TE BF'!$AB$11+'TE CVA'!$AB$11)*1</f>
        <v>336.17550926835082</v>
      </c>
      <c r="AB712" s="4">
        <f>$K$712*$V$712</f>
        <v>0</v>
      </c>
      <c r="AC712" s="4">
        <f>$M$712*$W$712</f>
        <v>13722803.702399999</v>
      </c>
      <c r="AD712" s="4">
        <f>$O$712*$X$712</f>
        <v>11854037.1612</v>
      </c>
      <c r="AE712" s="4">
        <f>$K$712*$Y$712</f>
        <v>0</v>
      </c>
      <c r="AF712" s="4">
        <f ca="1">$M$712*$Z$712</f>
        <v>17587918.031909332</v>
      </c>
      <c r="AG712" s="4">
        <f>$O$712*$AA$712</f>
        <v>14820324.220135989</v>
      </c>
    </row>
    <row r="713" spans="1:33" ht="11.25" customHeight="1" x14ac:dyDescent="0.25">
      <c r="A713" s="3" t="s">
        <v>27</v>
      </c>
      <c r="B713" s="3" t="s">
        <v>22</v>
      </c>
      <c r="C713" s="3" t="s">
        <v>23</v>
      </c>
      <c r="D713" s="3" t="s">
        <v>24</v>
      </c>
      <c r="E713" s="3" t="s">
        <v>24</v>
      </c>
      <c r="F713" s="3" t="s">
        <v>25</v>
      </c>
      <c r="G713" s="3" t="s">
        <v>25</v>
      </c>
      <c r="H713" s="3" t="s">
        <v>25</v>
      </c>
      <c r="I713" s="6">
        <v>44593</v>
      </c>
      <c r="J713" s="4">
        <v>0</v>
      </c>
      <c r="K713" s="4">
        <v>0</v>
      </c>
      <c r="L713" s="4">
        <v>-86.834999999999994</v>
      </c>
      <c r="M713" s="4">
        <v>-86.834999999999994</v>
      </c>
      <c r="N713" s="4">
        <v>-86.834999999999994</v>
      </c>
      <c r="O713" s="4">
        <v>-86.834999999999994</v>
      </c>
      <c r="P713" s="4">
        <v>-57</v>
      </c>
      <c r="Q713" s="3" t="s">
        <v>26</v>
      </c>
      <c r="R713" s="3">
        <v>0</v>
      </c>
      <c r="S713" s="4">
        <v>0</v>
      </c>
      <c r="T713" s="4">
        <v>24</v>
      </c>
      <c r="U713" s="4">
        <v>40</v>
      </c>
      <c r="V713" s="4">
        <f>IF(ISERROR(VLOOKUP($S$713,'TAR FIN'!$A$1:$O$92,15,0)),0,VLOOKUP($S$713,'TAR FIN'!$A$1:$O$92,15,0))</f>
        <v>0</v>
      </c>
      <c r="W713" s="4">
        <f>IF(ISERROR(VLOOKUP($T$713,'TAR FIN'!$A$1:$O$92,15,0)),0,VLOOKUP($T$713,'TAR FIN'!$A$1:$O$92,15,0))</f>
        <v>311.27999999999997</v>
      </c>
      <c r="X713" s="4">
        <f>IF(ISERROR(VLOOKUP($U$713,'TAR FIN'!$A$1:$O$92,15,0)),0,VLOOKUP($U$713,'TAR FIN'!$A$1:$O$92,15,0))</f>
        <v>268.89</v>
      </c>
      <c r="Y713" s="4"/>
      <c r="Z713" s="4">
        <f ca="1">('TUSD BE'!$AM$20+'TUSD BF'!$AM$20+'TUSD CVA'!$AM$20)*1</f>
        <v>398.95397789704208</v>
      </c>
      <c r="AA713" s="4">
        <f>('TE BE'!$AB$11+'TE BF'!$AB$11+'TE CVA'!$AB$11)*1</f>
        <v>336.17550926835082</v>
      </c>
      <c r="AB713" s="4">
        <f>$K$713*$V$713</f>
        <v>0</v>
      </c>
      <c r="AC713" s="4">
        <f>$M$713*$W$713</f>
        <v>-27029.998799999994</v>
      </c>
      <c r="AD713" s="4">
        <f>$O$713*$X$713</f>
        <v>-23349.063149999998</v>
      </c>
      <c r="AE713" s="4">
        <f>$K$713*$Y$713</f>
        <v>0</v>
      </c>
      <c r="AF713" s="4">
        <f ca="1">$M$713*$Z$713</f>
        <v>-34643.168670689643</v>
      </c>
      <c r="AG713" s="4">
        <f>$O$713*$AA$713</f>
        <v>-29191.800347317243</v>
      </c>
    </row>
    <row r="714" spans="1:33" ht="11.25" customHeight="1" x14ac:dyDescent="0.25">
      <c r="A714" s="3" t="s">
        <v>28</v>
      </c>
      <c r="B714" s="3" t="s">
        <v>22</v>
      </c>
      <c r="C714" s="3" t="s">
        <v>23</v>
      </c>
      <c r="D714" s="3" t="s">
        <v>24</v>
      </c>
      <c r="E714" s="3" t="s">
        <v>24</v>
      </c>
      <c r="F714" s="3" t="s">
        <v>25</v>
      </c>
      <c r="G714" s="3" t="s">
        <v>25</v>
      </c>
      <c r="H714" s="3" t="s">
        <v>25</v>
      </c>
      <c r="I714" s="6">
        <v>44593</v>
      </c>
      <c r="J714" s="4">
        <v>0</v>
      </c>
      <c r="K714" s="4">
        <v>0</v>
      </c>
      <c r="L714" s="4">
        <v>465.59199999999998</v>
      </c>
      <c r="M714" s="4">
        <v>465.59199999999998</v>
      </c>
      <c r="N714" s="4">
        <v>465.59199999999998</v>
      </c>
      <c r="O714" s="4">
        <v>465.59199999999998</v>
      </c>
      <c r="P714" s="4">
        <v>606</v>
      </c>
      <c r="Q714" s="3" t="s">
        <v>26</v>
      </c>
      <c r="R714" s="3">
        <v>0</v>
      </c>
      <c r="S714" s="4">
        <v>0</v>
      </c>
      <c r="T714" s="4">
        <v>24</v>
      </c>
      <c r="U714" s="4">
        <v>40</v>
      </c>
      <c r="V714" s="4">
        <f>IF(ISERROR(VLOOKUP($S$714,'TAR FIN'!$A$1:$O$92,15,0)),0,VLOOKUP($S$714,'TAR FIN'!$A$1:$O$92,15,0))</f>
        <v>0</v>
      </c>
      <c r="W714" s="4">
        <f>IF(ISERROR(VLOOKUP($T$714,'TAR FIN'!$A$1:$O$92,15,0)),0,VLOOKUP($T$714,'TAR FIN'!$A$1:$O$92,15,0))</f>
        <v>311.27999999999997</v>
      </c>
      <c r="X714" s="4">
        <f>IF(ISERROR(VLOOKUP($U$714,'TAR FIN'!$A$1:$O$92,15,0)),0,VLOOKUP($U$714,'TAR FIN'!$A$1:$O$92,15,0))</f>
        <v>268.89</v>
      </c>
      <c r="Y714" s="4"/>
      <c r="Z714" s="4">
        <f ca="1">('TUSD BE'!$AM$20+'TUSD BF'!$AM$20+'TUSD CVA'!$AM$20)*1</f>
        <v>398.95397789704208</v>
      </c>
      <c r="AA714" s="4">
        <f>('TE BE'!$AB$11+'TE BF'!$AB$11+'TE CVA'!$AB$11)*1</f>
        <v>336.17550926835082</v>
      </c>
      <c r="AB714" s="4">
        <f>$K$714*$V$714</f>
        <v>0</v>
      </c>
      <c r="AC714" s="4">
        <f>$M$714*$W$714</f>
        <v>144929.47775999998</v>
      </c>
      <c r="AD714" s="4">
        <f>$O$714*$X$714</f>
        <v>125193.03287999998</v>
      </c>
      <c r="AE714" s="4">
        <f>$K$714*$Y$714</f>
        <v>0</v>
      </c>
      <c r="AF714" s="4">
        <f ca="1">$M$714*$Z$714</f>
        <v>185749.7804770396</v>
      </c>
      <c r="AG714" s="4">
        <f>$O$714*$AA$714</f>
        <v>156520.62771127</v>
      </c>
    </row>
    <row r="715" spans="1:33" ht="11.25" customHeight="1" x14ac:dyDescent="0.25">
      <c r="A715" s="3" t="s">
        <v>28</v>
      </c>
      <c r="B715" s="3" t="s">
        <v>22</v>
      </c>
      <c r="C715" s="3" t="s">
        <v>23</v>
      </c>
      <c r="D715" s="3" t="s">
        <v>24</v>
      </c>
      <c r="E715" s="3" t="s">
        <v>24</v>
      </c>
      <c r="F715" s="3" t="s">
        <v>25</v>
      </c>
      <c r="G715" s="3" t="s">
        <v>25</v>
      </c>
      <c r="H715" s="3" t="s">
        <v>25</v>
      </c>
      <c r="I715" s="6">
        <v>44593</v>
      </c>
      <c r="J715" s="4">
        <v>0</v>
      </c>
      <c r="K715" s="4">
        <v>0</v>
      </c>
      <c r="L715" s="4">
        <v>0.56100000000000005</v>
      </c>
      <c r="M715" s="4">
        <v>0.56100000000000005</v>
      </c>
      <c r="N715" s="4">
        <v>0.56100000000000005</v>
      </c>
      <c r="O715" s="4">
        <v>0.56100000000000005</v>
      </c>
      <c r="P715" s="4">
        <v>1</v>
      </c>
      <c r="Q715" s="3" t="s">
        <v>26</v>
      </c>
      <c r="R715" s="3">
        <v>0</v>
      </c>
      <c r="S715" s="4">
        <v>0</v>
      </c>
      <c r="T715" s="4">
        <v>24</v>
      </c>
      <c r="U715" s="4">
        <v>40</v>
      </c>
      <c r="V715" s="4">
        <f>IF(ISERROR(VLOOKUP($S$715,'TAR FIN'!$A$1:$O$92,15,0)),0,VLOOKUP($S$715,'TAR FIN'!$A$1:$O$92,15,0))</f>
        <v>0</v>
      </c>
      <c r="W715" s="4">
        <f>IF(ISERROR(VLOOKUP($T$715,'TAR FIN'!$A$1:$O$92,15,0)),0,VLOOKUP($T$715,'TAR FIN'!$A$1:$O$92,15,0))</f>
        <v>311.27999999999997</v>
      </c>
      <c r="X715" s="4">
        <f>IF(ISERROR(VLOOKUP($U$715,'TAR FIN'!$A$1:$O$92,15,0)),0,VLOOKUP($U$715,'TAR FIN'!$A$1:$O$92,15,0))</f>
        <v>268.89</v>
      </c>
      <c r="Y715" s="4"/>
      <c r="Z715" s="4">
        <f ca="1">('TUSD BE'!$AM$20+'TUSD BF'!$AM$20+'TUSD CVA'!$AM$20)*1</f>
        <v>398.95397789704208</v>
      </c>
      <c r="AA715" s="4">
        <f>('TE BE'!$AB$11+'TE BF'!$AB$11+'TE CVA'!$AB$11)*1</f>
        <v>336.17550926835082</v>
      </c>
      <c r="AB715" s="4">
        <f>$K$715*$V$715</f>
        <v>0</v>
      </c>
      <c r="AC715" s="4">
        <f>$M$715*$W$715</f>
        <v>174.62808000000001</v>
      </c>
      <c r="AD715" s="4">
        <f>$O$715*$X$715</f>
        <v>150.84729000000002</v>
      </c>
      <c r="AE715" s="4">
        <f>$K$715*$Y$715</f>
        <v>0</v>
      </c>
      <c r="AF715" s="4">
        <f ca="1">$M$715*$Z$715</f>
        <v>223.81318160024063</v>
      </c>
      <c r="AG715" s="4">
        <f>$O$715*$AA$715</f>
        <v>188.59446069954484</v>
      </c>
    </row>
    <row r="716" spans="1:33" ht="11.25" customHeight="1" x14ac:dyDescent="0.25">
      <c r="A716" s="3" t="s">
        <v>21</v>
      </c>
      <c r="B716" s="3" t="s">
        <v>22</v>
      </c>
      <c r="C716" s="3" t="s">
        <v>23</v>
      </c>
      <c r="D716" s="3" t="s">
        <v>24</v>
      </c>
      <c r="E716" s="3" t="s">
        <v>24</v>
      </c>
      <c r="F716" s="3" t="s">
        <v>25</v>
      </c>
      <c r="G716" s="3" t="s">
        <v>25</v>
      </c>
      <c r="H716" s="3" t="s">
        <v>25</v>
      </c>
      <c r="I716" s="6">
        <v>44621</v>
      </c>
      <c r="J716" s="4">
        <v>0</v>
      </c>
      <c r="K716" s="4">
        <v>0</v>
      </c>
      <c r="L716" s="4">
        <v>44094.889000000003</v>
      </c>
      <c r="M716" s="4">
        <v>44094.889000000003</v>
      </c>
      <c r="N716" s="4">
        <v>44094.889000000003</v>
      </c>
      <c r="O716" s="4">
        <v>44094.889000000003</v>
      </c>
      <c r="P716" s="4">
        <v>126071</v>
      </c>
      <c r="Q716" s="3" t="s">
        <v>26</v>
      </c>
      <c r="R716" s="3">
        <v>0</v>
      </c>
      <c r="S716" s="4">
        <v>0</v>
      </c>
      <c r="T716" s="4">
        <v>24</v>
      </c>
      <c r="U716" s="4">
        <v>40</v>
      </c>
      <c r="V716" s="4">
        <f>IF(ISERROR(VLOOKUP($S$716,'TAR FIN'!$A$1:$O$92,15,0)),0,VLOOKUP($S$716,'TAR FIN'!$A$1:$O$92,15,0))</f>
        <v>0</v>
      </c>
      <c r="W716" s="4">
        <f>IF(ISERROR(VLOOKUP($T$716,'TAR FIN'!$A$1:$O$92,15,0)),0,VLOOKUP($T$716,'TAR FIN'!$A$1:$O$92,15,0))</f>
        <v>311.27999999999997</v>
      </c>
      <c r="X716" s="4">
        <f>IF(ISERROR(VLOOKUP($U$716,'TAR FIN'!$A$1:$O$92,15,0)),0,VLOOKUP($U$716,'TAR FIN'!$A$1:$O$92,15,0))</f>
        <v>268.89</v>
      </c>
      <c r="Y716" s="4"/>
      <c r="Z716" s="4">
        <f ca="1">('TUSD BE'!$AM$20+'TUSD BF'!$AM$20+'TUSD CVA'!$AM$20)*1</f>
        <v>398.95397789704208</v>
      </c>
      <c r="AA716" s="4">
        <f>('TE BE'!$AB$11+'TE BF'!$AB$11+'TE CVA'!$AB$11)*1</f>
        <v>336.17550926835082</v>
      </c>
      <c r="AB716" s="4">
        <f>$K$716*$V$716</f>
        <v>0</v>
      </c>
      <c r="AC716" s="4">
        <f>$M$716*$W$716</f>
        <v>13725857.04792</v>
      </c>
      <c r="AD716" s="4">
        <f>$O$716*$X$716</f>
        <v>11856674.70321</v>
      </c>
      <c r="AE716" s="4">
        <f>$K$716*$Y$716</f>
        <v>0</v>
      </c>
      <c r="AF716" s="4">
        <f ca="1">$M$716*$Z$716</f>
        <v>17591831.371478524</v>
      </c>
      <c r="AG716" s="4">
        <f>$O$716*$AA$716</f>
        <v>14823621.765706401</v>
      </c>
    </row>
    <row r="717" spans="1:33" ht="11.25" customHeight="1" x14ac:dyDescent="0.25">
      <c r="A717" s="3" t="s">
        <v>27</v>
      </c>
      <c r="B717" s="3" t="s">
        <v>22</v>
      </c>
      <c r="C717" s="3" t="s">
        <v>23</v>
      </c>
      <c r="D717" s="3" t="s">
        <v>24</v>
      </c>
      <c r="E717" s="3" t="s">
        <v>24</v>
      </c>
      <c r="F717" s="3" t="s">
        <v>25</v>
      </c>
      <c r="G717" s="3" t="s">
        <v>25</v>
      </c>
      <c r="H717" s="3" t="s">
        <v>25</v>
      </c>
      <c r="I717" s="6">
        <v>44621</v>
      </c>
      <c r="J717" s="4">
        <v>0</v>
      </c>
      <c r="K717" s="4">
        <v>0</v>
      </c>
      <c r="L717" s="4">
        <v>-68.965000000000003</v>
      </c>
      <c r="M717" s="4">
        <v>-68.965000000000003</v>
      </c>
      <c r="N717" s="4">
        <v>-68.965000000000003</v>
      </c>
      <c r="O717" s="4">
        <v>-68.965000000000003</v>
      </c>
      <c r="P717" s="4">
        <v>-24</v>
      </c>
      <c r="Q717" s="3" t="s">
        <v>26</v>
      </c>
      <c r="R717" s="3">
        <v>0</v>
      </c>
      <c r="S717" s="4">
        <v>0</v>
      </c>
      <c r="T717" s="4">
        <v>24</v>
      </c>
      <c r="U717" s="4">
        <v>40</v>
      </c>
      <c r="V717" s="4">
        <f>IF(ISERROR(VLOOKUP($S$717,'TAR FIN'!$A$1:$O$92,15,0)),0,VLOOKUP($S$717,'TAR FIN'!$A$1:$O$92,15,0))</f>
        <v>0</v>
      </c>
      <c r="W717" s="4">
        <f>IF(ISERROR(VLOOKUP($T$717,'TAR FIN'!$A$1:$O$92,15,0)),0,VLOOKUP($T$717,'TAR FIN'!$A$1:$O$92,15,0))</f>
        <v>311.27999999999997</v>
      </c>
      <c r="X717" s="4">
        <f>IF(ISERROR(VLOOKUP($U$717,'TAR FIN'!$A$1:$O$92,15,0)),0,VLOOKUP($U$717,'TAR FIN'!$A$1:$O$92,15,0))</f>
        <v>268.89</v>
      </c>
      <c r="Y717" s="4"/>
      <c r="Z717" s="4">
        <f ca="1">('TUSD BE'!$AM$20+'TUSD BF'!$AM$20+'TUSD CVA'!$AM$20)*1</f>
        <v>398.95397789704208</v>
      </c>
      <c r="AA717" s="4">
        <f>('TE BE'!$AB$11+'TE BF'!$AB$11+'TE CVA'!$AB$11)*1</f>
        <v>336.17550926835082</v>
      </c>
      <c r="AB717" s="4">
        <f>$K$717*$V$717</f>
        <v>0</v>
      </c>
      <c r="AC717" s="4">
        <f>$M$717*$W$717</f>
        <v>-21467.425199999998</v>
      </c>
      <c r="AD717" s="4">
        <f>$O$717*$X$717</f>
        <v>-18543.99885</v>
      </c>
      <c r="AE717" s="4">
        <f>$K$717*$Y$717</f>
        <v>0</v>
      </c>
      <c r="AF717" s="4">
        <f ca="1">$M$717*$Z$717</f>
        <v>-27513.861085669509</v>
      </c>
      <c r="AG717" s="4">
        <f>$O$717*$AA$717</f>
        <v>-23184.343996691816</v>
      </c>
    </row>
    <row r="718" spans="1:33" ht="11.25" customHeight="1" x14ac:dyDescent="0.25">
      <c r="A718" s="3" t="s">
        <v>28</v>
      </c>
      <c r="B718" s="3" t="s">
        <v>22</v>
      </c>
      <c r="C718" s="3" t="s">
        <v>23</v>
      </c>
      <c r="D718" s="3" t="s">
        <v>24</v>
      </c>
      <c r="E718" s="3" t="s">
        <v>24</v>
      </c>
      <c r="F718" s="3" t="s">
        <v>25</v>
      </c>
      <c r="G718" s="3" t="s">
        <v>25</v>
      </c>
      <c r="H718" s="3" t="s">
        <v>25</v>
      </c>
      <c r="I718" s="6">
        <v>44621</v>
      </c>
      <c r="J718" s="4">
        <v>0</v>
      </c>
      <c r="K718" s="4">
        <v>0</v>
      </c>
      <c r="L718" s="4">
        <v>498.952</v>
      </c>
      <c r="M718" s="4">
        <v>498.952</v>
      </c>
      <c r="N718" s="4">
        <v>498.952</v>
      </c>
      <c r="O718" s="4">
        <v>498.952</v>
      </c>
      <c r="P718" s="4">
        <v>651</v>
      </c>
      <c r="Q718" s="3" t="s">
        <v>26</v>
      </c>
      <c r="R718" s="3">
        <v>0</v>
      </c>
      <c r="S718" s="4">
        <v>0</v>
      </c>
      <c r="T718" s="4">
        <v>24</v>
      </c>
      <c r="U718" s="4">
        <v>40</v>
      </c>
      <c r="V718" s="4">
        <f>IF(ISERROR(VLOOKUP($S$718,'TAR FIN'!$A$1:$O$92,15,0)),0,VLOOKUP($S$718,'TAR FIN'!$A$1:$O$92,15,0))</f>
        <v>0</v>
      </c>
      <c r="W718" s="4">
        <f>IF(ISERROR(VLOOKUP($T$718,'TAR FIN'!$A$1:$O$92,15,0)),0,VLOOKUP($T$718,'TAR FIN'!$A$1:$O$92,15,0))</f>
        <v>311.27999999999997</v>
      </c>
      <c r="X718" s="4">
        <f>IF(ISERROR(VLOOKUP($U$718,'TAR FIN'!$A$1:$O$92,15,0)),0,VLOOKUP($U$718,'TAR FIN'!$A$1:$O$92,15,0))</f>
        <v>268.89</v>
      </c>
      <c r="Y718" s="4"/>
      <c r="Z718" s="4">
        <f ca="1">('TUSD BE'!$AM$20+'TUSD BF'!$AM$20+'TUSD CVA'!$AM$20)*1</f>
        <v>398.95397789704208</v>
      </c>
      <c r="AA718" s="4">
        <f>('TE BE'!$AB$11+'TE BF'!$AB$11+'TE CVA'!$AB$11)*1</f>
        <v>336.17550926835082</v>
      </c>
      <c r="AB718" s="4">
        <f>$K$718*$V$718</f>
        <v>0</v>
      </c>
      <c r="AC718" s="4">
        <f>$M$718*$W$718</f>
        <v>155313.77855999998</v>
      </c>
      <c r="AD718" s="4">
        <f>$O$718*$X$718</f>
        <v>134163.20327999999</v>
      </c>
      <c r="AE718" s="4">
        <f>$K$718*$Y$718</f>
        <v>0</v>
      </c>
      <c r="AF718" s="4">
        <f ca="1">$M$718*$Z$718</f>
        <v>199058.88517968493</v>
      </c>
      <c r="AG718" s="4">
        <f>$O$718*$AA$718</f>
        <v>167735.44270046218</v>
      </c>
    </row>
    <row r="719" spans="1:33" ht="11.25" customHeight="1" x14ac:dyDescent="0.25">
      <c r="A719" s="3" t="s">
        <v>21</v>
      </c>
      <c r="B719" s="3" t="s">
        <v>22</v>
      </c>
      <c r="C719" s="3" t="s">
        <v>23</v>
      </c>
      <c r="D719" s="3" t="s">
        <v>24</v>
      </c>
      <c r="E719" s="3" t="s">
        <v>24</v>
      </c>
      <c r="F719" s="3" t="s">
        <v>25</v>
      </c>
      <c r="G719" s="3" t="s">
        <v>25</v>
      </c>
      <c r="H719" s="3" t="s">
        <v>25</v>
      </c>
      <c r="I719" s="6">
        <v>44652</v>
      </c>
      <c r="J719" s="4">
        <v>0</v>
      </c>
      <c r="K719" s="4">
        <v>0</v>
      </c>
      <c r="L719" s="4">
        <v>44094.889000000003</v>
      </c>
      <c r="M719" s="4">
        <v>44094.889000000003</v>
      </c>
      <c r="N719" s="4">
        <v>44094.889000000003</v>
      </c>
      <c r="O719" s="4">
        <v>44094.889000000003</v>
      </c>
      <c r="P719" s="4">
        <v>126071</v>
      </c>
      <c r="Q719" s="3" t="s">
        <v>26</v>
      </c>
      <c r="R719" s="3">
        <v>0</v>
      </c>
      <c r="S719" s="4">
        <v>0</v>
      </c>
      <c r="T719" s="4">
        <v>24</v>
      </c>
      <c r="U719" s="4">
        <v>40</v>
      </c>
      <c r="V719" s="4">
        <f>IF(ISERROR(VLOOKUP($S$719,'TAR FIN'!$A$1:$O$92,15,0)),0,VLOOKUP($S$719,'TAR FIN'!$A$1:$O$92,15,0))</f>
        <v>0</v>
      </c>
      <c r="W719" s="4">
        <f>IF(ISERROR(VLOOKUP($T$719,'TAR FIN'!$A$1:$O$92,15,0)),0,VLOOKUP($T$719,'TAR FIN'!$A$1:$O$92,15,0))</f>
        <v>311.27999999999997</v>
      </c>
      <c r="X719" s="4">
        <f>IF(ISERROR(VLOOKUP($U$719,'TAR FIN'!$A$1:$O$92,15,0)),0,VLOOKUP($U$719,'TAR FIN'!$A$1:$O$92,15,0))</f>
        <v>268.89</v>
      </c>
      <c r="Y719" s="4"/>
      <c r="Z719" s="4">
        <f ca="1">('TUSD BE'!$AM$20+'TUSD BF'!$AM$20+'TUSD CVA'!$AM$20)*1</f>
        <v>398.95397789704208</v>
      </c>
      <c r="AA719" s="4">
        <f>('TE BE'!$AB$11+'TE BF'!$AB$11+'TE CVA'!$AB$11)*1</f>
        <v>336.17550926835082</v>
      </c>
      <c r="AB719" s="4">
        <f>$K$719*$V$719</f>
        <v>0</v>
      </c>
      <c r="AC719" s="4">
        <f>$M$719*$W$719</f>
        <v>13725857.04792</v>
      </c>
      <c r="AD719" s="4">
        <f>$O$719*$X$719</f>
        <v>11856674.70321</v>
      </c>
      <c r="AE719" s="4">
        <f>$K$719*$Y$719</f>
        <v>0</v>
      </c>
      <c r="AF719" s="4">
        <f ca="1">$M$719*$Z$719</f>
        <v>17591831.371478524</v>
      </c>
      <c r="AG719" s="4">
        <f>$O$719*$AA$719</f>
        <v>14823621.765706401</v>
      </c>
    </row>
    <row r="720" spans="1:33" ht="11.25" customHeight="1" x14ac:dyDescent="0.25">
      <c r="A720" s="3" t="s">
        <v>27</v>
      </c>
      <c r="B720" s="3" t="s">
        <v>22</v>
      </c>
      <c r="C720" s="3" t="s">
        <v>23</v>
      </c>
      <c r="D720" s="3" t="s">
        <v>24</v>
      </c>
      <c r="E720" s="3" t="s">
        <v>24</v>
      </c>
      <c r="F720" s="3" t="s">
        <v>25</v>
      </c>
      <c r="G720" s="3" t="s">
        <v>25</v>
      </c>
      <c r="H720" s="3" t="s">
        <v>25</v>
      </c>
      <c r="I720" s="6">
        <v>44652</v>
      </c>
      <c r="J720" s="4">
        <v>0</v>
      </c>
      <c r="K720" s="4">
        <v>0</v>
      </c>
      <c r="L720" s="4">
        <v>-68.965000000000003</v>
      </c>
      <c r="M720" s="4">
        <v>-68.965000000000003</v>
      </c>
      <c r="N720" s="4">
        <v>-68.965000000000003</v>
      </c>
      <c r="O720" s="4">
        <v>-68.965000000000003</v>
      </c>
      <c r="P720" s="4">
        <v>-24</v>
      </c>
      <c r="Q720" s="3" t="s">
        <v>26</v>
      </c>
      <c r="R720" s="3">
        <v>0</v>
      </c>
      <c r="S720" s="4">
        <v>0</v>
      </c>
      <c r="T720" s="4">
        <v>24</v>
      </c>
      <c r="U720" s="4">
        <v>40</v>
      </c>
      <c r="V720" s="4">
        <f>IF(ISERROR(VLOOKUP($S$720,'TAR FIN'!$A$1:$O$92,15,0)),0,VLOOKUP($S$720,'TAR FIN'!$A$1:$O$92,15,0))</f>
        <v>0</v>
      </c>
      <c r="W720" s="4">
        <f>IF(ISERROR(VLOOKUP($T$720,'TAR FIN'!$A$1:$O$92,15,0)),0,VLOOKUP($T$720,'TAR FIN'!$A$1:$O$92,15,0))</f>
        <v>311.27999999999997</v>
      </c>
      <c r="X720" s="4">
        <f>IF(ISERROR(VLOOKUP($U$720,'TAR FIN'!$A$1:$O$92,15,0)),0,VLOOKUP($U$720,'TAR FIN'!$A$1:$O$92,15,0))</f>
        <v>268.89</v>
      </c>
      <c r="Y720" s="4"/>
      <c r="Z720" s="4">
        <f ca="1">('TUSD BE'!$AM$20+'TUSD BF'!$AM$20+'TUSD CVA'!$AM$20)*1</f>
        <v>398.95397789704208</v>
      </c>
      <c r="AA720" s="4">
        <f>('TE BE'!$AB$11+'TE BF'!$AB$11+'TE CVA'!$AB$11)*1</f>
        <v>336.17550926835082</v>
      </c>
      <c r="AB720" s="4">
        <f>$K$720*$V$720</f>
        <v>0</v>
      </c>
      <c r="AC720" s="4">
        <f>$M$720*$W$720</f>
        <v>-21467.425199999998</v>
      </c>
      <c r="AD720" s="4">
        <f>$O$720*$X$720</f>
        <v>-18543.99885</v>
      </c>
      <c r="AE720" s="4">
        <f>$K$720*$Y$720</f>
        <v>0</v>
      </c>
      <c r="AF720" s="4">
        <f ca="1">$M$720*$Z$720</f>
        <v>-27513.861085669509</v>
      </c>
      <c r="AG720" s="4">
        <f>$O$720*$AA$720</f>
        <v>-23184.343996691816</v>
      </c>
    </row>
    <row r="721" spans="1:33" ht="11.25" customHeight="1" x14ac:dyDescent="0.25">
      <c r="A721" s="3" t="s">
        <v>28</v>
      </c>
      <c r="B721" s="3" t="s">
        <v>22</v>
      </c>
      <c r="C721" s="3" t="s">
        <v>23</v>
      </c>
      <c r="D721" s="3" t="s">
        <v>24</v>
      </c>
      <c r="E721" s="3" t="s">
        <v>24</v>
      </c>
      <c r="F721" s="3" t="s">
        <v>25</v>
      </c>
      <c r="G721" s="3" t="s">
        <v>25</v>
      </c>
      <c r="H721" s="3" t="s">
        <v>25</v>
      </c>
      <c r="I721" s="6">
        <v>44652</v>
      </c>
      <c r="J721" s="4">
        <v>0</v>
      </c>
      <c r="K721" s="4">
        <v>0</v>
      </c>
      <c r="L721" s="4">
        <v>498.952</v>
      </c>
      <c r="M721" s="4">
        <v>498.952</v>
      </c>
      <c r="N721" s="4">
        <v>498.952</v>
      </c>
      <c r="O721" s="4">
        <v>498.952</v>
      </c>
      <c r="P721" s="4">
        <v>651</v>
      </c>
      <c r="Q721" s="3" t="s">
        <v>26</v>
      </c>
      <c r="R721" s="3">
        <v>0</v>
      </c>
      <c r="S721" s="4">
        <v>0</v>
      </c>
      <c r="T721" s="4">
        <v>24</v>
      </c>
      <c r="U721" s="4">
        <v>40</v>
      </c>
      <c r="V721" s="4">
        <f>IF(ISERROR(VLOOKUP($S$721,'TAR FIN'!$A$1:$O$92,15,0)),0,VLOOKUP($S$721,'TAR FIN'!$A$1:$O$92,15,0))</f>
        <v>0</v>
      </c>
      <c r="W721" s="4">
        <f>IF(ISERROR(VLOOKUP($T$721,'TAR FIN'!$A$1:$O$92,15,0)),0,VLOOKUP($T$721,'TAR FIN'!$A$1:$O$92,15,0))</f>
        <v>311.27999999999997</v>
      </c>
      <c r="X721" s="4">
        <f>IF(ISERROR(VLOOKUP($U$721,'TAR FIN'!$A$1:$O$92,15,0)),0,VLOOKUP($U$721,'TAR FIN'!$A$1:$O$92,15,0))</f>
        <v>268.89</v>
      </c>
      <c r="Y721" s="4"/>
      <c r="Z721" s="4">
        <f ca="1">('TUSD BE'!$AM$20+'TUSD BF'!$AM$20+'TUSD CVA'!$AM$20)*1</f>
        <v>398.95397789704208</v>
      </c>
      <c r="AA721" s="4">
        <f>('TE BE'!$AB$11+'TE BF'!$AB$11+'TE CVA'!$AB$11)*1</f>
        <v>336.17550926835082</v>
      </c>
      <c r="AB721" s="4">
        <f>$K$721*$V$721</f>
        <v>0</v>
      </c>
      <c r="AC721" s="4">
        <f>$M$721*$W$721</f>
        <v>155313.77855999998</v>
      </c>
      <c r="AD721" s="4">
        <f>$O$721*$X$721</f>
        <v>134163.20327999999</v>
      </c>
      <c r="AE721" s="4">
        <f>$K$721*$Y$721</f>
        <v>0</v>
      </c>
      <c r="AF721" s="4">
        <f ca="1">$M$721*$Z$721</f>
        <v>199058.88517968493</v>
      </c>
      <c r="AG721" s="4">
        <f>$O$721*$AA$721</f>
        <v>167735.44270046218</v>
      </c>
    </row>
    <row r="722" spans="1:33" ht="11.25" customHeight="1" x14ac:dyDescent="0.25">
      <c r="A722" s="3" t="s">
        <v>21</v>
      </c>
      <c r="B722" s="3" t="s">
        <v>22</v>
      </c>
      <c r="C722" s="3" t="s">
        <v>23</v>
      </c>
      <c r="D722" s="3" t="s">
        <v>24</v>
      </c>
      <c r="E722" s="3" t="s">
        <v>24</v>
      </c>
      <c r="F722" s="3" t="s">
        <v>25</v>
      </c>
      <c r="G722" s="3" t="s">
        <v>25</v>
      </c>
      <c r="H722" s="3" t="s">
        <v>25</v>
      </c>
      <c r="I722" s="6">
        <v>44682</v>
      </c>
      <c r="J722" s="4">
        <v>0</v>
      </c>
      <c r="K722" s="4">
        <v>0</v>
      </c>
      <c r="L722" s="4">
        <v>39334.377999999997</v>
      </c>
      <c r="M722" s="4">
        <v>39334.377999999997</v>
      </c>
      <c r="N722" s="4">
        <v>39334.377999999997</v>
      </c>
      <c r="O722" s="4">
        <v>39334.377999999997</v>
      </c>
      <c r="P722" s="4">
        <v>127199</v>
      </c>
      <c r="Q722" s="3" t="s">
        <v>26</v>
      </c>
      <c r="R722" s="3">
        <v>0</v>
      </c>
      <c r="S722" s="4">
        <v>0</v>
      </c>
      <c r="T722" s="4">
        <v>24</v>
      </c>
      <c r="U722" s="4">
        <v>40</v>
      </c>
      <c r="V722" s="4">
        <f>IF(ISERROR(VLOOKUP($S$722,'TAR FIN'!$A$1:$O$92,15,0)),0,VLOOKUP($S$722,'TAR FIN'!$A$1:$O$92,15,0))</f>
        <v>0</v>
      </c>
      <c r="W722" s="4">
        <f>IF(ISERROR(VLOOKUP($T$722,'TAR FIN'!$A$1:$O$92,15,0)),0,VLOOKUP($T$722,'TAR FIN'!$A$1:$O$92,15,0))</f>
        <v>311.27999999999997</v>
      </c>
      <c r="X722" s="4">
        <f>IF(ISERROR(VLOOKUP($U$722,'TAR FIN'!$A$1:$O$92,15,0)),0,VLOOKUP($U$722,'TAR FIN'!$A$1:$O$92,15,0))</f>
        <v>268.89</v>
      </c>
      <c r="Y722" s="4"/>
      <c r="Z722" s="4">
        <f ca="1">('TUSD BE'!$AM$20+'TUSD BF'!$AM$20+'TUSD CVA'!$AM$20)*1</f>
        <v>398.95397789704208</v>
      </c>
      <c r="AA722" s="4">
        <f>('TE BE'!$AB$11+'TE BF'!$AB$11+'TE CVA'!$AB$11)*1</f>
        <v>336.17550926835082</v>
      </c>
      <c r="AB722" s="4">
        <f>$K$722*$V$722</f>
        <v>0</v>
      </c>
      <c r="AC722" s="4">
        <f>$M$722*$W$722</f>
        <v>12244005.183839997</v>
      </c>
      <c r="AD722" s="4">
        <f>$O$722*$X$722</f>
        <v>10576620.900419999</v>
      </c>
      <c r="AE722" s="4">
        <f>$K$722*$Y$722</f>
        <v>0</v>
      </c>
      <c r="AF722" s="4">
        <f ca="1">$M$722*$Z$722</f>
        <v>15692606.571205897</v>
      </c>
      <c r="AG722" s="4">
        <f>$O$722*$AA$722</f>
        <v>13223254.555903813</v>
      </c>
    </row>
    <row r="723" spans="1:33" ht="11.25" customHeight="1" x14ac:dyDescent="0.25">
      <c r="A723" s="3" t="s">
        <v>27</v>
      </c>
      <c r="B723" s="3" t="s">
        <v>22</v>
      </c>
      <c r="C723" s="3" t="s">
        <v>23</v>
      </c>
      <c r="D723" s="3" t="s">
        <v>24</v>
      </c>
      <c r="E723" s="3" t="s">
        <v>24</v>
      </c>
      <c r="F723" s="3" t="s">
        <v>25</v>
      </c>
      <c r="G723" s="3" t="s">
        <v>25</v>
      </c>
      <c r="H723" s="3" t="s">
        <v>25</v>
      </c>
      <c r="I723" s="6">
        <v>44682</v>
      </c>
      <c r="J723" s="4">
        <v>0</v>
      </c>
      <c r="K723" s="4">
        <v>0</v>
      </c>
      <c r="L723" s="4">
        <v>-312.94400000000002</v>
      </c>
      <c r="M723" s="4">
        <v>-312.94400000000002</v>
      </c>
      <c r="N723" s="4">
        <v>-312.94400000000002</v>
      </c>
      <c r="O723" s="4">
        <v>-312.94400000000002</v>
      </c>
      <c r="P723" s="4">
        <v>-272</v>
      </c>
      <c r="Q723" s="3" t="s">
        <v>26</v>
      </c>
      <c r="R723" s="3">
        <v>0</v>
      </c>
      <c r="S723" s="4">
        <v>0</v>
      </c>
      <c r="T723" s="4">
        <v>24</v>
      </c>
      <c r="U723" s="4">
        <v>40</v>
      </c>
      <c r="V723" s="4">
        <f>IF(ISERROR(VLOOKUP($S$723,'TAR FIN'!$A$1:$O$92,15,0)),0,VLOOKUP($S$723,'TAR FIN'!$A$1:$O$92,15,0))</f>
        <v>0</v>
      </c>
      <c r="W723" s="4">
        <f>IF(ISERROR(VLOOKUP($T$723,'TAR FIN'!$A$1:$O$92,15,0)),0,VLOOKUP($T$723,'TAR FIN'!$A$1:$O$92,15,0))</f>
        <v>311.27999999999997</v>
      </c>
      <c r="X723" s="4">
        <f>IF(ISERROR(VLOOKUP($U$723,'TAR FIN'!$A$1:$O$92,15,0)),0,VLOOKUP($U$723,'TAR FIN'!$A$1:$O$92,15,0))</f>
        <v>268.89</v>
      </c>
      <c r="Y723" s="4"/>
      <c r="Z723" s="4">
        <f ca="1">('TUSD BE'!$AM$20+'TUSD BF'!$AM$20+'TUSD CVA'!$AM$20)*1</f>
        <v>398.95397789704208</v>
      </c>
      <c r="AA723" s="4">
        <f>('TE BE'!$AB$11+'TE BF'!$AB$11+'TE CVA'!$AB$11)*1</f>
        <v>336.17550926835082</v>
      </c>
      <c r="AB723" s="4">
        <f>$K$723*$V$723</f>
        <v>0</v>
      </c>
      <c r="AC723" s="4">
        <f>$M$723*$W$723</f>
        <v>-97413.208319999991</v>
      </c>
      <c r="AD723" s="4">
        <f>$O$723*$X$723</f>
        <v>-84147.512159999998</v>
      </c>
      <c r="AE723" s="4">
        <f>$K$723*$Y$723</f>
        <v>0</v>
      </c>
      <c r="AF723" s="4">
        <f ca="1">$M$723*$Z$723</f>
        <v>-124850.25365901194</v>
      </c>
      <c r="AG723" s="4">
        <f>$O$723*$AA$723</f>
        <v>-105204.10857247478</v>
      </c>
    </row>
    <row r="724" spans="1:33" ht="11.25" customHeight="1" x14ac:dyDescent="0.25">
      <c r="A724" s="3" t="s">
        <v>28</v>
      </c>
      <c r="B724" s="3" t="s">
        <v>22</v>
      </c>
      <c r="C724" s="3" t="s">
        <v>23</v>
      </c>
      <c r="D724" s="3" t="s">
        <v>24</v>
      </c>
      <c r="E724" s="3" t="s">
        <v>24</v>
      </c>
      <c r="F724" s="3" t="s">
        <v>25</v>
      </c>
      <c r="G724" s="3" t="s">
        <v>25</v>
      </c>
      <c r="H724" s="3" t="s">
        <v>25</v>
      </c>
      <c r="I724" s="6">
        <v>44682</v>
      </c>
      <c r="J724" s="4">
        <v>0</v>
      </c>
      <c r="K724" s="4">
        <v>0</v>
      </c>
      <c r="L724" s="4">
        <v>2010.116</v>
      </c>
      <c r="M724" s="4">
        <v>2010.116</v>
      </c>
      <c r="N724" s="4">
        <v>2010.116</v>
      </c>
      <c r="O724" s="4">
        <v>2010.116</v>
      </c>
      <c r="P724" s="4">
        <v>2892</v>
      </c>
      <c r="Q724" s="3" t="s">
        <v>26</v>
      </c>
      <c r="R724" s="3">
        <v>0</v>
      </c>
      <c r="S724" s="4">
        <v>0</v>
      </c>
      <c r="T724" s="4">
        <v>24</v>
      </c>
      <c r="U724" s="4">
        <v>40</v>
      </c>
      <c r="V724" s="4">
        <f>IF(ISERROR(VLOOKUP($S$724,'TAR FIN'!$A$1:$O$92,15,0)),0,VLOOKUP($S$724,'TAR FIN'!$A$1:$O$92,15,0))</f>
        <v>0</v>
      </c>
      <c r="W724" s="4">
        <f>IF(ISERROR(VLOOKUP($T$724,'TAR FIN'!$A$1:$O$92,15,0)),0,VLOOKUP($T$724,'TAR FIN'!$A$1:$O$92,15,0))</f>
        <v>311.27999999999997</v>
      </c>
      <c r="X724" s="4">
        <f>IF(ISERROR(VLOOKUP($U$724,'TAR FIN'!$A$1:$O$92,15,0)),0,VLOOKUP($U$724,'TAR FIN'!$A$1:$O$92,15,0))</f>
        <v>268.89</v>
      </c>
      <c r="Y724" s="4"/>
      <c r="Z724" s="4">
        <f ca="1">('TUSD BE'!$AM$20+'TUSD BF'!$AM$20+'TUSD CVA'!$AM$20)*1</f>
        <v>398.95397789704208</v>
      </c>
      <c r="AA724" s="4">
        <f>('TE BE'!$AB$11+'TE BF'!$AB$11+'TE CVA'!$AB$11)*1</f>
        <v>336.17550926835082</v>
      </c>
      <c r="AB724" s="4">
        <f>$K$724*$V$724</f>
        <v>0</v>
      </c>
      <c r="AC724" s="4">
        <f>$M$724*$W$724</f>
        <v>625708.90847999998</v>
      </c>
      <c r="AD724" s="4">
        <f>$O$724*$X$724</f>
        <v>540500.09123999998</v>
      </c>
      <c r="AE724" s="4">
        <f>$K$724*$Y$724</f>
        <v>0</v>
      </c>
      <c r="AF724" s="4">
        <f ca="1">$M$724*$Z$724</f>
        <v>801943.77423449059</v>
      </c>
      <c r="AG724" s="4">
        <f>$O$724*$AA$724</f>
        <v>675751.76998846023</v>
      </c>
    </row>
    <row r="725" spans="1:33" ht="11.25" customHeight="1" x14ac:dyDescent="0.25">
      <c r="A725" s="3" t="s">
        <v>21</v>
      </c>
      <c r="B725" s="3" t="s">
        <v>22</v>
      </c>
      <c r="C725" s="3" t="s">
        <v>23</v>
      </c>
      <c r="D725" s="3" t="s">
        <v>24</v>
      </c>
      <c r="E725" s="3" t="s">
        <v>24</v>
      </c>
      <c r="F725" s="3" t="s">
        <v>25</v>
      </c>
      <c r="G725" s="3" t="s">
        <v>25</v>
      </c>
      <c r="H725" s="3" t="s">
        <v>25</v>
      </c>
      <c r="I725" s="6">
        <v>44713</v>
      </c>
      <c r="J725" s="4">
        <v>0</v>
      </c>
      <c r="K725" s="4">
        <v>0</v>
      </c>
      <c r="L725" s="4">
        <v>37710.915000000001</v>
      </c>
      <c r="M725" s="4">
        <v>37710.915000000001</v>
      </c>
      <c r="N725" s="4">
        <v>37710.915000000001</v>
      </c>
      <c r="O725" s="4">
        <v>37710.915000000001</v>
      </c>
      <c r="P725" s="4">
        <v>127280</v>
      </c>
      <c r="Q725" s="3" t="s">
        <v>26</v>
      </c>
      <c r="R725" s="3">
        <v>0</v>
      </c>
      <c r="S725" s="4">
        <v>0</v>
      </c>
      <c r="T725" s="4">
        <v>24</v>
      </c>
      <c r="U725" s="4">
        <v>40</v>
      </c>
      <c r="V725" s="4">
        <f>IF(ISERROR(VLOOKUP($S$725,'TAR FIN'!$A$1:$O$92,15,0)),0,VLOOKUP($S$725,'TAR FIN'!$A$1:$O$92,15,0))</f>
        <v>0</v>
      </c>
      <c r="W725" s="4">
        <f>IF(ISERROR(VLOOKUP($T$725,'TAR FIN'!$A$1:$O$92,15,0)),0,VLOOKUP($T$725,'TAR FIN'!$A$1:$O$92,15,0))</f>
        <v>311.27999999999997</v>
      </c>
      <c r="X725" s="4">
        <f>IF(ISERROR(VLOOKUP($U$725,'TAR FIN'!$A$1:$O$92,15,0)),0,VLOOKUP($U$725,'TAR FIN'!$A$1:$O$92,15,0))</f>
        <v>268.89</v>
      </c>
      <c r="Y725" s="4"/>
      <c r="Z725" s="4">
        <f ca="1">('TUSD BE'!$AM$20+'TUSD BF'!$AM$20+'TUSD CVA'!$AM$20)*1</f>
        <v>398.95397789704208</v>
      </c>
      <c r="AA725" s="4">
        <f>('TE BE'!$AB$11+'TE BF'!$AB$11+'TE CVA'!$AB$11)*1</f>
        <v>336.17550926835082</v>
      </c>
      <c r="AB725" s="4">
        <f>$K$725*$V$725</f>
        <v>0</v>
      </c>
      <c r="AC725" s="4">
        <f>$M$725*$W$725</f>
        <v>11738653.621199999</v>
      </c>
      <c r="AD725" s="4">
        <f>$O$725*$X$725</f>
        <v>10140087.934349999</v>
      </c>
      <c r="AE725" s="4">
        <f>$K$725*$Y$725</f>
        <v>0</v>
      </c>
      <c r="AF725" s="4">
        <f ca="1">$M$725*$Z$725</f>
        <v>15044919.549387233</v>
      </c>
      <c r="AG725" s="4">
        <f>$O$725*$AA$725</f>
        <v>12677486.055100491</v>
      </c>
    </row>
    <row r="726" spans="1:33" ht="11.25" customHeight="1" x14ac:dyDescent="0.25">
      <c r="A726" s="3" t="s">
        <v>27</v>
      </c>
      <c r="B726" s="3" t="s">
        <v>22</v>
      </c>
      <c r="C726" s="3" t="s">
        <v>23</v>
      </c>
      <c r="D726" s="3" t="s">
        <v>24</v>
      </c>
      <c r="E726" s="3" t="s">
        <v>24</v>
      </c>
      <c r="F726" s="3" t="s">
        <v>25</v>
      </c>
      <c r="G726" s="3" t="s">
        <v>25</v>
      </c>
      <c r="H726" s="3" t="s">
        <v>25</v>
      </c>
      <c r="I726" s="6">
        <v>44713</v>
      </c>
      <c r="J726" s="4">
        <v>0</v>
      </c>
      <c r="K726" s="4">
        <v>0</v>
      </c>
      <c r="L726" s="4">
        <v>-64.581999999999994</v>
      </c>
      <c r="M726" s="4">
        <v>-64.581999999999994</v>
      </c>
      <c r="N726" s="4">
        <v>-64.581999999999994</v>
      </c>
      <c r="O726" s="4">
        <v>-64.581999999999994</v>
      </c>
      <c r="P726" s="4">
        <v>-23</v>
      </c>
      <c r="Q726" s="3" t="s">
        <v>26</v>
      </c>
      <c r="R726" s="3">
        <v>0</v>
      </c>
      <c r="S726" s="4">
        <v>0</v>
      </c>
      <c r="T726" s="4">
        <v>24</v>
      </c>
      <c r="U726" s="4">
        <v>40</v>
      </c>
      <c r="V726" s="4">
        <f>IF(ISERROR(VLOOKUP($S$726,'TAR FIN'!$A$1:$O$92,15,0)),0,VLOOKUP($S$726,'TAR FIN'!$A$1:$O$92,15,0))</f>
        <v>0</v>
      </c>
      <c r="W726" s="4">
        <f>IF(ISERROR(VLOOKUP($T$726,'TAR FIN'!$A$1:$O$92,15,0)),0,VLOOKUP($T$726,'TAR FIN'!$A$1:$O$92,15,0))</f>
        <v>311.27999999999997</v>
      </c>
      <c r="X726" s="4">
        <f>IF(ISERROR(VLOOKUP($U$726,'TAR FIN'!$A$1:$O$92,15,0)),0,VLOOKUP($U$726,'TAR FIN'!$A$1:$O$92,15,0))</f>
        <v>268.89</v>
      </c>
      <c r="Y726" s="4"/>
      <c r="Z726" s="4">
        <f ca="1">('TUSD BE'!$AM$20+'TUSD BF'!$AM$20+'TUSD CVA'!$AM$20)*1</f>
        <v>398.95397789704208</v>
      </c>
      <c r="AA726" s="4">
        <f>('TE BE'!$AB$11+'TE BF'!$AB$11+'TE CVA'!$AB$11)*1</f>
        <v>336.17550926835082</v>
      </c>
      <c r="AB726" s="4">
        <f>$K$726*$V$726</f>
        <v>0</v>
      </c>
      <c r="AC726" s="4">
        <f>$M$726*$W$726</f>
        <v>-20103.084959999996</v>
      </c>
      <c r="AD726" s="4">
        <f>$O$726*$X$726</f>
        <v>-17365.453979999998</v>
      </c>
      <c r="AE726" s="4">
        <f>$K$726*$Y$726</f>
        <v>0</v>
      </c>
      <c r="AF726" s="4">
        <f ca="1">$M$726*$Z$726</f>
        <v>-25765.245800546771</v>
      </c>
      <c r="AG726" s="4">
        <f>$O$726*$AA$726</f>
        <v>-21710.886739568632</v>
      </c>
    </row>
    <row r="727" spans="1:33" ht="11.25" customHeight="1" x14ac:dyDescent="0.25">
      <c r="A727" s="3" t="s">
        <v>28</v>
      </c>
      <c r="B727" s="3" t="s">
        <v>22</v>
      </c>
      <c r="C727" s="3" t="s">
        <v>23</v>
      </c>
      <c r="D727" s="3" t="s">
        <v>24</v>
      </c>
      <c r="E727" s="3" t="s">
        <v>24</v>
      </c>
      <c r="F727" s="3" t="s">
        <v>25</v>
      </c>
      <c r="G727" s="3" t="s">
        <v>25</v>
      </c>
      <c r="H727" s="3" t="s">
        <v>25</v>
      </c>
      <c r="I727" s="6">
        <v>44713</v>
      </c>
      <c r="J727" s="4">
        <v>0</v>
      </c>
      <c r="K727" s="4">
        <v>0</v>
      </c>
      <c r="L727" s="4">
        <v>492.12700000000001</v>
      </c>
      <c r="M727" s="4">
        <v>492.12700000000001</v>
      </c>
      <c r="N727" s="4">
        <v>492.12700000000001</v>
      </c>
      <c r="O727" s="4">
        <v>492.12700000000001</v>
      </c>
      <c r="P727" s="4">
        <v>758</v>
      </c>
      <c r="Q727" s="3" t="s">
        <v>26</v>
      </c>
      <c r="R727" s="3">
        <v>0</v>
      </c>
      <c r="S727" s="4">
        <v>0</v>
      </c>
      <c r="T727" s="4">
        <v>24</v>
      </c>
      <c r="U727" s="4">
        <v>40</v>
      </c>
      <c r="V727" s="4">
        <f>IF(ISERROR(VLOOKUP($S$727,'TAR FIN'!$A$1:$O$92,15,0)),0,VLOOKUP($S$727,'TAR FIN'!$A$1:$O$92,15,0))</f>
        <v>0</v>
      </c>
      <c r="W727" s="4">
        <f>IF(ISERROR(VLOOKUP($T$727,'TAR FIN'!$A$1:$O$92,15,0)),0,VLOOKUP($T$727,'TAR FIN'!$A$1:$O$92,15,0))</f>
        <v>311.27999999999997</v>
      </c>
      <c r="X727" s="4">
        <f>IF(ISERROR(VLOOKUP($U$727,'TAR FIN'!$A$1:$O$92,15,0)),0,VLOOKUP($U$727,'TAR FIN'!$A$1:$O$92,15,0))</f>
        <v>268.89</v>
      </c>
      <c r="Y727" s="4"/>
      <c r="Z727" s="4">
        <f ca="1">('TUSD BE'!$AM$20+'TUSD BF'!$AM$20+'TUSD CVA'!$AM$20)*1</f>
        <v>398.95397789704208</v>
      </c>
      <c r="AA727" s="4">
        <f>('TE BE'!$AB$11+'TE BF'!$AB$11+'TE CVA'!$AB$11)*1</f>
        <v>336.17550926835082</v>
      </c>
      <c r="AB727" s="4">
        <f>$K$727*$V$727</f>
        <v>0</v>
      </c>
      <c r="AC727" s="4">
        <f>$M$727*$W$727</f>
        <v>153189.29256</v>
      </c>
      <c r="AD727" s="4">
        <f>$O$727*$X$727</f>
        <v>132328.02903000001</v>
      </c>
      <c r="AE727" s="4">
        <f>$K$727*$Y$727</f>
        <v>0</v>
      </c>
      <c r="AF727" s="4">
        <f ca="1">$M$727*$Z$727</f>
        <v>196336.02428053762</v>
      </c>
      <c r="AG727" s="4">
        <f>$O$727*$AA$727</f>
        <v>165441.04484970568</v>
      </c>
    </row>
    <row r="728" spans="1:33" ht="11.25" customHeight="1" x14ac:dyDescent="0.25">
      <c r="A728" s="3" t="s">
        <v>21</v>
      </c>
      <c r="B728" s="3" t="s">
        <v>22</v>
      </c>
      <c r="C728" s="3" t="s">
        <v>23</v>
      </c>
      <c r="D728" s="3" t="s">
        <v>24</v>
      </c>
      <c r="E728" s="3" t="s">
        <v>24</v>
      </c>
      <c r="F728" s="3" t="s">
        <v>25</v>
      </c>
      <c r="G728" s="3" t="s">
        <v>25</v>
      </c>
      <c r="H728" s="3" t="s">
        <v>25</v>
      </c>
      <c r="I728" s="6">
        <v>44743</v>
      </c>
      <c r="J728" s="4">
        <v>0</v>
      </c>
      <c r="K728" s="4">
        <v>0</v>
      </c>
      <c r="L728" s="4">
        <v>37634.930999999997</v>
      </c>
      <c r="M728" s="4">
        <v>37634.930999999997</v>
      </c>
      <c r="N728" s="4">
        <v>37634.930999999997</v>
      </c>
      <c r="O728" s="4">
        <v>37634.930999999997</v>
      </c>
      <c r="P728" s="4">
        <v>127258</v>
      </c>
      <c r="Q728" s="3" t="s">
        <v>26</v>
      </c>
      <c r="R728" s="3">
        <v>0</v>
      </c>
      <c r="S728" s="4">
        <v>0</v>
      </c>
      <c r="T728" s="4">
        <v>24</v>
      </c>
      <c r="U728" s="4">
        <v>40</v>
      </c>
      <c r="V728" s="4">
        <f>IF(ISERROR(VLOOKUP($S$728,'TAR FIN'!$A$1:$O$92,15,0)),0,VLOOKUP($S$728,'TAR FIN'!$A$1:$O$92,15,0))</f>
        <v>0</v>
      </c>
      <c r="W728" s="4">
        <f>IF(ISERROR(VLOOKUP($T$728,'TAR FIN'!$A$1:$O$92,15,0)),0,VLOOKUP($T$728,'TAR FIN'!$A$1:$O$92,15,0))</f>
        <v>311.27999999999997</v>
      </c>
      <c r="X728" s="4">
        <f>IF(ISERROR(VLOOKUP($U$728,'TAR FIN'!$A$1:$O$92,15,0)),0,VLOOKUP($U$728,'TAR FIN'!$A$1:$O$92,15,0))</f>
        <v>268.89</v>
      </c>
      <c r="Y728" s="4"/>
      <c r="Z728" s="4">
        <f ca="1">('TUSD BE'!$AM$20+'TUSD BF'!$AM$20+'TUSD CVA'!$AM$20)*1</f>
        <v>398.95397789704208</v>
      </c>
      <c r="AA728" s="4">
        <f>('TE BE'!$AB$11+'TE BF'!$AB$11+'TE CVA'!$AB$11)*1</f>
        <v>336.17550926835082</v>
      </c>
      <c r="AB728" s="4">
        <f>$K$728*$V$728</f>
        <v>0</v>
      </c>
      <c r="AC728" s="4">
        <f>$M$728*$W$728</f>
        <v>11715001.321679998</v>
      </c>
      <c r="AD728" s="4">
        <f>$O$728*$X$728</f>
        <v>10119656.596589999</v>
      </c>
      <c r="AE728" s="4">
        <f>$K$728*$Y$728</f>
        <v>0</v>
      </c>
      <c r="AF728" s="4">
        <f ca="1">$M$728*$Z$728</f>
        <v>15014605.430330703</v>
      </c>
      <c r="AG728" s="4">
        <f>$O$728*$AA$728</f>
        <v>12651942.095204243</v>
      </c>
    </row>
    <row r="729" spans="1:33" ht="11.25" customHeight="1" x14ac:dyDescent="0.25">
      <c r="A729" s="3" t="s">
        <v>27</v>
      </c>
      <c r="B729" s="3" t="s">
        <v>22</v>
      </c>
      <c r="C729" s="3" t="s">
        <v>23</v>
      </c>
      <c r="D729" s="3" t="s">
        <v>24</v>
      </c>
      <c r="E729" s="3" t="s">
        <v>24</v>
      </c>
      <c r="F729" s="3" t="s">
        <v>25</v>
      </c>
      <c r="G729" s="3" t="s">
        <v>25</v>
      </c>
      <c r="H729" s="3" t="s">
        <v>25</v>
      </c>
      <c r="I729" s="6">
        <v>44743</v>
      </c>
      <c r="J729" s="4">
        <v>0</v>
      </c>
      <c r="K729" s="4">
        <v>0</v>
      </c>
      <c r="L729" s="4">
        <v>-25.3</v>
      </c>
      <c r="M729" s="4">
        <v>-25.3</v>
      </c>
      <c r="N729" s="4">
        <v>-25.3</v>
      </c>
      <c r="O729" s="4">
        <v>-25.3</v>
      </c>
      <c r="P729" s="4">
        <v>11</v>
      </c>
      <c r="Q729" s="3" t="s">
        <v>26</v>
      </c>
      <c r="R729" s="3">
        <v>0</v>
      </c>
      <c r="S729" s="4">
        <v>0</v>
      </c>
      <c r="T729" s="4">
        <v>24</v>
      </c>
      <c r="U729" s="4">
        <v>40</v>
      </c>
      <c r="V729" s="4">
        <f>IF(ISERROR(VLOOKUP($S$729,'TAR FIN'!$A$1:$O$92,15,0)),0,VLOOKUP($S$729,'TAR FIN'!$A$1:$O$92,15,0))</f>
        <v>0</v>
      </c>
      <c r="W729" s="4">
        <f>IF(ISERROR(VLOOKUP($T$729,'TAR FIN'!$A$1:$O$92,15,0)),0,VLOOKUP($T$729,'TAR FIN'!$A$1:$O$92,15,0))</f>
        <v>311.27999999999997</v>
      </c>
      <c r="X729" s="4">
        <f>IF(ISERROR(VLOOKUP($U$729,'TAR FIN'!$A$1:$O$92,15,0)),0,VLOOKUP($U$729,'TAR FIN'!$A$1:$O$92,15,0))</f>
        <v>268.89</v>
      </c>
      <c r="Y729" s="4"/>
      <c r="Z729" s="4">
        <f ca="1">('TUSD BE'!$AM$20+'TUSD BF'!$AM$20+'TUSD CVA'!$AM$20)*1</f>
        <v>398.95397789704208</v>
      </c>
      <c r="AA729" s="4">
        <f>('TE BE'!$AB$11+'TE BF'!$AB$11+'TE CVA'!$AB$11)*1</f>
        <v>336.17550926835082</v>
      </c>
      <c r="AB729" s="4">
        <f>$K$729*$V$729</f>
        <v>0</v>
      </c>
      <c r="AC729" s="4">
        <f>$M$729*$W$729</f>
        <v>-7875.3839999999991</v>
      </c>
      <c r="AD729" s="4">
        <f>$O$729*$X$729</f>
        <v>-6802.9169999999995</v>
      </c>
      <c r="AE729" s="4">
        <f>$K$729*$Y$729</f>
        <v>0</v>
      </c>
      <c r="AF729" s="4">
        <f ca="1">$M$729*$Z$729</f>
        <v>-10093.535640795164</v>
      </c>
      <c r="AG729" s="4">
        <f>$O$729*$AA$729</f>
        <v>-8505.240384489276</v>
      </c>
    </row>
    <row r="730" spans="1:33" ht="11.25" customHeight="1" x14ac:dyDescent="0.25">
      <c r="A730" s="3" t="s">
        <v>28</v>
      </c>
      <c r="B730" s="3" t="s">
        <v>22</v>
      </c>
      <c r="C730" s="3" t="s">
        <v>23</v>
      </c>
      <c r="D730" s="3" t="s">
        <v>24</v>
      </c>
      <c r="E730" s="3" t="s">
        <v>24</v>
      </c>
      <c r="F730" s="3" t="s">
        <v>25</v>
      </c>
      <c r="G730" s="3" t="s">
        <v>25</v>
      </c>
      <c r="H730" s="3" t="s">
        <v>25</v>
      </c>
      <c r="I730" s="6">
        <v>44743</v>
      </c>
      <c r="J730" s="4">
        <v>0</v>
      </c>
      <c r="K730" s="4">
        <v>0</v>
      </c>
      <c r="L730" s="4">
        <v>519.245</v>
      </c>
      <c r="M730" s="4">
        <v>519.245</v>
      </c>
      <c r="N730" s="4">
        <v>519.245</v>
      </c>
      <c r="O730" s="4">
        <v>519.245</v>
      </c>
      <c r="P730" s="4">
        <v>799</v>
      </c>
      <c r="Q730" s="3" t="s">
        <v>26</v>
      </c>
      <c r="R730" s="3">
        <v>0</v>
      </c>
      <c r="S730" s="4">
        <v>0</v>
      </c>
      <c r="T730" s="4">
        <v>24</v>
      </c>
      <c r="U730" s="4">
        <v>40</v>
      </c>
      <c r="V730" s="4">
        <f>IF(ISERROR(VLOOKUP($S$730,'TAR FIN'!$A$1:$O$92,15,0)),0,VLOOKUP($S$730,'TAR FIN'!$A$1:$O$92,15,0))</f>
        <v>0</v>
      </c>
      <c r="W730" s="4">
        <f>IF(ISERROR(VLOOKUP($T$730,'TAR FIN'!$A$1:$O$92,15,0)),0,VLOOKUP($T$730,'TAR FIN'!$A$1:$O$92,15,0))</f>
        <v>311.27999999999997</v>
      </c>
      <c r="X730" s="4">
        <f>IF(ISERROR(VLOOKUP($U$730,'TAR FIN'!$A$1:$O$92,15,0)),0,VLOOKUP($U$730,'TAR FIN'!$A$1:$O$92,15,0))</f>
        <v>268.89</v>
      </c>
      <c r="Y730" s="4"/>
      <c r="Z730" s="4">
        <f ca="1">('TUSD BE'!$AM$20+'TUSD BF'!$AM$20+'TUSD CVA'!$AM$20)*1</f>
        <v>398.95397789704208</v>
      </c>
      <c r="AA730" s="4">
        <f>('TE BE'!$AB$11+'TE BF'!$AB$11+'TE CVA'!$AB$11)*1</f>
        <v>336.17550926835082</v>
      </c>
      <c r="AB730" s="4">
        <f>$K$730*$V$730</f>
        <v>0</v>
      </c>
      <c r="AC730" s="4">
        <f>$M$730*$W$730</f>
        <v>161630.58359999998</v>
      </c>
      <c r="AD730" s="4">
        <f>$O$730*$X$730</f>
        <v>139619.78805</v>
      </c>
      <c r="AE730" s="4">
        <f>$K$730*$Y$730</f>
        <v>0</v>
      </c>
      <c r="AF730" s="4">
        <f ca="1">$M$730*$Z$730</f>
        <v>207154.85825314961</v>
      </c>
      <c r="AG730" s="4">
        <f>$O$730*$AA$730</f>
        <v>174557.45231004481</v>
      </c>
    </row>
    <row r="731" spans="1:33" ht="11.25" customHeight="1" x14ac:dyDescent="0.25">
      <c r="A731" s="3" t="s">
        <v>28</v>
      </c>
      <c r="B731" s="3" t="s">
        <v>22</v>
      </c>
      <c r="C731" s="3" t="s">
        <v>23</v>
      </c>
      <c r="D731" s="3" t="s">
        <v>24</v>
      </c>
      <c r="E731" s="3" t="s">
        <v>24</v>
      </c>
      <c r="F731" s="3" t="s">
        <v>25</v>
      </c>
      <c r="G731" s="3" t="s">
        <v>25</v>
      </c>
      <c r="H731" s="3" t="s">
        <v>25</v>
      </c>
      <c r="I731" s="6">
        <v>44743</v>
      </c>
      <c r="J731" s="4">
        <v>0</v>
      </c>
      <c r="K731" s="4">
        <v>0</v>
      </c>
      <c r="L731" s="4">
        <v>-1.341</v>
      </c>
      <c r="M731" s="4">
        <v>-1.341</v>
      </c>
      <c r="N731" s="4">
        <v>-1.341</v>
      </c>
      <c r="O731" s="4">
        <v>-1.341</v>
      </c>
      <c r="P731" s="4">
        <v>-1</v>
      </c>
      <c r="Q731" s="3" t="s">
        <v>26</v>
      </c>
      <c r="R731" s="3">
        <v>0</v>
      </c>
      <c r="S731" s="4">
        <v>0</v>
      </c>
      <c r="T731" s="4">
        <v>24</v>
      </c>
      <c r="U731" s="4">
        <v>40</v>
      </c>
      <c r="V731" s="4">
        <f>IF(ISERROR(VLOOKUP($S$731,'TAR FIN'!$A$1:$O$92,15,0)),0,VLOOKUP($S$731,'TAR FIN'!$A$1:$O$92,15,0))</f>
        <v>0</v>
      </c>
      <c r="W731" s="4">
        <f>IF(ISERROR(VLOOKUP($T$731,'TAR FIN'!$A$1:$O$92,15,0)),0,VLOOKUP($T$731,'TAR FIN'!$A$1:$O$92,15,0))</f>
        <v>311.27999999999997</v>
      </c>
      <c r="X731" s="4">
        <f>IF(ISERROR(VLOOKUP($U$731,'TAR FIN'!$A$1:$O$92,15,0)),0,VLOOKUP($U$731,'TAR FIN'!$A$1:$O$92,15,0))</f>
        <v>268.89</v>
      </c>
      <c r="Y731" s="4"/>
      <c r="Z731" s="4">
        <f ca="1">('TUSD BE'!$AM$20+'TUSD BF'!$AM$20+'TUSD CVA'!$AM$20)*1</f>
        <v>398.95397789704208</v>
      </c>
      <c r="AA731" s="4">
        <f>('TE BE'!$AB$11+'TE BF'!$AB$11+'TE CVA'!$AB$11)*1</f>
        <v>336.17550926835082</v>
      </c>
      <c r="AB731" s="4">
        <f>$K$731*$V$731</f>
        <v>0</v>
      </c>
      <c r="AC731" s="4">
        <f>$M$731*$W$731</f>
        <v>-417.42647999999997</v>
      </c>
      <c r="AD731" s="4">
        <f>$O$731*$X$731</f>
        <v>-360.58148999999997</v>
      </c>
      <c r="AE731" s="4">
        <f>$K$731*$Y$731</f>
        <v>0</v>
      </c>
      <c r="AF731" s="4">
        <f ca="1">$M$731*$Z$731</f>
        <v>-534.99728435993347</v>
      </c>
      <c r="AG731" s="4">
        <f>$O$731*$AA$731</f>
        <v>-450.81135792885846</v>
      </c>
    </row>
    <row r="732" spans="1:33" ht="11.25" customHeight="1" x14ac:dyDescent="0.25">
      <c r="A732" s="3" t="s">
        <v>21</v>
      </c>
      <c r="B732" s="3" t="s">
        <v>22</v>
      </c>
      <c r="C732" s="3" t="s">
        <v>23</v>
      </c>
      <c r="D732" s="3" t="s">
        <v>24</v>
      </c>
      <c r="E732" s="3" t="s">
        <v>24</v>
      </c>
      <c r="F732" s="3" t="s">
        <v>25</v>
      </c>
      <c r="G732" s="3" t="s">
        <v>25</v>
      </c>
      <c r="H732" s="3" t="s">
        <v>25</v>
      </c>
      <c r="I732" s="6">
        <v>44774</v>
      </c>
      <c r="J732" s="4">
        <v>0</v>
      </c>
      <c r="K732" s="4">
        <v>0</v>
      </c>
      <c r="L732" s="4">
        <v>44574.142</v>
      </c>
      <c r="M732" s="4">
        <v>44574.142</v>
      </c>
      <c r="N732" s="4">
        <v>44574.142</v>
      </c>
      <c r="O732" s="4">
        <v>44574.142</v>
      </c>
      <c r="P732" s="4">
        <v>126585</v>
      </c>
      <c r="Q732" s="3" t="s">
        <v>26</v>
      </c>
      <c r="R732" s="3">
        <v>0</v>
      </c>
      <c r="S732" s="4">
        <v>0</v>
      </c>
      <c r="T732" s="4">
        <v>24</v>
      </c>
      <c r="U732" s="4">
        <v>40</v>
      </c>
      <c r="V732" s="4">
        <f>IF(ISERROR(VLOOKUP($S$732,'TAR FIN'!$A$1:$O$92,15,0)),0,VLOOKUP($S$732,'TAR FIN'!$A$1:$O$92,15,0))</f>
        <v>0</v>
      </c>
      <c r="W732" s="4">
        <f>IF(ISERROR(VLOOKUP($T$732,'TAR FIN'!$A$1:$O$92,15,0)),0,VLOOKUP($T$732,'TAR FIN'!$A$1:$O$92,15,0))</f>
        <v>311.27999999999997</v>
      </c>
      <c r="X732" s="4">
        <f>IF(ISERROR(VLOOKUP($U$732,'TAR FIN'!$A$1:$O$92,15,0)),0,VLOOKUP($U$732,'TAR FIN'!$A$1:$O$92,15,0))</f>
        <v>268.89</v>
      </c>
      <c r="Y732" s="4"/>
      <c r="Z732" s="4">
        <f ca="1">('TUSD BE'!$AM$20+'TUSD BF'!$AM$20+'TUSD CVA'!$AM$20)*1</f>
        <v>398.95397789704208</v>
      </c>
      <c r="AA732" s="4">
        <f>('TE BE'!$AB$11+'TE BF'!$AB$11+'TE CVA'!$AB$11)*1</f>
        <v>336.17550926835082</v>
      </c>
      <c r="AB732" s="4">
        <f>$K$732*$V$732</f>
        <v>0</v>
      </c>
      <c r="AC732" s="4">
        <f>$M$732*$W$732</f>
        <v>13875038.921759998</v>
      </c>
      <c r="AD732" s="4">
        <f>$O$732*$X$732</f>
        <v>11985541.04238</v>
      </c>
      <c r="AE732" s="4">
        <f>$K$732*$Y$732</f>
        <v>0</v>
      </c>
      <c r="AF732" s="4">
        <f ca="1">$M$732*$Z$732</f>
        <v>17783031.262247615</v>
      </c>
      <c r="AG732" s="4">
        <f>$O$732*$AA$732</f>
        <v>14984734.887049785</v>
      </c>
    </row>
    <row r="733" spans="1:33" ht="11.25" customHeight="1" x14ac:dyDescent="0.25">
      <c r="A733" s="3" t="s">
        <v>27</v>
      </c>
      <c r="B733" s="3" t="s">
        <v>22</v>
      </c>
      <c r="C733" s="3" t="s">
        <v>23</v>
      </c>
      <c r="D733" s="3" t="s">
        <v>24</v>
      </c>
      <c r="E733" s="3" t="s">
        <v>24</v>
      </c>
      <c r="F733" s="3" t="s">
        <v>25</v>
      </c>
      <c r="G733" s="3" t="s">
        <v>25</v>
      </c>
      <c r="H733" s="3" t="s">
        <v>25</v>
      </c>
      <c r="I733" s="6">
        <v>44774</v>
      </c>
      <c r="J733" s="4">
        <v>0</v>
      </c>
      <c r="K733" s="4">
        <v>0</v>
      </c>
      <c r="L733" s="4">
        <v>-180.69399999999999</v>
      </c>
      <c r="M733" s="4">
        <v>-180.69399999999999</v>
      </c>
      <c r="N733" s="4">
        <v>-180.69399999999999</v>
      </c>
      <c r="O733" s="4">
        <v>-180.69399999999999</v>
      </c>
      <c r="P733" s="4">
        <v>-46</v>
      </c>
      <c r="Q733" s="3" t="s">
        <v>26</v>
      </c>
      <c r="R733" s="3">
        <v>0</v>
      </c>
      <c r="S733" s="4">
        <v>0</v>
      </c>
      <c r="T733" s="4">
        <v>24</v>
      </c>
      <c r="U733" s="4">
        <v>40</v>
      </c>
      <c r="V733" s="4">
        <f>IF(ISERROR(VLOOKUP($S$733,'TAR FIN'!$A$1:$O$92,15,0)),0,VLOOKUP($S$733,'TAR FIN'!$A$1:$O$92,15,0))</f>
        <v>0</v>
      </c>
      <c r="W733" s="4">
        <f>IF(ISERROR(VLOOKUP($T$733,'TAR FIN'!$A$1:$O$92,15,0)),0,VLOOKUP($T$733,'TAR FIN'!$A$1:$O$92,15,0))</f>
        <v>311.27999999999997</v>
      </c>
      <c r="X733" s="4">
        <f>IF(ISERROR(VLOOKUP($U$733,'TAR FIN'!$A$1:$O$92,15,0)),0,VLOOKUP($U$733,'TAR FIN'!$A$1:$O$92,15,0))</f>
        <v>268.89</v>
      </c>
      <c r="Y733" s="4"/>
      <c r="Z733" s="4">
        <f ca="1">('TUSD BE'!$AM$20+'TUSD BF'!$AM$20+'TUSD CVA'!$AM$20)*1</f>
        <v>398.95397789704208</v>
      </c>
      <c r="AA733" s="4">
        <f>('TE BE'!$AB$11+'TE BF'!$AB$11+'TE CVA'!$AB$11)*1</f>
        <v>336.17550926835082</v>
      </c>
      <c r="AB733" s="4">
        <f>$K$733*$V$733</f>
        <v>0</v>
      </c>
      <c r="AC733" s="4">
        <f>$M$733*$W$733</f>
        <v>-56246.428319999992</v>
      </c>
      <c r="AD733" s="4">
        <f>$O$733*$X$733</f>
        <v>-48586.809659999992</v>
      </c>
      <c r="AE733" s="4">
        <f>$K$733*$Y$733</f>
        <v>0</v>
      </c>
      <c r="AF733" s="4">
        <f ca="1">$M$733*$Z$733</f>
        <v>-72088.59008212811</v>
      </c>
      <c r="AG733" s="4">
        <f>$O$733*$AA$733</f>
        <v>-60744.897471735378</v>
      </c>
    </row>
    <row r="734" spans="1:33" ht="11.25" customHeight="1" x14ac:dyDescent="0.25">
      <c r="A734" s="3" t="s">
        <v>28</v>
      </c>
      <c r="B734" s="3" t="s">
        <v>22</v>
      </c>
      <c r="C734" s="3" t="s">
        <v>23</v>
      </c>
      <c r="D734" s="3" t="s">
        <v>24</v>
      </c>
      <c r="E734" s="3" t="s">
        <v>24</v>
      </c>
      <c r="F734" s="3" t="s">
        <v>25</v>
      </c>
      <c r="G734" s="3" t="s">
        <v>25</v>
      </c>
      <c r="H734" s="3" t="s">
        <v>25</v>
      </c>
      <c r="I734" s="6">
        <v>44774</v>
      </c>
      <c r="J734" s="4">
        <v>0</v>
      </c>
      <c r="K734" s="4">
        <v>0</v>
      </c>
      <c r="L734" s="4">
        <v>678.17</v>
      </c>
      <c r="M734" s="4">
        <v>678.17</v>
      </c>
      <c r="N734" s="4">
        <v>678.17</v>
      </c>
      <c r="O734" s="4">
        <v>678.17</v>
      </c>
      <c r="P734" s="4">
        <v>845</v>
      </c>
      <c r="Q734" s="3" t="s">
        <v>26</v>
      </c>
      <c r="R734" s="3">
        <v>0</v>
      </c>
      <c r="S734" s="4">
        <v>0</v>
      </c>
      <c r="T734" s="4">
        <v>24</v>
      </c>
      <c r="U734" s="4">
        <v>40</v>
      </c>
      <c r="V734" s="4">
        <f>IF(ISERROR(VLOOKUP($S$734,'TAR FIN'!$A$1:$O$92,15,0)),0,VLOOKUP($S$734,'TAR FIN'!$A$1:$O$92,15,0))</f>
        <v>0</v>
      </c>
      <c r="W734" s="4">
        <f>IF(ISERROR(VLOOKUP($T$734,'TAR FIN'!$A$1:$O$92,15,0)),0,VLOOKUP($T$734,'TAR FIN'!$A$1:$O$92,15,0))</f>
        <v>311.27999999999997</v>
      </c>
      <c r="X734" s="4">
        <f>IF(ISERROR(VLOOKUP($U$734,'TAR FIN'!$A$1:$O$92,15,0)),0,VLOOKUP($U$734,'TAR FIN'!$A$1:$O$92,15,0))</f>
        <v>268.89</v>
      </c>
      <c r="Y734" s="4"/>
      <c r="Z734" s="4">
        <f ca="1">('TUSD BE'!$AM$20+'TUSD BF'!$AM$20+'TUSD CVA'!$AM$20)*1</f>
        <v>398.95397789704208</v>
      </c>
      <c r="AA734" s="4">
        <f>('TE BE'!$AB$11+'TE BF'!$AB$11+'TE CVA'!$AB$11)*1</f>
        <v>336.17550926835082</v>
      </c>
      <c r="AB734" s="4">
        <f>$K$734*$V$734</f>
        <v>0</v>
      </c>
      <c r="AC734" s="4">
        <f>$M$734*$W$734</f>
        <v>211100.75759999998</v>
      </c>
      <c r="AD734" s="4">
        <f>$O$734*$X$734</f>
        <v>182353.13129999998</v>
      </c>
      <c r="AE734" s="4">
        <f>$K$734*$Y$734</f>
        <v>0</v>
      </c>
      <c r="AF734" s="4">
        <f ca="1">$M$734*$Z$734</f>
        <v>270558.61919043702</v>
      </c>
      <c r="AG734" s="4">
        <f>$O$734*$AA$734</f>
        <v>227984.14512051747</v>
      </c>
    </row>
    <row r="735" spans="1:33" ht="11.25" customHeight="1" x14ac:dyDescent="0.25">
      <c r="A735" s="3" t="s">
        <v>28</v>
      </c>
      <c r="B735" s="3" t="s">
        <v>22</v>
      </c>
      <c r="C735" s="3" t="s">
        <v>23</v>
      </c>
      <c r="D735" s="3" t="s">
        <v>24</v>
      </c>
      <c r="E735" s="3" t="s">
        <v>24</v>
      </c>
      <c r="F735" s="3" t="s">
        <v>25</v>
      </c>
      <c r="G735" s="3" t="s">
        <v>25</v>
      </c>
      <c r="H735" s="3" t="s">
        <v>25</v>
      </c>
      <c r="I735" s="6">
        <v>44774</v>
      </c>
      <c r="J735" s="4">
        <v>0</v>
      </c>
      <c r="K735" s="4">
        <v>0</v>
      </c>
      <c r="L735" s="4">
        <v>-0.45900000000000002</v>
      </c>
      <c r="M735" s="4">
        <v>-0.45900000000000002</v>
      </c>
      <c r="N735" s="4">
        <v>-0.45900000000000002</v>
      </c>
      <c r="O735" s="4">
        <v>-0.45900000000000002</v>
      </c>
      <c r="P735" s="4">
        <v>0</v>
      </c>
      <c r="Q735" s="3" t="s">
        <v>26</v>
      </c>
      <c r="R735" s="3">
        <v>0</v>
      </c>
      <c r="S735" s="4">
        <v>0</v>
      </c>
      <c r="T735" s="4">
        <v>24</v>
      </c>
      <c r="U735" s="4">
        <v>40</v>
      </c>
      <c r="V735" s="4">
        <f>IF(ISERROR(VLOOKUP($S$735,'TAR FIN'!$A$1:$O$92,15,0)),0,VLOOKUP($S$735,'TAR FIN'!$A$1:$O$92,15,0))</f>
        <v>0</v>
      </c>
      <c r="W735" s="4">
        <f>IF(ISERROR(VLOOKUP($T$735,'TAR FIN'!$A$1:$O$92,15,0)),0,VLOOKUP($T$735,'TAR FIN'!$A$1:$O$92,15,0))</f>
        <v>311.27999999999997</v>
      </c>
      <c r="X735" s="4">
        <f>IF(ISERROR(VLOOKUP($U$735,'TAR FIN'!$A$1:$O$92,15,0)),0,VLOOKUP($U$735,'TAR FIN'!$A$1:$O$92,15,0))</f>
        <v>268.89</v>
      </c>
      <c r="Y735" s="4"/>
      <c r="Z735" s="4">
        <f ca="1">('TUSD BE'!$AM$20+'TUSD BF'!$AM$20+'TUSD CVA'!$AM$20)*1</f>
        <v>398.95397789704208</v>
      </c>
      <c r="AA735" s="4">
        <f>('TE BE'!$AB$11+'TE BF'!$AB$11+'TE CVA'!$AB$11)*1</f>
        <v>336.17550926835082</v>
      </c>
      <c r="AB735" s="4">
        <f>$K$735*$V$735</f>
        <v>0</v>
      </c>
      <c r="AC735" s="4">
        <f>$M$735*$W$735</f>
        <v>-142.87752</v>
      </c>
      <c r="AD735" s="4">
        <f>$O$735*$X$735</f>
        <v>-123.42050999999999</v>
      </c>
      <c r="AE735" s="4">
        <f>$K$735*$Y$735</f>
        <v>0</v>
      </c>
      <c r="AF735" s="4">
        <f ca="1">$M$735*$Z$735</f>
        <v>-183.11987585474233</v>
      </c>
      <c r="AG735" s="4">
        <f>$O$735*$AA$735</f>
        <v>-154.30455875417303</v>
      </c>
    </row>
    <row r="736" spans="1:33" ht="11.25" customHeight="1" x14ac:dyDescent="0.25">
      <c r="A736" s="3" t="s">
        <v>21</v>
      </c>
      <c r="B736" s="3" t="s">
        <v>22</v>
      </c>
      <c r="C736" s="3" t="s">
        <v>23</v>
      </c>
      <c r="D736" s="3" t="s">
        <v>24</v>
      </c>
      <c r="E736" s="3" t="s">
        <v>24</v>
      </c>
      <c r="F736" s="3" t="s">
        <v>25</v>
      </c>
      <c r="G736" s="3" t="s">
        <v>25</v>
      </c>
      <c r="H736" s="3" t="s">
        <v>25</v>
      </c>
      <c r="I736" s="6">
        <v>44805</v>
      </c>
      <c r="J736" s="4">
        <v>0</v>
      </c>
      <c r="K736" s="4">
        <v>0</v>
      </c>
      <c r="L736" s="4">
        <v>45779.404000000002</v>
      </c>
      <c r="M736" s="4">
        <v>45779.404000000002</v>
      </c>
      <c r="N736" s="4">
        <v>45779.404000000002</v>
      </c>
      <c r="O736" s="4">
        <v>45779.404000000002</v>
      </c>
      <c r="P736" s="4">
        <v>127057</v>
      </c>
      <c r="Q736" s="3" t="s">
        <v>26</v>
      </c>
      <c r="R736" s="3">
        <v>0</v>
      </c>
      <c r="S736" s="4">
        <v>0</v>
      </c>
      <c r="T736" s="4">
        <v>24</v>
      </c>
      <c r="U736" s="4">
        <v>40</v>
      </c>
      <c r="V736" s="4">
        <f>IF(ISERROR(VLOOKUP($S$736,'TAR FIN'!$A$1:$O$92,15,0)),0,VLOOKUP($S$736,'TAR FIN'!$A$1:$O$92,15,0))</f>
        <v>0</v>
      </c>
      <c r="W736" s="4">
        <f>IF(ISERROR(VLOOKUP($T$736,'TAR FIN'!$A$1:$O$92,15,0)),0,VLOOKUP($T$736,'TAR FIN'!$A$1:$O$92,15,0))</f>
        <v>311.27999999999997</v>
      </c>
      <c r="X736" s="4">
        <f>IF(ISERROR(VLOOKUP($U$736,'TAR FIN'!$A$1:$O$92,15,0)),0,VLOOKUP($U$736,'TAR FIN'!$A$1:$O$92,15,0))</f>
        <v>268.89</v>
      </c>
      <c r="Y736" s="4"/>
      <c r="Z736" s="4">
        <f ca="1">('TUSD BE'!$AM$20+'TUSD BF'!$AM$20+'TUSD CVA'!$AM$20)*1</f>
        <v>398.95397789704208</v>
      </c>
      <c r="AA736" s="4">
        <f>('TE BE'!$AB$11+'TE BF'!$AB$11+'TE CVA'!$AB$11)*1</f>
        <v>336.17550926835082</v>
      </c>
      <c r="AB736" s="4">
        <f>$K$736*$V$736</f>
        <v>0</v>
      </c>
      <c r="AC736" s="4">
        <f>$M$736*$W$736</f>
        <v>14250212.877119999</v>
      </c>
      <c r="AD736" s="4">
        <f>$O$736*$X$736</f>
        <v>12309623.94156</v>
      </c>
      <c r="AE736" s="4">
        <f>$K$736*$Y$736</f>
        <v>0</v>
      </c>
      <c r="AF736" s="4">
        <f ca="1">$M$736*$Z$736</f>
        <v>18263875.331555761</v>
      </c>
      <c r="AG736" s="4">
        <f>$O$736*$AA$736</f>
        <v>15389914.453701578</v>
      </c>
    </row>
    <row r="737" spans="1:33" ht="11.25" customHeight="1" x14ac:dyDescent="0.25">
      <c r="A737" s="3" t="s">
        <v>27</v>
      </c>
      <c r="B737" s="3" t="s">
        <v>22</v>
      </c>
      <c r="C737" s="3" t="s">
        <v>23</v>
      </c>
      <c r="D737" s="3" t="s">
        <v>24</v>
      </c>
      <c r="E737" s="3" t="s">
        <v>24</v>
      </c>
      <c r="F737" s="3" t="s">
        <v>25</v>
      </c>
      <c r="G737" s="3" t="s">
        <v>25</v>
      </c>
      <c r="H737" s="3" t="s">
        <v>25</v>
      </c>
      <c r="I737" s="6">
        <v>44805</v>
      </c>
      <c r="J737" s="4">
        <v>0</v>
      </c>
      <c r="K737" s="4">
        <v>0</v>
      </c>
      <c r="L737" s="4">
        <v>-95.093999999999994</v>
      </c>
      <c r="M737" s="4">
        <v>-95.093999999999994</v>
      </c>
      <c r="N737" s="4">
        <v>-95.093999999999994</v>
      </c>
      <c r="O737" s="4">
        <v>-95.093999999999994</v>
      </c>
      <c r="P737" s="4">
        <v>-57</v>
      </c>
      <c r="Q737" s="3" t="s">
        <v>26</v>
      </c>
      <c r="R737" s="3">
        <v>0</v>
      </c>
      <c r="S737" s="4">
        <v>0</v>
      </c>
      <c r="T737" s="4">
        <v>24</v>
      </c>
      <c r="U737" s="4">
        <v>40</v>
      </c>
      <c r="V737" s="4">
        <f>IF(ISERROR(VLOOKUP($S$737,'TAR FIN'!$A$1:$O$92,15,0)),0,VLOOKUP($S$737,'TAR FIN'!$A$1:$O$92,15,0))</f>
        <v>0</v>
      </c>
      <c r="W737" s="4">
        <f>IF(ISERROR(VLOOKUP($T$737,'TAR FIN'!$A$1:$O$92,15,0)),0,VLOOKUP($T$737,'TAR FIN'!$A$1:$O$92,15,0))</f>
        <v>311.27999999999997</v>
      </c>
      <c r="X737" s="4">
        <f>IF(ISERROR(VLOOKUP($U$737,'TAR FIN'!$A$1:$O$92,15,0)),0,VLOOKUP($U$737,'TAR FIN'!$A$1:$O$92,15,0))</f>
        <v>268.89</v>
      </c>
      <c r="Y737" s="4"/>
      <c r="Z737" s="4">
        <f ca="1">('TUSD BE'!$AM$20+'TUSD BF'!$AM$20+'TUSD CVA'!$AM$20)*1</f>
        <v>398.95397789704208</v>
      </c>
      <c r="AA737" s="4">
        <f>('TE BE'!$AB$11+'TE BF'!$AB$11+'TE CVA'!$AB$11)*1</f>
        <v>336.17550926835082</v>
      </c>
      <c r="AB737" s="4">
        <f>$K$737*$V$737</f>
        <v>0</v>
      </c>
      <c r="AC737" s="4">
        <f>$M$737*$W$737</f>
        <v>-29600.860319999996</v>
      </c>
      <c r="AD737" s="4">
        <f>$O$737*$X$737</f>
        <v>-25569.825659999999</v>
      </c>
      <c r="AE737" s="4">
        <f>$K$737*$Y$737</f>
        <v>0</v>
      </c>
      <c r="AF737" s="4">
        <f ca="1">$M$737*$Z$737</f>
        <v>-37938.12957414132</v>
      </c>
      <c r="AG737" s="4">
        <f>$O$737*$AA$737</f>
        <v>-31968.273878364551</v>
      </c>
    </row>
    <row r="738" spans="1:33" ht="11.25" customHeight="1" x14ac:dyDescent="0.25">
      <c r="A738" s="3" t="s">
        <v>28</v>
      </c>
      <c r="B738" s="3" t="s">
        <v>22</v>
      </c>
      <c r="C738" s="3" t="s">
        <v>23</v>
      </c>
      <c r="D738" s="3" t="s">
        <v>24</v>
      </c>
      <c r="E738" s="3" t="s">
        <v>24</v>
      </c>
      <c r="F738" s="3" t="s">
        <v>25</v>
      </c>
      <c r="G738" s="3" t="s">
        <v>25</v>
      </c>
      <c r="H738" s="3" t="s">
        <v>25</v>
      </c>
      <c r="I738" s="6">
        <v>44805</v>
      </c>
      <c r="J738" s="4">
        <v>0</v>
      </c>
      <c r="K738" s="4">
        <v>0</v>
      </c>
      <c r="L738" s="4">
        <v>713.95600000000002</v>
      </c>
      <c r="M738" s="4">
        <v>713.95600000000002</v>
      </c>
      <c r="N738" s="4">
        <v>713.95600000000002</v>
      </c>
      <c r="O738" s="4">
        <v>713.95600000000002</v>
      </c>
      <c r="P738" s="4">
        <v>879</v>
      </c>
      <c r="Q738" s="3" t="s">
        <v>26</v>
      </c>
      <c r="R738" s="3">
        <v>0</v>
      </c>
      <c r="S738" s="4">
        <v>0</v>
      </c>
      <c r="T738" s="4">
        <v>24</v>
      </c>
      <c r="U738" s="4">
        <v>40</v>
      </c>
      <c r="V738" s="4">
        <f>IF(ISERROR(VLOOKUP($S$738,'TAR FIN'!$A$1:$O$92,15,0)),0,VLOOKUP($S$738,'TAR FIN'!$A$1:$O$92,15,0))</f>
        <v>0</v>
      </c>
      <c r="W738" s="4">
        <f>IF(ISERROR(VLOOKUP($T$738,'TAR FIN'!$A$1:$O$92,15,0)),0,VLOOKUP($T$738,'TAR FIN'!$A$1:$O$92,15,0))</f>
        <v>311.27999999999997</v>
      </c>
      <c r="X738" s="4">
        <f>IF(ISERROR(VLOOKUP($U$738,'TAR FIN'!$A$1:$O$92,15,0)),0,VLOOKUP($U$738,'TAR FIN'!$A$1:$O$92,15,0))</f>
        <v>268.89</v>
      </c>
      <c r="Y738" s="4"/>
      <c r="Z738" s="4">
        <f ca="1">('TUSD BE'!$AM$20+'TUSD BF'!$AM$20+'TUSD CVA'!$AM$20)*1</f>
        <v>398.95397789704208</v>
      </c>
      <c r="AA738" s="4">
        <f>('TE BE'!$AB$11+'TE BF'!$AB$11+'TE CVA'!$AB$11)*1</f>
        <v>336.17550926835082</v>
      </c>
      <c r="AB738" s="4">
        <f>$K$738*$V$738</f>
        <v>0</v>
      </c>
      <c r="AC738" s="4">
        <f>$M$738*$W$738</f>
        <v>222240.22368</v>
      </c>
      <c r="AD738" s="4">
        <f>$O$738*$X$738</f>
        <v>191975.62883999999</v>
      </c>
      <c r="AE738" s="4">
        <f>$K$738*$Y$738</f>
        <v>0</v>
      </c>
      <c r="AF738" s="4">
        <f ca="1">$M$738*$Z$738</f>
        <v>284835.5862434606</v>
      </c>
      <c r="AG738" s="4">
        <f>$O$738*$AA$738</f>
        <v>240014.52189519469</v>
      </c>
    </row>
    <row r="739" spans="1:33" ht="11.25" customHeight="1" x14ac:dyDescent="0.25">
      <c r="A739" s="3" t="s">
        <v>28</v>
      </c>
      <c r="B739" s="3" t="s">
        <v>22</v>
      </c>
      <c r="C739" s="3" t="s">
        <v>23</v>
      </c>
      <c r="D739" s="3" t="s">
        <v>24</v>
      </c>
      <c r="E739" s="3" t="s">
        <v>24</v>
      </c>
      <c r="F739" s="3" t="s">
        <v>25</v>
      </c>
      <c r="G739" s="3" t="s">
        <v>25</v>
      </c>
      <c r="H739" s="3" t="s">
        <v>25</v>
      </c>
      <c r="I739" s="6">
        <v>44805</v>
      </c>
      <c r="J739" s="4">
        <v>0</v>
      </c>
      <c r="K739" s="4">
        <v>0</v>
      </c>
      <c r="L739" s="4">
        <v>-0.23699999999999999</v>
      </c>
      <c r="M739" s="4">
        <v>-0.23699999999999999</v>
      </c>
      <c r="N739" s="4">
        <v>-0.23699999999999999</v>
      </c>
      <c r="O739" s="4">
        <v>-0.23699999999999999</v>
      </c>
      <c r="P739" s="4">
        <v>1</v>
      </c>
      <c r="Q739" s="3" t="s">
        <v>26</v>
      </c>
      <c r="R739" s="3">
        <v>0</v>
      </c>
      <c r="S739" s="4">
        <v>0</v>
      </c>
      <c r="T739" s="4">
        <v>24</v>
      </c>
      <c r="U739" s="4">
        <v>40</v>
      </c>
      <c r="V739" s="4">
        <f>IF(ISERROR(VLOOKUP($S$739,'TAR FIN'!$A$1:$O$92,15,0)),0,VLOOKUP($S$739,'TAR FIN'!$A$1:$O$92,15,0))</f>
        <v>0</v>
      </c>
      <c r="W739" s="4">
        <f>IF(ISERROR(VLOOKUP($T$739,'TAR FIN'!$A$1:$O$92,15,0)),0,VLOOKUP($T$739,'TAR FIN'!$A$1:$O$92,15,0))</f>
        <v>311.27999999999997</v>
      </c>
      <c r="X739" s="4">
        <f>IF(ISERROR(VLOOKUP($U$739,'TAR FIN'!$A$1:$O$92,15,0)),0,VLOOKUP($U$739,'TAR FIN'!$A$1:$O$92,15,0))</f>
        <v>268.89</v>
      </c>
      <c r="Y739" s="4"/>
      <c r="Z739" s="4">
        <f ca="1">('TUSD BE'!$AM$20+'TUSD BF'!$AM$20+'TUSD CVA'!$AM$20)*1</f>
        <v>398.95397789704208</v>
      </c>
      <c r="AA739" s="4">
        <f>('TE BE'!$AB$11+'TE BF'!$AB$11+'TE CVA'!$AB$11)*1</f>
        <v>336.17550926835082</v>
      </c>
      <c r="AB739" s="4">
        <f>$K$739*$V$739</f>
        <v>0</v>
      </c>
      <c r="AC739" s="4">
        <f>$M$739*$W$739</f>
        <v>-73.773359999999997</v>
      </c>
      <c r="AD739" s="4">
        <f>$O$739*$X$739</f>
        <v>-63.726929999999996</v>
      </c>
      <c r="AE739" s="4">
        <f>$K$739*$Y$739</f>
        <v>0</v>
      </c>
      <c r="AF739" s="4">
        <f ca="1">$M$739*$Z$739</f>
        <v>-94.552092761598971</v>
      </c>
      <c r="AG739" s="4">
        <f>$O$739*$AA$739</f>
        <v>-79.673595696599136</v>
      </c>
    </row>
    <row r="740" spans="1:33" ht="11.25" customHeight="1" x14ac:dyDescent="0.25">
      <c r="A740" s="3" t="s">
        <v>55</v>
      </c>
      <c r="B740" s="3" t="s">
        <v>22</v>
      </c>
      <c r="C740" s="3" t="s">
        <v>23</v>
      </c>
      <c r="D740" s="3" t="s">
        <v>24</v>
      </c>
      <c r="E740" s="3" t="s">
        <v>24</v>
      </c>
      <c r="F740" s="3" t="s">
        <v>25</v>
      </c>
      <c r="G740" s="3" t="s">
        <v>25</v>
      </c>
      <c r="H740" s="3" t="s">
        <v>25</v>
      </c>
      <c r="I740" s="6">
        <v>44835</v>
      </c>
      <c r="J740" s="4">
        <v>0</v>
      </c>
      <c r="K740" s="4">
        <v>0</v>
      </c>
      <c r="L740" s="4">
        <v>45779.404000000002</v>
      </c>
      <c r="M740" s="4">
        <v>45779.404000000002</v>
      </c>
      <c r="N740" s="4">
        <v>45779.404000000002</v>
      </c>
      <c r="O740" s="4">
        <v>45779.404000000002</v>
      </c>
      <c r="P740" s="4">
        <v>127057</v>
      </c>
      <c r="Q740" s="3" t="s">
        <v>26</v>
      </c>
      <c r="R740" s="3">
        <v>0</v>
      </c>
      <c r="S740" s="4">
        <v>0</v>
      </c>
      <c r="T740" s="4">
        <v>24</v>
      </c>
      <c r="U740" s="4">
        <v>40</v>
      </c>
      <c r="V740" s="4">
        <f>IF(ISERROR(VLOOKUP($S$740,'TAR FIN'!$A$1:$O$92,15,0)),0,VLOOKUP($S$740,'TAR FIN'!$A$1:$O$92,15,0))</f>
        <v>0</v>
      </c>
      <c r="W740" s="4">
        <f>IF(ISERROR(VLOOKUP($T$740,'TAR FIN'!$A$1:$O$92,15,0)),0,VLOOKUP($T$740,'TAR FIN'!$A$1:$O$92,15,0))</f>
        <v>311.27999999999997</v>
      </c>
      <c r="X740" s="4">
        <f>IF(ISERROR(VLOOKUP($U$740,'TAR FIN'!$A$1:$O$92,15,0)),0,VLOOKUP($U$740,'TAR FIN'!$A$1:$O$92,15,0))</f>
        <v>268.89</v>
      </c>
      <c r="Y740" s="4"/>
      <c r="Z740" s="4">
        <f ca="1">('TUSD BE'!$AM$20+'TUSD BF'!$AM$20+'TUSD CVA'!$AM$20)*1</f>
        <v>398.95397789704208</v>
      </c>
      <c r="AA740" s="4">
        <f>('TE BE'!$AB$11+'TE BF'!$AB$11+'TE CVA'!$AB$11)*1</f>
        <v>336.17550926835082</v>
      </c>
      <c r="AB740" s="4">
        <f>$K$740*$V$740</f>
        <v>0</v>
      </c>
      <c r="AC740" s="4">
        <f>$M$740*$W$740</f>
        <v>14250212.877119999</v>
      </c>
      <c r="AD740" s="4">
        <f>$O$740*$X$740</f>
        <v>12309623.94156</v>
      </c>
      <c r="AE740" s="4">
        <f>$K$740*$Y$740</f>
        <v>0</v>
      </c>
      <c r="AF740" s="4">
        <f ca="1">$M$740*$Z$740</f>
        <v>18263875.331555761</v>
      </c>
      <c r="AG740" s="4">
        <f>$O$740*$AA$740</f>
        <v>15389914.453701578</v>
      </c>
    </row>
    <row r="741" spans="1:33" ht="11.25" customHeight="1" x14ac:dyDescent="0.25">
      <c r="A741" s="3" t="s">
        <v>55</v>
      </c>
      <c r="B741" s="3" t="s">
        <v>22</v>
      </c>
      <c r="C741" s="3" t="s">
        <v>23</v>
      </c>
      <c r="D741" s="3" t="s">
        <v>24</v>
      </c>
      <c r="E741" s="3" t="s">
        <v>24</v>
      </c>
      <c r="F741" s="3" t="s">
        <v>25</v>
      </c>
      <c r="G741" s="3" t="s">
        <v>25</v>
      </c>
      <c r="H741" s="3" t="s">
        <v>25</v>
      </c>
      <c r="I741" s="6">
        <v>44835</v>
      </c>
      <c r="J741" s="4">
        <v>0</v>
      </c>
      <c r="K741" s="4">
        <v>0</v>
      </c>
      <c r="L741" s="4">
        <v>-95.093999999999994</v>
      </c>
      <c r="M741" s="4">
        <v>-95.093999999999994</v>
      </c>
      <c r="N741" s="4">
        <v>-95.093999999999994</v>
      </c>
      <c r="O741" s="4">
        <v>-95.093999999999994</v>
      </c>
      <c r="P741" s="4">
        <v>-57</v>
      </c>
      <c r="Q741" s="3" t="s">
        <v>26</v>
      </c>
      <c r="R741" s="3">
        <v>0</v>
      </c>
      <c r="S741" s="4">
        <v>0</v>
      </c>
      <c r="T741" s="4">
        <v>24</v>
      </c>
      <c r="U741" s="4">
        <v>40</v>
      </c>
      <c r="V741" s="4">
        <f>IF(ISERROR(VLOOKUP($S$741,'TAR FIN'!$A$1:$O$92,15,0)),0,VLOOKUP($S$741,'TAR FIN'!$A$1:$O$92,15,0))</f>
        <v>0</v>
      </c>
      <c r="W741" s="4">
        <f>IF(ISERROR(VLOOKUP($T$741,'TAR FIN'!$A$1:$O$92,15,0)),0,VLOOKUP($T$741,'TAR FIN'!$A$1:$O$92,15,0))</f>
        <v>311.27999999999997</v>
      </c>
      <c r="X741" s="4">
        <f>IF(ISERROR(VLOOKUP($U$741,'TAR FIN'!$A$1:$O$92,15,0)),0,VLOOKUP($U$741,'TAR FIN'!$A$1:$O$92,15,0))</f>
        <v>268.89</v>
      </c>
      <c r="Y741" s="4"/>
      <c r="Z741" s="4">
        <f ca="1">('TUSD BE'!$AM$20+'TUSD BF'!$AM$20+'TUSD CVA'!$AM$20)*1</f>
        <v>398.95397789704208</v>
      </c>
      <c r="AA741" s="4">
        <f>('TE BE'!$AB$11+'TE BF'!$AB$11+'TE CVA'!$AB$11)*1</f>
        <v>336.17550926835082</v>
      </c>
      <c r="AB741" s="4">
        <f>$K$741*$V$741</f>
        <v>0</v>
      </c>
      <c r="AC741" s="4">
        <f>$M$741*$W$741</f>
        <v>-29600.860319999996</v>
      </c>
      <c r="AD741" s="4">
        <f>$O$741*$X$741</f>
        <v>-25569.825659999999</v>
      </c>
      <c r="AE741" s="4">
        <f>$K$741*$Y$741</f>
        <v>0</v>
      </c>
      <c r="AF741" s="4">
        <f ca="1">$M$741*$Z$741</f>
        <v>-37938.12957414132</v>
      </c>
      <c r="AG741" s="4">
        <f>$O$741*$AA$741</f>
        <v>-31968.273878364551</v>
      </c>
    </row>
    <row r="742" spans="1:33" ht="11.25" customHeight="1" x14ac:dyDescent="0.25">
      <c r="A742" s="3" t="s">
        <v>55</v>
      </c>
      <c r="B742" s="3" t="s">
        <v>22</v>
      </c>
      <c r="C742" s="3" t="s">
        <v>23</v>
      </c>
      <c r="D742" s="3" t="s">
        <v>24</v>
      </c>
      <c r="E742" s="3" t="s">
        <v>24</v>
      </c>
      <c r="F742" s="3" t="s">
        <v>25</v>
      </c>
      <c r="G742" s="3" t="s">
        <v>25</v>
      </c>
      <c r="H742" s="3" t="s">
        <v>25</v>
      </c>
      <c r="I742" s="6">
        <v>44835</v>
      </c>
      <c r="J742" s="4">
        <v>0</v>
      </c>
      <c r="K742" s="4">
        <v>0</v>
      </c>
      <c r="L742" s="4">
        <v>713.95600000000002</v>
      </c>
      <c r="M742" s="4">
        <v>713.95600000000002</v>
      </c>
      <c r="N742" s="4">
        <v>713.95600000000002</v>
      </c>
      <c r="O742" s="4">
        <v>713.95600000000002</v>
      </c>
      <c r="P742" s="4">
        <v>879</v>
      </c>
      <c r="Q742" s="3" t="s">
        <v>26</v>
      </c>
      <c r="R742" s="3">
        <v>0</v>
      </c>
      <c r="S742" s="4">
        <v>0</v>
      </c>
      <c r="T742" s="4">
        <v>24</v>
      </c>
      <c r="U742" s="4">
        <v>40</v>
      </c>
      <c r="V742" s="4">
        <f>IF(ISERROR(VLOOKUP($S$742,'TAR FIN'!$A$1:$O$92,15,0)),0,VLOOKUP($S$742,'TAR FIN'!$A$1:$O$92,15,0))</f>
        <v>0</v>
      </c>
      <c r="W742" s="4">
        <f>IF(ISERROR(VLOOKUP($T$742,'TAR FIN'!$A$1:$O$92,15,0)),0,VLOOKUP($T$742,'TAR FIN'!$A$1:$O$92,15,0))</f>
        <v>311.27999999999997</v>
      </c>
      <c r="X742" s="4">
        <f>IF(ISERROR(VLOOKUP($U$742,'TAR FIN'!$A$1:$O$92,15,0)),0,VLOOKUP($U$742,'TAR FIN'!$A$1:$O$92,15,0))</f>
        <v>268.89</v>
      </c>
      <c r="Y742" s="4"/>
      <c r="Z742" s="4">
        <f ca="1">('TUSD BE'!$AM$20+'TUSD BF'!$AM$20+'TUSD CVA'!$AM$20)*1</f>
        <v>398.95397789704208</v>
      </c>
      <c r="AA742" s="4">
        <f>('TE BE'!$AB$11+'TE BF'!$AB$11+'TE CVA'!$AB$11)*1</f>
        <v>336.17550926835082</v>
      </c>
      <c r="AB742" s="4">
        <f>$K$742*$V$742</f>
        <v>0</v>
      </c>
      <c r="AC742" s="4">
        <f>$M$742*$W$742</f>
        <v>222240.22368</v>
      </c>
      <c r="AD742" s="4">
        <f>$O$742*$X$742</f>
        <v>191975.62883999999</v>
      </c>
      <c r="AE742" s="4">
        <f>$K$742*$Y$742</f>
        <v>0</v>
      </c>
      <c r="AF742" s="4">
        <f ca="1">$M$742*$Z$742</f>
        <v>284835.5862434606</v>
      </c>
      <c r="AG742" s="4">
        <f>$O$742*$AA$742</f>
        <v>240014.52189519469</v>
      </c>
    </row>
    <row r="743" spans="1:33" ht="11.25" customHeight="1" x14ac:dyDescent="0.25">
      <c r="A743" s="3" t="s">
        <v>55</v>
      </c>
      <c r="B743" s="3" t="s">
        <v>22</v>
      </c>
      <c r="C743" s="3" t="s">
        <v>23</v>
      </c>
      <c r="D743" s="3" t="s">
        <v>24</v>
      </c>
      <c r="E743" s="3" t="s">
        <v>24</v>
      </c>
      <c r="F743" s="3" t="s">
        <v>25</v>
      </c>
      <c r="G743" s="3" t="s">
        <v>25</v>
      </c>
      <c r="H743" s="3" t="s">
        <v>25</v>
      </c>
      <c r="I743" s="6">
        <v>44835</v>
      </c>
      <c r="J743" s="4">
        <v>0</v>
      </c>
      <c r="K743" s="4">
        <v>0</v>
      </c>
      <c r="L743" s="4">
        <v>-0.23699999999999999</v>
      </c>
      <c r="M743" s="4">
        <v>-0.23699999999999999</v>
      </c>
      <c r="N743" s="4">
        <v>-0.23699999999999999</v>
      </c>
      <c r="O743" s="4">
        <v>-0.23699999999999999</v>
      </c>
      <c r="P743" s="4">
        <v>1</v>
      </c>
      <c r="Q743" s="3" t="s">
        <v>26</v>
      </c>
      <c r="R743" s="3">
        <v>0</v>
      </c>
      <c r="S743" s="4">
        <v>0</v>
      </c>
      <c r="T743" s="4">
        <v>24</v>
      </c>
      <c r="U743" s="4">
        <v>40</v>
      </c>
      <c r="V743" s="4">
        <f>IF(ISERROR(VLOOKUP($S$743,'TAR FIN'!$A$1:$O$92,15,0)),0,VLOOKUP($S$743,'TAR FIN'!$A$1:$O$92,15,0))</f>
        <v>0</v>
      </c>
      <c r="W743" s="4">
        <f>IF(ISERROR(VLOOKUP($T$743,'TAR FIN'!$A$1:$O$92,15,0)),0,VLOOKUP($T$743,'TAR FIN'!$A$1:$O$92,15,0))</f>
        <v>311.27999999999997</v>
      </c>
      <c r="X743" s="4">
        <f>IF(ISERROR(VLOOKUP($U$743,'TAR FIN'!$A$1:$O$92,15,0)),0,VLOOKUP($U$743,'TAR FIN'!$A$1:$O$92,15,0))</f>
        <v>268.89</v>
      </c>
      <c r="Y743" s="4"/>
      <c r="Z743" s="4">
        <f ca="1">('TUSD BE'!$AM$20+'TUSD BF'!$AM$20+'TUSD CVA'!$AM$20)*1</f>
        <v>398.95397789704208</v>
      </c>
      <c r="AA743" s="4">
        <f>('TE BE'!$AB$11+'TE BF'!$AB$11+'TE CVA'!$AB$11)*1</f>
        <v>336.17550926835082</v>
      </c>
      <c r="AB743" s="4">
        <f>$K$743*$V$743</f>
        <v>0</v>
      </c>
      <c r="AC743" s="4">
        <f>$M$743*$W$743</f>
        <v>-73.773359999999997</v>
      </c>
      <c r="AD743" s="4">
        <f>$O$743*$X$743</f>
        <v>-63.726929999999996</v>
      </c>
      <c r="AE743" s="4">
        <f>$K$743*$Y$743</f>
        <v>0</v>
      </c>
      <c r="AF743" s="4">
        <f ca="1">$M$743*$Z$743</f>
        <v>-94.552092761598971</v>
      </c>
      <c r="AG743" s="4">
        <f>$O$743*$AA$743</f>
        <v>-79.673595696599136</v>
      </c>
    </row>
    <row r="744" spans="1:33" ht="11.25" customHeight="1" x14ac:dyDescent="0.25">
      <c r="A744" s="3" t="s">
        <v>21</v>
      </c>
      <c r="B744" s="3" t="s">
        <v>22</v>
      </c>
      <c r="C744" s="3" t="s">
        <v>23</v>
      </c>
      <c r="D744" s="3" t="s">
        <v>24</v>
      </c>
      <c r="E744" s="3" t="s">
        <v>29</v>
      </c>
      <c r="F744" s="3" t="s">
        <v>25</v>
      </c>
      <c r="G744" s="3" t="s">
        <v>25</v>
      </c>
      <c r="H744" s="3" t="s">
        <v>25</v>
      </c>
      <c r="I744" s="6">
        <v>44501</v>
      </c>
      <c r="J744" s="4">
        <v>0</v>
      </c>
      <c r="K744" s="4">
        <v>0</v>
      </c>
      <c r="L744" s="4">
        <v>824.10400000000004</v>
      </c>
      <c r="M744" s="4">
        <v>824.10400000000004</v>
      </c>
      <c r="N744" s="4">
        <v>824.10400000000004</v>
      </c>
      <c r="O744" s="4">
        <v>824.10400000000004</v>
      </c>
      <c r="P744" s="4">
        <v>992</v>
      </c>
      <c r="Q744" s="3" t="s">
        <v>26</v>
      </c>
      <c r="R744" s="3">
        <v>0</v>
      </c>
      <c r="S744" s="4">
        <v>0</v>
      </c>
      <c r="T744" s="4">
        <v>17</v>
      </c>
      <c r="U744" s="4">
        <v>60</v>
      </c>
      <c r="V744" s="4">
        <f>IF(ISERROR(VLOOKUP($S$744,'TAR FIN'!$A$1:$O$92,15,0)),0,VLOOKUP($S$744,'TAR FIN'!$A$1:$O$92,15,0))</f>
        <v>0</v>
      </c>
      <c r="W744" s="4">
        <f>IF(ISERROR(VLOOKUP($T$744,'TAR FIN'!$A$1:$O$92,15,0)),0,VLOOKUP($T$744,'TAR FIN'!$A$1:$O$92,15,0))</f>
        <v>94.27</v>
      </c>
      <c r="X744" s="4">
        <f>IF(ISERROR(VLOOKUP($U$744,'TAR FIN'!$A$1:$O$92,15,0)),0,VLOOKUP($U$744,'TAR FIN'!$A$1:$O$92,15,0))</f>
        <v>94.11</v>
      </c>
      <c r="Y744" s="4"/>
      <c r="Z744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4" s="4">
        <f>('TE BE'!$AB$12+'TE BF'!$AB$12+'TE CVA'!$AB$12)*(1-CUSTOS!$M$34)</f>
        <v>117.66142824392278</v>
      </c>
      <c r="AB744" s="4">
        <f>$K$744*$V$744</f>
        <v>0</v>
      </c>
      <c r="AC744" s="4">
        <f>$M$744*$W$744</f>
        <v>77688.284079999998</v>
      </c>
      <c r="AD744" s="4">
        <f>$O$744*$X$744</f>
        <v>77556.427439999999</v>
      </c>
      <c r="AE744" s="4">
        <f>$K$744*$Y$744</f>
        <v>0</v>
      </c>
      <c r="AF744" s="4">
        <f ca="1">$M$744*$Z$744</f>
        <v>98024.263820948167</v>
      </c>
      <c r="AG744" s="4">
        <f>$O$744*$AA$744</f>
        <v>96965.253661529743</v>
      </c>
    </row>
    <row r="745" spans="1:33" ht="11.25" customHeight="1" x14ac:dyDescent="0.25">
      <c r="A745" s="3" t="s">
        <v>27</v>
      </c>
      <c r="B745" s="3" t="s">
        <v>22</v>
      </c>
      <c r="C745" s="3" t="s">
        <v>23</v>
      </c>
      <c r="D745" s="3" t="s">
        <v>24</v>
      </c>
      <c r="E745" s="3" t="s">
        <v>29</v>
      </c>
      <c r="F745" s="3" t="s">
        <v>25</v>
      </c>
      <c r="G745" s="3" t="s">
        <v>25</v>
      </c>
      <c r="H745" s="3" t="s">
        <v>25</v>
      </c>
      <c r="I745" s="6">
        <v>44501</v>
      </c>
      <c r="J745" s="4">
        <v>0</v>
      </c>
      <c r="K745" s="4">
        <v>0</v>
      </c>
      <c r="L745" s="4">
        <v>-0.87</v>
      </c>
      <c r="M745" s="4">
        <v>-0.87</v>
      </c>
      <c r="N745" s="4">
        <v>-0.87</v>
      </c>
      <c r="O745" s="4">
        <v>-0.87</v>
      </c>
      <c r="P745" s="4">
        <v>2</v>
      </c>
      <c r="Q745" s="3" t="s">
        <v>26</v>
      </c>
      <c r="R745" s="3">
        <v>0</v>
      </c>
      <c r="S745" s="4">
        <v>0</v>
      </c>
      <c r="T745" s="4">
        <v>17</v>
      </c>
      <c r="U745" s="4">
        <v>60</v>
      </c>
      <c r="V745" s="4">
        <f>IF(ISERROR(VLOOKUP($S$745,'TAR FIN'!$A$1:$O$92,15,0)),0,VLOOKUP($S$745,'TAR FIN'!$A$1:$O$92,15,0))</f>
        <v>0</v>
      </c>
      <c r="W745" s="4">
        <f>IF(ISERROR(VLOOKUP($T$745,'TAR FIN'!$A$1:$O$92,15,0)),0,VLOOKUP($T$745,'TAR FIN'!$A$1:$O$92,15,0))</f>
        <v>94.27</v>
      </c>
      <c r="X745" s="4">
        <f>IF(ISERROR(VLOOKUP($U$745,'TAR FIN'!$A$1:$O$92,15,0)),0,VLOOKUP($U$745,'TAR FIN'!$A$1:$O$92,15,0))</f>
        <v>94.11</v>
      </c>
      <c r="Y745" s="4"/>
      <c r="Z745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5" s="4">
        <f>('TE BE'!$AB$12+'TE BF'!$AB$12+'TE CVA'!$AB$12)*(1-CUSTOS!$M$34)</f>
        <v>117.66142824392278</v>
      </c>
      <c r="AB745" s="4">
        <f>$K$745*$V$745</f>
        <v>0</v>
      </c>
      <c r="AC745" s="4">
        <f>$M$745*$W$745</f>
        <v>-82.014899999999997</v>
      </c>
      <c r="AD745" s="4">
        <f>$O$745*$X$745</f>
        <v>-81.875699999999995</v>
      </c>
      <c r="AE745" s="4">
        <f>$K$745*$Y$745</f>
        <v>0</v>
      </c>
      <c r="AF745" s="4">
        <f ca="1">$M$745*$Z$745</f>
        <v>-103.48343112547069</v>
      </c>
      <c r="AG745" s="4">
        <f>$O$745*$AA$745</f>
        <v>-102.36544257221283</v>
      </c>
    </row>
    <row r="746" spans="1:33" ht="11.25" customHeight="1" x14ac:dyDescent="0.25">
      <c r="A746" s="3" t="s">
        <v>21</v>
      </c>
      <c r="B746" s="3" t="s">
        <v>22</v>
      </c>
      <c r="C746" s="3" t="s">
        <v>23</v>
      </c>
      <c r="D746" s="3" t="s">
        <v>24</v>
      </c>
      <c r="E746" s="3" t="s">
        <v>29</v>
      </c>
      <c r="F746" s="3" t="s">
        <v>25</v>
      </c>
      <c r="G746" s="3" t="s">
        <v>25</v>
      </c>
      <c r="H746" s="3" t="s">
        <v>25</v>
      </c>
      <c r="I746" s="6">
        <v>44531</v>
      </c>
      <c r="J746" s="4">
        <v>0</v>
      </c>
      <c r="K746" s="4">
        <v>0</v>
      </c>
      <c r="L746" s="4">
        <v>827.75900000000001</v>
      </c>
      <c r="M746" s="4">
        <v>827.75900000000001</v>
      </c>
      <c r="N746" s="4">
        <v>827.75900000000001</v>
      </c>
      <c r="O746" s="4">
        <v>827.75900000000001</v>
      </c>
      <c r="P746" s="4">
        <v>1015</v>
      </c>
      <c r="Q746" s="3" t="s">
        <v>26</v>
      </c>
      <c r="R746" s="3">
        <v>0</v>
      </c>
      <c r="S746" s="4">
        <v>0</v>
      </c>
      <c r="T746" s="4">
        <v>17</v>
      </c>
      <c r="U746" s="4">
        <v>60</v>
      </c>
      <c r="V746" s="4">
        <f>IF(ISERROR(VLOOKUP($S$746,'TAR FIN'!$A$1:$O$92,15,0)),0,VLOOKUP($S$746,'TAR FIN'!$A$1:$O$92,15,0))</f>
        <v>0</v>
      </c>
      <c r="W746" s="4">
        <f>IF(ISERROR(VLOOKUP($T$746,'TAR FIN'!$A$1:$O$92,15,0)),0,VLOOKUP($T$746,'TAR FIN'!$A$1:$O$92,15,0))</f>
        <v>94.27</v>
      </c>
      <c r="X746" s="4">
        <f>IF(ISERROR(VLOOKUP($U$746,'TAR FIN'!$A$1:$O$92,15,0)),0,VLOOKUP($U$746,'TAR FIN'!$A$1:$O$92,15,0))</f>
        <v>94.11</v>
      </c>
      <c r="Y746" s="4"/>
      <c r="Z746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6" s="4">
        <f>('TE BE'!$AB$12+'TE BF'!$AB$12+'TE CVA'!$AB$12)*(1-CUSTOS!$M$34)</f>
        <v>117.66142824392278</v>
      </c>
      <c r="AB746" s="4">
        <f>$K$746*$V$746</f>
        <v>0</v>
      </c>
      <c r="AC746" s="4">
        <f>$M$746*$W$746</f>
        <v>78032.840929999991</v>
      </c>
      <c r="AD746" s="4">
        <f>$O$746*$X$746</f>
        <v>77900.399489999996</v>
      </c>
      <c r="AE746" s="4">
        <f>$K$746*$Y$746</f>
        <v>0</v>
      </c>
      <c r="AF746" s="4">
        <f ca="1">$M$746*$Z$746</f>
        <v>98459.013178147696</v>
      </c>
      <c r="AG746" s="4">
        <f>$O$746*$AA$746</f>
        <v>97395.306181761276</v>
      </c>
    </row>
    <row r="747" spans="1:33" ht="11.25" customHeight="1" x14ac:dyDescent="0.25">
      <c r="A747" s="3" t="s">
        <v>21</v>
      </c>
      <c r="B747" s="3" t="s">
        <v>22</v>
      </c>
      <c r="C747" s="3" t="s">
        <v>23</v>
      </c>
      <c r="D747" s="3" t="s">
        <v>24</v>
      </c>
      <c r="E747" s="3" t="s">
        <v>29</v>
      </c>
      <c r="F747" s="3" t="s">
        <v>25</v>
      </c>
      <c r="G747" s="3" t="s">
        <v>25</v>
      </c>
      <c r="H747" s="3" t="s">
        <v>25</v>
      </c>
      <c r="I747" s="6">
        <v>44562</v>
      </c>
      <c r="J747" s="4">
        <v>0</v>
      </c>
      <c r="K747" s="4">
        <v>0</v>
      </c>
      <c r="L747" s="4">
        <v>837.77499999999998</v>
      </c>
      <c r="M747" s="4">
        <v>837.77499999999998</v>
      </c>
      <c r="N747" s="4">
        <v>837.77499999999998</v>
      </c>
      <c r="O747" s="4">
        <v>837.77499999999998</v>
      </c>
      <c r="P747" s="4">
        <v>1061</v>
      </c>
      <c r="Q747" s="3" t="s">
        <v>26</v>
      </c>
      <c r="R747" s="3">
        <v>0</v>
      </c>
      <c r="S747" s="4">
        <v>0</v>
      </c>
      <c r="T747" s="4">
        <v>17</v>
      </c>
      <c r="U747" s="4">
        <v>60</v>
      </c>
      <c r="V747" s="4">
        <f>IF(ISERROR(VLOOKUP($S$747,'TAR FIN'!$A$1:$O$92,15,0)),0,VLOOKUP($S$747,'TAR FIN'!$A$1:$O$92,15,0))</f>
        <v>0</v>
      </c>
      <c r="W747" s="4">
        <f>IF(ISERROR(VLOOKUP($T$747,'TAR FIN'!$A$1:$O$92,15,0)),0,VLOOKUP($T$747,'TAR FIN'!$A$1:$O$92,15,0))</f>
        <v>94.27</v>
      </c>
      <c r="X747" s="4">
        <f>IF(ISERROR(VLOOKUP($U$747,'TAR FIN'!$A$1:$O$92,15,0)),0,VLOOKUP($U$747,'TAR FIN'!$A$1:$O$92,15,0))</f>
        <v>94.11</v>
      </c>
      <c r="Y747" s="4"/>
      <c r="Z747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7" s="4">
        <f>('TE BE'!$AB$12+'TE BF'!$AB$12+'TE CVA'!$AB$12)*(1-CUSTOS!$M$34)</f>
        <v>117.66142824392278</v>
      </c>
      <c r="AB747" s="4">
        <f>$K$747*$V$747</f>
        <v>0</v>
      </c>
      <c r="AC747" s="4">
        <f>$M$747*$W$747</f>
        <v>78977.049249999996</v>
      </c>
      <c r="AD747" s="4">
        <f>$O$747*$X$747</f>
        <v>78843.005250000002</v>
      </c>
      <c r="AE747" s="4">
        <f>$K$747*$Y$747</f>
        <v>0</v>
      </c>
      <c r="AF747" s="4">
        <f ca="1">$M$747*$Z$747</f>
        <v>99650.381047288742</v>
      </c>
      <c r="AG747" s="4">
        <f>$O$747*$AA$747</f>
        <v>98573.80304705241</v>
      </c>
    </row>
    <row r="748" spans="1:33" ht="11.25" customHeight="1" x14ac:dyDescent="0.25">
      <c r="A748" s="3" t="s">
        <v>21</v>
      </c>
      <c r="B748" s="3" t="s">
        <v>22</v>
      </c>
      <c r="C748" s="3" t="s">
        <v>23</v>
      </c>
      <c r="D748" s="3" t="s">
        <v>24</v>
      </c>
      <c r="E748" s="3" t="s">
        <v>29</v>
      </c>
      <c r="F748" s="3" t="s">
        <v>25</v>
      </c>
      <c r="G748" s="3" t="s">
        <v>25</v>
      </c>
      <c r="H748" s="3" t="s">
        <v>25</v>
      </c>
      <c r="I748" s="6">
        <v>44593</v>
      </c>
      <c r="J748" s="4">
        <v>0</v>
      </c>
      <c r="K748" s="4">
        <v>0</v>
      </c>
      <c r="L748" s="4">
        <v>848.42499999999995</v>
      </c>
      <c r="M748" s="4">
        <v>848.42499999999995</v>
      </c>
      <c r="N748" s="4">
        <v>848.42499999999995</v>
      </c>
      <c r="O748" s="4">
        <v>848.42499999999995</v>
      </c>
      <c r="P748" s="4">
        <v>1078</v>
      </c>
      <c r="Q748" s="3" t="s">
        <v>26</v>
      </c>
      <c r="R748" s="3">
        <v>0</v>
      </c>
      <c r="S748" s="4">
        <v>0</v>
      </c>
      <c r="T748" s="4">
        <v>17</v>
      </c>
      <c r="U748" s="4">
        <v>60</v>
      </c>
      <c r="V748" s="4">
        <f>IF(ISERROR(VLOOKUP($S$748,'TAR FIN'!$A$1:$O$92,15,0)),0,VLOOKUP($S$748,'TAR FIN'!$A$1:$O$92,15,0))</f>
        <v>0</v>
      </c>
      <c r="W748" s="4">
        <f>IF(ISERROR(VLOOKUP($T$748,'TAR FIN'!$A$1:$O$92,15,0)),0,VLOOKUP($T$748,'TAR FIN'!$A$1:$O$92,15,0))</f>
        <v>94.27</v>
      </c>
      <c r="X748" s="4">
        <f>IF(ISERROR(VLOOKUP($U$748,'TAR FIN'!$A$1:$O$92,15,0)),0,VLOOKUP($U$748,'TAR FIN'!$A$1:$O$92,15,0))</f>
        <v>94.11</v>
      </c>
      <c r="Y748" s="4"/>
      <c r="Z748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8" s="4">
        <f>('TE BE'!$AB$12+'TE BF'!$AB$12+'TE CVA'!$AB$12)*(1-CUSTOS!$M$34)</f>
        <v>117.66142824392278</v>
      </c>
      <c r="AB748" s="4">
        <f>$K$748*$V$748</f>
        <v>0</v>
      </c>
      <c r="AC748" s="4">
        <f>$M$748*$W$748</f>
        <v>79981.024749999997</v>
      </c>
      <c r="AD748" s="4">
        <f>$O$748*$X$748</f>
        <v>79845.27674999999</v>
      </c>
      <c r="AE748" s="4">
        <f>$K$748*$Y$748</f>
        <v>0</v>
      </c>
      <c r="AF748" s="4">
        <f ca="1">$M$748*$Z$748</f>
        <v>100917.16098003156</v>
      </c>
      <c r="AG748" s="4">
        <f>$O$748*$AA$748</f>
        <v>99826.897257850185</v>
      </c>
    </row>
    <row r="749" spans="1:33" ht="11.25" customHeight="1" x14ac:dyDescent="0.25">
      <c r="A749" s="3" t="s">
        <v>27</v>
      </c>
      <c r="B749" s="3" t="s">
        <v>22</v>
      </c>
      <c r="C749" s="3" t="s">
        <v>23</v>
      </c>
      <c r="D749" s="3" t="s">
        <v>24</v>
      </c>
      <c r="E749" s="3" t="s">
        <v>29</v>
      </c>
      <c r="F749" s="3" t="s">
        <v>25</v>
      </c>
      <c r="G749" s="3" t="s">
        <v>25</v>
      </c>
      <c r="H749" s="3" t="s">
        <v>25</v>
      </c>
      <c r="I749" s="6">
        <v>44593</v>
      </c>
      <c r="J749" s="4">
        <v>0</v>
      </c>
      <c r="K749" s="4">
        <v>0</v>
      </c>
      <c r="L749" s="4">
        <v>-0.12</v>
      </c>
      <c r="M749" s="4">
        <v>-0.12</v>
      </c>
      <c r="N749" s="4">
        <v>-0.12</v>
      </c>
      <c r="O749" s="4">
        <v>-0.12</v>
      </c>
      <c r="P749" s="4">
        <v>0</v>
      </c>
      <c r="Q749" s="3" t="s">
        <v>26</v>
      </c>
      <c r="R749" s="3">
        <v>0</v>
      </c>
      <c r="S749" s="4">
        <v>0</v>
      </c>
      <c r="T749" s="4">
        <v>17</v>
      </c>
      <c r="U749" s="4">
        <v>60</v>
      </c>
      <c r="V749" s="4">
        <f>IF(ISERROR(VLOOKUP($S$749,'TAR FIN'!$A$1:$O$92,15,0)),0,VLOOKUP($S$749,'TAR FIN'!$A$1:$O$92,15,0))</f>
        <v>0</v>
      </c>
      <c r="W749" s="4">
        <f>IF(ISERROR(VLOOKUP($T$749,'TAR FIN'!$A$1:$O$92,15,0)),0,VLOOKUP($T$749,'TAR FIN'!$A$1:$O$92,15,0))</f>
        <v>94.27</v>
      </c>
      <c r="X749" s="4">
        <f>IF(ISERROR(VLOOKUP($U$749,'TAR FIN'!$A$1:$O$92,15,0)),0,VLOOKUP($U$749,'TAR FIN'!$A$1:$O$92,15,0))</f>
        <v>94.11</v>
      </c>
      <c r="Y749" s="4"/>
      <c r="Z749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49" s="4">
        <f>('TE BE'!$AB$12+'TE BF'!$AB$12+'TE CVA'!$AB$12)*(1-CUSTOS!$M$34)</f>
        <v>117.66142824392278</v>
      </c>
      <c r="AB749" s="4">
        <f>$K$749*$V$749</f>
        <v>0</v>
      </c>
      <c r="AC749" s="4">
        <f>$M$749*$W$749</f>
        <v>-11.312399999999998</v>
      </c>
      <c r="AD749" s="4">
        <f>$O$749*$X$749</f>
        <v>-11.293199999999999</v>
      </c>
      <c r="AE749" s="4">
        <f>$K$749*$Y$749</f>
        <v>0</v>
      </c>
      <c r="AF749" s="4">
        <f ca="1">$M$749*$Z$749</f>
        <v>-14.273576706961475</v>
      </c>
      <c r="AG749" s="4">
        <f>$O$749*$AA$749</f>
        <v>-14.119371389270734</v>
      </c>
    </row>
    <row r="750" spans="1:33" ht="11.25" customHeight="1" x14ac:dyDescent="0.25">
      <c r="A750" s="3" t="s">
        <v>21</v>
      </c>
      <c r="B750" s="3" t="s">
        <v>22</v>
      </c>
      <c r="C750" s="3" t="s">
        <v>23</v>
      </c>
      <c r="D750" s="3" t="s">
        <v>24</v>
      </c>
      <c r="E750" s="3" t="s">
        <v>29</v>
      </c>
      <c r="F750" s="3" t="s">
        <v>25</v>
      </c>
      <c r="G750" s="3" t="s">
        <v>25</v>
      </c>
      <c r="H750" s="3" t="s">
        <v>25</v>
      </c>
      <c r="I750" s="6">
        <v>44621</v>
      </c>
      <c r="J750" s="4">
        <v>0</v>
      </c>
      <c r="K750" s="4">
        <v>0</v>
      </c>
      <c r="L750" s="4">
        <v>866.26</v>
      </c>
      <c r="M750" s="4">
        <v>866.26</v>
      </c>
      <c r="N750" s="4">
        <v>866.26</v>
      </c>
      <c r="O750" s="4">
        <v>866.26</v>
      </c>
      <c r="P750" s="4">
        <v>1089</v>
      </c>
      <c r="Q750" s="3" t="s">
        <v>26</v>
      </c>
      <c r="R750" s="3">
        <v>0</v>
      </c>
      <c r="S750" s="4">
        <v>0</v>
      </c>
      <c r="T750" s="4">
        <v>17</v>
      </c>
      <c r="U750" s="4">
        <v>60</v>
      </c>
      <c r="V750" s="4">
        <f>IF(ISERROR(VLOOKUP($S$750,'TAR FIN'!$A$1:$O$92,15,0)),0,VLOOKUP($S$750,'TAR FIN'!$A$1:$O$92,15,0))</f>
        <v>0</v>
      </c>
      <c r="W750" s="4">
        <f>IF(ISERROR(VLOOKUP($T$750,'TAR FIN'!$A$1:$O$92,15,0)),0,VLOOKUP($T$750,'TAR FIN'!$A$1:$O$92,15,0))</f>
        <v>94.27</v>
      </c>
      <c r="X750" s="4">
        <f>IF(ISERROR(VLOOKUP($U$750,'TAR FIN'!$A$1:$O$92,15,0)),0,VLOOKUP($U$750,'TAR FIN'!$A$1:$O$92,15,0))</f>
        <v>94.11</v>
      </c>
      <c r="Y750" s="4"/>
      <c r="Z750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0" s="4">
        <f>('TE BE'!$AB$12+'TE BF'!$AB$12+'TE CVA'!$AB$12)*(1-CUSTOS!$M$34)</f>
        <v>117.66142824392278</v>
      </c>
      <c r="AB750" s="4">
        <f>$K$750*$V$750</f>
        <v>0</v>
      </c>
      <c r="AC750" s="4">
        <f>$M$750*$W$750</f>
        <v>81662.330199999997</v>
      </c>
      <c r="AD750" s="4">
        <f>$O$750*$X$750</f>
        <v>81523.728600000002</v>
      </c>
      <c r="AE750" s="4">
        <f>$K$750*$Y$750</f>
        <v>0</v>
      </c>
      <c r="AF750" s="4">
        <f ca="1">$M$750*$Z$750</f>
        <v>103038.57131810373</v>
      </c>
      <c r="AG750" s="4">
        <f>$O$750*$AA$750</f>
        <v>101925.38883058054</v>
      </c>
    </row>
    <row r="751" spans="1:33" ht="11.25" customHeight="1" x14ac:dyDescent="0.25">
      <c r="A751" s="3" t="s">
        <v>21</v>
      </c>
      <c r="B751" s="3" t="s">
        <v>22</v>
      </c>
      <c r="C751" s="3" t="s">
        <v>23</v>
      </c>
      <c r="D751" s="3" t="s">
        <v>24</v>
      </c>
      <c r="E751" s="3" t="s">
        <v>29</v>
      </c>
      <c r="F751" s="3" t="s">
        <v>25</v>
      </c>
      <c r="G751" s="3" t="s">
        <v>25</v>
      </c>
      <c r="H751" s="3" t="s">
        <v>25</v>
      </c>
      <c r="I751" s="6">
        <v>44652</v>
      </c>
      <c r="J751" s="4">
        <v>0</v>
      </c>
      <c r="K751" s="4">
        <v>0</v>
      </c>
      <c r="L751" s="4">
        <v>866.26</v>
      </c>
      <c r="M751" s="4">
        <v>866.26</v>
      </c>
      <c r="N751" s="4">
        <v>866.26</v>
      </c>
      <c r="O751" s="4">
        <v>866.26</v>
      </c>
      <c r="P751" s="4">
        <v>1089</v>
      </c>
      <c r="Q751" s="3" t="s">
        <v>26</v>
      </c>
      <c r="R751" s="3">
        <v>0</v>
      </c>
      <c r="S751" s="4">
        <v>0</v>
      </c>
      <c r="T751" s="4">
        <v>17</v>
      </c>
      <c r="U751" s="4">
        <v>60</v>
      </c>
      <c r="V751" s="4">
        <f>IF(ISERROR(VLOOKUP($S$751,'TAR FIN'!$A$1:$O$92,15,0)),0,VLOOKUP($S$751,'TAR FIN'!$A$1:$O$92,15,0))</f>
        <v>0</v>
      </c>
      <c r="W751" s="4">
        <f>IF(ISERROR(VLOOKUP($T$751,'TAR FIN'!$A$1:$O$92,15,0)),0,VLOOKUP($T$751,'TAR FIN'!$A$1:$O$92,15,0))</f>
        <v>94.27</v>
      </c>
      <c r="X751" s="4">
        <f>IF(ISERROR(VLOOKUP($U$751,'TAR FIN'!$A$1:$O$92,15,0)),0,VLOOKUP($U$751,'TAR FIN'!$A$1:$O$92,15,0))</f>
        <v>94.11</v>
      </c>
      <c r="Y751" s="4"/>
      <c r="Z751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1" s="4">
        <f>('TE BE'!$AB$12+'TE BF'!$AB$12+'TE CVA'!$AB$12)*(1-CUSTOS!$M$34)</f>
        <v>117.66142824392278</v>
      </c>
      <c r="AB751" s="4">
        <f>$K$751*$V$751</f>
        <v>0</v>
      </c>
      <c r="AC751" s="4">
        <f>$M$751*$W$751</f>
        <v>81662.330199999997</v>
      </c>
      <c r="AD751" s="4">
        <f>$O$751*$X$751</f>
        <v>81523.728600000002</v>
      </c>
      <c r="AE751" s="4">
        <f>$K$751*$Y$751</f>
        <v>0</v>
      </c>
      <c r="AF751" s="4">
        <f ca="1">$M$751*$Z$751</f>
        <v>103038.57131810373</v>
      </c>
      <c r="AG751" s="4">
        <f>$O$751*$AA$751</f>
        <v>101925.38883058054</v>
      </c>
    </row>
    <row r="752" spans="1:33" ht="11.25" customHeight="1" x14ac:dyDescent="0.25">
      <c r="A752" s="3" t="s">
        <v>21</v>
      </c>
      <c r="B752" s="3" t="s">
        <v>22</v>
      </c>
      <c r="C752" s="3" t="s">
        <v>23</v>
      </c>
      <c r="D752" s="3" t="s">
        <v>24</v>
      </c>
      <c r="E752" s="3" t="s">
        <v>29</v>
      </c>
      <c r="F752" s="3" t="s">
        <v>25</v>
      </c>
      <c r="G752" s="3" t="s">
        <v>25</v>
      </c>
      <c r="H752" s="3" t="s">
        <v>25</v>
      </c>
      <c r="I752" s="6">
        <v>44682</v>
      </c>
      <c r="J752" s="4">
        <v>0</v>
      </c>
      <c r="K752" s="4">
        <v>0</v>
      </c>
      <c r="L752" s="4">
        <v>871.81600000000003</v>
      </c>
      <c r="M752" s="4">
        <v>871.81600000000003</v>
      </c>
      <c r="N752" s="4">
        <v>871.81600000000003</v>
      </c>
      <c r="O752" s="4">
        <v>871.81600000000003</v>
      </c>
      <c r="P752" s="4">
        <v>1182</v>
      </c>
      <c r="Q752" s="3" t="s">
        <v>26</v>
      </c>
      <c r="R752" s="3">
        <v>0</v>
      </c>
      <c r="S752" s="4">
        <v>0</v>
      </c>
      <c r="T752" s="4">
        <v>17</v>
      </c>
      <c r="U752" s="4">
        <v>60</v>
      </c>
      <c r="V752" s="4">
        <f>IF(ISERROR(VLOOKUP($S$752,'TAR FIN'!$A$1:$O$92,15,0)),0,VLOOKUP($S$752,'TAR FIN'!$A$1:$O$92,15,0))</f>
        <v>0</v>
      </c>
      <c r="W752" s="4">
        <f>IF(ISERROR(VLOOKUP($T$752,'TAR FIN'!$A$1:$O$92,15,0)),0,VLOOKUP($T$752,'TAR FIN'!$A$1:$O$92,15,0))</f>
        <v>94.27</v>
      </c>
      <c r="X752" s="4">
        <f>IF(ISERROR(VLOOKUP($U$752,'TAR FIN'!$A$1:$O$92,15,0)),0,VLOOKUP($U$752,'TAR FIN'!$A$1:$O$92,15,0))</f>
        <v>94.11</v>
      </c>
      <c r="Y752" s="4"/>
      <c r="Z752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2" s="4">
        <f>('TE BE'!$AB$12+'TE BF'!$AB$12+'TE CVA'!$AB$12)*(1-CUSTOS!$M$34)</f>
        <v>117.66142824392278</v>
      </c>
      <c r="AB752" s="4">
        <f>$K$752*$V$752</f>
        <v>0</v>
      </c>
      <c r="AC752" s="4">
        <f>$M$752*$W$752</f>
        <v>82186.094320000004</v>
      </c>
      <c r="AD752" s="4">
        <f>$O$752*$X$752</f>
        <v>82046.603759999998</v>
      </c>
      <c r="AE752" s="4">
        <f>$K$752*$Y$752</f>
        <v>0</v>
      </c>
      <c r="AF752" s="4">
        <f ca="1">$M$752*$Z$752</f>
        <v>103699.43791963604</v>
      </c>
      <c r="AG752" s="4">
        <f>$O$752*$AA$752</f>
        <v>102579.11572590379</v>
      </c>
    </row>
    <row r="753" spans="1:33" ht="11.25" customHeight="1" x14ac:dyDescent="0.25">
      <c r="A753" s="3" t="s">
        <v>27</v>
      </c>
      <c r="B753" s="3" t="s">
        <v>22</v>
      </c>
      <c r="C753" s="3" t="s">
        <v>23</v>
      </c>
      <c r="D753" s="3" t="s">
        <v>24</v>
      </c>
      <c r="E753" s="3" t="s">
        <v>29</v>
      </c>
      <c r="F753" s="3" t="s">
        <v>25</v>
      </c>
      <c r="G753" s="3" t="s">
        <v>25</v>
      </c>
      <c r="H753" s="3" t="s">
        <v>25</v>
      </c>
      <c r="I753" s="6">
        <v>44682</v>
      </c>
      <c r="J753" s="4">
        <v>0</v>
      </c>
      <c r="K753" s="4">
        <v>0</v>
      </c>
      <c r="L753" s="4">
        <v>0.24</v>
      </c>
      <c r="M753" s="4">
        <v>0.24</v>
      </c>
      <c r="N753" s="4">
        <v>0.24</v>
      </c>
      <c r="O753" s="4">
        <v>0.24</v>
      </c>
      <c r="P753" s="4">
        <v>0</v>
      </c>
      <c r="Q753" s="3" t="s">
        <v>26</v>
      </c>
      <c r="R753" s="3">
        <v>0</v>
      </c>
      <c r="S753" s="4">
        <v>0</v>
      </c>
      <c r="T753" s="4">
        <v>17</v>
      </c>
      <c r="U753" s="4">
        <v>60</v>
      </c>
      <c r="V753" s="4">
        <f>IF(ISERROR(VLOOKUP($S$753,'TAR FIN'!$A$1:$O$92,15,0)),0,VLOOKUP($S$753,'TAR FIN'!$A$1:$O$92,15,0))</f>
        <v>0</v>
      </c>
      <c r="W753" s="4">
        <f>IF(ISERROR(VLOOKUP($T$753,'TAR FIN'!$A$1:$O$92,15,0)),0,VLOOKUP($T$753,'TAR FIN'!$A$1:$O$92,15,0))</f>
        <v>94.27</v>
      </c>
      <c r="X753" s="4">
        <f>IF(ISERROR(VLOOKUP($U$753,'TAR FIN'!$A$1:$O$92,15,0)),0,VLOOKUP($U$753,'TAR FIN'!$A$1:$O$92,15,0))</f>
        <v>94.11</v>
      </c>
      <c r="Y753" s="4"/>
      <c r="Z753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3" s="4">
        <f>('TE BE'!$AB$12+'TE BF'!$AB$12+'TE CVA'!$AB$12)*(1-CUSTOS!$M$34)</f>
        <v>117.66142824392278</v>
      </c>
      <c r="AB753" s="4">
        <f>$K$753*$V$753</f>
        <v>0</v>
      </c>
      <c r="AC753" s="4">
        <f>$M$753*$W$753</f>
        <v>22.624799999999997</v>
      </c>
      <c r="AD753" s="4">
        <f>$O$753*$X$753</f>
        <v>22.586399999999998</v>
      </c>
      <c r="AE753" s="4">
        <f>$K$753*$Y$753</f>
        <v>0</v>
      </c>
      <c r="AF753" s="4">
        <f ca="1">$M$753*$Z$753</f>
        <v>28.547153413922949</v>
      </c>
      <c r="AG753" s="4">
        <f>$O$753*$AA$753</f>
        <v>28.238742778541468</v>
      </c>
    </row>
    <row r="754" spans="1:33" ht="11.25" customHeight="1" x14ac:dyDescent="0.25">
      <c r="A754" s="3" t="s">
        <v>21</v>
      </c>
      <c r="B754" s="3" t="s">
        <v>22</v>
      </c>
      <c r="C754" s="3" t="s">
        <v>23</v>
      </c>
      <c r="D754" s="3" t="s">
        <v>24</v>
      </c>
      <c r="E754" s="3" t="s">
        <v>29</v>
      </c>
      <c r="F754" s="3" t="s">
        <v>25</v>
      </c>
      <c r="G754" s="3" t="s">
        <v>25</v>
      </c>
      <c r="H754" s="3" t="s">
        <v>25</v>
      </c>
      <c r="I754" s="6">
        <v>44713</v>
      </c>
      <c r="J754" s="4">
        <v>0</v>
      </c>
      <c r="K754" s="4">
        <v>0</v>
      </c>
      <c r="L754" s="4">
        <v>882.245</v>
      </c>
      <c r="M754" s="4">
        <v>882.245</v>
      </c>
      <c r="N754" s="4">
        <v>882.245</v>
      </c>
      <c r="O754" s="4">
        <v>882.245</v>
      </c>
      <c r="P754" s="4">
        <v>1182</v>
      </c>
      <c r="Q754" s="3" t="s">
        <v>26</v>
      </c>
      <c r="R754" s="3">
        <v>0</v>
      </c>
      <c r="S754" s="4">
        <v>0</v>
      </c>
      <c r="T754" s="4">
        <v>17</v>
      </c>
      <c r="U754" s="4">
        <v>60</v>
      </c>
      <c r="V754" s="4">
        <f>IF(ISERROR(VLOOKUP($S$754,'TAR FIN'!$A$1:$O$92,15,0)),0,VLOOKUP($S$754,'TAR FIN'!$A$1:$O$92,15,0))</f>
        <v>0</v>
      </c>
      <c r="W754" s="4">
        <f>IF(ISERROR(VLOOKUP($T$754,'TAR FIN'!$A$1:$O$92,15,0)),0,VLOOKUP($T$754,'TAR FIN'!$A$1:$O$92,15,0))</f>
        <v>94.27</v>
      </c>
      <c r="X754" s="4">
        <f>IF(ISERROR(VLOOKUP($U$754,'TAR FIN'!$A$1:$O$92,15,0)),0,VLOOKUP($U$754,'TAR FIN'!$A$1:$O$92,15,0))</f>
        <v>94.11</v>
      </c>
      <c r="Y754" s="4"/>
      <c r="Z754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4" s="4">
        <f>('TE BE'!$AB$12+'TE BF'!$AB$12+'TE CVA'!$AB$12)*(1-CUSTOS!$M$34)</f>
        <v>117.66142824392278</v>
      </c>
      <c r="AB754" s="4">
        <f>$K$754*$V$754</f>
        <v>0</v>
      </c>
      <c r="AC754" s="4">
        <f>$M$754*$W$754</f>
        <v>83169.236149999997</v>
      </c>
      <c r="AD754" s="4">
        <f>$O$754*$X$754</f>
        <v>83028.076950000002</v>
      </c>
      <c r="AE754" s="4">
        <f>$K$754*$Y$754</f>
        <v>0</v>
      </c>
      <c r="AF754" s="4">
        <f ca="1">$M$754*$Z$754</f>
        <v>104939.93068194356</v>
      </c>
      <c r="AG754" s="4">
        <f>$O$754*$AA$754</f>
        <v>103806.20676105966</v>
      </c>
    </row>
    <row r="755" spans="1:33" ht="11.25" customHeight="1" x14ac:dyDescent="0.25">
      <c r="A755" s="3" t="s">
        <v>27</v>
      </c>
      <c r="B755" s="3" t="s">
        <v>22</v>
      </c>
      <c r="C755" s="3" t="s">
        <v>23</v>
      </c>
      <c r="D755" s="3" t="s">
        <v>24</v>
      </c>
      <c r="E755" s="3" t="s">
        <v>29</v>
      </c>
      <c r="F755" s="3" t="s">
        <v>25</v>
      </c>
      <c r="G755" s="3" t="s">
        <v>25</v>
      </c>
      <c r="H755" s="3" t="s">
        <v>25</v>
      </c>
      <c r="I755" s="6">
        <v>44713</v>
      </c>
      <c r="J755" s="4">
        <v>0</v>
      </c>
      <c r="K755" s="4">
        <v>0</v>
      </c>
      <c r="L755" s="4">
        <v>-0.15</v>
      </c>
      <c r="M755" s="4">
        <v>-0.15</v>
      </c>
      <c r="N755" s="4">
        <v>-0.15</v>
      </c>
      <c r="O755" s="4">
        <v>-0.15</v>
      </c>
      <c r="P755" s="4">
        <v>-3</v>
      </c>
      <c r="Q755" s="3" t="s">
        <v>26</v>
      </c>
      <c r="R755" s="3">
        <v>0</v>
      </c>
      <c r="S755" s="4">
        <v>0</v>
      </c>
      <c r="T755" s="4">
        <v>17</v>
      </c>
      <c r="U755" s="4">
        <v>60</v>
      </c>
      <c r="V755" s="4">
        <f>IF(ISERROR(VLOOKUP($S$755,'TAR FIN'!$A$1:$O$92,15,0)),0,VLOOKUP($S$755,'TAR FIN'!$A$1:$O$92,15,0))</f>
        <v>0</v>
      </c>
      <c r="W755" s="4">
        <f>IF(ISERROR(VLOOKUP($T$755,'TAR FIN'!$A$1:$O$92,15,0)),0,VLOOKUP($T$755,'TAR FIN'!$A$1:$O$92,15,0))</f>
        <v>94.27</v>
      </c>
      <c r="X755" s="4">
        <f>IF(ISERROR(VLOOKUP($U$755,'TAR FIN'!$A$1:$O$92,15,0)),0,VLOOKUP($U$755,'TAR FIN'!$A$1:$O$92,15,0))</f>
        <v>94.11</v>
      </c>
      <c r="Y755" s="4"/>
      <c r="Z755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5" s="4">
        <f>('TE BE'!$AB$12+'TE BF'!$AB$12+'TE CVA'!$AB$12)*(1-CUSTOS!$M$34)</f>
        <v>117.66142824392278</v>
      </c>
      <c r="AB755" s="4">
        <f>$K$755*$V$755</f>
        <v>0</v>
      </c>
      <c r="AC755" s="4">
        <f>$M$755*$W$755</f>
        <v>-14.140499999999999</v>
      </c>
      <c r="AD755" s="4">
        <f>$O$755*$X$755</f>
        <v>-14.1165</v>
      </c>
      <c r="AE755" s="4">
        <f>$K$755*$Y$755</f>
        <v>0</v>
      </c>
      <c r="AF755" s="4">
        <f ca="1">$M$755*$Z$755</f>
        <v>-17.841970883701844</v>
      </c>
      <c r="AG755" s="4">
        <f>$O$755*$AA$755</f>
        <v>-17.649214236588417</v>
      </c>
    </row>
    <row r="756" spans="1:33" ht="11.25" customHeight="1" x14ac:dyDescent="0.25">
      <c r="A756" s="3" t="s">
        <v>21</v>
      </c>
      <c r="B756" s="3" t="s">
        <v>22</v>
      </c>
      <c r="C756" s="3" t="s">
        <v>23</v>
      </c>
      <c r="D756" s="3" t="s">
        <v>24</v>
      </c>
      <c r="E756" s="3" t="s">
        <v>29</v>
      </c>
      <c r="F756" s="3" t="s">
        <v>25</v>
      </c>
      <c r="G756" s="3" t="s">
        <v>25</v>
      </c>
      <c r="H756" s="3" t="s">
        <v>25</v>
      </c>
      <c r="I756" s="6">
        <v>44743</v>
      </c>
      <c r="J756" s="4">
        <v>0</v>
      </c>
      <c r="K756" s="4">
        <v>0</v>
      </c>
      <c r="L756" s="4">
        <v>883.91099999999994</v>
      </c>
      <c r="M756" s="4">
        <v>883.91099999999994</v>
      </c>
      <c r="N756" s="4">
        <v>883.91099999999994</v>
      </c>
      <c r="O756" s="4">
        <v>883.91099999999994</v>
      </c>
      <c r="P756" s="4">
        <v>1212</v>
      </c>
      <c r="Q756" s="3" t="s">
        <v>26</v>
      </c>
      <c r="R756" s="3">
        <v>0</v>
      </c>
      <c r="S756" s="4">
        <v>0</v>
      </c>
      <c r="T756" s="4">
        <v>17</v>
      </c>
      <c r="U756" s="4">
        <v>60</v>
      </c>
      <c r="V756" s="4">
        <f>IF(ISERROR(VLOOKUP($S$756,'TAR FIN'!$A$1:$O$92,15,0)),0,VLOOKUP($S$756,'TAR FIN'!$A$1:$O$92,15,0))</f>
        <v>0</v>
      </c>
      <c r="W756" s="4">
        <f>IF(ISERROR(VLOOKUP($T$756,'TAR FIN'!$A$1:$O$92,15,0)),0,VLOOKUP($T$756,'TAR FIN'!$A$1:$O$92,15,0))</f>
        <v>94.27</v>
      </c>
      <c r="X756" s="4">
        <f>IF(ISERROR(VLOOKUP($U$756,'TAR FIN'!$A$1:$O$92,15,0)),0,VLOOKUP($U$756,'TAR FIN'!$A$1:$O$92,15,0))</f>
        <v>94.11</v>
      </c>
      <c r="Y756" s="4"/>
      <c r="Z756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6" s="4">
        <f>('TE BE'!$AB$12+'TE BF'!$AB$12+'TE CVA'!$AB$12)*(1-CUSTOS!$M$34)</f>
        <v>117.66142824392278</v>
      </c>
      <c r="AB756" s="4">
        <f>$K$756*$V$756</f>
        <v>0</v>
      </c>
      <c r="AC756" s="4">
        <f>$M$756*$W$756</f>
        <v>83326.289969999998</v>
      </c>
      <c r="AD756" s="4">
        <f>$O$756*$X$756</f>
        <v>83184.86421</v>
      </c>
      <c r="AE756" s="4">
        <f>$K$756*$Y$756</f>
        <v>0</v>
      </c>
      <c r="AF756" s="4">
        <f ca="1">$M$756*$Z$756</f>
        <v>105138.0955052252</v>
      </c>
      <c r="AG756" s="4">
        <f>$O$756*$AA$756</f>
        <v>104002.23070051403</v>
      </c>
    </row>
    <row r="757" spans="1:33" ht="11.25" customHeight="1" x14ac:dyDescent="0.25">
      <c r="A757" s="3" t="s">
        <v>27</v>
      </c>
      <c r="B757" s="3" t="s">
        <v>22</v>
      </c>
      <c r="C757" s="3" t="s">
        <v>23</v>
      </c>
      <c r="D757" s="3" t="s">
        <v>24</v>
      </c>
      <c r="E757" s="3" t="s">
        <v>29</v>
      </c>
      <c r="F757" s="3" t="s">
        <v>25</v>
      </c>
      <c r="G757" s="3" t="s">
        <v>25</v>
      </c>
      <c r="H757" s="3" t="s">
        <v>25</v>
      </c>
      <c r="I757" s="6">
        <v>44743</v>
      </c>
      <c r="J757" s="4">
        <v>0</v>
      </c>
      <c r="K757" s="4">
        <v>0</v>
      </c>
      <c r="L757" s="4">
        <v>0.03</v>
      </c>
      <c r="M757" s="4">
        <v>0.03</v>
      </c>
      <c r="N757" s="4">
        <v>0.03</v>
      </c>
      <c r="O757" s="4">
        <v>0.03</v>
      </c>
      <c r="P757" s="4">
        <v>0</v>
      </c>
      <c r="Q757" s="3" t="s">
        <v>26</v>
      </c>
      <c r="R757" s="3">
        <v>0</v>
      </c>
      <c r="S757" s="4">
        <v>0</v>
      </c>
      <c r="T757" s="4">
        <v>17</v>
      </c>
      <c r="U757" s="4">
        <v>60</v>
      </c>
      <c r="V757" s="4">
        <f>IF(ISERROR(VLOOKUP($S$757,'TAR FIN'!$A$1:$O$92,15,0)),0,VLOOKUP($S$757,'TAR FIN'!$A$1:$O$92,15,0))</f>
        <v>0</v>
      </c>
      <c r="W757" s="4">
        <f>IF(ISERROR(VLOOKUP($T$757,'TAR FIN'!$A$1:$O$92,15,0)),0,VLOOKUP($T$757,'TAR FIN'!$A$1:$O$92,15,0))</f>
        <v>94.27</v>
      </c>
      <c r="X757" s="4">
        <f>IF(ISERROR(VLOOKUP($U$757,'TAR FIN'!$A$1:$O$92,15,0)),0,VLOOKUP($U$757,'TAR FIN'!$A$1:$O$92,15,0))</f>
        <v>94.11</v>
      </c>
      <c r="Y757" s="4"/>
      <c r="Z757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7" s="4">
        <f>('TE BE'!$AB$12+'TE BF'!$AB$12+'TE CVA'!$AB$12)*(1-CUSTOS!$M$34)</f>
        <v>117.66142824392278</v>
      </c>
      <c r="AB757" s="4">
        <f>$K$757*$V$757</f>
        <v>0</v>
      </c>
      <c r="AC757" s="4">
        <f>$M$757*$W$757</f>
        <v>2.8280999999999996</v>
      </c>
      <c r="AD757" s="4">
        <f>$O$757*$X$757</f>
        <v>2.8232999999999997</v>
      </c>
      <c r="AE757" s="4">
        <f>$K$757*$Y$757</f>
        <v>0</v>
      </c>
      <c r="AF757" s="4">
        <f ca="1">$M$757*$Z$757</f>
        <v>3.5683941767403686</v>
      </c>
      <c r="AG757" s="4">
        <f>$O$757*$AA$757</f>
        <v>3.5298428473176835</v>
      </c>
    </row>
    <row r="758" spans="1:33" ht="11.25" customHeight="1" x14ac:dyDescent="0.25">
      <c r="A758" s="3" t="s">
        <v>21</v>
      </c>
      <c r="B758" s="3" t="s">
        <v>22</v>
      </c>
      <c r="C758" s="3" t="s">
        <v>23</v>
      </c>
      <c r="D758" s="3" t="s">
        <v>24</v>
      </c>
      <c r="E758" s="3" t="s">
        <v>29</v>
      </c>
      <c r="F758" s="3" t="s">
        <v>25</v>
      </c>
      <c r="G758" s="3" t="s">
        <v>25</v>
      </c>
      <c r="H758" s="3" t="s">
        <v>25</v>
      </c>
      <c r="I758" s="6">
        <v>44774</v>
      </c>
      <c r="J758" s="4">
        <v>0</v>
      </c>
      <c r="K758" s="4">
        <v>0</v>
      </c>
      <c r="L758" s="4">
        <v>888.11099999999999</v>
      </c>
      <c r="M758" s="4">
        <v>888.11099999999999</v>
      </c>
      <c r="N758" s="4">
        <v>888.11099999999999</v>
      </c>
      <c r="O758" s="4">
        <v>888.11099999999999</v>
      </c>
      <c r="P758" s="4">
        <v>1182</v>
      </c>
      <c r="Q758" s="3" t="s">
        <v>26</v>
      </c>
      <c r="R758" s="3">
        <v>0</v>
      </c>
      <c r="S758" s="4">
        <v>0</v>
      </c>
      <c r="T758" s="4">
        <v>17</v>
      </c>
      <c r="U758" s="4">
        <v>60</v>
      </c>
      <c r="V758" s="4">
        <f>IF(ISERROR(VLOOKUP($S$758,'TAR FIN'!$A$1:$O$92,15,0)),0,VLOOKUP($S$758,'TAR FIN'!$A$1:$O$92,15,0))</f>
        <v>0</v>
      </c>
      <c r="W758" s="4">
        <f>IF(ISERROR(VLOOKUP($T$758,'TAR FIN'!$A$1:$O$92,15,0)),0,VLOOKUP($T$758,'TAR FIN'!$A$1:$O$92,15,0))</f>
        <v>94.27</v>
      </c>
      <c r="X758" s="4">
        <f>IF(ISERROR(VLOOKUP($U$758,'TAR FIN'!$A$1:$O$92,15,0)),0,VLOOKUP($U$758,'TAR FIN'!$A$1:$O$92,15,0))</f>
        <v>94.11</v>
      </c>
      <c r="Y758" s="4"/>
      <c r="Z758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8" s="4">
        <f>('TE BE'!$AB$12+'TE BF'!$AB$12+'TE CVA'!$AB$12)*(1-CUSTOS!$M$34)</f>
        <v>117.66142824392278</v>
      </c>
      <c r="AB758" s="4">
        <f>$K$758*$V$758</f>
        <v>0</v>
      </c>
      <c r="AC758" s="4">
        <f>$M$758*$W$758</f>
        <v>83722.223969999992</v>
      </c>
      <c r="AD758" s="4">
        <f>$O$758*$X$758</f>
        <v>83580.126210000002</v>
      </c>
      <c r="AE758" s="4">
        <f>$K$758*$Y$758</f>
        <v>0</v>
      </c>
      <c r="AF758" s="4">
        <f ca="1">$M$758*$Z$758</f>
        <v>105637.67068996884</v>
      </c>
      <c r="AG758" s="4">
        <f>$O$758*$AA$758</f>
        <v>104496.40869913851</v>
      </c>
    </row>
    <row r="759" spans="1:33" ht="11.25" customHeight="1" x14ac:dyDescent="0.25">
      <c r="A759" s="3" t="s">
        <v>27</v>
      </c>
      <c r="B759" s="3" t="s">
        <v>22</v>
      </c>
      <c r="C759" s="3" t="s">
        <v>23</v>
      </c>
      <c r="D759" s="3" t="s">
        <v>24</v>
      </c>
      <c r="E759" s="3" t="s">
        <v>29</v>
      </c>
      <c r="F759" s="3" t="s">
        <v>25</v>
      </c>
      <c r="G759" s="3" t="s">
        <v>25</v>
      </c>
      <c r="H759" s="3" t="s">
        <v>25</v>
      </c>
      <c r="I759" s="6">
        <v>44774</v>
      </c>
      <c r="J759" s="4">
        <v>0</v>
      </c>
      <c r="K759" s="4">
        <v>0</v>
      </c>
      <c r="L759" s="4">
        <v>0.15</v>
      </c>
      <c r="M759" s="4">
        <v>0.15</v>
      </c>
      <c r="N759" s="4">
        <v>0.15</v>
      </c>
      <c r="O759" s="4">
        <v>0.15</v>
      </c>
      <c r="P759" s="4">
        <v>-2</v>
      </c>
      <c r="Q759" s="3" t="s">
        <v>26</v>
      </c>
      <c r="R759" s="3">
        <v>0</v>
      </c>
      <c r="S759" s="4">
        <v>0</v>
      </c>
      <c r="T759" s="4">
        <v>17</v>
      </c>
      <c r="U759" s="4">
        <v>60</v>
      </c>
      <c r="V759" s="4">
        <f>IF(ISERROR(VLOOKUP($S$759,'TAR FIN'!$A$1:$O$92,15,0)),0,VLOOKUP($S$759,'TAR FIN'!$A$1:$O$92,15,0))</f>
        <v>0</v>
      </c>
      <c r="W759" s="4">
        <f>IF(ISERROR(VLOOKUP($T$759,'TAR FIN'!$A$1:$O$92,15,0)),0,VLOOKUP($T$759,'TAR FIN'!$A$1:$O$92,15,0))</f>
        <v>94.27</v>
      </c>
      <c r="X759" s="4">
        <f>IF(ISERROR(VLOOKUP($U$759,'TAR FIN'!$A$1:$O$92,15,0)),0,VLOOKUP($U$759,'TAR FIN'!$A$1:$O$92,15,0))</f>
        <v>94.11</v>
      </c>
      <c r="Y759" s="4"/>
      <c r="Z759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59" s="4">
        <f>('TE BE'!$AB$12+'TE BF'!$AB$12+'TE CVA'!$AB$12)*(1-CUSTOS!$M$34)</f>
        <v>117.66142824392278</v>
      </c>
      <c r="AB759" s="4">
        <f>$K$759*$V$759</f>
        <v>0</v>
      </c>
      <c r="AC759" s="4">
        <f>$M$759*$W$759</f>
        <v>14.140499999999999</v>
      </c>
      <c r="AD759" s="4">
        <f>$O$759*$X$759</f>
        <v>14.1165</v>
      </c>
      <c r="AE759" s="4">
        <f>$K$759*$Y$759</f>
        <v>0</v>
      </c>
      <c r="AF759" s="4">
        <f ca="1">$M$759*$Z$759</f>
        <v>17.841970883701844</v>
      </c>
      <c r="AG759" s="4">
        <f>$O$759*$AA$759</f>
        <v>17.649214236588417</v>
      </c>
    </row>
    <row r="760" spans="1:33" ht="11.25" customHeight="1" x14ac:dyDescent="0.25">
      <c r="A760" s="3" t="s">
        <v>28</v>
      </c>
      <c r="B760" s="3" t="s">
        <v>22</v>
      </c>
      <c r="C760" s="3" t="s">
        <v>23</v>
      </c>
      <c r="D760" s="3" t="s">
        <v>24</v>
      </c>
      <c r="E760" s="3" t="s">
        <v>29</v>
      </c>
      <c r="F760" s="3" t="s">
        <v>25</v>
      </c>
      <c r="G760" s="3" t="s">
        <v>25</v>
      </c>
      <c r="H760" s="3" t="s">
        <v>25</v>
      </c>
      <c r="I760" s="6">
        <v>44774</v>
      </c>
      <c r="J760" s="4">
        <v>0</v>
      </c>
      <c r="K760" s="4">
        <v>0</v>
      </c>
      <c r="L760" s="4">
        <v>5.5090000000000003</v>
      </c>
      <c r="M760" s="4">
        <v>5.5090000000000003</v>
      </c>
      <c r="N760" s="4">
        <v>5.5090000000000003</v>
      </c>
      <c r="O760" s="4">
        <v>5.5090000000000003</v>
      </c>
      <c r="P760" s="4">
        <v>9</v>
      </c>
      <c r="Q760" s="3" t="s">
        <v>26</v>
      </c>
      <c r="R760" s="3">
        <v>0</v>
      </c>
      <c r="S760" s="4">
        <v>0</v>
      </c>
      <c r="T760" s="4">
        <v>17</v>
      </c>
      <c r="U760" s="4">
        <v>60</v>
      </c>
      <c r="V760" s="4">
        <f>IF(ISERROR(VLOOKUP($S$760,'TAR FIN'!$A$1:$O$92,15,0)),0,VLOOKUP($S$760,'TAR FIN'!$A$1:$O$92,15,0))</f>
        <v>0</v>
      </c>
      <c r="W760" s="4">
        <f>IF(ISERROR(VLOOKUP($T$760,'TAR FIN'!$A$1:$O$92,15,0)),0,VLOOKUP($T$760,'TAR FIN'!$A$1:$O$92,15,0))</f>
        <v>94.27</v>
      </c>
      <c r="X760" s="4">
        <f>IF(ISERROR(VLOOKUP($U$760,'TAR FIN'!$A$1:$O$92,15,0)),0,VLOOKUP($U$760,'TAR FIN'!$A$1:$O$92,15,0))</f>
        <v>94.11</v>
      </c>
      <c r="Y760" s="4"/>
      <c r="Z760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0" s="4">
        <f>('TE BE'!$AB$12+'TE BF'!$AB$12+'TE CVA'!$AB$12)*(1-CUSTOS!$M$34)</f>
        <v>117.66142824392278</v>
      </c>
      <c r="AB760" s="4">
        <f>$K$760*$V$760</f>
        <v>0</v>
      </c>
      <c r="AC760" s="4">
        <f>$M$760*$W$760</f>
        <v>519.33343000000002</v>
      </c>
      <c r="AD760" s="4">
        <f>$O$760*$X$760</f>
        <v>518.45199000000002</v>
      </c>
      <c r="AE760" s="4">
        <f>$K$760*$Y$760</f>
        <v>0</v>
      </c>
      <c r="AF760" s="4">
        <f ca="1">$M$760*$Z$760</f>
        <v>655.2761173220897</v>
      </c>
      <c r="AG760" s="4">
        <f>$O$760*$AA$760</f>
        <v>648.1968081957707</v>
      </c>
    </row>
    <row r="761" spans="1:33" ht="11.25" customHeight="1" x14ac:dyDescent="0.25">
      <c r="A761" s="3" t="s">
        <v>21</v>
      </c>
      <c r="B761" s="3" t="s">
        <v>22</v>
      </c>
      <c r="C761" s="3" t="s">
        <v>23</v>
      </c>
      <c r="D761" s="3" t="s">
        <v>24</v>
      </c>
      <c r="E761" s="3" t="s">
        <v>29</v>
      </c>
      <c r="F761" s="3" t="s">
        <v>25</v>
      </c>
      <c r="G761" s="3" t="s">
        <v>25</v>
      </c>
      <c r="H761" s="3" t="s">
        <v>25</v>
      </c>
      <c r="I761" s="6">
        <v>44805</v>
      </c>
      <c r="J761" s="4">
        <v>0</v>
      </c>
      <c r="K761" s="4">
        <v>0</v>
      </c>
      <c r="L761" s="4">
        <v>892.39700000000005</v>
      </c>
      <c r="M761" s="4">
        <v>892.39700000000005</v>
      </c>
      <c r="N761" s="4">
        <v>892.39700000000005</v>
      </c>
      <c r="O761" s="4">
        <v>892.39700000000005</v>
      </c>
      <c r="P761" s="4">
        <v>1259</v>
      </c>
      <c r="Q761" s="3" t="s">
        <v>26</v>
      </c>
      <c r="R761" s="3">
        <v>0</v>
      </c>
      <c r="S761" s="4">
        <v>0</v>
      </c>
      <c r="T761" s="4">
        <v>17</v>
      </c>
      <c r="U761" s="4">
        <v>60</v>
      </c>
      <c r="V761" s="4">
        <f>IF(ISERROR(VLOOKUP($S$761,'TAR FIN'!$A$1:$O$92,15,0)),0,VLOOKUP($S$761,'TAR FIN'!$A$1:$O$92,15,0))</f>
        <v>0</v>
      </c>
      <c r="W761" s="4">
        <f>IF(ISERROR(VLOOKUP($T$761,'TAR FIN'!$A$1:$O$92,15,0)),0,VLOOKUP($T$761,'TAR FIN'!$A$1:$O$92,15,0))</f>
        <v>94.27</v>
      </c>
      <c r="X761" s="4">
        <f>IF(ISERROR(VLOOKUP($U$761,'TAR FIN'!$A$1:$O$92,15,0)),0,VLOOKUP($U$761,'TAR FIN'!$A$1:$O$92,15,0))</f>
        <v>94.11</v>
      </c>
      <c r="Y761" s="4"/>
      <c r="Z761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1" s="4">
        <f>('TE BE'!$AB$12+'TE BF'!$AB$12+'TE CVA'!$AB$12)*(1-CUSTOS!$M$34)</f>
        <v>117.66142824392278</v>
      </c>
      <c r="AB761" s="4">
        <f>$K$761*$V$761</f>
        <v>0</v>
      </c>
      <c r="AC761" s="4">
        <f>$M$761*$W$761</f>
        <v>84126.265190000006</v>
      </c>
      <c r="AD761" s="4">
        <f>$O$761*$X$761</f>
        <v>83983.481670000008</v>
      </c>
      <c r="AE761" s="4">
        <f>$K$761*$Y$761</f>
        <v>0</v>
      </c>
      <c r="AF761" s="4">
        <f ca="1">$M$761*$Z$761</f>
        <v>106147.47527135249</v>
      </c>
      <c r="AG761" s="4">
        <f>$O$761*$AA$761</f>
        <v>105000.70558059197</v>
      </c>
    </row>
    <row r="762" spans="1:33" ht="11.25" customHeight="1" x14ac:dyDescent="0.25">
      <c r="A762" s="3" t="s">
        <v>27</v>
      </c>
      <c r="B762" s="3" t="s">
        <v>22</v>
      </c>
      <c r="C762" s="3" t="s">
        <v>23</v>
      </c>
      <c r="D762" s="3" t="s">
        <v>24</v>
      </c>
      <c r="E762" s="3" t="s">
        <v>29</v>
      </c>
      <c r="F762" s="3" t="s">
        <v>25</v>
      </c>
      <c r="G762" s="3" t="s">
        <v>25</v>
      </c>
      <c r="H762" s="3" t="s">
        <v>25</v>
      </c>
      <c r="I762" s="6">
        <v>44805</v>
      </c>
      <c r="J762" s="4">
        <v>0</v>
      </c>
      <c r="K762" s="4">
        <v>0</v>
      </c>
      <c r="L762" s="4">
        <v>-0.03</v>
      </c>
      <c r="M762" s="4">
        <v>-0.03</v>
      </c>
      <c r="N762" s="4">
        <v>-0.03</v>
      </c>
      <c r="O762" s="4">
        <v>-0.03</v>
      </c>
      <c r="P762" s="4">
        <v>4</v>
      </c>
      <c r="Q762" s="3" t="s">
        <v>26</v>
      </c>
      <c r="R762" s="3">
        <v>0</v>
      </c>
      <c r="S762" s="4">
        <v>0</v>
      </c>
      <c r="T762" s="4">
        <v>17</v>
      </c>
      <c r="U762" s="4">
        <v>60</v>
      </c>
      <c r="V762" s="4">
        <f>IF(ISERROR(VLOOKUP($S$762,'TAR FIN'!$A$1:$O$92,15,0)),0,VLOOKUP($S$762,'TAR FIN'!$A$1:$O$92,15,0))</f>
        <v>0</v>
      </c>
      <c r="W762" s="4">
        <f>IF(ISERROR(VLOOKUP($T$762,'TAR FIN'!$A$1:$O$92,15,0)),0,VLOOKUP($T$762,'TAR FIN'!$A$1:$O$92,15,0))</f>
        <v>94.27</v>
      </c>
      <c r="X762" s="4">
        <f>IF(ISERROR(VLOOKUP($U$762,'TAR FIN'!$A$1:$O$92,15,0)),0,VLOOKUP($U$762,'TAR FIN'!$A$1:$O$92,15,0))</f>
        <v>94.11</v>
      </c>
      <c r="Y762" s="4"/>
      <c r="Z762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2" s="4">
        <f>('TE BE'!$AB$12+'TE BF'!$AB$12+'TE CVA'!$AB$12)*(1-CUSTOS!$M$34)</f>
        <v>117.66142824392278</v>
      </c>
      <c r="AB762" s="4">
        <f>$K$762*$V$762</f>
        <v>0</v>
      </c>
      <c r="AC762" s="4">
        <f>$M$762*$W$762</f>
        <v>-2.8280999999999996</v>
      </c>
      <c r="AD762" s="4">
        <f>$O$762*$X$762</f>
        <v>-2.8232999999999997</v>
      </c>
      <c r="AE762" s="4">
        <f>$K$762*$Y$762</f>
        <v>0</v>
      </c>
      <c r="AF762" s="4">
        <f ca="1">$M$762*$Z$762</f>
        <v>-3.5683941767403686</v>
      </c>
      <c r="AG762" s="4">
        <f>$O$762*$AA$762</f>
        <v>-3.5298428473176835</v>
      </c>
    </row>
    <row r="763" spans="1:33" ht="11.25" customHeight="1" x14ac:dyDescent="0.25">
      <c r="A763" s="3" t="s">
        <v>28</v>
      </c>
      <c r="B763" s="3" t="s">
        <v>22</v>
      </c>
      <c r="C763" s="3" t="s">
        <v>23</v>
      </c>
      <c r="D763" s="3" t="s">
        <v>24</v>
      </c>
      <c r="E763" s="3" t="s">
        <v>29</v>
      </c>
      <c r="F763" s="3" t="s">
        <v>25</v>
      </c>
      <c r="G763" s="3" t="s">
        <v>25</v>
      </c>
      <c r="H763" s="3" t="s">
        <v>25</v>
      </c>
      <c r="I763" s="6">
        <v>44805</v>
      </c>
      <c r="J763" s="4">
        <v>0</v>
      </c>
      <c r="K763" s="4">
        <v>0</v>
      </c>
      <c r="L763" s="4">
        <v>7.8840000000000003</v>
      </c>
      <c r="M763" s="4">
        <v>7.8840000000000003</v>
      </c>
      <c r="N763" s="4">
        <v>7.8840000000000003</v>
      </c>
      <c r="O763" s="4">
        <v>7.8840000000000003</v>
      </c>
      <c r="P763" s="4">
        <v>18</v>
      </c>
      <c r="Q763" s="3" t="s">
        <v>26</v>
      </c>
      <c r="R763" s="3">
        <v>0</v>
      </c>
      <c r="S763" s="4">
        <v>0</v>
      </c>
      <c r="T763" s="4">
        <v>17</v>
      </c>
      <c r="U763" s="4">
        <v>60</v>
      </c>
      <c r="V763" s="4">
        <f>IF(ISERROR(VLOOKUP($S$763,'TAR FIN'!$A$1:$O$92,15,0)),0,VLOOKUP($S$763,'TAR FIN'!$A$1:$O$92,15,0))</f>
        <v>0</v>
      </c>
      <c r="W763" s="4">
        <f>IF(ISERROR(VLOOKUP($T$763,'TAR FIN'!$A$1:$O$92,15,0)),0,VLOOKUP($T$763,'TAR FIN'!$A$1:$O$92,15,0))</f>
        <v>94.27</v>
      </c>
      <c r="X763" s="4">
        <f>IF(ISERROR(VLOOKUP($U$763,'TAR FIN'!$A$1:$O$92,15,0)),0,VLOOKUP($U$763,'TAR FIN'!$A$1:$O$92,15,0))</f>
        <v>94.11</v>
      </c>
      <c r="Y763" s="4"/>
      <c r="Z763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3" s="4">
        <f>('TE BE'!$AB$12+'TE BF'!$AB$12+'TE CVA'!$AB$12)*(1-CUSTOS!$M$34)</f>
        <v>117.66142824392278</v>
      </c>
      <c r="AB763" s="4">
        <f>$K$763*$V$763</f>
        <v>0</v>
      </c>
      <c r="AC763" s="4">
        <f>$M$763*$W$763</f>
        <v>743.22468000000003</v>
      </c>
      <c r="AD763" s="4">
        <f>$O$763*$X$763</f>
        <v>741.96324000000004</v>
      </c>
      <c r="AE763" s="4">
        <f>$K$763*$Y$763</f>
        <v>0</v>
      </c>
      <c r="AF763" s="4">
        <f ca="1">$M$763*$Z$763</f>
        <v>937.77398964736892</v>
      </c>
      <c r="AG763" s="4">
        <f>$O$763*$AA$763</f>
        <v>927.64270027508724</v>
      </c>
    </row>
    <row r="764" spans="1:33" ht="11.25" customHeight="1" x14ac:dyDescent="0.25">
      <c r="A764" s="3" t="s">
        <v>28</v>
      </c>
      <c r="B764" s="3" t="s">
        <v>22</v>
      </c>
      <c r="C764" s="3" t="s">
        <v>23</v>
      </c>
      <c r="D764" s="3" t="s">
        <v>24</v>
      </c>
      <c r="E764" s="3" t="s">
        <v>29</v>
      </c>
      <c r="F764" s="3" t="s">
        <v>25</v>
      </c>
      <c r="G764" s="3" t="s">
        <v>25</v>
      </c>
      <c r="H764" s="3" t="s">
        <v>25</v>
      </c>
      <c r="I764" s="6">
        <v>44805</v>
      </c>
      <c r="J764" s="4">
        <v>0</v>
      </c>
      <c r="K764" s="4">
        <v>0</v>
      </c>
      <c r="L764" s="4">
        <v>-0.44500000000000001</v>
      </c>
      <c r="M764" s="4">
        <v>-0.44500000000000001</v>
      </c>
      <c r="N764" s="4">
        <v>-0.44500000000000001</v>
      </c>
      <c r="O764" s="4">
        <v>-0.44500000000000001</v>
      </c>
      <c r="P764" s="4">
        <v>1</v>
      </c>
      <c r="Q764" s="3" t="s">
        <v>26</v>
      </c>
      <c r="R764" s="3">
        <v>0</v>
      </c>
      <c r="S764" s="4">
        <v>0</v>
      </c>
      <c r="T764" s="4">
        <v>17</v>
      </c>
      <c r="U764" s="4">
        <v>60</v>
      </c>
      <c r="V764" s="4">
        <f>IF(ISERROR(VLOOKUP($S$764,'TAR FIN'!$A$1:$O$92,15,0)),0,VLOOKUP($S$764,'TAR FIN'!$A$1:$O$92,15,0))</f>
        <v>0</v>
      </c>
      <c r="W764" s="4">
        <f>IF(ISERROR(VLOOKUP($T$764,'TAR FIN'!$A$1:$O$92,15,0)),0,VLOOKUP($T$764,'TAR FIN'!$A$1:$O$92,15,0))</f>
        <v>94.27</v>
      </c>
      <c r="X764" s="4">
        <f>IF(ISERROR(VLOOKUP($U$764,'TAR FIN'!$A$1:$O$92,15,0)),0,VLOOKUP($U$764,'TAR FIN'!$A$1:$O$92,15,0))</f>
        <v>94.11</v>
      </c>
      <c r="Y764" s="4"/>
      <c r="Z764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4" s="4">
        <f>('TE BE'!$AB$12+'TE BF'!$AB$12+'TE CVA'!$AB$12)*(1-CUSTOS!$M$34)</f>
        <v>117.66142824392278</v>
      </c>
      <c r="AB764" s="4">
        <f>$K$764*$V$764</f>
        <v>0</v>
      </c>
      <c r="AC764" s="4">
        <f>$M$764*$W$764</f>
        <v>-41.950150000000001</v>
      </c>
      <c r="AD764" s="4">
        <f>$O$764*$X$764</f>
        <v>-41.878950000000003</v>
      </c>
      <c r="AE764" s="4">
        <f>$K$764*$Y$764</f>
        <v>0</v>
      </c>
      <c r="AF764" s="4">
        <f ca="1">$M$764*$Z$764</f>
        <v>-52.931180288315467</v>
      </c>
      <c r="AG764" s="4">
        <f>$O$764*$AA$764</f>
        <v>-52.359335568545639</v>
      </c>
    </row>
    <row r="765" spans="1:33" ht="11.25" customHeight="1" x14ac:dyDescent="0.25">
      <c r="A765" s="3" t="s">
        <v>55</v>
      </c>
      <c r="B765" s="3" t="s">
        <v>22</v>
      </c>
      <c r="C765" s="3" t="s">
        <v>23</v>
      </c>
      <c r="D765" s="3" t="s">
        <v>24</v>
      </c>
      <c r="E765" s="3" t="s">
        <v>29</v>
      </c>
      <c r="F765" s="3" t="s">
        <v>25</v>
      </c>
      <c r="G765" s="3" t="s">
        <v>25</v>
      </c>
      <c r="H765" s="3" t="s">
        <v>25</v>
      </c>
      <c r="I765" s="6">
        <v>44835</v>
      </c>
      <c r="J765" s="4">
        <v>0</v>
      </c>
      <c r="K765" s="4">
        <v>0</v>
      </c>
      <c r="L765" s="4">
        <v>892.39700000000005</v>
      </c>
      <c r="M765" s="4">
        <v>892.39700000000005</v>
      </c>
      <c r="N765" s="4">
        <v>892.39700000000005</v>
      </c>
      <c r="O765" s="4">
        <v>892.39700000000005</v>
      </c>
      <c r="P765" s="4">
        <v>1259</v>
      </c>
      <c r="Q765" s="3" t="s">
        <v>26</v>
      </c>
      <c r="R765" s="3">
        <v>0</v>
      </c>
      <c r="S765" s="4">
        <v>0</v>
      </c>
      <c r="T765" s="4">
        <v>17</v>
      </c>
      <c r="U765" s="4">
        <v>60</v>
      </c>
      <c r="V765" s="4">
        <f>IF(ISERROR(VLOOKUP($S$765,'TAR FIN'!$A$1:$O$92,15,0)),0,VLOOKUP($S$765,'TAR FIN'!$A$1:$O$92,15,0))</f>
        <v>0</v>
      </c>
      <c r="W765" s="4">
        <f>IF(ISERROR(VLOOKUP($T$765,'TAR FIN'!$A$1:$O$92,15,0)),0,VLOOKUP($T$765,'TAR FIN'!$A$1:$O$92,15,0))</f>
        <v>94.27</v>
      </c>
      <c r="X765" s="4">
        <f>IF(ISERROR(VLOOKUP($U$765,'TAR FIN'!$A$1:$O$92,15,0)),0,VLOOKUP($U$765,'TAR FIN'!$A$1:$O$92,15,0))</f>
        <v>94.11</v>
      </c>
      <c r="Y765" s="4"/>
      <c r="Z765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5" s="4">
        <f>('TE BE'!$AB$12+'TE BF'!$AB$12+'TE CVA'!$AB$12)*(1-CUSTOS!$M$34)</f>
        <v>117.66142824392278</v>
      </c>
      <c r="AB765" s="4">
        <f>$K$765*$V$765</f>
        <v>0</v>
      </c>
      <c r="AC765" s="4">
        <f>$M$765*$W$765</f>
        <v>84126.265190000006</v>
      </c>
      <c r="AD765" s="4">
        <f>$O$765*$X$765</f>
        <v>83983.481670000008</v>
      </c>
      <c r="AE765" s="4">
        <f>$K$765*$Y$765</f>
        <v>0</v>
      </c>
      <c r="AF765" s="4">
        <f ca="1">$M$765*$Z$765</f>
        <v>106147.47527135249</v>
      </c>
      <c r="AG765" s="4">
        <f>$O$765*$AA$765</f>
        <v>105000.70558059197</v>
      </c>
    </row>
    <row r="766" spans="1:33" ht="11.25" customHeight="1" x14ac:dyDescent="0.25">
      <c r="A766" s="3" t="s">
        <v>55</v>
      </c>
      <c r="B766" s="3" t="s">
        <v>22</v>
      </c>
      <c r="C766" s="3" t="s">
        <v>23</v>
      </c>
      <c r="D766" s="3" t="s">
        <v>24</v>
      </c>
      <c r="E766" s="3" t="s">
        <v>29</v>
      </c>
      <c r="F766" s="3" t="s">
        <v>25</v>
      </c>
      <c r="G766" s="3" t="s">
        <v>25</v>
      </c>
      <c r="H766" s="3" t="s">
        <v>25</v>
      </c>
      <c r="I766" s="6">
        <v>44835</v>
      </c>
      <c r="J766" s="4">
        <v>0</v>
      </c>
      <c r="K766" s="4">
        <v>0</v>
      </c>
      <c r="L766" s="4">
        <v>-0.03</v>
      </c>
      <c r="M766" s="4">
        <v>-0.03</v>
      </c>
      <c r="N766" s="4">
        <v>-0.03</v>
      </c>
      <c r="O766" s="4">
        <v>-0.03</v>
      </c>
      <c r="P766" s="4">
        <v>4</v>
      </c>
      <c r="Q766" s="3" t="s">
        <v>26</v>
      </c>
      <c r="R766" s="3">
        <v>0</v>
      </c>
      <c r="S766" s="4">
        <v>0</v>
      </c>
      <c r="T766" s="4">
        <v>17</v>
      </c>
      <c r="U766" s="4">
        <v>60</v>
      </c>
      <c r="V766" s="4">
        <f>IF(ISERROR(VLOOKUP($S$766,'TAR FIN'!$A$1:$O$92,15,0)),0,VLOOKUP($S$766,'TAR FIN'!$A$1:$O$92,15,0))</f>
        <v>0</v>
      </c>
      <c r="W766" s="4">
        <f>IF(ISERROR(VLOOKUP($T$766,'TAR FIN'!$A$1:$O$92,15,0)),0,VLOOKUP($T$766,'TAR FIN'!$A$1:$O$92,15,0))</f>
        <v>94.27</v>
      </c>
      <c r="X766" s="4">
        <f>IF(ISERROR(VLOOKUP($U$766,'TAR FIN'!$A$1:$O$92,15,0)),0,VLOOKUP($U$766,'TAR FIN'!$A$1:$O$92,15,0))</f>
        <v>94.11</v>
      </c>
      <c r="Y766" s="4"/>
      <c r="Z766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6" s="4">
        <f>('TE BE'!$AB$12+'TE BF'!$AB$12+'TE CVA'!$AB$12)*(1-CUSTOS!$M$34)</f>
        <v>117.66142824392278</v>
      </c>
      <c r="AB766" s="4">
        <f>$K$766*$V$766</f>
        <v>0</v>
      </c>
      <c r="AC766" s="4">
        <f>$M$766*$W$766</f>
        <v>-2.8280999999999996</v>
      </c>
      <c r="AD766" s="4">
        <f>$O$766*$X$766</f>
        <v>-2.8232999999999997</v>
      </c>
      <c r="AE766" s="4">
        <f>$K$766*$Y$766</f>
        <v>0</v>
      </c>
      <c r="AF766" s="4">
        <f ca="1">$M$766*$Z$766</f>
        <v>-3.5683941767403686</v>
      </c>
      <c r="AG766" s="4">
        <f>$O$766*$AA$766</f>
        <v>-3.5298428473176835</v>
      </c>
    </row>
    <row r="767" spans="1:33" ht="11.25" customHeight="1" x14ac:dyDescent="0.25">
      <c r="A767" s="3" t="s">
        <v>55</v>
      </c>
      <c r="B767" s="3" t="s">
        <v>22</v>
      </c>
      <c r="C767" s="3" t="s">
        <v>23</v>
      </c>
      <c r="D767" s="3" t="s">
        <v>24</v>
      </c>
      <c r="E767" s="3" t="s">
        <v>29</v>
      </c>
      <c r="F767" s="3" t="s">
        <v>25</v>
      </c>
      <c r="G767" s="3" t="s">
        <v>25</v>
      </c>
      <c r="H767" s="3" t="s">
        <v>25</v>
      </c>
      <c r="I767" s="6">
        <v>44835</v>
      </c>
      <c r="J767" s="4">
        <v>0</v>
      </c>
      <c r="K767" s="4">
        <v>0</v>
      </c>
      <c r="L767" s="4">
        <v>7.8840000000000003</v>
      </c>
      <c r="M767" s="4">
        <v>7.8840000000000003</v>
      </c>
      <c r="N767" s="4">
        <v>7.8840000000000003</v>
      </c>
      <c r="O767" s="4">
        <v>7.8840000000000003</v>
      </c>
      <c r="P767" s="4">
        <v>18</v>
      </c>
      <c r="Q767" s="3" t="s">
        <v>26</v>
      </c>
      <c r="R767" s="3">
        <v>0</v>
      </c>
      <c r="S767" s="4">
        <v>0</v>
      </c>
      <c r="T767" s="4">
        <v>17</v>
      </c>
      <c r="U767" s="4">
        <v>60</v>
      </c>
      <c r="V767" s="4">
        <f>IF(ISERROR(VLOOKUP($S$767,'TAR FIN'!$A$1:$O$92,15,0)),0,VLOOKUP($S$767,'TAR FIN'!$A$1:$O$92,15,0))</f>
        <v>0</v>
      </c>
      <c r="W767" s="4">
        <f>IF(ISERROR(VLOOKUP($T$767,'TAR FIN'!$A$1:$O$92,15,0)),0,VLOOKUP($T$767,'TAR FIN'!$A$1:$O$92,15,0))</f>
        <v>94.27</v>
      </c>
      <c r="X767" s="4">
        <f>IF(ISERROR(VLOOKUP($U$767,'TAR FIN'!$A$1:$O$92,15,0)),0,VLOOKUP($U$767,'TAR FIN'!$A$1:$O$92,15,0))</f>
        <v>94.11</v>
      </c>
      <c r="Y767" s="4"/>
      <c r="Z767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7" s="4">
        <f>('TE BE'!$AB$12+'TE BF'!$AB$12+'TE CVA'!$AB$12)*(1-CUSTOS!$M$34)</f>
        <v>117.66142824392278</v>
      </c>
      <c r="AB767" s="4">
        <f>$K$767*$V$767</f>
        <v>0</v>
      </c>
      <c r="AC767" s="4">
        <f>$M$767*$W$767</f>
        <v>743.22468000000003</v>
      </c>
      <c r="AD767" s="4">
        <f>$O$767*$X$767</f>
        <v>741.96324000000004</v>
      </c>
      <c r="AE767" s="4">
        <f>$K$767*$Y$767</f>
        <v>0</v>
      </c>
      <c r="AF767" s="4">
        <f ca="1">$M$767*$Z$767</f>
        <v>937.77398964736892</v>
      </c>
      <c r="AG767" s="4">
        <f>$O$767*$AA$767</f>
        <v>927.64270027508724</v>
      </c>
    </row>
    <row r="768" spans="1:33" ht="11.25" customHeight="1" x14ac:dyDescent="0.25">
      <c r="A768" s="3" t="s">
        <v>55</v>
      </c>
      <c r="B768" s="3" t="s">
        <v>22</v>
      </c>
      <c r="C768" s="3" t="s">
        <v>23</v>
      </c>
      <c r="D768" s="3" t="s">
        <v>24</v>
      </c>
      <c r="E768" s="3" t="s">
        <v>29</v>
      </c>
      <c r="F768" s="3" t="s">
        <v>25</v>
      </c>
      <c r="G768" s="3" t="s">
        <v>25</v>
      </c>
      <c r="H768" s="3" t="s">
        <v>25</v>
      </c>
      <c r="I768" s="6">
        <v>44835</v>
      </c>
      <c r="J768" s="4">
        <v>0</v>
      </c>
      <c r="K768" s="4">
        <v>0</v>
      </c>
      <c r="L768" s="4">
        <v>-0.44500000000000001</v>
      </c>
      <c r="M768" s="4">
        <v>-0.44500000000000001</v>
      </c>
      <c r="N768" s="4">
        <v>-0.44500000000000001</v>
      </c>
      <c r="O768" s="4">
        <v>-0.44500000000000001</v>
      </c>
      <c r="P768" s="4">
        <v>1</v>
      </c>
      <c r="Q768" s="3" t="s">
        <v>26</v>
      </c>
      <c r="R768" s="3">
        <v>0</v>
      </c>
      <c r="S768" s="4">
        <v>0</v>
      </c>
      <c r="T768" s="4">
        <v>17</v>
      </c>
      <c r="U768" s="4">
        <v>60</v>
      </c>
      <c r="V768" s="4">
        <f>IF(ISERROR(VLOOKUP($S$768,'TAR FIN'!$A$1:$O$92,15,0)),0,VLOOKUP($S$768,'TAR FIN'!$A$1:$O$92,15,0))</f>
        <v>0</v>
      </c>
      <c r="W768" s="4">
        <f>IF(ISERROR(VLOOKUP($T$768,'TAR FIN'!$A$1:$O$92,15,0)),0,VLOOKUP($T$768,'TAR FIN'!$A$1:$O$92,15,0))</f>
        <v>94.27</v>
      </c>
      <c r="X768" s="4">
        <f>IF(ISERROR(VLOOKUP($U$768,'TAR FIN'!$A$1:$O$92,15,0)),0,VLOOKUP($U$768,'TAR FIN'!$A$1:$O$92,15,0))</f>
        <v>94.11</v>
      </c>
      <c r="Y768" s="4"/>
      <c r="Z768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768" s="4">
        <f>('TE BE'!$AB$12+'TE BF'!$AB$12+'TE CVA'!$AB$12)*(1-CUSTOS!$M$34)</f>
        <v>117.66142824392278</v>
      </c>
      <c r="AB768" s="4">
        <f>$K$768*$V$768</f>
        <v>0</v>
      </c>
      <c r="AC768" s="4">
        <f>$M$768*$W$768</f>
        <v>-41.950150000000001</v>
      </c>
      <c r="AD768" s="4">
        <f>$O$768*$X$768</f>
        <v>-41.878950000000003</v>
      </c>
      <c r="AE768" s="4">
        <f>$K$768*$Y$768</f>
        <v>0</v>
      </c>
      <c r="AF768" s="4">
        <f ca="1">$M$768*$Z$768</f>
        <v>-52.931180288315467</v>
      </c>
      <c r="AG768" s="4">
        <f>$O$768*$AA$768</f>
        <v>-52.359335568545639</v>
      </c>
    </row>
    <row r="769" spans="1:33" ht="11.25" customHeight="1" x14ac:dyDescent="0.25">
      <c r="A769" s="3" t="s">
        <v>21</v>
      </c>
      <c r="B769" s="3" t="s">
        <v>22</v>
      </c>
      <c r="C769" s="3" t="s">
        <v>23</v>
      </c>
      <c r="D769" s="3" t="s">
        <v>24</v>
      </c>
      <c r="E769" s="3" t="s">
        <v>30</v>
      </c>
      <c r="F769" s="3" t="s">
        <v>25</v>
      </c>
      <c r="G769" s="3" t="s">
        <v>25</v>
      </c>
      <c r="H769" s="3" t="s">
        <v>25</v>
      </c>
      <c r="I769" s="6">
        <v>44501</v>
      </c>
      <c r="J769" s="4">
        <v>0</v>
      </c>
      <c r="K769" s="4">
        <v>0</v>
      </c>
      <c r="L769" s="4">
        <v>1731.1079999999999</v>
      </c>
      <c r="M769" s="4">
        <v>1731.1079999999999</v>
      </c>
      <c r="N769" s="4">
        <v>1731.1079999999999</v>
      </c>
      <c r="O769" s="4">
        <v>1731.1079999999999</v>
      </c>
      <c r="P769" s="4">
        <v>3868</v>
      </c>
      <c r="Q769" s="3" t="s">
        <v>26</v>
      </c>
      <c r="R769" s="3">
        <v>0</v>
      </c>
      <c r="S769" s="4">
        <v>0</v>
      </c>
      <c r="T769" s="4">
        <v>39</v>
      </c>
      <c r="U769" s="4">
        <v>80</v>
      </c>
      <c r="V769" s="4">
        <f>IF(ISERROR(VLOOKUP($S$769,'TAR FIN'!$A$1:$O$92,15,0)),0,VLOOKUP($S$769,'TAR FIN'!$A$1:$O$92,15,0))</f>
        <v>0</v>
      </c>
      <c r="W769" s="4">
        <f>IF(ISERROR(VLOOKUP($T$769,'TAR FIN'!$A$1:$O$92,15,0)),0,VLOOKUP($T$769,'TAR FIN'!$A$1:$O$92,15,0))</f>
        <v>161.61000000000001</v>
      </c>
      <c r="X769" s="4">
        <f>IF(ISERROR(VLOOKUP($U$769,'TAR FIN'!$A$1:$O$92,15,0)),0,VLOOKUP($U$769,'TAR FIN'!$A$1:$O$92,15,0))</f>
        <v>161.34</v>
      </c>
      <c r="Y769" s="4"/>
      <c r="Z769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69" s="4">
        <f>('TE BE'!$AB$13+'TE BF'!$AB$13+'TE CVA'!$AB$13)*(1-CUSTOS!$M$35)</f>
        <v>201.70530556101048</v>
      </c>
      <c r="AB769" s="4">
        <f>$K$769*$V$769</f>
        <v>0</v>
      </c>
      <c r="AC769" s="4">
        <f>$M$769*$W$769</f>
        <v>279764.36388000002</v>
      </c>
      <c r="AD769" s="4">
        <f>$O$769*$X$769</f>
        <v>279296.96471999999</v>
      </c>
      <c r="AE769" s="4">
        <f>$K$769*$Y$769</f>
        <v>0</v>
      </c>
      <c r="AF769" s="4">
        <f ca="1">$M$769*$Z$769</f>
        <v>352987.18322906666</v>
      </c>
      <c r="AG769" s="4">
        <f>$O$769*$AA$769</f>
        <v>349173.66809910972</v>
      </c>
    </row>
    <row r="770" spans="1:33" ht="11.25" customHeight="1" x14ac:dyDescent="0.25">
      <c r="A770" s="3" t="s">
        <v>27</v>
      </c>
      <c r="B770" s="3" t="s">
        <v>22</v>
      </c>
      <c r="C770" s="3" t="s">
        <v>23</v>
      </c>
      <c r="D770" s="3" t="s">
        <v>24</v>
      </c>
      <c r="E770" s="3" t="s">
        <v>30</v>
      </c>
      <c r="F770" s="3" t="s">
        <v>25</v>
      </c>
      <c r="G770" s="3" t="s">
        <v>25</v>
      </c>
      <c r="H770" s="3" t="s">
        <v>25</v>
      </c>
      <c r="I770" s="6">
        <v>44501</v>
      </c>
      <c r="J770" s="4">
        <v>0</v>
      </c>
      <c r="K770" s="4">
        <v>0</v>
      </c>
      <c r="L770" s="4">
        <v>-1.635</v>
      </c>
      <c r="M770" s="4">
        <v>-1.635</v>
      </c>
      <c r="N770" s="4">
        <v>-1.635</v>
      </c>
      <c r="O770" s="4">
        <v>-1.635</v>
      </c>
      <c r="P770" s="4">
        <v>-9</v>
      </c>
      <c r="Q770" s="3" t="s">
        <v>26</v>
      </c>
      <c r="R770" s="3">
        <v>0</v>
      </c>
      <c r="S770" s="4">
        <v>0</v>
      </c>
      <c r="T770" s="4">
        <v>39</v>
      </c>
      <c r="U770" s="4">
        <v>80</v>
      </c>
      <c r="V770" s="4">
        <f>IF(ISERROR(VLOOKUP($S$770,'TAR FIN'!$A$1:$O$92,15,0)),0,VLOOKUP($S$770,'TAR FIN'!$A$1:$O$92,15,0))</f>
        <v>0</v>
      </c>
      <c r="W770" s="4">
        <f>IF(ISERROR(VLOOKUP($T$770,'TAR FIN'!$A$1:$O$92,15,0)),0,VLOOKUP($T$770,'TAR FIN'!$A$1:$O$92,15,0))</f>
        <v>161.61000000000001</v>
      </c>
      <c r="X770" s="4">
        <f>IF(ISERROR(VLOOKUP($U$770,'TAR FIN'!$A$1:$O$92,15,0)),0,VLOOKUP($U$770,'TAR FIN'!$A$1:$O$92,15,0))</f>
        <v>161.34</v>
      </c>
      <c r="Y770" s="4"/>
      <c r="Z770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0" s="4">
        <f>('TE BE'!$AB$13+'TE BF'!$AB$13+'TE CVA'!$AB$13)*(1-CUSTOS!$M$35)</f>
        <v>201.70530556101048</v>
      </c>
      <c r="AB770" s="4">
        <f>$K$770*$V$770</f>
        <v>0</v>
      </c>
      <c r="AC770" s="4">
        <f>$M$770*$W$770</f>
        <v>-264.23235</v>
      </c>
      <c r="AD770" s="4">
        <f>$O$770*$X$770</f>
        <v>-263.79090000000002</v>
      </c>
      <c r="AE770" s="4">
        <f>$K$770*$Y$770</f>
        <v>0</v>
      </c>
      <c r="AF770" s="4">
        <f ca="1">$M$770*$Z$770</f>
        <v>-333.38997022688591</v>
      </c>
      <c r="AG770" s="4">
        <f>$O$770*$AA$770</f>
        <v>-329.78817459225212</v>
      </c>
    </row>
    <row r="771" spans="1:33" ht="11.25" customHeight="1" x14ac:dyDescent="0.25">
      <c r="A771" s="3" t="s">
        <v>21</v>
      </c>
      <c r="B771" s="3" t="s">
        <v>22</v>
      </c>
      <c r="C771" s="3" t="s">
        <v>23</v>
      </c>
      <c r="D771" s="3" t="s">
        <v>24</v>
      </c>
      <c r="E771" s="3" t="s">
        <v>30</v>
      </c>
      <c r="F771" s="3" t="s">
        <v>25</v>
      </c>
      <c r="G771" s="3" t="s">
        <v>25</v>
      </c>
      <c r="H771" s="3" t="s">
        <v>25</v>
      </c>
      <c r="I771" s="6">
        <v>44531</v>
      </c>
      <c r="J771" s="4">
        <v>0</v>
      </c>
      <c r="K771" s="4">
        <v>0</v>
      </c>
      <c r="L771" s="4">
        <v>1730.51</v>
      </c>
      <c r="M771" s="4">
        <v>1730.51</v>
      </c>
      <c r="N771" s="4">
        <v>1730.51</v>
      </c>
      <c r="O771" s="4">
        <v>1730.51</v>
      </c>
      <c r="P771" s="4">
        <v>4163</v>
      </c>
      <c r="Q771" s="3" t="s">
        <v>26</v>
      </c>
      <c r="R771" s="3">
        <v>0</v>
      </c>
      <c r="S771" s="4">
        <v>0</v>
      </c>
      <c r="T771" s="4">
        <v>39</v>
      </c>
      <c r="U771" s="4">
        <v>80</v>
      </c>
      <c r="V771" s="4">
        <f>IF(ISERROR(VLOOKUP($S$771,'TAR FIN'!$A$1:$O$92,15,0)),0,VLOOKUP($S$771,'TAR FIN'!$A$1:$O$92,15,0))</f>
        <v>0</v>
      </c>
      <c r="W771" s="4">
        <f>IF(ISERROR(VLOOKUP($T$771,'TAR FIN'!$A$1:$O$92,15,0)),0,VLOOKUP($T$771,'TAR FIN'!$A$1:$O$92,15,0))</f>
        <v>161.61000000000001</v>
      </c>
      <c r="X771" s="4">
        <f>IF(ISERROR(VLOOKUP($U$771,'TAR FIN'!$A$1:$O$92,15,0)),0,VLOOKUP($U$771,'TAR FIN'!$A$1:$O$92,15,0))</f>
        <v>161.34</v>
      </c>
      <c r="Y771" s="4"/>
      <c r="Z771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1" s="4">
        <f>('TE BE'!$AB$13+'TE BF'!$AB$13+'TE CVA'!$AB$13)*(1-CUSTOS!$M$35)</f>
        <v>201.70530556101048</v>
      </c>
      <c r="AB771" s="4">
        <f>$K$771*$V$771</f>
        <v>0</v>
      </c>
      <c r="AC771" s="4">
        <f>$M$771*$W$771</f>
        <v>279667.72110000002</v>
      </c>
      <c r="AD771" s="4">
        <f>$O$771*$X$771</f>
        <v>279200.48340000003</v>
      </c>
      <c r="AE771" s="4">
        <f>$K$771*$Y$771</f>
        <v>0</v>
      </c>
      <c r="AF771" s="4">
        <f ca="1">$M$771*$Z$771</f>
        <v>352865.24610234151</v>
      </c>
      <c r="AG771" s="4">
        <f>$O$771*$AA$771</f>
        <v>349053.04832638422</v>
      </c>
    </row>
    <row r="772" spans="1:33" ht="11.25" customHeight="1" x14ac:dyDescent="0.25">
      <c r="A772" s="3" t="s">
        <v>27</v>
      </c>
      <c r="B772" s="3" t="s">
        <v>22</v>
      </c>
      <c r="C772" s="3" t="s">
        <v>23</v>
      </c>
      <c r="D772" s="3" t="s">
        <v>24</v>
      </c>
      <c r="E772" s="3" t="s">
        <v>30</v>
      </c>
      <c r="F772" s="3" t="s">
        <v>25</v>
      </c>
      <c r="G772" s="3" t="s">
        <v>25</v>
      </c>
      <c r="H772" s="3" t="s">
        <v>25</v>
      </c>
      <c r="I772" s="6">
        <v>44531</v>
      </c>
      <c r="J772" s="4">
        <v>0</v>
      </c>
      <c r="K772" s="4">
        <v>0</v>
      </c>
      <c r="L772" s="4">
        <v>-0.10199999999999999</v>
      </c>
      <c r="M772" s="4">
        <v>-0.10199999999999999</v>
      </c>
      <c r="N772" s="4">
        <v>-0.10199999999999999</v>
      </c>
      <c r="O772" s="4">
        <v>-0.10199999999999999</v>
      </c>
      <c r="P772" s="4">
        <v>1</v>
      </c>
      <c r="Q772" s="3" t="s">
        <v>26</v>
      </c>
      <c r="R772" s="3">
        <v>0</v>
      </c>
      <c r="S772" s="4">
        <v>0</v>
      </c>
      <c r="T772" s="4">
        <v>39</v>
      </c>
      <c r="U772" s="4">
        <v>80</v>
      </c>
      <c r="V772" s="4">
        <f>IF(ISERROR(VLOOKUP($S$772,'TAR FIN'!$A$1:$O$92,15,0)),0,VLOOKUP($S$772,'TAR FIN'!$A$1:$O$92,15,0))</f>
        <v>0</v>
      </c>
      <c r="W772" s="4">
        <f>IF(ISERROR(VLOOKUP($T$772,'TAR FIN'!$A$1:$O$92,15,0)),0,VLOOKUP($T$772,'TAR FIN'!$A$1:$O$92,15,0))</f>
        <v>161.61000000000001</v>
      </c>
      <c r="X772" s="4">
        <f>IF(ISERROR(VLOOKUP($U$772,'TAR FIN'!$A$1:$O$92,15,0)),0,VLOOKUP($U$772,'TAR FIN'!$A$1:$O$92,15,0))</f>
        <v>161.34</v>
      </c>
      <c r="Y772" s="4"/>
      <c r="Z772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2" s="4">
        <f>('TE BE'!$AB$13+'TE BF'!$AB$13+'TE CVA'!$AB$13)*(1-CUSTOS!$M$35)</f>
        <v>201.70530556101048</v>
      </c>
      <c r="AB772" s="4">
        <f>$K$772*$V$772</f>
        <v>0</v>
      </c>
      <c r="AC772" s="4">
        <f>$M$772*$W$772</f>
        <v>-16.484220000000001</v>
      </c>
      <c r="AD772" s="4">
        <f>$O$772*$X$772</f>
        <v>-16.456679999999999</v>
      </c>
      <c r="AE772" s="4">
        <f>$K$772*$Y$772</f>
        <v>0</v>
      </c>
      <c r="AF772" s="4">
        <f ca="1">$M$772*$Z$772</f>
        <v>-20.798640344429579</v>
      </c>
      <c r="AG772" s="4">
        <f>$O$772*$AA$772</f>
        <v>-20.573941167223069</v>
      </c>
    </row>
    <row r="773" spans="1:33" ht="11.25" customHeight="1" x14ac:dyDescent="0.25">
      <c r="A773" s="3" t="s">
        <v>21</v>
      </c>
      <c r="B773" s="3" t="s">
        <v>22</v>
      </c>
      <c r="C773" s="3" t="s">
        <v>23</v>
      </c>
      <c r="D773" s="3" t="s">
        <v>24</v>
      </c>
      <c r="E773" s="3" t="s">
        <v>30</v>
      </c>
      <c r="F773" s="3" t="s">
        <v>25</v>
      </c>
      <c r="G773" s="3" t="s">
        <v>25</v>
      </c>
      <c r="H773" s="3" t="s">
        <v>25</v>
      </c>
      <c r="I773" s="6">
        <v>44562</v>
      </c>
      <c r="J773" s="4">
        <v>0</v>
      </c>
      <c r="K773" s="4">
        <v>0</v>
      </c>
      <c r="L773" s="4">
        <v>1734.8710000000001</v>
      </c>
      <c r="M773" s="4">
        <v>1734.8710000000001</v>
      </c>
      <c r="N773" s="4">
        <v>1734.8710000000001</v>
      </c>
      <c r="O773" s="4">
        <v>1734.8710000000001</v>
      </c>
      <c r="P773" s="4">
        <v>4783</v>
      </c>
      <c r="Q773" s="3" t="s">
        <v>26</v>
      </c>
      <c r="R773" s="3">
        <v>0</v>
      </c>
      <c r="S773" s="4">
        <v>0</v>
      </c>
      <c r="T773" s="4">
        <v>39</v>
      </c>
      <c r="U773" s="4">
        <v>80</v>
      </c>
      <c r="V773" s="4">
        <f>IF(ISERROR(VLOOKUP($S$773,'TAR FIN'!$A$1:$O$92,15,0)),0,VLOOKUP($S$773,'TAR FIN'!$A$1:$O$92,15,0))</f>
        <v>0</v>
      </c>
      <c r="W773" s="4">
        <f>IF(ISERROR(VLOOKUP($T$773,'TAR FIN'!$A$1:$O$92,15,0)),0,VLOOKUP($T$773,'TAR FIN'!$A$1:$O$92,15,0))</f>
        <v>161.61000000000001</v>
      </c>
      <c r="X773" s="4">
        <f>IF(ISERROR(VLOOKUP($U$773,'TAR FIN'!$A$1:$O$92,15,0)),0,VLOOKUP($U$773,'TAR FIN'!$A$1:$O$92,15,0))</f>
        <v>161.34</v>
      </c>
      <c r="Y773" s="4"/>
      <c r="Z773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3" s="4">
        <f>('TE BE'!$AB$13+'TE BF'!$AB$13+'TE CVA'!$AB$13)*(1-CUSTOS!$M$35)</f>
        <v>201.70530556101048</v>
      </c>
      <c r="AB773" s="4">
        <f>$K$773*$V$773</f>
        <v>0</v>
      </c>
      <c r="AC773" s="4">
        <f>$M$773*$W$773</f>
        <v>280372.50231000001</v>
      </c>
      <c r="AD773" s="4">
        <f>$O$773*$X$773</f>
        <v>279904.08714000002</v>
      </c>
      <c r="AE773" s="4">
        <f>$K$773*$Y$773</f>
        <v>0</v>
      </c>
      <c r="AF773" s="4">
        <f ca="1">$M$773*$Z$773</f>
        <v>353754.48993118521</v>
      </c>
      <c r="AG773" s="4">
        <f>$O$773*$AA$773</f>
        <v>349932.68516393582</v>
      </c>
    </row>
    <row r="774" spans="1:33" ht="11.25" customHeight="1" x14ac:dyDescent="0.25">
      <c r="A774" s="3" t="s">
        <v>27</v>
      </c>
      <c r="B774" s="3" t="s">
        <v>22</v>
      </c>
      <c r="C774" s="3" t="s">
        <v>23</v>
      </c>
      <c r="D774" s="3" t="s">
        <v>24</v>
      </c>
      <c r="E774" s="3" t="s">
        <v>30</v>
      </c>
      <c r="F774" s="3" t="s">
        <v>25</v>
      </c>
      <c r="G774" s="3" t="s">
        <v>25</v>
      </c>
      <c r="H774" s="3" t="s">
        <v>25</v>
      </c>
      <c r="I774" s="6">
        <v>44562</v>
      </c>
      <c r="J774" s="4">
        <v>0</v>
      </c>
      <c r="K774" s="4">
        <v>0</v>
      </c>
      <c r="L774" s="4">
        <v>8.5000000000000006E-2</v>
      </c>
      <c r="M774" s="4">
        <v>8.5000000000000006E-2</v>
      </c>
      <c r="N774" s="4">
        <v>8.5000000000000006E-2</v>
      </c>
      <c r="O774" s="4">
        <v>8.5000000000000006E-2</v>
      </c>
      <c r="P774" s="4">
        <v>2</v>
      </c>
      <c r="Q774" s="3" t="s">
        <v>26</v>
      </c>
      <c r="R774" s="3">
        <v>0</v>
      </c>
      <c r="S774" s="4">
        <v>0</v>
      </c>
      <c r="T774" s="4">
        <v>39</v>
      </c>
      <c r="U774" s="4">
        <v>80</v>
      </c>
      <c r="V774" s="4">
        <f>IF(ISERROR(VLOOKUP($S$774,'TAR FIN'!$A$1:$O$92,15,0)),0,VLOOKUP($S$774,'TAR FIN'!$A$1:$O$92,15,0))</f>
        <v>0</v>
      </c>
      <c r="W774" s="4">
        <f>IF(ISERROR(VLOOKUP($T$774,'TAR FIN'!$A$1:$O$92,15,0)),0,VLOOKUP($T$774,'TAR FIN'!$A$1:$O$92,15,0))</f>
        <v>161.61000000000001</v>
      </c>
      <c r="X774" s="4">
        <f>IF(ISERROR(VLOOKUP($U$774,'TAR FIN'!$A$1:$O$92,15,0)),0,VLOOKUP($U$774,'TAR FIN'!$A$1:$O$92,15,0))</f>
        <v>161.34</v>
      </c>
      <c r="Y774" s="4"/>
      <c r="Z774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4" s="4">
        <f>('TE BE'!$AB$13+'TE BF'!$AB$13+'TE CVA'!$AB$13)*(1-CUSTOS!$M$35)</f>
        <v>201.70530556101048</v>
      </c>
      <c r="AB774" s="4">
        <f>$K$774*$V$774</f>
        <v>0</v>
      </c>
      <c r="AC774" s="4">
        <f>$M$774*$W$774</f>
        <v>13.736850000000002</v>
      </c>
      <c r="AD774" s="4">
        <f>$O$774*$X$774</f>
        <v>13.713900000000001</v>
      </c>
      <c r="AE774" s="4">
        <f>$K$774*$Y$774</f>
        <v>0</v>
      </c>
      <c r="AF774" s="4">
        <f ca="1">$M$774*$Z$774</f>
        <v>17.332200287024651</v>
      </c>
      <c r="AG774" s="4">
        <f>$O$774*$AA$774</f>
        <v>17.144950972685891</v>
      </c>
    </row>
    <row r="775" spans="1:33" ht="11.25" customHeight="1" x14ac:dyDescent="0.25">
      <c r="A775" s="3" t="s">
        <v>21</v>
      </c>
      <c r="B775" s="3" t="s">
        <v>22</v>
      </c>
      <c r="C775" s="3" t="s">
        <v>23</v>
      </c>
      <c r="D775" s="3" t="s">
        <v>24</v>
      </c>
      <c r="E775" s="3" t="s">
        <v>30</v>
      </c>
      <c r="F775" s="3" t="s">
        <v>25</v>
      </c>
      <c r="G775" s="3" t="s">
        <v>25</v>
      </c>
      <c r="H775" s="3" t="s">
        <v>25</v>
      </c>
      <c r="I775" s="6">
        <v>44593</v>
      </c>
      <c r="J775" s="4">
        <v>0</v>
      </c>
      <c r="K775" s="4">
        <v>0</v>
      </c>
      <c r="L775" s="4">
        <v>1761.0409999999999</v>
      </c>
      <c r="M775" s="4">
        <v>1761.0409999999999</v>
      </c>
      <c r="N775" s="4">
        <v>1761.0409999999999</v>
      </c>
      <c r="O775" s="4">
        <v>1761.0409999999999</v>
      </c>
      <c r="P775" s="4">
        <v>4598</v>
      </c>
      <c r="Q775" s="3" t="s">
        <v>26</v>
      </c>
      <c r="R775" s="3">
        <v>0</v>
      </c>
      <c r="S775" s="4">
        <v>0</v>
      </c>
      <c r="T775" s="4">
        <v>39</v>
      </c>
      <c r="U775" s="4">
        <v>80</v>
      </c>
      <c r="V775" s="4">
        <f>IF(ISERROR(VLOOKUP($S$775,'TAR FIN'!$A$1:$O$92,15,0)),0,VLOOKUP($S$775,'TAR FIN'!$A$1:$O$92,15,0))</f>
        <v>0</v>
      </c>
      <c r="W775" s="4">
        <f>IF(ISERROR(VLOOKUP($T$775,'TAR FIN'!$A$1:$O$92,15,0)),0,VLOOKUP($T$775,'TAR FIN'!$A$1:$O$92,15,0))</f>
        <v>161.61000000000001</v>
      </c>
      <c r="X775" s="4">
        <f>IF(ISERROR(VLOOKUP($U$775,'TAR FIN'!$A$1:$O$92,15,0)),0,VLOOKUP($U$775,'TAR FIN'!$A$1:$O$92,15,0))</f>
        <v>161.34</v>
      </c>
      <c r="Y775" s="4"/>
      <c r="Z775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5" s="4">
        <f>('TE BE'!$AB$13+'TE BF'!$AB$13+'TE CVA'!$AB$13)*(1-CUSTOS!$M$35)</f>
        <v>201.70530556101048</v>
      </c>
      <c r="AB775" s="4">
        <f>$K$775*$V$775</f>
        <v>0</v>
      </c>
      <c r="AC775" s="4">
        <f>$M$775*$W$775</f>
        <v>284601.83601000003</v>
      </c>
      <c r="AD775" s="4">
        <f>$O$775*$X$775</f>
        <v>284126.35493999999</v>
      </c>
      <c r="AE775" s="4">
        <f>$K$775*$Y$775</f>
        <v>0</v>
      </c>
      <c r="AF775" s="4">
        <f ca="1">$M$775*$Z$775</f>
        <v>359090.76853720204</v>
      </c>
      <c r="AG775" s="4">
        <f>$O$775*$AA$775</f>
        <v>355211.31301046745</v>
      </c>
    </row>
    <row r="776" spans="1:33" ht="11.25" customHeight="1" x14ac:dyDescent="0.25">
      <c r="A776" s="3" t="s">
        <v>27</v>
      </c>
      <c r="B776" s="3" t="s">
        <v>22</v>
      </c>
      <c r="C776" s="3" t="s">
        <v>23</v>
      </c>
      <c r="D776" s="3" t="s">
        <v>24</v>
      </c>
      <c r="E776" s="3" t="s">
        <v>30</v>
      </c>
      <c r="F776" s="3" t="s">
        <v>25</v>
      </c>
      <c r="G776" s="3" t="s">
        <v>25</v>
      </c>
      <c r="H776" s="3" t="s">
        <v>25</v>
      </c>
      <c r="I776" s="6">
        <v>44593</v>
      </c>
      <c r="J776" s="4">
        <v>0</v>
      </c>
      <c r="K776" s="4">
        <v>0</v>
      </c>
      <c r="L776" s="4">
        <v>-0.42799999999999999</v>
      </c>
      <c r="M776" s="4">
        <v>-0.42799999999999999</v>
      </c>
      <c r="N776" s="4">
        <v>-0.42799999999999999</v>
      </c>
      <c r="O776" s="4">
        <v>-0.42799999999999999</v>
      </c>
      <c r="P776" s="4">
        <v>4</v>
      </c>
      <c r="Q776" s="3" t="s">
        <v>26</v>
      </c>
      <c r="R776" s="3">
        <v>0</v>
      </c>
      <c r="S776" s="4">
        <v>0</v>
      </c>
      <c r="T776" s="4">
        <v>39</v>
      </c>
      <c r="U776" s="4">
        <v>80</v>
      </c>
      <c r="V776" s="4">
        <f>IF(ISERROR(VLOOKUP($S$776,'TAR FIN'!$A$1:$O$92,15,0)),0,VLOOKUP($S$776,'TAR FIN'!$A$1:$O$92,15,0))</f>
        <v>0</v>
      </c>
      <c r="W776" s="4">
        <f>IF(ISERROR(VLOOKUP($T$776,'TAR FIN'!$A$1:$O$92,15,0)),0,VLOOKUP($T$776,'TAR FIN'!$A$1:$O$92,15,0))</f>
        <v>161.61000000000001</v>
      </c>
      <c r="X776" s="4">
        <f>IF(ISERROR(VLOOKUP($U$776,'TAR FIN'!$A$1:$O$92,15,0)),0,VLOOKUP($U$776,'TAR FIN'!$A$1:$O$92,15,0))</f>
        <v>161.34</v>
      </c>
      <c r="Y776" s="4"/>
      <c r="Z776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6" s="4">
        <f>('TE BE'!$AB$13+'TE BF'!$AB$13+'TE CVA'!$AB$13)*(1-CUSTOS!$M$35)</f>
        <v>201.70530556101048</v>
      </c>
      <c r="AB776" s="4">
        <f>$K$776*$V$776</f>
        <v>0</v>
      </c>
      <c r="AC776" s="4">
        <f>$M$776*$W$776</f>
        <v>-69.169080000000008</v>
      </c>
      <c r="AD776" s="4">
        <f>$O$776*$X$776</f>
        <v>-69.053520000000006</v>
      </c>
      <c r="AE776" s="4">
        <f>$K$776*$Y$776</f>
        <v>0</v>
      </c>
      <c r="AF776" s="4">
        <f ca="1">$M$776*$Z$776</f>
        <v>-87.272726151135885</v>
      </c>
      <c r="AG776" s="4">
        <f>$O$776*$AA$776</f>
        <v>-86.329870780112486</v>
      </c>
    </row>
    <row r="777" spans="1:33" ht="11.25" customHeight="1" x14ac:dyDescent="0.25">
      <c r="A777" s="3" t="s">
        <v>21</v>
      </c>
      <c r="B777" s="3" t="s">
        <v>22</v>
      </c>
      <c r="C777" s="3" t="s">
        <v>23</v>
      </c>
      <c r="D777" s="3" t="s">
        <v>24</v>
      </c>
      <c r="E777" s="3" t="s">
        <v>30</v>
      </c>
      <c r="F777" s="3" t="s">
        <v>25</v>
      </c>
      <c r="G777" s="3" t="s">
        <v>25</v>
      </c>
      <c r="H777" s="3" t="s">
        <v>25</v>
      </c>
      <c r="I777" s="6">
        <v>44621</v>
      </c>
      <c r="J777" s="4">
        <v>0</v>
      </c>
      <c r="K777" s="4">
        <v>0</v>
      </c>
      <c r="L777" s="4">
        <v>1807.567</v>
      </c>
      <c r="M777" s="4">
        <v>1807.567</v>
      </c>
      <c r="N777" s="4">
        <v>1807.567</v>
      </c>
      <c r="O777" s="4">
        <v>1807.567</v>
      </c>
      <c r="P777" s="4">
        <v>4461</v>
      </c>
      <c r="Q777" s="3" t="s">
        <v>26</v>
      </c>
      <c r="R777" s="3">
        <v>0</v>
      </c>
      <c r="S777" s="4">
        <v>0</v>
      </c>
      <c r="T777" s="4">
        <v>39</v>
      </c>
      <c r="U777" s="4">
        <v>80</v>
      </c>
      <c r="V777" s="4">
        <f>IF(ISERROR(VLOOKUP($S$777,'TAR FIN'!$A$1:$O$92,15,0)),0,VLOOKUP($S$777,'TAR FIN'!$A$1:$O$92,15,0))</f>
        <v>0</v>
      </c>
      <c r="W777" s="4">
        <f>IF(ISERROR(VLOOKUP($T$777,'TAR FIN'!$A$1:$O$92,15,0)),0,VLOOKUP($T$777,'TAR FIN'!$A$1:$O$92,15,0))</f>
        <v>161.61000000000001</v>
      </c>
      <c r="X777" s="4">
        <f>IF(ISERROR(VLOOKUP($U$777,'TAR FIN'!$A$1:$O$92,15,0)),0,VLOOKUP($U$777,'TAR FIN'!$A$1:$O$92,15,0))</f>
        <v>161.34</v>
      </c>
      <c r="Y777" s="4"/>
      <c r="Z777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7" s="4">
        <f>('TE BE'!$AB$13+'TE BF'!$AB$13+'TE CVA'!$AB$13)*(1-CUSTOS!$M$35)</f>
        <v>201.70530556101048</v>
      </c>
      <c r="AB777" s="4">
        <f>$K$777*$V$777</f>
        <v>0</v>
      </c>
      <c r="AC777" s="4">
        <f>$M$777*$W$777</f>
        <v>292120.90287000005</v>
      </c>
      <c r="AD777" s="4">
        <f>$O$777*$X$777</f>
        <v>291632.85978</v>
      </c>
      <c r="AE777" s="4">
        <f>$K$777*$Y$777</f>
        <v>0</v>
      </c>
      <c r="AF777" s="4">
        <f ca="1">$M$777*$Z$777</f>
        <v>368577.80324960337</v>
      </c>
      <c r="AG777" s="4">
        <f>$O$777*$AA$777</f>
        <v>364595.85405699903</v>
      </c>
    </row>
    <row r="778" spans="1:33" ht="11.25" customHeight="1" x14ac:dyDescent="0.25">
      <c r="A778" s="3" t="s">
        <v>27</v>
      </c>
      <c r="B778" s="3" t="s">
        <v>22</v>
      </c>
      <c r="C778" s="3" t="s">
        <v>23</v>
      </c>
      <c r="D778" s="3" t="s">
        <v>24</v>
      </c>
      <c r="E778" s="3" t="s">
        <v>30</v>
      </c>
      <c r="F778" s="3" t="s">
        <v>25</v>
      </c>
      <c r="G778" s="3" t="s">
        <v>25</v>
      </c>
      <c r="H778" s="3" t="s">
        <v>25</v>
      </c>
      <c r="I778" s="6">
        <v>44621</v>
      </c>
      <c r="J778" s="4">
        <v>0</v>
      </c>
      <c r="K778" s="4">
        <v>0</v>
      </c>
      <c r="L778" s="4">
        <v>0.02</v>
      </c>
      <c r="M778" s="4">
        <v>0.02</v>
      </c>
      <c r="N778" s="4">
        <v>0.02</v>
      </c>
      <c r="O778" s="4">
        <v>0.02</v>
      </c>
      <c r="P778" s="4">
        <v>1</v>
      </c>
      <c r="Q778" s="3" t="s">
        <v>26</v>
      </c>
      <c r="R778" s="3">
        <v>0</v>
      </c>
      <c r="S778" s="4">
        <v>0</v>
      </c>
      <c r="T778" s="4">
        <v>39</v>
      </c>
      <c r="U778" s="4">
        <v>80</v>
      </c>
      <c r="V778" s="4">
        <f>IF(ISERROR(VLOOKUP($S$778,'TAR FIN'!$A$1:$O$92,15,0)),0,VLOOKUP($S$778,'TAR FIN'!$A$1:$O$92,15,0))</f>
        <v>0</v>
      </c>
      <c r="W778" s="4">
        <f>IF(ISERROR(VLOOKUP($T$778,'TAR FIN'!$A$1:$O$92,15,0)),0,VLOOKUP($T$778,'TAR FIN'!$A$1:$O$92,15,0))</f>
        <v>161.61000000000001</v>
      </c>
      <c r="X778" s="4">
        <f>IF(ISERROR(VLOOKUP($U$778,'TAR FIN'!$A$1:$O$92,15,0)),0,VLOOKUP($U$778,'TAR FIN'!$A$1:$O$92,15,0))</f>
        <v>161.34</v>
      </c>
      <c r="Y778" s="4"/>
      <c r="Z778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8" s="4">
        <f>('TE BE'!$AB$13+'TE BF'!$AB$13+'TE CVA'!$AB$13)*(1-CUSTOS!$M$35)</f>
        <v>201.70530556101048</v>
      </c>
      <c r="AB778" s="4">
        <f>$K$778*$V$778</f>
        <v>0</v>
      </c>
      <c r="AC778" s="4">
        <f>$M$778*$W$778</f>
        <v>3.2322000000000002</v>
      </c>
      <c r="AD778" s="4">
        <f>$O$778*$X$778</f>
        <v>3.2268000000000003</v>
      </c>
      <c r="AE778" s="4">
        <f>$K$778*$Y$778</f>
        <v>0</v>
      </c>
      <c r="AF778" s="4">
        <f ca="1">$M$778*$Z$778</f>
        <v>4.0781647734175648</v>
      </c>
      <c r="AG778" s="4">
        <f>$O$778*$AA$778</f>
        <v>4.0341061112202095</v>
      </c>
    </row>
    <row r="779" spans="1:33" ht="11.25" customHeight="1" x14ac:dyDescent="0.25">
      <c r="A779" s="3" t="s">
        <v>21</v>
      </c>
      <c r="B779" s="3" t="s">
        <v>22</v>
      </c>
      <c r="C779" s="3" t="s">
        <v>23</v>
      </c>
      <c r="D779" s="3" t="s">
        <v>24</v>
      </c>
      <c r="E779" s="3" t="s">
        <v>30</v>
      </c>
      <c r="F779" s="3" t="s">
        <v>25</v>
      </c>
      <c r="G779" s="3" t="s">
        <v>25</v>
      </c>
      <c r="H779" s="3" t="s">
        <v>25</v>
      </c>
      <c r="I779" s="6">
        <v>44652</v>
      </c>
      <c r="J779" s="4">
        <v>0</v>
      </c>
      <c r="K779" s="4">
        <v>0</v>
      </c>
      <c r="L779" s="4">
        <v>1807.567</v>
      </c>
      <c r="M779" s="4">
        <v>1807.567</v>
      </c>
      <c r="N779" s="4">
        <v>1807.567</v>
      </c>
      <c r="O779" s="4">
        <v>1807.567</v>
      </c>
      <c r="P779" s="4">
        <v>4461</v>
      </c>
      <c r="Q779" s="3" t="s">
        <v>26</v>
      </c>
      <c r="R779" s="3">
        <v>0</v>
      </c>
      <c r="S779" s="4">
        <v>0</v>
      </c>
      <c r="T779" s="4">
        <v>39</v>
      </c>
      <c r="U779" s="4">
        <v>80</v>
      </c>
      <c r="V779" s="4">
        <f>IF(ISERROR(VLOOKUP($S$779,'TAR FIN'!$A$1:$O$92,15,0)),0,VLOOKUP($S$779,'TAR FIN'!$A$1:$O$92,15,0))</f>
        <v>0</v>
      </c>
      <c r="W779" s="4">
        <f>IF(ISERROR(VLOOKUP($T$779,'TAR FIN'!$A$1:$O$92,15,0)),0,VLOOKUP($T$779,'TAR FIN'!$A$1:$O$92,15,0))</f>
        <v>161.61000000000001</v>
      </c>
      <c r="X779" s="4">
        <f>IF(ISERROR(VLOOKUP($U$779,'TAR FIN'!$A$1:$O$92,15,0)),0,VLOOKUP($U$779,'TAR FIN'!$A$1:$O$92,15,0))</f>
        <v>161.34</v>
      </c>
      <c r="Y779" s="4"/>
      <c r="Z779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79" s="4">
        <f>('TE BE'!$AB$13+'TE BF'!$AB$13+'TE CVA'!$AB$13)*(1-CUSTOS!$M$35)</f>
        <v>201.70530556101048</v>
      </c>
      <c r="AB779" s="4">
        <f>$K$779*$V$779</f>
        <v>0</v>
      </c>
      <c r="AC779" s="4">
        <f>$M$779*$W$779</f>
        <v>292120.90287000005</v>
      </c>
      <c r="AD779" s="4">
        <f>$O$779*$X$779</f>
        <v>291632.85978</v>
      </c>
      <c r="AE779" s="4">
        <f>$K$779*$Y$779</f>
        <v>0</v>
      </c>
      <c r="AF779" s="4">
        <f ca="1">$M$779*$Z$779</f>
        <v>368577.80324960337</v>
      </c>
      <c r="AG779" s="4">
        <f>$O$779*$AA$779</f>
        <v>364595.85405699903</v>
      </c>
    </row>
    <row r="780" spans="1:33" ht="11.25" customHeight="1" x14ac:dyDescent="0.25">
      <c r="A780" s="3" t="s">
        <v>27</v>
      </c>
      <c r="B780" s="3" t="s">
        <v>22</v>
      </c>
      <c r="C780" s="3" t="s">
        <v>23</v>
      </c>
      <c r="D780" s="3" t="s">
        <v>24</v>
      </c>
      <c r="E780" s="3" t="s">
        <v>30</v>
      </c>
      <c r="F780" s="3" t="s">
        <v>25</v>
      </c>
      <c r="G780" s="3" t="s">
        <v>25</v>
      </c>
      <c r="H780" s="3" t="s">
        <v>25</v>
      </c>
      <c r="I780" s="6">
        <v>44652</v>
      </c>
      <c r="J780" s="4">
        <v>0</v>
      </c>
      <c r="K780" s="4">
        <v>0</v>
      </c>
      <c r="L780" s="4">
        <v>0.02</v>
      </c>
      <c r="M780" s="4">
        <v>0.02</v>
      </c>
      <c r="N780" s="4">
        <v>0.02</v>
      </c>
      <c r="O780" s="4">
        <v>0.02</v>
      </c>
      <c r="P780" s="4">
        <v>1</v>
      </c>
      <c r="Q780" s="3" t="s">
        <v>26</v>
      </c>
      <c r="R780" s="3">
        <v>0</v>
      </c>
      <c r="S780" s="4">
        <v>0</v>
      </c>
      <c r="T780" s="4">
        <v>39</v>
      </c>
      <c r="U780" s="4">
        <v>80</v>
      </c>
      <c r="V780" s="4">
        <f>IF(ISERROR(VLOOKUP($S$780,'TAR FIN'!$A$1:$O$92,15,0)),0,VLOOKUP($S$780,'TAR FIN'!$A$1:$O$92,15,0))</f>
        <v>0</v>
      </c>
      <c r="W780" s="4">
        <f>IF(ISERROR(VLOOKUP($T$780,'TAR FIN'!$A$1:$O$92,15,0)),0,VLOOKUP($T$780,'TAR FIN'!$A$1:$O$92,15,0))</f>
        <v>161.61000000000001</v>
      </c>
      <c r="X780" s="4">
        <f>IF(ISERROR(VLOOKUP($U$780,'TAR FIN'!$A$1:$O$92,15,0)),0,VLOOKUP($U$780,'TAR FIN'!$A$1:$O$92,15,0))</f>
        <v>161.34</v>
      </c>
      <c r="Y780" s="4"/>
      <c r="Z780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0" s="4">
        <f>('TE BE'!$AB$13+'TE BF'!$AB$13+'TE CVA'!$AB$13)*(1-CUSTOS!$M$35)</f>
        <v>201.70530556101048</v>
      </c>
      <c r="AB780" s="4">
        <f>$K$780*$V$780</f>
        <v>0</v>
      </c>
      <c r="AC780" s="4">
        <f>$M$780*$W$780</f>
        <v>3.2322000000000002</v>
      </c>
      <c r="AD780" s="4">
        <f>$O$780*$X$780</f>
        <v>3.2268000000000003</v>
      </c>
      <c r="AE780" s="4">
        <f>$K$780*$Y$780</f>
        <v>0</v>
      </c>
      <c r="AF780" s="4">
        <f ca="1">$M$780*$Z$780</f>
        <v>4.0781647734175648</v>
      </c>
      <c r="AG780" s="4">
        <f>$O$780*$AA$780</f>
        <v>4.0341061112202095</v>
      </c>
    </row>
    <row r="781" spans="1:33" ht="11.25" customHeight="1" x14ac:dyDescent="0.25">
      <c r="A781" s="3" t="s">
        <v>21</v>
      </c>
      <c r="B781" s="3" t="s">
        <v>22</v>
      </c>
      <c r="C781" s="3" t="s">
        <v>23</v>
      </c>
      <c r="D781" s="3" t="s">
        <v>24</v>
      </c>
      <c r="E781" s="3" t="s">
        <v>30</v>
      </c>
      <c r="F781" s="3" t="s">
        <v>25</v>
      </c>
      <c r="G781" s="3" t="s">
        <v>25</v>
      </c>
      <c r="H781" s="3" t="s">
        <v>25</v>
      </c>
      <c r="I781" s="6">
        <v>44682</v>
      </c>
      <c r="J781" s="4">
        <v>0</v>
      </c>
      <c r="K781" s="4">
        <v>0</v>
      </c>
      <c r="L781" s="4">
        <v>1802.001</v>
      </c>
      <c r="M781" s="4">
        <v>1802.001</v>
      </c>
      <c r="N781" s="4">
        <v>1802.001</v>
      </c>
      <c r="O781" s="4">
        <v>1802.001</v>
      </c>
      <c r="P781" s="4">
        <v>4835</v>
      </c>
      <c r="Q781" s="3" t="s">
        <v>26</v>
      </c>
      <c r="R781" s="3">
        <v>0</v>
      </c>
      <c r="S781" s="4">
        <v>0</v>
      </c>
      <c r="T781" s="4">
        <v>39</v>
      </c>
      <c r="U781" s="4">
        <v>80</v>
      </c>
      <c r="V781" s="4">
        <f>IF(ISERROR(VLOOKUP($S$781,'TAR FIN'!$A$1:$O$92,15,0)),0,VLOOKUP($S$781,'TAR FIN'!$A$1:$O$92,15,0))</f>
        <v>0</v>
      </c>
      <c r="W781" s="4">
        <f>IF(ISERROR(VLOOKUP($T$781,'TAR FIN'!$A$1:$O$92,15,0)),0,VLOOKUP($T$781,'TAR FIN'!$A$1:$O$92,15,0))</f>
        <v>161.61000000000001</v>
      </c>
      <c r="X781" s="4">
        <f>IF(ISERROR(VLOOKUP($U$781,'TAR FIN'!$A$1:$O$92,15,0)),0,VLOOKUP($U$781,'TAR FIN'!$A$1:$O$92,15,0))</f>
        <v>161.34</v>
      </c>
      <c r="Y781" s="4"/>
      <c r="Z781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1" s="4">
        <f>('TE BE'!$AB$13+'TE BF'!$AB$13+'TE CVA'!$AB$13)*(1-CUSTOS!$M$35)</f>
        <v>201.70530556101048</v>
      </c>
      <c r="AB781" s="4">
        <f>$K$781*$V$781</f>
        <v>0</v>
      </c>
      <c r="AC781" s="4">
        <f>$M$781*$W$781</f>
        <v>291221.38161000004</v>
      </c>
      <c r="AD781" s="4">
        <f>$O$781*$X$781</f>
        <v>290734.84133999998</v>
      </c>
      <c r="AE781" s="4">
        <f>$K$781*$Y$781</f>
        <v>0</v>
      </c>
      <c r="AF781" s="4">
        <f ca="1">$M$781*$Z$781</f>
        <v>367442.84999316122</v>
      </c>
      <c r="AG781" s="4">
        <f>$O$781*$AA$781</f>
        <v>363473.16232624644</v>
      </c>
    </row>
    <row r="782" spans="1:33" ht="11.25" customHeight="1" x14ac:dyDescent="0.25">
      <c r="A782" s="3" t="s">
        <v>27</v>
      </c>
      <c r="B782" s="3" t="s">
        <v>22</v>
      </c>
      <c r="C782" s="3" t="s">
        <v>23</v>
      </c>
      <c r="D782" s="3" t="s">
        <v>24</v>
      </c>
      <c r="E782" s="3" t="s">
        <v>30</v>
      </c>
      <c r="F782" s="3" t="s">
        <v>25</v>
      </c>
      <c r="G782" s="3" t="s">
        <v>25</v>
      </c>
      <c r="H782" s="3" t="s">
        <v>25</v>
      </c>
      <c r="I782" s="6">
        <v>44682</v>
      </c>
      <c r="J782" s="4">
        <v>0</v>
      </c>
      <c r="K782" s="4">
        <v>0</v>
      </c>
      <c r="L782" s="4">
        <v>0.14399999999999999</v>
      </c>
      <c r="M782" s="4">
        <v>0.14399999999999999</v>
      </c>
      <c r="N782" s="4">
        <v>0.14399999999999999</v>
      </c>
      <c r="O782" s="4">
        <v>0.14399999999999999</v>
      </c>
      <c r="P782" s="4">
        <v>16</v>
      </c>
      <c r="Q782" s="3" t="s">
        <v>26</v>
      </c>
      <c r="R782" s="3">
        <v>0</v>
      </c>
      <c r="S782" s="4">
        <v>0</v>
      </c>
      <c r="T782" s="4">
        <v>39</v>
      </c>
      <c r="U782" s="4">
        <v>80</v>
      </c>
      <c r="V782" s="4">
        <f>IF(ISERROR(VLOOKUP($S$782,'TAR FIN'!$A$1:$O$92,15,0)),0,VLOOKUP($S$782,'TAR FIN'!$A$1:$O$92,15,0))</f>
        <v>0</v>
      </c>
      <c r="W782" s="4">
        <f>IF(ISERROR(VLOOKUP($T$782,'TAR FIN'!$A$1:$O$92,15,0)),0,VLOOKUP($T$782,'TAR FIN'!$A$1:$O$92,15,0))</f>
        <v>161.61000000000001</v>
      </c>
      <c r="X782" s="4">
        <f>IF(ISERROR(VLOOKUP($U$782,'TAR FIN'!$A$1:$O$92,15,0)),0,VLOOKUP($U$782,'TAR FIN'!$A$1:$O$92,15,0))</f>
        <v>161.34</v>
      </c>
      <c r="Y782" s="4"/>
      <c r="Z782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2" s="4">
        <f>('TE BE'!$AB$13+'TE BF'!$AB$13+'TE CVA'!$AB$13)*(1-CUSTOS!$M$35)</f>
        <v>201.70530556101048</v>
      </c>
      <c r="AB782" s="4">
        <f>$K$782*$V$782</f>
        <v>0</v>
      </c>
      <c r="AC782" s="4">
        <f>$M$782*$W$782</f>
        <v>23.271840000000001</v>
      </c>
      <c r="AD782" s="4">
        <f>$O$782*$X$782</f>
        <v>23.232959999999999</v>
      </c>
      <c r="AE782" s="4">
        <f>$K$782*$Y$782</f>
        <v>0</v>
      </c>
      <c r="AF782" s="4">
        <f ca="1">$M$782*$Z$782</f>
        <v>29.362786368606464</v>
      </c>
      <c r="AG782" s="4">
        <f>$O$782*$AA$782</f>
        <v>29.045564000785507</v>
      </c>
    </row>
    <row r="783" spans="1:33" ht="11.25" customHeight="1" x14ac:dyDescent="0.25">
      <c r="A783" s="3" t="s">
        <v>21</v>
      </c>
      <c r="B783" s="3" t="s">
        <v>22</v>
      </c>
      <c r="C783" s="3" t="s">
        <v>23</v>
      </c>
      <c r="D783" s="3" t="s">
        <v>24</v>
      </c>
      <c r="E783" s="3" t="s">
        <v>30</v>
      </c>
      <c r="F783" s="3" t="s">
        <v>25</v>
      </c>
      <c r="G783" s="3" t="s">
        <v>25</v>
      </c>
      <c r="H783" s="3" t="s">
        <v>25</v>
      </c>
      <c r="I783" s="6">
        <v>44713</v>
      </c>
      <c r="J783" s="4">
        <v>0</v>
      </c>
      <c r="K783" s="4">
        <v>0</v>
      </c>
      <c r="L783" s="4">
        <v>1820.7850000000001</v>
      </c>
      <c r="M783" s="4">
        <v>1820.7850000000001</v>
      </c>
      <c r="N783" s="4">
        <v>1820.7850000000001</v>
      </c>
      <c r="O783" s="4">
        <v>1820.7850000000001</v>
      </c>
      <c r="P783" s="4">
        <v>5009</v>
      </c>
      <c r="Q783" s="3" t="s">
        <v>26</v>
      </c>
      <c r="R783" s="3">
        <v>0</v>
      </c>
      <c r="S783" s="4">
        <v>0</v>
      </c>
      <c r="T783" s="4">
        <v>39</v>
      </c>
      <c r="U783" s="4">
        <v>80</v>
      </c>
      <c r="V783" s="4">
        <f>IF(ISERROR(VLOOKUP($S$783,'TAR FIN'!$A$1:$O$92,15,0)),0,VLOOKUP($S$783,'TAR FIN'!$A$1:$O$92,15,0))</f>
        <v>0</v>
      </c>
      <c r="W783" s="4">
        <f>IF(ISERROR(VLOOKUP($T$783,'TAR FIN'!$A$1:$O$92,15,0)),0,VLOOKUP($T$783,'TAR FIN'!$A$1:$O$92,15,0))</f>
        <v>161.61000000000001</v>
      </c>
      <c r="X783" s="4">
        <f>IF(ISERROR(VLOOKUP($U$783,'TAR FIN'!$A$1:$O$92,15,0)),0,VLOOKUP($U$783,'TAR FIN'!$A$1:$O$92,15,0))</f>
        <v>161.34</v>
      </c>
      <c r="Y783" s="4"/>
      <c r="Z783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3" s="4">
        <f>('TE BE'!$AB$13+'TE BF'!$AB$13+'TE CVA'!$AB$13)*(1-CUSTOS!$M$35)</f>
        <v>201.70530556101048</v>
      </c>
      <c r="AB783" s="4">
        <f>$K$783*$V$783</f>
        <v>0</v>
      </c>
      <c r="AC783" s="4">
        <f>$M$783*$W$783</f>
        <v>294257.06385000004</v>
      </c>
      <c r="AD783" s="4">
        <f>$O$783*$X$783</f>
        <v>293765.45190000004</v>
      </c>
      <c r="AE783" s="4">
        <f>$K$783*$Y$783</f>
        <v>0</v>
      </c>
      <c r="AF783" s="4">
        <f ca="1">$M$783*$Z$783</f>
        <v>371273.06234835502</v>
      </c>
      <c r="AG783" s="4">
        <f>$O$783*$AA$783</f>
        <v>367261.99478590448</v>
      </c>
    </row>
    <row r="784" spans="1:33" ht="11.25" customHeight="1" x14ac:dyDescent="0.25">
      <c r="A784" s="3" t="s">
        <v>27</v>
      </c>
      <c r="B784" s="3" t="s">
        <v>22</v>
      </c>
      <c r="C784" s="3" t="s">
        <v>23</v>
      </c>
      <c r="D784" s="3" t="s">
        <v>24</v>
      </c>
      <c r="E784" s="3" t="s">
        <v>30</v>
      </c>
      <c r="F784" s="3" t="s">
        <v>25</v>
      </c>
      <c r="G784" s="3" t="s">
        <v>25</v>
      </c>
      <c r="H784" s="3" t="s">
        <v>25</v>
      </c>
      <c r="I784" s="6">
        <v>44713</v>
      </c>
      <c r="J784" s="4">
        <v>0</v>
      </c>
      <c r="K784" s="4">
        <v>0</v>
      </c>
      <c r="L784" s="4">
        <v>-0.25900000000000001</v>
      </c>
      <c r="M784" s="4">
        <v>-0.25900000000000001</v>
      </c>
      <c r="N784" s="4">
        <v>-0.25900000000000001</v>
      </c>
      <c r="O784" s="4">
        <v>-0.25900000000000001</v>
      </c>
      <c r="P784" s="4">
        <v>2</v>
      </c>
      <c r="Q784" s="3" t="s">
        <v>26</v>
      </c>
      <c r="R784" s="3">
        <v>0</v>
      </c>
      <c r="S784" s="4">
        <v>0</v>
      </c>
      <c r="T784" s="4">
        <v>39</v>
      </c>
      <c r="U784" s="4">
        <v>80</v>
      </c>
      <c r="V784" s="4">
        <f>IF(ISERROR(VLOOKUP($S$784,'TAR FIN'!$A$1:$O$92,15,0)),0,VLOOKUP($S$784,'TAR FIN'!$A$1:$O$92,15,0))</f>
        <v>0</v>
      </c>
      <c r="W784" s="4">
        <f>IF(ISERROR(VLOOKUP($T$784,'TAR FIN'!$A$1:$O$92,15,0)),0,VLOOKUP($T$784,'TAR FIN'!$A$1:$O$92,15,0))</f>
        <v>161.61000000000001</v>
      </c>
      <c r="X784" s="4">
        <f>IF(ISERROR(VLOOKUP($U$784,'TAR FIN'!$A$1:$O$92,15,0)),0,VLOOKUP($U$784,'TAR FIN'!$A$1:$O$92,15,0))</f>
        <v>161.34</v>
      </c>
      <c r="Y784" s="4"/>
      <c r="Z784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4" s="4">
        <f>('TE BE'!$AB$13+'TE BF'!$AB$13+'TE CVA'!$AB$13)*(1-CUSTOS!$M$35)</f>
        <v>201.70530556101048</v>
      </c>
      <c r="AB784" s="4">
        <f>$K$784*$V$784</f>
        <v>0</v>
      </c>
      <c r="AC784" s="4">
        <f>$M$784*$W$784</f>
        <v>-41.856990000000003</v>
      </c>
      <c r="AD784" s="4">
        <f>$O$784*$X$784</f>
        <v>-41.787060000000004</v>
      </c>
      <c r="AE784" s="4">
        <f>$K$784*$Y$784</f>
        <v>0</v>
      </c>
      <c r="AF784" s="4">
        <f ca="1">$M$784*$Z$784</f>
        <v>-52.812233815757466</v>
      </c>
      <c r="AG784" s="4">
        <f>$O$784*$AA$784</f>
        <v>-52.241674140301718</v>
      </c>
    </row>
    <row r="785" spans="1:33" ht="11.25" customHeight="1" x14ac:dyDescent="0.25">
      <c r="A785" s="3" t="s">
        <v>21</v>
      </c>
      <c r="B785" s="3" t="s">
        <v>22</v>
      </c>
      <c r="C785" s="3" t="s">
        <v>23</v>
      </c>
      <c r="D785" s="3" t="s">
        <v>24</v>
      </c>
      <c r="E785" s="3" t="s">
        <v>30</v>
      </c>
      <c r="F785" s="3" t="s">
        <v>25</v>
      </c>
      <c r="G785" s="3" t="s">
        <v>25</v>
      </c>
      <c r="H785" s="3" t="s">
        <v>25</v>
      </c>
      <c r="I785" s="6">
        <v>44743</v>
      </c>
      <c r="J785" s="4">
        <v>0</v>
      </c>
      <c r="K785" s="4">
        <v>0</v>
      </c>
      <c r="L785" s="4">
        <v>1813.701</v>
      </c>
      <c r="M785" s="4">
        <v>1813.701</v>
      </c>
      <c r="N785" s="4">
        <v>1813.701</v>
      </c>
      <c r="O785" s="4">
        <v>1813.701</v>
      </c>
      <c r="P785" s="4">
        <v>5311</v>
      </c>
      <c r="Q785" s="3" t="s">
        <v>26</v>
      </c>
      <c r="R785" s="3">
        <v>0</v>
      </c>
      <c r="S785" s="4">
        <v>0</v>
      </c>
      <c r="T785" s="4">
        <v>39</v>
      </c>
      <c r="U785" s="4">
        <v>80</v>
      </c>
      <c r="V785" s="4">
        <f>IF(ISERROR(VLOOKUP($S$785,'TAR FIN'!$A$1:$O$92,15,0)),0,VLOOKUP($S$785,'TAR FIN'!$A$1:$O$92,15,0))</f>
        <v>0</v>
      </c>
      <c r="W785" s="4">
        <f>IF(ISERROR(VLOOKUP($T$785,'TAR FIN'!$A$1:$O$92,15,0)),0,VLOOKUP($T$785,'TAR FIN'!$A$1:$O$92,15,0))</f>
        <v>161.61000000000001</v>
      </c>
      <c r="X785" s="4">
        <f>IF(ISERROR(VLOOKUP($U$785,'TAR FIN'!$A$1:$O$92,15,0)),0,VLOOKUP($U$785,'TAR FIN'!$A$1:$O$92,15,0))</f>
        <v>161.34</v>
      </c>
      <c r="Y785" s="4"/>
      <c r="Z785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5" s="4">
        <f>('TE BE'!$AB$13+'TE BF'!$AB$13+'TE CVA'!$AB$13)*(1-CUSTOS!$M$35)</f>
        <v>201.70530556101048</v>
      </c>
      <c r="AB785" s="4">
        <f>$K$785*$V$785</f>
        <v>0</v>
      </c>
      <c r="AC785" s="4">
        <f>$M$785*$W$785</f>
        <v>293112.21861000004</v>
      </c>
      <c r="AD785" s="4">
        <f>$O$785*$X$785</f>
        <v>292622.51934</v>
      </c>
      <c r="AE785" s="4">
        <f>$K$785*$Y$785</f>
        <v>0</v>
      </c>
      <c r="AF785" s="4">
        <f ca="1">$M$785*$Z$785</f>
        <v>369828.5763856105</v>
      </c>
      <c r="AG785" s="4">
        <f>$O$785*$AA$785</f>
        <v>365833.11440131027</v>
      </c>
    </row>
    <row r="786" spans="1:33" ht="11.25" customHeight="1" x14ac:dyDescent="0.25">
      <c r="A786" s="3" t="s">
        <v>27</v>
      </c>
      <c r="B786" s="3" t="s">
        <v>22</v>
      </c>
      <c r="C786" s="3" t="s">
        <v>23</v>
      </c>
      <c r="D786" s="3" t="s">
        <v>24</v>
      </c>
      <c r="E786" s="3" t="s">
        <v>30</v>
      </c>
      <c r="F786" s="3" t="s">
        <v>25</v>
      </c>
      <c r="G786" s="3" t="s">
        <v>25</v>
      </c>
      <c r="H786" s="3" t="s">
        <v>25</v>
      </c>
      <c r="I786" s="6">
        <v>44743</v>
      </c>
      <c r="J786" s="4">
        <v>0</v>
      </c>
      <c r="K786" s="4">
        <v>0</v>
      </c>
      <c r="L786" s="4">
        <v>3.3000000000000002E-2</v>
      </c>
      <c r="M786" s="4">
        <v>3.3000000000000002E-2</v>
      </c>
      <c r="N786" s="4">
        <v>3.3000000000000002E-2</v>
      </c>
      <c r="O786" s="4">
        <v>3.3000000000000002E-2</v>
      </c>
      <c r="P786" s="4">
        <v>2</v>
      </c>
      <c r="Q786" s="3" t="s">
        <v>26</v>
      </c>
      <c r="R786" s="3">
        <v>0</v>
      </c>
      <c r="S786" s="4">
        <v>0</v>
      </c>
      <c r="T786" s="4">
        <v>39</v>
      </c>
      <c r="U786" s="4">
        <v>80</v>
      </c>
      <c r="V786" s="4">
        <f>IF(ISERROR(VLOOKUP($S$786,'TAR FIN'!$A$1:$O$92,15,0)),0,VLOOKUP($S$786,'TAR FIN'!$A$1:$O$92,15,0))</f>
        <v>0</v>
      </c>
      <c r="W786" s="4">
        <f>IF(ISERROR(VLOOKUP($T$786,'TAR FIN'!$A$1:$O$92,15,0)),0,VLOOKUP($T$786,'TAR FIN'!$A$1:$O$92,15,0))</f>
        <v>161.61000000000001</v>
      </c>
      <c r="X786" s="4">
        <f>IF(ISERROR(VLOOKUP($U$786,'TAR FIN'!$A$1:$O$92,15,0)),0,VLOOKUP($U$786,'TAR FIN'!$A$1:$O$92,15,0))</f>
        <v>161.34</v>
      </c>
      <c r="Y786" s="4"/>
      <c r="Z786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6" s="4">
        <f>('TE BE'!$AB$13+'TE BF'!$AB$13+'TE CVA'!$AB$13)*(1-CUSTOS!$M$35)</f>
        <v>201.70530556101048</v>
      </c>
      <c r="AB786" s="4">
        <f>$K$786*$V$786</f>
        <v>0</v>
      </c>
      <c r="AC786" s="4">
        <f>$M$786*$W$786</f>
        <v>5.3331300000000006</v>
      </c>
      <c r="AD786" s="4">
        <f>$O$786*$X$786</f>
        <v>5.3242200000000004</v>
      </c>
      <c r="AE786" s="4">
        <f>$K$786*$Y$786</f>
        <v>0</v>
      </c>
      <c r="AF786" s="4">
        <f ca="1">$M$786*$Z$786</f>
        <v>6.7289718761389823</v>
      </c>
      <c r="AG786" s="4">
        <f>$O$786*$AA$786</f>
        <v>6.6562750835133464</v>
      </c>
    </row>
    <row r="787" spans="1:33" ht="11.25" customHeight="1" x14ac:dyDescent="0.25">
      <c r="A787" s="3" t="s">
        <v>21</v>
      </c>
      <c r="B787" s="3" t="s">
        <v>22</v>
      </c>
      <c r="C787" s="3" t="s">
        <v>23</v>
      </c>
      <c r="D787" s="3" t="s">
        <v>24</v>
      </c>
      <c r="E787" s="3" t="s">
        <v>30</v>
      </c>
      <c r="F787" s="3" t="s">
        <v>25</v>
      </c>
      <c r="G787" s="3" t="s">
        <v>25</v>
      </c>
      <c r="H787" s="3" t="s">
        <v>25</v>
      </c>
      <c r="I787" s="6">
        <v>44774</v>
      </c>
      <c r="J787" s="4">
        <v>0</v>
      </c>
      <c r="K787" s="4">
        <v>0</v>
      </c>
      <c r="L787" s="4">
        <v>1855.4280000000001</v>
      </c>
      <c r="M787" s="4">
        <v>1855.4280000000001</v>
      </c>
      <c r="N787" s="4">
        <v>1855.4280000000001</v>
      </c>
      <c r="O787" s="4">
        <v>1855.4280000000001</v>
      </c>
      <c r="P787" s="4">
        <v>4297</v>
      </c>
      <c r="Q787" s="3" t="s">
        <v>26</v>
      </c>
      <c r="R787" s="3">
        <v>0</v>
      </c>
      <c r="S787" s="4">
        <v>0</v>
      </c>
      <c r="T787" s="4">
        <v>39</v>
      </c>
      <c r="U787" s="4">
        <v>80</v>
      </c>
      <c r="V787" s="4">
        <f>IF(ISERROR(VLOOKUP($S$787,'TAR FIN'!$A$1:$O$92,15,0)),0,VLOOKUP($S$787,'TAR FIN'!$A$1:$O$92,15,0))</f>
        <v>0</v>
      </c>
      <c r="W787" s="4">
        <f>IF(ISERROR(VLOOKUP($T$787,'TAR FIN'!$A$1:$O$92,15,0)),0,VLOOKUP($T$787,'TAR FIN'!$A$1:$O$92,15,0))</f>
        <v>161.61000000000001</v>
      </c>
      <c r="X787" s="4">
        <f>IF(ISERROR(VLOOKUP($U$787,'TAR FIN'!$A$1:$O$92,15,0)),0,VLOOKUP($U$787,'TAR FIN'!$A$1:$O$92,15,0))</f>
        <v>161.34</v>
      </c>
      <c r="Y787" s="4"/>
      <c r="Z787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7" s="4">
        <f>('TE BE'!$AB$13+'TE BF'!$AB$13+'TE CVA'!$AB$13)*(1-CUSTOS!$M$35)</f>
        <v>201.70530556101048</v>
      </c>
      <c r="AB787" s="4">
        <f>$K$787*$V$787</f>
        <v>0</v>
      </c>
      <c r="AC787" s="4">
        <f>$M$787*$W$787</f>
        <v>299855.71908000007</v>
      </c>
      <c r="AD787" s="4">
        <f>$O$787*$X$787</f>
        <v>299354.75352000003</v>
      </c>
      <c r="AE787" s="4">
        <f>$K$787*$Y$787</f>
        <v>0</v>
      </c>
      <c r="AF787" s="4">
        <f ca="1">$M$787*$Z$787</f>
        <v>378337.05546063028</v>
      </c>
      <c r="AG787" s="4">
        <f>$O$787*$AA$787</f>
        <v>374249.67168645456</v>
      </c>
    </row>
    <row r="788" spans="1:33" ht="11.25" customHeight="1" x14ac:dyDescent="0.25">
      <c r="A788" s="3" t="s">
        <v>27</v>
      </c>
      <c r="B788" s="3" t="s">
        <v>22</v>
      </c>
      <c r="C788" s="3" t="s">
        <v>23</v>
      </c>
      <c r="D788" s="3" t="s">
        <v>24</v>
      </c>
      <c r="E788" s="3" t="s">
        <v>30</v>
      </c>
      <c r="F788" s="3" t="s">
        <v>25</v>
      </c>
      <c r="G788" s="3" t="s">
        <v>25</v>
      </c>
      <c r="H788" s="3" t="s">
        <v>25</v>
      </c>
      <c r="I788" s="6">
        <v>44774</v>
      </c>
      <c r="J788" s="4">
        <v>0</v>
      </c>
      <c r="K788" s="4">
        <v>0</v>
      </c>
      <c r="L788" s="4">
        <v>-0.14799999999999999</v>
      </c>
      <c r="M788" s="4">
        <v>-0.14799999999999999</v>
      </c>
      <c r="N788" s="4">
        <v>-0.14799999999999999</v>
      </c>
      <c r="O788" s="4">
        <v>-0.14799999999999999</v>
      </c>
      <c r="P788" s="4">
        <v>13</v>
      </c>
      <c r="Q788" s="3" t="s">
        <v>26</v>
      </c>
      <c r="R788" s="3">
        <v>0</v>
      </c>
      <c r="S788" s="4">
        <v>0</v>
      </c>
      <c r="T788" s="4">
        <v>39</v>
      </c>
      <c r="U788" s="4">
        <v>80</v>
      </c>
      <c r="V788" s="4">
        <f>IF(ISERROR(VLOOKUP($S$788,'TAR FIN'!$A$1:$O$92,15,0)),0,VLOOKUP($S$788,'TAR FIN'!$A$1:$O$92,15,0))</f>
        <v>0</v>
      </c>
      <c r="W788" s="4">
        <f>IF(ISERROR(VLOOKUP($T$788,'TAR FIN'!$A$1:$O$92,15,0)),0,VLOOKUP($T$788,'TAR FIN'!$A$1:$O$92,15,0))</f>
        <v>161.61000000000001</v>
      </c>
      <c r="X788" s="4">
        <f>IF(ISERROR(VLOOKUP($U$788,'TAR FIN'!$A$1:$O$92,15,0)),0,VLOOKUP($U$788,'TAR FIN'!$A$1:$O$92,15,0))</f>
        <v>161.34</v>
      </c>
      <c r="Y788" s="4"/>
      <c r="Z788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8" s="4">
        <f>('TE BE'!$AB$13+'TE BF'!$AB$13+'TE CVA'!$AB$13)*(1-CUSTOS!$M$35)</f>
        <v>201.70530556101048</v>
      </c>
      <c r="AB788" s="4">
        <f>$K$788*$V$788</f>
        <v>0</v>
      </c>
      <c r="AC788" s="4">
        <f>$M$788*$W$788</f>
        <v>-23.918279999999999</v>
      </c>
      <c r="AD788" s="4">
        <f>$O$788*$X$788</f>
        <v>-23.878319999999999</v>
      </c>
      <c r="AE788" s="4">
        <f>$K$788*$Y$788</f>
        <v>0</v>
      </c>
      <c r="AF788" s="4">
        <f ca="1">$M$788*$Z$788</f>
        <v>-30.178419323289976</v>
      </c>
      <c r="AG788" s="4">
        <f>$O$788*$AA$788</f>
        <v>-29.85238522302955</v>
      </c>
    </row>
    <row r="789" spans="1:33" ht="11.25" customHeight="1" x14ac:dyDescent="0.25">
      <c r="A789" s="3" t="s">
        <v>21</v>
      </c>
      <c r="B789" s="3" t="s">
        <v>22</v>
      </c>
      <c r="C789" s="3" t="s">
        <v>23</v>
      </c>
      <c r="D789" s="3" t="s">
        <v>24</v>
      </c>
      <c r="E789" s="3" t="s">
        <v>30</v>
      </c>
      <c r="F789" s="3" t="s">
        <v>25</v>
      </c>
      <c r="G789" s="3" t="s">
        <v>25</v>
      </c>
      <c r="H789" s="3" t="s">
        <v>25</v>
      </c>
      <c r="I789" s="6">
        <v>44805</v>
      </c>
      <c r="J789" s="4">
        <v>0</v>
      </c>
      <c r="K789" s="4">
        <v>0</v>
      </c>
      <c r="L789" s="4">
        <v>1857.8969999999999</v>
      </c>
      <c r="M789" s="4">
        <v>1857.8969999999999</v>
      </c>
      <c r="N789" s="4">
        <v>1857.8969999999999</v>
      </c>
      <c r="O789" s="4">
        <v>1857.8969999999999</v>
      </c>
      <c r="P789" s="4">
        <v>4429</v>
      </c>
      <c r="Q789" s="3" t="s">
        <v>26</v>
      </c>
      <c r="R789" s="3">
        <v>0</v>
      </c>
      <c r="S789" s="4">
        <v>0</v>
      </c>
      <c r="T789" s="4">
        <v>39</v>
      </c>
      <c r="U789" s="4">
        <v>80</v>
      </c>
      <c r="V789" s="4">
        <f>IF(ISERROR(VLOOKUP($S$789,'TAR FIN'!$A$1:$O$92,15,0)),0,VLOOKUP($S$789,'TAR FIN'!$A$1:$O$92,15,0))</f>
        <v>0</v>
      </c>
      <c r="W789" s="4">
        <f>IF(ISERROR(VLOOKUP($T$789,'TAR FIN'!$A$1:$O$92,15,0)),0,VLOOKUP($T$789,'TAR FIN'!$A$1:$O$92,15,0))</f>
        <v>161.61000000000001</v>
      </c>
      <c r="X789" s="4">
        <f>IF(ISERROR(VLOOKUP($U$789,'TAR FIN'!$A$1:$O$92,15,0)),0,VLOOKUP($U$789,'TAR FIN'!$A$1:$O$92,15,0))</f>
        <v>161.34</v>
      </c>
      <c r="Y789" s="4"/>
      <c r="Z789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89" s="4">
        <f>('TE BE'!$AB$13+'TE BF'!$AB$13+'TE CVA'!$AB$13)*(1-CUSTOS!$M$35)</f>
        <v>201.70530556101048</v>
      </c>
      <c r="AB789" s="4">
        <f>$K$789*$V$789</f>
        <v>0</v>
      </c>
      <c r="AC789" s="4">
        <f>$M$789*$W$789</f>
        <v>300254.73417000001</v>
      </c>
      <c r="AD789" s="4">
        <f>$O$789*$X$789</f>
        <v>299753.10197999998</v>
      </c>
      <c r="AE789" s="4">
        <f>$K$789*$Y$789</f>
        <v>0</v>
      </c>
      <c r="AF789" s="4">
        <f ca="1">$M$789*$Z$789</f>
        <v>378840.50490190863</v>
      </c>
      <c r="AG789" s="4">
        <f>$O$789*$AA$789</f>
        <v>374747.68208588468</v>
      </c>
    </row>
    <row r="790" spans="1:33" ht="11.25" customHeight="1" x14ac:dyDescent="0.25">
      <c r="A790" s="3" t="s">
        <v>27</v>
      </c>
      <c r="B790" s="3" t="s">
        <v>22</v>
      </c>
      <c r="C790" s="3" t="s">
        <v>23</v>
      </c>
      <c r="D790" s="3" t="s">
        <v>24</v>
      </c>
      <c r="E790" s="3" t="s">
        <v>30</v>
      </c>
      <c r="F790" s="3" t="s">
        <v>25</v>
      </c>
      <c r="G790" s="3" t="s">
        <v>25</v>
      </c>
      <c r="H790" s="3" t="s">
        <v>25</v>
      </c>
      <c r="I790" s="6">
        <v>44805</v>
      </c>
      <c r="J790" s="4">
        <v>0</v>
      </c>
      <c r="K790" s="4">
        <v>0</v>
      </c>
      <c r="L790" s="4">
        <v>-0.4</v>
      </c>
      <c r="M790" s="4">
        <v>-0.4</v>
      </c>
      <c r="N790" s="4">
        <v>-0.4</v>
      </c>
      <c r="O790" s="4">
        <v>-0.4</v>
      </c>
      <c r="P790" s="4">
        <v>3</v>
      </c>
      <c r="Q790" s="3" t="s">
        <v>26</v>
      </c>
      <c r="R790" s="3">
        <v>0</v>
      </c>
      <c r="S790" s="4">
        <v>0</v>
      </c>
      <c r="T790" s="4">
        <v>39</v>
      </c>
      <c r="U790" s="4">
        <v>80</v>
      </c>
      <c r="V790" s="4">
        <f>IF(ISERROR(VLOOKUP($S$790,'TAR FIN'!$A$1:$O$92,15,0)),0,VLOOKUP($S$790,'TAR FIN'!$A$1:$O$92,15,0))</f>
        <v>0</v>
      </c>
      <c r="W790" s="4">
        <f>IF(ISERROR(VLOOKUP($T$790,'TAR FIN'!$A$1:$O$92,15,0)),0,VLOOKUP($T$790,'TAR FIN'!$A$1:$O$92,15,0))</f>
        <v>161.61000000000001</v>
      </c>
      <c r="X790" s="4">
        <f>IF(ISERROR(VLOOKUP($U$790,'TAR FIN'!$A$1:$O$92,15,0)),0,VLOOKUP($U$790,'TAR FIN'!$A$1:$O$92,15,0))</f>
        <v>161.34</v>
      </c>
      <c r="Y790" s="4"/>
      <c r="Z790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90" s="4">
        <f>('TE BE'!$AB$13+'TE BF'!$AB$13+'TE CVA'!$AB$13)*(1-CUSTOS!$M$35)</f>
        <v>201.70530556101048</v>
      </c>
      <c r="AB790" s="4">
        <f>$K$790*$V$790</f>
        <v>0</v>
      </c>
      <c r="AC790" s="4">
        <f>$M$790*$W$790</f>
        <v>-64.644000000000005</v>
      </c>
      <c r="AD790" s="4">
        <f>$O$790*$X$790</f>
        <v>-64.536000000000001</v>
      </c>
      <c r="AE790" s="4">
        <f>$K$790*$Y$790</f>
        <v>0</v>
      </c>
      <c r="AF790" s="4">
        <f ca="1">$M$790*$Z$790</f>
        <v>-81.563295468351299</v>
      </c>
      <c r="AG790" s="4">
        <f>$O$790*$AA$790</f>
        <v>-80.682122224404196</v>
      </c>
    </row>
    <row r="791" spans="1:33" ht="11.25" customHeight="1" x14ac:dyDescent="0.25">
      <c r="A791" s="3" t="s">
        <v>55</v>
      </c>
      <c r="B791" s="3" t="s">
        <v>22</v>
      </c>
      <c r="C791" s="3" t="s">
        <v>23</v>
      </c>
      <c r="D791" s="3" t="s">
        <v>24</v>
      </c>
      <c r="E791" s="3" t="s">
        <v>30</v>
      </c>
      <c r="F791" s="3" t="s">
        <v>25</v>
      </c>
      <c r="G791" s="3" t="s">
        <v>25</v>
      </c>
      <c r="H791" s="3" t="s">
        <v>25</v>
      </c>
      <c r="I791" s="6">
        <v>44835</v>
      </c>
      <c r="J791" s="4">
        <v>0</v>
      </c>
      <c r="K791" s="4">
        <v>0</v>
      </c>
      <c r="L791" s="4">
        <v>1857.8969999999999</v>
      </c>
      <c r="M791" s="4">
        <v>1857.8969999999999</v>
      </c>
      <c r="N791" s="4">
        <v>1857.8969999999999</v>
      </c>
      <c r="O791" s="4">
        <v>1857.8969999999999</v>
      </c>
      <c r="P791" s="4">
        <v>4429</v>
      </c>
      <c r="Q791" s="3" t="s">
        <v>26</v>
      </c>
      <c r="R791" s="3">
        <v>0</v>
      </c>
      <c r="S791" s="4">
        <v>0</v>
      </c>
      <c r="T791" s="4">
        <v>39</v>
      </c>
      <c r="U791" s="4">
        <v>80</v>
      </c>
      <c r="V791" s="4">
        <f>IF(ISERROR(VLOOKUP($S$791,'TAR FIN'!$A$1:$O$92,15,0)),0,VLOOKUP($S$791,'TAR FIN'!$A$1:$O$92,15,0))</f>
        <v>0</v>
      </c>
      <c r="W791" s="4">
        <f>IF(ISERROR(VLOOKUP($T$791,'TAR FIN'!$A$1:$O$92,15,0)),0,VLOOKUP($T$791,'TAR FIN'!$A$1:$O$92,15,0))</f>
        <v>161.61000000000001</v>
      </c>
      <c r="X791" s="4">
        <f>IF(ISERROR(VLOOKUP($U$791,'TAR FIN'!$A$1:$O$92,15,0)),0,VLOOKUP($U$791,'TAR FIN'!$A$1:$O$92,15,0))</f>
        <v>161.34</v>
      </c>
      <c r="Y791" s="4"/>
      <c r="Z791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91" s="4">
        <f>('TE BE'!$AB$13+'TE BF'!$AB$13+'TE CVA'!$AB$13)*(1-CUSTOS!$M$35)</f>
        <v>201.70530556101048</v>
      </c>
      <c r="AB791" s="4">
        <f>$K$791*$V$791</f>
        <v>0</v>
      </c>
      <c r="AC791" s="4">
        <f>$M$791*$W$791</f>
        <v>300254.73417000001</v>
      </c>
      <c r="AD791" s="4">
        <f>$O$791*$X$791</f>
        <v>299753.10197999998</v>
      </c>
      <c r="AE791" s="4">
        <f>$K$791*$Y$791</f>
        <v>0</v>
      </c>
      <c r="AF791" s="4">
        <f ca="1">$M$791*$Z$791</f>
        <v>378840.50490190863</v>
      </c>
      <c r="AG791" s="4">
        <f>$O$791*$AA$791</f>
        <v>374747.68208588468</v>
      </c>
    </row>
    <row r="792" spans="1:33" ht="11.25" customHeight="1" x14ac:dyDescent="0.25">
      <c r="A792" s="3" t="s">
        <v>55</v>
      </c>
      <c r="B792" s="3" t="s">
        <v>22</v>
      </c>
      <c r="C792" s="3" t="s">
        <v>23</v>
      </c>
      <c r="D792" s="3" t="s">
        <v>24</v>
      </c>
      <c r="E792" s="3" t="s">
        <v>30</v>
      </c>
      <c r="F792" s="3" t="s">
        <v>25</v>
      </c>
      <c r="G792" s="3" t="s">
        <v>25</v>
      </c>
      <c r="H792" s="3" t="s">
        <v>25</v>
      </c>
      <c r="I792" s="6">
        <v>44835</v>
      </c>
      <c r="J792" s="4">
        <v>0</v>
      </c>
      <c r="K792" s="4">
        <v>0</v>
      </c>
      <c r="L792" s="4">
        <v>-0.4</v>
      </c>
      <c r="M792" s="4">
        <v>-0.4</v>
      </c>
      <c r="N792" s="4">
        <v>-0.4</v>
      </c>
      <c r="O792" s="4">
        <v>-0.4</v>
      </c>
      <c r="P792" s="4">
        <v>3</v>
      </c>
      <c r="Q792" s="3" t="s">
        <v>26</v>
      </c>
      <c r="R792" s="3">
        <v>0</v>
      </c>
      <c r="S792" s="4">
        <v>0</v>
      </c>
      <c r="T792" s="4">
        <v>39</v>
      </c>
      <c r="U792" s="4">
        <v>80</v>
      </c>
      <c r="V792" s="4">
        <f>IF(ISERROR(VLOOKUP($S$792,'TAR FIN'!$A$1:$O$92,15,0)),0,VLOOKUP($S$792,'TAR FIN'!$A$1:$O$92,15,0))</f>
        <v>0</v>
      </c>
      <c r="W792" s="4">
        <f>IF(ISERROR(VLOOKUP($T$792,'TAR FIN'!$A$1:$O$92,15,0)),0,VLOOKUP($T$792,'TAR FIN'!$A$1:$O$92,15,0))</f>
        <v>161.61000000000001</v>
      </c>
      <c r="X792" s="4">
        <f>IF(ISERROR(VLOOKUP($U$792,'TAR FIN'!$A$1:$O$92,15,0)),0,VLOOKUP($U$792,'TAR FIN'!$A$1:$O$92,15,0))</f>
        <v>161.34</v>
      </c>
      <c r="Y792" s="4"/>
      <c r="Z792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792" s="4">
        <f>('TE BE'!$AB$13+'TE BF'!$AB$13+'TE CVA'!$AB$13)*(1-CUSTOS!$M$35)</f>
        <v>201.70530556101048</v>
      </c>
      <c r="AB792" s="4">
        <f>$K$792*$V$792</f>
        <v>0</v>
      </c>
      <c r="AC792" s="4">
        <f>$M$792*$W$792</f>
        <v>-64.644000000000005</v>
      </c>
      <c r="AD792" s="4">
        <f>$O$792*$X$792</f>
        <v>-64.536000000000001</v>
      </c>
      <c r="AE792" s="4">
        <f>$K$792*$Y$792</f>
        <v>0</v>
      </c>
      <c r="AF792" s="4">
        <f ca="1">$M$792*$Z$792</f>
        <v>-81.563295468351299</v>
      </c>
      <c r="AG792" s="4">
        <f>$O$792*$AA$792</f>
        <v>-80.682122224404196</v>
      </c>
    </row>
    <row r="793" spans="1:33" ht="11.25" customHeight="1" x14ac:dyDescent="0.25">
      <c r="A793" s="3" t="s">
        <v>21</v>
      </c>
      <c r="B793" s="3" t="s">
        <v>22</v>
      </c>
      <c r="C793" s="3" t="s">
        <v>23</v>
      </c>
      <c r="D793" s="3" t="s">
        <v>24</v>
      </c>
      <c r="E793" s="3" t="s">
        <v>31</v>
      </c>
      <c r="F793" s="3" t="s">
        <v>25</v>
      </c>
      <c r="G793" s="3" t="s">
        <v>25</v>
      </c>
      <c r="H793" s="3" t="s">
        <v>25</v>
      </c>
      <c r="I793" s="6">
        <v>44501</v>
      </c>
      <c r="J793" s="4">
        <v>0</v>
      </c>
      <c r="K793" s="4">
        <v>0</v>
      </c>
      <c r="L793" s="4">
        <v>2145.4</v>
      </c>
      <c r="M793" s="4">
        <v>2145.4</v>
      </c>
      <c r="N793" s="4">
        <v>2145.4</v>
      </c>
      <c r="O793" s="4">
        <v>2145.4</v>
      </c>
      <c r="P793" s="4">
        <v>9435</v>
      </c>
      <c r="Q793" s="3" t="s">
        <v>26</v>
      </c>
      <c r="R793" s="3">
        <v>0</v>
      </c>
      <c r="S793" s="4">
        <v>0</v>
      </c>
      <c r="T793" s="4">
        <v>61</v>
      </c>
      <c r="U793" s="4">
        <v>65</v>
      </c>
      <c r="V793" s="4">
        <f>IF(ISERROR(VLOOKUP($S$793,'TAR FIN'!$A$1:$O$92,15,0)),0,VLOOKUP($S$793,'TAR FIN'!$A$1:$O$92,15,0))</f>
        <v>0</v>
      </c>
      <c r="W793" s="4">
        <f>IF(ISERROR(VLOOKUP($T$793,'TAR FIN'!$A$1:$O$92,15,0)),0,VLOOKUP($T$793,'TAR FIN'!$A$1:$O$92,15,0))</f>
        <v>242.41</v>
      </c>
      <c r="X793" s="4">
        <f>IF(ISERROR(VLOOKUP($U$793,'TAR FIN'!$A$1:$O$92,15,0)),0,VLOOKUP($U$793,'TAR FIN'!$A$1:$O$92,15,0))</f>
        <v>242</v>
      </c>
      <c r="Y793" s="4"/>
      <c r="Z793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3" s="4">
        <f>('TE BE'!$AB$14+'TE BF'!$AB$14+'TE CVA'!$AB$14)*(1-CUSTOS!$M$36)</f>
        <v>302.55795834151576</v>
      </c>
      <c r="AB793" s="4">
        <f>$K$793*$V$793</f>
        <v>0</v>
      </c>
      <c r="AC793" s="4">
        <f>$M$793*$W$793</f>
        <v>520066.41399999999</v>
      </c>
      <c r="AD793" s="4">
        <f>$O$793*$X$793</f>
        <v>519186.80000000005</v>
      </c>
      <c r="AE793" s="4">
        <f>$K$793*$Y$793</f>
        <v>0</v>
      </c>
      <c r="AF793" s="4">
        <f ca="1">$M$793*$Z$793</f>
        <v>656197.10286675335</v>
      </c>
      <c r="AG793" s="4">
        <f>$O$793*$AA$793</f>
        <v>649107.84382588789</v>
      </c>
    </row>
    <row r="794" spans="1:33" ht="11.25" customHeight="1" x14ac:dyDescent="0.25">
      <c r="A794" s="3" t="s">
        <v>27</v>
      </c>
      <c r="B794" s="3" t="s">
        <v>22</v>
      </c>
      <c r="C794" s="3" t="s">
        <v>23</v>
      </c>
      <c r="D794" s="3" t="s">
        <v>24</v>
      </c>
      <c r="E794" s="3" t="s">
        <v>31</v>
      </c>
      <c r="F794" s="3" t="s">
        <v>25</v>
      </c>
      <c r="G794" s="3" t="s">
        <v>25</v>
      </c>
      <c r="H794" s="3" t="s">
        <v>25</v>
      </c>
      <c r="I794" s="6">
        <v>44501</v>
      </c>
      <c r="J794" s="4">
        <v>0</v>
      </c>
      <c r="K794" s="4">
        <v>0</v>
      </c>
      <c r="L794" s="4">
        <v>-1.8240000000000001</v>
      </c>
      <c r="M794" s="4">
        <v>-1.8240000000000001</v>
      </c>
      <c r="N794" s="4">
        <v>-1.8240000000000001</v>
      </c>
      <c r="O794" s="4">
        <v>-1.8240000000000001</v>
      </c>
      <c r="P794" s="4">
        <v>-6</v>
      </c>
      <c r="Q794" s="3" t="s">
        <v>26</v>
      </c>
      <c r="R794" s="3">
        <v>0</v>
      </c>
      <c r="S794" s="4">
        <v>0</v>
      </c>
      <c r="T794" s="4">
        <v>61</v>
      </c>
      <c r="U794" s="4">
        <v>65</v>
      </c>
      <c r="V794" s="4">
        <f>IF(ISERROR(VLOOKUP($S$794,'TAR FIN'!$A$1:$O$92,15,0)),0,VLOOKUP($S$794,'TAR FIN'!$A$1:$O$92,15,0))</f>
        <v>0</v>
      </c>
      <c r="W794" s="4">
        <f>IF(ISERROR(VLOOKUP($T$794,'TAR FIN'!$A$1:$O$92,15,0)),0,VLOOKUP($T$794,'TAR FIN'!$A$1:$O$92,15,0))</f>
        <v>242.41</v>
      </c>
      <c r="X794" s="4">
        <f>IF(ISERROR(VLOOKUP($U$794,'TAR FIN'!$A$1:$O$92,15,0)),0,VLOOKUP($U$794,'TAR FIN'!$A$1:$O$92,15,0))</f>
        <v>242</v>
      </c>
      <c r="Y794" s="4"/>
      <c r="Z794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4" s="4">
        <f>('TE BE'!$AB$14+'TE BF'!$AB$14+'TE CVA'!$AB$14)*(1-CUSTOS!$M$36)</f>
        <v>302.55795834151576</v>
      </c>
      <c r="AB794" s="4">
        <f>$K$794*$V$794</f>
        <v>0</v>
      </c>
      <c r="AC794" s="4">
        <f>$M$794*$W$794</f>
        <v>-442.15584000000001</v>
      </c>
      <c r="AD794" s="4">
        <f>$O$794*$X$794</f>
        <v>-441.40800000000002</v>
      </c>
      <c r="AE794" s="4">
        <f>$K$794*$Y$794</f>
        <v>0</v>
      </c>
      <c r="AF794" s="4">
        <f ca="1">$M$794*$Z$794</f>
        <v>-557.89294100352288</v>
      </c>
      <c r="AG794" s="4">
        <f>$O$794*$AA$794</f>
        <v>-551.86571601492471</v>
      </c>
    </row>
    <row r="795" spans="1:33" ht="11.25" customHeight="1" x14ac:dyDescent="0.25">
      <c r="A795" s="3" t="s">
        <v>21</v>
      </c>
      <c r="B795" s="3" t="s">
        <v>22</v>
      </c>
      <c r="C795" s="3" t="s">
        <v>23</v>
      </c>
      <c r="D795" s="3" t="s">
        <v>24</v>
      </c>
      <c r="E795" s="3" t="s">
        <v>31</v>
      </c>
      <c r="F795" s="3" t="s">
        <v>25</v>
      </c>
      <c r="G795" s="3" t="s">
        <v>25</v>
      </c>
      <c r="H795" s="3" t="s">
        <v>25</v>
      </c>
      <c r="I795" s="6">
        <v>44531</v>
      </c>
      <c r="J795" s="4">
        <v>0</v>
      </c>
      <c r="K795" s="4">
        <v>0</v>
      </c>
      <c r="L795" s="4">
        <v>2095.386</v>
      </c>
      <c r="M795" s="4">
        <v>2095.386</v>
      </c>
      <c r="N795" s="4">
        <v>2095.386</v>
      </c>
      <c r="O795" s="4">
        <v>2095.386</v>
      </c>
      <c r="P795" s="4">
        <v>9714</v>
      </c>
      <c r="Q795" s="3" t="s">
        <v>26</v>
      </c>
      <c r="R795" s="3">
        <v>0</v>
      </c>
      <c r="S795" s="4">
        <v>0</v>
      </c>
      <c r="T795" s="4">
        <v>61</v>
      </c>
      <c r="U795" s="4">
        <v>65</v>
      </c>
      <c r="V795" s="4">
        <f>IF(ISERROR(VLOOKUP($S$795,'TAR FIN'!$A$1:$O$92,15,0)),0,VLOOKUP($S$795,'TAR FIN'!$A$1:$O$92,15,0))</f>
        <v>0</v>
      </c>
      <c r="W795" s="4">
        <f>IF(ISERROR(VLOOKUP($T$795,'TAR FIN'!$A$1:$O$92,15,0)),0,VLOOKUP($T$795,'TAR FIN'!$A$1:$O$92,15,0))</f>
        <v>242.41</v>
      </c>
      <c r="X795" s="4">
        <f>IF(ISERROR(VLOOKUP($U$795,'TAR FIN'!$A$1:$O$92,15,0)),0,VLOOKUP($U$795,'TAR FIN'!$A$1:$O$92,15,0))</f>
        <v>242</v>
      </c>
      <c r="Y795" s="4"/>
      <c r="Z795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5" s="4">
        <f>('TE BE'!$AB$14+'TE BF'!$AB$14+'TE CVA'!$AB$14)*(1-CUSTOS!$M$36)</f>
        <v>302.55795834151576</v>
      </c>
      <c r="AB795" s="4">
        <f>$K$795*$V$795</f>
        <v>0</v>
      </c>
      <c r="AC795" s="4">
        <f>$M$795*$W$795</f>
        <v>507942.52025999996</v>
      </c>
      <c r="AD795" s="4">
        <f>$O$795*$X$795</f>
        <v>507083.41200000001</v>
      </c>
      <c r="AE795" s="4">
        <f>$K$795*$Y$795</f>
        <v>0</v>
      </c>
      <c r="AF795" s="4">
        <f ca="1">$M$795*$Z$795</f>
        <v>640899.70289342536</v>
      </c>
      <c r="AG795" s="4">
        <f>$O$795*$AA$795</f>
        <v>633975.71009739535</v>
      </c>
    </row>
    <row r="796" spans="1:33" ht="11.25" customHeight="1" x14ac:dyDescent="0.25">
      <c r="A796" s="3" t="s">
        <v>27</v>
      </c>
      <c r="B796" s="3" t="s">
        <v>22</v>
      </c>
      <c r="C796" s="3" t="s">
        <v>23</v>
      </c>
      <c r="D796" s="3" t="s">
        <v>24</v>
      </c>
      <c r="E796" s="3" t="s">
        <v>31</v>
      </c>
      <c r="F796" s="3" t="s">
        <v>25</v>
      </c>
      <c r="G796" s="3" t="s">
        <v>25</v>
      </c>
      <c r="H796" s="3" t="s">
        <v>25</v>
      </c>
      <c r="I796" s="6">
        <v>44531</v>
      </c>
      <c r="J796" s="4">
        <v>0</v>
      </c>
      <c r="K796" s="4">
        <v>0</v>
      </c>
      <c r="L796" s="4">
        <v>-0.437</v>
      </c>
      <c r="M796" s="4">
        <v>-0.437</v>
      </c>
      <c r="N796" s="4">
        <v>-0.437</v>
      </c>
      <c r="O796" s="4">
        <v>-0.437</v>
      </c>
      <c r="P796" s="4">
        <v>2</v>
      </c>
      <c r="Q796" s="3" t="s">
        <v>26</v>
      </c>
      <c r="R796" s="3">
        <v>0</v>
      </c>
      <c r="S796" s="4">
        <v>0</v>
      </c>
      <c r="T796" s="4">
        <v>61</v>
      </c>
      <c r="U796" s="4">
        <v>65</v>
      </c>
      <c r="V796" s="4">
        <f>IF(ISERROR(VLOOKUP($S$796,'TAR FIN'!$A$1:$O$92,15,0)),0,VLOOKUP($S$796,'TAR FIN'!$A$1:$O$92,15,0))</f>
        <v>0</v>
      </c>
      <c r="W796" s="4">
        <f>IF(ISERROR(VLOOKUP($T$796,'TAR FIN'!$A$1:$O$92,15,0)),0,VLOOKUP($T$796,'TAR FIN'!$A$1:$O$92,15,0))</f>
        <v>242.41</v>
      </c>
      <c r="X796" s="4">
        <f>IF(ISERROR(VLOOKUP($U$796,'TAR FIN'!$A$1:$O$92,15,0)),0,VLOOKUP($U$796,'TAR FIN'!$A$1:$O$92,15,0))</f>
        <v>242</v>
      </c>
      <c r="Y796" s="4"/>
      <c r="Z796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6" s="4">
        <f>('TE BE'!$AB$14+'TE BF'!$AB$14+'TE CVA'!$AB$14)*(1-CUSTOS!$M$36)</f>
        <v>302.55795834151576</v>
      </c>
      <c r="AB796" s="4">
        <f>$K$796*$V$796</f>
        <v>0</v>
      </c>
      <c r="AC796" s="4">
        <f>$M$796*$W$796</f>
        <v>-105.93317</v>
      </c>
      <c r="AD796" s="4">
        <f>$O$796*$X$796</f>
        <v>-105.754</v>
      </c>
      <c r="AE796" s="4">
        <f>$K$796*$Y$796</f>
        <v>0</v>
      </c>
      <c r="AF796" s="4">
        <f ca="1">$M$796*$Z$796</f>
        <v>-133.6618504487607</v>
      </c>
      <c r="AG796" s="4">
        <f>$O$796*$AA$796</f>
        <v>-132.21782779524239</v>
      </c>
    </row>
    <row r="797" spans="1:33" ht="11.25" customHeight="1" x14ac:dyDescent="0.25">
      <c r="A797" s="3" t="s">
        <v>21</v>
      </c>
      <c r="B797" s="3" t="s">
        <v>22</v>
      </c>
      <c r="C797" s="3" t="s">
        <v>23</v>
      </c>
      <c r="D797" s="3" t="s">
        <v>24</v>
      </c>
      <c r="E797" s="3" t="s">
        <v>31</v>
      </c>
      <c r="F797" s="3" t="s">
        <v>25</v>
      </c>
      <c r="G797" s="3" t="s">
        <v>25</v>
      </c>
      <c r="H797" s="3" t="s">
        <v>25</v>
      </c>
      <c r="I797" s="6">
        <v>44562</v>
      </c>
      <c r="J797" s="4">
        <v>0</v>
      </c>
      <c r="K797" s="4">
        <v>0</v>
      </c>
      <c r="L797" s="4">
        <v>2007.2349999999999</v>
      </c>
      <c r="M797" s="4">
        <v>2007.2349999999999</v>
      </c>
      <c r="N797" s="4">
        <v>2007.2349999999999</v>
      </c>
      <c r="O797" s="4">
        <v>2007.2349999999999</v>
      </c>
      <c r="P797" s="4">
        <v>10293</v>
      </c>
      <c r="Q797" s="3" t="s">
        <v>26</v>
      </c>
      <c r="R797" s="3">
        <v>0</v>
      </c>
      <c r="S797" s="4">
        <v>0</v>
      </c>
      <c r="T797" s="4">
        <v>61</v>
      </c>
      <c r="U797" s="4">
        <v>65</v>
      </c>
      <c r="V797" s="4">
        <f>IF(ISERROR(VLOOKUP($S$797,'TAR FIN'!$A$1:$O$92,15,0)),0,VLOOKUP($S$797,'TAR FIN'!$A$1:$O$92,15,0))</f>
        <v>0</v>
      </c>
      <c r="W797" s="4">
        <f>IF(ISERROR(VLOOKUP($T$797,'TAR FIN'!$A$1:$O$92,15,0)),0,VLOOKUP($T$797,'TAR FIN'!$A$1:$O$92,15,0))</f>
        <v>242.41</v>
      </c>
      <c r="X797" s="4">
        <f>IF(ISERROR(VLOOKUP($U$797,'TAR FIN'!$A$1:$O$92,15,0)),0,VLOOKUP($U$797,'TAR FIN'!$A$1:$O$92,15,0))</f>
        <v>242</v>
      </c>
      <c r="Y797" s="4"/>
      <c r="Z797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7" s="4">
        <f>('TE BE'!$AB$14+'TE BF'!$AB$14+'TE CVA'!$AB$14)*(1-CUSTOS!$M$36)</f>
        <v>302.55795834151576</v>
      </c>
      <c r="AB797" s="4">
        <f>$K$797*$V$797</f>
        <v>0</v>
      </c>
      <c r="AC797" s="4">
        <f>$M$797*$W$797</f>
        <v>486573.83635</v>
      </c>
      <c r="AD797" s="4">
        <f>$O$797*$X$797</f>
        <v>485750.87</v>
      </c>
      <c r="AE797" s="4">
        <f>$K$797*$Y$797</f>
        <v>0</v>
      </c>
      <c r="AF797" s="4">
        <f ca="1">$M$797*$Z$797</f>
        <v>613937.6301728104</v>
      </c>
      <c r="AG797" s="4">
        <f>$O$797*$AA$797</f>
        <v>607304.92351163237</v>
      </c>
    </row>
    <row r="798" spans="1:33" ht="11.25" customHeight="1" x14ac:dyDescent="0.25">
      <c r="A798" s="3" t="s">
        <v>27</v>
      </c>
      <c r="B798" s="3" t="s">
        <v>22</v>
      </c>
      <c r="C798" s="3" t="s">
        <v>23</v>
      </c>
      <c r="D798" s="3" t="s">
        <v>24</v>
      </c>
      <c r="E798" s="3" t="s">
        <v>31</v>
      </c>
      <c r="F798" s="3" t="s">
        <v>25</v>
      </c>
      <c r="G798" s="3" t="s">
        <v>25</v>
      </c>
      <c r="H798" s="3" t="s">
        <v>25</v>
      </c>
      <c r="I798" s="6">
        <v>44562</v>
      </c>
      <c r="J798" s="4">
        <v>0</v>
      </c>
      <c r="K798" s="4">
        <v>0</v>
      </c>
      <c r="L798" s="4">
        <v>-0.16500000000000001</v>
      </c>
      <c r="M798" s="4">
        <v>-0.16500000000000001</v>
      </c>
      <c r="N798" s="4">
        <v>-0.16500000000000001</v>
      </c>
      <c r="O798" s="4">
        <v>-0.16500000000000001</v>
      </c>
      <c r="P798" s="4">
        <v>3</v>
      </c>
      <c r="Q798" s="3" t="s">
        <v>26</v>
      </c>
      <c r="R798" s="3">
        <v>0</v>
      </c>
      <c r="S798" s="4">
        <v>0</v>
      </c>
      <c r="T798" s="4">
        <v>61</v>
      </c>
      <c r="U798" s="4">
        <v>65</v>
      </c>
      <c r="V798" s="4">
        <f>IF(ISERROR(VLOOKUP($S$798,'TAR FIN'!$A$1:$O$92,15,0)),0,VLOOKUP($S$798,'TAR FIN'!$A$1:$O$92,15,0))</f>
        <v>0</v>
      </c>
      <c r="W798" s="4">
        <f>IF(ISERROR(VLOOKUP($T$798,'TAR FIN'!$A$1:$O$92,15,0)),0,VLOOKUP($T$798,'TAR FIN'!$A$1:$O$92,15,0))</f>
        <v>242.41</v>
      </c>
      <c r="X798" s="4">
        <f>IF(ISERROR(VLOOKUP($U$798,'TAR FIN'!$A$1:$O$92,15,0)),0,VLOOKUP($U$798,'TAR FIN'!$A$1:$O$92,15,0))</f>
        <v>242</v>
      </c>
      <c r="Y798" s="4"/>
      <c r="Z798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8" s="4">
        <f>('TE BE'!$AB$14+'TE BF'!$AB$14+'TE CVA'!$AB$14)*(1-CUSTOS!$M$36)</f>
        <v>302.55795834151576</v>
      </c>
      <c r="AB798" s="4">
        <f>$K$798*$V$798</f>
        <v>0</v>
      </c>
      <c r="AC798" s="4">
        <f>$M$798*$W$798</f>
        <v>-39.99765</v>
      </c>
      <c r="AD798" s="4">
        <f>$O$798*$X$798</f>
        <v>-39.93</v>
      </c>
      <c r="AE798" s="4">
        <f>$K$798*$Y$798</f>
        <v>0</v>
      </c>
      <c r="AF798" s="4">
        <f ca="1">$M$798*$Z$798</f>
        <v>-50.467289071042373</v>
      </c>
      <c r="AG798" s="4">
        <f>$O$798*$AA$798</f>
        <v>-49.922063126350103</v>
      </c>
    </row>
    <row r="799" spans="1:33" ht="11.25" customHeight="1" x14ac:dyDescent="0.25">
      <c r="A799" s="3" t="s">
        <v>21</v>
      </c>
      <c r="B799" s="3" t="s">
        <v>22</v>
      </c>
      <c r="C799" s="3" t="s">
        <v>23</v>
      </c>
      <c r="D799" s="3" t="s">
        <v>24</v>
      </c>
      <c r="E799" s="3" t="s">
        <v>31</v>
      </c>
      <c r="F799" s="3" t="s">
        <v>25</v>
      </c>
      <c r="G799" s="3" t="s">
        <v>25</v>
      </c>
      <c r="H799" s="3" t="s">
        <v>25</v>
      </c>
      <c r="I799" s="6">
        <v>44593</v>
      </c>
      <c r="J799" s="4">
        <v>0</v>
      </c>
      <c r="K799" s="4">
        <v>0</v>
      </c>
      <c r="L799" s="4">
        <v>2077.3789999999999</v>
      </c>
      <c r="M799" s="4">
        <v>2077.3789999999999</v>
      </c>
      <c r="N799" s="4">
        <v>2077.3789999999999</v>
      </c>
      <c r="O799" s="4">
        <v>2077.3789999999999</v>
      </c>
      <c r="P799" s="4">
        <v>10155</v>
      </c>
      <c r="Q799" s="3" t="s">
        <v>26</v>
      </c>
      <c r="R799" s="3">
        <v>0</v>
      </c>
      <c r="S799" s="4">
        <v>0</v>
      </c>
      <c r="T799" s="4">
        <v>61</v>
      </c>
      <c r="U799" s="4">
        <v>65</v>
      </c>
      <c r="V799" s="4">
        <f>IF(ISERROR(VLOOKUP($S$799,'TAR FIN'!$A$1:$O$92,15,0)),0,VLOOKUP($S$799,'TAR FIN'!$A$1:$O$92,15,0))</f>
        <v>0</v>
      </c>
      <c r="W799" s="4">
        <f>IF(ISERROR(VLOOKUP($T$799,'TAR FIN'!$A$1:$O$92,15,0)),0,VLOOKUP($T$799,'TAR FIN'!$A$1:$O$92,15,0))</f>
        <v>242.41</v>
      </c>
      <c r="X799" s="4">
        <f>IF(ISERROR(VLOOKUP($U$799,'TAR FIN'!$A$1:$O$92,15,0)),0,VLOOKUP($U$799,'TAR FIN'!$A$1:$O$92,15,0))</f>
        <v>242</v>
      </c>
      <c r="Y799" s="4"/>
      <c r="Z799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799" s="4">
        <f>('TE BE'!$AB$14+'TE BF'!$AB$14+'TE CVA'!$AB$14)*(1-CUSTOS!$M$36)</f>
        <v>302.55795834151576</v>
      </c>
      <c r="AB799" s="4">
        <f>$K$799*$V$799</f>
        <v>0</v>
      </c>
      <c r="AC799" s="4">
        <f>$M$799*$W$799</f>
        <v>503577.44338999997</v>
      </c>
      <c r="AD799" s="4">
        <f>$O$799*$X$799</f>
        <v>502725.71799999999</v>
      </c>
      <c r="AE799" s="4">
        <f>$K$799*$Y$799</f>
        <v>0</v>
      </c>
      <c r="AF799" s="4">
        <f ca="1">$M$799*$Z$799</f>
        <v>635392.03941280558</v>
      </c>
      <c r="AG799" s="4">
        <f>$O$799*$AA$799</f>
        <v>628527.5489415396</v>
      </c>
    </row>
    <row r="800" spans="1:33" ht="11.25" customHeight="1" x14ac:dyDescent="0.25">
      <c r="A800" s="3" t="s">
        <v>27</v>
      </c>
      <c r="B800" s="3" t="s">
        <v>22</v>
      </c>
      <c r="C800" s="3" t="s">
        <v>23</v>
      </c>
      <c r="D800" s="3" t="s">
        <v>24</v>
      </c>
      <c r="E800" s="3" t="s">
        <v>31</v>
      </c>
      <c r="F800" s="3" t="s">
        <v>25</v>
      </c>
      <c r="G800" s="3" t="s">
        <v>25</v>
      </c>
      <c r="H800" s="3" t="s">
        <v>25</v>
      </c>
      <c r="I800" s="6">
        <v>44593</v>
      </c>
      <c r="J800" s="4">
        <v>0</v>
      </c>
      <c r="K800" s="4">
        <v>0</v>
      </c>
      <c r="L800" s="4">
        <v>-0.8</v>
      </c>
      <c r="M800" s="4">
        <v>-0.8</v>
      </c>
      <c r="N800" s="4">
        <v>-0.8</v>
      </c>
      <c r="O800" s="4">
        <v>-0.8</v>
      </c>
      <c r="P800" s="4">
        <v>-3</v>
      </c>
      <c r="Q800" s="3" t="s">
        <v>26</v>
      </c>
      <c r="R800" s="3">
        <v>0</v>
      </c>
      <c r="S800" s="4">
        <v>0</v>
      </c>
      <c r="T800" s="4">
        <v>61</v>
      </c>
      <c r="U800" s="4">
        <v>65</v>
      </c>
      <c r="V800" s="4">
        <f>IF(ISERROR(VLOOKUP($S$800,'TAR FIN'!$A$1:$O$92,15,0)),0,VLOOKUP($S$800,'TAR FIN'!$A$1:$O$92,15,0))</f>
        <v>0</v>
      </c>
      <c r="W800" s="4">
        <f>IF(ISERROR(VLOOKUP($T$800,'TAR FIN'!$A$1:$O$92,15,0)),0,VLOOKUP($T$800,'TAR FIN'!$A$1:$O$92,15,0))</f>
        <v>242.41</v>
      </c>
      <c r="X800" s="4">
        <f>IF(ISERROR(VLOOKUP($U$800,'TAR FIN'!$A$1:$O$92,15,0)),0,VLOOKUP($U$800,'TAR FIN'!$A$1:$O$92,15,0))</f>
        <v>242</v>
      </c>
      <c r="Y800" s="4"/>
      <c r="Z800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0" s="4">
        <f>('TE BE'!$AB$14+'TE BF'!$AB$14+'TE CVA'!$AB$14)*(1-CUSTOS!$M$36)</f>
        <v>302.55795834151576</v>
      </c>
      <c r="AB800" s="4">
        <f>$K$800*$V$800</f>
        <v>0</v>
      </c>
      <c r="AC800" s="4">
        <f>$M$800*$W$800</f>
        <v>-193.928</v>
      </c>
      <c r="AD800" s="4">
        <f>$O$800*$X$800</f>
        <v>-193.60000000000002</v>
      </c>
      <c r="AE800" s="4">
        <f>$K$800*$Y$800</f>
        <v>0</v>
      </c>
      <c r="AF800" s="4">
        <f ca="1">$M$800*$Z$800</f>
        <v>-244.68988640505393</v>
      </c>
      <c r="AG800" s="4">
        <f>$O$800*$AA$800</f>
        <v>-242.04636667321262</v>
      </c>
    </row>
    <row r="801" spans="1:33" ht="11.25" customHeight="1" x14ac:dyDescent="0.25">
      <c r="A801" s="3" t="s">
        <v>21</v>
      </c>
      <c r="B801" s="3" t="s">
        <v>22</v>
      </c>
      <c r="C801" s="3" t="s">
        <v>23</v>
      </c>
      <c r="D801" s="3" t="s">
        <v>24</v>
      </c>
      <c r="E801" s="3" t="s">
        <v>31</v>
      </c>
      <c r="F801" s="3" t="s">
        <v>25</v>
      </c>
      <c r="G801" s="3" t="s">
        <v>25</v>
      </c>
      <c r="H801" s="3" t="s">
        <v>25</v>
      </c>
      <c r="I801" s="6">
        <v>44621</v>
      </c>
      <c r="J801" s="4">
        <v>0</v>
      </c>
      <c r="K801" s="4">
        <v>0</v>
      </c>
      <c r="L801" s="4">
        <v>2154.9009999999998</v>
      </c>
      <c r="M801" s="4">
        <v>2154.9009999999998</v>
      </c>
      <c r="N801" s="4">
        <v>2154.9009999999998</v>
      </c>
      <c r="O801" s="4">
        <v>2154.9009999999998</v>
      </c>
      <c r="P801" s="4">
        <v>10453</v>
      </c>
      <c r="Q801" s="3" t="s">
        <v>26</v>
      </c>
      <c r="R801" s="3">
        <v>0</v>
      </c>
      <c r="S801" s="4">
        <v>0</v>
      </c>
      <c r="T801" s="4">
        <v>61</v>
      </c>
      <c r="U801" s="4">
        <v>65</v>
      </c>
      <c r="V801" s="4">
        <f>IF(ISERROR(VLOOKUP($S$801,'TAR FIN'!$A$1:$O$92,15,0)),0,VLOOKUP($S$801,'TAR FIN'!$A$1:$O$92,15,0))</f>
        <v>0</v>
      </c>
      <c r="W801" s="4">
        <f>IF(ISERROR(VLOOKUP($T$801,'TAR FIN'!$A$1:$O$92,15,0)),0,VLOOKUP($T$801,'TAR FIN'!$A$1:$O$92,15,0))</f>
        <v>242.41</v>
      </c>
      <c r="X801" s="4">
        <f>IF(ISERROR(VLOOKUP($U$801,'TAR FIN'!$A$1:$O$92,15,0)),0,VLOOKUP($U$801,'TAR FIN'!$A$1:$O$92,15,0))</f>
        <v>242</v>
      </c>
      <c r="Y801" s="4"/>
      <c r="Z801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1" s="4">
        <f>('TE BE'!$AB$14+'TE BF'!$AB$14+'TE CVA'!$AB$14)*(1-CUSTOS!$M$36)</f>
        <v>302.55795834151576</v>
      </c>
      <c r="AB801" s="4">
        <f>$K$801*$V$801</f>
        <v>0</v>
      </c>
      <c r="AC801" s="4">
        <f>$M$801*$W$801</f>
        <v>522369.55140999996</v>
      </c>
      <c r="AD801" s="4">
        <f>$O$801*$X$801</f>
        <v>521486.04199999996</v>
      </c>
      <c r="AE801" s="4">
        <f>$K$801*$Y$801</f>
        <v>0</v>
      </c>
      <c r="AF801" s="4">
        <f ca="1">$M$801*$Z$801</f>
        <v>659103.10113017133</v>
      </c>
      <c r="AG801" s="4">
        <f>$O$801*$AA$801</f>
        <v>651982.44698809064</v>
      </c>
    </row>
    <row r="802" spans="1:33" ht="11.25" customHeight="1" x14ac:dyDescent="0.25">
      <c r="A802" s="3" t="s">
        <v>27</v>
      </c>
      <c r="B802" s="3" t="s">
        <v>22</v>
      </c>
      <c r="C802" s="3" t="s">
        <v>23</v>
      </c>
      <c r="D802" s="3" t="s">
        <v>24</v>
      </c>
      <c r="E802" s="3" t="s">
        <v>31</v>
      </c>
      <c r="F802" s="3" t="s">
        <v>25</v>
      </c>
      <c r="G802" s="3" t="s">
        <v>25</v>
      </c>
      <c r="H802" s="3" t="s">
        <v>25</v>
      </c>
      <c r="I802" s="6">
        <v>44621</v>
      </c>
      <c r="J802" s="4">
        <v>0</v>
      </c>
      <c r="K802" s="4">
        <v>0</v>
      </c>
      <c r="L802" s="4">
        <v>4.4999999999999998E-2</v>
      </c>
      <c r="M802" s="4">
        <v>4.4999999999999998E-2</v>
      </c>
      <c r="N802" s="4">
        <v>4.4999999999999998E-2</v>
      </c>
      <c r="O802" s="4">
        <v>4.4999999999999998E-2</v>
      </c>
      <c r="P802" s="4">
        <v>0</v>
      </c>
      <c r="Q802" s="3" t="s">
        <v>26</v>
      </c>
      <c r="R802" s="3">
        <v>0</v>
      </c>
      <c r="S802" s="4">
        <v>0</v>
      </c>
      <c r="T802" s="4">
        <v>61</v>
      </c>
      <c r="U802" s="4">
        <v>65</v>
      </c>
      <c r="V802" s="4">
        <f>IF(ISERROR(VLOOKUP($S$802,'TAR FIN'!$A$1:$O$92,15,0)),0,VLOOKUP($S$802,'TAR FIN'!$A$1:$O$92,15,0))</f>
        <v>0</v>
      </c>
      <c r="W802" s="4">
        <f>IF(ISERROR(VLOOKUP($T$802,'TAR FIN'!$A$1:$O$92,15,0)),0,VLOOKUP($T$802,'TAR FIN'!$A$1:$O$92,15,0))</f>
        <v>242.41</v>
      </c>
      <c r="X802" s="4">
        <f>IF(ISERROR(VLOOKUP($U$802,'TAR FIN'!$A$1:$O$92,15,0)),0,VLOOKUP($U$802,'TAR FIN'!$A$1:$O$92,15,0))</f>
        <v>242</v>
      </c>
      <c r="Y802" s="4"/>
      <c r="Z802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2" s="4">
        <f>('TE BE'!$AB$14+'TE BF'!$AB$14+'TE CVA'!$AB$14)*(1-CUSTOS!$M$36)</f>
        <v>302.55795834151576</v>
      </c>
      <c r="AB802" s="4">
        <f>$K$802*$V$802</f>
        <v>0</v>
      </c>
      <c r="AC802" s="4">
        <f>$M$802*$W$802</f>
        <v>10.90845</v>
      </c>
      <c r="AD802" s="4">
        <f>$O$802*$X$802</f>
        <v>10.889999999999999</v>
      </c>
      <c r="AE802" s="4">
        <f>$K$802*$Y$802</f>
        <v>0</v>
      </c>
      <c r="AF802" s="4">
        <f ca="1">$M$802*$Z$802</f>
        <v>13.763806110284282</v>
      </c>
      <c r="AG802" s="4">
        <f>$O$802*$AA$802</f>
        <v>13.615108125368209</v>
      </c>
    </row>
    <row r="803" spans="1:33" ht="11.25" customHeight="1" x14ac:dyDescent="0.25">
      <c r="A803" s="3" t="s">
        <v>21</v>
      </c>
      <c r="B803" s="3" t="s">
        <v>22</v>
      </c>
      <c r="C803" s="3" t="s">
        <v>23</v>
      </c>
      <c r="D803" s="3" t="s">
        <v>24</v>
      </c>
      <c r="E803" s="3" t="s">
        <v>31</v>
      </c>
      <c r="F803" s="3" t="s">
        <v>25</v>
      </c>
      <c r="G803" s="3" t="s">
        <v>25</v>
      </c>
      <c r="H803" s="3" t="s">
        <v>25</v>
      </c>
      <c r="I803" s="6">
        <v>44652</v>
      </c>
      <c r="J803" s="4">
        <v>0</v>
      </c>
      <c r="K803" s="4">
        <v>0</v>
      </c>
      <c r="L803" s="4">
        <v>2154.9009999999998</v>
      </c>
      <c r="M803" s="4">
        <v>2154.9009999999998</v>
      </c>
      <c r="N803" s="4">
        <v>2154.9009999999998</v>
      </c>
      <c r="O803" s="4">
        <v>2154.9009999999998</v>
      </c>
      <c r="P803" s="4">
        <v>10453</v>
      </c>
      <c r="Q803" s="3" t="s">
        <v>26</v>
      </c>
      <c r="R803" s="3">
        <v>0</v>
      </c>
      <c r="S803" s="4">
        <v>0</v>
      </c>
      <c r="T803" s="4">
        <v>61</v>
      </c>
      <c r="U803" s="4">
        <v>65</v>
      </c>
      <c r="V803" s="4">
        <f>IF(ISERROR(VLOOKUP($S$803,'TAR FIN'!$A$1:$O$92,15,0)),0,VLOOKUP($S$803,'TAR FIN'!$A$1:$O$92,15,0))</f>
        <v>0</v>
      </c>
      <c r="W803" s="4">
        <f>IF(ISERROR(VLOOKUP($T$803,'TAR FIN'!$A$1:$O$92,15,0)),0,VLOOKUP($T$803,'TAR FIN'!$A$1:$O$92,15,0))</f>
        <v>242.41</v>
      </c>
      <c r="X803" s="4">
        <f>IF(ISERROR(VLOOKUP($U$803,'TAR FIN'!$A$1:$O$92,15,0)),0,VLOOKUP($U$803,'TAR FIN'!$A$1:$O$92,15,0))</f>
        <v>242</v>
      </c>
      <c r="Y803" s="4"/>
      <c r="Z803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3" s="4">
        <f>('TE BE'!$AB$14+'TE BF'!$AB$14+'TE CVA'!$AB$14)*(1-CUSTOS!$M$36)</f>
        <v>302.55795834151576</v>
      </c>
      <c r="AB803" s="4">
        <f>$K$803*$V$803</f>
        <v>0</v>
      </c>
      <c r="AC803" s="4">
        <f>$M$803*$W$803</f>
        <v>522369.55140999996</v>
      </c>
      <c r="AD803" s="4">
        <f>$O$803*$X$803</f>
        <v>521486.04199999996</v>
      </c>
      <c r="AE803" s="4">
        <f>$K$803*$Y$803</f>
        <v>0</v>
      </c>
      <c r="AF803" s="4">
        <f ca="1">$M$803*$Z$803</f>
        <v>659103.10113017133</v>
      </c>
      <c r="AG803" s="4">
        <f>$O$803*$AA$803</f>
        <v>651982.44698809064</v>
      </c>
    </row>
    <row r="804" spans="1:33" ht="11.25" customHeight="1" x14ac:dyDescent="0.25">
      <c r="A804" s="3" t="s">
        <v>27</v>
      </c>
      <c r="B804" s="3" t="s">
        <v>22</v>
      </c>
      <c r="C804" s="3" t="s">
        <v>23</v>
      </c>
      <c r="D804" s="3" t="s">
        <v>24</v>
      </c>
      <c r="E804" s="3" t="s">
        <v>31</v>
      </c>
      <c r="F804" s="3" t="s">
        <v>25</v>
      </c>
      <c r="G804" s="3" t="s">
        <v>25</v>
      </c>
      <c r="H804" s="3" t="s">
        <v>25</v>
      </c>
      <c r="I804" s="6">
        <v>44652</v>
      </c>
      <c r="J804" s="4">
        <v>0</v>
      </c>
      <c r="K804" s="4">
        <v>0</v>
      </c>
      <c r="L804" s="4">
        <v>4.4999999999999998E-2</v>
      </c>
      <c r="M804" s="4">
        <v>4.4999999999999998E-2</v>
      </c>
      <c r="N804" s="4">
        <v>4.4999999999999998E-2</v>
      </c>
      <c r="O804" s="4">
        <v>4.4999999999999998E-2</v>
      </c>
      <c r="P804" s="4">
        <v>0</v>
      </c>
      <c r="Q804" s="3" t="s">
        <v>26</v>
      </c>
      <c r="R804" s="3">
        <v>0</v>
      </c>
      <c r="S804" s="4">
        <v>0</v>
      </c>
      <c r="T804" s="4">
        <v>61</v>
      </c>
      <c r="U804" s="4">
        <v>65</v>
      </c>
      <c r="V804" s="4">
        <f>IF(ISERROR(VLOOKUP($S$804,'TAR FIN'!$A$1:$O$92,15,0)),0,VLOOKUP($S$804,'TAR FIN'!$A$1:$O$92,15,0))</f>
        <v>0</v>
      </c>
      <c r="W804" s="4">
        <f>IF(ISERROR(VLOOKUP($T$804,'TAR FIN'!$A$1:$O$92,15,0)),0,VLOOKUP($T$804,'TAR FIN'!$A$1:$O$92,15,0))</f>
        <v>242.41</v>
      </c>
      <c r="X804" s="4">
        <f>IF(ISERROR(VLOOKUP($U$804,'TAR FIN'!$A$1:$O$92,15,0)),0,VLOOKUP($U$804,'TAR FIN'!$A$1:$O$92,15,0))</f>
        <v>242</v>
      </c>
      <c r="Y804" s="4"/>
      <c r="Z804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4" s="4">
        <f>('TE BE'!$AB$14+'TE BF'!$AB$14+'TE CVA'!$AB$14)*(1-CUSTOS!$M$36)</f>
        <v>302.55795834151576</v>
      </c>
      <c r="AB804" s="4">
        <f>$K$804*$V$804</f>
        <v>0</v>
      </c>
      <c r="AC804" s="4">
        <f>$M$804*$W$804</f>
        <v>10.90845</v>
      </c>
      <c r="AD804" s="4">
        <f>$O$804*$X$804</f>
        <v>10.889999999999999</v>
      </c>
      <c r="AE804" s="4">
        <f>$K$804*$Y$804</f>
        <v>0</v>
      </c>
      <c r="AF804" s="4">
        <f ca="1">$M$804*$Z$804</f>
        <v>13.763806110284282</v>
      </c>
      <c r="AG804" s="4">
        <f>$O$804*$AA$804</f>
        <v>13.615108125368209</v>
      </c>
    </row>
    <row r="805" spans="1:33" ht="11.25" customHeight="1" x14ac:dyDescent="0.25">
      <c r="A805" s="3" t="s">
        <v>21</v>
      </c>
      <c r="B805" s="3" t="s">
        <v>22</v>
      </c>
      <c r="C805" s="3" t="s">
        <v>23</v>
      </c>
      <c r="D805" s="3" t="s">
        <v>24</v>
      </c>
      <c r="E805" s="3" t="s">
        <v>31</v>
      </c>
      <c r="F805" s="3" t="s">
        <v>25</v>
      </c>
      <c r="G805" s="3" t="s">
        <v>25</v>
      </c>
      <c r="H805" s="3" t="s">
        <v>25</v>
      </c>
      <c r="I805" s="6">
        <v>44682</v>
      </c>
      <c r="J805" s="4">
        <v>0</v>
      </c>
      <c r="K805" s="4">
        <v>0</v>
      </c>
      <c r="L805" s="4">
        <v>2075.8119999999999</v>
      </c>
      <c r="M805" s="4">
        <v>2075.8119999999999</v>
      </c>
      <c r="N805" s="4">
        <v>2075.8119999999999</v>
      </c>
      <c r="O805" s="4">
        <v>2075.8119999999999</v>
      </c>
      <c r="P805" s="4">
        <v>11083</v>
      </c>
      <c r="Q805" s="3" t="s">
        <v>26</v>
      </c>
      <c r="R805" s="3">
        <v>0</v>
      </c>
      <c r="S805" s="4">
        <v>0</v>
      </c>
      <c r="T805" s="4">
        <v>61</v>
      </c>
      <c r="U805" s="4">
        <v>65</v>
      </c>
      <c r="V805" s="4">
        <f>IF(ISERROR(VLOOKUP($S$805,'TAR FIN'!$A$1:$O$92,15,0)),0,VLOOKUP($S$805,'TAR FIN'!$A$1:$O$92,15,0))</f>
        <v>0</v>
      </c>
      <c r="W805" s="4">
        <f>IF(ISERROR(VLOOKUP($T$805,'TAR FIN'!$A$1:$O$92,15,0)),0,VLOOKUP($T$805,'TAR FIN'!$A$1:$O$92,15,0))</f>
        <v>242.41</v>
      </c>
      <c r="X805" s="4">
        <f>IF(ISERROR(VLOOKUP($U$805,'TAR FIN'!$A$1:$O$92,15,0)),0,VLOOKUP($U$805,'TAR FIN'!$A$1:$O$92,15,0))</f>
        <v>242</v>
      </c>
      <c r="Y805" s="4"/>
      <c r="Z805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5" s="4">
        <f>('TE BE'!$AB$14+'TE BF'!$AB$14+'TE CVA'!$AB$14)*(1-CUSTOS!$M$36)</f>
        <v>302.55795834151576</v>
      </c>
      <c r="AB805" s="4">
        <f>$K$805*$V$805</f>
        <v>0</v>
      </c>
      <c r="AC805" s="4">
        <f>$M$805*$W$805</f>
        <v>503197.58691999997</v>
      </c>
      <c r="AD805" s="4">
        <f>$O$805*$X$805</f>
        <v>502346.50399999996</v>
      </c>
      <c r="AE805" s="4">
        <f>$K$805*$Y$805</f>
        <v>0</v>
      </c>
      <c r="AF805" s="4">
        <f ca="1">$M$805*$Z$805</f>
        <v>634912.75309780962</v>
      </c>
      <c r="AG805" s="4">
        <f>$O$805*$AA$805</f>
        <v>628053.44062081852</v>
      </c>
    </row>
    <row r="806" spans="1:33" ht="11.25" customHeight="1" x14ac:dyDescent="0.25">
      <c r="A806" s="3" t="s">
        <v>27</v>
      </c>
      <c r="B806" s="3" t="s">
        <v>22</v>
      </c>
      <c r="C806" s="3" t="s">
        <v>23</v>
      </c>
      <c r="D806" s="3" t="s">
        <v>24</v>
      </c>
      <c r="E806" s="3" t="s">
        <v>31</v>
      </c>
      <c r="F806" s="3" t="s">
        <v>25</v>
      </c>
      <c r="G806" s="3" t="s">
        <v>25</v>
      </c>
      <c r="H806" s="3" t="s">
        <v>25</v>
      </c>
      <c r="I806" s="6">
        <v>44682</v>
      </c>
      <c r="J806" s="4">
        <v>0</v>
      </c>
      <c r="K806" s="4">
        <v>0</v>
      </c>
      <c r="L806" s="4">
        <v>-1.6479999999999999</v>
      </c>
      <c r="M806" s="4">
        <v>-1.6479999999999999</v>
      </c>
      <c r="N806" s="4">
        <v>-1.6479999999999999</v>
      </c>
      <c r="O806" s="4">
        <v>-1.6479999999999999</v>
      </c>
      <c r="P806" s="4">
        <v>4</v>
      </c>
      <c r="Q806" s="3" t="s">
        <v>26</v>
      </c>
      <c r="R806" s="3">
        <v>0</v>
      </c>
      <c r="S806" s="4">
        <v>0</v>
      </c>
      <c r="T806" s="4">
        <v>61</v>
      </c>
      <c r="U806" s="4">
        <v>65</v>
      </c>
      <c r="V806" s="4">
        <f>IF(ISERROR(VLOOKUP($S$806,'TAR FIN'!$A$1:$O$92,15,0)),0,VLOOKUP($S$806,'TAR FIN'!$A$1:$O$92,15,0))</f>
        <v>0</v>
      </c>
      <c r="W806" s="4">
        <f>IF(ISERROR(VLOOKUP($T$806,'TAR FIN'!$A$1:$O$92,15,0)),0,VLOOKUP($T$806,'TAR FIN'!$A$1:$O$92,15,0))</f>
        <v>242.41</v>
      </c>
      <c r="X806" s="4">
        <f>IF(ISERROR(VLOOKUP($U$806,'TAR FIN'!$A$1:$O$92,15,0)),0,VLOOKUP($U$806,'TAR FIN'!$A$1:$O$92,15,0))</f>
        <v>242</v>
      </c>
      <c r="Y806" s="4"/>
      <c r="Z806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6" s="4">
        <f>('TE BE'!$AB$14+'TE BF'!$AB$14+'TE CVA'!$AB$14)*(1-CUSTOS!$M$36)</f>
        <v>302.55795834151576</v>
      </c>
      <c r="AB806" s="4">
        <f>$K$806*$V$806</f>
        <v>0</v>
      </c>
      <c r="AC806" s="4">
        <f>$M$806*$W$806</f>
        <v>-399.49167999999997</v>
      </c>
      <c r="AD806" s="4">
        <f>$O$806*$X$806</f>
        <v>-398.81599999999997</v>
      </c>
      <c r="AE806" s="4">
        <f>$K$806*$Y$806</f>
        <v>0</v>
      </c>
      <c r="AF806" s="4">
        <f ca="1">$M$806*$Z$806</f>
        <v>-504.061165994411</v>
      </c>
      <c r="AG806" s="4">
        <f>$O$806*$AA$806</f>
        <v>-498.61551534681792</v>
      </c>
    </row>
    <row r="807" spans="1:33" ht="11.25" customHeight="1" x14ac:dyDescent="0.25">
      <c r="A807" s="3" t="s">
        <v>21</v>
      </c>
      <c r="B807" s="3" t="s">
        <v>22</v>
      </c>
      <c r="C807" s="3" t="s">
        <v>23</v>
      </c>
      <c r="D807" s="3" t="s">
        <v>24</v>
      </c>
      <c r="E807" s="3" t="s">
        <v>31</v>
      </c>
      <c r="F807" s="3" t="s">
        <v>25</v>
      </c>
      <c r="G807" s="3" t="s">
        <v>25</v>
      </c>
      <c r="H807" s="3" t="s">
        <v>25</v>
      </c>
      <c r="I807" s="6">
        <v>44713</v>
      </c>
      <c r="J807" s="4">
        <v>0</v>
      </c>
      <c r="K807" s="4">
        <v>0</v>
      </c>
      <c r="L807" s="4">
        <v>2074.1880000000001</v>
      </c>
      <c r="M807" s="4">
        <v>2074.1880000000001</v>
      </c>
      <c r="N807" s="4">
        <v>2074.1880000000001</v>
      </c>
      <c r="O807" s="4">
        <v>2074.1880000000001</v>
      </c>
      <c r="P807" s="4">
        <v>11491</v>
      </c>
      <c r="Q807" s="3" t="s">
        <v>26</v>
      </c>
      <c r="R807" s="3">
        <v>0</v>
      </c>
      <c r="S807" s="4">
        <v>0</v>
      </c>
      <c r="T807" s="4">
        <v>61</v>
      </c>
      <c r="U807" s="4">
        <v>65</v>
      </c>
      <c r="V807" s="4">
        <f>IF(ISERROR(VLOOKUP($S$807,'TAR FIN'!$A$1:$O$92,15,0)),0,VLOOKUP($S$807,'TAR FIN'!$A$1:$O$92,15,0))</f>
        <v>0</v>
      </c>
      <c r="W807" s="4">
        <f>IF(ISERROR(VLOOKUP($T$807,'TAR FIN'!$A$1:$O$92,15,0)),0,VLOOKUP($T$807,'TAR FIN'!$A$1:$O$92,15,0))</f>
        <v>242.41</v>
      </c>
      <c r="X807" s="4">
        <f>IF(ISERROR(VLOOKUP($U$807,'TAR FIN'!$A$1:$O$92,15,0)),0,VLOOKUP($U$807,'TAR FIN'!$A$1:$O$92,15,0))</f>
        <v>242</v>
      </c>
      <c r="Y807" s="4"/>
      <c r="Z807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7" s="4">
        <f>('TE BE'!$AB$14+'TE BF'!$AB$14+'TE CVA'!$AB$14)*(1-CUSTOS!$M$36)</f>
        <v>302.55795834151576</v>
      </c>
      <c r="AB807" s="4">
        <f>$K$807*$V$807</f>
        <v>0</v>
      </c>
      <c r="AC807" s="4">
        <f>$M$807*$W$807</f>
        <v>502803.91308000003</v>
      </c>
      <c r="AD807" s="4">
        <f>$O$807*$X$807</f>
        <v>501953.49600000004</v>
      </c>
      <c r="AE807" s="4">
        <f>$K$807*$Y$807</f>
        <v>0</v>
      </c>
      <c r="AF807" s="4">
        <f ca="1">$M$807*$Z$807</f>
        <v>634416.03262840747</v>
      </c>
      <c r="AG807" s="4">
        <f>$O$807*$AA$807</f>
        <v>627562.08649647189</v>
      </c>
    </row>
    <row r="808" spans="1:33" ht="11.25" customHeight="1" x14ac:dyDescent="0.25">
      <c r="A808" s="3" t="s">
        <v>27</v>
      </c>
      <c r="B808" s="3" t="s">
        <v>22</v>
      </c>
      <c r="C808" s="3" t="s">
        <v>23</v>
      </c>
      <c r="D808" s="3" t="s">
        <v>24</v>
      </c>
      <c r="E808" s="3" t="s">
        <v>31</v>
      </c>
      <c r="F808" s="3" t="s">
        <v>25</v>
      </c>
      <c r="G808" s="3" t="s">
        <v>25</v>
      </c>
      <c r="H808" s="3" t="s">
        <v>25</v>
      </c>
      <c r="I808" s="6">
        <v>44713</v>
      </c>
      <c r="J808" s="4">
        <v>0</v>
      </c>
      <c r="K808" s="4">
        <v>0</v>
      </c>
      <c r="L808" s="4">
        <v>-0.48</v>
      </c>
      <c r="M808" s="4">
        <v>-0.48</v>
      </c>
      <c r="N808" s="4">
        <v>-0.48</v>
      </c>
      <c r="O808" s="4">
        <v>-0.48</v>
      </c>
      <c r="P808" s="4">
        <v>0</v>
      </c>
      <c r="Q808" s="3" t="s">
        <v>26</v>
      </c>
      <c r="R808" s="3">
        <v>0</v>
      </c>
      <c r="S808" s="4">
        <v>0</v>
      </c>
      <c r="T808" s="4">
        <v>61</v>
      </c>
      <c r="U808" s="4">
        <v>65</v>
      </c>
      <c r="V808" s="4">
        <f>IF(ISERROR(VLOOKUP($S$808,'TAR FIN'!$A$1:$O$92,15,0)),0,VLOOKUP($S$808,'TAR FIN'!$A$1:$O$92,15,0))</f>
        <v>0</v>
      </c>
      <c r="W808" s="4">
        <f>IF(ISERROR(VLOOKUP($T$808,'TAR FIN'!$A$1:$O$92,15,0)),0,VLOOKUP($T$808,'TAR FIN'!$A$1:$O$92,15,0))</f>
        <v>242.41</v>
      </c>
      <c r="X808" s="4">
        <f>IF(ISERROR(VLOOKUP($U$808,'TAR FIN'!$A$1:$O$92,15,0)),0,VLOOKUP($U$808,'TAR FIN'!$A$1:$O$92,15,0))</f>
        <v>242</v>
      </c>
      <c r="Y808" s="4"/>
      <c r="Z808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8" s="4">
        <f>('TE BE'!$AB$14+'TE BF'!$AB$14+'TE CVA'!$AB$14)*(1-CUSTOS!$M$36)</f>
        <v>302.55795834151576</v>
      </c>
      <c r="AB808" s="4">
        <f>$K$808*$V$808</f>
        <v>0</v>
      </c>
      <c r="AC808" s="4">
        <f>$M$808*$W$808</f>
        <v>-116.35679999999999</v>
      </c>
      <c r="AD808" s="4">
        <f>$O$808*$X$808</f>
        <v>-116.16</v>
      </c>
      <c r="AE808" s="4">
        <f>$K$808*$Y$808</f>
        <v>0</v>
      </c>
      <c r="AF808" s="4">
        <f ca="1">$M$808*$Z$808</f>
        <v>-146.81393184303235</v>
      </c>
      <c r="AG808" s="4">
        <f>$O$808*$AA$808</f>
        <v>-145.22782000392755</v>
      </c>
    </row>
    <row r="809" spans="1:33" ht="11.25" customHeight="1" x14ac:dyDescent="0.25">
      <c r="A809" s="3" t="s">
        <v>21</v>
      </c>
      <c r="B809" s="3" t="s">
        <v>22</v>
      </c>
      <c r="C809" s="3" t="s">
        <v>23</v>
      </c>
      <c r="D809" s="3" t="s">
        <v>24</v>
      </c>
      <c r="E809" s="3" t="s">
        <v>31</v>
      </c>
      <c r="F809" s="3" t="s">
        <v>25</v>
      </c>
      <c r="G809" s="3" t="s">
        <v>25</v>
      </c>
      <c r="H809" s="3" t="s">
        <v>25</v>
      </c>
      <c r="I809" s="6">
        <v>44743</v>
      </c>
      <c r="J809" s="4">
        <v>0</v>
      </c>
      <c r="K809" s="4">
        <v>0</v>
      </c>
      <c r="L809" s="4">
        <v>2027.6849999999999</v>
      </c>
      <c r="M809" s="4">
        <v>2027.6849999999999</v>
      </c>
      <c r="N809" s="4">
        <v>2027.6849999999999</v>
      </c>
      <c r="O809" s="4">
        <v>2027.6849999999999</v>
      </c>
      <c r="P809" s="4">
        <v>11515</v>
      </c>
      <c r="Q809" s="3" t="s">
        <v>26</v>
      </c>
      <c r="R809" s="3">
        <v>0</v>
      </c>
      <c r="S809" s="4">
        <v>0</v>
      </c>
      <c r="T809" s="4">
        <v>61</v>
      </c>
      <c r="U809" s="4">
        <v>65</v>
      </c>
      <c r="V809" s="4">
        <f>IF(ISERROR(VLOOKUP($S$809,'TAR FIN'!$A$1:$O$92,15,0)),0,VLOOKUP($S$809,'TAR FIN'!$A$1:$O$92,15,0))</f>
        <v>0</v>
      </c>
      <c r="W809" s="4">
        <f>IF(ISERROR(VLOOKUP($T$809,'TAR FIN'!$A$1:$O$92,15,0)),0,VLOOKUP($T$809,'TAR FIN'!$A$1:$O$92,15,0))</f>
        <v>242.41</v>
      </c>
      <c r="X809" s="4">
        <f>IF(ISERROR(VLOOKUP($U$809,'TAR FIN'!$A$1:$O$92,15,0)),0,VLOOKUP($U$809,'TAR FIN'!$A$1:$O$92,15,0))</f>
        <v>242</v>
      </c>
      <c r="Y809" s="4"/>
      <c r="Z809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09" s="4">
        <f>('TE BE'!$AB$14+'TE BF'!$AB$14+'TE CVA'!$AB$14)*(1-CUSTOS!$M$36)</f>
        <v>302.55795834151576</v>
      </c>
      <c r="AB809" s="4">
        <f>$K$809*$V$809</f>
        <v>0</v>
      </c>
      <c r="AC809" s="4">
        <f>$M$809*$W$809</f>
        <v>491531.12085000001</v>
      </c>
      <c r="AD809" s="4">
        <f>$O$809*$X$809</f>
        <v>490699.76999999996</v>
      </c>
      <c r="AE809" s="4">
        <f>$K$809*$Y$809</f>
        <v>0</v>
      </c>
      <c r="AF809" s="4">
        <f ca="1">$M$809*$Z$809</f>
        <v>620192.51539403968</v>
      </c>
      <c r="AG809" s="4">
        <f>$O$809*$AA$809</f>
        <v>613492.23375971639</v>
      </c>
    </row>
    <row r="810" spans="1:33" ht="11.25" customHeight="1" x14ac:dyDescent="0.25">
      <c r="A810" s="3" t="s">
        <v>27</v>
      </c>
      <c r="B810" s="3" t="s">
        <v>22</v>
      </c>
      <c r="C810" s="3" t="s">
        <v>23</v>
      </c>
      <c r="D810" s="3" t="s">
        <v>24</v>
      </c>
      <c r="E810" s="3" t="s">
        <v>31</v>
      </c>
      <c r="F810" s="3" t="s">
        <v>25</v>
      </c>
      <c r="G810" s="3" t="s">
        <v>25</v>
      </c>
      <c r="H810" s="3" t="s">
        <v>25</v>
      </c>
      <c r="I810" s="6">
        <v>44743</v>
      </c>
      <c r="J810" s="4">
        <v>0</v>
      </c>
      <c r="K810" s="4">
        <v>0</v>
      </c>
      <c r="L810" s="4">
        <v>-0.54600000000000004</v>
      </c>
      <c r="M810" s="4">
        <v>-0.54600000000000004</v>
      </c>
      <c r="N810" s="4">
        <v>-0.54600000000000004</v>
      </c>
      <c r="O810" s="4">
        <v>-0.54600000000000004</v>
      </c>
      <c r="P810" s="4">
        <v>3</v>
      </c>
      <c r="Q810" s="3" t="s">
        <v>26</v>
      </c>
      <c r="R810" s="3">
        <v>0</v>
      </c>
      <c r="S810" s="4">
        <v>0</v>
      </c>
      <c r="T810" s="4">
        <v>61</v>
      </c>
      <c r="U810" s="4">
        <v>65</v>
      </c>
      <c r="V810" s="4">
        <f>IF(ISERROR(VLOOKUP($S$810,'TAR FIN'!$A$1:$O$92,15,0)),0,VLOOKUP($S$810,'TAR FIN'!$A$1:$O$92,15,0))</f>
        <v>0</v>
      </c>
      <c r="W810" s="4">
        <f>IF(ISERROR(VLOOKUP($T$810,'TAR FIN'!$A$1:$O$92,15,0)),0,VLOOKUP($T$810,'TAR FIN'!$A$1:$O$92,15,0))</f>
        <v>242.41</v>
      </c>
      <c r="X810" s="4">
        <f>IF(ISERROR(VLOOKUP($U$810,'TAR FIN'!$A$1:$O$92,15,0)),0,VLOOKUP($U$810,'TAR FIN'!$A$1:$O$92,15,0))</f>
        <v>242</v>
      </c>
      <c r="Y810" s="4"/>
      <c r="Z810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0" s="4">
        <f>('TE BE'!$AB$14+'TE BF'!$AB$14+'TE CVA'!$AB$14)*(1-CUSTOS!$M$36)</f>
        <v>302.55795834151576</v>
      </c>
      <c r="AB810" s="4">
        <f>$K$810*$V$810</f>
        <v>0</v>
      </c>
      <c r="AC810" s="4">
        <f>$M$810*$W$810</f>
        <v>-132.35586000000001</v>
      </c>
      <c r="AD810" s="4">
        <f>$O$810*$X$810</f>
        <v>-132.13200000000001</v>
      </c>
      <c r="AE810" s="4">
        <f>$K$810*$Y$810</f>
        <v>0</v>
      </c>
      <c r="AF810" s="4">
        <f ca="1">$M$810*$Z$810</f>
        <v>-167.0008474714493</v>
      </c>
      <c r="AG810" s="4">
        <f>$O$810*$AA$810</f>
        <v>-165.19664525446763</v>
      </c>
    </row>
    <row r="811" spans="1:33" ht="11.25" customHeight="1" x14ac:dyDescent="0.25">
      <c r="A811" s="3" t="s">
        <v>21</v>
      </c>
      <c r="B811" s="3" t="s">
        <v>22</v>
      </c>
      <c r="C811" s="3" t="s">
        <v>23</v>
      </c>
      <c r="D811" s="3" t="s">
        <v>24</v>
      </c>
      <c r="E811" s="3" t="s">
        <v>31</v>
      </c>
      <c r="F811" s="3" t="s">
        <v>25</v>
      </c>
      <c r="G811" s="3" t="s">
        <v>25</v>
      </c>
      <c r="H811" s="3" t="s">
        <v>25</v>
      </c>
      <c r="I811" s="6">
        <v>44774</v>
      </c>
      <c r="J811" s="4">
        <v>0</v>
      </c>
      <c r="K811" s="4">
        <v>0</v>
      </c>
      <c r="L811" s="4">
        <v>2259.4780000000001</v>
      </c>
      <c r="M811" s="4">
        <v>2259.4780000000001</v>
      </c>
      <c r="N811" s="4">
        <v>2259.4780000000001</v>
      </c>
      <c r="O811" s="4">
        <v>2259.4780000000001</v>
      </c>
      <c r="P811" s="4">
        <v>10407</v>
      </c>
      <c r="Q811" s="3" t="s">
        <v>26</v>
      </c>
      <c r="R811" s="3">
        <v>0</v>
      </c>
      <c r="S811" s="4">
        <v>0</v>
      </c>
      <c r="T811" s="4">
        <v>61</v>
      </c>
      <c r="U811" s="4">
        <v>65</v>
      </c>
      <c r="V811" s="4">
        <f>IF(ISERROR(VLOOKUP($S$811,'TAR FIN'!$A$1:$O$92,15,0)),0,VLOOKUP($S$811,'TAR FIN'!$A$1:$O$92,15,0))</f>
        <v>0</v>
      </c>
      <c r="W811" s="4">
        <f>IF(ISERROR(VLOOKUP($T$811,'TAR FIN'!$A$1:$O$92,15,0)),0,VLOOKUP($T$811,'TAR FIN'!$A$1:$O$92,15,0))</f>
        <v>242.41</v>
      </c>
      <c r="X811" s="4">
        <f>IF(ISERROR(VLOOKUP($U$811,'TAR FIN'!$A$1:$O$92,15,0)),0,VLOOKUP($U$811,'TAR FIN'!$A$1:$O$92,15,0))</f>
        <v>242</v>
      </c>
      <c r="Y811" s="4"/>
      <c r="Z811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1" s="4">
        <f>('TE BE'!$AB$14+'TE BF'!$AB$14+'TE CVA'!$AB$14)*(1-CUSTOS!$M$36)</f>
        <v>302.55795834151576</v>
      </c>
      <c r="AB811" s="4">
        <f>$K$811*$V$811</f>
        <v>0</v>
      </c>
      <c r="AC811" s="4">
        <f>$M$811*$W$811</f>
        <v>547720.06198</v>
      </c>
      <c r="AD811" s="4">
        <f>$O$811*$X$811</f>
        <v>546793.67599999998</v>
      </c>
      <c r="AE811" s="4">
        <f>$K$811*$Y$811</f>
        <v>0</v>
      </c>
      <c r="AF811" s="4">
        <f ca="1">$M$811*$Z$811</f>
        <v>691089.26894339803</v>
      </c>
      <c r="AG811" s="4">
        <f>$O$811*$AA$811</f>
        <v>683623.0505975713</v>
      </c>
    </row>
    <row r="812" spans="1:33" ht="11.25" customHeight="1" x14ac:dyDescent="0.25">
      <c r="A812" s="3" t="s">
        <v>27</v>
      </c>
      <c r="B812" s="3" t="s">
        <v>22</v>
      </c>
      <c r="C812" s="3" t="s">
        <v>23</v>
      </c>
      <c r="D812" s="3" t="s">
        <v>24</v>
      </c>
      <c r="E812" s="3" t="s">
        <v>31</v>
      </c>
      <c r="F812" s="3" t="s">
        <v>25</v>
      </c>
      <c r="G812" s="3" t="s">
        <v>25</v>
      </c>
      <c r="H812" s="3" t="s">
        <v>25</v>
      </c>
      <c r="I812" s="6">
        <v>44774</v>
      </c>
      <c r="J812" s="4">
        <v>0</v>
      </c>
      <c r="K812" s="4">
        <v>0</v>
      </c>
      <c r="L812" s="4">
        <v>-0.36599999999999999</v>
      </c>
      <c r="M812" s="4">
        <v>-0.36599999999999999</v>
      </c>
      <c r="N812" s="4">
        <v>-0.36599999999999999</v>
      </c>
      <c r="O812" s="4">
        <v>-0.36599999999999999</v>
      </c>
      <c r="P812" s="4">
        <v>-3</v>
      </c>
      <c r="Q812" s="3" t="s">
        <v>26</v>
      </c>
      <c r="R812" s="3">
        <v>0</v>
      </c>
      <c r="S812" s="4">
        <v>0</v>
      </c>
      <c r="T812" s="4">
        <v>61</v>
      </c>
      <c r="U812" s="4">
        <v>65</v>
      </c>
      <c r="V812" s="4">
        <f>IF(ISERROR(VLOOKUP($S$812,'TAR FIN'!$A$1:$O$92,15,0)),0,VLOOKUP($S$812,'TAR FIN'!$A$1:$O$92,15,0))</f>
        <v>0</v>
      </c>
      <c r="W812" s="4">
        <f>IF(ISERROR(VLOOKUP($T$812,'TAR FIN'!$A$1:$O$92,15,0)),0,VLOOKUP($T$812,'TAR FIN'!$A$1:$O$92,15,0))</f>
        <v>242.41</v>
      </c>
      <c r="X812" s="4">
        <f>IF(ISERROR(VLOOKUP($U$812,'TAR FIN'!$A$1:$O$92,15,0)),0,VLOOKUP($U$812,'TAR FIN'!$A$1:$O$92,15,0))</f>
        <v>242</v>
      </c>
      <c r="Y812" s="4"/>
      <c r="Z812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2" s="4">
        <f>('TE BE'!$AB$14+'TE BF'!$AB$14+'TE CVA'!$AB$14)*(1-CUSTOS!$M$36)</f>
        <v>302.55795834151576</v>
      </c>
      <c r="AB812" s="4">
        <f>$K$812*$V$812</f>
        <v>0</v>
      </c>
      <c r="AC812" s="4">
        <f>$M$812*$W$812</f>
        <v>-88.722059999999999</v>
      </c>
      <c r="AD812" s="4">
        <f>$O$812*$X$812</f>
        <v>-88.572000000000003</v>
      </c>
      <c r="AE812" s="4">
        <f>$K$812*$Y$812</f>
        <v>0</v>
      </c>
      <c r="AF812" s="4">
        <f ca="1">$M$812*$Z$812</f>
        <v>-111.94562303031216</v>
      </c>
      <c r="AG812" s="4">
        <f>$O$812*$AA$812</f>
        <v>-110.73621275299476</v>
      </c>
    </row>
    <row r="813" spans="1:33" ht="11.25" customHeight="1" x14ac:dyDescent="0.25">
      <c r="A813" s="3" t="s">
        <v>21</v>
      </c>
      <c r="B813" s="3" t="s">
        <v>22</v>
      </c>
      <c r="C813" s="3" t="s">
        <v>23</v>
      </c>
      <c r="D813" s="3" t="s">
        <v>24</v>
      </c>
      <c r="E813" s="3" t="s">
        <v>31</v>
      </c>
      <c r="F813" s="3" t="s">
        <v>25</v>
      </c>
      <c r="G813" s="3" t="s">
        <v>25</v>
      </c>
      <c r="H813" s="3" t="s">
        <v>25</v>
      </c>
      <c r="I813" s="6">
        <v>44805</v>
      </c>
      <c r="J813" s="4">
        <v>0</v>
      </c>
      <c r="K813" s="4">
        <v>0</v>
      </c>
      <c r="L813" s="4">
        <v>2240.3069999999998</v>
      </c>
      <c r="M813" s="4">
        <v>2240.3069999999998</v>
      </c>
      <c r="N813" s="4">
        <v>2240.3069999999998</v>
      </c>
      <c r="O813" s="4">
        <v>2240.3069999999998</v>
      </c>
      <c r="P813" s="4">
        <v>10535</v>
      </c>
      <c r="Q813" s="3" t="s">
        <v>26</v>
      </c>
      <c r="R813" s="3">
        <v>0</v>
      </c>
      <c r="S813" s="4">
        <v>0</v>
      </c>
      <c r="T813" s="4">
        <v>61</v>
      </c>
      <c r="U813" s="4">
        <v>65</v>
      </c>
      <c r="V813" s="4">
        <f>IF(ISERROR(VLOOKUP($S$813,'TAR FIN'!$A$1:$O$92,15,0)),0,VLOOKUP($S$813,'TAR FIN'!$A$1:$O$92,15,0))</f>
        <v>0</v>
      </c>
      <c r="W813" s="4">
        <f>IF(ISERROR(VLOOKUP($T$813,'TAR FIN'!$A$1:$O$92,15,0)),0,VLOOKUP($T$813,'TAR FIN'!$A$1:$O$92,15,0))</f>
        <v>242.41</v>
      </c>
      <c r="X813" s="4">
        <f>IF(ISERROR(VLOOKUP($U$813,'TAR FIN'!$A$1:$O$92,15,0)),0,VLOOKUP($U$813,'TAR FIN'!$A$1:$O$92,15,0))</f>
        <v>242</v>
      </c>
      <c r="Y813" s="4"/>
      <c r="Z813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3" s="4">
        <f>('TE BE'!$AB$14+'TE BF'!$AB$14+'TE CVA'!$AB$14)*(1-CUSTOS!$M$36)</f>
        <v>302.55795834151576</v>
      </c>
      <c r="AB813" s="4">
        <f>$K$813*$V$813</f>
        <v>0</v>
      </c>
      <c r="AC813" s="4">
        <f>$M$813*$W$813</f>
        <v>543072.81986999989</v>
      </c>
      <c r="AD813" s="4">
        <f>$O$813*$X$813</f>
        <v>542154.29399999999</v>
      </c>
      <c r="AE813" s="4">
        <f>$K$813*$Y$813</f>
        <v>0</v>
      </c>
      <c r="AF813" s="4">
        <f ca="1">$M$813*$Z$813</f>
        <v>685225.58167805884</v>
      </c>
      <c r="AG813" s="4">
        <f>$O$813*$AA$813</f>
        <v>677822.71197820606</v>
      </c>
    </row>
    <row r="814" spans="1:33" ht="11.25" customHeight="1" x14ac:dyDescent="0.25">
      <c r="A814" s="3" t="s">
        <v>27</v>
      </c>
      <c r="B814" s="3" t="s">
        <v>22</v>
      </c>
      <c r="C814" s="3" t="s">
        <v>23</v>
      </c>
      <c r="D814" s="3" t="s">
        <v>24</v>
      </c>
      <c r="E814" s="3" t="s">
        <v>31</v>
      </c>
      <c r="F814" s="3" t="s">
        <v>25</v>
      </c>
      <c r="G814" s="3" t="s">
        <v>25</v>
      </c>
      <c r="H814" s="3" t="s">
        <v>25</v>
      </c>
      <c r="I814" s="6">
        <v>44805</v>
      </c>
      <c r="J814" s="4">
        <v>0</v>
      </c>
      <c r="K814" s="4">
        <v>0</v>
      </c>
      <c r="L814" s="4">
        <v>-0.69499999999999995</v>
      </c>
      <c r="M814" s="4">
        <v>-0.69499999999999995</v>
      </c>
      <c r="N814" s="4">
        <v>-0.69499999999999995</v>
      </c>
      <c r="O814" s="4">
        <v>-0.69499999999999995</v>
      </c>
      <c r="P814" s="4">
        <v>-3</v>
      </c>
      <c r="Q814" s="3" t="s">
        <v>26</v>
      </c>
      <c r="R814" s="3">
        <v>0</v>
      </c>
      <c r="S814" s="4">
        <v>0</v>
      </c>
      <c r="T814" s="4">
        <v>61</v>
      </c>
      <c r="U814" s="4">
        <v>65</v>
      </c>
      <c r="V814" s="4">
        <f>IF(ISERROR(VLOOKUP($S$814,'TAR FIN'!$A$1:$O$92,15,0)),0,VLOOKUP($S$814,'TAR FIN'!$A$1:$O$92,15,0))</f>
        <v>0</v>
      </c>
      <c r="W814" s="4">
        <f>IF(ISERROR(VLOOKUP($T$814,'TAR FIN'!$A$1:$O$92,15,0)),0,VLOOKUP($T$814,'TAR FIN'!$A$1:$O$92,15,0))</f>
        <v>242.41</v>
      </c>
      <c r="X814" s="4">
        <f>IF(ISERROR(VLOOKUP($U$814,'TAR FIN'!$A$1:$O$92,15,0)),0,VLOOKUP($U$814,'TAR FIN'!$A$1:$O$92,15,0))</f>
        <v>242</v>
      </c>
      <c r="Y814" s="4"/>
      <c r="Z814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4" s="4">
        <f>('TE BE'!$AB$14+'TE BF'!$AB$14+'TE CVA'!$AB$14)*(1-CUSTOS!$M$36)</f>
        <v>302.55795834151576</v>
      </c>
      <c r="AB814" s="4">
        <f>$K$814*$V$814</f>
        <v>0</v>
      </c>
      <c r="AC814" s="4">
        <f>$M$814*$W$814</f>
        <v>-168.47494999999998</v>
      </c>
      <c r="AD814" s="4">
        <f>$O$814*$X$814</f>
        <v>-168.19</v>
      </c>
      <c r="AE814" s="4">
        <f>$K$814*$Y$814</f>
        <v>0</v>
      </c>
      <c r="AF814" s="4">
        <f ca="1">$M$814*$Z$814</f>
        <v>-212.57433881439056</v>
      </c>
      <c r="AG814" s="4">
        <f>$O$814*$AA$814</f>
        <v>-210.27778104735344</v>
      </c>
    </row>
    <row r="815" spans="1:33" ht="11.25" customHeight="1" x14ac:dyDescent="0.25">
      <c r="A815" s="3" t="s">
        <v>55</v>
      </c>
      <c r="B815" s="3" t="s">
        <v>22</v>
      </c>
      <c r="C815" s="3" t="s">
        <v>23</v>
      </c>
      <c r="D815" s="3" t="s">
        <v>24</v>
      </c>
      <c r="E815" s="3" t="s">
        <v>31</v>
      </c>
      <c r="F815" s="3" t="s">
        <v>25</v>
      </c>
      <c r="G815" s="3" t="s">
        <v>25</v>
      </c>
      <c r="H815" s="3" t="s">
        <v>25</v>
      </c>
      <c r="I815" s="6">
        <v>44835</v>
      </c>
      <c r="J815" s="4">
        <v>0</v>
      </c>
      <c r="K815" s="4">
        <v>0</v>
      </c>
      <c r="L815" s="4">
        <v>2240.3069999999998</v>
      </c>
      <c r="M815" s="4">
        <v>2240.3069999999998</v>
      </c>
      <c r="N815" s="4">
        <v>2240.3069999999998</v>
      </c>
      <c r="O815" s="4">
        <v>2240.3069999999998</v>
      </c>
      <c r="P815" s="4">
        <v>10535</v>
      </c>
      <c r="Q815" s="3" t="s">
        <v>26</v>
      </c>
      <c r="R815" s="3">
        <v>0</v>
      </c>
      <c r="S815" s="4">
        <v>0</v>
      </c>
      <c r="T815" s="4">
        <v>61</v>
      </c>
      <c r="U815" s="4">
        <v>65</v>
      </c>
      <c r="V815" s="4">
        <f>IF(ISERROR(VLOOKUP($S$815,'TAR FIN'!$A$1:$O$92,15,0)),0,VLOOKUP($S$815,'TAR FIN'!$A$1:$O$92,15,0))</f>
        <v>0</v>
      </c>
      <c r="W815" s="4">
        <f>IF(ISERROR(VLOOKUP($T$815,'TAR FIN'!$A$1:$O$92,15,0)),0,VLOOKUP($T$815,'TAR FIN'!$A$1:$O$92,15,0))</f>
        <v>242.41</v>
      </c>
      <c r="X815" s="4">
        <f>IF(ISERROR(VLOOKUP($U$815,'TAR FIN'!$A$1:$O$92,15,0)),0,VLOOKUP($U$815,'TAR FIN'!$A$1:$O$92,15,0))</f>
        <v>242</v>
      </c>
      <c r="Y815" s="4"/>
      <c r="Z815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5" s="4">
        <f>('TE BE'!$AB$14+'TE BF'!$AB$14+'TE CVA'!$AB$14)*(1-CUSTOS!$M$36)</f>
        <v>302.55795834151576</v>
      </c>
      <c r="AB815" s="4">
        <f>$K$815*$V$815</f>
        <v>0</v>
      </c>
      <c r="AC815" s="4">
        <f>$M$815*$W$815</f>
        <v>543072.81986999989</v>
      </c>
      <c r="AD815" s="4">
        <f>$O$815*$X$815</f>
        <v>542154.29399999999</v>
      </c>
      <c r="AE815" s="4">
        <f>$K$815*$Y$815</f>
        <v>0</v>
      </c>
      <c r="AF815" s="4">
        <f ca="1">$M$815*$Z$815</f>
        <v>685225.58167805884</v>
      </c>
      <c r="AG815" s="4">
        <f>$O$815*$AA$815</f>
        <v>677822.71197820606</v>
      </c>
    </row>
    <row r="816" spans="1:33" ht="11.25" customHeight="1" x14ac:dyDescent="0.25">
      <c r="A816" s="3" t="s">
        <v>55</v>
      </c>
      <c r="B816" s="3" t="s">
        <v>22</v>
      </c>
      <c r="C816" s="3" t="s">
        <v>23</v>
      </c>
      <c r="D816" s="3" t="s">
        <v>24</v>
      </c>
      <c r="E816" s="3" t="s">
        <v>31</v>
      </c>
      <c r="F816" s="3" t="s">
        <v>25</v>
      </c>
      <c r="G816" s="3" t="s">
        <v>25</v>
      </c>
      <c r="H816" s="3" t="s">
        <v>25</v>
      </c>
      <c r="I816" s="6">
        <v>44835</v>
      </c>
      <c r="J816" s="4">
        <v>0</v>
      </c>
      <c r="K816" s="4">
        <v>0</v>
      </c>
      <c r="L816" s="4">
        <v>-0.69499999999999995</v>
      </c>
      <c r="M816" s="4">
        <v>-0.69499999999999995</v>
      </c>
      <c r="N816" s="4">
        <v>-0.69499999999999995</v>
      </c>
      <c r="O816" s="4">
        <v>-0.69499999999999995</v>
      </c>
      <c r="P816" s="4">
        <v>-3</v>
      </c>
      <c r="Q816" s="3" t="s">
        <v>26</v>
      </c>
      <c r="R816" s="3">
        <v>0</v>
      </c>
      <c r="S816" s="4">
        <v>0</v>
      </c>
      <c r="T816" s="4">
        <v>61</v>
      </c>
      <c r="U816" s="4">
        <v>65</v>
      </c>
      <c r="V816" s="4">
        <f>IF(ISERROR(VLOOKUP($S$816,'TAR FIN'!$A$1:$O$92,15,0)),0,VLOOKUP($S$816,'TAR FIN'!$A$1:$O$92,15,0))</f>
        <v>0</v>
      </c>
      <c r="W816" s="4">
        <f>IF(ISERROR(VLOOKUP($T$816,'TAR FIN'!$A$1:$O$92,15,0)),0,VLOOKUP($T$816,'TAR FIN'!$A$1:$O$92,15,0))</f>
        <v>242.41</v>
      </c>
      <c r="X816" s="4">
        <f>IF(ISERROR(VLOOKUP($U$816,'TAR FIN'!$A$1:$O$92,15,0)),0,VLOOKUP($U$816,'TAR FIN'!$A$1:$O$92,15,0))</f>
        <v>242</v>
      </c>
      <c r="Y816" s="4"/>
      <c r="Z816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816" s="4">
        <f>('TE BE'!$AB$14+'TE BF'!$AB$14+'TE CVA'!$AB$14)*(1-CUSTOS!$M$36)</f>
        <v>302.55795834151576</v>
      </c>
      <c r="AB816" s="4">
        <f>$K$816*$V$816</f>
        <v>0</v>
      </c>
      <c r="AC816" s="4">
        <f>$M$816*$W$816</f>
        <v>-168.47494999999998</v>
      </c>
      <c r="AD816" s="4">
        <f>$O$816*$X$816</f>
        <v>-168.19</v>
      </c>
      <c r="AE816" s="4">
        <f>$K$816*$Y$816</f>
        <v>0</v>
      </c>
      <c r="AF816" s="4">
        <f ca="1">$M$816*$Z$816</f>
        <v>-212.57433881439056</v>
      </c>
      <c r="AG816" s="4">
        <f>$O$816*$AA$816</f>
        <v>-210.27778104735344</v>
      </c>
    </row>
    <row r="817" spans="1:33" ht="11.25" customHeight="1" x14ac:dyDescent="0.25">
      <c r="A817" s="3" t="s">
        <v>21</v>
      </c>
      <c r="B817" s="3" t="s">
        <v>22</v>
      </c>
      <c r="C817" s="3" t="s">
        <v>23</v>
      </c>
      <c r="D817" s="3" t="s">
        <v>24</v>
      </c>
      <c r="E817" s="3" t="s">
        <v>32</v>
      </c>
      <c r="F817" s="3" t="s">
        <v>25</v>
      </c>
      <c r="G817" s="3" t="s">
        <v>25</v>
      </c>
      <c r="H817" s="3" t="s">
        <v>25</v>
      </c>
      <c r="I817" s="6">
        <v>44501</v>
      </c>
      <c r="J817" s="4">
        <v>0</v>
      </c>
      <c r="K817" s="4">
        <v>0</v>
      </c>
      <c r="L817" s="4">
        <v>2719.3229999999999</v>
      </c>
      <c r="M817" s="4">
        <v>2719.3229999999999</v>
      </c>
      <c r="N817" s="4">
        <v>2719.3229999999999</v>
      </c>
      <c r="O817" s="4">
        <v>2719.3229999999999</v>
      </c>
      <c r="P817" s="4">
        <v>13185</v>
      </c>
      <c r="Q817" s="3" t="s">
        <v>26</v>
      </c>
      <c r="R817" s="3">
        <v>0</v>
      </c>
      <c r="S817" s="4">
        <v>0</v>
      </c>
      <c r="T817" s="4">
        <v>12</v>
      </c>
      <c r="U817" s="4">
        <v>52</v>
      </c>
      <c r="V817" s="4">
        <f>IF(ISERROR(VLOOKUP($S$817,'TAR FIN'!$A$1:$O$92,15,0)),0,VLOOKUP($S$817,'TAR FIN'!$A$1:$O$92,15,0))</f>
        <v>0</v>
      </c>
      <c r="W817" s="4">
        <f>IF(ISERROR(VLOOKUP($T$817,'TAR FIN'!$A$1:$O$92,15,0)),0,VLOOKUP($T$817,'TAR FIN'!$A$1:$O$92,15,0))</f>
        <v>269.33999999999997</v>
      </c>
      <c r="X817" s="4">
        <f>IF(ISERROR(VLOOKUP($U$817,'TAR FIN'!$A$1:$O$92,15,0)),0,VLOOKUP($U$817,'TAR FIN'!$A$1:$O$92,15,0))</f>
        <v>268.89</v>
      </c>
      <c r="Y817" s="4"/>
      <c r="Z817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17" s="4">
        <f>('TE BE'!$AB$15+'TE BF'!$AB$15+'TE CVA'!$AB$15)*(1-CUSTOS!$M$37)</f>
        <v>336.17550926835082</v>
      </c>
      <c r="AB817" s="4">
        <f>$K$817*$V$817</f>
        <v>0</v>
      </c>
      <c r="AC817" s="4">
        <f>$M$817*$W$817</f>
        <v>732422.45681999985</v>
      </c>
      <c r="AD817" s="4">
        <f>$O$817*$X$817</f>
        <v>731198.76146999991</v>
      </c>
      <c r="AE817" s="4">
        <f>$K$817*$Y$817</f>
        <v>0</v>
      </c>
      <c r="AF817" s="4">
        <f ca="1">$M$817*$Z$817</f>
        <v>924153.93884534761</v>
      </c>
      <c r="AG817" s="4">
        <f>$O$817*$AA$817</f>
        <v>914169.79439013952</v>
      </c>
    </row>
    <row r="818" spans="1:33" ht="11.25" customHeight="1" x14ac:dyDescent="0.25">
      <c r="A818" s="3" t="s">
        <v>27</v>
      </c>
      <c r="B818" s="3" t="s">
        <v>22</v>
      </c>
      <c r="C818" s="3" t="s">
        <v>23</v>
      </c>
      <c r="D818" s="3" t="s">
        <v>24</v>
      </c>
      <c r="E818" s="3" t="s">
        <v>32</v>
      </c>
      <c r="F818" s="3" t="s">
        <v>25</v>
      </c>
      <c r="G818" s="3" t="s">
        <v>25</v>
      </c>
      <c r="H818" s="3" t="s">
        <v>25</v>
      </c>
      <c r="I818" s="6">
        <v>44501</v>
      </c>
      <c r="J818" s="4">
        <v>0</v>
      </c>
      <c r="K818" s="4">
        <v>0</v>
      </c>
      <c r="L818" s="4">
        <v>-6.7809999999999997</v>
      </c>
      <c r="M818" s="4">
        <v>-6.7809999999999997</v>
      </c>
      <c r="N818" s="4">
        <v>-6.7809999999999997</v>
      </c>
      <c r="O818" s="4">
        <v>-6.7809999999999997</v>
      </c>
      <c r="P818" s="4">
        <v>-13</v>
      </c>
      <c r="Q818" s="3" t="s">
        <v>26</v>
      </c>
      <c r="R818" s="3">
        <v>0</v>
      </c>
      <c r="S818" s="4">
        <v>0</v>
      </c>
      <c r="T818" s="4">
        <v>12</v>
      </c>
      <c r="U818" s="4">
        <v>52</v>
      </c>
      <c r="V818" s="4">
        <f>IF(ISERROR(VLOOKUP($S$818,'TAR FIN'!$A$1:$O$92,15,0)),0,VLOOKUP($S$818,'TAR FIN'!$A$1:$O$92,15,0))</f>
        <v>0</v>
      </c>
      <c r="W818" s="4">
        <f>IF(ISERROR(VLOOKUP($T$818,'TAR FIN'!$A$1:$O$92,15,0)),0,VLOOKUP($T$818,'TAR FIN'!$A$1:$O$92,15,0))</f>
        <v>269.33999999999997</v>
      </c>
      <c r="X818" s="4">
        <f>IF(ISERROR(VLOOKUP($U$818,'TAR FIN'!$A$1:$O$92,15,0)),0,VLOOKUP($U$818,'TAR FIN'!$A$1:$O$92,15,0))</f>
        <v>268.89</v>
      </c>
      <c r="Y818" s="4"/>
      <c r="Z818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18" s="4">
        <f>('TE BE'!$AB$15+'TE BF'!$AB$15+'TE CVA'!$AB$15)*(1-CUSTOS!$M$37)</f>
        <v>336.17550926835082</v>
      </c>
      <c r="AB818" s="4">
        <f>$K$818*$V$818</f>
        <v>0</v>
      </c>
      <c r="AC818" s="4">
        <f>$M$818*$W$818</f>
        <v>-1826.3945399999998</v>
      </c>
      <c r="AD818" s="4">
        <f>$O$818*$X$818</f>
        <v>-1823.3430899999998</v>
      </c>
      <c r="AE818" s="4">
        <f>$K$818*$Y$818</f>
        <v>0</v>
      </c>
      <c r="AF818" s="4">
        <f ca="1">$M$818*$Z$818</f>
        <v>-2304.5029440453754</v>
      </c>
      <c r="AG818" s="4">
        <f>$O$818*$AA$818</f>
        <v>-2279.606128348687</v>
      </c>
    </row>
    <row r="819" spans="1:33" ht="11.25" customHeight="1" x14ac:dyDescent="0.25">
      <c r="A819" s="3" t="s">
        <v>21</v>
      </c>
      <c r="B819" s="3" t="s">
        <v>22</v>
      </c>
      <c r="C819" s="3" t="s">
        <v>23</v>
      </c>
      <c r="D819" s="3" t="s">
        <v>24</v>
      </c>
      <c r="E819" s="3" t="s">
        <v>32</v>
      </c>
      <c r="F819" s="3" t="s">
        <v>25</v>
      </c>
      <c r="G819" s="3" t="s">
        <v>25</v>
      </c>
      <c r="H819" s="3" t="s">
        <v>25</v>
      </c>
      <c r="I819" s="6">
        <v>44531</v>
      </c>
      <c r="J819" s="4">
        <v>0</v>
      </c>
      <c r="K819" s="4">
        <v>0</v>
      </c>
      <c r="L819" s="4">
        <v>2468.0030000000002</v>
      </c>
      <c r="M819" s="4">
        <v>2468.0030000000002</v>
      </c>
      <c r="N819" s="4">
        <v>2468.0030000000002</v>
      </c>
      <c r="O819" s="4">
        <v>2468.0030000000002</v>
      </c>
      <c r="P819" s="4">
        <v>12705</v>
      </c>
      <c r="Q819" s="3" t="s">
        <v>26</v>
      </c>
      <c r="R819" s="3">
        <v>0</v>
      </c>
      <c r="S819" s="4">
        <v>0</v>
      </c>
      <c r="T819" s="4">
        <v>12</v>
      </c>
      <c r="U819" s="4">
        <v>52</v>
      </c>
      <c r="V819" s="4">
        <f>IF(ISERROR(VLOOKUP($S$819,'TAR FIN'!$A$1:$O$92,15,0)),0,VLOOKUP($S$819,'TAR FIN'!$A$1:$O$92,15,0))</f>
        <v>0</v>
      </c>
      <c r="W819" s="4">
        <f>IF(ISERROR(VLOOKUP($T$819,'TAR FIN'!$A$1:$O$92,15,0)),0,VLOOKUP($T$819,'TAR FIN'!$A$1:$O$92,15,0))</f>
        <v>269.33999999999997</v>
      </c>
      <c r="X819" s="4">
        <f>IF(ISERROR(VLOOKUP($U$819,'TAR FIN'!$A$1:$O$92,15,0)),0,VLOOKUP($U$819,'TAR FIN'!$A$1:$O$92,15,0))</f>
        <v>268.89</v>
      </c>
      <c r="Y819" s="4"/>
      <c r="Z819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19" s="4">
        <f>('TE BE'!$AB$15+'TE BF'!$AB$15+'TE CVA'!$AB$15)*(1-CUSTOS!$M$37)</f>
        <v>336.17550926835082</v>
      </c>
      <c r="AB819" s="4">
        <f>$K$819*$V$819</f>
        <v>0</v>
      </c>
      <c r="AC819" s="4">
        <f>$M$819*$W$819</f>
        <v>664731.92801999999</v>
      </c>
      <c r="AD819" s="4">
        <f>$O$819*$X$819</f>
        <v>663621.32666999998</v>
      </c>
      <c r="AE819" s="4">
        <f>$K$819*$Y$819</f>
        <v>0</v>
      </c>
      <c r="AF819" s="4">
        <f ca="1">$M$819*$Z$819</f>
        <v>838743.57460740593</v>
      </c>
      <c r="AG819" s="4">
        <f>$O$819*$AA$819</f>
        <v>829682.16540081764</v>
      </c>
    </row>
    <row r="820" spans="1:33" ht="11.25" customHeight="1" x14ac:dyDescent="0.25">
      <c r="A820" s="3" t="s">
        <v>27</v>
      </c>
      <c r="B820" s="3" t="s">
        <v>22</v>
      </c>
      <c r="C820" s="3" t="s">
        <v>23</v>
      </c>
      <c r="D820" s="3" t="s">
        <v>24</v>
      </c>
      <c r="E820" s="3" t="s">
        <v>32</v>
      </c>
      <c r="F820" s="3" t="s">
        <v>25</v>
      </c>
      <c r="G820" s="3" t="s">
        <v>25</v>
      </c>
      <c r="H820" s="3" t="s">
        <v>25</v>
      </c>
      <c r="I820" s="6">
        <v>44531</v>
      </c>
      <c r="J820" s="4">
        <v>0</v>
      </c>
      <c r="K820" s="4">
        <v>0</v>
      </c>
      <c r="L820" s="4">
        <v>-2.0510000000000002</v>
      </c>
      <c r="M820" s="4">
        <v>-2.0510000000000002</v>
      </c>
      <c r="N820" s="4">
        <v>-2.0510000000000002</v>
      </c>
      <c r="O820" s="4">
        <v>-2.0510000000000002</v>
      </c>
      <c r="P820" s="4">
        <v>-4</v>
      </c>
      <c r="Q820" s="3" t="s">
        <v>26</v>
      </c>
      <c r="R820" s="3">
        <v>0</v>
      </c>
      <c r="S820" s="4">
        <v>0</v>
      </c>
      <c r="T820" s="4">
        <v>12</v>
      </c>
      <c r="U820" s="4">
        <v>52</v>
      </c>
      <c r="V820" s="4">
        <f>IF(ISERROR(VLOOKUP($S$820,'TAR FIN'!$A$1:$O$92,15,0)),0,VLOOKUP($S$820,'TAR FIN'!$A$1:$O$92,15,0))</f>
        <v>0</v>
      </c>
      <c r="W820" s="4">
        <f>IF(ISERROR(VLOOKUP($T$820,'TAR FIN'!$A$1:$O$92,15,0)),0,VLOOKUP($T$820,'TAR FIN'!$A$1:$O$92,15,0))</f>
        <v>269.33999999999997</v>
      </c>
      <c r="X820" s="4">
        <f>IF(ISERROR(VLOOKUP($U$820,'TAR FIN'!$A$1:$O$92,15,0)),0,VLOOKUP($U$820,'TAR FIN'!$A$1:$O$92,15,0))</f>
        <v>268.89</v>
      </c>
      <c r="Y820" s="4"/>
      <c r="Z820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0" s="4">
        <f>('TE BE'!$AB$15+'TE BF'!$AB$15+'TE CVA'!$AB$15)*(1-CUSTOS!$M$37)</f>
        <v>336.17550926835082</v>
      </c>
      <c r="AB820" s="4">
        <f>$K$820*$V$820</f>
        <v>0</v>
      </c>
      <c r="AC820" s="4">
        <f>$M$820*$W$820</f>
        <v>-552.41633999999999</v>
      </c>
      <c r="AD820" s="4">
        <f>$O$820*$X$820</f>
        <v>-551.49338999999998</v>
      </c>
      <c r="AE820" s="4">
        <f>$K$820*$Y$820</f>
        <v>0</v>
      </c>
      <c r="AF820" s="4">
        <f ca="1">$M$820*$Z$820</f>
        <v>-697.02632918995209</v>
      </c>
      <c r="AG820" s="4">
        <f>$O$820*$AA$820</f>
        <v>-689.49596950938758</v>
      </c>
    </row>
    <row r="821" spans="1:33" ht="11.25" customHeight="1" x14ac:dyDescent="0.25">
      <c r="A821" s="3" t="s">
        <v>21</v>
      </c>
      <c r="B821" s="3" t="s">
        <v>22</v>
      </c>
      <c r="C821" s="3" t="s">
        <v>23</v>
      </c>
      <c r="D821" s="3" t="s">
        <v>24</v>
      </c>
      <c r="E821" s="3" t="s">
        <v>32</v>
      </c>
      <c r="F821" s="3" t="s">
        <v>25</v>
      </c>
      <c r="G821" s="3" t="s">
        <v>25</v>
      </c>
      <c r="H821" s="3" t="s">
        <v>25</v>
      </c>
      <c r="I821" s="6">
        <v>44562</v>
      </c>
      <c r="J821" s="4">
        <v>0</v>
      </c>
      <c r="K821" s="4">
        <v>0</v>
      </c>
      <c r="L821" s="4">
        <v>2111.3409999999999</v>
      </c>
      <c r="M821" s="4">
        <v>2111.3409999999999</v>
      </c>
      <c r="N821" s="4">
        <v>2111.3409999999999</v>
      </c>
      <c r="O821" s="4">
        <v>2111.3409999999999</v>
      </c>
      <c r="P821" s="4">
        <v>11798</v>
      </c>
      <c r="Q821" s="3" t="s">
        <v>26</v>
      </c>
      <c r="R821" s="3">
        <v>0</v>
      </c>
      <c r="S821" s="4">
        <v>0</v>
      </c>
      <c r="T821" s="4">
        <v>12</v>
      </c>
      <c r="U821" s="4">
        <v>52</v>
      </c>
      <c r="V821" s="4">
        <f>IF(ISERROR(VLOOKUP($S$821,'TAR FIN'!$A$1:$O$92,15,0)),0,VLOOKUP($S$821,'TAR FIN'!$A$1:$O$92,15,0))</f>
        <v>0</v>
      </c>
      <c r="W821" s="4">
        <f>IF(ISERROR(VLOOKUP($T$821,'TAR FIN'!$A$1:$O$92,15,0)),0,VLOOKUP($T$821,'TAR FIN'!$A$1:$O$92,15,0))</f>
        <v>269.33999999999997</v>
      </c>
      <c r="X821" s="4">
        <f>IF(ISERROR(VLOOKUP($U$821,'TAR FIN'!$A$1:$O$92,15,0)),0,VLOOKUP($U$821,'TAR FIN'!$A$1:$O$92,15,0))</f>
        <v>268.89</v>
      </c>
      <c r="Y821" s="4"/>
      <c r="Z821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1" s="4">
        <f>('TE BE'!$AB$15+'TE BF'!$AB$15+'TE CVA'!$AB$15)*(1-CUSTOS!$M$37)</f>
        <v>336.17550926835082</v>
      </c>
      <c r="AB821" s="4">
        <f>$K$821*$V$821</f>
        <v>0</v>
      </c>
      <c r="AC821" s="4">
        <f>$M$821*$W$821</f>
        <v>568668.58493999997</v>
      </c>
      <c r="AD821" s="4">
        <f>$O$821*$X$821</f>
        <v>567718.48148999992</v>
      </c>
      <c r="AE821" s="4">
        <f>$K$821*$Y$821</f>
        <v>0</v>
      </c>
      <c r="AF821" s="4">
        <f ca="1">$M$821*$Z$821</f>
        <v>717533.04090601788</v>
      </c>
      <c r="AG821" s="4">
        <f>$O$821*$AA$821</f>
        <v>709781.13591414911</v>
      </c>
    </row>
    <row r="822" spans="1:33" ht="11.25" customHeight="1" x14ac:dyDescent="0.25">
      <c r="A822" s="3" t="s">
        <v>27</v>
      </c>
      <c r="B822" s="3" t="s">
        <v>22</v>
      </c>
      <c r="C822" s="3" t="s">
        <v>23</v>
      </c>
      <c r="D822" s="3" t="s">
        <v>24</v>
      </c>
      <c r="E822" s="3" t="s">
        <v>32</v>
      </c>
      <c r="F822" s="3" t="s">
        <v>25</v>
      </c>
      <c r="G822" s="3" t="s">
        <v>25</v>
      </c>
      <c r="H822" s="3" t="s">
        <v>25</v>
      </c>
      <c r="I822" s="6">
        <v>44562</v>
      </c>
      <c r="J822" s="4">
        <v>0</v>
      </c>
      <c r="K822" s="4">
        <v>0</v>
      </c>
      <c r="L822" s="4">
        <v>-5.3890000000000002</v>
      </c>
      <c r="M822" s="4">
        <v>-5.3890000000000002</v>
      </c>
      <c r="N822" s="4">
        <v>-5.3890000000000002</v>
      </c>
      <c r="O822" s="4">
        <v>-5.3890000000000002</v>
      </c>
      <c r="P822" s="4">
        <v>-3</v>
      </c>
      <c r="Q822" s="3" t="s">
        <v>26</v>
      </c>
      <c r="R822" s="3">
        <v>0</v>
      </c>
      <c r="S822" s="4">
        <v>0</v>
      </c>
      <c r="T822" s="4">
        <v>12</v>
      </c>
      <c r="U822" s="4">
        <v>52</v>
      </c>
      <c r="V822" s="4">
        <f>IF(ISERROR(VLOOKUP($S$822,'TAR FIN'!$A$1:$O$92,15,0)),0,VLOOKUP($S$822,'TAR FIN'!$A$1:$O$92,15,0))</f>
        <v>0</v>
      </c>
      <c r="W822" s="4">
        <f>IF(ISERROR(VLOOKUP($T$822,'TAR FIN'!$A$1:$O$92,15,0)),0,VLOOKUP($T$822,'TAR FIN'!$A$1:$O$92,15,0))</f>
        <v>269.33999999999997</v>
      </c>
      <c r="X822" s="4">
        <f>IF(ISERROR(VLOOKUP($U$822,'TAR FIN'!$A$1:$O$92,15,0)),0,VLOOKUP($U$822,'TAR FIN'!$A$1:$O$92,15,0))</f>
        <v>268.89</v>
      </c>
      <c r="Y822" s="4"/>
      <c r="Z822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2" s="4">
        <f>('TE BE'!$AB$15+'TE BF'!$AB$15+'TE CVA'!$AB$15)*(1-CUSTOS!$M$37)</f>
        <v>336.17550926835082</v>
      </c>
      <c r="AB822" s="4">
        <f>$K$822*$V$822</f>
        <v>0</v>
      </c>
      <c r="AC822" s="4">
        <f>$M$822*$W$822</f>
        <v>-1451.47326</v>
      </c>
      <c r="AD822" s="4">
        <f>$O$822*$X$822</f>
        <v>-1449.0482099999999</v>
      </c>
      <c r="AE822" s="4">
        <f>$K$822*$Y$822</f>
        <v>0</v>
      </c>
      <c r="AF822" s="4">
        <f ca="1">$M$822*$Z$822</f>
        <v>-1831.435830328938</v>
      </c>
      <c r="AG822" s="4">
        <f>$O$822*$AA$822</f>
        <v>-1811.6498194471426</v>
      </c>
    </row>
    <row r="823" spans="1:33" ht="11.25" customHeight="1" x14ac:dyDescent="0.25">
      <c r="A823" s="3" t="s">
        <v>21</v>
      </c>
      <c r="B823" s="3" t="s">
        <v>22</v>
      </c>
      <c r="C823" s="3" t="s">
        <v>23</v>
      </c>
      <c r="D823" s="3" t="s">
        <v>24</v>
      </c>
      <c r="E823" s="3" t="s">
        <v>32</v>
      </c>
      <c r="F823" s="3" t="s">
        <v>25</v>
      </c>
      <c r="G823" s="3" t="s">
        <v>25</v>
      </c>
      <c r="H823" s="3" t="s">
        <v>25</v>
      </c>
      <c r="I823" s="6">
        <v>44593</v>
      </c>
      <c r="J823" s="4">
        <v>0</v>
      </c>
      <c r="K823" s="4">
        <v>0</v>
      </c>
      <c r="L823" s="4">
        <v>2431.8009999999999</v>
      </c>
      <c r="M823" s="4">
        <v>2431.8009999999999</v>
      </c>
      <c r="N823" s="4">
        <v>2431.8009999999999</v>
      </c>
      <c r="O823" s="4">
        <v>2431.8009999999999</v>
      </c>
      <c r="P823" s="4">
        <v>12459</v>
      </c>
      <c r="Q823" s="3" t="s">
        <v>26</v>
      </c>
      <c r="R823" s="3">
        <v>0</v>
      </c>
      <c r="S823" s="4">
        <v>0</v>
      </c>
      <c r="T823" s="4">
        <v>12</v>
      </c>
      <c r="U823" s="4">
        <v>52</v>
      </c>
      <c r="V823" s="4">
        <f>IF(ISERROR(VLOOKUP($S$823,'TAR FIN'!$A$1:$O$92,15,0)),0,VLOOKUP($S$823,'TAR FIN'!$A$1:$O$92,15,0))</f>
        <v>0</v>
      </c>
      <c r="W823" s="4">
        <f>IF(ISERROR(VLOOKUP($T$823,'TAR FIN'!$A$1:$O$92,15,0)),0,VLOOKUP($T$823,'TAR FIN'!$A$1:$O$92,15,0))</f>
        <v>269.33999999999997</v>
      </c>
      <c r="X823" s="4">
        <f>IF(ISERROR(VLOOKUP($U$823,'TAR FIN'!$A$1:$O$92,15,0)),0,VLOOKUP($U$823,'TAR FIN'!$A$1:$O$92,15,0))</f>
        <v>268.89</v>
      </c>
      <c r="Y823" s="4"/>
      <c r="Z823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3" s="4">
        <f>('TE BE'!$AB$15+'TE BF'!$AB$15+'TE CVA'!$AB$15)*(1-CUSTOS!$M$37)</f>
        <v>336.17550926835082</v>
      </c>
      <c r="AB823" s="4">
        <f>$K$823*$V$823</f>
        <v>0</v>
      </c>
      <c r="AC823" s="4">
        <f>$M$823*$W$823</f>
        <v>654981.28133999987</v>
      </c>
      <c r="AD823" s="4">
        <f>$O$823*$X$823</f>
        <v>653886.97089</v>
      </c>
      <c r="AE823" s="4">
        <f>$K$823*$Y$823</f>
        <v>0</v>
      </c>
      <c r="AF823" s="4">
        <f ca="1">$M$823*$Z$823</f>
        <v>826440.43118013395</v>
      </c>
      <c r="AG823" s="4">
        <f>$O$823*$AA$823</f>
        <v>817511.93961428478</v>
      </c>
    </row>
    <row r="824" spans="1:33" ht="11.25" customHeight="1" x14ac:dyDescent="0.25">
      <c r="A824" s="3" t="s">
        <v>27</v>
      </c>
      <c r="B824" s="3" t="s">
        <v>22</v>
      </c>
      <c r="C824" s="3" t="s">
        <v>23</v>
      </c>
      <c r="D824" s="3" t="s">
        <v>24</v>
      </c>
      <c r="E824" s="3" t="s">
        <v>32</v>
      </c>
      <c r="F824" s="3" t="s">
        <v>25</v>
      </c>
      <c r="G824" s="3" t="s">
        <v>25</v>
      </c>
      <c r="H824" s="3" t="s">
        <v>25</v>
      </c>
      <c r="I824" s="6">
        <v>44593</v>
      </c>
      <c r="J824" s="4">
        <v>0</v>
      </c>
      <c r="K824" s="4">
        <v>0</v>
      </c>
      <c r="L824" s="4">
        <v>-1.526</v>
      </c>
      <c r="M824" s="4">
        <v>-1.526</v>
      </c>
      <c r="N824" s="4">
        <v>-1.526</v>
      </c>
      <c r="O824" s="4">
        <v>-1.526</v>
      </c>
      <c r="P824" s="4">
        <v>-4</v>
      </c>
      <c r="Q824" s="3" t="s">
        <v>26</v>
      </c>
      <c r="R824" s="3">
        <v>0</v>
      </c>
      <c r="S824" s="4">
        <v>0</v>
      </c>
      <c r="T824" s="4">
        <v>12</v>
      </c>
      <c r="U824" s="4">
        <v>52</v>
      </c>
      <c r="V824" s="4">
        <f>IF(ISERROR(VLOOKUP($S$824,'TAR FIN'!$A$1:$O$92,15,0)),0,VLOOKUP($S$824,'TAR FIN'!$A$1:$O$92,15,0))</f>
        <v>0</v>
      </c>
      <c r="W824" s="4">
        <f>IF(ISERROR(VLOOKUP($T$824,'TAR FIN'!$A$1:$O$92,15,0)),0,VLOOKUP($T$824,'TAR FIN'!$A$1:$O$92,15,0))</f>
        <v>269.33999999999997</v>
      </c>
      <c r="X824" s="4">
        <f>IF(ISERROR(VLOOKUP($U$824,'TAR FIN'!$A$1:$O$92,15,0)),0,VLOOKUP($U$824,'TAR FIN'!$A$1:$O$92,15,0))</f>
        <v>268.89</v>
      </c>
      <c r="Y824" s="4"/>
      <c r="Z824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4" s="4">
        <f>('TE BE'!$AB$15+'TE BF'!$AB$15+'TE CVA'!$AB$15)*(1-CUSTOS!$M$37)</f>
        <v>336.17550926835082</v>
      </c>
      <c r="AB824" s="4">
        <f>$K$824*$V$824</f>
        <v>0</v>
      </c>
      <c r="AC824" s="4">
        <f>$M$824*$W$824</f>
        <v>-411.01283999999998</v>
      </c>
      <c r="AD824" s="4">
        <f>$O$824*$X$824</f>
        <v>-410.32614000000001</v>
      </c>
      <c r="AE824" s="4">
        <f>$K$824*$Y$824</f>
        <v>0</v>
      </c>
      <c r="AF824" s="4">
        <f ca="1">$M$824*$Z$824</f>
        <v>-518.60662035293365</v>
      </c>
      <c r="AG824" s="4">
        <f>$O$824*$AA$824</f>
        <v>-513.00382714350337</v>
      </c>
    </row>
    <row r="825" spans="1:33" ht="11.25" customHeight="1" x14ac:dyDescent="0.25">
      <c r="A825" s="3" t="s">
        <v>21</v>
      </c>
      <c r="B825" s="3" t="s">
        <v>22</v>
      </c>
      <c r="C825" s="3" t="s">
        <v>23</v>
      </c>
      <c r="D825" s="3" t="s">
        <v>24</v>
      </c>
      <c r="E825" s="3" t="s">
        <v>32</v>
      </c>
      <c r="F825" s="3" t="s">
        <v>25</v>
      </c>
      <c r="G825" s="3" t="s">
        <v>25</v>
      </c>
      <c r="H825" s="3" t="s">
        <v>25</v>
      </c>
      <c r="I825" s="6">
        <v>44621</v>
      </c>
      <c r="J825" s="4">
        <v>0</v>
      </c>
      <c r="K825" s="4">
        <v>0</v>
      </c>
      <c r="L825" s="4">
        <v>2401.2710000000002</v>
      </c>
      <c r="M825" s="4">
        <v>2401.2710000000002</v>
      </c>
      <c r="N825" s="4">
        <v>2401.2710000000002</v>
      </c>
      <c r="O825" s="4">
        <v>2401.2710000000002</v>
      </c>
      <c r="P825" s="4">
        <v>12885</v>
      </c>
      <c r="Q825" s="3" t="s">
        <v>26</v>
      </c>
      <c r="R825" s="3">
        <v>0</v>
      </c>
      <c r="S825" s="4">
        <v>0</v>
      </c>
      <c r="T825" s="4">
        <v>12</v>
      </c>
      <c r="U825" s="4">
        <v>52</v>
      </c>
      <c r="V825" s="4">
        <f>IF(ISERROR(VLOOKUP($S$825,'TAR FIN'!$A$1:$O$92,15,0)),0,VLOOKUP($S$825,'TAR FIN'!$A$1:$O$92,15,0))</f>
        <v>0</v>
      </c>
      <c r="W825" s="4">
        <f>IF(ISERROR(VLOOKUP($T$825,'TAR FIN'!$A$1:$O$92,15,0)),0,VLOOKUP($T$825,'TAR FIN'!$A$1:$O$92,15,0))</f>
        <v>269.33999999999997</v>
      </c>
      <c r="X825" s="4">
        <f>IF(ISERROR(VLOOKUP($U$825,'TAR FIN'!$A$1:$O$92,15,0)),0,VLOOKUP($U$825,'TAR FIN'!$A$1:$O$92,15,0))</f>
        <v>268.89</v>
      </c>
      <c r="Y825" s="4"/>
      <c r="Z825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5" s="4">
        <f>('TE BE'!$AB$15+'TE BF'!$AB$15+'TE CVA'!$AB$15)*(1-CUSTOS!$M$37)</f>
        <v>336.17550926835082</v>
      </c>
      <c r="AB825" s="4">
        <f>$K$825*$V$825</f>
        <v>0</v>
      </c>
      <c r="AC825" s="4">
        <f>$M$825*$W$825</f>
        <v>646758.33114000002</v>
      </c>
      <c r="AD825" s="4">
        <f>$O$825*$X$825</f>
        <v>645677.75919000001</v>
      </c>
      <c r="AE825" s="4">
        <f>$K$825*$Y$825</f>
        <v>0</v>
      </c>
      <c r="AF825" s="4">
        <f ca="1">$M$825*$Z$825</f>
        <v>816064.90030243085</v>
      </c>
      <c r="AG825" s="4">
        <f>$O$825*$AA$825</f>
        <v>807248.50131632213</v>
      </c>
    </row>
    <row r="826" spans="1:33" ht="11.25" customHeight="1" x14ac:dyDescent="0.25">
      <c r="A826" s="3" t="s">
        <v>27</v>
      </c>
      <c r="B826" s="3" t="s">
        <v>22</v>
      </c>
      <c r="C826" s="3" t="s">
        <v>23</v>
      </c>
      <c r="D826" s="3" t="s">
        <v>24</v>
      </c>
      <c r="E826" s="3" t="s">
        <v>32</v>
      </c>
      <c r="F826" s="3" t="s">
        <v>25</v>
      </c>
      <c r="G826" s="3" t="s">
        <v>25</v>
      </c>
      <c r="H826" s="3" t="s">
        <v>25</v>
      </c>
      <c r="I826" s="6">
        <v>44621</v>
      </c>
      <c r="J826" s="4">
        <v>0</v>
      </c>
      <c r="K826" s="4">
        <v>0</v>
      </c>
      <c r="L826" s="4">
        <v>-1</v>
      </c>
      <c r="M826" s="4">
        <v>-1</v>
      </c>
      <c r="N826" s="4">
        <v>-1</v>
      </c>
      <c r="O826" s="4">
        <v>-1</v>
      </c>
      <c r="P826" s="4">
        <v>0</v>
      </c>
      <c r="Q826" s="3" t="s">
        <v>26</v>
      </c>
      <c r="R826" s="3">
        <v>0</v>
      </c>
      <c r="S826" s="4">
        <v>0</v>
      </c>
      <c r="T826" s="4">
        <v>12</v>
      </c>
      <c r="U826" s="4">
        <v>52</v>
      </c>
      <c r="V826" s="4">
        <f>IF(ISERROR(VLOOKUP($S$826,'TAR FIN'!$A$1:$O$92,15,0)),0,VLOOKUP($S$826,'TAR FIN'!$A$1:$O$92,15,0))</f>
        <v>0</v>
      </c>
      <c r="W826" s="4">
        <f>IF(ISERROR(VLOOKUP($T$826,'TAR FIN'!$A$1:$O$92,15,0)),0,VLOOKUP($T$826,'TAR FIN'!$A$1:$O$92,15,0))</f>
        <v>269.33999999999997</v>
      </c>
      <c r="X826" s="4">
        <f>IF(ISERROR(VLOOKUP($U$826,'TAR FIN'!$A$1:$O$92,15,0)),0,VLOOKUP($U$826,'TAR FIN'!$A$1:$O$92,15,0))</f>
        <v>268.89</v>
      </c>
      <c r="Y826" s="4"/>
      <c r="Z826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6" s="4">
        <f>('TE BE'!$AB$15+'TE BF'!$AB$15+'TE CVA'!$AB$15)*(1-CUSTOS!$M$37)</f>
        <v>336.17550926835082</v>
      </c>
      <c r="AB826" s="4">
        <f>$K$826*$V$826</f>
        <v>0</v>
      </c>
      <c r="AC826" s="4">
        <f>$M$826*$W$826</f>
        <v>-269.33999999999997</v>
      </c>
      <c r="AD826" s="4">
        <f>$O$826*$X$826</f>
        <v>-268.89</v>
      </c>
      <c r="AE826" s="4">
        <f>$K$826*$Y$826</f>
        <v>0</v>
      </c>
      <c r="AF826" s="4">
        <f ca="1">$M$826*$Z$826</f>
        <v>-339.84706445146372</v>
      </c>
      <c r="AG826" s="4">
        <f>$O$826*$AA$826</f>
        <v>-336.17550926835082</v>
      </c>
    </row>
    <row r="827" spans="1:33" ht="11.25" customHeight="1" x14ac:dyDescent="0.25">
      <c r="A827" s="3" t="s">
        <v>21</v>
      </c>
      <c r="B827" s="3" t="s">
        <v>22</v>
      </c>
      <c r="C827" s="3" t="s">
        <v>23</v>
      </c>
      <c r="D827" s="3" t="s">
        <v>24</v>
      </c>
      <c r="E827" s="3" t="s">
        <v>32</v>
      </c>
      <c r="F827" s="3" t="s">
        <v>25</v>
      </c>
      <c r="G827" s="3" t="s">
        <v>25</v>
      </c>
      <c r="H827" s="3" t="s">
        <v>25</v>
      </c>
      <c r="I827" s="6">
        <v>44652</v>
      </c>
      <c r="J827" s="4">
        <v>0</v>
      </c>
      <c r="K827" s="4">
        <v>0</v>
      </c>
      <c r="L827" s="4">
        <v>2401.2710000000002</v>
      </c>
      <c r="M827" s="4">
        <v>2401.2710000000002</v>
      </c>
      <c r="N827" s="4">
        <v>2401.2710000000002</v>
      </c>
      <c r="O827" s="4">
        <v>2401.2710000000002</v>
      </c>
      <c r="P827" s="4">
        <v>12885</v>
      </c>
      <c r="Q827" s="3" t="s">
        <v>26</v>
      </c>
      <c r="R827" s="3">
        <v>0</v>
      </c>
      <c r="S827" s="4">
        <v>0</v>
      </c>
      <c r="T827" s="4">
        <v>12</v>
      </c>
      <c r="U827" s="4">
        <v>52</v>
      </c>
      <c r="V827" s="4">
        <f>IF(ISERROR(VLOOKUP($S$827,'TAR FIN'!$A$1:$O$92,15,0)),0,VLOOKUP($S$827,'TAR FIN'!$A$1:$O$92,15,0))</f>
        <v>0</v>
      </c>
      <c r="W827" s="4">
        <f>IF(ISERROR(VLOOKUP($T$827,'TAR FIN'!$A$1:$O$92,15,0)),0,VLOOKUP($T$827,'TAR FIN'!$A$1:$O$92,15,0))</f>
        <v>269.33999999999997</v>
      </c>
      <c r="X827" s="4">
        <f>IF(ISERROR(VLOOKUP($U$827,'TAR FIN'!$A$1:$O$92,15,0)),0,VLOOKUP($U$827,'TAR FIN'!$A$1:$O$92,15,0))</f>
        <v>268.89</v>
      </c>
      <c r="Y827" s="4"/>
      <c r="Z827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7" s="4">
        <f>('TE BE'!$AB$15+'TE BF'!$AB$15+'TE CVA'!$AB$15)*(1-CUSTOS!$M$37)</f>
        <v>336.17550926835082</v>
      </c>
      <c r="AB827" s="4">
        <f>$K$827*$V$827</f>
        <v>0</v>
      </c>
      <c r="AC827" s="4">
        <f>$M$827*$W$827</f>
        <v>646758.33114000002</v>
      </c>
      <c r="AD827" s="4">
        <f>$O$827*$X$827</f>
        <v>645677.75919000001</v>
      </c>
      <c r="AE827" s="4">
        <f>$K$827*$Y$827</f>
        <v>0</v>
      </c>
      <c r="AF827" s="4">
        <f ca="1">$M$827*$Z$827</f>
        <v>816064.90030243085</v>
      </c>
      <c r="AG827" s="4">
        <f>$O$827*$AA$827</f>
        <v>807248.50131632213</v>
      </c>
    </row>
    <row r="828" spans="1:33" ht="11.25" customHeight="1" x14ac:dyDescent="0.25">
      <c r="A828" s="3" t="s">
        <v>27</v>
      </c>
      <c r="B828" s="3" t="s">
        <v>22</v>
      </c>
      <c r="C828" s="3" t="s">
        <v>23</v>
      </c>
      <c r="D828" s="3" t="s">
        <v>24</v>
      </c>
      <c r="E828" s="3" t="s">
        <v>32</v>
      </c>
      <c r="F828" s="3" t="s">
        <v>25</v>
      </c>
      <c r="G828" s="3" t="s">
        <v>25</v>
      </c>
      <c r="H828" s="3" t="s">
        <v>25</v>
      </c>
      <c r="I828" s="6">
        <v>44652</v>
      </c>
      <c r="J828" s="4">
        <v>0</v>
      </c>
      <c r="K828" s="4">
        <v>0</v>
      </c>
      <c r="L828" s="4">
        <v>-1</v>
      </c>
      <c r="M828" s="4">
        <v>-1</v>
      </c>
      <c r="N828" s="4">
        <v>-1</v>
      </c>
      <c r="O828" s="4">
        <v>-1</v>
      </c>
      <c r="P828" s="4">
        <v>0</v>
      </c>
      <c r="Q828" s="3" t="s">
        <v>26</v>
      </c>
      <c r="R828" s="3">
        <v>0</v>
      </c>
      <c r="S828" s="4">
        <v>0</v>
      </c>
      <c r="T828" s="4">
        <v>12</v>
      </c>
      <c r="U828" s="4">
        <v>52</v>
      </c>
      <c r="V828" s="4">
        <f>IF(ISERROR(VLOOKUP($S$828,'TAR FIN'!$A$1:$O$92,15,0)),0,VLOOKUP($S$828,'TAR FIN'!$A$1:$O$92,15,0))</f>
        <v>0</v>
      </c>
      <c r="W828" s="4">
        <f>IF(ISERROR(VLOOKUP($T$828,'TAR FIN'!$A$1:$O$92,15,0)),0,VLOOKUP($T$828,'TAR FIN'!$A$1:$O$92,15,0))</f>
        <v>269.33999999999997</v>
      </c>
      <c r="X828" s="4">
        <f>IF(ISERROR(VLOOKUP($U$828,'TAR FIN'!$A$1:$O$92,15,0)),0,VLOOKUP($U$828,'TAR FIN'!$A$1:$O$92,15,0))</f>
        <v>268.89</v>
      </c>
      <c r="Y828" s="4"/>
      <c r="Z828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8" s="4">
        <f>('TE BE'!$AB$15+'TE BF'!$AB$15+'TE CVA'!$AB$15)*(1-CUSTOS!$M$37)</f>
        <v>336.17550926835082</v>
      </c>
      <c r="AB828" s="4">
        <f>$K$828*$V$828</f>
        <v>0</v>
      </c>
      <c r="AC828" s="4">
        <f>$M$828*$W$828</f>
        <v>-269.33999999999997</v>
      </c>
      <c r="AD828" s="4">
        <f>$O$828*$X$828</f>
        <v>-268.89</v>
      </c>
      <c r="AE828" s="4">
        <f>$K$828*$Y$828</f>
        <v>0</v>
      </c>
      <c r="AF828" s="4">
        <f ca="1">$M$828*$Z$828</f>
        <v>-339.84706445146372</v>
      </c>
      <c r="AG828" s="4">
        <f>$O$828*$AA$828</f>
        <v>-336.17550926835082</v>
      </c>
    </row>
    <row r="829" spans="1:33" ht="11.25" customHeight="1" x14ac:dyDescent="0.25">
      <c r="A829" s="3" t="s">
        <v>21</v>
      </c>
      <c r="B829" s="3" t="s">
        <v>22</v>
      </c>
      <c r="C829" s="3" t="s">
        <v>23</v>
      </c>
      <c r="D829" s="3" t="s">
        <v>24</v>
      </c>
      <c r="E829" s="3" t="s">
        <v>32</v>
      </c>
      <c r="F829" s="3" t="s">
        <v>25</v>
      </c>
      <c r="G829" s="3" t="s">
        <v>25</v>
      </c>
      <c r="H829" s="3" t="s">
        <v>25</v>
      </c>
      <c r="I829" s="6">
        <v>44682</v>
      </c>
      <c r="J829" s="4">
        <v>0</v>
      </c>
      <c r="K829" s="4">
        <v>0</v>
      </c>
      <c r="L829" s="4">
        <v>2022.807</v>
      </c>
      <c r="M829" s="4">
        <v>2022.807</v>
      </c>
      <c r="N829" s="4">
        <v>2022.807</v>
      </c>
      <c r="O829" s="4">
        <v>2022.807</v>
      </c>
      <c r="P829" s="4">
        <v>11976</v>
      </c>
      <c r="Q829" s="3" t="s">
        <v>26</v>
      </c>
      <c r="R829" s="3">
        <v>0</v>
      </c>
      <c r="S829" s="4">
        <v>0</v>
      </c>
      <c r="T829" s="4">
        <v>12</v>
      </c>
      <c r="U829" s="4">
        <v>52</v>
      </c>
      <c r="V829" s="4">
        <f>IF(ISERROR(VLOOKUP($S$829,'TAR FIN'!$A$1:$O$92,15,0)),0,VLOOKUP($S$829,'TAR FIN'!$A$1:$O$92,15,0))</f>
        <v>0</v>
      </c>
      <c r="W829" s="4">
        <f>IF(ISERROR(VLOOKUP($T$829,'TAR FIN'!$A$1:$O$92,15,0)),0,VLOOKUP($T$829,'TAR FIN'!$A$1:$O$92,15,0))</f>
        <v>269.33999999999997</v>
      </c>
      <c r="X829" s="4">
        <f>IF(ISERROR(VLOOKUP($U$829,'TAR FIN'!$A$1:$O$92,15,0)),0,VLOOKUP($U$829,'TAR FIN'!$A$1:$O$92,15,0))</f>
        <v>268.89</v>
      </c>
      <c r="Y829" s="4"/>
      <c r="Z829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29" s="4">
        <f>('TE BE'!$AB$15+'TE BF'!$AB$15+'TE CVA'!$AB$15)*(1-CUSTOS!$M$37)</f>
        <v>336.17550926835082</v>
      </c>
      <c r="AB829" s="4">
        <f>$K$829*$V$829</f>
        <v>0</v>
      </c>
      <c r="AC829" s="4">
        <f>$M$829*$W$829</f>
        <v>544822.83737999992</v>
      </c>
      <c r="AD829" s="4">
        <f>$O$829*$X$829</f>
        <v>543912.57423000003</v>
      </c>
      <c r="AE829" s="4">
        <f>$K$829*$Y$829</f>
        <v>0</v>
      </c>
      <c r="AF829" s="4">
        <f ca="1">$M$829*$Z$829</f>
        <v>687445.02090187196</v>
      </c>
      <c r="AG829" s="4">
        <f>$O$829*$AA$829</f>
        <v>680018.17337658489</v>
      </c>
    </row>
    <row r="830" spans="1:33" ht="11.25" customHeight="1" x14ac:dyDescent="0.25">
      <c r="A830" s="3" t="s">
        <v>27</v>
      </c>
      <c r="B830" s="3" t="s">
        <v>22</v>
      </c>
      <c r="C830" s="3" t="s">
        <v>23</v>
      </c>
      <c r="D830" s="3" t="s">
        <v>24</v>
      </c>
      <c r="E830" s="3" t="s">
        <v>32</v>
      </c>
      <c r="F830" s="3" t="s">
        <v>25</v>
      </c>
      <c r="G830" s="3" t="s">
        <v>25</v>
      </c>
      <c r="H830" s="3" t="s">
        <v>25</v>
      </c>
      <c r="I830" s="6">
        <v>44682</v>
      </c>
      <c r="J830" s="4">
        <v>0</v>
      </c>
      <c r="K830" s="4">
        <v>0</v>
      </c>
      <c r="L830" s="4">
        <v>-9.1880000000000006</v>
      </c>
      <c r="M830" s="4">
        <v>-9.1880000000000006</v>
      </c>
      <c r="N830" s="4">
        <v>-9.1880000000000006</v>
      </c>
      <c r="O830" s="4">
        <v>-9.1880000000000006</v>
      </c>
      <c r="P830" s="4">
        <v>-12</v>
      </c>
      <c r="Q830" s="3" t="s">
        <v>26</v>
      </c>
      <c r="R830" s="3">
        <v>0</v>
      </c>
      <c r="S830" s="4">
        <v>0</v>
      </c>
      <c r="T830" s="4">
        <v>12</v>
      </c>
      <c r="U830" s="4">
        <v>52</v>
      </c>
      <c r="V830" s="4">
        <f>IF(ISERROR(VLOOKUP($S$830,'TAR FIN'!$A$1:$O$92,15,0)),0,VLOOKUP($S$830,'TAR FIN'!$A$1:$O$92,15,0))</f>
        <v>0</v>
      </c>
      <c r="W830" s="4">
        <f>IF(ISERROR(VLOOKUP($T$830,'TAR FIN'!$A$1:$O$92,15,0)),0,VLOOKUP($T$830,'TAR FIN'!$A$1:$O$92,15,0))</f>
        <v>269.33999999999997</v>
      </c>
      <c r="X830" s="4">
        <f>IF(ISERROR(VLOOKUP($U$830,'TAR FIN'!$A$1:$O$92,15,0)),0,VLOOKUP($U$830,'TAR FIN'!$A$1:$O$92,15,0))</f>
        <v>268.89</v>
      </c>
      <c r="Y830" s="4"/>
      <c r="Z830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0" s="4">
        <f>('TE BE'!$AB$15+'TE BF'!$AB$15+'TE CVA'!$AB$15)*(1-CUSTOS!$M$37)</f>
        <v>336.17550926835082</v>
      </c>
      <c r="AB830" s="4">
        <f>$K$830*$V$830</f>
        <v>0</v>
      </c>
      <c r="AC830" s="4">
        <f>$M$830*$W$830</f>
        <v>-2474.6959200000001</v>
      </c>
      <c r="AD830" s="4">
        <f>$O$830*$X$830</f>
        <v>-2470.5613200000003</v>
      </c>
      <c r="AE830" s="4">
        <f>$K$830*$Y$830</f>
        <v>0</v>
      </c>
      <c r="AF830" s="4">
        <f ca="1">$M$830*$Z$830</f>
        <v>-3122.5148281800489</v>
      </c>
      <c r="AG830" s="4">
        <f>$O$830*$AA$830</f>
        <v>-3088.7805791576075</v>
      </c>
    </row>
    <row r="831" spans="1:33" ht="11.25" customHeight="1" x14ac:dyDescent="0.25">
      <c r="A831" s="3" t="s">
        <v>21</v>
      </c>
      <c r="B831" s="3" t="s">
        <v>22</v>
      </c>
      <c r="C831" s="3" t="s">
        <v>23</v>
      </c>
      <c r="D831" s="3" t="s">
        <v>24</v>
      </c>
      <c r="E831" s="3" t="s">
        <v>32</v>
      </c>
      <c r="F831" s="3" t="s">
        <v>25</v>
      </c>
      <c r="G831" s="3" t="s">
        <v>25</v>
      </c>
      <c r="H831" s="3" t="s">
        <v>25</v>
      </c>
      <c r="I831" s="6">
        <v>44713</v>
      </c>
      <c r="J831" s="4">
        <v>0</v>
      </c>
      <c r="K831" s="4">
        <v>0</v>
      </c>
      <c r="L831" s="4">
        <v>1881.3389999999999</v>
      </c>
      <c r="M831" s="4">
        <v>1881.3389999999999</v>
      </c>
      <c r="N831" s="4">
        <v>1881.3389999999999</v>
      </c>
      <c r="O831" s="4">
        <v>1881.3389999999999</v>
      </c>
      <c r="P831" s="4">
        <v>11750</v>
      </c>
      <c r="Q831" s="3" t="s">
        <v>26</v>
      </c>
      <c r="R831" s="3">
        <v>0</v>
      </c>
      <c r="S831" s="4">
        <v>0</v>
      </c>
      <c r="T831" s="4">
        <v>12</v>
      </c>
      <c r="U831" s="4">
        <v>52</v>
      </c>
      <c r="V831" s="4">
        <f>IF(ISERROR(VLOOKUP($S$831,'TAR FIN'!$A$1:$O$92,15,0)),0,VLOOKUP($S$831,'TAR FIN'!$A$1:$O$92,15,0))</f>
        <v>0</v>
      </c>
      <c r="W831" s="4">
        <f>IF(ISERROR(VLOOKUP($T$831,'TAR FIN'!$A$1:$O$92,15,0)),0,VLOOKUP($T$831,'TAR FIN'!$A$1:$O$92,15,0))</f>
        <v>269.33999999999997</v>
      </c>
      <c r="X831" s="4">
        <f>IF(ISERROR(VLOOKUP($U$831,'TAR FIN'!$A$1:$O$92,15,0)),0,VLOOKUP($U$831,'TAR FIN'!$A$1:$O$92,15,0))</f>
        <v>268.89</v>
      </c>
      <c r="Y831" s="4"/>
      <c r="Z831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1" s="4">
        <f>('TE BE'!$AB$15+'TE BF'!$AB$15+'TE CVA'!$AB$15)*(1-CUSTOS!$M$37)</f>
        <v>336.17550926835082</v>
      </c>
      <c r="AB831" s="4">
        <f>$K$831*$V$831</f>
        <v>0</v>
      </c>
      <c r="AC831" s="4">
        <f>$M$831*$W$831</f>
        <v>506719.84625999996</v>
      </c>
      <c r="AD831" s="4">
        <f>$O$831*$X$831</f>
        <v>505873.24370999995</v>
      </c>
      <c r="AE831" s="4">
        <f>$K$831*$Y$831</f>
        <v>0</v>
      </c>
      <c r="AF831" s="4">
        <f ca="1">$M$831*$Z$831</f>
        <v>639367.53638805228</v>
      </c>
      <c r="AG831" s="4">
        <f>$O$831*$AA$831</f>
        <v>632460.09643140982</v>
      </c>
    </row>
    <row r="832" spans="1:33" ht="11.25" customHeight="1" x14ac:dyDescent="0.25">
      <c r="A832" s="3" t="s">
        <v>27</v>
      </c>
      <c r="B832" s="3" t="s">
        <v>22</v>
      </c>
      <c r="C832" s="3" t="s">
        <v>23</v>
      </c>
      <c r="D832" s="3" t="s">
        <v>24</v>
      </c>
      <c r="E832" s="3" t="s">
        <v>32</v>
      </c>
      <c r="F832" s="3" t="s">
        <v>25</v>
      </c>
      <c r="G832" s="3" t="s">
        <v>25</v>
      </c>
      <c r="H832" s="3" t="s">
        <v>25</v>
      </c>
      <c r="I832" s="6">
        <v>44713</v>
      </c>
      <c r="J832" s="4">
        <v>0</v>
      </c>
      <c r="K832" s="4">
        <v>0</v>
      </c>
      <c r="L832" s="4">
        <v>-1.528</v>
      </c>
      <c r="M832" s="4">
        <v>-1.528</v>
      </c>
      <c r="N832" s="4">
        <v>-1.528</v>
      </c>
      <c r="O832" s="4">
        <v>-1.528</v>
      </c>
      <c r="P832" s="4">
        <v>-4</v>
      </c>
      <c r="Q832" s="3" t="s">
        <v>26</v>
      </c>
      <c r="R832" s="3">
        <v>0</v>
      </c>
      <c r="S832" s="4">
        <v>0</v>
      </c>
      <c r="T832" s="4">
        <v>12</v>
      </c>
      <c r="U832" s="4">
        <v>52</v>
      </c>
      <c r="V832" s="4">
        <f>IF(ISERROR(VLOOKUP($S$832,'TAR FIN'!$A$1:$O$92,15,0)),0,VLOOKUP($S$832,'TAR FIN'!$A$1:$O$92,15,0))</f>
        <v>0</v>
      </c>
      <c r="W832" s="4">
        <f>IF(ISERROR(VLOOKUP($T$832,'TAR FIN'!$A$1:$O$92,15,0)),0,VLOOKUP($T$832,'TAR FIN'!$A$1:$O$92,15,0))</f>
        <v>269.33999999999997</v>
      </c>
      <c r="X832" s="4">
        <f>IF(ISERROR(VLOOKUP($U$832,'TAR FIN'!$A$1:$O$92,15,0)),0,VLOOKUP($U$832,'TAR FIN'!$A$1:$O$92,15,0))</f>
        <v>268.89</v>
      </c>
      <c r="Y832" s="4"/>
      <c r="Z832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2" s="4">
        <f>('TE BE'!$AB$15+'TE BF'!$AB$15+'TE CVA'!$AB$15)*(1-CUSTOS!$M$37)</f>
        <v>336.17550926835082</v>
      </c>
      <c r="AB832" s="4">
        <f>$K$832*$V$832</f>
        <v>0</v>
      </c>
      <c r="AC832" s="4">
        <f>$M$832*$W$832</f>
        <v>-411.55151999999998</v>
      </c>
      <c r="AD832" s="4">
        <f>$O$832*$X$832</f>
        <v>-410.86392000000001</v>
      </c>
      <c r="AE832" s="4">
        <f>$K$832*$Y$832</f>
        <v>0</v>
      </c>
      <c r="AF832" s="4">
        <f ca="1">$M$832*$Z$832</f>
        <v>-519.2863144818366</v>
      </c>
      <c r="AG832" s="4">
        <f>$O$832*$AA$832</f>
        <v>-513.67617816204006</v>
      </c>
    </row>
    <row r="833" spans="1:33" ht="11.25" customHeight="1" x14ac:dyDescent="0.25">
      <c r="A833" s="3" t="s">
        <v>21</v>
      </c>
      <c r="B833" s="3" t="s">
        <v>22</v>
      </c>
      <c r="C833" s="3" t="s">
        <v>23</v>
      </c>
      <c r="D833" s="3" t="s">
        <v>24</v>
      </c>
      <c r="E833" s="3" t="s">
        <v>32</v>
      </c>
      <c r="F833" s="3" t="s">
        <v>25</v>
      </c>
      <c r="G833" s="3" t="s">
        <v>25</v>
      </c>
      <c r="H833" s="3" t="s">
        <v>25</v>
      </c>
      <c r="I833" s="6">
        <v>44743</v>
      </c>
      <c r="J833" s="4">
        <v>0</v>
      </c>
      <c r="K833" s="4">
        <v>0</v>
      </c>
      <c r="L833" s="4">
        <v>2822.0010000000002</v>
      </c>
      <c r="M833" s="4">
        <v>2822.0010000000002</v>
      </c>
      <c r="N833" s="4">
        <v>2822.0010000000002</v>
      </c>
      <c r="O833" s="4">
        <v>2822.0010000000002</v>
      </c>
      <c r="P833" s="4">
        <v>11437</v>
      </c>
      <c r="Q833" s="3" t="s">
        <v>26</v>
      </c>
      <c r="R833" s="3">
        <v>0</v>
      </c>
      <c r="S833" s="4">
        <v>0</v>
      </c>
      <c r="T833" s="4">
        <v>12</v>
      </c>
      <c r="U833" s="4">
        <v>52</v>
      </c>
      <c r="V833" s="4">
        <f>IF(ISERROR(VLOOKUP($S$833,'TAR FIN'!$A$1:$O$92,15,0)),0,VLOOKUP($S$833,'TAR FIN'!$A$1:$O$92,15,0))</f>
        <v>0</v>
      </c>
      <c r="W833" s="4">
        <f>IF(ISERROR(VLOOKUP($T$833,'TAR FIN'!$A$1:$O$92,15,0)),0,VLOOKUP($T$833,'TAR FIN'!$A$1:$O$92,15,0))</f>
        <v>269.33999999999997</v>
      </c>
      <c r="X833" s="4">
        <f>IF(ISERROR(VLOOKUP($U$833,'TAR FIN'!$A$1:$O$92,15,0)),0,VLOOKUP($U$833,'TAR FIN'!$A$1:$O$92,15,0))</f>
        <v>268.89</v>
      </c>
      <c r="Y833" s="4"/>
      <c r="Z833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3" s="4">
        <f>('TE BE'!$AB$15+'TE BF'!$AB$15+'TE CVA'!$AB$15)*(1-CUSTOS!$M$37)</f>
        <v>336.17550926835082</v>
      </c>
      <c r="AB833" s="4">
        <f>$K$833*$V$833</f>
        <v>0</v>
      </c>
      <c r="AC833" s="4">
        <f>$M$833*$W$833</f>
        <v>760077.74933999998</v>
      </c>
      <c r="AD833" s="4">
        <f>$O$833*$X$833</f>
        <v>758807.84889000002</v>
      </c>
      <c r="AE833" s="4">
        <f>$K$833*$Y$833</f>
        <v>0</v>
      </c>
      <c r="AF833" s="4">
        <f ca="1">$M$833*$Z$833</f>
        <v>959048.7557290952</v>
      </c>
      <c r="AG833" s="4">
        <f>$O$833*$AA$833</f>
        <v>948687.62333079532</v>
      </c>
    </row>
    <row r="834" spans="1:33" ht="11.25" customHeight="1" x14ac:dyDescent="0.25">
      <c r="A834" s="3" t="s">
        <v>27</v>
      </c>
      <c r="B834" s="3" t="s">
        <v>22</v>
      </c>
      <c r="C834" s="3" t="s">
        <v>23</v>
      </c>
      <c r="D834" s="3" t="s">
        <v>24</v>
      </c>
      <c r="E834" s="3" t="s">
        <v>32</v>
      </c>
      <c r="F834" s="3" t="s">
        <v>25</v>
      </c>
      <c r="G834" s="3" t="s">
        <v>25</v>
      </c>
      <c r="H834" s="3" t="s">
        <v>25</v>
      </c>
      <c r="I834" s="6">
        <v>44743</v>
      </c>
      <c r="J834" s="4">
        <v>0</v>
      </c>
      <c r="K834" s="4">
        <v>0</v>
      </c>
      <c r="L834" s="4">
        <v>-1.2849999999999999</v>
      </c>
      <c r="M834" s="4">
        <v>-1.2849999999999999</v>
      </c>
      <c r="N834" s="4">
        <v>-1.2849999999999999</v>
      </c>
      <c r="O834" s="4">
        <v>-1.2849999999999999</v>
      </c>
      <c r="P834" s="4">
        <v>-4</v>
      </c>
      <c r="Q834" s="3" t="s">
        <v>26</v>
      </c>
      <c r="R834" s="3">
        <v>0</v>
      </c>
      <c r="S834" s="4">
        <v>0</v>
      </c>
      <c r="T834" s="4">
        <v>12</v>
      </c>
      <c r="U834" s="4">
        <v>52</v>
      </c>
      <c r="V834" s="4">
        <f>IF(ISERROR(VLOOKUP($S$834,'TAR FIN'!$A$1:$O$92,15,0)),0,VLOOKUP($S$834,'TAR FIN'!$A$1:$O$92,15,0))</f>
        <v>0</v>
      </c>
      <c r="W834" s="4">
        <f>IF(ISERROR(VLOOKUP($T$834,'TAR FIN'!$A$1:$O$92,15,0)),0,VLOOKUP($T$834,'TAR FIN'!$A$1:$O$92,15,0))</f>
        <v>269.33999999999997</v>
      </c>
      <c r="X834" s="4">
        <f>IF(ISERROR(VLOOKUP($U$834,'TAR FIN'!$A$1:$O$92,15,0)),0,VLOOKUP($U$834,'TAR FIN'!$A$1:$O$92,15,0))</f>
        <v>268.89</v>
      </c>
      <c r="Y834" s="4"/>
      <c r="Z834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4" s="4">
        <f>('TE BE'!$AB$15+'TE BF'!$AB$15+'TE CVA'!$AB$15)*(1-CUSTOS!$M$37)</f>
        <v>336.17550926835082</v>
      </c>
      <c r="AB834" s="4">
        <f>$K$834*$V$834</f>
        <v>0</v>
      </c>
      <c r="AC834" s="4">
        <f>$M$834*$W$834</f>
        <v>-346.10189999999994</v>
      </c>
      <c r="AD834" s="4">
        <f>$O$834*$X$834</f>
        <v>-345.52364999999998</v>
      </c>
      <c r="AE834" s="4">
        <f>$K$834*$Y$834</f>
        <v>0</v>
      </c>
      <c r="AF834" s="4">
        <f ca="1">$M$834*$Z$834</f>
        <v>-436.70347782013084</v>
      </c>
      <c r="AG834" s="4">
        <f>$O$834*$AA$834</f>
        <v>-431.9855294098308</v>
      </c>
    </row>
    <row r="835" spans="1:33" ht="11.25" customHeight="1" x14ac:dyDescent="0.25">
      <c r="A835" s="3" t="s">
        <v>21</v>
      </c>
      <c r="B835" s="3" t="s">
        <v>22</v>
      </c>
      <c r="C835" s="3" t="s">
        <v>23</v>
      </c>
      <c r="D835" s="3" t="s">
        <v>24</v>
      </c>
      <c r="E835" s="3" t="s">
        <v>32</v>
      </c>
      <c r="F835" s="3" t="s">
        <v>25</v>
      </c>
      <c r="G835" s="3" t="s">
        <v>25</v>
      </c>
      <c r="H835" s="3" t="s">
        <v>25</v>
      </c>
      <c r="I835" s="6">
        <v>44774</v>
      </c>
      <c r="J835" s="4">
        <v>0</v>
      </c>
      <c r="K835" s="4">
        <v>0</v>
      </c>
      <c r="L835" s="4">
        <v>2604.6489999999999</v>
      </c>
      <c r="M835" s="4">
        <v>2604.6489999999999</v>
      </c>
      <c r="N835" s="4">
        <v>2604.6489999999999</v>
      </c>
      <c r="O835" s="4">
        <v>2604.6489999999999</v>
      </c>
      <c r="P835" s="4">
        <v>13729</v>
      </c>
      <c r="Q835" s="3" t="s">
        <v>26</v>
      </c>
      <c r="R835" s="3">
        <v>0</v>
      </c>
      <c r="S835" s="4">
        <v>0</v>
      </c>
      <c r="T835" s="4">
        <v>12</v>
      </c>
      <c r="U835" s="4">
        <v>52</v>
      </c>
      <c r="V835" s="4">
        <f>IF(ISERROR(VLOOKUP($S$835,'TAR FIN'!$A$1:$O$92,15,0)),0,VLOOKUP($S$835,'TAR FIN'!$A$1:$O$92,15,0))</f>
        <v>0</v>
      </c>
      <c r="W835" s="4">
        <f>IF(ISERROR(VLOOKUP($T$835,'TAR FIN'!$A$1:$O$92,15,0)),0,VLOOKUP($T$835,'TAR FIN'!$A$1:$O$92,15,0))</f>
        <v>269.33999999999997</v>
      </c>
      <c r="X835" s="4">
        <f>IF(ISERROR(VLOOKUP($U$835,'TAR FIN'!$A$1:$O$92,15,0)),0,VLOOKUP($U$835,'TAR FIN'!$A$1:$O$92,15,0))</f>
        <v>268.89</v>
      </c>
      <c r="Y835" s="4"/>
      <c r="Z835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5" s="4">
        <f>('TE BE'!$AB$15+'TE BF'!$AB$15+'TE CVA'!$AB$15)*(1-CUSTOS!$M$37)</f>
        <v>336.17550926835082</v>
      </c>
      <c r="AB835" s="4">
        <f>$K$835*$V$835</f>
        <v>0</v>
      </c>
      <c r="AC835" s="4">
        <f>$M$835*$W$835</f>
        <v>701536.16165999987</v>
      </c>
      <c r="AD835" s="4">
        <f>$O$835*$X$835</f>
        <v>700364.06960999989</v>
      </c>
      <c r="AE835" s="4">
        <f>$K$835*$Y$835</f>
        <v>0</v>
      </c>
      <c r="AF835" s="4">
        <f ca="1">$M$835*$Z$835</f>
        <v>885182.31657644047</v>
      </c>
      <c r="AG835" s="4">
        <f>$O$835*$AA$835</f>
        <v>875619.20404030068</v>
      </c>
    </row>
    <row r="836" spans="1:33" ht="11.25" customHeight="1" x14ac:dyDescent="0.25">
      <c r="A836" s="3" t="s">
        <v>27</v>
      </c>
      <c r="B836" s="3" t="s">
        <v>22</v>
      </c>
      <c r="C836" s="3" t="s">
        <v>23</v>
      </c>
      <c r="D836" s="3" t="s">
        <v>24</v>
      </c>
      <c r="E836" s="3" t="s">
        <v>32</v>
      </c>
      <c r="F836" s="3" t="s">
        <v>25</v>
      </c>
      <c r="G836" s="3" t="s">
        <v>25</v>
      </c>
      <c r="H836" s="3" t="s">
        <v>25</v>
      </c>
      <c r="I836" s="6">
        <v>44774</v>
      </c>
      <c r="J836" s="4">
        <v>0</v>
      </c>
      <c r="K836" s="4">
        <v>0</v>
      </c>
      <c r="L836" s="4">
        <v>-1002.128</v>
      </c>
      <c r="M836" s="4">
        <v>-1002.128</v>
      </c>
      <c r="N836" s="4">
        <v>-1002.128</v>
      </c>
      <c r="O836" s="4">
        <v>-1002.128</v>
      </c>
      <c r="P836" s="4">
        <v>-3</v>
      </c>
      <c r="Q836" s="3" t="s">
        <v>26</v>
      </c>
      <c r="R836" s="3">
        <v>0</v>
      </c>
      <c r="S836" s="4">
        <v>0</v>
      </c>
      <c r="T836" s="4">
        <v>12</v>
      </c>
      <c r="U836" s="4">
        <v>52</v>
      </c>
      <c r="V836" s="4">
        <f>IF(ISERROR(VLOOKUP($S$836,'TAR FIN'!$A$1:$O$92,15,0)),0,VLOOKUP($S$836,'TAR FIN'!$A$1:$O$92,15,0))</f>
        <v>0</v>
      </c>
      <c r="W836" s="4">
        <f>IF(ISERROR(VLOOKUP($T$836,'TAR FIN'!$A$1:$O$92,15,0)),0,VLOOKUP($T$836,'TAR FIN'!$A$1:$O$92,15,0))</f>
        <v>269.33999999999997</v>
      </c>
      <c r="X836" s="4">
        <f>IF(ISERROR(VLOOKUP($U$836,'TAR FIN'!$A$1:$O$92,15,0)),0,VLOOKUP($U$836,'TAR FIN'!$A$1:$O$92,15,0))</f>
        <v>268.89</v>
      </c>
      <c r="Y836" s="4"/>
      <c r="Z836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6" s="4">
        <f>('TE BE'!$AB$15+'TE BF'!$AB$15+'TE CVA'!$AB$15)*(1-CUSTOS!$M$37)</f>
        <v>336.17550926835082</v>
      </c>
      <c r="AB836" s="4">
        <f>$K$836*$V$836</f>
        <v>0</v>
      </c>
      <c r="AC836" s="4">
        <f>$M$836*$W$836</f>
        <v>-269913.15551999997</v>
      </c>
      <c r="AD836" s="4">
        <f>$O$836*$X$836</f>
        <v>-269462.19792000001</v>
      </c>
      <c r="AE836" s="4">
        <f>$K$836*$Y$836</f>
        <v>0</v>
      </c>
      <c r="AF836" s="4">
        <f ca="1">$M$836*$Z$836</f>
        <v>-340570.25900461647</v>
      </c>
      <c r="AG836" s="4">
        <f>$O$836*$AA$836</f>
        <v>-336890.8907520739</v>
      </c>
    </row>
    <row r="837" spans="1:33" ht="11.25" customHeight="1" x14ac:dyDescent="0.25">
      <c r="A837" s="3" t="s">
        <v>21</v>
      </c>
      <c r="B837" s="3" t="s">
        <v>22</v>
      </c>
      <c r="C837" s="3" t="s">
        <v>23</v>
      </c>
      <c r="D837" s="3" t="s">
        <v>24</v>
      </c>
      <c r="E837" s="3" t="s">
        <v>32</v>
      </c>
      <c r="F837" s="3" t="s">
        <v>25</v>
      </c>
      <c r="G837" s="3" t="s">
        <v>25</v>
      </c>
      <c r="H837" s="3" t="s">
        <v>25</v>
      </c>
      <c r="I837" s="6">
        <v>44805</v>
      </c>
      <c r="J837" s="4">
        <v>0</v>
      </c>
      <c r="K837" s="4">
        <v>0</v>
      </c>
      <c r="L837" s="4">
        <v>2634.4989999999998</v>
      </c>
      <c r="M837" s="4">
        <v>2634.4989999999998</v>
      </c>
      <c r="N837" s="4">
        <v>2634.4989999999998</v>
      </c>
      <c r="O837" s="4">
        <v>2634.4989999999998</v>
      </c>
      <c r="P837" s="4">
        <v>13544</v>
      </c>
      <c r="Q837" s="3" t="s">
        <v>26</v>
      </c>
      <c r="R837" s="3">
        <v>0</v>
      </c>
      <c r="S837" s="4">
        <v>0</v>
      </c>
      <c r="T837" s="4">
        <v>12</v>
      </c>
      <c r="U837" s="4">
        <v>52</v>
      </c>
      <c r="V837" s="4">
        <f>IF(ISERROR(VLOOKUP($S$837,'TAR FIN'!$A$1:$O$92,15,0)),0,VLOOKUP($S$837,'TAR FIN'!$A$1:$O$92,15,0))</f>
        <v>0</v>
      </c>
      <c r="W837" s="4">
        <f>IF(ISERROR(VLOOKUP($T$837,'TAR FIN'!$A$1:$O$92,15,0)),0,VLOOKUP($T$837,'TAR FIN'!$A$1:$O$92,15,0))</f>
        <v>269.33999999999997</v>
      </c>
      <c r="X837" s="4">
        <f>IF(ISERROR(VLOOKUP($U$837,'TAR FIN'!$A$1:$O$92,15,0)),0,VLOOKUP($U$837,'TAR FIN'!$A$1:$O$92,15,0))</f>
        <v>268.89</v>
      </c>
      <c r="Y837" s="4"/>
      <c r="Z837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7" s="4">
        <f>('TE BE'!$AB$15+'TE BF'!$AB$15+'TE CVA'!$AB$15)*(1-CUSTOS!$M$37)</f>
        <v>336.17550926835082</v>
      </c>
      <c r="AB837" s="4">
        <f>$K$837*$V$837</f>
        <v>0</v>
      </c>
      <c r="AC837" s="4">
        <f>$M$837*$W$837</f>
        <v>709575.96065999987</v>
      </c>
      <c r="AD837" s="4">
        <f>$O$837*$X$837</f>
        <v>708390.43610999989</v>
      </c>
      <c r="AE837" s="4">
        <f>$K$837*$Y$837</f>
        <v>0</v>
      </c>
      <c r="AF837" s="4">
        <f ca="1">$M$837*$Z$837</f>
        <v>895326.75145031663</v>
      </c>
      <c r="AG837" s="4">
        <f>$O$837*$AA$837</f>
        <v>885654.04299196089</v>
      </c>
    </row>
    <row r="838" spans="1:33" ht="11.25" customHeight="1" x14ac:dyDescent="0.25">
      <c r="A838" s="3" t="s">
        <v>27</v>
      </c>
      <c r="B838" s="3" t="s">
        <v>22</v>
      </c>
      <c r="C838" s="3" t="s">
        <v>23</v>
      </c>
      <c r="D838" s="3" t="s">
        <v>24</v>
      </c>
      <c r="E838" s="3" t="s">
        <v>32</v>
      </c>
      <c r="F838" s="3" t="s">
        <v>25</v>
      </c>
      <c r="G838" s="3" t="s">
        <v>25</v>
      </c>
      <c r="H838" s="3" t="s">
        <v>25</v>
      </c>
      <c r="I838" s="6">
        <v>44805</v>
      </c>
      <c r="J838" s="4">
        <v>0</v>
      </c>
      <c r="K838" s="4">
        <v>0</v>
      </c>
      <c r="L838" s="4">
        <v>-2.8319999999999999</v>
      </c>
      <c r="M838" s="4">
        <v>-2.8319999999999999</v>
      </c>
      <c r="N838" s="4">
        <v>-2.8319999999999999</v>
      </c>
      <c r="O838" s="4">
        <v>-2.8319999999999999</v>
      </c>
      <c r="P838" s="4">
        <v>-5</v>
      </c>
      <c r="Q838" s="3" t="s">
        <v>26</v>
      </c>
      <c r="R838" s="3">
        <v>0</v>
      </c>
      <c r="S838" s="4">
        <v>0</v>
      </c>
      <c r="T838" s="4">
        <v>12</v>
      </c>
      <c r="U838" s="4">
        <v>52</v>
      </c>
      <c r="V838" s="4">
        <f>IF(ISERROR(VLOOKUP($S$838,'TAR FIN'!$A$1:$O$92,15,0)),0,VLOOKUP($S$838,'TAR FIN'!$A$1:$O$92,15,0))</f>
        <v>0</v>
      </c>
      <c r="W838" s="4">
        <f>IF(ISERROR(VLOOKUP($T$838,'TAR FIN'!$A$1:$O$92,15,0)),0,VLOOKUP($T$838,'TAR FIN'!$A$1:$O$92,15,0))</f>
        <v>269.33999999999997</v>
      </c>
      <c r="X838" s="4">
        <f>IF(ISERROR(VLOOKUP($U$838,'TAR FIN'!$A$1:$O$92,15,0)),0,VLOOKUP($U$838,'TAR FIN'!$A$1:$O$92,15,0))</f>
        <v>268.89</v>
      </c>
      <c r="Y838" s="4"/>
      <c r="Z838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8" s="4">
        <f>('TE BE'!$AB$15+'TE BF'!$AB$15+'TE CVA'!$AB$15)*(1-CUSTOS!$M$37)</f>
        <v>336.17550926835082</v>
      </c>
      <c r="AB838" s="4">
        <f>$K$838*$V$838</f>
        <v>0</v>
      </c>
      <c r="AC838" s="4">
        <f>$M$838*$W$838</f>
        <v>-762.77087999999992</v>
      </c>
      <c r="AD838" s="4">
        <f>$O$838*$X$838</f>
        <v>-761.49647999999991</v>
      </c>
      <c r="AE838" s="4">
        <f>$K$838*$Y$838</f>
        <v>0</v>
      </c>
      <c r="AF838" s="4">
        <f ca="1">$M$838*$Z$838</f>
        <v>-962.4468865265452</v>
      </c>
      <c r="AG838" s="4">
        <f>$O$838*$AA$838</f>
        <v>-952.04904224796951</v>
      </c>
    </row>
    <row r="839" spans="1:33" ht="11.25" customHeight="1" x14ac:dyDescent="0.25">
      <c r="A839" s="3" t="s">
        <v>55</v>
      </c>
      <c r="B839" s="3" t="s">
        <v>22</v>
      </c>
      <c r="C839" s="3" t="s">
        <v>23</v>
      </c>
      <c r="D839" s="3" t="s">
        <v>24</v>
      </c>
      <c r="E839" s="3" t="s">
        <v>32</v>
      </c>
      <c r="F839" s="3" t="s">
        <v>25</v>
      </c>
      <c r="G839" s="3" t="s">
        <v>25</v>
      </c>
      <c r="H839" s="3" t="s">
        <v>25</v>
      </c>
      <c r="I839" s="6">
        <v>44835</v>
      </c>
      <c r="J839" s="4">
        <v>0</v>
      </c>
      <c r="K839" s="4">
        <v>0</v>
      </c>
      <c r="L839" s="4">
        <v>2634.4989999999998</v>
      </c>
      <c r="M839" s="4">
        <v>2634.4989999999998</v>
      </c>
      <c r="N839" s="4">
        <v>2634.4989999999998</v>
      </c>
      <c r="O839" s="4">
        <v>2634.4989999999998</v>
      </c>
      <c r="P839" s="4">
        <v>13544</v>
      </c>
      <c r="Q839" s="3" t="s">
        <v>26</v>
      </c>
      <c r="R839" s="3">
        <v>0</v>
      </c>
      <c r="S839" s="4">
        <v>0</v>
      </c>
      <c r="T839" s="4">
        <v>12</v>
      </c>
      <c r="U839" s="4">
        <v>52</v>
      </c>
      <c r="V839" s="4">
        <f>IF(ISERROR(VLOOKUP($S$839,'TAR FIN'!$A$1:$O$92,15,0)),0,VLOOKUP($S$839,'TAR FIN'!$A$1:$O$92,15,0))</f>
        <v>0</v>
      </c>
      <c r="W839" s="4">
        <f>IF(ISERROR(VLOOKUP($T$839,'TAR FIN'!$A$1:$O$92,15,0)),0,VLOOKUP($T$839,'TAR FIN'!$A$1:$O$92,15,0))</f>
        <v>269.33999999999997</v>
      </c>
      <c r="X839" s="4">
        <f>IF(ISERROR(VLOOKUP($U$839,'TAR FIN'!$A$1:$O$92,15,0)),0,VLOOKUP($U$839,'TAR FIN'!$A$1:$O$92,15,0))</f>
        <v>268.89</v>
      </c>
      <c r="Y839" s="4"/>
      <c r="Z839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39" s="4">
        <f>('TE BE'!$AB$15+'TE BF'!$AB$15+'TE CVA'!$AB$15)*(1-CUSTOS!$M$37)</f>
        <v>336.17550926835082</v>
      </c>
      <c r="AB839" s="4">
        <f>$K$839*$V$839</f>
        <v>0</v>
      </c>
      <c r="AC839" s="4">
        <f>$M$839*$W$839</f>
        <v>709575.96065999987</v>
      </c>
      <c r="AD839" s="4">
        <f>$O$839*$X$839</f>
        <v>708390.43610999989</v>
      </c>
      <c r="AE839" s="4">
        <f>$K$839*$Y$839</f>
        <v>0</v>
      </c>
      <c r="AF839" s="4">
        <f ca="1">$M$839*$Z$839</f>
        <v>895326.75145031663</v>
      </c>
      <c r="AG839" s="4">
        <f>$O$839*$AA$839</f>
        <v>885654.04299196089</v>
      </c>
    </row>
    <row r="840" spans="1:33" ht="11.25" customHeight="1" x14ac:dyDescent="0.25">
      <c r="A840" s="3" t="s">
        <v>55</v>
      </c>
      <c r="B840" s="3" t="s">
        <v>22</v>
      </c>
      <c r="C840" s="3" t="s">
        <v>23</v>
      </c>
      <c r="D840" s="3" t="s">
        <v>24</v>
      </c>
      <c r="E840" s="3" t="s">
        <v>32</v>
      </c>
      <c r="F840" s="3" t="s">
        <v>25</v>
      </c>
      <c r="G840" s="3" t="s">
        <v>25</v>
      </c>
      <c r="H840" s="3" t="s">
        <v>25</v>
      </c>
      <c r="I840" s="6">
        <v>44835</v>
      </c>
      <c r="J840" s="4">
        <v>0</v>
      </c>
      <c r="K840" s="4">
        <v>0</v>
      </c>
      <c r="L840" s="4">
        <v>-2.8319999999999999</v>
      </c>
      <c r="M840" s="4">
        <v>-2.8319999999999999</v>
      </c>
      <c r="N840" s="4">
        <v>-2.8319999999999999</v>
      </c>
      <c r="O840" s="4">
        <v>-2.8319999999999999</v>
      </c>
      <c r="P840" s="4">
        <v>-5</v>
      </c>
      <c r="Q840" s="3" t="s">
        <v>26</v>
      </c>
      <c r="R840" s="3">
        <v>0</v>
      </c>
      <c r="S840" s="4">
        <v>0</v>
      </c>
      <c r="T840" s="4">
        <v>12</v>
      </c>
      <c r="U840" s="4">
        <v>52</v>
      </c>
      <c r="V840" s="4">
        <f>IF(ISERROR(VLOOKUP($S$840,'TAR FIN'!$A$1:$O$92,15,0)),0,VLOOKUP($S$840,'TAR FIN'!$A$1:$O$92,15,0))</f>
        <v>0</v>
      </c>
      <c r="W840" s="4">
        <f>IF(ISERROR(VLOOKUP($T$840,'TAR FIN'!$A$1:$O$92,15,0)),0,VLOOKUP($T$840,'TAR FIN'!$A$1:$O$92,15,0))</f>
        <v>269.33999999999997</v>
      </c>
      <c r="X840" s="4">
        <f>IF(ISERROR(VLOOKUP($U$840,'TAR FIN'!$A$1:$O$92,15,0)),0,VLOOKUP($U$840,'TAR FIN'!$A$1:$O$92,15,0))</f>
        <v>268.89</v>
      </c>
      <c r="Y840" s="4"/>
      <c r="Z840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840" s="4">
        <f>('TE BE'!$AB$15+'TE BF'!$AB$15+'TE CVA'!$AB$15)*(1-CUSTOS!$M$37)</f>
        <v>336.17550926835082</v>
      </c>
      <c r="AB840" s="4">
        <f>$K$840*$V$840</f>
        <v>0</v>
      </c>
      <c r="AC840" s="4">
        <f>$M$840*$W$840</f>
        <v>-762.77087999999992</v>
      </c>
      <c r="AD840" s="4">
        <f>$O$840*$X$840</f>
        <v>-761.49647999999991</v>
      </c>
      <c r="AE840" s="4">
        <f>$K$840*$Y$840</f>
        <v>0</v>
      </c>
      <c r="AF840" s="4">
        <f ca="1">$M$840*$Z$840</f>
        <v>-962.4468865265452</v>
      </c>
      <c r="AG840" s="4">
        <f>$O$840*$AA$840</f>
        <v>-952.04904224796951</v>
      </c>
    </row>
    <row r="841" spans="1:33" ht="11.25" customHeight="1" x14ac:dyDescent="0.25">
      <c r="A841" s="3" t="s">
        <v>21</v>
      </c>
      <c r="B841" s="3" t="s">
        <v>43</v>
      </c>
      <c r="C841" s="3" t="s">
        <v>33</v>
      </c>
      <c r="D841" s="3" t="s">
        <v>44</v>
      </c>
      <c r="E841" s="3" t="s">
        <v>25</v>
      </c>
      <c r="F841" s="3" t="s">
        <v>25</v>
      </c>
      <c r="G841" s="3" t="s">
        <v>25</v>
      </c>
      <c r="H841" s="3" t="s">
        <v>35</v>
      </c>
      <c r="I841" s="6">
        <v>44501</v>
      </c>
      <c r="J841" s="4">
        <v>0</v>
      </c>
      <c r="K841" s="4">
        <v>0</v>
      </c>
      <c r="L841" s="4">
        <v>0.129</v>
      </c>
      <c r="M841" s="4">
        <v>0.129</v>
      </c>
      <c r="N841" s="4">
        <v>0.129</v>
      </c>
      <c r="O841" s="4">
        <v>0.129</v>
      </c>
      <c r="P841" s="4">
        <v>0</v>
      </c>
      <c r="Q841" s="3" t="s">
        <v>26</v>
      </c>
      <c r="R841" s="3">
        <v>0</v>
      </c>
      <c r="S841" s="4">
        <v>0</v>
      </c>
      <c r="T841" s="4">
        <v>70</v>
      </c>
      <c r="U841" s="4">
        <v>69</v>
      </c>
      <c r="V841" s="4">
        <f>IF(ISERROR(VLOOKUP($S$841,'TAR FIN'!$A$1:$O$92,15,0)),0,VLOOKUP($S$841,'TAR FIN'!$A$1:$O$92,15,0))</f>
        <v>0</v>
      </c>
      <c r="W841" s="4">
        <f>IF(ISERROR(VLOOKUP($T$841,'TAR FIN'!$A$1:$O$92,15,0)),0,VLOOKUP($T$841,'TAR FIN'!$A$1:$O$92,15,0))</f>
        <v>212.32</v>
      </c>
      <c r="X841" s="4">
        <f>IF(ISERROR(VLOOKUP($U$841,'TAR FIN'!$A$1:$O$92,15,0)),0,VLOOKUP($U$841,'TAR FIN'!$A$1:$O$92,15,0))</f>
        <v>223.44</v>
      </c>
      <c r="Y841" s="4"/>
      <c r="Z841" s="4">
        <f ca="1">('TUSD BE'!$AM$32+'TUSD BF'!$AM$32+'TUSD CVA'!$AM$32)*(1-CUSTOS!$M$38)</f>
        <v>289.86989370710444</v>
      </c>
      <c r="AA841" s="4">
        <f>('TE BE'!$AB$23+'TE BF'!$AB$23+'TE CVA'!$AB$23)*(1-CUSTOS!$M$38)</f>
        <v>298.34420421092244</v>
      </c>
      <c r="AB841" s="4">
        <f>$K$841*$V$841</f>
        <v>0</v>
      </c>
      <c r="AC841" s="4">
        <f>$M$841*$W$841</f>
        <v>27.389279999999999</v>
      </c>
      <c r="AD841" s="4">
        <f>$O$841*$X$841</f>
        <v>28.82376</v>
      </c>
      <c r="AE841" s="4">
        <f>$K$841*$Y$841</f>
        <v>0</v>
      </c>
      <c r="AF841" s="4">
        <f ca="1">$M$841*$Z$841</f>
        <v>37.393216288216472</v>
      </c>
      <c r="AG841" s="4">
        <f>$O$841*$AA$841</f>
        <v>38.486402343208994</v>
      </c>
    </row>
    <row r="842" spans="1:33" ht="11.25" customHeight="1" x14ac:dyDescent="0.25">
      <c r="A842" s="3" t="s">
        <v>21</v>
      </c>
      <c r="B842" s="3" t="s">
        <v>43</v>
      </c>
      <c r="C842" s="3" t="s">
        <v>33</v>
      </c>
      <c r="D842" s="3" t="s">
        <v>44</v>
      </c>
      <c r="E842" s="3" t="s">
        <v>25</v>
      </c>
      <c r="F842" s="3" t="s">
        <v>25</v>
      </c>
      <c r="G842" s="3" t="s">
        <v>25</v>
      </c>
      <c r="H842" s="3" t="s">
        <v>35</v>
      </c>
      <c r="I842" s="6">
        <v>44531</v>
      </c>
      <c r="J842" s="4">
        <v>0</v>
      </c>
      <c r="K842" s="4">
        <v>0</v>
      </c>
      <c r="L842" s="4">
        <v>0.115</v>
      </c>
      <c r="M842" s="4">
        <v>0.115</v>
      </c>
      <c r="N842" s="4">
        <v>0.115</v>
      </c>
      <c r="O842" s="4">
        <v>0.115</v>
      </c>
      <c r="P842" s="4">
        <v>0</v>
      </c>
      <c r="Q842" s="3" t="s">
        <v>26</v>
      </c>
      <c r="R842" s="3">
        <v>0</v>
      </c>
      <c r="S842" s="4">
        <v>0</v>
      </c>
      <c r="T842" s="4">
        <v>70</v>
      </c>
      <c r="U842" s="4">
        <v>69</v>
      </c>
      <c r="V842" s="4">
        <f>IF(ISERROR(VLOOKUP($S$842,'TAR FIN'!$A$1:$O$92,15,0)),0,VLOOKUP($S$842,'TAR FIN'!$A$1:$O$92,15,0))</f>
        <v>0</v>
      </c>
      <c r="W842" s="4">
        <f>IF(ISERROR(VLOOKUP($T$842,'TAR FIN'!$A$1:$O$92,15,0)),0,VLOOKUP($T$842,'TAR FIN'!$A$1:$O$92,15,0))</f>
        <v>212.32</v>
      </c>
      <c r="X842" s="4">
        <f>IF(ISERROR(VLOOKUP($U$842,'TAR FIN'!$A$1:$O$92,15,0)),0,VLOOKUP($U$842,'TAR FIN'!$A$1:$O$92,15,0))</f>
        <v>223.44</v>
      </c>
      <c r="Y842" s="4"/>
      <c r="Z842" s="4">
        <f ca="1">('TUSD BE'!$AM$32+'TUSD BF'!$AM$32+'TUSD CVA'!$AM$32)*(1-CUSTOS!$M$38)</f>
        <v>289.86989370710444</v>
      </c>
      <c r="AA842" s="4">
        <f>('TE BE'!$AB$23+'TE BF'!$AB$23+'TE CVA'!$AB$23)*(1-CUSTOS!$M$38)</f>
        <v>298.34420421092244</v>
      </c>
      <c r="AB842" s="4">
        <f>$K$842*$V$842</f>
        <v>0</v>
      </c>
      <c r="AC842" s="4">
        <f>$M$842*$W$842</f>
        <v>24.416799999999999</v>
      </c>
      <c r="AD842" s="4">
        <f>$O$842*$X$842</f>
        <v>25.695600000000002</v>
      </c>
      <c r="AE842" s="4">
        <f>$K$842*$Y$842</f>
        <v>0</v>
      </c>
      <c r="AF842" s="4">
        <f ca="1">$M$842*$Z$842</f>
        <v>33.335037776317009</v>
      </c>
      <c r="AG842" s="4">
        <f>$O$842*$AA$842</f>
        <v>34.309583484256081</v>
      </c>
    </row>
    <row r="843" spans="1:33" ht="11.25" customHeight="1" x14ac:dyDescent="0.25">
      <c r="A843" s="3" t="s">
        <v>21</v>
      </c>
      <c r="B843" s="3" t="s">
        <v>43</v>
      </c>
      <c r="C843" s="3" t="s">
        <v>33</v>
      </c>
      <c r="D843" s="3" t="s">
        <v>44</v>
      </c>
      <c r="E843" s="3" t="s">
        <v>25</v>
      </c>
      <c r="F843" s="3" t="s">
        <v>25</v>
      </c>
      <c r="G843" s="3" t="s">
        <v>25</v>
      </c>
      <c r="H843" s="3" t="s">
        <v>35</v>
      </c>
      <c r="I843" s="6">
        <v>44562</v>
      </c>
      <c r="J843" s="4">
        <v>0</v>
      </c>
      <c r="K843" s="4">
        <v>0</v>
      </c>
      <c r="L843" s="4">
        <v>0.17699999999999999</v>
      </c>
      <c r="M843" s="4">
        <v>0.17699999999999999</v>
      </c>
      <c r="N843" s="4">
        <v>0.17699999999999999</v>
      </c>
      <c r="O843" s="4">
        <v>0.17699999999999999</v>
      </c>
      <c r="P843" s="4">
        <v>0</v>
      </c>
      <c r="Q843" s="3" t="s">
        <v>26</v>
      </c>
      <c r="R843" s="3">
        <v>0</v>
      </c>
      <c r="S843" s="4">
        <v>0</v>
      </c>
      <c r="T843" s="4">
        <v>70</v>
      </c>
      <c r="U843" s="4">
        <v>69</v>
      </c>
      <c r="V843" s="4">
        <f>IF(ISERROR(VLOOKUP($S$843,'TAR FIN'!$A$1:$O$92,15,0)),0,VLOOKUP($S$843,'TAR FIN'!$A$1:$O$92,15,0))</f>
        <v>0</v>
      </c>
      <c r="W843" s="4">
        <f>IF(ISERROR(VLOOKUP($T$843,'TAR FIN'!$A$1:$O$92,15,0)),0,VLOOKUP($T$843,'TAR FIN'!$A$1:$O$92,15,0))</f>
        <v>212.32</v>
      </c>
      <c r="X843" s="4">
        <f>IF(ISERROR(VLOOKUP($U$843,'TAR FIN'!$A$1:$O$92,15,0)),0,VLOOKUP($U$843,'TAR FIN'!$A$1:$O$92,15,0))</f>
        <v>223.44</v>
      </c>
      <c r="Y843" s="4"/>
      <c r="Z843" s="4">
        <f ca="1">('TUSD BE'!$AM$32+'TUSD BF'!$AM$32+'TUSD CVA'!$AM$32)*(1-CUSTOS!$M$38)</f>
        <v>289.86989370710444</v>
      </c>
      <c r="AA843" s="4">
        <f>('TE BE'!$AB$23+'TE BF'!$AB$23+'TE CVA'!$AB$23)*(1-CUSTOS!$M$38)</f>
        <v>298.34420421092244</v>
      </c>
      <c r="AB843" s="4">
        <f>$K$843*$V$843</f>
        <v>0</v>
      </c>
      <c r="AC843" s="4">
        <f>$M$843*$W$843</f>
        <v>37.580639999999995</v>
      </c>
      <c r="AD843" s="4">
        <f>$O$843*$X$843</f>
        <v>39.548879999999997</v>
      </c>
      <c r="AE843" s="4">
        <f>$K$843*$Y$843</f>
        <v>0</v>
      </c>
      <c r="AF843" s="4">
        <f ca="1">$M$843*$Z$843</f>
        <v>51.306971186157483</v>
      </c>
      <c r="AG843" s="4">
        <f>$O$843*$AA$843</f>
        <v>52.806924145333269</v>
      </c>
    </row>
    <row r="844" spans="1:33" ht="11.25" customHeight="1" x14ac:dyDescent="0.25">
      <c r="A844" s="3" t="s">
        <v>21</v>
      </c>
      <c r="B844" s="3" t="s">
        <v>43</v>
      </c>
      <c r="C844" s="3" t="s">
        <v>33</v>
      </c>
      <c r="D844" s="3" t="s">
        <v>44</v>
      </c>
      <c r="E844" s="3" t="s">
        <v>25</v>
      </c>
      <c r="F844" s="3" t="s">
        <v>25</v>
      </c>
      <c r="G844" s="3" t="s">
        <v>25</v>
      </c>
      <c r="H844" s="3" t="s">
        <v>35</v>
      </c>
      <c r="I844" s="6">
        <v>44593</v>
      </c>
      <c r="J844" s="4">
        <v>0</v>
      </c>
      <c r="K844" s="4">
        <v>0</v>
      </c>
      <c r="L844" s="4">
        <v>0.13400000000000001</v>
      </c>
      <c r="M844" s="4">
        <v>0.13400000000000001</v>
      </c>
      <c r="N844" s="4">
        <v>0.13400000000000001</v>
      </c>
      <c r="O844" s="4">
        <v>0.13400000000000001</v>
      </c>
      <c r="P844" s="4">
        <v>0</v>
      </c>
      <c r="Q844" s="3" t="s">
        <v>26</v>
      </c>
      <c r="R844" s="3">
        <v>0</v>
      </c>
      <c r="S844" s="4">
        <v>0</v>
      </c>
      <c r="T844" s="4">
        <v>70</v>
      </c>
      <c r="U844" s="4">
        <v>69</v>
      </c>
      <c r="V844" s="4">
        <f>IF(ISERROR(VLOOKUP($S$844,'TAR FIN'!$A$1:$O$92,15,0)),0,VLOOKUP($S$844,'TAR FIN'!$A$1:$O$92,15,0))</f>
        <v>0</v>
      </c>
      <c r="W844" s="4">
        <f>IF(ISERROR(VLOOKUP($T$844,'TAR FIN'!$A$1:$O$92,15,0)),0,VLOOKUP($T$844,'TAR FIN'!$A$1:$O$92,15,0))</f>
        <v>212.32</v>
      </c>
      <c r="X844" s="4">
        <f>IF(ISERROR(VLOOKUP($U$844,'TAR FIN'!$A$1:$O$92,15,0)),0,VLOOKUP($U$844,'TAR FIN'!$A$1:$O$92,15,0))</f>
        <v>223.44</v>
      </c>
      <c r="Y844" s="4"/>
      <c r="Z844" s="4">
        <f ca="1">('TUSD BE'!$AM$32+'TUSD BF'!$AM$32+'TUSD CVA'!$AM$32)*(1-CUSTOS!$M$38)</f>
        <v>289.86989370710444</v>
      </c>
      <c r="AA844" s="4">
        <f>('TE BE'!$AB$23+'TE BF'!$AB$23+'TE CVA'!$AB$23)*(1-CUSTOS!$M$38)</f>
        <v>298.34420421092244</v>
      </c>
      <c r="AB844" s="4">
        <f>$K$844*$V$844</f>
        <v>0</v>
      </c>
      <c r="AC844" s="4">
        <f>$M$844*$W$844</f>
        <v>28.450880000000002</v>
      </c>
      <c r="AD844" s="4">
        <f>$O$844*$X$844</f>
        <v>29.94096</v>
      </c>
      <c r="AE844" s="4">
        <f>$K$844*$Y$844</f>
        <v>0</v>
      </c>
      <c r="AF844" s="4">
        <f ca="1">$M$844*$Z$844</f>
        <v>38.842565756751995</v>
      </c>
      <c r="AG844" s="4">
        <f>$O$844*$AA$844</f>
        <v>39.97812336426361</v>
      </c>
    </row>
    <row r="845" spans="1:33" ht="11.25" customHeight="1" x14ac:dyDescent="0.25">
      <c r="A845" s="3" t="s">
        <v>21</v>
      </c>
      <c r="B845" s="3" t="s">
        <v>43</v>
      </c>
      <c r="C845" s="3" t="s">
        <v>33</v>
      </c>
      <c r="D845" s="3" t="s">
        <v>44</v>
      </c>
      <c r="E845" s="3" t="s">
        <v>25</v>
      </c>
      <c r="F845" s="3" t="s">
        <v>25</v>
      </c>
      <c r="G845" s="3" t="s">
        <v>25</v>
      </c>
      <c r="H845" s="3" t="s">
        <v>35</v>
      </c>
      <c r="I845" s="6">
        <v>44621</v>
      </c>
      <c r="J845" s="4">
        <v>0</v>
      </c>
      <c r="K845" s="4">
        <v>0</v>
      </c>
      <c r="L845" s="4">
        <v>0.11700000000000001</v>
      </c>
      <c r="M845" s="4">
        <v>0.11700000000000001</v>
      </c>
      <c r="N845" s="4">
        <v>0.11700000000000001</v>
      </c>
      <c r="O845" s="4">
        <v>0.11700000000000001</v>
      </c>
      <c r="P845" s="4">
        <v>0</v>
      </c>
      <c r="Q845" s="3" t="s">
        <v>26</v>
      </c>
      <c r="R845" s="3">
        <v>0</v>
      </c>
      <c r="S845" s="4">
        <v>0</v>
      </c>
      <c r="T845" s="4">
        <v>70</v>
      </c>
      <c r="U845" s="4">
        <v>69</v>
      </c>
      <c r="V845" s="4">
        <f>IF(ISERROR(VLOOKUP($S$845,'TAR FIN'!$A$1:$O$92,15,0)),0,VLOOKUP($S$845,'TAR FIN'!$A$1:$O$92,15,0))</f>
        <v>0</v>
      </c>
      <c r="W845" s="4">
        <f>IF(ISERROR(VLOOKUP($T$845,'TAR FIN'!$A$1:$O$92,15,0)),0,VLOOKUP($T$845,'TAR FIN'!$A$1:$O$92,15,0))</f>
        <v>212.32</v>
      </c>
      <c r="X845" s="4">
        <f>IF(ISERROR(VLOOKUP($U$845,'TAR FIN'!$A$1:$O$92,15,0)),0,VLOOKUP($U$845,'TAR FIN'!$A$1:$O$92,15,0))</f>
        <v>223.44</v>
      </c>
      <c r="Y845" s="4"/>
      <c r="Z845" s="4">
        <f ca="1">('TUSD BE'!$AM$32+'TUSD BF'!$AM$32+'TUSD CVA'!$AM$32)*(1-CUSTOS!$M$38)</f>
        <v>289.86989370710444</v>
      </c>
      <c r="AA845" s="4">
        <f>('TE BE'!$AB$23+'TE BF'!$AB$23+'TE CVA'!$AB$23)*(1-CUSTOS!$M$38)</f>
        <v>298.34420421092244</v>
      </c>
      <c r="AB845" s="4">
        <f>$K$845*$V$845</f>
        <v>0</v>
      </c>
      <c r="AC845" s="4">
        <f>$M$845*$W$845</f>
        <v>24.841440000000002</v>
      </c>
      <c r="AD845" s="4">
        <f>$O$845*$X$845</f>
        <v>26.142480000000003</v>
      </c>
      <c r="AE845" s="4">
        <f>$K$845*$Y$845</f>
        <v>0</v>
      </c>
      <c r="AF845" s="4">
        <f ca="1">$M$845*$Z$845</f>
        <v>33.914777563731221</v>
      </c>
      <c r="AG845" s="4">
        <f>$O$845*$AA$845</f>
        <v>34.906271892677928</v>
      </c>
    </row>
    <row r="846" spans="1:33" ht="11.25" customHeight="1" x14ac:dyDescent="0.25">
      <c r="A846" s="3" t="s">
        <v>21</v>
      </c>
      <c r="B846" s="3" t="s">
        <v>43</v>
      </c>
      <c r="C846" s="3" t="s">
        <v>33</v>
      </c>
      <c r="D846" s="3" t="s">
        <v>44</v>
      </c>
      <c r="E846" s="3" t="s">
        <v>25</v>
      </c>
      <c r="F846" s="3" t="s">
        <v>25</v>
      </c>
      <c r="G846" s="3" t="s">
        <v>25</v>
      </c>
      <c r="H846" s="3" t="s">
        <v>35</v>
      </c>
      <c r="I846" s="6">
        <v>44652</v>
      </c>
      <c r="J846" s="4">
        <v>0</v>
      </c>
      <c r="K846" s="4">
        <v>0</v>
      </c>
      <c r="L846" s="4">
        <v>0.11700000000000001</v>
      </c>
      <c r="M846" s="4">
        <v>0.11700000000000001</v>
      </c>
      <c r="N846" s="4">
        <v>0.11700000000000001</v>
      </c>
      <c r="O846" s="4">
        <v>0.11700000000000001</v>
      </c>
      <c r="P846" s="4">
        <v>0</v>
      </c>
      <c r="Q846" s="3" t="s">
        <v>26</v>
      </c>
      <c r="R846" s="3">
        <v>0</v>
      </c>
      <c r="S846" s="4">
        <v>0</v>
      </c>
      <c r="T846" s="4">
        <v>70</v>
      </c>
      <c r="U846" s="4">
        <v>69</v>
      </c>
      <c r="V846" s="4">
        <f>IF(ISERROR(VLOOKUP($S$846,'TAR FIN'!$A$1:$O$92,15,0)),0,VLOOKUP($S$846,'TAR FIN'!$A$1:$O$92,15,0))</f>
        <v>0</v>
      </c>
      <c r="W846" s="4">
        <f>IF(ISERROR(VLOOKUP($T$846,'TAR FIN'!$A$1:$O$92,15,0)),0,VLOOKUP($T$846,'TAR FIN'!$A$1:$O$92,15,0))</f>
        <v>212.32</v>
      </c>
      <c r="X846" s="4">
        <f>IF(ISERROR(VLOOKUP($U$846,'TAR FIN'!$A$1:$O$92,15,0)),0,VLOOKUP($U$846,'TAR FIN'!$A$1:$O$92,15,0))</f>
        <v>223.44</v>
      </c>
      <c r="Y846" s="4"/>
      <c r="Z846" s="4">
        <f ca="1">('TUSD BE'!$AM$32+'TUSD BF'!$AM$32+'TUSD CVA'!$AM$32)*(1-CUSTOS!$M$38)</f>
        <v>289.86989370710444</v>
      </c>
      <c r="AA846" s="4">
        <f>('TE BE'!$AB$23+'TE BF'!$AB$23+'TE CVA'!$AB$23)*(1-CUSTOS!$M$38)</f>
        <v>298.34420421092244</v>
      </c>
      <c r="AB846" s="4">
        <f>$K$846*$V$846</f>
        <v>0</v>
      </c>
      <c r="AC846" s="4">
        <f>$M$846*$W$846</f>
        <v>24.841440000000002</v>
      </c>
      <c r="AD846" s="4">
        <f>$O$846*$X$846</f>
        <v>26.142480000000003</v>
      </c>
      <c r="AE846" s="4">
        <f>$K$846*$Y$846</f>
        <v>0</v>
      </c>
      <c r="AF846" s="4">
        <f ca="1">$M$846*$Z$846</f>
        <v>33.914777563731221</v>
      </c>
      <c r="AG846" s="4">
        <f>$O$846*$AA$846</f>
        <v>34.906271892677928</v>
      </c>
    </row>
    <row r="847" spans="1:33" ht="11.25" customHeight="1" x14ac:dyDescent="0.25">
      <c r="A847" s="3" t="s">
        <v>21</v>
      </c>
      <c r="B847" s="3" t="s">
        <v>43</v>
      </c>
      <c r="C847" s="3" t="s">
        <v>33</v>
      </c>
      <c r="D847" s="3" t="s">
        <v>44</v>
      </c>
      <c r="E847" s="3" t="s">
        <v>25</v>
      </c>
      <c r="F847" s="3" t="s">
        <v>25</v>
      </c>
      <c r="G847" s="3" t="s">
        <v>25</v>
      </c>
      <c r="H847" s="3" t="s">
        <v>35</v>
      </c>
      <c r="I847" s="6">
        <v>44682</v>
      </c>
      <c r="J847" s="4">
        <v>0</v>
      </c>
      <c r="K847" s="4">
        <v>0</v>
      </c>
      <c r="L847" s="4">
        <v>0.127</v>
      </c>
      <c r="M847" s="4">
        <v>0.127</v>
      </c>
      <c r="N847" s="4">
        <v>0.127</v>
      </c>
      <c r="O847" s="4">
        <v>0.127</v>
      </c>
      <c r="P847" s="4">
        <v>0</v>
      </c>
      <c r="Q847" s="3" t="s">
        <v>26</v>
      </c>
      <c r="R847" s="3">
        <v>0</v>
      </c>
      <c r="S847" s="4">
        <v>0</v>
      </c>
      <c r="T847" s="4">
        <v>70</v>
      </c>
      <c r="U847" s="4">
        <v>69</v>
      </c>
      <c r="V847" s="4">
        <f>IF(ISERROR(VLOOKUP($S$847,'TAR FIN'!$A$1:$O$92,15,0)),0,VLOOKUP($S$847,'TAR FIN'!$A$1:$O$92,15,0))</f>
        <v>0</v>
      </c>
      <c r="W847" s="4">
        <f>IF(ISERROR(VLOOKUP($T$847,'TAR FIN'!$A$1:$O$92,15,0)),0,VLOOKUP($T$847,'TAR FIN'!$A$1:$O$92,15,0))</f>
        <v>212.32</v>
      </c>
      <c r="X847" s="4">
        <f>IF(ISERROR(VLOOKUP($U$847,'TAR FIN'!$A$1:$O$92,15,0)),0,VLOOKUP($U$847,'TAR FIN'!$A$1:$O$92,15,0))</f>
        <v>223.44</v>
      </c>
      <c r="Y847" s="4"/>
      <c r="Z847" s="4">
        <f ca="1">('TUSD BE'!$AM$32+'TUSD BF'!$AM$32+'TUSD CVA'!$AM$32)*(1-CUSTOS!$M$38)</f>
        <v>289.86989370710444</v>
      </c>
      <c r="AA847" s="4">
        <f>('TE BE'!$AB$23+'TE BF'!$AB$23+'TE CVA'!$AB$23)*(1-CUSTOS!$M$38)</f>
        <v>298.34420421092244</v>
      </c>
      <c r="AB847" s="4">
        <f>$K$847*$V$847</f>
        <v>0</v>
      </c>
      <c r="AC847" s="4">
        <f>$M$847*$W$847</f>
        <v>26.964639999999999</v>
      </c>
      <c r="AD847" s="4">
        <f>$O$847*$X$847</f>
        <v>28.37688</v>
      </c>
      <c r="AE847" s="4">
        <f>$K$847*$Y$847</f>
        <v>0</v>
      </c>
      <c r="AF847" s="4">
        <f ca="1">$M$847*$Z$847</f>
        <v>36.813476500802267</v>
      </c>
      <c r="AG847" s="4">
        <f>$O$847*$AA$847</f>
        <v>37.889713934787153</v>
      </c>
    </row>
    <row r="848" spans="1:33" ht="11.25" customHeight="1" x14ac:dyDescent="0.25">
      <c r="A848" s="3" t="s">
        <v>21</v>
      </c>
      <c r="B848" s="3" t="s">
        <v>43</v>
      </c>
      <c r="C848" s="3" t="s">
        <v>33</v>
      </c>
      <c r="D848" s="3" t="s">
        <v>44</v>
      </c>
      <c r="E848" s="3" t="s">
        <v>25</v>
      </c>
      <c r="F848" s="3" t="s">
        <v>25</v>
      </c>
      <c r="G848" s="3" t="s">
        <v>25</v>
      </c>
      <c r="H848" s="3" t="s">
        <v>36</v>
      </c>
      <c r="I848" s="6">
        <v>44501</v>
      </c>
      <c r="J848" s="4">
        <v>0</v>
      </c>
      <c r="K848" s="4">
        <v>0</v>
      </c>
      <c r="L848" s="4">
        <v>0.01</v>
      </c>
      <c r="M848" s="4">
        <v>0.01</v>
      </c>
      <c r="N848" s="4">
        <v>0.01</v>
      </c>
      <c r="O848" s="4">
        <v>0.01</v>
      </c>
      <c r="P848" s="4">
        <v>0</v>
      </c>
      <c r="Q848" s="3" t="s">
        <v>26</v>
      </c>
      <c r="R848" s="3">
        <v>0</v>
      </c>
      <c r="S848" s="4">
        <v>0</v>
      </c>
      <c r="T848" s="4">
        <v>22</v>
      </c>
      <c r="U848" s="4">
        <v>47</v>
      </c>
      <c r="V848" s="4">
        <f>IF(ISERROR(VLOOKUP($S$848,'TAR FIN'!$A$1:$O$92,15,0)),0,VLOOKUP($S$848,'TAR FIN'!$A$1:$O$92,15,0))</f>
        <v>0</v>
      </c>
      <c r="W848" s="4">
        <f>IF(ISERROR(VLOOKUP($T$848,'TAR FIN'!$A$1:$O$92,15,0)),0,VLOOKUP($T$848,'TAR FIN'!$A$1:$O$92,15,0))</f>
        <v>431.37</v>
      </c>
      <c r="X848" s="4">
        <f>IF(ISERROR(VLOOKUP($U$848,'TAR FIN'!$A$1:$O$92,15,0)),0,VLOOKUP($U$848,'TAR FIN'!$A$1:$O$92,15,0))</f>
        <v>223.44</v>
      </c>
      <c r="Y848" s="4"/>
      <c r="Z848" s="4">
        <f ca="1">('TUSD BE'!$AM$31+'TUSD BF'!$AM$31+'TUSD CVA'!$AM$31)*(1-CUSTOS!$M$38)</f>
        <v>592.61092339289291</v>
      </c>
      <c r="AA848" s="4">
        <f>('TE BE'!$AB$22+'TE BF'!$AB$22+'TE CVA'!$AB$22)*(1-CUSTOS!$M$38)</f>
        <v>298.34420421092244</v>
      </c>
      <c r="AB848" s="4">
        <f>$K$848*$V$848</f>
        <v>0</v>
      </c>
      <c r="AC848" s="4">
        <f>$M$848*$W$848</f>
        <v>4.3136999999999999</v>
      </c>
      <c r="AD848" s="4">
        <f>$O$848*$X$848</f>
        <v>2.2343999999999999</v>
      </c>
      <c r="AE848" s="4">
        <f>$K$848*$Y$848</f>
        <v>0</v>
      </c>
      <c r="AF848" s="4">
        <f ca="1">$M$848*$Z$848</f>
        <v>5.926109233928929</v>
      </c>
      <c r="AG848" s="4">
        <f>$O$848*$AA$848</f>
        <v>2.9834420421092247</v>
      </c>
    </row>
    <row r="849" spans="1:33" ht="11.25" customHeight="1" x14ac:dyDescent="0.25">
      <c r="A849" s="3" t="s">
        <v>21</v>
      </c>
      <c r="B849" s="3" t="s">
        <v>43</v>
      </c>
      <c r="C849" s="3" t="s">
        <v>33</v>
      </c>
      <c r="D849" s="3" t="s">
        <v>44</v>
      </c>
      <c r="E849" s="3" t="s">
        <v>25</v>
      </c>
      <c r="F849" s="3" t="s">
        <v>25</v>
      </c>
      <c r="G849" s="3" t="s">
        <v>25</v>
      </c>
      <c r="H849" s="3" t="s">
        <v>36</v>
      </c>
      <c r="I849" s="6">
        <v>44531</v>
      </c>
      <c r="J849" s="4">
        <v>0</v>
      </c>
      <c r="K849" s="4">
        <v>0</v>
      </c>
      <c r="L849" s="4">
        <v>8.9999999999999993E-3</v>
      </c>
      <c r="M849" s="4">
        <v>8.9999999999999993E-3</v>
      </c>
      <c r="N849" s="4">
        <v>8.9999999999999993E-3</v>
      </c>
      <c r="O849" s="4">
        <v>8.9999999999999993E-3</v>
      </c>
      <c r="P849" s="4">
        <v>0</v>
      </c>
      <c r="Q849" s="3" t="s">
        <v>26</v>
      </c>
      <c r="R849" s="3">
        <v>0</v>
      </c>
      <c r="S849" s="4">
        <v>0</v>
      </c>
      <c r="T849" s="4">
        <v>22</v>
      </c>
      <c r="U849" s="4">
        <v>47</v>
      </c>
      <c r="V849" s="4">
        <f>IF(ISERROR(VLOOKUP($S$849,'TAR FIN'!$A$1:$O$92,15,0)),0,VLOOKUP($S$849,'TAR FIN'!$A$1:$O$92,15,0))</f>
        <v>0</v>
      </c>
      <c r="W849" s="4">
        <f>IF(ISERROR(VLOOKUP($T$849,'TAR FIN'!$A$1:$O$92,15,0)),0,VLOOKUP($T$849,'TAR FIN'!$A$1:$O$92,15,0))</f>
        <v>431.37</v>
      </c>
      <c r="X849" s="4">
        <f>IF(ISERROR(VLOOKUP($U$849,'TAR FIN'!$A$1:$O$92,15,0)),0,VLOOKUP($U$849,'TAR FIN'!$A$1:$O$92,15,0))</f>
        <v>223.44</v>
      </c>
      <c r="Y849" s="4"/>
      <c r="Z849" s="4">
        <f ca="1">('TUSD BE'!$AM$31+'TUSD BF'!$AM$31+'TUSD CVA'!$AM$31)*(1-CUSTOS!$M$38)</f>
        <v>592.61092339289291</v>
      </c>
      <c r="AA849" s="4">
        <f>('TE BE'!$AB$22+'TE BF'!$AB$22+'TE CVA'!$AB$22)*(1-CUSTOS!$M$38)</f>
        <v>298.34420421092244</v>
      </c>
      <c r="AB849" s="4">
        <f>$K$849*$V$849</f>
        <v>0</v>
      </c>
      <c r="AC849" s="4">
        <f>$M$849*$W$849</f>
        <v>3.8823299999999996</v>
      </c>
      <c r="AD849" s="4">
        <f>$O$849*$X$849</f>
        <v>2.0109599999999999</v>
      </c>
      <c r="AE849" s="4">
        <f>$K$849*$Y$849</f>
        <v>0</v>
      </c>
      <c r="AF849" s="4">
        <f ca="1">$M$849*$Z$849</f>
        <v>5.3334983105360356</v>
      </c>
      <c r="AG849" s="4">
        <f>$O$849*$AA$849</f>
        <v>2.6850978378983017</v>
      </c>
    </row>
    <row r="850" spans="1:33" ht="11.25" customHeight="1" x14ac:dyDescent="0.25">
      <c r="A850" s="3" t="s">
        <v>21</v>
      </c>
      <c r="B850" s="3" t="s">
        <v>43</v>
      </c>
      <c r="C850" s="3" t="s">
        <v>33</v>
      </c>
      <c r="D850" s="3" t="s">
        <v>44</v>
      </c>
      <c r="E850" s="3" t="s">
        <v>25</v>
      </c>
      <c r="F850" s="3" t="s">
        <v>25</v>
      </c>
      <c r="G850" s="3" t="s">
        <v>25</v>
      </c>
      <c r="H850" s="3" t="s">
        <v>36</v>
      </c>
      <c r="I850" s="6">
        <v>44562</v>
      </c>
      <c r="J850" s="4">
        <v>0</v>
      </c>
      <c r="K850" s="4">
        <v>0</v>
      </c>
      <c r="L850" s="4">
        <v>1.2999999999999999E-2</v>
      </c>
      <c r="M850" s="4">
        <v>1.2999999999999999E-2</v>
      </c>
      <c r="N850" s="4">
        <v>1.2999999999999999E-2</v>
      </c>
      <c r="O850" s="4">
        <v>1.2999999999999999E-2</v>
      </c>
      <c r="P850" s="4">
        <v>0</v>
      </c>
      <c r="Q850" s="3" t="s">
        <v>26</v>
      </c>
      <c r="R850" s="3">
        <v>0</v>
      </c>
      <c r="S850" s="4">
        <v>0</v>
      </c>
      <c r="T850" s="4">
        <v>22</v>
      </c>
      <c r="U850" s="4">
        <v>47</v>
      </c>
      <c r="V850" s="4">
        <f>IF(ISERROR(VLOOKUP($S$850,'TAR FIN'!$A$1:$O$92,15,0)),0,VLOOKUP($S$850,'TAR FIN'!$A$1:$O$92,15,0))</f>
        <v>0</v>
      </c>
      <c r="W850" s="4">
        <f>IF(ISERROR(VLOOKUP($T$850,'TAR FIN'!$A$1:$O$92,15,0)),0,VLOOKUP($T$850,'TAR FIN'!$A$1:$O$92,15,0))</f>
        <v>431.37</v>
      </c>
      <c r="X850" s="4">
        <f>IF(ISERROR(VLOOKUP($U$850,'TAR FIN'!$A$1:$O$92,15,0)),0,VLOOKUP($U$850,'TAR FIN'!$A$1:$O$92,15,0))</f>
        <v>223.44</v>
      </c>
      <c r="Y850" s="4"/>
      <c r="Z850" s="4">
        <f ca="1">('TUSD BE'!$AM$31+'TUSD BF'!$AM$31+'TUSD CVA'!$AM$31)*(1-CUSTOS!$M$38)</f>
        <v>592.61092339289291</v>
      </c>
      <c r="AA850" s="4">
        <f>('TE BE'!$AB$22+'TE BF'!$AB$22+'TE CVA'!$AB$22)*(1-CUSTOS!$M$38)</f>
        <v>298.34420421092244</v>
      </c>
      <c r="AB850" s="4">
        <f>$K$850*$V$850</f>
        <v>0</v>
      </c>
      <c r="AC850" s="4">
        <f>$M$850*$W$850</f>
        <v>5.6078099999999997</v>
      </c>
      <c r="AD850" s="4">
        <f>$O$850*$X$850</f>
        <v>2.9047199999999997</v>
      </c>
      <c r="AE850" s="4">
        <f>$K$850*$Y$850</f>
        <v>0</v>
      </c>
      <c r="AF850" s="4">
        <f ca="1">$M$850*$Z$850</f>
        <v>7.7039420041076072</v>
      </c>
      <c r="AG850" s="4">
        <f>$O$850*$AA$850</f>
        <v>3.8784746547419915</v>
      </c>
    </row>
    <row r="851" spans="1:33" ht="11.25" customHeight="1" x14ac:dyDescent="0.25">
      <c r="A851" s="3" t="s">
        <v>21</v>
      </c>
      <c r="B851" s="3" t="s">
        <v>43</v>
      </c>
      <c r="C851" s="3" t="s">
        <v>33</v>
      </c>
      <c r="D851" s="3" t="s">
        <v>44</v>
      </c>
      <c r="E851" s="3" t="s">
        <v>25</v>
      </c>
      <c r="F851" s="3" t="s">
        <v>25</v>
      </c>
      <c r="G851" s="3" t="s">
        <v>25</v>
      </c>
      <c r="H851" s="3" t="s">
        <v>36</v>
      </c>
      <c r="I851" s="6">
        <v>44593</v>
      </c>
      <c r="J851" s="4">
        <v>0</v>
      </c>
      <c r="K851" s="4">
        <v>0</v>
      </c>
      <c r="L851" s="4">
        <v>1.2E-2</v>
      </c>
      <c r="M851" s="4">
        <v>1.2E-2</v>
      </c>
      <c r="N851" s="4">
        <v>1.2E-2</v>
      </c>
      <c r="O851" s="4">
        <v>1.2E-2</v>
      </c>
      <c r="P851" s="4">
        <v>0</v>
      </c>
      <c r="Q851" s="3" t="s">
        <v>26</v>
      </c>
      <c r="R851" s="3">
        <v>0</v>
      </c>
      <c r="S851" s="4">
        <v>0</v>
      </c>
      <c r="T851" s="4">
        <v>22</v>
      </c>
      <c r="U851" s="4">
        <v>47</v>
      </c>
      <c r="V851" s="4">
        <f>IF(ISERROR(VLOOKUP($S$851,'TAR FIN'!$A$1:$O$92,15,0)),0,VLOOKUP($S$851,'TAR FIN'!$A$1:$O$92,15,0))</f>
        <v>0</v>
      </c>
      <c r="W851" s="4">
        <f>IF(ISERROR(VLOOKUP($T$851,'TAR FIN'!$A$1:$O$92,15,0)),0,VLOOKUP($T$851,'TAR FIN'!$A$1:$O$92,15,0))</f>
        <v>431.37</v>
      </c>
      <c r="X851" s="4">
        <f>IF(ISERROR(VLOOKUP($U$851,'TAR FIN'!$A$1:$O$92,15,0)),0,VLOOKUP($U$851,'TAR FIN'!$A$1:$O$92,15,0))</f>
        <v>223.44</v>
      </c>
      <c r="Y851" s="4"/>
      <c r="Z851" s="4">
        <f ca="1">('TUSD BE'!$AM$31+'TUSD BF'!$AM$31+'TUSD CVA'!$AM$31)*(1-CUSTOS!$M$38)</f>
        <v>592.61092339289291</v>
      </c>
      <c r="AA851" s="4">
        <f>('TE BE'!$AB$22+'TE BF'!$AB$22+'TE CVA'!$AB$22)*(1-CUSTOS!$M$38)</f>
        <v>298.34420421092244</v>
      </c>
      <c r="AB851" s="4">
        <f>$K$851*$V$851</f>
        <v>0</v>
      </c>
      <c r="AC851" s="4">
        <f>$M$851*$W$851</f>
        <v>5.1764400000000004</v>
      </c>
      <c r="AD851" s="4">
        <f>$O$851*$X$851</f>
        <v>2.6812800000000001</v>
      </c>
      <c r="AE851" s="4">
        <f>$K$851*$Y$851</f>
        <v>0</v>
      </c>
      <c r="AF851" s="4">
        <f ca="1">$M$851*$Z$851</f>
        <v>7.1113310807147148</v>
      </c>
      <c r="AG851" s="4">
        <f>$O$851*$AA$851</f>
        <v>3.5801304505310694</v>
      </c>
    </row>
    <row r="852" spans="1:33" ht="11.25" customHeight="1" x14ac:dyDescent="0.25">
      <c r="A852" s="3" t="s">
        <v>21</v>
      </c>
      <c r="B852" s="3" t="s">
        <v>43</v>
      </c>
      <c r="C852" s="3" t="s">
        <v>33</v>
      </c>
      <c r="D852" s="3" t="s">
        <v>44</v>
      </c>
      <c r="E852" s="3" t="s">
        <v>25</v>
      </c>
      <c r="F852" s="3" t="s">
        <v>25</v>
      </c>
      <c r="G852" s="3" t="s">
        <v>25</v>
      </c>
      <c r="H852" s="3" t="s">
        <v>36</v>
      </c>
      <c r="I852" s="6">
        <v>44621</v>
      </c>
      <c r="J852" s="4">
        <v>0</v>
      </c>
      <c r="K852" s="4">
        <v>0</v>
      </c>
      <c r="L852" s="4">
        <v>0.01</v>
      </c>
      <c r="M852" s="4">
        <v>0.01</v>
      </c>
      <c r="N852" s="4">
        <v>0.01</v>
      </c>
      <c r="O852" s="4">
        <v>0.01</v>
      </c>
      <c r="P852" s="4">
        <v>0</v>
      </c>
      <c r="Q852" s="3" t="s">
        <v>26</v>
      </c>
      <c r="R852" s="3">
        <v>0</v>
      </c>
      <c r="S852" s="4">
        <v>0</v>
      </c>
      <c r="T852" s="4">
        <v>22</v>
      </c>
      <c r="U852" s="4">
        <v>47</v>
      </c>
      <c r="V852" s="4">
        <f>IF(ISERROR(VLOOKUP($S$852,'TAR FIN'!$A$1:$O$92,15,0)),0,VLOOKUP($S$852,'TAR FIN'!$A$1:$O$92,15,0))</f>
        <v>0</v>
      </c>
      <c r="W852" s="4">
        <f>IF(ISERROR(VLOOKUP($T$852,'TAR FIN'!$A$1:$O$92,15,0)),0,VLOOKUP($T$852,'TAR FIN'!$A$1:$O$92,15,0))</f>
        <v>431.37</v>
      </c>
      <c r="X852" s="4">
        <f>IF(ISERROR(VLOOKUP($U$852,'TAR FIN'!$A$1:$O$92,15,0)),0,VLOOKUP($U$852,'TAR FIN'!$A$1:$O$92,15,0))</f>
        <v>223.44</v>
      </c>
      <c r="Y852" s="4"/>
      <c r="Z852" s="4">
        <f ca="1">('TUSD BE'!$AM$31+'TUSD BF'!$AM$31+'TUSD CVA'!$AM$31)*(1-CUSTOS!$M$38)</f>
        <v>592.61092339289291</v>
      </c>
      <c r="AA852" s="4">
        <f>('TE BE'!$AB$22+'TE BF'!$AB$22+'TE CVA'!$AB$22)*(1-CUSTOS!$M$38)</f>
        <v>298.34420421092244</v>
      </c>
      <c r="AB852" s="4">
        <f>$K$852*$V$852</f>
        <v>0</v>
      </c>
      <c r="AC852" s="4">
        <f>$M$852*$W$852</f>
        <v>4.3136999999999999</v>
      </c>
      <c r="AD852" s="4">
        <f>$O$852*$X$852</f>
        <v>2.2343999999999999</v>
      </c>
      <c r="AE852" s="4">
        <f>$K$852*$Y$852</f>
        <v>0</v>
      </c>
      <c r="AF852" s="4">
        <f ca="1">$M$852*$Z$852</f>
        <v>5.926109233928929</v>
      </c>
      <c r="AG852" s="4">
        <f>$O$852*$AA$852</f>
        <v>2.9834420421092247</v>
      </c>
    </row>
    <row r="853" spans="1:33" ht="11.25" customHeight="1" x14ac:dyDescent="0.25">
      <c r="A853" s="3" t="s">
        <v>21</v>
      </c>
      <c r="B853" s="3" t="s">
        <v>43</v>
      </c>
      <c r="C853" s="3" t="s">
        <v>33</v>
      </c>
      <c r="D853" s="3" t="s">
        <v>44</v>
      </c>
      <c r="E853" s="3" t="s">
        <v>25</v>
      </c>
      <c r="F853" s="3" t="s">
        <v>25</v>
      </c>
      <c r="G853" s="3" t="s">
        <v>25</v>
      </c>
      <c r="H853" s="3" t="s">
        <v>36</v>
      </c>
      <c r="I853" s="6">
        <v>44652</v>
      </c>
      <c r="J853" s="4">
        <v>0</v>
      </c>
      <c r="K853" s="4">
        <v>0</v>
      </c>
      <c r="L853" s="4">
        <v>0.01</v>
      </c>
      <c r="M853" s="4">
        <v>0.01</v>
      </c>
      <c r="N853" s="4">
        <v>0.01</v>
      </c>
      <c r="O853" s="4">
        <v>0.01</v>
      </c>
      <c r="P853" s="4">
        <v>0</v>
      </c>
      <c r="Q853" s="3" t="s">
        <v>26</v>
      </c>
      <c r="R853" s="3">
        <v>0</v>
      </c>
      <c r="S853" s="4">
        <v>0</v>
      </c>
      <c r="T853" s="4">
        <v>22</v>
      </c>
      <c r="U853" s="4">
        <v>47</v>
      </c>
      <c r="V853" s="4">
        <f>IF(ISERROR(VLOOKUP($S$853,'TAR FIN'!$A$1:$O$92,15,0)),0,VLOOKUP($S$853,'TAR FIN'!$A$1:$O$92,15,0))</f>
        <v>0</v>
      </c>
      <c r="W853" s="4">
        <f>IF(ISERROR(VLOOKUP($T$853,'TAR FIN'!$A$1:$O$92,15,0)),0,VLOOKUP($T$853,'TAR FIN'!$A$1:$O$92,15,0))</f>
        <v>431.37</v>
      </c>
      <c r="X853" s="4">
        <f>IF(ISERROR(VLOOKUP($U$853,'TAR FIN'!$A$1:$O$92,15,0)),0,VLOOKUP($U$853,'TAR FIN'!$A$1:$O$92,15,0))</f>
        <v>223.44</v>
      </c>
      <c r="Y853" s="4"/>
      <c r="Z853" s="4">
        <f ca="1">('TUSD BE'!$AM$31+'TUSD BF'!$AM$31+'TUSD CVA'!$AM$31)*(1-CUSTOS!$M$38)</f>
        <v>592.61092339289291</v>
      </c>
      <c r="AA853" s="4">
        <f>('TE BE'!$AB$22+'TE BF'!$AB$22+'TE CVA'!$AB$22)*(1-CUSTOS!$M$38)</f>
        <v>298.34420421092244</v>
      </c>
      <c r="AB853" s="4">
        <f>$K$853*$V$853</f>
        <v>0</v>
      </c>
      <c r="AC853" s="4">
        <f>$M$853*$W$853</f>
        <v>4.3136999999999999</v>
      </c>
      <c r="AD853" s="4">
        <f>$O$853*$X$853</f>
        <v>2.2343999999999999</v>
      </c>
      <c r="AE853" s="4">
        <f>$K$853*$Y$853</f>
        <v>0</v>
      </c>
      <c r="AF853" s="4">
        <f ca="1">$M$853*$Z$853</f>
        <v>5.926109233928929</v>
      </c>
      <c r="AG853" s="4">
        <f>$O$853*$AA$853</f>
        <v>2.9834420421092247</v>
      </c>
    </row>
    <row r="854" spans="1:33" ht="11.25" customHeight="1" x14ac:dyDescent="0.25">
      <c r="A854" s="3" t="s">
        <v>21</v>
      </c>
      <c r="B854" s="3" t="s">
        <v>43</v>
      </c>
      <c r="C854" s="3" t="s">
        <v>33</v>
      </c>
      <c r="D854" s="3" t="s">
        <v>44</v>
      </c>
      <c r="E854" s="3" t="s">
        <v>25</v>
      </c>
      <c r="F854" s="3" t="s">
        <v>25</v>
      </c>
      <c r="G854" s="3" t="s">
        <v>25</v>
      </c>
      <c r="H854" s="3" t="s">
        <v>36</v>
      </c>
      <c r="I854" s="6">
        <v>44682</v>
      </c>
      <c r="J854" s="4">
        <v>0</v>
      </c>
      <c r="K854" s="4">
        <v>0</v>
      </c>
      <c r="L854" s="4">
        <v>1.0999999999999999E-2</v>
      </c>
      <c r="M854" s="4">
        <v>1.0999999999999999E-2</v>
      </c>
      <c r="N854" s="4">
        <v>1.0999999999999999E-2</v>
      </c>
      <c r="O854" s="4">
        <v>1.0999999999999999E-2</v>
      </c>
      <c r="P854" s="4">
        <v>0</v>
      </c>
      <c r="Q854" s="3" t="s">
        <v>26</v>
      </c>
      <c r="R854" s="3">
        <v>0</v>
      </c>
      <c r="S854" s="4">
        <v>0</v>
      </c>
      <c r="T854" s="4">
        <v>22</v>
      </c>
      <c r="U854" s="4">
        <v>47</v>
      </c>
      <c r="V854" s="4">
        <f>IF(ISERROR(VLOOKUP($S$854,'TAR FIN'!$A$1:$O$92,15,0)),0,VLOOKUP($S$854,'TAR FIN'!$A$1:$O$92,15,0))</f>
        <v>0</v>
      </c>
      <c r="W854" s="4">
        <f>IF(ISERROR(VLOOKUP($T$854,'TAR FIN'!$A$1:$O$92,15,0)),0,VLOOKUP($T$854,'TAR FIN'!$A$1:$O$92,15,0))</f>
        <v>431.37</v>
      </c>
      <c r="X854" s="4">
        <f>IF(ISERROR(VLOOKUP($U$854,'TAR FIN'!$A$1:$O$92,15,0)),0,VLOOKUP($U$854,'TAR FIN'!$A$1:$O$92,15,0))</f>
        <v>223.44</v>
      </c>
      <c r="Y854" s="4"/>
      <c r="Z854" s="4">
        <f ca="1">('TUSD BE'!$AM$31+'TUSD BF'!$AM$31+'TUSD CVA'!$AM$31)*(1-CUSTOS!$M$38)</f>
        <v>592.61092339289291</v>
      </c>
      <c r="AA854" s="4">
        <f>('TE BE'!$AB$22+'TE BF'!$AB$22+'TE CVA'!$AB$22)*(1-CUSTOS!$M$38)</f>
        <v>298.34420421092244</v>
      </c>
      <c r="AB854" s="4">
        <f>$K$854*$V$854</f>
        <v>0</v>
      </c>
      <c r="AC854" s="4">
        <f>$M$854*$W$854</f>
        <v>4.7450700000000001</v>
      </c>
      <c r="AD854" s="4">
        <f>$O$854*$X$854</f>
        <v>2.45784</v>
      </c>
      <c r="AE854" s="4">
        <f>$K$854*$Y$854</f>
        <v>0</v>
      </c>
      <c r="AF854" s="4">
        <f ca="1">$M$854*$Z$854</f>
        <v>6.5187201573218214</v>
      </c>
      <c r="AG854" s="4">
        <f>$O$854*$AA$854</f>
        <v>3.2817862463201468</v>
      </c>
    </row>
    <row r="855" spans="1:33" ht="11.25" customHeight="1" x14ac:dyDescent="0.25">
      <c r="A855" s="3" t="s">
        <v>21</v>
      </c>
      <c r="B855" s="3" t="s">
        <v>43</v>
      </c>
      <c r="C855" s="3" t="s">
        <v>33</v>
      </c>
      <c r="D855" s="3" t="s">
        <v>44</v>
      </c>
      <c r="E855" s="3" t="s">
        <v>25</v>
      </c>
      <c r="F855" s="3" t="s">
        <v>25</v>
      </c>
      <c r="G855" s="3" t="s">
        <v>25</v>
      </c>
      <c r="H855" s="3" t="s">
        <v>34</v>
      </c>
      <c r="I855" s="6">
        <v>44501</v>
      </c>
      <c r="J855" s="4">
        <v>0</v>
      </c>
      <c r="K855" s="4">
        <v>0</v>
      </c>
      <c r="L855" s="4">
        <v>1.4999999999999999E-2</v>
      </c>
      <c r="M855" s="4">
        <v>1.4999999999999999E-2</v>
      </c>
      <c r="N855" s="4">
        <v>1.4999999999999999E-2</v>
      </c>
      <c r="O855" s="4">
        <v>1.4999999999999999E-2</v>
      </c>
      <c r="P855" s="4">
        <v>0</v>
      </c>
      <c r="Q855" s="3" t="s">
        <v>26</v>
      </c>
      <c r="R855" s="3">
        <v>0</v>
      </c>
      <c r="S855" s="4">
        <v>0</v>
      </c>
      <c r="T855" s="4">
        <v>14</v>
      </c>
      <c r="U855" s="4">
        <v>62</v>
      </c>
      <c r="V855" s="4">
        <f>IF(ISERROR(VLOOKUP($S$855,'TAR FIN'!$A$1:$O$92,15,0)),0,VLOOKUP($S$855,'TAR FIN'!$A$1:$O$92,15,0))</f>
        <v>0</v>
      </c>
      <c r="W855" s="4">
        <f>IF(ISERROR(VLOOKUP($T$855,'TAR FIN'!$A$1:$O$92,15,0)),0,VLOOKUP($T$855,'TAR FIN'!$A$1:$O$92,15,0))</f>
        <v>650.42999999999995</v>
      </c>
      <c r="X855" s="4">
        <f>IF(ISERROR(VLOOKUP($U$855,'TAR FIN'!$A$1:$O$92,15,0)),0,VLOOKUP($U$855,'TAR FIN'!$A$1:$O$92,15,0))</f>
        <v>381.72</v>
      </c>
      <c r="Y855" s="4"/>
      <c r="Z855" s="4">
        <f ca="1">('TUSD BE'!$AM$30+'TUSD BF'!$AM$30+'TUSD CVA'!$AM$30)*(1-CUSTOS!$M$38)</f>
        <v>895.35195307868128</v>
      </c>
      <c r="AA855" s="4">
        <f>('TE BE'!$AB$21+'TE BF'!$AB$21+'TE CVA'!$AB$21)*(1-CUSTOS!$M$38)</f>
        <v>510.27349822685011</v>
      </c>
      <c r="AB855" s="4">
        <f>$K$855*$V$855</f>
        <v>0</v>
      </c>
      <c r="AC855" s="4">
        <f>$M$855*$W$855</f>
        <v>9.7564499999999992</v>
      </c>
      <c r="AD855" s="4">
        <f>$O$855*$X$855</f>
        <v>5.7258000000000004</v>
      </c>
      <c r="AE855" s="4">
        <f>$K$855*$Y$855</f>
        <v>0</v>
      </c>
      <c r="AF855" s="4">
        <f ca="1">$M$855*$Z$855</f>
        <v>13.430279296180219</v>
      </c>
      <c r="AG855" s="4">
        <f>$O$855*$AA$855</f>
        <v>7.6541024734027516</v>
      </c>
    </row>
    <row r="856" spans="1:33" ht="11.25" customHeight="1" x14ac:dyDescent="0.25">
      <c r="A856" s="3" t="s">
        <v>21</v>
      </c>
      <c r="B856" s="3" t="s">
        <v>43</v>
      </c>
      <c r="C856" s="3" t="s">
        <v>33</v>
      </c>
      <c r="D856" s="3" t="s">
        <v>44</v>
      </c>
      <c r="E856" s="3" t="s">
        <v>25</v>
      </c>
      <c r="F856" s="3" t="s">
        <v>25</v>
      </c>
      <c r="G856" s="3" t="s">
        <v>25</v>
      </c>
      <c r="H856" s="3" t="s">
        <v>34</v>
      </c>
      <c r="I856" s="6">
        <v>44531</v>
      </c>
      <c r="J856" s="4">
        <v>0</v>
      </c>
      <c r="K856" s="4">
        <v>0</v>
      </c>
      <c r="L856" s="4">
        <v>1.2999999999999999E-2</v>
      </c>
      <c r="M856" s="4">
        <v>1.2999999999999999E-2</v>
      </c>
      <c r="N856" s="4">
        <v>1.2999999999999999E-2</v>
      </c>
      <c r="O856" s="4">
        <v>1.2999999999999999E-2</v>
      </c>
      <c r="P856" s="4">
        <v>0</v>
      </c>
      <c r="Q856" s="3" t="s">
        <v>26</v>
      </c>
      <c r="R856" s="3">
        <v>0</v>
      </c>
      <c r="S856" s="4">
        <v>0</v>
      </c>
      <c r="T856" s="4">
        <v>14</v>
      </c>
      <c r="U856" s="4">
        <v>62</v>
      </c>
      <c r="V856" s="4">
        <f>IF(ISERROR(VLOOKUP($S$856,'TAR FIN'!$A$1:$O$92,15,0)),0,VLOOKUP($S$856,'TAR FIN'!$A$1:$O$92,15,0))</f>
        <v>0</v>
      </c>
      <c r="W856" s="4">
        <f>IF(ISERROR(VLOOKUP($T$856,'TAR FIN'!$A$1:$O$92,15,0)),0,VLOOKUP($T$856,'TAR FIN'!$A$1:$O$92,15,0))</f>
        <v>650.42999999999995</v>
      </c>
      <c r="X856" s="4">
        <f>IF(ISERROR(VLOOKUP($U$856,'TAR FIN'!$A$1:$O$92,15,0)),0,VLOOKUP($U$856,'TAR FIN'!$A$1:$O$92,15,0))</f>
        <v>381.72</v>
      </c>
      <c r="Y856" s="4"/>
      <c r="Z856" s="4">
        <f ca="1">('TUSD BE'!$AM$30+'TUSD BF'!$AM$30+'TUSD CVA'!$AM$30)*(1-CUSTOS!$M$38)</f>
        <v>895.35195307868128</v>
      </c>
      <c r="AA856" s="4">
        <f>('TE BE'!$AB$21+'TE BF'!$AB$21+'TE CVA'!$AB$21)*(1-CUSTOS!$M$38)</f>
        <v>510.27349822685011</v>
      </c>
      <c r="AB856" s="4">
        <f>$K$856*$V$856</f>
        <v>0</v>
      </c>
      <c r="AC856" s="4">
        <f>$M$856*$W$856</f>
        <v>8.4555899999999991</v>
      </c>
      <c r="AD856" s="4">
        <f>$O$856*$X$856</f>
        <v>4.9623600000000003</v>
      </c>
      <c r="AE856" s="4">
        <f>$K$856*$Y$856</f>
        <v>0</v>
      </c>
      <c r="AF856" s="4">
        <f ca="1">$M$856*$Z$856</f>
        <v>11.639575390022856</v>
      </c>
      <c r="AG856" s="4">
        <f>$O$856*$AA$856</f>
        <v>6.6335554769490512</v>
      </c>
    </row>
    <row r="857" spans="1:33" ht="11.25" customHeight="1" x14ac:dyDescent="0.25">
      <c r="A857" s="3" t="s">
        <v>21</v>
      </c>
      <c r="B857" s="3" t="s">
        <v>43</v>
      </c>
      <c r="C857" s="3" t="s">
        <v>33</v>
      </c>
      <c r="D857" s="3" t="s">
        <v>44</v>
      </c>
      <c r="E857" s="3" t="s">
        <v>25</v>
      </c>
      <c r="F857" s="3" t="s">
        <v>25</v>
      </c>
      <c r="G857" s="3" t="s">
        <v>25</v>
      </c>
      <c r="H857" s="3" t="s">
        <v>34</v>
      </c>
      <c r="I857" s="6">
        <v>44562</v>
      </c>
      <c r="J857" s="4">
        <v>0</v>
      </c>
      <c r="K857" s="4">
        <v>0</v>
      </c>
      <c r="L857" s="4">
        <v>1.9E-2</v>
      </c>
      <c r="M857" s="4">
        <v>1.9E-2</v>
      </c>
      <c r="N857" s="4">
        <v>1.9E-2</v>
      </c>
      <c r="O857" s="4">
        <v>1.9E-2</v>
      </c>
      <c r="P857" s="4">
        <v>0</v>
      </c>
      <c r="Q857" s="3" t="s">
        <v>26</v>
      </c>
      <c r="R857" s="3">
        <v>0</v>
      </c>
      <c r="S857" s="4">
        <v>0</v>
      </c>
      <c r="T857" s="4">
        <v>14</v>
      </c>
      <c r="U857" s="4">
        <v>62</v>
      </c>
      <c r="V857" s="4">
        <f>IF(ISERROR(VLOOKUP($S$857,'TAR FIN'!$A$1:$O$92,15,0)),0,VLOOKUP($S$857,'TAR FIN'!$A$1:$O$92,15,0))</f>
        <v>0</v>
      </c>
      <c r="W857" s="4">
        <f>IF(ISERROR(VLOOKUP($T$857,'TAR FIN'!$A$1:$O$92,15,0)),0,VLOOKUP($T$857,'TAR FIN'!$A$1:$O$92,15,0))</f>
        <v>650.42999999999995</v>
      </c>
      <c r="X857" s="4">
        <f>IF(ISERROR(VLOOKUP($U$857,'TAR FIN'!$A$1:$O$92,15,0)),0,VLOOKUP($U$857,'TAR FIN'!$A$1:$O$92,15,0))</f>
        <v>381.72</v>
      </c>
      <c r="Y857" s="4"/>
      <c r="Z857" s="4">
        <f ca="1">('TUSD BE'!$AM$30+'TUSD BF'!$AM$30+'TUSD CVA'!$AM$30)*(1-CUSTOS!$M$38)</f>
        <v>895.35195307868128</v>
      </c>
      <c r="AA857" s="4">
        <f>('TE BE'!$AB$21+'TE BF'!$AB$21+'TE CVA'!$AB$21)*(1-CUSTOS!$M$38)</f>
        <v>510.27349822685011</v>
      </c>
      <c r="AB857" s="4">
        <f>$K$857*$V$857</f>
        <v>0</v>
      </c>
      <c r="AC857" s="4">
        <f>$M$857*$W$857</f>
        <v>12.358169999999999</v>
      </c>
      <c r="AD857" s="4">
        <f>$O$857*$X$857</f>
        <v>7.2526800000000007</v>
      </c>
      <c r="AE857" s="4">
        <f>$K$857*$Y$857</f>
        <v>0</v>
      </c>
      <c r="AF857" s="4">
        <f ca="1">$M$857*$Z$857</f>
        <v>17.011687108494943</v>
      </c>
      <c r="AG857" s="4">
        <f>$O$857*$AA$857</f>
        <v>9.6951964663101524</v>
      </c>
    </row>
    <row r="858" spans="1:33" ht="11.25" customHeight="1" x14ac:dyDescent="0.25">
      <c r="A858" s="3" t="s">
        <v>21</v>
      </c>
      <c r="B858" s="3" t="s">
        <v>43</v>
      </c>
      <c r="C858" s="3" t="s">
        <v>33</v>
      </c>
      <c r="D858" s="3" t="s">
        <v>44</v>
      </c>
      <c r="E858" s="3" t="s">
        <v>25</v>
      </c>
      <c r="F858" s="3" t="s">
        <v>25</v>
      </c>
      <c r="G858" s="3" t="s">
        <v>25</v>
      </c>
      <c r="H858" s="3" t="s">
        <v>34</v>
      </c>
      <c r="I858" s="6">
        <v>44593</v>
      </c>
      <c r="J858" s="4">
        <v>0</v>
      </c>
      <c r="K858" s="4">
        <v>0</v>
      </c>
      <c r="L858" s="4">
        <v>1.7999999999999999E-2</v>
      </c>
      <c r="M858" s="4">
        <v>1.7999999999999999E-2</v>
      </c>
      <c r="N858" s="4">
        <v>1.7999999999999999E-2</v>
      </c>
      <c r="O858" s="4">
        <v>1.7999999999999999E-2</v>
      </c>
      <c r="P858" s="4">
        <v>0</v>
      </c>
      <c r="Q858" s="3" t="s">
        <v>26</v>
      </c>
      <c r="R858" s="3">
        <v>0</v>
      </c>
      <c r="S858" s="4">
        <v>0</v>
      </c>
      <c r="T858" s="4">
        <v>14</v>
      </c>
      <c r="U858" s="4">
        <v>62</v>
      </c>
      <c r="V858" s="4">
        <f>IF(ISERROR(VLOOKUP($S$858,'TAR FIN'!$A$1:$O$92,15,0)),0,VLOOKUP($S$858,'TAR FIN'!$A$1:$O$92,15,0))</f>
        <v>0</v>
      </c>
      <c r="W858" s="4">
        <f>IF(ISERROR(VLOOKUP($T$858,'TAR FIN'!$A$1:$O$92,15,0)),0,VLOOKUP($T$858,'TAR FIN'!$A$1:$O$92,15,0))</f>
        <v>650.42999999999995</v>
      </c>
      <c r="X858" s="4">
        <f>IF(ISERROR(VLOOKUP($U$858,'TAR FIN'!$A$1:$O$92,15,0)),0,VLOOKUP($U$858,'TAR FIN'!$A$1:$O$92,15,0))</f>
        <v>381.72</v>
      </c>
      <c r="Y858" s="4"/>
      <c r="Z858" s="4">
        <f ca="1">('TUSD BE'!$AM$30+'TUSD BF'!$AM$30+'TUSD CVA'!$AM$30)*(1-CUSTOS!$M$38)</f>
        <v>895.35195307868128</v>
      </c>
      <c r="AA858" s="4">
        <f>('TE BE'!$AB$21+'TE BF'!$AB$21+'TE CVA'!$AB$21)*(1-CUSTOS!$M$38)</f>
        <v>510.27349822685011</v>
      </c>
      <c r="AB858" s="4">
        <f>$K$858*$V$858</f>
        <v>0</v>
      </c>
      <c r="AC858" s="4">
        <f>$M$858*$W$858</f>
        <v>11.707739999999998</v>
      </c>
      <c r="AD858" s="4">
        <f>$O$858*$X$858</f>
        <v>6.8709600000000002</v>
      </c>
      <c r="AE858" s="4">
        <f>$K$858*$Y$858</f>
        <v>0</v>
      </c>
      <c r="AF858" s="4">
        <f ca="1">$M$858*$Z$858</f>
        <v>16.116335155416262</v>
      </c>
      <c r="AG858" s="4">
        <f>$O$858*$AA$858</f>
        <v>9.1849229680833009</v>
      </c>
    </row>
    <row r="859" spans="1:33" ht="11.25" customHeight="1" x14ac:dyDescent="0.25">
      <c r="A859" s="3" t="s">
        <v>21</v>
      </c>
      <c r="B859" s="3" t="s">
        <v>43</v>
      </c>
      <c r="C859" s="3" t="s">
        <v>33</v>
      </c>
      <c r="D859" s="3" t="s">
        <v>44</v>
      </c>
      <c r="E859" s="3" t="s">
        <v>25</v>
      </c>
      <c r="F859" s="3" t="s">
        <v>25</v>
      </c>
      <c r="G859" s="3" t="s">
        <v>25</v>
      </c>
      <c r="H859" s="3" t="s">
        <v>34</v>
      </c>
      <c r="I859" s="6">
        <v>44621</v>
      </c>
      <c r="J859" s="4">
        <v>0</v>
      </c>
      <c r="K859" s="4">
        <v>0</v>
      </c>
      <c r="L859" s="4">
        <v>1.4999999999999999E-2</v>
      </c>
      <c r="M859" s="4">
        <v>1.4999999999999999E-2</v>
      </c>
      <c r="N859" s="4">
        <v>1.4999999999999999E-2</v>
      </c>
      <c r="O859" s="4">
        <v>1.4999999999999999E-2</v>
      </c>
      <c r="P859" s="4">
        <v>0</v>
      </c>
      <c r="Q859" s="3" t="s">
        <v>26</v>
      </c>
      <c r="R859" s="3">
        <v>0</v>
      </c>
      <c r="S859" s="4">
        <v>0</v>
      </c>
      <c r="T859" s="4">
        <v>14</v>
      </c>
      <c r="U859" s="4">
        <v>62</v>
      </c>
      <c r="V859" s="4">
        <f>IF(ISERROR(VLOOKUP($S$859,'TAR FIN'!$A$1:$O$92,15,0)),0,VLOOKUP($S$859,'TAR FIN'!$A$1:$O$92,15,0))</f>
        <v>0</v>
      </c>
      <c r="W859" s="4">
        <f>IF(ISERROR(VLOOKUP($T$859,'TAR FIN'!$A$1:$O$92,15,0)),0,VLOOKUP($T$859,'TAR FIN'!$A$1:$O$92,15,0))</f>
        <v>650.42999999999995</v>
      </c>
      <c r="X859" s="4">
        <f>IF(ISERROR(VLOOKUP($U$859,'TAR FIN'!$A$1:$O$92,15,0)),0,VLOOKUP($U$859,'TAR FIN'!$A$1:$O$92,15,0))</f>
        <v>381.72</v>
      </c>
      <c r="Y859" s="4"/>
      <c r="Z859" s="4">
        <f ca="1">('TUSD BE'!$AM$30+'TUSD BF'!$AM$30+'TUSD CVA'!$AM$30)*(1-CUSTOS!$M$38)</f>
        <v>895.35195307868128</v>
      </c>
      <c r="AA859" s="4">
        <f>('TE BE'!$AB$21+'TE BF'!$AB$21+'TE CVA'!$AB$21)*(1-CUSTOS!$M$38)</f>
        <v>510.27349822685011</v>
      </c>
      <c r="AB859" s="4">
        <f>$K$859*$V$859</f>
        <v>0</v>
      </c>
      <c r="AC859" s="4">
        <f>$M$859*$W$859</f>
        <v>9.7564499999999992</v>
      </c>
      <c r="AD859" s="4">
        <f>$O$859*$X$859</f>
        <v>5.7258000000000004</v>
      </c>
      <c r="AE859" s="4">
        <f>$K$859*$Y$859</f>
        <v>0</v>
      </c>
      <c r="AF859" s="4">
        <f ca="1">$M$859*$Z$859</f>
        <v>13.430279296180219</v>
      </c>
      <c r="AG859" s="4">
        <f>$O$859*$AA$859</f>
        <v>7.6541024734027516</v>
      </c>
    </row>
    <row r="860" spans="1:33" ht="11.25" customHeight="1" x14ac:dyDescent="0.25">
      <c r="A860" s="3" t="s">
        <v>21</v>
      </c>
      <c r="B860" s="3" t="s">
        <v>43</v>
      </c>
      <c r="C860" s="3" t="s">
        <v>33</v>
      </c>
      <c r="D860" s="3" t="s">
        <v>44</v>
      </c>
      <c r="E860" s="3" t="s">
        <v>25</v>
      </c>
      <c r="F860" s="3" t="s">
        <v>25</v>
      </c>
      <c r="G860" s="3" t="s">
        <v>25</v>
      </c>
      <c r="H860" s="3" t="s">
        <v>34</v>
      </c>
      <c r="I860" s="6">
        <v>44652</v>
      </c>
      <c r="J860" s="4">
        <v>0</v>
      </c>
      <c r="K860" s="4">
        <v>0</v>
      </c>
      <c r="L860" s="4">
        <v>1.4999999999999999E-2</v>
      </c>
      <c r="M860" s="4">
        <v>1.4999999999999999E-2</v>
      </c>
      <c r="N860" s="4">
        <v>1.4999999999999999E-2</v>
      </c>
      <c r="O860" s="4">
        <v>1.4999999999999999E-2</v>
      </c>
      <c r="P860" s="4">
        <v>0</v>
      </c>
      <c r="Q860" s="3" t="s">
        <v>26</v>
      </c>
      <c r="R860" s="3">
        <v>0</v>
      </c>
      <c r="S860" s="4">
        <v>0</v>
      </c>
      <c r="T860" s="4">
        <v>14</v>
      </c>
      <c r="U860" s="4">
        <v>62</v>
      </c>
      <c r="V860" s="4">
        <f>IF(ISERROR(VLOOKUP($S$860,'TAR FIN'!$A$1:$O$92,15,0)),0,VLOOKUP($S$860,'TAR FIN'!$A$1:$O$92,15,0))</f>
        <v>0</v>
      </c>
      <c r="W860" s="4">
        <f>IF(ISERROR(VLOOKUP($T$860,'TAR FIN'!$A$1:$O$92,15,0)),0,VLOOKUP($T$860,'TAR FIN'!$A$1:$O$92,15,0))</f>
        <v>650.42999999999995</v>
      </c>
      <c r="X860" s="4">
        <f>IF(ISERROR(VLOOKUP($U$860,'TAR FIN'!$A$1:$O$92,15,0)),0,VLOOKUP($U$860,'TAR FIN'!$A$1:$O$92,15,0))</f>
        <v>381.72</v>
      </c>
      <c r="Y860" s="4"/>
      <c r="Z860" s="4">
        <f ca="1">('TUSD BE'!$AM$30+'TUSD BF'!$AM$30+'TUSD CVA'!$AM$30)*(1-CUSTOS!$M$38)</f>
        <v>895.35195307868128</v>
      </c>
      <c r="AA860" s="4">
        <f>('TE BE'!$AB$21+'TE BF'!$AB$21+'TE CVA'!$AB$21)*(1-CUSTOS!$M$38)</f>
        <v>510.27349822685011</v>
      </c>
      <c r="AB860" s="4">
        <f>$K$860*$V$860</f>
        <v>0</v>
      </c>
      <c r="AC860" s="4">
        <f>$M$860*$W$860</f>
        <v>9.7564499999999992</v>
      </c>
      <c r="AD860" s="4">
        <f>$O$860*$X$860</f>
        <v>5.7258000000000004</v>
      </c>
      <c r="AE860" s="4">
        <f>$K$860*$Y$860</f>
        <v>0</v>
      </c>
      <c r="AF860" s="4">
        <f ca="1">$M$860*$Z$860</f>
        <v>13.430279296180219</v>
      </c>
      <c r="AG860" s="4">
        <f>$O$860*$AA$860</f>
        <v>7.6541024734027516</v>
      </c>
    </row>
    <row r="861" spans="1:33" ht="11.25" customHeight="1" x14ac:dyDescent="0.25">
      <c r="A861" s="3" t="s">
        <v>21</v>
      </c>
      <c r="B861" s="3" t="s">
        <v>43</v>
      </c>
      <c r="C861" s="3" t="s">
        <v>33</v>
      </c>
      <c r="D861" s="3" t="s">
        <v>44</v>
      </c>
      <c r="E861" s="3" t="s">
        <v>25</v>
      </c>
      <c r="F861" s="3" t="s">
        <v>25</v>
      </c>
      <c r="G861" s="3" t="s">
        <v>25</v>
      </c>
      <c r="H861" s="3" t="s">
        <v>34</v>
      </c>
      <c r="I861" s="6">
        <v>44682</v>
      </c>
      <c r="J861" s="4">
        <v>0</v>
      </c>
      <c r="K861" s="4">
        <v>0</v>
      </c>
      <c r="L861" s="4">
        <v>1.7000000000000001E-2</v>
      </c>
      <c r="M861" s="4">
        <v>1.7000000000000001E-2</v>
      </c>
      <c r="N861" s="4">
        <v>1.7000000000000001E-2</v>
      </c>
      <c r="O861" s="4">
        <v>1.7000000000000001E-2</v>
      </c>
      <c r="P861" s="4">
        <v>0</v>
      </c>
      <c r="Q861" s="3" t="s">
        <v>26</v>
      </c>
      <c r="R861" s="3">
        <v>0</v>
      </c>
      <c r="S861" s="4">
        <v>0</v>
      </c>
      <c r="T861" s="4">
        <v>14</v>
      </c>
      <c r="U861" s="4">
        <v>62</v>
      </c>
      <c r="V861" s="4">
        <f>IF(ISERROR(VLOOKUP($S$861,'TAR FIN'!$A$1:$O$92,15,0)),0,VLOOKUP($S$861,'TAR FIN'!$A$1:$O$92,15,0))</f>
        <v>0</v>
      </c>
      <c r="W861" s="4">
        <f>IF(ISERROR(VLOOKUP($T$861,'TAR FIN'!$A$1:$O$92,15,0)),0,VLOOKUP($T$861,'TAR FIN'!$A$1:$O$92,15,0))</f>
        <v>650.42999999999995</v>
      </c>
      <c r="X861" s="4">
        <f>IF(ISERROR(VLOOKUP($U$861,'TAR FIN'!$A$1:$O$92,15,0)),0,VLOOKUP($U$861,'TAR FIN'!$A$1:$O$92,15,0))</f>
        <v>381.72</v>
      </c>
      <c r="Y861" s="4"/>
      <c r="Z861" s="4">
        <f ca="1">('TUSD BE'!$AM$30+'TUSD BF'!$AM$30+'TUSD CVA'!$AM$30)*(1-CUSTOS!$M$38)</f>
        <v>895.35195307868128</v>
      </c>
      <c r="AA861" s="4">
        <f>('TE BE'!$AB$21+'TE BF'!$AB$21+'TE CVA'!$AB$21)*(1-CUSTOS!$M$38)</f>
        <v>510.27349822685011</v>
      </c>
      <c r="AB861" s="4">
        <f>$K$861*$V$861</f>
        <v>0</v>
      </c>
      <c r="AC861" s="4">
        <f>$M$861*$W$861</f>
        <v>11.057309999999999</v>
      </c>
      <c r="AD861" s="4">
        <f>$O$861*$X$861</f>
        <v>6.4892400000000006</v>
      </c>
      <c r="AE861" s="4">
        <f>$K$861*$Y$861</f>
        <v>0</v>
      </c>
      <c r="AF861" s="4">
        <f ca="1">$M$861*$Z$861</f>
        <v>15.220983202337584</v>
      </c>
      <c r="AG861" s="4">
        <f>$O$861*$AA$861</f>
        <v>8.6746494698564529</v>
      </c>
    </row>
    <row r="862" spans="1:33" ht="11.25" customHeight="1" x14ac:dyDescent="0.25">
      <c r="A862" s="3" t="s">
        <v>21</v>
      </c>
      <c r="B862" s="3" t="s">
        <v>43</v>
      </c>
      <c r="C862" s="3" t="s">
        <v>23</v>
      </c>
      <c r="D862" s="3" t="s">
        <v>44</v>
      </c>
      <c r="E862" s="3" t="s">
        <v>52</v>
      </c>
      <c r="F862" s="3" t="s">
        <v>53</v>
      </c>
      <c r="G862" s="3" t="s">
        <v>25</v>
      </c>
      <c r="H862" s="3" t="s">
        <v>25</v>
      </c>
      <c r="I862" s="6">
        <v>44501</v>
      </c>
      <c r="J862" s="4">
        <v>0</v>
      </c>
      <c r="K862" s="4">
        <v>0</v>
      </c>
      <c r="L862" s="4">
        <v>33.698999999999998</v>
      </c>
      <c r="M862" s="4">
        <v>33.698999999999998</v>
      </c>
      <c r="N862" s="4">
        <v>33.698999999999998</v>
      </c>
      <c r="O862" s="4">
        <v>33.698999999999998</v>
      </c>
      <c r="P862" s="4">
        <v>0</v>
      </c>
      <c r="Q862" s="3" t="s">
        <v>26</v>
      </c>
      <c r="R862" s="3">
        <v>0</v>
      </c>
      <c r="S862" s="4">
        <v>0</v>
      </c>
      <c r="T862" s="4">
        <v>45</v>
      </c>
      <c r="U862" s="4">
        <v>77</v>
      </c>
      <c r="V862" s="4">
        <f>IF(ISERROR(VLOOKUP($S$862,'TAR FIN'!$A$1:$O$92,15,0)),0,VLOOKUP($S$862,'TAR FIN'!$A$1:$O$92,15,0))</f>
        <v>0</v>
      </c>
      <c r="W862" s="4">
        <f>IF(ISERROR(VLOOKUP($T$862,'TAR FIN'!$A$1:$O$92,15,0)),0,VLOOKUP($T$862,'TAR FIN'!$A$1:$O$92,15,0))</f>
        <v>273.93</v>
      </c>
      <c r="X862" s="4">
        <f>IF(ISERROR(VLOOKUP($U$862,'TAR FIN'!$A$1:$O$92,15,0)),0,VLOOKUP($U$862,'TAR FIN'!$A$1:$O$92,15,0))</f>
        <v>236.63</v>
      </c>
      <c r="Y862" s="4"/>
      <c r="Z862" s="4">
        <f ca="1">('TUSD BE'!$AM$33+'TUSD BF'!$AM$33+'TUSD CVA'!$AM$33)*(1-CUSTOS!$M$38)</f>
        <v>375.01673922321953</v>
      </c>
      <c r="AA862" s="4">
        <f>('TE BE'!$AB$24+'TE BF'!$AB$24+'TE CVA'!$AB$24)*(1-CUSTOS!$M$38)</f>
        <v>316.00497871224974</v>
      </c>
      <c r="AB862" s="4">
        <f>$K$862*$V$862</f>
        <v>0</v>
      </c>
      <c r="AC862" s="4">
        <f>$M$862*$W$862</f>
        <v>9231.1670699999995</v>
      </c>
      <c r="AD862" s="4">
        <f>$O$862*$X$862</f>
        <v>7974.1943699999993</v>
      </c>
      <c r="AE862" s="4">
        <f>$K$862*$Y$862</f>
        <v>0</v>
      </c>
      <c r="AF862" s="4">
        <f ca="1">$M$862*$Z$862</f>
        <v>12637.689095083275</v>
      </c>
      <c r="AG862" s="4">
        <f>$O$862*$AA$862</f>
        <v>10649.051777624103</v>
      </c>
    </row>
    <row r="863" spans="1:33" ht="11.25" customHeight="1" x14ac:dyDescent="0.25">
      <c r="A863" s="3" t="s">
        <v>21</v>
      </c>
      <c r="B863" s="3" t="s">
        <v>43</v>
      </c>
      <c r="C863" s="3" t="s">
        <v>23</v>
      </c>
      <c r="D863" s="3" t="s">
        <v>44</v>
      </c>
      <c r="E863" s="3" t="s">
        <v>52</v>
      </c>
      <c r="F863" s="3" t="s">
        <v>53</v>
      </c>
      <c r="G863" s="3" t="s">
        <v>25</v>
      </c>
      <c r="H863" s="3" t="s">
        <v>25</v>
      </c>
      <c r="I863" s="6">
        <v>44531</v>
      </c>
      <c r="J863" s="4">
        <v>0</v>
      </c>
      <c r="K863" s="4">
        <v>0</v>
      </c>
      <c r="L863" s="4">
        <v>27.946999999999999</v>
      </c>
      <c r="M863" s="4">
        <v>27.946999999999999</v>
      </c>
      <c r="N863" s="4">
        <v>27.946999999999999</v>
      </c>
      <c r="O863" s="4">
        <v>27.946999999999999</v>
      </c>
      <c r="P863" s="4">
        <v>0</v>
      </c>
      <c r="Q863" s="3" t="s">
        <v>26</v>
      </c>
      <c r="R863" s="3">
        <v>0</v>
      </c>
      <c r="S863" s="4">
        <v>0</v>
      </c>
      <c r="T863" s="4">
        <v>45</v>
      </c>
      <c r="U863" s="4">
        <v>77</v>
      </c>
      <c r="V863" s="4">
        <f>IF(ISERROR(VLOOKUP($S$863,'TAR FIN'!$A$1:$O$92,15,0)),0,VLOOKUP($S$863,'TAR FIN'!$A$1:$O$92,15,0))</f>
        <v>0</v>
      </c>
      <c r="W863" s="4">
        <f>IF(ISERROR(VLOOKUP($T$863,'TAR FIN'!$A$1:$O$92,15,0)),0,VLOOKUP($T$863,'TAR FIN'!$A$1:$O$92,15,0))</f>
        <v>273.93</v>
      </c>
      <c r="X863" s="4">
        <f>IF(ISERROR(VLOOKUP($U$863,'TAR FIN'!$A$1:$O$92,15,0)),0,VLOOKUP($U$863,'TAR FIN'!$A$1:$O$92,15,0))</f>
        <v>236.63</v>
      </c>
      <c r="Y863" s="4"/>
      <c r="Z863" s="4">
        <f ca="1">('TUSD BE'!$AM$33+'TUSD BF'!$AM$33+'TUSD CVA'!$AM$33)*(1-CUSTOS!$M$38)</f>
        <v>375.01673922321953</v>
      </c>
      <c r="AA863" s="4">
        <f>('TE BE'!$AB$24+'TE BF'!$AB$24+'TE CVA'!$AB$24)*(1-CUSTOS!$M$38)</f>
        <v>316.00497871224974</v>
      </c>
      <c r="AB863" s="4">
        <f>$K$863*$V$863</f>
        <v>0</v>
      </c>
      <c r="AC863" s="4">
        <f>$M$863*$W$863</f>
        <v>7655.52171</v>
      </c>
      <c r="AD863" s="4">
        <f>$O$863*$X$863</f>
        <v>6613.09861</v>
      </c>
      <c r="AE863" s="4">
        <f>$K$863*$Y$863</f>
        <v>0</v>
      </c>
      <c r="AF863" s="4">
        <f ca="1">$M$863*$Z$863</f>
        <v>10480.592811071316</v>
      </c>
      <c r="AG863" s="4">
        <f>$O$863*$AA$863</f>
        <v>8831.3911400712423</v>
      </c>
    </row>
    <row r="864" spans="1:33" ht="11.25" customHeight="1" x14ac:dyDescent="0.25">
      <c r="A864" s="3" t="s">
        <v>21</v>
      </c>
      <c r="B864" s="3" t="s">
        <v>43</v>
      </c>
      <c r="C864" s="3" t="s">
        <v>23</v>
      </c>
      <c r="D864" s="3" t="s">
        <v>44</v>
      </c>
      <c r="E864" s="3" t="s">
        <v>52</v>
      </c>
      <c r="F864" s="3" t="s">
        <v>53</v>
      </c>
      <c r="G864" s="3" t="s">
        <v>25</v>
      </c>
      <c r="H864" s="3" t="s">
        <v>25</v>
      </c>
      <c r="I864" s="6">
        <v>44562</v>
      </c>
      <c r="J864" s="4">
        <v>0</v>
      </c>
      <c r="K864" s="4">
        <v>0</v>
      </c>
      <c r="L864" s="4">
        <v>52.139000000000003</v>
      </c>
      <c r="M864" s="4">
        <v>52.139000000000003</v>
      </c>
      <c r="N864" s="4">
        <v>52.139000000000003</v>
      </c>
      <c r="O864" s="4">
        <v>52.139000000000003</v>
      </c>
      <c r="P864" s="4">
        <v>0</v>
      </c>
      <c r="Q864" s="3" t="s">
        <v>26</v>
      </c>
      <c r="R864" s="3">
        <v>0</v>
      </c>
      <c r="S864" s="4">
        <v>0</v>
      </c>
      <c r="T864" s="4">
        <v>45</v>
      </c>
      <c r="U864" s="4">
        <v>77</v>
      </c>
      <c r="V864" s="4">
        <f>IF(ISERROR(VLOOKUP($S$864,'TAR FIN'!$A$1:$O$92,15,0)),0,VLOOKUP($S$864,'TAR FIN'!$A$1:$O$92,15,0))</f>
        <v>0</v>
      </c>
      <c r="W864" s="4">
        <f>IF(ISERROR(VLOOKUP($T$864,'TAR FIN'!$A$1:$O$92,15,0)),0,VLOOKUP($T$864,'TAR FIN'!$A$1:$O$92,15,0))</f>
        <v>273.93</v>
      </c>
      <c r="X864" s="4">
        <f>IF(ISERROR(VLOOKUP($U$864,'TAR FIN'!$A$1:$O$92,15,0)),0,VLOOKUP($U$864,'TAR FIN'!$A$1:$O$92,15,0))</f>
        <v>236.63</v>
      </c>
      <c r="Y864" s="4"/>
      <c r="Z864" s="4">
        <f ca="1">('TUSD BE'!$AM$33+'TUSD BF'!$AM$33+'TUSD CVA'!$AM$33)*(1-CUSTOS!$M$38)</f>
        <v>375.01673922321953</v>
      </c>
      <c r="AA864" s="4">
        <f>('TE BE'!$AB$24+'TE BF'!$AB$24+'TE CVA'!$AB$24)*(1-CUSTOS!$M$38)</f>
        <v>316.00497871224974</v>
      </c>
      <c r="AB864" s="4">
        <f>$K$864*$V$864</f>
        <v>0</v>
      </c>
      <c r="AC864" s="4">
        <f>$M$864*$W$864</f>
        <v>14282.436270000002</v>
      </c>
      <c r="AD864" s="4">
        <f>$O$864*$X$864</f>
        <v>12337.65157</v>
      </c>
      <c r="AE864" s="4">
        <f>$K$864*$Y$864</f>
        <v>0</v>
      </c>
      <c r="AF864" s="4">
        <f ca="1">$M$864*$Z$864</f>
        <v>19552.997766359444</v>
      </c>
      <c r="AG864" s="4">
        <f>$O$864*$AA$864</f>
        <v>16476.18358507799</v>
      </c>
    </row>
    <row r="865" spans="1:33" ht="11.25" customHeight="1" x14ac:dyDescent="0.25">
      <c r="A865" s="3" t="s">
        <v>21</v>
      </c>
      <c r="B865" s="3" t="s">
        <v>43</v>
      </c>
      <c r="C865" s="3" t="s">
        <v>23</v>
      </c>
      <c r="D865" s="3" t="s">
        <v>44</v>
      </c>
      <c r="E865" s="3" t="s">
        <v>52</v>
      </c>
      <c r="F865" s="3" t="s">
        <v>53</v>
      </c>
      <c r="G865" s="3" t="s">
        <v>25</v>
      </c>
      <c r="H865" s="3" t="s">
        <v>25</v>
      </c>
      <c r="I865" s="6">
        <v>44593</v>
      </c>
      <c r="J865" s="4">
        <v>0</v>
      </c>
      <c r="K865" s="4">
        <v>0</v>
      </c>
      <c r="L865" s="4">
        <v>56.188000000000002</v>
      </c>
      <c r="M865" s="4">
        <v>56.188000000000002</v>
      </c>
      <c r="N865" s="4">
        <v>56.188000000000002</v>
      </c>
      <c r="O865" s="4">
        <v>56.188000000000002</v>
      </c>
      <c r="P865" s="4">
        <v>0</v>
      </c>
      <c r="Q865" s="3" t="s">
        <v>26</v>
      </c>
      <c r="R865" s="3">
        <v>0</v>
      </c>
      <c r="S865" s="4">
        <v>0</v>
      </c>
      <c r="T865" s="4">
        <v>45</v>
      </c>
      <c r="U865" s="4">
        <v>77</v>
      </c>
      <c r="V865" s="4">
        <f>IF(ISERROR(VLOOKUP($S$865,'TAR FIN'!$A$1:$O$92,15,0)),0,VLOOKUP($S$865,'TAR FIN'!$A$1:$O$92,15,0))</f>
        <v>0</v>
      </c>
      <c r="W865" s="4">
        <f>IF(ISERROR(VLOOKUP($T$865,'TAR FIN'!$A$1:$O$92,15,0)),0,VLOOKUP($T$865,'TAR FIN'!$A$1:$O$92,15,0))</f>
        <v>273.93</v>
      </c>
      <c r="X865" s="4">
        <f>IF(ISERROR(VLOOKUP($U$865,'TAR FIN'!$A$1:$O$92,15,0)),0,VLOOKUP($U$865,'TAR FIN'!$A$1:$O$92,15,0))</f>
        <v>236.63</v>
      </c>
      <c r="Y865" s="4"/>
      <c r="Z865" s="4">
        <f ca="1">('TUSD BE'!$AM$33+'TUSD BF'!$AM$33+'TUSD CVA'!$AM$33)*(1-CUSTOS!$M$38)</f>
        <v>375.01673922321953</v>
      </c>
      <c r="AA865" s="4">
        <f>('TE BE'!$AB$24+'TE BF'!$AB$24+'TE CVA'!$AB$24)*(1-CUSTOS!$M$38)</f>
        <v>316.00497871224974</v>
      </c>
      <c r="AB865" s="4">
        <f>$K$865*$V$865</f>
        <v>0</v>
      </c>
      <c r="AC865" s="4">
        <f>$M$865*$W$865</f>
        <v>15391.578840000002</v>
      </c>
      <c r="AD865" s="4">
        <f>$O$865*$X$865</f>
        <v>13295.766439999999</v>
      </c>
      <c r="AE865" s="4">
        <f>$K$865*$Y$865</f>
        <v>0</v>
      </c>
      <c r="AF865" s="4">
        <f ca="1">$M$865*$Z$865</f>
        <v>21071.440543474258</v>
      </c>
      <c r="AG865" s="4">
        <f>$O$865*$AA$865</f>
        <v>17755.687743883889</v>
      </c>
    </row>
    <row r="866" spans="1:33" ht="11.25" customHeight="1" x14ac:dyDescent="0.25">
      <c r="A866" s="3" t="s">
        <v>21</v>
      </c>
      <c r="B866" s="3" t="s">
        <v>43</v>
      </c>
      <c r="C866" s="3" t="s">
        <v>23</v>
      </c>
      <c r="D866" s="3" t="s">
        <v>44</v>
      </c>
      <c r="E866" s="3" t="s">
        <v>52</v>
      </c>
      <c r="F866" s="3" t="s">
        <v>53</v>
      </c>
      <c r="G866" s="3" t="s">
        <v>25</v>
      </c>
      <c r="H866" s="3" t="s">
        <v>25</v>
      </c>
      <c r="I866" s="6">
        <v>44621</v>
      </c>
      <c r="J866" s="4">
        <v>0</v>
      </c>
      <c r="K866" s="4">
        <v>0</v>
      </c>
      <c r="L866" s="4">
        <v>23.486000000000001</v>
      </c>
      <c r="M866" s="4">
        <v>23.486000000000001</v>
      </c>
      <c r="N866" s="4">
        <v>23.486000000000001</v>
      </c>
      <c r="O866" s="4">
        <v>23.486000000000001</v>
      </c>
      <c r="P866" s="4">
        <v>0</v>
      </c>
      <c r="Q866" s="3" t="s">
        <v>26</v>
      </c>
      <c r="R866" s="3">
        <v>0</v>
      </c>
      <c r="S866" s="4">
        <v>0</v>
      </c>
      <c r="T866" s="4">
        <v>45</v>
      </c>
      <c r="U866" s="4">
        <v>77</v>
      </c>
      <c r="V866" s="4">
        <f>IF(ISERROR(VLOOKUP($S$866,'TAR FIN'!$A$1:$O$92,15,0)),0,VLOOKUP($S$866,'TAR FIN'!$A$1:$O$92,15,0))</f>
        <v>0</v>
      </c>
      <c r="W866" s="4">
        <f>IF(ISERROR(VLOOKUP($T$866,'TAR FIN'!$A$1:$O$92,15,0)),0,VLOOKUP($T$866,'TAR FIN'!$A$1:$O$92,15,0))</f>
        <v>273.93</v>
      </c>
      <c r="X866" s="4">
        <f>IF(ISERROR(VLOOKUP($U$866,'TAR FIN'!$A$1:$O$92,15,0)),0,VLOOKUP($U$866,'TAR FIN'!$A$1:$O$92,15,0))</f>
        <v>236.63</v>
      </c>
      <c r="Y866" s="4"/>
      <c r="Z866" s="4">
        <f ca="1">('TUSD BE'!$AM$33+'TUSD BF'!$AM$33+'TUSD CVA'!$AM$33)*(1-CUSTOS!$M$38)</f>
        <v>375.01673922321953</v>
      </c>
      <c r="AA866" s="4">
        <f>('TE BE'!$AB$24+'TE BF'!$AB$24+'TE CVA'!$AB$24)*(1-CUSTOS!$M$38)</f>
        <v>316.00497871224974</v>
      </c>
      <c r="AB866" s="4">
        <f>$K$866*$V$866</f>
        <v>0</v>
      </c>
      <c r="AC866" s="4">
        <f>$M$866*$W$866</f>
        <v>6433.51998</v>
      </c>
      <c r="AD866" s="4">
        <f>$O$866*$X$866</f>
        <v>5557.4921800000002</v>
      </c>
      <c r="AE866" s="4">
        <f>$K$866*$Y$866</f>
        <v>0</v>
      </c>
      <c r="AF866" s="4">
        <f ca="1">$M$866*$Z$866</f>
        <v>8807.6431373965333</v>
      </c>
      <c r="AG866" s="4">
        <f>$O$866*$AA$866</f>
        <v>7421.6929300358979</v>
      </c>
    </row>
    <row r="867" spans="1:33" ht="11.25" customHeight="1" x14ac:dyDescent="0.25">
      <c r="A867" s="3" t="s">
        <v>27</v>
      </c>
      <c r="B867" s="3" t="s">
        <v>43</v>
      </c>
      <c r="C867" s="3" t="s">
        <v>23</v>
      </c>
      <c r="D867" s="3" t="s">
        <v>44</v>
      </c>
      <c r="E867" s="3" t="s">
        <v>52</v>
      </c>
      <c r="F867" s="3" t="s">
        <v>53</v>
      </c>
      <c r="G867" s="3" t="s">
        <v>25</v>
      </c>
      <c r="H867" s="3" t="s">
        <v>25</v>
      </c>
      <c r="I867" s="6">
        <v>44621</v>
      </c>
      <c r="J867" s="4">
        <v>0</v>
      </c>
      <c r="K867" s="4">
        <v>0</v>
      </c>
      <c r="L867" s="4">
        <v>-7.391</v>
      </c>
      <c r="M867" s="4">
        <v>-7.391</v>
      </c>
      <c r="N867" s="4">
        <v>-7.391</v>
      </c>
      <c r="O867" s="4">
        <v>-7.391</v>
      </c>
      <c r="P867" s="4">
        <v>0</v>
      </c>
      <c r="Q867" s="3" t="s">
        <v>26</v>
      </c>
      <c r="R867" s="3">
        <v>0</v>
      </c>
      <c r="S867" s="4">
        <v>0</v>
      </c>
      <c r="T867" s="4">
        <v>45</v>
      </c>
      <c r="U867" s="4">
        <v>77</v>
      </c>
      <c r="V867" s="4">
        <f>IF(ISERROR(VLOOKUP($S$867,'TAR FIN'!$A$1:$O$92,15,0)),0,VLOOKUP($S$867,'TAR FIN'!$A$1:$O$92,15,0))</f>
        <v>0</v>
      </c>
      <c r="W867" s="4">
        <f>IF(ISERROR(VLOOKUP($T$867,'TAR FIN'!$A$1:$O$92,15,0)),0,VLOOKUP($T$867,'TAR FIN'!$A$1:$O$92,15,0))</f>
        <v>273.93</v>
      </c>
      <c r="X867" s="4">
        <f>IF(ISERROR(VLOOKUP($U$867,'TAR FIN'!$A$1:$O$92,15,0)),0,VLOOKUP($U$867,'TAR FIN'!$A$1:$O$92,15,0))</f>
        <v>236.63</v>
      </c>
      <c r="Y867" s="4"/>
      <c r="Z867" s="4">
        <f ca="1">('TUSD BE'!$AM$33+'TUSD BF'!$AM$33+'TUSD CVA'!$AM$33)*(1-CUSTOS!$M$38)</f>
        <v>375.01673922321953</v>
      </c>
      <c r="AA867" s="4">
        <f>('TE BE'!$AB$24+'TE BF'!$AB$24+'TE CVA'!$AB$24)*(1-CUSTOS!$M$38)</f>
        <v>316.00497871224974</v>
      </c>
      <c r="AB867" s="4">
        <f>$K$867*$V$867</f>
        <v>0</v>
      </c>
      <c r="AC867" s="4">
        <f>$M$867*$W$867</f>
        <v>-2024.61663</v>
      </c>
      <c r="AD867" s="4">
        <f>$O$867*$X$867</f>
        <v>-1748.9323299999999</v>
      </c>
      <c r="AE867" s="4">
        <f>$K$867*$Y$867</f>
        <v>0</v>
      </c>
      <c r="AF867" s="4">
        <f ca="1">$M$867*$Z$867</f>
        <v>-2771.7487195988156</v>
      </c>
      <c r="AG867" s="4">
        <f>$O$867*$AA$867</f>
        <v>-2335.5927976622379</v>
      </c>
    </row>
    <row r="868" spans="1:33" ht="11.25" customHeight="1" x14ac:dyDescent="0.25">
      <c r="A868" s="3" t="s">
        <v>21</v>
      </c>
      <c r="B868" s="3" t="s">
        <v>43</v>
      </c>
      <c r="C868" s="3" t="s">
        <v>23</v>
      </c>
      <c r="D868" s="3" t="s">
        <v>44</v>
      </c>
      <c r="E868" s="3" t="s">
        <v>52</v>
      </c>
      <c r="F868" s="3" t="s">
        <v>53</v>
      </c>
      <c r="G868" s="3" t="s">
        <v>25</v>
      </c>
      <c r="H868" s="3" t="s">
        <v>25</v>
      </c>
      <c r="I868" s="6">
        <v>44652</v>
      </c>
      <c r="J868" s="4">
        <v>0</v>
      </c>
      <c r="K868" s="4">
        <v>0</v>
      </c>
      <c r="L868" s="4">
        <v>23.486000000000001</v>
      </c>
      <c r="M868" s="4">
        <v>23.486000000000001</v>
      </c>
      <c r="N868" s="4">
        <v>23.486000000000001</v>
      </c>
      <c r="O868" s="4">
        <v>23.486000000000001</v>
      </c>
      <c r="P868" s="4">
        <v>0</v>
      </c>
      <c r="Q868" s="3" t="s">
        <v>26</v>
      </c>
      <c r="R868" s="3">
        <v>0</v>
      </c>
      <c r="S868" s="4">
        <v>0</v>
      </c>
      <c r="T868" s="4">
        <v>45</v>
      </c>
      <c r="U868" s="4">
        <v>77</v>
      </c>
      <c r="V868" s="4">
        <f>IF(ISERROR(VLOOKUP($S$868,'TAR FIN'!$A$1:$O$92,15,0)),0,VLOOKUP($S$868,'TAR FIN'!$A$1:$O$92,15,0))</f>
        <v>0</v>
      </c>
      <c r="W868" s="4">
        <f>IF(ISERROR(VLOOKUP($T$868,'TAR FIN'!$A$1:$O$92,15,0)),0,VLOOKUP($T$868,'TAR FIN'!$A$1:$O$92,15,0))</f>
        <v>273.93</v>
      </c>
      <c r="X868" s="4">
        <f>IF(ISERROR(VLOOKUP($U$868,'TAR FIN'!$A$1:$O$92,15,0)),0,VLOOKUP($U$868,'TAR FIN'!$A$1:$O$92,15,0))</f>
        <v>236.63</v>
      </c>
      <c r="Y868" s="4"/>
      <c r="Z868" s="4">
        <f ca="1">('TUSD BE'!$AM$33+'TUSD BF'!$AM$33+'TUSD CVA'!$AM$33)*(1-CUSTOS!$M$38)</f>
        <v>375.01673922321953</v>
      </c>
      <c r="AA868" s="4">
        <f>('TE BE'!$AB$24+'TE BF'!$AB$24+'TE CVA'!$AB$24)*(1-CUSTOS!$M$38)</f>
        <v>316.00497871224974</v>
      </c>
      <c r="AB868" s="4">
        <f>$K$868*$V$868</f>
        <v>0</v>
      </c>
      <c r="AC868" s="4">
        <f>$M$868*$W$868</f>
        <v>6433.51998</v>
      </c>
      <c r="AD868" s="4">
        <f>$O$868*$X$868</f>
        <v>5557.4921800000002</v>
      </c>
      <c r="AE868" s="4">
        <f>$K$868*$Y$868</f>
        <v>0</v>
      </c>
      <c r="AF868" s="4">
        <f ca="1">$M$868*$Z$868</f>
        <v>8807.6431373965333</v>
      </c>
      <c r="AG868" s="4">
        <f>$O$868*$AA$868</f>
        <v>7421.6929300358979</v>
      </c>
    </row>
    <row r="869" spans="1:33" ht="11.25" customHeight="1" x14ac:dyDescent="0.25">
      <c r="A869" s="3" t="s">
        <v>27</v>
      </c>
      <c r="B869" s="3" t="s">
        <v>43</v>
      </c>
      <c r="C869" s="3" t="s">
        <v>23</v>
      </c>
      <c r="D869" s="3" t="s">
        <v>44</v>
      </c>
      <c r="E869" s="3" t="s">
        <v>52</v>
      </c>
      <c r="F869" s="3" t="s">
        <v>53</v>
      </c>
      <c r="G869" s="3" t="s">
        <v>25</v>
      </c>
      <c r="H869" s="3" t="s">
        <v>25</v>
      </c>
      <c r="I869" s="6">
        <v>44652</v>
      </c>
      <c r="J869" s="4">
        <v>0</v>
      </c>
      <c r="K869" s="4">
        <v>0</v>
      </c>
      <c r="L869" s="4">
        <v>-7.391</v>
      </c>
      <c r="M869" s="4">
        <v>-7.391</v>
      </c>
      <c r="N869" s="4">
        <v>-7.391</v>
      </c>
      <c r="O869" s="4">
        <v>-7.391</v>
      </c>
      <c r="P869" s="4">
        <v>0</v>
      </c>
      <c r="Q869" s="3" t="s">
        <v>26</v>
      </c>
      <c r="R869" s="3">
        <v>0</v>
      </c>
      <c r="S869" s="4">
        <v>0</v>
      </c>
      <c r="T869" s="4">
        <v>45</v>
      </c>
      <c r="U869" s="4">
        <v>77</v>
      </c>
      <c r="V869" s="4">
        <f>IF(ISERROR(VLOOKUP($S$869,'TAR FIN'!$A$1:$O$92,15,0)),0,VLOOKUP($S$869,'TAR FIN'!$A$1:$O$92,15,0))</f>
        <v>0</v>
      </c>
      <c r="W869" s="4">
        <f>IF(ISERROR(VLOOKUP($T$869,'TAR FIN'!$A$1:$O$92,15,0)),0,VLOOKUP($T$869,'TAR FIN'!$A$1:$O$92,15,0))</f>
        <v>273.93</v>
      </c>
      <c r="X869" s="4">
        <f>IF(ISERROR(VLOOKUP($U$869,'TAR FIN'!$A$1:$O$92,15,0)),0,VLOOKUP($U$869,'TAR FIN'!$A$1:$O$92,15,0))</f>
        <v>236.63</v>
      </c>
      <c r="Y869" s="4"/>
      <c r="Z869" s="4">
        <f ca="1">('TUSD BE'!$AM$33+'TUSD BF'!$AM$33+'TUSD CVA'!$AM$33)*(1-CUSTOS!$M$38)</f>
        <v>375.01673922321953</v>
      </c>
      <c r="AA869" s="4">
        <f>('TE BE'!$AB$24+'TE BF'!$AB$24+'TE CVA'!$AB$24)*(1-CUSTOS!$M$38)</f>
        <v>316.00497871224974</v>
      </c>
      <c r="AB869" s="4">
        <f>$K$869*$V$869</f>
        <v>0</v>
      </c>
      <c r="AC869" s="4">
        <f>$M$869*$W$869</f>
        <v>-2024.61663</v>
      </c>
      <c r="AD869" s="4">
        <f>$O$869*$X$869</f>
        <v>-1748.9323299999999</v>
      </c>
      <c r="AE869" s="4">
        <f>$K$869*$Y$869</f>
        <v>0</v>
      </c>
      <c r="AF869" s="4">
        <f ca="1">$M$869*$Z$869</f>
        <v>-2771.7487195988156</v>
      </c>
      <c r="AG869" s="4">
        <f>$O$869*$AA$869</f>
        <v>-2335.5927976622379</v>
      </c>
    </row>
    <row r="870" spans="1:33" ht="11.25" customHeight="1" x14ac:dyDescent="0.25">
      <c r="A870" s="3" t="s">
        <v>21</v>
      </c>
      <c r="B870" s="3" t="s">
        <v>43</v>
      </c>
      <c r="C870" s="3" t="s">
        <v>23</v>
      </c>
      <c r="D870" s="3" t="s">
        <v>44</v>
      </c>
      <c r="E870" s="3" t="s">
        <v>52</v>
      </c>
      <c r="F870" s="3" t="s">
        <v>53</v>
      </c>
      <c r="G870" s="3" t="s">
        <v>25</v>
      </c>
      <c r="H870" s="3" t="s">
        <v>25</v>
      </c>
      <c r="I870" s="6">
        <v>44682</v>
      </c>
      <c r="J870" s="4">
        <v>0</v>
      </c>
      <c r="K870" s="4">
        <v>0</v>
      </c>
      <c r="L870" s="4">
        <v>12.192</v>
      </c>
      <c r="M870" s="4">
        <v>12.192</v>
      </c>
      <c r="N870" s="4">
        <v>12.192</v>
      </c>
      <c r="O870" s="4">
        <v>12.192</v>
      </c>
      <c r="P870" s="4">
        <v>0</v>
      </c>
      <c r="Q870" s="3" t="s">
        <v>26</v>
      </c>
      <c r="R870" s="3">
        <v>0</v>
      </c>
      <c r="S870" s="4">
        <v>0</v>
      </c>
      <c r="T870" s="4">
        <v>45</v>
      </c>
      <c r="U870" s="4">
        <v>77</v>
      </c>
      <c r="V870" s="4">
        <f>IF(ISERROR(VLOOKUP($S$870,'TAR FIN'!$A$1:$O$92,15,0)),0,VLOOKUP($S$870,'TAR FIN'!$A$1:$O$92,15,0))</f>
        <v>0</v>
      </c>
      <c r="W870" s="4">
        <f>IF(ISERROR(VLOOKUP($T$870,'TAR FIN'!$A$1:$O$92,15,0)),0,VLOOKUP($T$870,'TAR FIN'!$A$1:$O$92,15,0))</f>
        <v>273.93</v>
      </c>
      <c r="X870" s="4">
        <f>IF(ISERROR(VLOOKUP($U$870,'TAR FIN'!$A$1:$O$92,15,0)),0,VLOOKUP($U$870,'TAR FIN'!$A$1:$O$92,15,0))</f>
        <v>236.63</v>
      </c>
      <c r="Y870" s="4"/>
      <c r="Z870" s="4">
        <f ca="1">('TUSD BE'!$AM$33+'TUSD BF'!$AM$33+'TUSD CVA'!$AM$33)*(1-CUSTOS!$M$38)</f>
        <v>375.01673922321953</v>
      </c>
      <c r="AA870" s="4">
        <f>('TE BE'!$AB$24+'TE BF'!$AB$24+'TE CVA'!$AB$24)*(1-CUSTOS!$M$38)</f>
        <v>316.00497871224974</v>
      </c>
      <c r="AB870" s="4">
        <f>$K$870*$V$870</f>
        <v>0</v>
      </c>
      <c r="AC870" s="4">
        <f>$M$870*$W$870</f>
        <v>3339.7545600000003</v>
      </c>
      <c r="AD870" s="4">
        <f>$O$870*$X$870</f>
        <v>2884.99296</v>
      </c>
      <c r="AE870" s="4">
        <f>$K$870*$Y$870</f>
        <v>0</v>
      </c>
      <c r="AF870" s="4">
        <f ca="1">$M$870*$Z$870</f>
        <v>4572.2040846094924</v>
      </c>
      <c r="AG870" s="4">
        <f>$O$870*$AA$870</f>
        <v>3852.7327004597487</v>
      </c>
    </row>
    <row r="871" spans="1:33" ht="11.25" customHeight="1" x14ac:dyDescent="0.25">
      <c r="A871" s="3" t="s">
        <v>27</v>
      </c>
      <c r="B871" s="3" t="s">
        <v>43</v>
      </c>
      <c r="C871" s="3" t="s">
        <v>23</v>
      </c>
      <c r="D871" s="3" t="s">
        <v>44</v>
      </c>
      <c r="E871" s="3" t="s">
        <v>52</v>
      </c>
      <c r="F871" s="3" t="s">
        <v>53</v>
      </c>
      <c r="G871" s="3" t="s">
        <v>25</v>
      </c>
      <c r="H871" s="3" t="s">
        <v>25</v>
      </c>
      <c r="I871" s="6">
        <v>44682</v>
      </c>
      <c r="J871" s="4">
        <v>0</v>
      </c>
      <c r="K871" s="4">
        <v>0</v>
      </c>
      <c r="L871" s="4">
        <v>-18.808</v>
      </c>
      <c r="M871" s="4">
        <v>-18.808</v>
      </c>
      <c r="N871" s="4">
        <v>-18.808</v>
      </c>
      <c r="O871" s="4">
        <v>-18.808</v>
      </c>
      <c r="P871" s="4">
        <v>0</v>
      </c>
      <c r="Q871" s="3" t="s">
        <v>26</v>
      </c>
      <c r="R871" s="3">
        <v>0</v>
      </c>
      <c r="S871" s="4">
        <v>0</v>
      </c>
      <c r="T871" s="4">
        <v>45</v>
      </c>
      <c r="U871" s="4">
        <v>77</v>
      </c>
      <c r="V871" s="4">
        <f>IF(ISERROR(VLOOKUP($S$871,'TAR FIN'!$A$1:$O$92,15,0)),0,VLOOKUP($S$871,'TAR FIN'!$A$1:$O$92,15,0))</f>
        <v>0</v>
      </c>
      <c r="W871" s="4">
        <f>IF(ISERROR(VLOOKUP($T$871,'TAR FIN'!$A$1:$O$92,15,0)),0,VLOOKUP($T$871,'TAR FIN'!$A$1:$O$92,15,0))</f>
        <v>273.93</v>
      </c>
      <c r="X871" s="4">
        <f>IF(ISERROR(VLOOKUP($U$871,'TAR FIN'!$A$1:$O$92,15,0)),0,VLOOKUP($U$871,'TAR FIN'!$A$1:$O$92,15,0))</f>
        <v>236.63</v>
      </c>
      <c r="Y871" s="4"/>
      <c r="Z871" s="4">
        <f ca="1">('TUSD BE'!$AM$33+'TUSD BF'!$AM$33+'TUSD CVA'!$AM$33)*(1-CUSTOS!$M$38)</f>
        <v>375.01673922321953</v>
      </c>
      <c r="AA871" s="4">
        <f>('TE BE'!$AB$24+'TE BF'!$AB$24+'TE CVA'!$AB$24)*(1-CUSTOS!$M$38)</f>
        <v>316.00497871224974</v>
      </c>
      <c r="AB871" s="4">
        <f>$K$871*$V$871</f>
        <v>0</v>
      </c>
      <c r="AC871" s="4">
        <f>$M$871*$W$871</f>
        <v>-5152.0754400000005</v>
      </c>
      <c r="AD871" s="4">
        <f>$O$871*$X$871</f>
        <v>-4450.5370400000002</v>
      </c>
      <c r="AE871" s="4">
        <f>$K$871*$Y$871</f>
        <v>0</v>
      </c>
      <c r="AF871" s="4">
        <f ca="1">$M$871*$Z$871</f>
        <v>-7053.3148313103129</v>
      </c>
      <c r="AG871" s="4">
        <f>$O$871*$AA$871</f>
        <v>-5943.4216396199927</v>
      </c>
    </row>
    <row r="872" spans="1:33" ht="11.25" customHeight="1" x14ac:dyDescent="0.25">
      <c r="A872" s="3" t="s">
        <v>21</v>
      </c>
      <c r="B872" s="3" t="s">
        <v>43</v>
      </c>
      <c r="C872" s="3" t="s">
        <v>23</v>
      </c>
      <c r="D872" s="3" t="s">
        <v>44</v>
      </c>
      <c r="E872" s="3" t="s">
        <v>52</v>
      </c>
      <c r="F872" s="3" t="s">
        <v>53</v>
      </c>
      <c r="G872" s="3" t="s">
        <v>25</v>
      </c>
      <c r="H872" s="3" t="s">
        <v>25</v>
      </c>
      <c r="I872" s="6">
        <v>44713</v>
      </c>
      <c r="J872" s="4">
        <v>0</v>
      </c>
      <c r="K872" s="4">
        <v>0</v>
      </c>
      <c r="L872" s="4">
        <v>8.4719999999999995</v>
      </c>
      <c r="M872" s="4">
        <v>8.4719999999999995</v>
      </c>
      <c r="N872" s="4">
        <v>8.4719999999999995</v>
      </c>
      <c r="O872" s="4">
        <v>8.4719999999999995</v>
      </c>
      <c r="P872" s="4">
        <v>0</v>
      </c>
      <c r="Q872" s="3" t="s">
        <v>26</v>
      </c>
      <c r="R872" s="3">
        <v>0</v>
      </c>
      <c r="S872" s="4">
        <v>0</v>
      </c>
      <c r="T872" s="4">
        <v>45</v>
      </c>
      <c r="U872" s="4">
        <v>77</v>
      </c>
      <c r="V872" s="4">
        <f>IF(ISERROR(VLOOKUP($S$872,'TAR FIN'!$A$1:$O$92,15,0)),0,VLOOKUP($S$872,'TAR FIN'!$A$1:$O$92,15,0))</f>
        <v>0</v>
      </c>
      <c r="W872" s="4">
        <f>IF(ISERROR(VLOOKUP($T$872,'TAR FIN'!$A$1:$O$92,15,0)),0,VLOOKUP($T$872,'TAR FIN'!$A$1:$O$92,15,0))</f>
        <v>273.93</v>
      </c>
      <c r="X872" s="4">
        <f>IF(ISERROR(VLOOKUP($U$872,'TAR FIN'!$A$1:$O$92,15,0)),0,VLOOKUP($U$872,'TAR FIN'!$A$1:$O$92,15,0))</f>
        <v>236.63</v>
      </c>
      <c r="Y872" s="4"/>
      <c r="Z872" s="4">
        <f ca="1">('TUSD BE'!$AM$33+'TUSD BF'!$AM$33+'TUSD CVA'!$AM$33)*(1-CUSTOS!$M$38)</f>
        <v>375.01673922321953</v>
      </c>
      <c r="AA872" s="4">
        <f>('TE BE'!$AB$24+'TE BF'!$AB$24+'TE CVA'!$AB$24)*(1-CUSTOS!$M$38)</f>
        <v>316.00497871224974</v>
      </c>
      <c r="AB872" s="4">
        <f>$K$872*$V$872</f>
        <v>0</v>
      </c>
      <c r="AC872" s="4">
        <f>$M$872*$W$872</f>
        <v>2320.7349599999998</v>
      </c>
      <c r="AD872" s="4">
        <f>$O$872*$X$872</f>
        <v>2004.7293599999998</v>
      </c>
      <c r="AE872" s="4">
        <f>$K$872*$Y$872</f>
        <v>0</v>
      </c>
      <c r="AF872" s="4">
        <f ca="1">$M$872*$Z$872</f>
        <v>3177.1418146991159</v>
      </c>
      <c r="AG872" s="4">
        <f>$O$872*$AA$872</f>
        <v>2677.1941796501796</v>
      </c>
    </row>
    <row r="873" spans="1:33" ht="11.25" customHeight="1" x14ac:dyDescent="0.25">
      <c r="A873" s="3" t="s">
        <v>27</v>
      </c>
      <c r="B873" s="3" t="s">
        <v>43</v>
      </c>
      <c r="C873" s="3" t="s">
        <v>23</v>
      </c>
      <c r="D873" s="3" t="s">
        <v>44</v>
      </c>
      <c r="E873" s="3" t="s">
        <v>52</v>
      </c>
      <c r="F873" s="3" t="s">
        <v>53</v>
      </c>
      <c r="G873" s="3" t="s">
        <v>25</v>
      </c>
      <c r="H873" s="3" t="s">
        <v>25</v>
      </c>
      <c r="I873" s="6">
        <v>44713</v>
      </c>
      <c r="J873" s="4">
        <v>0</v>
      </c>
      <c r="K873" s="4">
        <v>0</v>
      </c>
      <c r="L873" s="4">
        <v>-1.696</v>
      </c>
      <c r="M873" s="4">
        <v>-1.696</v>
      </c>
      <c r="N873" s="4">
        <v>-1.696</v>
      </c>
      <c r="O873" s="4">
        <v>-1.696</v>
      </c>
      <c r="P873" s="4">
        <v>0</v>
      </c>
      <c r="Q873" s="3" t="s">
        <v>26</v>
      </c>
      <c r="R873" s="3">
        <v>0</v>
      </c>
      <c r="S873" s="4">
        <v>0</v>
      </c>
      <c r="T873" s="4">
        <v>45</v>
      </c>
      <c r="U873" s="4">
        <v>77</v>
      </c>
      <c r="V873" s="4">
        <f>IF(ISERROR(VLOOKUP($S$873,'TAR FIN'!$A$1:$O$92,15,0)),0,VLOOKUP($S$873,'TAR FIN'!$A$1:$O$92,15,0))</f>
        <v>0</v>
      </c>
      <c r="W873" s="4">
        <f>IF(ISERROR(VLOOKUP($T$873,'TAR FIN'!$A$1:$O$92,15,0)),0,VLOOKUP($T$873,'TAR FIN'!$A$1:$O$92,15,0))</f>
        <v>273.93</v>
      </c>
      <c r="X873" s="4">
        <f>IF(ISERROR(VLOOKUP($U$873,'TAR FIN'!$A$1:$O$92,15,0)),0,VLOOKUP($U$873,'TAR FIN'!$A$1:$O$92,15,0))</f>
        <v>236.63</v>
      </c>
      <c r="Y873" s="4"/>
      <c r="Z873" s="4">
        <f ca="1">('TUSD BE'!$AM$33+'TUSD BF'!$AM$33+'TUSD CVA'!$AM$33)*(1-CUSTOS!$M$38)</f>
        <v>375.01673922321953</v>
      </c>
      <c r="AA873" s="4">
        <f>('TE BE'!$AB$24+'TE BF'!$AB$24+'TE CVA'!$AB$24)*(1-CUSTOS!$M$38)</f>
        <v>316.00497871224974</v>
      </c>
      <c r="AB873" s="4">
        <f>$K$873*$V$873</f>
        <v>0</v>
      </c>
      <c r="AC873" s="4">
        <f>$M$873*$W$873</f>
        <v>-464.58528000000001</v>
      </c>
      <c r="AD873" s="4">
        <f>$O$873*$X$873</f>
        <v>-401.32447999999999</v>
      </c>
      <c r="AE873" s="4">
        <f>$K$873*$Y$873</f>
        <v>0</v>
      </c>
      <c r="AF873" s="4">
        <f ca="1">$M$873*$Z$873</f>
        <v>-636.0283897225803</v>
      </c>
      <c r="AG873" s="4">
        <f>$O$873*$AA$873</f>
        <v>-535.9444438959755</v>
      </c>
    </row>
    <row r="874" spans="1:33" ht="11.25" customHeight="1" x14ac:dyDescent="0.25">
      <c r="A874" s="3" t="s">
        <v>21</v>
      </c>
      <c r="B874" s="3" t="s">
        <v>43</v>
      </c>
      <c r="C874" s="3" t="s">
        <v>23</v>
      </c>
      <c r="D874" s="3" t="s">
        <v>44</v>
      </c>
      <c r="E874" s="3" t="s">
        <v>52</v>
      </c>
      <c r="F874" s="3" t="s">
        <v>53</v>
      </c>
      <c r="G874" s="3" t="s">
        <v>25</v>
      </c>
      <c r="H874" s="3" t="s">
        <v>25</v>
      </c>
      <c r="I874" s="6">
        <v>44743</v>
      </c>
      <c r="J874" s="4">
        <v>0</v>
      </c>
      <c r="K874" s="4">
        <v>0</v>
      </c>
      <c r="L874" s="4">
        <v>7.734</v>
      </c>
      <c r="M874" s="4">
        <v>7.734</v>
      </c>
      <c r="N874" s="4">
        <v>7.734</v>
      </c>
      <c r="O874" s="4">
        <v>7.734</v>
      </c>
      <c r="P874" s="4">
        <v>0</v>
      </c>
      <c r="Q874" s="3" t="s">
        <v>26</v>
      </c>
      <c r="R874" s="3">
        <v>0</v>
      </c>
      <c r="S874" s="4">
        <v>0</v>
      </c>
      <c r="T874" s="4">
        <v>45</v>
      </c>
      <c r="U874" s="4">
        <v>77</v>
      </c>
      <c r="V874" s="4">
        <f>IF(ISERROR(VLOOKUP($S$874,'TAR FIN'!$A$1:$O$92,15,0)),0,VLOOKUP($S$874,'TAR FIN'!$A$1:$O$92,15,0))</f>
        <v>0</v>
      </c>
      <c r="W874" s="4">
        <f>IF(ISERROR(VLOOKUP($T$874,'TAR FIN'!$A$1:$O$92,15,0)),0,VLOOKUP($T$874,'TAR FIN'!$A$1:$O$92,15,0))</f>
        <v>273.93</v>
      </c>
      <c r="X874" s="4">
        <f>IF(ISERROR(VLOOKUP($U$874,'TAR FIN'!$A$1:$O$92,15,0)),0,VLOOKUP($U$874,'TAR FIN'!$A$1:$O$92,15,0))</f>
        <v>236.63</v>
      </c>
      <c r="Y874" s="4"/>
      <c r="Z874" s="4">
        <f ca="1">('TUSD BE'!$AM$33+'TUSD BF'!$AM$33+'TUSD CVA'!$AM$33)*(1-CUSTOS!$M$38)</f>
        <v>375.01673922321953</v>
      </c>
      <c r="AA874" s="4">
        <f>('TE BE'!$AB$24+'TE BF'!$AB$24+'TE CVA'!$AB$24)*(1-CUSTOS!$M$38)</f>
        <v>316.00497871224974</v>
      </c>
      <c r="AB874" s="4">
        <f>$K$874*$V$874</f>
        <v>0</v>
      </c>
      <c r="AC874" s="4">
        <f>$M$874*$W$874</f>
        <v>2118.5746199999999</v>
      </c>
      <c r="AD874" s="4">
        <f>$O$874*$X$874</f>
        <v>1830.0964199999999</v>
      </c>
      <c r="AE874" s="4">
        <f>$K$874*$Y$874</f>
        <v>0</v>
      </c>
      <c r="AF874" s="4">
        <f ca="1">$M$874*$Z$874</f>
        <v>2900.3794611523799</v>
      </c>
      <c r="AG874" s="4">
        <f>$O$874*$AA$874</f>
        <v>2443.9825053605396</v>
      </c>
    </row>
    <row r="875" spans="1:33" ht="11.25" customHeight="1" x14ac:dyDescent="0.25">
      <c r="A875" s="3" t="s">
        <v>21</v>
      </c>
      <c r="B875" s="3" t="s">
        <v>43</v>
      </c>
      <c r="C875" s="3" t="s">
        <v>23</v>
      </c>
      <c r="D875" s="3" t="s">
        <v>44</v>
      </c>
      <c r="E875" s="3" t="s">
        <v>52</v>
      </c>
      <c r="F875" s="3" t="s">
        <v>53</v>
      </c>
      <c r="G875" s="3" t="s">
        <v>25</v>
      </c>
      <c r="H875" s="3" t="s">
        <v>25</v>
      </c>
      <c r="I875" s="6">
        <v>44774</v>
      </c>
      <c r="J875" s="4">
        <v>0</v>
      </c>
      <c r="K875" s="4">
        <v>0</v>
      </c>
      <c r="L875" s="4">
        <v>11.044</v>
      </c>
      <c r="M875" s="4">
        <v>11.044</v>
      </c>
      <c r="N875" s="4">
        <v>11.044</v>
      </c>
      <c r="O875" s="4">
        <v>11.044</v>
      </c>
      <c r="P875" s="4">
        <v>0</v>
      </c>
      <c r="Q875" s="3" t="s">
        <v>26</v>
      </c>
      <c r="R875" s="3">
        <v>0</v>
      </c>
      <c r="S875" s="4">
        <v>0</v>
      </c>
      <c r="T875" s="4">
        <v>45</v>
      </c>
      <c r="U875" s="4">
        <v>77</v>
      </c>
      <c r="V875" s="4">
        <f>IF(ISERROR(VLOOKUP($S$875,'TAR FIN'!$A$1:$O$92,15,0)),0,VLOOKUP($S$875,'TAR FIN'!$A$1:$O$92,15,0))</f>
        <v>0</v>
      </c>
      <c r="W875" s="4">
        <f>IF(ISERROR(VLOOKUP($T$875,'TAR FIN'!$A$1:$O$92,15,0)),0,VLOOKUP($T$875,'TAR FIN'!$A$1:$O$92,15,0))</f>
        <v>273.93</v>
      </c>
      <c r="X875" s="4">
        <f>IF(ISERROR(VLOOKUP($U$875,'TAR FIN'!$A$1:$O$92,15,0)),0,VLOOKUP($U$875,'TAR FIN'!$A$1:$O$92,15,0))</f>
        <v>236.63</v>
      </c>
      <c r="Y875" s="4"/>
      <c r="Z875" s="4">
        <f ca="1">('TUSD BE'!$AM$33+'TUSD BF'!$AM$33+'TUSD CVA'!$AM$33)*(1-CUSTOS!$M$38)</f>
        <v>375.01673922321953</v>
      </c>
      <c r="AA875" s="4">
        <f>('TE BE'!$AB$24+'TE BF'!$AB$24+'TE CVA'!$AB$24)*(1-CUSTOS!$M$38)</f>
        <v>316.00497871224974</v>
      </c>
      <c r="AB875" s="4">
        <f>$K$875*$V$875</f>
        <v>0</v>
      </c>
      <c r="AC875" s="4">
        <f>$M$875*$W$875</f>
        <v>3025.2829200000001</v>
      </c>
      <c r="AD875" s="4">
        <f>$O$875*$X$875</f>
        <v>2613.3417199999999</v>
      </c>
      <c r="AE875" s="4">
        <f>$K$875*$Y$875</f>
        <v>0</v>
      </c>
      <c r="AF875" s="4">
        <f ca="1">$M$875*$Z$875</f>
        <v>4141.6848679812365</v>
      </c>
      <c r="AG875" s="4">
        <f>$O$875*$AA$875</f>
        <v>3489.9589848980863</v>
      </c>
    </row>
    <row r="876" spans="1:33" ht="11.25" customHeight="1" x14ac:dyDescent="0.25">
      <c r="A876" s="3" t="s">
        <v>21</v>
      </c>
      <c r="B876" s="3" t="s">
        <v>43</v>
      </c>
      <c r="C876" s="3" t="s">
        <v>23</v>
      </c>
      <c r="D876" s="3" t="s">
        <v>44</v>
      </c>
      <c r="E876" s="3" t="s">
        <v>52</v>
      </c>
      <c r="F876" s="3" t="s">
        <v>53</v>
      </c>
      <c r="G876" s="3" t="s">
        <v>25</v>
      </c>
      <c r="H876" s="3" t="s">
        <v>25</v>
      </c>
      <c r="I876" s="6">
        <v>44805</v>
      </c>
      <c r="J876" s="4">
        <v>0</v>
      </c>
      <c r="K876" s="4">
        <v>0</v>
      </c>
      <c r="L876" s="4">
        <v>24.166</v>
      </c>
      <c r="M876" s="4">
        <v>24.166</v>
      </c>
      <c r="N876" s="4">
        <v>24.166</v>
      </c>
      <c r="O876" s="4">
        <v>24.166</v>
      </c>
      <c r="P876" s="4">
        <v>0</v>
      </c>
      <c r="Q876" s="3" t="s">
        <v>26</v>
      </c>
      <c r="R876" s="3">
        <v>0</v>
      </c>
      <c r="S876" s="4">
        <v>0</v>
      </c>
      <c r="T876" s="4">
        <v>45</v>
      </c>
      <c r="U876" s="4">
        <v>77</v>
      </c>
      <c r="V876" s="4">
        <f>IF(ISERROR(VLOOKUP($S$876,'TAR FIN'!$A$1:$O$92,15,0)),0,VLOOKUP($S$876,'TAR FIN'!$A$1:$O$92,15,0))</f>
        <v>0</v>
      </c>
      <c r="W876" s="4">
        <f>IF(ISERROR(VLOOKUP($T$876,'TAR FIN'!$A$1:$O$92,15,0)),0,VLOOKUP($T$876,'TAR FIN'!$A$1:$O$92,15,0))</f>
        <v>273.93</v>
      </c>
      <c r="X876" s="4">
        <f>IF(ISERROR(VLOOKUP($U$876,'TAR FIN'!$A$1:$O$92,15,0)),0,VLOOKUP($U$876,'TAR FIN'!$A$1:$O$92,15,0))</f>
        <v>236.63</v>
      </c>
      <c r="Y876" s="4"/>
      <c r="Z876" s="4">
        <f ca="1">('TUSD BE'!$AM$33+'TUSD BF'!$AM$33+'TUSD CVA'!$AM$33)*(1-CUSTOS!$M$38)</f>
        <v>375.01673922321953</v>
      </c>
      <c r="AA876" s="4">
        <f>('TE BE'!$AB$24+'TE BF'!$AB$24+'TE CVA'!$AB$24)*(1-CUSTOS!$M$38)</f>
        <v>316.00497871224974</v>
      </c>
      <c r="AB876" s="4">
        <f>$K$876*$V$876</f>
        <v>0</v>
      </c>
      <c r="AC876" s="4">
        <f>$M$876*$W$876</f>
        <v>6619.7923799999999</v>
      </c>
      <c r="AD876" s="4">
        <f>$O$876*$X$876</f>
        <v>5718.4005799999995</v>
      </c>
      <c r="AE876" s="4">
        <f>$K$876*$Y$876</f>
        <v>0</v>
      </c>
      <c r="AF876" s="4">
        <f ca="1">$M$876*$Z$876</f>
        <v>9062.6545200683231</v>
      </c>
      <c r="AG876" s="4">
        <f>$O$876*$AA$876</f>
        <v>7636.5763155602272</v>
      </c>
    </row>
    <row r="877" spans="1:33" ht="11.25" customHeight="1" x14ac:dyDescent="0.25">
      <c r="A877" s="3" t="s">
        <v>27</v>
      </c>
      <c r="B877" s="3" t="s">
        <v>43</v>
      </c>
      <c r="C877" s="3" t="s">
        <v>23</v>
      </c>
      <c r="D877" s="3" t="s">
        <v>44</v>
      </c>
      <c r="E877" s="3" t="s">
        <v>52</v>
      </c>
      <c r="F877" s="3" t="s">
        <v>53</v>
      </c>
      <c r="G877" s="3" t="s">
        <v>25</v>
      </c>
      <c r="H877" s="3" t="s">
        <v>25</v>
      </c>
      <c r="I877" s="6">
        <v>44805</v>
      </c>
      <c r="J877" s="4">
        <v>0</v>
      </c>
      <c r="K877" s="4">
        <v>0</v>
      </c>
      <c r="L877" s="4">
        <v>8.843</v>
      </c>
      <c r="M877" s="4">
        <v>8.843</v>
      </c>
      <c r="N877" s="4">
        <v>8.843</v>
      </c>
      <c r="O877" s="4">
        <v>8.843</v>
      </c>
      <c r="P877" s="4">
        <v>0</v>
      </c>
      <c r="Q877" s="3" t="s">
        <v>26</v>
      </c>
      <c r="R877" s="3">
        <v>0</v>
      </c>
      <c r="S877" s="4">
        <v>0</v>
      </c>
      <c r="T877" s="4">
        <v>45</v>
      </c>
      <c r="U877" s="4">
        <v>77</v>
      </c>
      <c r="V877" s="4">
        <f>IF(ISERROR(VLOOKUP($S$877,'TAR FIN'!$A$1:$O$92,15,0)),0,VLOOKUP($S$877,'TAR FIN'!$A$1:$O$92,15,0))</f>
        <v>0</v>
      </c>
      <c r="W877" s="4">
        <f>IF(ISERROR(VLOOKUP($T$877,'TAR FIN'!$A$1:$O$92,15,0)),0,VLOOKUP($T$877,'TAR FIN'!$A$1:$O$92,15,0))</f>
        <v>273.93</v>
      </c>
      <c r="X877" s="4">
        <f>IF(ISERROR(VLOOKUP($U$877,'TAR FIN'!$A$1:$O$92,15,0)),0,VLOOKUP($U$877,'TAR FIN'!$A$1:$O$92,15,0))</f>
        <v>236.63</v>
      </c>
      <c r="Y877" s="4"/>
      <c r="Z877" s="4">
        <f ca="1">('TUSD BE'!$AM$33+'TUSD BF'!$AM$33+'TUSD CVA'!$AM$33)*(1-CUSTOS!$M$38)</f>
        <v>375.01673922321953</v>
      </c>
      <c r="AA877" s="4">
        <f>('TE BE'!$AB$24+'TE BF'!$AB$24+'TE CVA'!$AB$24)*(1-CUSTOS!$M$38)</f>
        <v>316.00497871224974</v>
      </c>
      <c r="AB877" s="4">
        <f>$K$877*$V$877</f>
        <v>0</v>
      </c>
      <c r="AC877" s="4">
        <f>$M$877*$W$877</f>
        <v>2422.3629900000001</v>
      </c>
      <c r="AD877" s="4">
        <f>$O$877*$X$877</f>
        <v>2092.5190899999998</v>
      </c>
      <c r="AE877" s="4">
        <f>$K$877*$Y$877</f>
        <v>0</v>
      </c>
      <c r="AF877" s="4">
        <f ca="1">$M$877*$Z$877</f>
        <v>3316.2730249509304</v>
      </c>
      <c r="AG877" s="4">
        <f>$O$877*$AA$877</f>
        <v>2794.4320267524245</v>
      </c>
    </row>
    <row r="878" spans="1:33" ht="11.25" customHeight="1" x14ac:dyDescent="0.25">
      <c r="A878" s="3" t="s">
        <v>55</v>
      </c>
      <c r="B878" s="3" t="s">
        <v>43</v>
      </c>
      <c r="C878" s="3" t="s">
        <v>23</v>
      </c>
      <c r="D878" s="3" t="s">
        <v>44</v>
      </c>
      <c r="E878" s="3" t="s">
        <v>52</v>
      </c>
      <c r="F878" s="3" t="s">
        <v>53</v>
      </c>
      <c r="G878" s="3" t="s">
        <v>25</v>
      </c>
      <c r="H878" s="3" t="s">
        <v>25</v>
      </c>
      <c r="I878" s="6">
        <v>44835</v>
      </c>
      <c r="J878" s="4">
        <v>0</v>
      </c>
      <c r="K878" s="4">
        <v>0</v>
      </c>
      <c r="L878" s="4">
        <v>24.166</v>
      </c>
      <c r="M878" s="4">
        <v>24.166</v>
      </c>
      <c r="N878" s="4">
        <v>24.166</v>
      </c>
      <c r="O878" s="4">
        <v>24.166</v>
      </c>
      <c r="P878" s="4">
        <v>0</v>
      </c>
      <c r="Q878" s="3" t="s">
        <v>26</v>
      </c>
      <c r="R878" s="3">
        <v>0</v>
      </c>
      <c r="S878" s="4">
        <v>0</v>
      </c>
      <c r="T878" s="4">
        <v>45</v>
      </c>
      <c r="U878" s="4">
        <v>77</v>
      </c>
      <c r="V878" s="4">
        <f>IF(ISERROR(VLOOKUP($S$878,'TAR FIN'!$A$1:$O$92,15,0)),0,VLOOKUP($S$878,'TAR FIN'!$A$1:$O$92,15,0))</f>
        <v>0</v>
      </c>
      <c r="W878" s="4">
        <f>IF(ISERROR(VLOOKUP($T$878,'TAR FIN'!$A$1:$O$92,15,0)),0,VLOOKUP($T$878,'TAR FIN'!$A$1:$O$92,15,0))</f>
        <v>273.93</v>
      </c>
      <c r="X878" s="4">
        <f>IF(ISERROR(VLOOKUP($U$878,'TAR FIN'!$A$1:$O$92,15,0)),0,VLOOKUP($U$878,'TAR FIN'!$A$1:$O$92,15,0))</f>
        <v>236.63</v>
      </c>
      <c r="Y878" s="4"/>
      <c r="Z878" s="4">
        <f ca="1">('TUSD BE'!$AM$33+'TUSD BF'!$AM$33+'TUSD CVA'!$AM$33)*(1-CUSTOS!$M$38)</f>
        <v>375.01673922321953</v>
      </c>
      <c r="AA878" s="4">
        <f>('TE BE'!$AB$24+'TE BF'!$AB$24+'TE CVA'!$AB$24)*(1-CUSTOS!$M$38)</f>
        <v>316.00497871224974</v>
      </c>
      <c r="AB878" s="4">
        <f>$K$878*$V$878</f>
        <v>0</v>
      </c>
      <c r="AC878" s="4">
        <f>$M$878*$W$878</f>
        <v>6619.7923799999999</v>
      </c>
      <c r="AD878" s="4">
        <f>$O$878*$X$878</f>
        <v>5718.4005799999995</v>
      </c>
      <c r="AE878" s="4">
        <f>$K$878*$Y$878</f>
        <v>0</v>
      </c>
      <c r="AF878" s="4">
        <f ca="1">$M$878*$Z$878</f>
        <v>9062.6545200683231</v>
      </c>
      <c r="AG878" s="4">
        <f>$O$878*$AA$878</f>
        <v>7636.5763155602272</v>
      </c>
    </row>
    <row r="879" spans="1:33" ht="11.25" customHeight="1" x14ac:dyDescent="0.25">
      <c r="A879" s="3" t="s">
        <v>55</v>
      </c>
      <c r="B879" s="3" t="s">
        <v>43</v>
      </c>
      <c r="C879" s="3" t="s">
        <v>23</v>
      </c>
      <c r="D879" s="3" t="s">
        <v>44</v>
      </c>
      <c r="E879" s="3" t="s">
        <v>52</v>
      </c>
      <c r="F879" s="3" t="s">
        <v>53</v>
      </c>
      <c r="G879" s="3" t="s">
        <v>25</v>
      </c>
      <c r="H879" s="3" t="s">
        <v>25</v>
      </c>
      <c r="I879" s="6">
        <v>44835</v>
      </c>
      <c r="J879" s="4">
        <v>0</v>
      </c>
      <c r="K879" s="4">
        <v>0</v>
      </c>
      <c r="L879" s="4">
        <v>8.843</v>
      </c>
      <c r="M879" s="4">
        <v>8.843</v>
      </c>
      <c r="N879" s="4">
        <v>8.843</v>
      </c>
      <c r="O879" s="4">
        <v>8.843</v>
      </c>
      <c r="P879" s="4">
        <v>0</v>
      </c>
      <c r="Q879" s="3" t="s">
        <v>26</v>
      </c>
      <c r="R879" s="3">
        <v>0</v>
      </c>
      <c r="S879" s="4">
        <v>0</v>
      </c>
      <c r="T879" s="4">
        <v>45</v>
      </c>
      <c r="U879" s="4">
        <v>77</v>
      </c>
      <c r="V879" s="4">
        <f>IF(ISERROR(VLOOKUP($S$879,'TAR FIN'!$A$1:$O$92,15,0)),0,VLOOKUP($S$879,'TAR FIN'!$A$1:$O$92,15,0))</f>
        <v>0</v>
      </c>
      <c r="W879" s="4">
        <f>IF(ISERROR(VLOOKUP($T$879,'TAR FIN'!$A$1:$O$92,15,0)),0,VLOOKUP($T$879,'TAR FIN'!$A$1:$O$92,15,0))</f>
        <v>273.93</v>
      </c>
      <c r="X879" s="4">
        <f>IF(ISERROR(VLOOKUP($U$879,'TAR FIN'!$A$1:$O$92,15,0)),0,VLOOKUP($U$879,'TAR FIN'!$A$1:$O$92,15,0))</f>
        <v>236.63</v>
      </c>
      <c r="Y879" s="4"/>
      <c r="Z879" s="4">
        <f ca="1">('TUSD BE'!$AM$33+'TUSD BF'!$AM$33+'TUSD CVA'!$AM$33)*(1-CUSTOS!$M$38)</f>
        <v>375.01673922321953</v>
      </c>
      <c r="AA879" s="4">
        <f>('TE BE'!$AB$24+'TE BF'!$AB$24+'TE CVA'!$AB$24)*(1-CUSTOS!$M$38)</f>
        <v>316.00497871224974</v>
      </c>
      <c r="AB879" s="4">
        <f>$K$879*$V$879</f>
        <v>0</v>
      </c>
      <c r="AC879" s="4">
        <f>$M$879*$W$879</f>
        <v>2422.3629900000001</v>
      </c>
      <c r="AD879" s="4">
        <f>$O$879*$X$879</f>
        <v>2092.5190899999998</v>
      </c>
      <c r="AE879" s="4">
        <f>$K$879*$Y$879</f>
        <v>0</v>
      </c>
      <c r="AF879" s="4">
        <f ca="1">$M$879*$Z$879</f>
        <v>3316.2730249509304</v>
      </c>
      <c r="AG879" s="4">
        <f>$O$879*$AA$879</f>
        <v>2794.4320267524245</v>
      </c>
    </row>
    <row r="880" spans="1:33" ht="11.25" customHeight="1" x14ac:dyDescent="0.25">
      <c r="A880" s="3" t="s">
        <v>21</v>
      </c>
      <c r="B880" s="3" t="s">
        <v>43</v>
      </c>
      <c r="C880" s="3" t="s">
        <v>23</v>
      </c>
      <c r="D880" s="3" t="s">
        <v>44</v>
      </c>
      <c r="E880" s="3" t="s">
        <v>52</v>
      </c>
      <c r="F880" s="3" t="s">
        <v>54</v>
      </c>
      <c r="G880" s="3" t="s">
        <v>25</v>
      </c>
      <c r="H880" s="3" t="s">
        <v>25</v>
      </c>
      <c r="I880" s="6">
        <v>44501</v>
      </c>
      <c r="J880" s="4">
        <v>0</v>
      </c>
      <c r="K880" s="4">
        <v>0</v>
      </c>
      <c r="L880" s="4">
        <v>51.384999999999998</v>
      </c>
      <c r="M880" s="4">
        <v>16.957049999999999</v>
      </c>
      <c r="N880" s="4">
        <v>51.384999999999998</v>
      </c>
      <c r="O880" s="4">
        <v>16.957049999999999</v>
      </c>
      <c r="P880" s="4">
        <v>0</v>
      </c>
      <c r="Q880" s="3" t="s">
        <v>26</v>
      </c>
      <c r="R880" s="3">
        <v>0</v>
      </c>
      <c r="S880" s="4">
        <v>0</v>
      </c>
      <c r="T880" s="4">
        <v>25</v>
      </c>
      <c r="U880" s="4">
        <v>77</v>
      </c>
      <c r="V880" s="4">
        <f>IF(ISERROR(VLOOKUP($S$880,'TAR FIN'!$A$1:$O$92,15,0)),0,VLOOKUP($S$880,'TAR FIN'!$A$1:$O$92,15,0))</f>
        <v>0</v>
      </c>
      <c r="W880" s="4">
        <f>IF(ISERROR(VLOOKUP($T$880,'TAR FIN'!$A$1:$O$92,15,0)),0,VLOOKUP($T$880,'TAR FIN'!$A$1:$O$92,15,0))</f>
        <v>261.48</v>
      </c>
      <c r="X880" s="4">
        <f>IF(ISERROR(VLOOKUP($U$880,'TAR FIN'!$A$1:$O$92,15,0)),0,VLOOKUP($U$880,'TAR FIN'!$A$1:$O$92,15,0))</f>
        <v>236.63</v>
      </c>
      <c r="Y880" s="4"/>
      <c r="Z880" s="4">
        <f ca="1">('TUSD BE'!$AM$33+'TUSD BF'!$AM$33+'TUSD CVA'!$AM$33)*(1-CUSTOS!$M$38)</f>
        <v>375.01673922321953</v>
      </c>
      <c r="AA880" s="4">
        <f>('TE BE'!$AB$24+'TE BF'!$AB$24+'TE CVA'!$AB$24)*(1-CUSTOS!$M$38)</f>
        <v>316.00497871224974</v>
      </c>
      <c r="AB880" s="4">
        <f>$K$880*$V$880</f>
        <v>0</v>
      </c>
      <c r="AC880" s="4">
        <f>$M$880*$W$880</f>
        <v>4433.9294339999997</v>
      </c>
      <c r="AD880" s="4">
        <f>$O$880*$X$880</f>
        <v>4012.5467414999998</v>
      </c>
      <c r="AE880" s="4">
        <f>$K$880*$Y$880</f>
        <v>0</v>
      </c>
      <c r="AF880" s="4">
        <f ca="1">$M$880*$Z$880</f>
        <v>6359.1775978450942</v>
      </c>
      <c r="AG880" s="4">
        <f>$O$880*$AA$880</f>
        <v>5358.5122242725538</v>
      </c>
    </row>
    <row r="881" spans="1:33" ht="11.25" customHeight="1" x14ac:dyDescent="0.25">
      <c r="A881" s="3" t="s">
        <v>21</v>
      </c>
      <c r="B881" s="3" t="s">
        <v>43</v>
      </c>
      <c r="C881" s="3" t="s">
        <v>23</v>
      </c>
      <c r="D881" s="3" t="s">
        <v>44</v>
      </c>
      <c r="E881" s="3" t="s">
        <v>52</v>
      </c>
      <c r="F881" s="3" t="s">
        <v>54</v>
      </c>
      <c r="G881" s="3" t="s">
        <v>25</v>
      </c>
      <c r="H881" s="3" t="s">
        <v>25</v>
      </c>
      <c r="I881" s="6">
        <v>44531</v>
      </c>
      <c r="J881" s="4">
        <v>0</v>
      </c>
      <c r="K881" s="4">
        <v>0</v>
      </c>
      <c r="L881" s="4">
        <v>56.213999999999999</v>
      </c>
      <c r="M881" s="4">
        <v>18.550619999999999</v>
      </c>
      <c r="N881" s="4">
        <v>56.213999999999999</v>
      </c>
      <c r="O881" s="4">
        <v>18.550619999999999</v>
      </c>
      <c r="P881" s="4">
        <v>0</v>
      </c>
      <c r="Q881" s="3" t="s">
        <v>26</v>
      </c>
      <c r="R881" s="3">
        <v>0</v>
      </c>
      <c r="S881" s="4">
        <v>0</v>
      </c>
      <c r="T881" s="4">
        <v>25</v>
      </c>
      <c r="U881" s="4">
        <v>77</v>
      </c>
      <c r="V881" s="4">
        <f>IF(ISERROR(VLOOKUP($S$881,'TAR FIN'!$A$1:$O$92,15,0)),0,VLOOKUP($S$881,'TAR FIN'!$A$1:$O$92,15,0))</f>
        <v>0</v>
      </c>
      <c r="W881" s="4">
        <f>IF(ISERROR(VLOOKUP($T$881,'TAR FIN'!$A$1:$O$92,15,0)),0,VLOOKUP($T$881,'TAR FIN'!$A$1:$O$92,15,0))</f>
        <v>261.48</v>
      </c>
      <c r="X881" s="4">
        <f>IF(ISERROR(VLOOKUP($U$881,'TAR FIN'!$A$1:$O$92,15,0)),0,VLOOKUP($U$881,'TAR FIN'!$A$1:$O$92,15,0))</f>
        <v>236.63</v>
      </c>
      <c r="Y881" s="4"/>
      <c r="Z881" s="4">
        <f ca="1">('TUSD BE'!$AM$33+'TUSD BF'!$AM$33+'TUSD CVA'!$AM$33)*(1-CUSTOS!$M$38)</f>
        <v>375.01673922321953</v>
      </c>
      <c r="AA881" s="4">
        <f>('TE BE'!$AB$24+'TE BF'!$AB$24+'TE CVA'!$AB$24)*(1-CUSTOS!$M$38)</f>
        <v>316.00497871224974</v>
      </c>
      <c r="AB881" s="4">
        <f>$K$881*$V$881</f>
        <v>0</v>
      </c>
      <c r="AC881" s="4">
        <f>$M$881*$W$881</f>
        <v>4850.6161175999996</v>
      </c>
      <c r="AD881" s="4">
        <f>$O$881*$X$881</f>
        <v>4389.6332106</v>
      </c>
      <c r="AE881" s="4">
        <f>$K$881*$Y$881</f>
        <v>0</v>
      </c>
      <c r="AF881" s="4">
        <f ca="1">$M$881*$Z$881</f>
        <v>6956.7930229690401</v>
      </c>
      <c r="AG881" s="4">
        <f>$O$881*$AA$881</f>
        <v>5862.088278199034</v>
      </c>
    </row>
    <row r="882" spans="1:33" ht="11.25" customHeight="1" x14ac:dyDescent="0.25">
      <c r="A882" s="3" t="s">
        <v>21</v>
      </c>
      <c r="B882" s="3" t="s">
        <v>43</v>
      </c>
      <c r="C882" s="3" t="s">
        <v>23</v>
      </c>
      <c r="D882" s="3" t="s">
        <v>44</v>
      </c>
      <c r="E882" s="3" t="s">
        <v>52</v>
      </c>
      <c r="F882" s="3" t="s">
        <v>54</v>
      </c>
      <c r="G882" s="3" t="s">
        <v>25</v>
      </c>
      <c r="H882" s="3" t="s">
        <v>25</v>
      </c>
      <c r="I882" s="6">
        <v>44562</v>
      </c>
      <c r="J882" s="4">
        <v>0</v>
      </c>
      <c r="K882" s="4">
        <v>0</v>
      </c>
      <c r="L882" s="4">
        <v>114.125</v>
      </c>
      <c r="M882" s="4">
        <v>37.661250000000003</v>
      </c>
      <c r="N882" s="4">
        <v>114.125</v>
      </c>
      <c r="O882" s="4">
        <v>37.661250000000003</v>
      </c>
      <c r="P882" s="4">
        <v>0</v>
      </c>
      <c r="Q882" s="3" t="s">
        <v>26</v>
      </c>
      <c r="R882" s="3">
        <v>0</v>
      </c>
      <c r="S882" s="4">
        <v>0</v>
      </c>
      <c r="T882" s="4">
        <v>25</v>
      </c>
      <c r="U882" s="4">
        <v>77</v>
      </c>
      <c r="V882" s="4">
        <f>IF(ISERROR(VLOOKUP($S$882,'TAR FIN'!$A$1:$O$92,15,0)),0,VLOOKUP($S$882,'TAR FIN'!$A$1:$O$92,15,0))</f>
        <v>0</v>
      </c>
      <c r="W882" s="4">
        <f>IF(ISERROR(VLOOKUP($T$882,'TAR FIN'!$A$1:$O$92,15,0)),0,VLOOKUP($T$882,'TAR FIN'!$A$1:$O$92,15,0))</f>
        <v>261.48</v>
      </c>
      <c r="X882" s="4">
        <f>IF(ISERROR(VLOOKUP($U$882,'TAR FIN'!$A$1:$O$92,15,0)),0,VLOOKUP($U$882,'TAR FIN'!$A$1:$O$92,15,0))</f>
        <v>236.63</v>
      </c>
      <c r="Y882" s="4"/>
      <c r="Z882" s="4">
        <f ca="1">('TUSD BE'!$AM$33+'TUSD BF'!$AM$33+'TUSD CVA'!$AM$33)*(1-CUSTOS!$M$38)</f>
        <v>375.01673922321953</v>
      </c>
      <c r="AA882" s="4">
        <f>('TE BE'!$AB$24+'TE BF'!$AB$24+'TE CVA'!$AB$24)*(1-CUSTOS!$M$38)</f>
        <v>316.00497871224974</v>
      </c>
      <c r="AB882" s="4">
        <f>$K$882*$V$882</f>
        <v>0</v>
      </c>
      <c r="AC882" s="4">
        <f>$M$882*$W$882</f>
        <v>9847.6636500000022</v>
      </c>
      <c r="AD882" s="4">
        <f>$O$882*$X$882</f>
        <v>8911.7815874999997</v>
      </c>
      <c r="AE882" s="4">
        <f>$K$882*$Y$882</f>
        <v>0</v>
      </c>
      <c r="AF882" s="4">
        <f ca="1">$M$882*$Z$882</f>
        <v>14123.599170070478</v>
      </c>
      <c r="AG882" s="4">
        <f>$O$882*$AA$882</f>
        <v>11901.142504526717</v>
      </c>
    </row>
    <row r="883" spans="1:33" ht="11.25" customHeight="1" x14ac:dyDescent="0.25">
      <c r="A883" s="3" t="s">
        <v>21</v>
      </c>
      <c r="B883" s="3" t="s">
        <v>43</v>
      </c>
      <c r="C883" s="3" t="s">
        <v>23</v>
      </c>
      <c r="D883" s="3" t="s">
        <v>44</v>
      </c>
      <c r="E883" s="3" t="s">
        <v>52</v>
      </c>
      <c r="F883" s="3" t="s">
        <v>54</v>
      </c>
      <c r="G883" s="3" t="s">
        <v>25</v>
      </c>
      <c r="H883" s="3" t="s">
        <v>25</v>
      </c>
      <c r="I883" s="6">
        <v>44593</v>
      </c>
      <c r="J883" s="4">
        <v>0</v>
      </c>
      <c r="K883" s="4">
        <v>0</v>
      </c>
      <c r="L883" s="4">
        <v>101.014</v>
      </c>
      <c r="M883" s="4">
        <v>33.334620000000001</v>
      </c>
      <c r="N883" s="4">
        <v>101.014</v>
      </c>
      <c r="O883" s="4">
        <v>33.334620000000001</v>
      </c>
      <c r="P883" s="4">
        <v>0</v>
      </c>
      <c r="Q883" s="3" t="s">
        <v>26</v>
      </c>
      <c r="R883" s="3">
        <v>0</v>
      </c>
      <c r="S883" s="4">
        <v>0</v>
      </c>
      <c r="T883" s="4">
        <v>25</v>
      </c>
      <c r="U883" s="4">
        <v>77</v>
      </c>
      <c r="V883" s="4">
        <f>IF(ISERROR(VLOOKUP($S$883,'TAR FIN'!$A$1:$O$92,15,0)),0,VLOOKUP($S$883,'TAR FIN'!$A$1:$O$92,15,0))</f>
        <v>0</v>
      </c>
      <c r="W883" s="4">
        <f>IF(ISERROR(VLOOKUP($T$883,'TAR FIN'!$A$1:$O$92,15,0)),0,VLOOKUP($T$883,'TAR FIN'!$A$1:$O$92,15,0))</f>
        <v>261.48</v>
      </c>
      <c r="X883" s="4">
        <f>IF(ISERROR(VLOOKUP($U$883,'TAR FIN'!$A$1:$O$92,15,0)),0,VLOOKUP($U$883,'TAR FIN'!$A$1:$O$92,15,0))</f>
        <v>236.63</v>
      </c>
      <c r="Y883" s="4"/>
      <c r="Z883" s="4">
        <f ca="1">('TUSD BE'!$AM$33+'TUSD BF'!$AM$33+'TUSD CVA'!$AM$33)*(1-CUSTOS!$M$38)</f>
        <v>375.01673922321953</v>
      </c>
      <c r="AA883" s="4">
        <f>('TE BE'!$AB$24+'TE BF'!$AB$24+'TE CVA'!$AB$24)*(1-CUSTOS!$M$38)</f>
        <v>316.00497871224974</v>
      </c>
      <c r="AB883" s="4">
        <f>$K$883*$V$883</f>
        <v>0</v>
      </c>
      <c r="AC883" s="4">
        <f>$M$883*$W$883</f>
        <v>8716.3364376000009</v>
      </c>
      <c r="AD883" s="4">
        <f>$O$883*$X$883</f>
        <v>7887.9711305999999</v>
      </c>
      <c r="AE883" s="4">
        <f>$K$883*$Y$883</f>
        <v>0</v>
      </c>
      <c r="AF883" s="4">
        <f ca="1">$M$883*$Z$883</f>
        <v>12501.040495645118</v>
      </c>
      <c r="AG883" s="4">
        <f>$O$883*$AA$883</f>
        <v>10533.905883480935</v>
      </c>
    </row>
    <row r="884" spans="1:33" ht="11.25" customHeight="1" x14ac:dyDescent="0.25">
      <c r="A884" s="3" t="s">
        <v>21</v>
      </c>
      <c r="B884" s="3" t="s">
        <v>43</v>
      </c>
      <c r="C884" s="3" t="s">
        <v>23</v>
      </c>
      <c r="D884" s="3" t="s">
        <v>44</v>
      </c>
      <c r="E884" s="3" t="s">
        <v>52</v>
      </c>
      <c r="F884" s="3" t="s">
        <v>54</v>
      </c>
      <c r="G884" s="3" t="s">
        <v>25</v>
      </c>
      <c r="H884" s="3" t="s">
        <v>25</v>
      </c>
      <c r="I884" s="6">
        <v>44621</v>
      </c>
      <c r="J884" s="4">
        <v>0</v>
      </c>
      <c r="K884" s="4">
        <v>0</v>
      </c>
      <c r="L884" s="4">
        <v>40.966000000000001</v>
      </c>
      <c r="M884" s="4">
        <v>13.51878</v>
      </c>
      <c r="N884" s="4">
        <v>40.966000000000001</v>
      </c>
      <c r="O884" s="4">
        <v>13.51878</v>
      </c>
      <c r="P884" s="4">
        <v>0</v>
      </c>
      <c r="Q884" s="3" t="s">
        <v>26</v>
      </c>
      <c r="R884" s="3">
        <v>0</v>
      </c>
      <c r="S884" s="4">
        <v>0</v>
      </c>
      <c r="T884" s="4">
        <v>25</v>
      </c>
      <c r="U884" s="4">
        <v>77</v>
      </c>
      <c r="V884" s="4">
        <f>IF(ISERROR(VLOOKUP($S$884,'TAR FIN'!$A$1:$O$92,15,0)),0,VLOOKUP($S$884,'TAR FIN'!$A$1:$O$92,15,0))</f>
        <v>0</v>
      </c>
      <c r="W884" s="4">
        <f>IF(ISERROR(VLOOKUP($T$884,'TAR FIN'!$A$1:$O$92,15,0)),0,VLOOKUP($T$884,'TAR FIN'!$A$1:$O$92,15,0))</f>
        <v>261.48</v>
      </c>
      <c r="X884" s="4">
        <f>IF(ISERROR(VLOOKUP($U$884,'TAR FIN'!$A$1:$O$92,15,0)),0,VLOOKUP($U$884,'TAR FIN'!$A$1:$O$92,15,0))</f>
        <v>236.63</v>
      </c>
      <c r="Y884" s="4"/>
      <c r="Z884" s="4">
        <f ca="1">('TUSD BE'!$AM$33+'TUSD BF'!$AM$33+'TUSD CVA'!$AM$33)*(1-CUSTOS!$M$38)</f>
        <v>375.01673922321953</v>
      </c>
      <c r="AA884" s="4">
        <f>('TE BE'!$AB$24+'TE BF'!$AB$24+'TE CVA'!$AB$24)*(1-CUSTOS!$M$38)</f>
        <v>316.00497871224974</v>
      </c>
      <c r="AB884" s="4">
        <f>$K$884*$V$884</f>
        <v>0</v>
      </c>
      <c r="AC884" s="4">
        <f>$M$884*$W$884</f>
        <v>3534.8905944000003</v>
      </c>
      <c r="AD884" s="4">
        <f>$O$884*$X$884</f>
        <v>3198.9489113999998</v>
      </c>
      <c r="AE884" s="4">
        <f>$K$884*$Y$884</f>
        <v>0</v>
      </c>
      <c r="AF884" s="4">
        <f ca="1">$M$884*$Z$884</f>
        <v>5069.7687938760755</v>
      </c>
      <c r="AG884" s="4">
        <f>$O$884*$AA$884</f>
        <v>4272.0017861155875</v>
      </c>
    </row>
    <row r="885" spans="1:33" ht="11.25" customHeight="1" x14ac:dyDescent="0.25">
      <c r="A885" s="3" t="s">
        <v>27</v>
      </c>
      <c r="B885" s="3" t="s">
        <v>43</v>
      </c>
      <c r="C885" s="3" t="s">
        <v>23</v>
      </c>
      <c r="D885" s="3" t="s">
        <v>44</v>
      </c>
      <c r="E885" s="3" t="s">
        <v>52</v>
      </c>
      <c r="F885" s="3" t="s">
        <v>54</v>
      </c>
      <c r="G885" s="3" t="s">
        <v>25</v>
      </c>
      <c r="H885" s="3" t="s">
        <v>25</v>
      </c>
      <c r="I885" s="6">
        <v>44621</v>
      </c>
      <c r="J885" s="4">
        <v>0</v>
      </c>
      <c r="K885" s="4">
        <v>0</v>
      </c>
      <c r="L885" s="4">
        <v>7.3369999999999997</v>
      </c>
      <c r="M885" s="4">
        <v>2.4212099999999999</v>
      </c>
      <c r="N885" s="4">
        <v>7.3369999999999997</v>
      </c>
      <c r="O885" s="4">
        <v>2.4212099999999999</v>
      </c>
      <c r="P885" s="4">
        <v>0</v>
      </c>
      <c r="Q885" s="3" t="s">
        <v>26</v>
      </c>
      <c r="R885" s="3">
        <v>0</v>
      </c>
      <c r="S885" s="4">
        <v>0</v>
      </c>
      <c r="T885" s="4">
        <v>25</v>
      </c>
      <c r="U885" s="4">
        <v>77</v>
      </c>
      <c r="V885" s="4">
        <f>IF(ISERROR(VLOOKUP($S$885,'TAR FIN'!$A$1:$O$92,15,0)),0,VLOOKUP($S$885,'TAR FIN'!$A$1:$O$92,15,0))</f>
        <v>0</v>
      </c>
      <c r="W885" s="4">
        <f>IF(ISERROR(VLOOKUP($T$885,'TAR FIN'!$A$1:$O$92,15,0)),0,VLOOKUP($T$885,'TAR FIN'!$A$1:$O$92,15,0))</f>
        <v>261.48</v>
      </c>
      <c r="X885" s="4">
        <f>IF(ISERROR(VLOOKUP($U$885,'TAR FIN'!$A$1:$O$92,15,0)),0,VLOOKUP($U$885,'TAR FIN'!$A$1:$O$92,15,0))</f>
        <v>236.63</v>
      </c>
      <c r="Y885" s="4"/>
      <c r="Z885" s="4">
        <f ca="1">('TUSD BE'!$AM$33+'TUSD BF'!$AM$33+'TUSD CVA'!$AM$33)*(1-CUSTOS!$M$38)</f>
        <v>375.01673922321953</v>
      </c>
      <c r="AA885" s="4">
        <f>('TE BE'!$AB$24+'TE BF'!$AB$24+'TE CVA'!$AB$24)*(1-CUSTOS!$M$38)</f>
        <v>316.00497871224974</v>
      </c>
      <c r="AB885" s="4">
        <f>$K$885*$V$885</f>
        <v>0</v>
      </c>
      <c r="AC885" s="4">
        <f>$M$885*$W$885</f>
        <v>633.09799080000005</v>
      </c>
      <c r="AD885" s="4">
        <f>$O$885*$X$885</f>
        <v>572.93092229999991</v>
      </c>
      <c r="AE885" s="4">
        <f>$K$885*$Y$885</f>
        <v>0</v>
      </c>
      <c r="AF885" s="4">
        <f ca="1">$M$885*$Z$885</f>
        <v>907.9942791746513</v>
      </c>
      <c r="AG885" s="4">
        <f>$O$885*$AA$885</f>
        <v>765.11441450788618</v>
      </c>
    </row>
    <row r="886" spans="1:33" ht="11.25" customHeight="1" x14ac:dyDescent="0.25">
      <c r="A886" s="3" t="s">
        <v>21</v>
      </c>
      <c r="B886" s="3" t="s">
        <v>43</v>
      </c>
      <c r="C886" s="3" t="s">
        <v>23</v>
      </c>
      <c r="D886" s="3" t="s">
        <v>44</v>
      </c>
      <c r="E886" s="3" t="s">
        <v>52</v>
      </c>
      <c r="F886" s="3" t="s">
        <v>54</v>
      </c>
      <c r="G886" s="3" t="s">
        <v>25</v>
      </c>
      <c r="H886" s="3" t="s">
        <v>25</v>
      </c>
      <c r="I886" s="6">
        <v>44652</v>
      </c>
      <c r="J886" s="4">
        <v>0</v>
      </c>
      <c r="K886" s="4">
        <v>0</v>
      </c>
      <c r="L886" s="4">
        <v>40.966000000000001</v>
      </c>
      <c r="M886" s="4">
        <v>13.51878</v>
      </c>
      <c r="N886" s="4">
        <v>40.966000000000001</v>
      </c>
      <c r="O886" s="4">
        <v>13.51878</v>
      </c>
      <c r="P886" s="4">
        <v>0</v>
      </c>
      <c r="Q886" s="3" t="s">
        <v>26</v>
      </c>
      <c r="R886" s="3">
        <v>0</v>
      </c>
      <c r="S886" s="4">
        <v>0</v>
      </c>
      <c r="T886" s="4">
        <v>25</v>
      </c>
      <c r="U886" s="4">
        <v>77</v>
      </c>
      <c r="V886" s="4">
        <f>IF(ISERROR(VLOOKUP($S$886,'TAR FIN'!$A$1:$O$92,15,0)),0,VLOOKUP($S$886,'TAR FIN'!$A$1:$O$92,15,0))</f>
        <v>0</v>
      </c>
      <c r="W886" s="4">
        <f>IF(ISERROR(VLOOKUP($T$886,'TAR FIN'!$A$1:$O$92,15,0)),0,VLOOKUP($T$886,'TAR FIN'!$A$1:$O$92,15,0))</f>
        <v>261.48</v>
      </c>
      <c r="X886" s="4">
        <f>IF(ISERROR(VLOOKUP($U$886,'TAR FIN'!$A$1:$O$92,15,0)),0,VLOOKUP($U$886,'TAR FIN'!$A$1:$O$92,15,0))</f>
        <v>236.63</v>
      </c>
      <c r="Y886" s="4"/>
      <c r="Z886" s="4">
        <f ca="1">('TUSD BE'!$AM$33+'TUSD BF'!$AM$33+'TUSD CVA'!$AM$33)*(1-CUSTOS!$M$38)</f>
        <v>375.01673922321953</v>
      </c>
      <c r="AA886" s="4">
        <f>('TE BE'!$AB$24+'TE BF'!$AB$24+'TE CVA'!$AB$24)*(1-CUSTOS!$M$38)</f>
        <v>316.00497871224974</v>
      </c>
      <c r="AB886" s="4">
        <f>$K$886*$V$886</f>
        <v>0</v>
      </c>
      <c r="AC886" s="4">
        <f>$M$886*$W$886</f>
        <v>3534.8905944000003</v>
      </c>
      <c r="AD886" s="4">
        <f>$O$886*$X$886</f>
        <v>3198.9489113999998</v>
      </c>
      <c r="AE886" s="4">
        <f>$K$886*$Y$886</f>
        <v>0</v>
      </c>
      <c r="AF886" s="4">
        <f ca="1">$M$886*$Z$886</f>
        <v>5069.7687938760755</v>
      </c>
      <c r="AG886" s="4">
        <f>$O$886*$AA$886</f>
        <v>4272.0017861155875</v>
      </c>
    </row>
    <row r="887" spans="1:33" ht="11.25" customHeight="1" x14ac:dyDescent="0.25">
      <c r="A887" s="3" t="s">
        <v>27</v>
      </c>
      <c r="B887" s="3" t="s">
        <v>43</v>
      </c>
      <c r="C887" s="3" t="s">
        <v>23</v>
      </c>
      <c r="D887" s="3" t="s">
        <v>44</v>
      </c>
      <c r="E887" s="3" t="s">
        <v>52</v>
      </c>
      <c r="F887" s="3" t="s">
        <v>54</v>
      </c>
      <c r="G887" s="3" t="s">
        <v>25</v>
      </c>
      <c r="H887" s="3" t="s">
        <v>25</v>
      </c>
      <c r="I887" s="6">
        <v>44652</v>
      </c>
      <c r="J887" s="4">
        <v>0</v>
      </c>
      <c r="K887" s="4">
        <v>0</v>
      </c>
      <c r="L887" s="4">
        <v>7.3369999999999997</v>
      </c>
      <c r="M887" s="4">
        <v>2.4212099999999999</v>
      </c>
      <c r="N887" s="4">
        <v>7.3369999999999997</v>
      </c>
      <c r="O887" s="4">
        <v>2.4212099999999999</v>
      </c>
      <c r="P887" s="4">
        <v>0</v>
      </c>
      <c r="Q887" s="3" t="s">
        <v>26</v>
      </c>
      <c r="R887" s="3">
        <v>0</v>
      </c>
      <c r="S887" s="4">
        <v>0</v>
      </c>
      <c r="T887" s="4">
        <v>25</v>
      </c>
      <c r="U887" s="4">
        <v>77</v>
      </c>
      <c r="V887" s="4">
        <f>IF(ISERROR(VLOOKUP($S$887,'TAR FIN'!$A$1:$O$92,15,0)),0,VLOOKUP($S$887,'TAR FIN'!$A$1:$O$92,15,0))</f>
        <v>0</v>
      </c>
      <c r="W887" s="4">
        <f>IF(ISERROR(VLOOKUP($T$887,'TAR FIN'!$A$1:$O$92,15,0)),0,VLOOKUP($T$887,'TAR FIN'!$A$1:$O$92,15,0))</f>
        <v>261.48</v>
      </c>
      <c r="X887" s="4">
        <f>IF(ISERROR(VLOOKUP($U$887,'TAR FIN'!$A$1:$O$92,15,0)),0,VLOOKUP($U$887,'TAR FIN'!$A$1:$O$92,15,0))</f>
        <v>236.63</v>
      </c>
      <c r="Y887" s="4"/>
      <c r="Z887" s="4">
        <f ca="1">('TUSD BE'!$AM$33+'TUSD BF'!$AM$33+'TUSD CVA'!$AM$33)*(1-CUSTOS!$M$38)</f>
        <v>375.01673922321953</v>
      </c>
      <c r="AA887" s="4">
        <f>('TE BE'!$AB$24+'TE BF'!$AB$24+'TE CVA'!$AB$24)*(1-CUSTOS!$M$38)</f>
        <v>316.00497871224974</v>
      </c>
      <c r="AB887" s="4">
        <f>$K$887*$V$887</f>
        <v>0</v>
      </c>
      <c r="AC887" s="4">
        <f>$M$887*$W$887</f>
        <v>633.09799080000005</v>
      </c>
      <c r="AD887" s="4">
        <f>$O$887*$X$887</f>
        <v>572.93092229999991</v>
      </c>
      <c r="AE887" s="4">
        <f>$K$887*$Y$887</f>
        <v>0</v>
      </c>
      <c r="AF887" s="4">
        <f ca="1">$M$887*$Z$887</f>
        <v>907.9942791746513</v>
      </c>
      <c r="AG887" s="4">
        <f>$O$887*$AA$887</f>
        <v>765.11441450788618</v>
      </c>
    </row>
    <row r="888" spans="1:33" ht="11.25" customHeight="1" x14ac:dyDescent="0.25">
      <c r="A888" s="3" t="s">
        <v>21</v>
      </c>
      <c r="B888" s="3" t="s">
        <v>43</v>
      </c>
      <c r="C888" s="3" t="s">
        <v>23</v>
      </c>
      <c r="D888" s="3" t="s">
        <v>44</v>
      </c>
      <c r="E888" s="3" t="s">
        <v>52</v>
      </c>
      <c r="F888" s="3" t="s">
        <v>54</v>
      </c>
      <c r="G888" s="3" t="s">
        <v>25</v>
      </c>
      <c r="H888" s="3" t="s">
        <v>25</v>
      </c>
      <c r="I888" s="6">
        <v>44682</v>
      </c>
      <c r="J888" s="4">
        <v>0</v>
      </c>
      <c r="K888" s="4">
        <v>0</v>
      </c>
      <c r="L888" s="4">
        <v>28.706</v>
      </c>
      <c r="M888" s="4">
        <v>9.4729799999999997</v>
      </c>
      <c r="N888" s="4">
        <v>28.706</v>
      </c>
      <c r="O888" s="4">
        <v>9.4729799999999997</v>
      </c>
      <c r="P888" s="4">
        <v>0</v>
      </c>
      <c r="Q888" s="3" t="s">
        <v>26</v>
      </c>
      <c r="R888" s="3">
        <v>0</v>
      </c>
      <c r="S888" s="4">
        <v>0</v>
      </c>
      <c r="T888" s="4">
        <v>25</v>
      </c>
      <c r="U888" s="4">
        <v>77</v>
      </c>
      <c r="V888" s="4">
        <f>IF(ISERROR(VLOOKUP($S$888,'TAR FIN'!$A$1:$O$92,15,0)),0,VLOOKUP($S$888,'TAR FIN'!$A$1:$O$92,15,0))</f>
        <v>0</v>
      </c>
      <c r="W888" s="4">
        <f>IF(ISERROR(VLOOKUP($T$888,'TAR FIN'!$A$1:$O$92,15,0)),0,VLOOKUP($T$888,'TAR FIN'!$A$1:$O$92,15,0))</f>
        <v>261.48</v>
      </c>
      <c r="X888" s="4">
        <f>IF(ISERROR(VLOOKUP($U$888,'TAR FIN'!$A$1:$O$92,15,0)),0,VLOOKUP($U$888,'TAR FIN'!$A$1:$O$92,15,0))</f>
        <v>236.63</v>
      </c>
      <c r="Y888" s="4"/>
      <c r="Z888" s="4">
        <f ca="1">('TUSD BE'!$AM$33+'TUSD BF'!$AM$33+'TUSD CVA'!$AM$33)*(1-CUSTOS!$M$38)</f>
        <v>375.01673922321953</v>
      </c>
      <c r="AA888" s="4">
        <f>('TE BE'!$AB$24+'TE BF'!$AB$24+'TE CVA'!$AB$24)*(1-CUSTOS!$M$38)</f>
        <v>316.00497871224974</v>
      </c>
      <c r="AB888" s="4">
        <f>$K$888*$V$888</f>
        <v>0</v>
      </c>
      <c r="AC888" s="4">
        <f>$M$888*$W$888</f>
        <v>2476.9948104</v>
      </c>
      <c r="AD888" s="4">
        <f>$O$888*$X$888</f>
        <v>2241.5912573999999</v>
      </c>
      <c r="AE888" s="4">
        <f>$K$888*$Y$888</f>
        <v>0</v>
      </c>
      <c r="AF888" s="4">
        <f ca="1">$M$888*$Z$888</f>
        <v>3552.5260703267741</v>
      </c>
      <c r="AG888" s="4">
        <f>$O$888*$AA$888</f>
        <v>2993.5088432415673</v>
      </c>
    </row>
    <row r="889" spans="1:33" ht="11.25" customHeight="1" x14ac:dyDescent="0.25">
      <c r="A889" s="3" t="s">
        <v>27</v>
      </c>
      <c r="B889" s="3" t="s">
        <v>43</v>
      </c>
      <c r="C889" s="3" t="s">
        <v>23</v>
      </c>
      <c r="D889" s="3" t="s">
        <v>44</v>
      </c>
      <c r="E889" s="3" t="s">
        <v>52</v>
      </c>
      <c r="F889" s="3" t="s">
        <v>54</v>
      </c>
      <c r="G889" s="3" t="s">
        <v>25</v>
      </c>
      <c r="H889" s="3" t="s">
        <v>25</v>
      </c>
      <c r="I889" s="6">
        <v>44682</v>
      </c>
      <c r="J889" s="4">
        <v>0</v>
      </c>
      <c r="K889" s="4">
        <v>0</v>
      </c>
      <c r="L889" s="4">
        <v>18.808</v>
      </c>
      <c r="M889" s="4">
        <v>6.2066400000000002</v>
      </c>
      <c r="N889" s="4">
        <v>18.808</v>
      </c>
      <c r="O889" s="4">
        <v>6.2066400000000002</v>
      </c>
      <c r="P889" s="4">
        <v>0</v>
      </c>
      <c r="Q889" s="3" t="s">
        <v>26</v>
      </c>
      <c r="R889" s="3">
        <v>0</v>
      </c>
      <c r="S889" s="4">
        <v>0</v>
      </c>
      <c r="T889" s="4">
        <v>25</v>
      </c>
      <c r="U889" s="4">
        <v>77</v>
      </c>
      <c r="V889" s="4">
        <f>IF(ISERROR(VLOOKUP($S$889,'TAR FIN'!$A$1:$O$92,15,0)),0,VLOOKUP($S$889,'TAR FIN'!$A$1:$O$92,15,0))</f>
        <v>0</v>
      </c>
      <c r="W889" s="4">
        <f>IF(ISERROR(VLOOKUP($T$889,'TAR FIN'!$A$1:$O$92,15,0)),0,VLOOKUP($T$889,'TAR FIN'!$A$1:$O$92,15,0))</f>
        <v>261.48</v>
      </c>
      <c r="X889" s="4">
        <f>IF(ISERROR(VLOOKUP($U$889,'TAR FIN'!$A$1:$O$92,15,0)),0,VLOOKUP($U$889,'TAR FIN'!$A$1:$O$92,15,0))</f>
        <v>236.63</v>
      </c>
      <c r="Y889" s="4"/>
      <c r="Z889" s="4">
        <f ca="1">('TUSD BE'!$AM$33+'TUSD BF'!$AM$33+'TUSD CVA'!$AM$33)*(1-CUSTOS!$M$38)</f>
        <v>375.01673922321953</v>
      </c>
      <c r="AA889" s="4">
        <f>('TE BE'!$AB$24+'TE BF'!$AB$24+'TE CVA'!$AB$24)*(1-CUSTOS!$M$38)</f>
        <v>316.00497871224974</v>
      </c>
      <c r="AB889" s="4">
        <f>$K$889*$V$889</f>
        <v>0</v>
      </c>
      <c r="AC889" s="4">
        <f>$M$889*$W$889</f>
        <v>1622.9122272000002</v>
      </c>
      <c r="AD889" s="4">
        <f>$O$889*$X$889</f>
        <v>1468.6772232000001</v>
      </c>
      <c r="AE889" s="4">
        <f>$K$889*$Y$889</f>
        <v>0</v>
      </c>
      <c r="AF889" s="4">
        <f ca="1">$M$889*$Z$889</f>
        <v>2327.5938943324031</v>
      </c>
      <c r="AG889" s="4">
        <f>$O$889*$AA$889</f>
        <v>1961.3291410745978</v>
      </c>
    </row>
    <row r="890" spans="1:33" ht="11.25" customHeight="1" x14ac:dyDescent="0.25">
      <c r="A890" s="3" t="s">
        <v>21</v>
      </c>
      <c r="B890" s="3" t="s">
        <v>43</v>
      </c>
      <c r="C890" s="3" t="s">
        <v>23</v>
      </c>
      <c r="D890" s="3" t="s">
        <v>44</v>
      </c>
      <c r="E890" s="3" t="s">
        <v>52</v>
      </c>
      <c r="F890" s="3" t="s">
        <v>54</v>
      </c>
      <c r="G890" s="3" t="s">
        <v>25</v>
      </c>
      <c r="H890" s="3" t="s">
        <v>25</v>
      </c>
      <c r="I890" s="6">
        <v>44713</v>
      </c>
      <c r="J890" s="4">
        <v>0</v>
      </c>
      <c r="K890" s="4">
        <v>0</v>
      </c>
      <c r="L890" s="4">
        <v>12.865</v>
      </c>
      <c r="M890" s="4">
        <v>4.2454499999999999</v>
      </c>
      <c r="N890" s="4">
        <v>12.865</v>
      </c>
      <c r="O890" s="4">
        <v>4.2454499999999999</v>
      </c>
      <c r="P890" s="4">
        <v>0</v>
      </c>
      <c r="Q890" s="3" t="s">
        <v>26</v>
      </c>
      <c r="R890" s="3">
        <v>0</v>
      </c>
      <c r="S890" s="4">
        <v>0</v>
      </c>
      <c r="T890" s="4">
        <v>25</v>
      </c>
      <c r="U890" s="4">
        <v>77</v>
      </c>
      <c r="V890" s="4">
        <f>IF(ISERROR(VLOOKUP($S$890,'TAR FIN'!$A$1:$O$92,15,0)),0,VLOOKUP($S$890,'TAR FIN'!$A$1:$O$92,15,0))</f>
        <v>0</v>
      </c>
      <c r="W890" s="4">
        <f>IF(ISERROR(VLOOKUP($T$890,'TAR FIN'!$A$1:$O$92,15,0)),0,VLOOKUP($T$890,'TAR FIN'!$A$1:$O$92,15,0))</f>
        <v>261.48</v>
      </c>
      <c r="X890" s="4">
        <f>IF(ISERROR(VLOOKUP($U$890,'TAR FIN'!$A$1:$O$92,15,0)),0,VLOOKUP($U$890,'TAR FIN'!$A$1:$O$92,15,0))</f>
        <v>236.63</v>
      </c>
      <c r="Y890" s="4"/>
      <c r="Z890" s="4">
        <f ca="1">('TUSD BE'!$AM$33+'TUSD BF'!$AM$33+'TUSD CVA'!$AM$33)*(1-CUSTOS!$M$38)</f>
        <v>375.01673922321953</v>
      </c>
      <c r="AA890" s="4">
        <f>('TE BE'!$AB$24+'TE BF'!$AB$24+'TE CVA'!$AB$24)*(1-CUSTOS!$M$38)</f>
        <v>316.00497871224974</v>
      </c>
      <c r="AB890" s="4">
        <f>$K$890*$V$890</f>
        <v>0</v>
      </c>
      <c r="AC890" s="4">
        <f>$M$890*$W$890</f>
        <v>1110.1002660000001</v>
      </c>
      <c r="AD890" s="4">
        <f>$O$890*$X$890</f>
        <v>1004.6008335</v>
      </c>
      <c r="AE890" s="4">
        <f>$K$890*$Y$890</f>
        <v>0</v>
      </c>
      <c r="AF890" s="4">
        <f ca="1">$M$890*$Z$890</f>
        <v>1592.1148155352173</v>
      </c>
      <c r="AG890" s="4">
        <f>$O$890*$AA$890</f>
        <v>1341.5833368739206</v>
      </c>
    </row>
    <row r="891" spans="1:33" ht="11.25" customHeight="1" x14ac:dyDescent="0.25">
      <c r="A891" s="3" t="s">
        <v>27</v>
      </c>
      <c r="B891" s="3" t="s">
        <v>43</v>
      </c>
      <c r="C891" s="3" t="s">
        <v>23</v>
      </c>
      <c r="D891" s="3" t="s">
        <v>44</v>
      </c>
      <c r="E891" s="3" t="s">
        <v>52</v>
      </c>
      <c r="F891" s="3" t="s">
        <v>54</v>
      </c>
      <c r="G891" s="3" t="s">
        <v>25</v>
      </c>
      <c r="H891" s="3" t="s">
        <v>25</v>
      </c>
      <c r="I891" s="6">
        <v>44713</v>
      </c>
      <c r="J891" s="4">
        <v>0</v>
      </c>
      <c r="K891" s="4">
        <v>0</v>
      </c>
      <c r="L891" s="4">
        <v>-12.435</v>
      </c>
      <c r="M891" s="4">
        <v>-4.1035500000000003</v>
      </c>
      <c r="N891" s="4">
        <v>-12.435</v>
      </c>
      <c r="O891" s="4">
        <v>-4.1035500000000003</v>
      </c>
      <c r="P891" s="4">
        <v>0</v>
      </c>
      <c r="Q891" s="3" t="s">
        <v>26</v>
      </c>
      <c r="R891" s="3">
        <v>0</v>
      </c>
      <c r="S891" s="4">
        <v>0</v>
      </c>
      <c r="T891" s="4">
        <v>25</v>
      </c>
      <c r="U891" s="4">
        <v>77</v>
      </c>
      <c r="V891" s="4">
        <f>IF(ISERROR(VLOOKUP($S$891,'TAR FIN'!$A$1:$O$92,15,0)),0,VLOOKUP($S$891,'TAR FIN'!$A$1:$O$92,15,0))</f>
        <v>0</v>
      </c>
      <c r="W891" s="4">
        <f>IF(ISERROR(VLOOKUP($T$891,'TAR FIN'!$A$1:$O$92,15,0)),0,VLOOKUP($T$891,'TAR FIN'!$A$1:$O$92,15,0))</f>
        <v>261.48</v>
      </c>
      <c r="X891" s="4">
        <f>IF(ISERROR(VLOOKUP($U$891,'TAR FIN'!$A$1:$O$92,15,0)),0,VLOOKUP($U$891,'TAR FIN'!$A$1:$O$92,15,0))</f>
        <v>236.63</v>
      </c>
      <c r="Y891" s="4"/>
      <c r="Z891" s="4">
        <f ca="1">('TUSD BE'!$AM$33+'TUSD BF'!$AM$33+'TUSD CVA'!$AM$33)*(1-CUSTOS!$M$38)</f>
        <v>375.01673922321953</v>
      </c>
      <c r="AA891" s="4">
        <f>('TE BE'!$AB$24+'TE BF'!$AB$24+'TE CVA'!$AB$24)*(1-CUSTOS!$M$38)</f>
        <v>316.00497871224974</v>
      </c>
      <c r="AB891" s="4">
        <f>$K$891*$V$891</f>
        <v>0</v>
      </c>
      <c r="AC891" s="4">
        <f>$M$891*$W$891</f>
        <v>-1072.9962540000001</v>
      </c>
      <c r="AD891" s="4">
        <f>$O$891*$X$891</f>
        <v>-971.02303649999999</v>
      </c>
      <c r="AE891" s="4">
        <f>$K$891*$Y$891</f>
        <v>0</v>
      </c>
      <c r="AF891" s="4">
        <f ca="1">$M$891*$Z$891</f>
        <v>-1538.8999402394427</v>
      </c>
      <c r="AG891" s="4">
        <f>$O$891*$AA$891</f>
        <v>-1296.7422303946526</v>
      </c>
    </row>
    <row r="892" spans="1:33" ht="11.25" customHeight="1" x14ac:dyDescent="0.25">
      <c r="A892" s="3" t="s">
        <v>21</v>
      </c>
      <c r="B892" s="3" t="s">
        <v>43</v>
      </c>
      <c r="C892" s="3" t="s">
        <v>23</v>
      </c>
      <c r="D892" s="3" t="s">
        <v>44</v>
      </c>
      <c r="E892" s="3" t="s">
        <v>52</v>
      </c>
      <c r="F892" s="3" t="s">
        <v>54</v>
      </c>
      <c r="G892" s="3" t="s">
        <v>25</v>
      </c>
      <c r="H892" s="3" t="s">
        <v>25</v>
      </c>
      <c r="I892" s="6">
        <v>44743</v>
      </c>
      <c r="J892" s="4">
        <v>0</v>
      </c>
      <c r="K892" s="4">
        <v>0</v>
      </c>
      <c r="L892" s="4">
        <v>11.131</v>
      </c>
      <c r="M892" s="4">
        <v>3.6732300000000002</v>
      </c>
      <c r="N892" s="4">
        <v>11.131</v>
      </c>
      <c r="O892" s="4">
        <v>3.6732300000000002</v>
      </c>
      <c r="P892" s="4">
        <v>0</v>
      </c>
      <c r="Q892" s="3" t="s">
        <v>26</v>
      </c>
      <c r="R892" s="3">
        <v>0</v>
      </c>
      <c r="S892" s="4">
        <v>0</v>
      </c>
      <c r="T892" s="4">
        <v>25</v>
      </c>
      <c r="U892" s="4">
        <v>77</v>
      </c>
      <c r="V892" s="4">
        <f>IF(ISERROR(VLOOKUP($S$892,'TAR FIN'!$A$1:$O$92,15,0)),0,VLOOKUP($S$892,'TAR FIN'!$A$1:$O$92,15,0))</f>
        <v>0</v>
      </c>
      <c r="W892" s="4">
        <f>IF(ISERROR(VLOOKUP($T$892,'TAR FIN'!$A$1:$O$92,15,0)),0,VLOOKUP($T$892,'TAR FIN'!$A$1:$O$92,15,0))</f>
        <v>261.48</v>
      </c>
      <c r="X892" s="4">
        <f>IF(ISERROR(VLOOKUP($U$892,'TAR FIN'!$A$1:$O$92,15,0)),0,VLOOKUP($U$892,'TAR FIN'!$A$1:$O$92,15,0))</f>
        <v>236.63</v>
      </c>
      <c r="Y892" s="4"/>
      <c r="Z892" s="4">
        <f ca="1">('TUSD BE'!$AM$33+'TUSD BF'!$AM$33+'TUSD CVA'!$AM$33)*(1-CUSTOS!$M$38)</f>
        <v>375.01673922321953</v>
      </c>
      <c r="AA892" s="4">
        <f>('TE BE'!$AB$24+'TE BF'!$AB$24+'TE CVA'!$AB$24)*(1-CUSTOS!$M$38)</f>
        <v>316.00497871224974</v>
      </c>
      <c r="AB892" s="4">
        <f>$K$892*$V$892</f>
        <v>0</v>
      </c>
      <c r="AC892" s="4">
        <f>$M$892*$W$892</f>
        <v>960.47618040000009</v>
      </c>
      <c r="AD892" s="4">
        <f>$O$892*$X$892</f>
        <v>869.19641490000004</v>
      </c>
      <c r="AE892" s="4">
        <f>$K$892*$Y$892</f>
        <v>0</v>
      </c>
      <c r="AF892" s="4">
        <f ca="1">$M$892*$Z$892</f>
        <v>1377.5227370169068</v>
      </c>
      <c r="AG892" s="4">
        <f>$O$892*$AA$892</f>
        <v>1160.7589679551972</v>
      </c>
    </row>
    <row r="893" spans="1:33" ht="11.25" customHeight="1" x14ac:dyDescent="0.25">
      <c r="A893" s="3" t="s">
        <v>21</v>
      </c>
      <c r="B893" s="3" t="s">
        <v>43</v>
      </c>
      <c r="C893" s="3" t="s">
        <v>23</v>
      </c>
      <c r="D893" s="3" t="s">
        <v>44</v>
      </c>
      <c r="E893" s="3" t="s">
        <v>52</v>
      </c>
      <c r="F893" s="3" t="s">
        <v>54</v>
      </c>
      <c r="G893" s="3" t="s">
        <v>25</v>
      </c>
      <c r="H893" s="3" t="s">
        <v>25</v>
      </c>
      <c r="I893" s="6">
        <v>44774</v>
      </c>
      <c r="J893" s="4">
        <v>0</v>
      </c>
      <c r="K893" s="4">
        <v>0</v>
      </c>
      <c r="L893" s="4">
        <v>17.03</v>
      </c>
      <c r="M893" s="4">
        <v>5.6199000000000003</v>
      </c>
      <c r="N893" s="4">
        <v>17.03</v>
      </c>
      <c r="O893" s="4">
        <v>5.6199000000000003</v>
      </c>
      <c r="P893" s="4">
        <v>0</v>
      </c>
      <c r="Q893" s="3" t="s">
        <v>26</v>
      </c>
      <c r="R893" s="3">
        <v>0</v>
      </c>
      <c r="S893" s="4">
        <v>0</v>
      </c>
      <c r="T893" s="4">
        <v>25</v>
      </c>
      <c r="U893" s="4">
        <v>77</v>
      </c>
      <c r="V893" s="4">
        <f>IF(ISERROR(VLOOKUP($S$893,'TAR FIN'!$A$1:$O$92,15,0)),0,VLOOKUP($S$893,'TAR FIN'!$A$1:$O$92,15,0))</f>
        <v>0</v>
      </c>
      <c r="W893" s="4">
        <f>IF(ISERROR(VLOOKUP($T$893,'TAR FIN'!$A$1:$O$92,15,0)),0,VLOOKUP($T$893,'TAR FIN'!$A$1:$O$92,15,0))</f>
        <v>261.48</v>
      </c>
      <c r="X893" s="4">
        <f>IF(ISERROR(VLOOKUP($U$893,'TAR FIN'!$A$1:$O$92,15,0)),0,VLOOKUP($U$893,'TAR FIN'!$A$1:$O$92,15,0))</f>
        <v>236.63</v>
      </c>
      <c r="Y893" s="4"/>
      <c r="Z893" s="4">
        <f ca="1">('TUSD BE'!$AM$33+'TUSD BF'!$AM$33+'TUSD CVA'!$AM$33)*(1-CUSTOS!$M$38)</f>
        <v>375.01673922321953</v>
      </c>
      <c r="AA893" s="4">
        <f>('TE BE'!$AB$24+'TE BF'!$AB$24+'TE CVA'!$AB$24)*(1-CUSTOS!$M$38)</f>
        <v>316.00497871224974</v>
      </c>
      <c r="AB893" s="4">
        <f>$K$893*$V$893</f>
        <v>0</v>
      </c>
      <c r="AC893" s="4">
        <f>$M$893*$W$893</f>
        <v>1469.4914520000002</v>
      </c>
      <c r="AD893" s="4">
        <f>$O$893*$X$893</f>
        <v>1329.836937</v>
      </c>
      <c r="AE893" s="4">
        <f>$K$893*$Y$893</f>
        <v>0</v>
      </c>
      <c r="AF893" s="4">
        <f ca="1">$M$893*$Z$893</f>
        <v>2107.5565727605717</v>
      </c>
      <c r="AG893" s="4">
        <f>$O$893*$AA$893</f>
        <v>1775.9163798649724</v>
      </c>
    </row>
    <row r="894" spans="1:33" ht="11.25" customHeight="1" x14ac:dyDescent="0.25">
      <c r="A894" s="3" t="s">
        <v>21</v>
      </c>
      <c r="B894" s="3" t="s">
        <v>43</v>
      </c>
      <c r="C894" s="3" t="s">
        <v>23</v>
      </c>
      <c r="D894" s="3" t="s">
        <v>44</v>
      </c>
      <c r="E894" s="3" t="s">
        <v>52</v>
      </c>
      <c r="F894" s="3" t="s">
        <v>54</v>
      </c>
      <c r="G894" s="3" t="s">
        <v>25</v>
      </c>
      <c r="H894" s="3" t="s">
        <v>25</v>
      </c>
      <c r="I894" s="6">
        <v>44805</v>
      </c>
      <c r="J894" s="4">
        <v>0</v>
      </c>
      <c r="K894" s="4">
        <v>0</v>
      </c>
      <c r="L894" s="4">
        <v>26.576000000000001</v>
      </c>
      <c r="M894" s="4">
        <v>8.7700800000000001</v>
      </c>
      <c r="N894" s="4">
        <v>26.576000000000001</v>
      </c>
      <c r="O894" s="4">
        <v>8.7700800000000001</v>
      </c>
      <c r="P894" s="4">
        <v>0</v>
      </c>
      <c r="Q894" s="3" t="s">
        <v>26</v>
      </c>
      <c r="R894" s="3">
        <v>0</v>
      </c>
      <c r="S894" s="4">
        <v>0</v>
      </c>
      <c r="T894" s="4">
        <v>25</v>
      </c>
      <c r="U894" s="4">
        <v>77</v>
      </c>
      <c r="V894" s="4">
        <f>IF(ISERROR(VLOOKUP($S$894,'TAR FIN'!$A$1:$O$92,15,0)),0,VLOOKUP($S$894,'TAR FIN'!$A$1:$O$92,15,0))</f>
        <v>0</v>
      </c>
      <c r="W894" s="4">
        <f>IF(ISERROR(VLOOKUP($T$894,'TAR FIN'!$A$1:$O$92,15,0)),0,VLOOKUP($T$894,'TAR FIN'!$A$1:$O$92,15,0))</f>
        <v>261.48</v>
      </c>
      <c r="X894" s="4">
        <f>IF(ISERROR(VLOOKUP($U$894,'TAR FIN'!$A$1:$O$92,15,0)),0,VLOOKUP($U$894,'TAR FIN'!$A$1:$O$92,15,0))</f>
        <v>236.63</v>
      </c>
      <c r="Y894" s="4"/>
      <c r="Z894" s="4">
        <f ca="1">('TUSD BE'!$AM$33+'TUSD BF'!$AM$33+'TUSD CVA'!$AM$33)*(1-CUSTOS!$M$38)</f>
        <v>375.01673922321953</v>
      </c>
      <c r="AA894" s="4">
        <f>('TE BE'!$AB$24+'TE BF'!$AB$24+'TE CVA'!$AB$24)*(1-CUSTOS!$M$38)</f>
        <v>316.00497871224974</v>
      </c>
      <c r="AB894" s="4">
        <f>$K$894*$V$894</f>
        <v>0</v>
      </c>
      <c r="AC894" s="4">
        <f>$M$894*$W$894</f>
        <v>2293.2005184</v>
      </c>
      <c r="AD894" s="4">
        <f>$O$894*$X$894</f>
        <v>2075.2640304000001</v>
      </c>
      <c r="AE894" s="4">
        <f>$K$894*$Y$894</f>
        <v>0</v>
      </c>
      <c r="AF894" s="4">
        <f ca="1">$M$894*$Z$894</f>
        <v>3288.926804326773</v>
      </c>
      <c r="AG894" s="4">
        <f>$O$894*$AA$894</f>
        <v>2771.3889437047274</v>
      </c>
    </row>
    <row r="895" spans="1:33" ht="11.25" customHeight="1" x14ac:dyDescent="0.25">
      <c r="A895" s="3" t="s">
        <v>27</v>
      </c>
      <c r="B895" s="3" t="s">
        <v>43</v>
      </c>
      <c r="C895" s="3" t="s">
        <v>23</v>
      </c>
      <c r="D895" s="3" t="s">
        <v>44</v>
      </c>
      <c r="E895" s="3" t="s">
        <v>52</v>
      </c>
      <c r="F895" s="3" t="s">
        <v>54</v>
      </c>
      <c r="G895" s="3" t="s">
        <v>25</v>
      </c>
      <c r="H895" s="3" t="s">
        <v>25</v>
      </c>
      <c r="I895" s="6">
        <v>44805</v>
      </c>
      <c r="J895" s="4">
        <v>0</v>
      </c>
      <c r="K895" s="4">
        <v>0</v>
      </c>
      <c r="L895" s="4">
        <v>4.5650000000000004</v>
      </c>
      <c r="M895" s="4">
        <v>1.5064500000000001</v>
      </c>
      <c r="N895" s="4">
        <v>4.5650000000000004</v>
      </c>
      <c r="O895" s="4">
        <v>1.5064500000000001</v>
      </c>
      <c r="P895" s="4">
        <v>0</v>
      </c>
      <c r="Q895" s="3" t="s">
        <v>26</v>
      </c>
      <c r="R895" s="3">
        <v>0</v>
      </c>
      <c r="S895" s="4">
        <v>0</v>
      </c>
      <c r="T895" s="4">
        <v>25</v>
      </c>
      <c r="U895" s="4">
        <v>77</v>
      </c>
      <c r="V895" s="4">
        <f>IF(ISERROR(VLOOKUP($S$895,'TAR FIN'!$A$1:$O$92,15,0)),0,VLOOKUP($S$895,'TAR FIN'!$A$1:$O$92,15,0))</f>
        <v>0</v>
      </c>
      <c r="W895" s="4">
        <f>IF(ISERROR(VLOOKUP($T$895,'TAR FIN'!$A$1:$O$92,15,0)),0,VLOOKUP($T$895,'TAR FIN'!$A$1:$O$92,15,0))</f>
        <v>261.48</v>
      </c>
      <c r="X895" s="4">
        <f>IF(ISERROR(VLOOKUP($U$895,'TAR FIN'!$A$1:$O$92,15,0)),0,VLOOKUP($U$895,'TAR FIN'!$A$1:$O$92,15,0))</f>
        <v>236.63</v>
      </c>
      <c r="Y895" s="4"/>
      <c r="Z895" s="4">
        <f ca="1">('TUSD BE'!$AM$33+'TUSD BF'!$AM$33+'TUSD CVA'!$AM$33)*(1-CUSTOS!$M$38)</f>
        <v>375.01673922321953</v>
      </c>
      <c r="AA895" s="4">
        <f>('TE BE'!$AB$24+'TE BF'!$AB$24+'TE CVA'!$AB$24)*(1-CUSTOS!$M$38)</f>
        <v>316.00497871224974</v>
      </c>
      <c r="AB895" s="4">
        <f>$K$895*$V$895</f>
        <v>0</v>
      </c>
      <c r="AC895" s="4">
        <f>$M$895*$W$895</f>
        <v>393.90654600000005</v>
      </c>
      <c r="AD895" s="4">
        <f>$O$895*$X$895</f>
        <v>356.47126350000002</v>
      </c>
      <c r="AE895" s="4">
        <f>$K$895*$Y$895</f>
        <v>0</v>
      </c>
      <c r="AF895" s="4">
        <f ca="1">$M$895*$Z$895</f>
        <v>564.94396680281909</v>
      </c>
      <c r="AG895" s="4">
        <f>$O$895*$AA$895</f>
        <v>476.04570018106864</v>
      </c>
    </row>
    <row r="896" spans="1:33" ht="11.25" customHeight="1" x14ac:dyDescent="0.25">
      <c r="A896" s="3" t="s">
        <v>55</v>
      </c>
      <c r="B896" s="3" t="s">
        <v>43</v>
      </c>
      <c r="C896" s="3" t="s">
        <v>23</v>
      </c>
      <c r="D896" s="3" t="s">
        <v>44</v>
      </c>
      <c r="E896" s="3" t="s">
        <v>52</v>
      </c>
      <c r="F896" s="3" t="s">
        <v>54</v>
      </c>
      <c r="G896" s="3" t="s">
        <v>25</v>
      </c>
      <c r="H896" s="3" t="s">
        <v>25</v>
      </c>
      <c r="I896" s="6">
        <v>44835</v>
      </c>
      <c r="J896" s="4">
        <v>0</v>
      </c>
      <c r="K896" s="4">
        <v>0</v>
      </c>
      <c r="L896" s="4">
        <v>26.576000000000001</v>
      </c>
      <c r="M896" s="4">
        <v>8.7700800000000001</v>
      </c>
      <c r="N896" s="4">
        <v>26.576000000000001</v>
      </c>
      <c r="O896" s="4">
        <v>8.7700800000000001</v>
      </c>
      <c r="P896" s="4">
        <v>0</v>
      </c>
      <c r="Q896" s="3" t="s">
        <v>26</v>
      </c>
      <c r="R896" s="3">
        <v>0</v>
      </c>
      <c r="S896" s="4">
        <v>0</v>
      </c>
      <c r="T896" s="4">
        <v>25</v>
      </c>
      <c r="U896" s="4">
        <v>77</v>
      </c>
      <c r="V896" s="4">
        <f>IF(ISERROR(VLOOKUP($S$896,'TAR FIN'!$A$1:$O$92,15,0)),0,VLOOKUP($S$896,'TAR FIN'!$A$1:$O$92,15,0))</f>
        <v>0</v>
      </c>
      <c r="W896" s="4">
        <f>IF(ISERROR(VLOOKUP($T$896,'TAR FIN'!$A$1:$O$92,15,0)),0,VLOOKUP($T$896,'TAR FIN'!$A$1:$O$92,15,0))</f>
        <v>261.48</v>
      </c>
      <c r="X896" s="4">
        <f>IF(ISERROR(VLOOKUP($U$896,'TAR FIN'!$A$1:$O$92,15,0)),0,VLOOKUP($U$896,'TAR FIN'!$A$1:$O$92,15,0))</f>
        <v>236.63</v>
      </c>
      <c r="Y896" s="4"/>
      <c r="Z896" s="4">
        <f ca="1">('TUSD BE'!$AM$33+'TUSD BF'!$AM$33+'TUSD CVA'!$AM$33)*(1-CUSTOS!$M$38)</f>
        <v>375.01673922321953</v>
      </c>
      <c r="AA896" s="4">
        <f>('TE BE'!$AB$24+'TE BF'!$AB$24+'TE CVA'!$AB$24)*(1-CUSTOS!$M$38)</f>
        <v>316.00497871224974</v>
      </c>
      <c r="AB896" s="4">
        <f>$K$896*$V$896</f>
        <v>0</v>
      </c>
      <c r="AC896" s="4">
        <f>$M$896*$W$896</f>
        <v>2293.2005184</v>
      </c>
      <c r="AD896" s="4">
        <f>$O$896*$X$896</f>
        <v>2075.2640304000001</v>
      </c>
      <c r="AE896" s="4">
        <f>$K$896*$Y$896</f>
        <v>0</v>
      </c>
      <c r="AF896" s="4">
        <f ca="1">$M$896*$Z$896</f>
        <v>3288.926804326773</v>
      </c>
      <c r="AG896" s="4">
        <f>$O$896*$AA$896</f>
        <v>2771.3889437047274</v>
      </c>
    </row>
    <row r="897" spans="1:33" ht="11.25" customHeight="1" x14ac:dyDescent="0.25">
      <c r="A897" s="3" t="s">
        <v>55</v>
      </c>
      <c r="B897" s="3" t="s">
        <v>43</v>
      </c>
      <c r="C897" s="3" t="s">
        <v>23</v>
      </c>
      <c r="D897" s="3" t="s">
        <v>44</v>
      </c>
      <c r="E897" s="3" t="s">
        <v>52</v>
      </c>
      <c r="F897" s="3" t="s">
        <v>54</v>
      </c>
      <c r="G897" s="3" t="s">
        <v>25</v>
      </c>
      <c r="H897" s="3" t="s">
        <v>25</v>
      </c>
      <c r="I897" s="6">
        <v>44835</v>
      </c>
      <c r="J897" s="4">
        <v>0</v>
      </c>
      <c r="K897" s="4">
        <v>0</v>
      </c>
      <c r="L897" s="4">
        <v>4.5650000000000004</v>
      </c>
      <c r="M897" s="4">
        <v>1.5064500000000001</v>
      </c>
      <c r="N897" s="4">
        <v>4.5650000000000004</v>
      </c>
      <c r="O897" s="4">
        <v>1.5064500000000001</v>
      </c>
      <c r="P897" s="4">
        <v>0</v>
      </c>
      <c r="Q897" s="3" t="s">
        <v>26</v>
      </c>
      <c r="R897" s="3">
        <v>0</v>
      </c>
      <c r="S897" s="4">
        <v>0</v>
      </c>
      <c r="T897" s="4">
        <v>25</v>
      </c>
      <c r="U897" s="4">
        <v>77</v>
      </c>
      <c r="V897" s="4">
        <f>IF(ISERROR(VLOOKUP($S$897,'TAR FIN'!$A$1:$O$92,15,0)),0,VLOOKUP($S$897,'TAR FIN'!$A$1:$O$92,15,0))</f>
        <v>0</v>
      </c>
      <c r="W897" s="4">
        <f>IF(ISERROR(VLOOKUP($T$897,'TAR FIN'!$A$1:$O$92,15,0)),0,VLOOKUP($T$897,'TAR FIN'!$A$1:$O$92,15,0))</f>
        <v>261.48</v>
      </c>
      <c r="X897" s="4">
        <f>IF(ISERROR(VLOOKUP($U$897,'TAR FIN'!$A$1:$O$92,15,0)),0,VLOOKUP($U$897,'TAR FIN'!$A$1:$O$92,15,0))</f>
        <v>236.63</v>
      </c>
      <c r="Y897" s="4"/>
      <c r="Z897" s="4">
        <f ca="1">('TUSD BE'!$AM$33+'TUSD BF'!$AM$33+'TUSD CVA'!$AM$33)*(1-CUSTOS!$M$38)</f>
        <v>375.01673922321953</v>
      </c>
      <c r="AA897" s="4">
        <f>('TE BE'!$AB$24+'TE BF'!$AB$24+'TE CVA'!$AB$24)*(1-CUSTOS!$M$38)</f>
        <v>316.00497871224974</v>
      </c>
      <c r="AB897" s="4">
        <f>$K$897*$V$897</f>
        <v>0</v>
      </c>
      <c r="AC897" s="4">
        <f>$M$897*$W$897</f>
        <v>393.90654600000005</v>
      </c>
      <c r="AD897" s="4">
        <f>$O$897*$X$897</f>
        <v>356.47126350000002</v>
      </c>
      <c r="AE897" s="4">
        <f>$K$897*$Y$897</f>
        <v>0</v>
      </c>
      <c r="AF897" s="4">
        <f ca="1">$M$897*$Z$897</f>
        <v>564.94396680281909</v>
      </c>
      <c r="AG897" s="4">
        <f>$O$897*$AA$897</f>
        <v>476.04570018106864</v>
      </c>
    </row>
    <row r="898" spans="1:33" ht="11.25" customHeight="1" x14ac:dyDescent="0.25">
      <c r="A898" s="3" t="s">
        <v>21</v>
      </c>
      <c r="B898" s="3" t="s">
        <v>43</v>
      </c>
      <c r="C898" s="3" t="s">
        <v>23</v>
      </c>
      <c r="D898" s="3" t="s">
        <v>44</v>
      </c>
      <c r="E898" s="3" t="s">
        <v>25</v>
      </c>
      <c r="F898" s="3" t="s">
        <v>25</v>
      </c>
      <c r="G898" s="3" t="s">
        <v>25</v>
      </c>
      <c r="H898" s="3" t="s">
        <v>25</v>
      </c>
      <c r="I898" s="6">
        <v>44501</v>
      </c>
      <c r="J898" s="4">
        <v>0</v>
      </c>
      <c r="K898" s="4">
        <v>0</v>
      </c>
      <c r="L898" s="4">
        <v>4749.16</v>
      </c>
      <c r="M898" s="4">
        <v>4749.16</v>
      </c>
      <c r="N898" s="4">
        <v>4749.16</v>
      </c>
      <c r="O898" s="4">
        <v>4749.16</v>
      </c>
      <c r="P898" s="4">
        <v>20785</v>
      </c>
      <c r="Q898" s="3" t="s">
        <v>26</v>
      </c>
      <c r="R898" s="3">
        <v>0</v>
      </c>
      <c r="S898" s="4">
        <v>0</v>
      </c>
      <c r="T898" s="4">
        <v>45</v>
      </c>
      <c r="U898" s="4">
        <v>77</v>
      </c>
      <c r="V898" s="4">
        <f>IF(ISERROR(VLOOKUP($S$898,'TAR FIN'!$A$1:$O$92,15,0)),0,VLOOKUP($S$898,'TAR FIN'!$A$1:$O$92,15,0))</f>
        <v>0</v>
      </c>
      <c r="W898" s="4">
        <f>IF(ISERROR(VLOOKUP($T$898,'TAR FIN'!$A$1:$O$92,15,0)),0,VLOOKUP($T$898,'TAR FIN'!$A$1:$O$92,15,0))</f>
        <v>273.93</v>
      </c>
      <c r="X898" s="4">
        <f>IF(ISERROR(VLOOKUP($U$898,'TAR FIN'!$A$1:$O$92,15,0)),0,VLOOKUP($U$898,'TAR FIN'!$A$1:$O$92,15,0))</f>
        <v>236.63</v>
      </c>
      <c r="Y898" s="4"/>
      <c r="Z898" s="4">
        <f ca="1">('TUSD BE'!$AM$33+'TUSD BF'!$AM$33+'TUSD CVA'!$AM$33)*(1-CUSTOS!$M$38)</f>
        <v>375.01673922321953</v>
      </c>
      <c r="AA898" s="4">
        <f>('TE BE'!$AB$24+'TE BF'!$AB$24+'TE CVA'!$AB$24)*(1-CUSTOS!$M$38)</f>
        <v>316.00497871224974</v>
      </c>
      <c r="AB898" s="4">
        <f>$K$898*$V$898</f>
        <v>0</v>
      </c>
      <c r="AC898" s="4">
        <f>$M$898*$W$898</f>
        <v>1300937.3988000001</v>
      </c>
      <c r="AD898" s="4">
        <f>$O$898*$X$898</f>
        <v>1123793.7308</v>
      </c>
      <c r="AE898" s="4">
        <f>$K$898*$Y$898</f>
        <v>0</v>
      </c>
      <c r="AF898" s="4">
        <f ca="1">$M$898*$Z$898</f>
        <v>1781014.4972493453</v>
      </c>
      <c r="AG898" s="4">
        <f>$O$898*$AA$898</f>
        <v>1500758.2047010679</v>
      </c>
    </row>
    <row r="899" spans="1:33" ht="11.25" customHeight="1" x14ac:dyDescent="0.25">
      <c r="A899" s="3" t="s">
        <v>27</v>
      </c>
      <c r="B899" s="3" t="s">
        <v>43</v>
      </c>
      <c r="C899" s="3" t="s">
        <v>23</v>
      </c>
      <c r="D899" s="3" t="s">
        <v>44</v>
      </c>
      <c r="E899" s="3" t="s">
        <v>25</v>
      </c>
      <c r="F899" s="3" t="s">
        <v>25</v>
      </c>
      <c r="G899" s="3" t="s">
        <v>25</v>
      </c>
      <c r="H899" s="3" t="s">
        <v>25</v>
      </c>
      <c r="I899" s="6">
        <v>44501</v>
      </c>
      <c r="J899" s="4">
        <v>0</v>
      </c>
      <c r="K899" s="4">
        <v>0</v>
      </c>
      <c r="L899" s="4">
        <v>-12.611000000000001</v>
      </c>
      <c r="M899" s="4">
        <v>-12.611000000000001</v>
      </c>
      <c r="N899" s="4">
        <v>-12.611000000000001</v>
      </c>
      <c r="O899" s="4">
        <v>-12.611000000000001</v>
      </c>
      <c r="P899" s="4">
        <v>-141</v>
      </c>
      <c r="Q899" s="3" t="s">
        <v>26</v>
      </c>
      <c r="R899" s="3">
        <v>0</v>
      </c>
      <c r="S899" s="4">
        <v>0</v>
      </c>
      <c r="T899" s="4">
        <v>45</v>
      </c>
      <c r="U899" s="4">
        <v>77</v>
      </c>
      <c r="V899" s="4">
        <f>IF(ISERROR(VLOOKUP($S$899,'TAR FIN'!$A$1:$O$92,15,0)),0,VLOOKUP($S$899,'TAR FIN'!$A$1:$O$92,15,0))</f>
        <v>0</v>
      </c>
      <c r="W899" s="4">
        <f>IF(ISERROR(VLOOKUP($T$899,'TAR FIN'!$A$1:$O$92,15,0)),0,VLOOKUP($T$899,'TAR FIN'!$A$1:$O$92,15,0))</f>
        <v>273.93</v>
      </c>
      <c r="X899" s="4">
        <f>IF(ISERROR(VLOOKUP($U$899,'TAR FIN'!$A$1:$O$92,15,0)),0,VLOOKUP($U$899,'TAR FIN'!$A$1:$O$92,15,0))</f>
        <v>236.63</v>
      </c>
      <c r="Y899" s="4"/>
      <c r="Z899" s="4">
        <f ca="1">('TUSD BE'!$AM$33+'TUSD BF'!$AM$33+'TUSD CVA'!$AM$33)*(1-CUSTOS!$M$38)</f>
        <v>375.01673922321953</v>
      </c>
      <c r="AA899" s="4">
        <f>('TE BE'!$AB$24+'TE BF'!$AB$24+'TE CVA'!$AB$24)*(1-CUSTOS!$M$38)</f>
        <v>316.00497871224974</v>
      </c>
      <c r="AB899" s="4">
        <f>$K$899*$V$899</f>
        <v>0</v>
      </c>
      <c r="AC899" s="4">
        <f>$M$899*$W$899</f>
        <v>-3454.5312300000001</v>
      </c>
      <c r="AD899" s="4">
        <f>$O$899*$X$899</f>
        <v>-2984.14093</v>
      </c>
      <c r="AE899" s="4">
        <f>$K$899*$Y$899</f>
        <v>0</v>
      </c>
      <c r="AF899" s="4">
        <f ca="1">$M$899*$Z$899</f>
        <v>-4729.3360983440216</v>
      </c>
      <c r="AG899" s="4">
        <f>$O$899*$AA$899</f>
        <v>-3985.1387865401816</v>
      </c>
    </row>
    <row r="900" spans="1:33" ht="11.25" customHeight="1" x14ac:dyDescent="0.25">
      <c r="A900" s="3" t="s">
        <v>28</v>
      </c>
      <c r="B900" s="3" t="s">
        <v>43</v>
      </c>
      <c r="C900" s="3" t="s">
        <v>23</v>
      </c>
      <c r="D900" s="3" t="s">
        <v>44</v>
      </c>
      <c r="E900" s="3" t="s">
        <v>25</v>
      </c>
      <c r="F900" s="3" t="s">
        <v>25</v>
      </c>
      <c r="G900" s="3" t="s">
        <v>25</v>
      </c>
      <c r="H900" s="3" t="s">
        <v>25</v>
      </c>
      <c r="I900" s="6">
        <v>44501</v>
      </c>
      <c r="J900" s="4">
        <v>0</v>
      </c>
      <c r="K900" s="4">
        <v>0</v>
      </c>
      <c r="L900" s="4">
        <v>10.558</v>
      </c>
      <c r="M900" s="4">
        <v>10.558</v>
      </c>
      <c r="N900" s="4">
        <v>10.558</v>
      </c>
      <c r="O900" s="4">
        <v>10.558</v>
      </c>
      <c r="P900" s="4">
        <v>18</v>
      </c>
      <c r="Q900" s="3" t="s">
        <v>26</v>
      </c>
      <c r="R900" s="3">
        <v>0</v>
      </c>
      <c r="S900" s="4">
        <v>0</v>
      </c>
      <c r="T900" s="4">
        <v>45</v>
      </c>
      <c r="U900" s="4">
        <v>77</v>
      </c>
      <c r="V900" s="4">
        <f>IF(ISERROR(VLOOKUP($S$900,'TAR FIN'!$A$1:$O$92,15,0)),0,VLOOKUP($S$900,'TAR FIN'!$A$1:$O$92,15,0))</f>
        <v>0</v>
      </c>
      <c r="W900" s="4">
        <f>IF(ISERROR(VLOOKUP($T$900,'TAR FIN'!$A$1:$O$92,15,0)),0,VLOOKUP($T$900,'TAR FIN'!$A$1:$O$92,15,0))</f>
        <v>273.93</v>
      </c>
      <c r="X900" s="4">
        <f>IF(ISERROR(VLOOKUP($U$900,'TAR FIN'!$A$1:$O$92,15,0)),0,VLOOKUP($U$900,'TAR FIN'!$A$1:$O$92,15,0))</f>
        <v>236.63</v>
      </c>
      <c r="Y900" s="4"/>
      <c r="Z900" s="4">
        <f ca="1">('TUSD BE'!$AM$33+'TUSD BF'!$AM$33+'TUSD CVA'!$AM$33)*(1-CUSTOS!$M$38)</f>
        <v>375.01673922321953</v>
      </c>
      <c r="AA900" s="4">
        <f>('TE BE'!$AB$24+'TE BF'!$AB$24+'TE CVA'!$AB$24)*(1-CUSTOS!$M$38)</f>
        <v>316.00497871224974</v>
      </c>
      <c r="AB900" s="4">
        <f>$K$900*$V$900</f>
        <v>0</v>
      </c>
      <c r="AC900" s="4">
        <f>$M$900*$W$900</f>
        <v>2892.1529399999999</v>
      </c>
      <c r="AD900" s="4">
        <f>$O$900*$X$900</f>
        <v>2498.3395399999999</v>
      </c>
      <c r="AE900" s="4">
        <f>$K$900*$Y$900</f>
        <v>0</v>
      </c>
      <c r="AF900" s="4">
        <f ca="1">$M$900*$Z$900</f>
        <v>3959.4267327187517</v>
      </c>
      <c r="AG900" s="4">
        <f>$O$900*$AA$900</f>
        <v>3336.3805652439328</v>
      </c>
    </row>
    <row r="901" spans="1:33" ht="11.25" customHeight="1" x14ac:dyDescent="0.25">
      <c r="A901" s="3" t="s">
        <v>21</v>
      </c>
      <c r="B901" s="3" t="s">
        <v>43</v>
      </c>
      <c r="C901" s="3" t="s">
        <v>23</v>
      </c>
      <c r="D901" s="3" t="s">
        <v>44</v>
      </c>
      <c r="E901" s="3" t="s">
        <v>25</v>
      </c>
      <c r="F901" s="3" t="s">
        <v>25</v>
      </c>
      <c r="G901" s="3" t="s">
        <v>25</v>
      </c>
      <c r="H901" s="3" t="s">
        <v>25</v>
      </c>
      <c r="I901" s="6">
        <v>44531</v>
      </c>
      <c r="J901" s="4">
        <v>0</v>
      </c>
      <c r="K901" s="4">
        <v>0</v>
      </c>
      <c r="L901" s="4">
        <v>4572.6369999999997</v>
      </c>
      <c r="M901" s="4">
        <v>4572.6369999999997</v>
      </c>
      <c r="N901" s="4">
        <v>4572.6369999999997</v>
      </c>
      <c r="O901" s="4">
        <v>4572.6369999999997</v>
      </c>
      <c r="P901" s="4">
        <v>20901</v>
      </c>
      <c r="Q901" s="3" t="s">
        <v>26</v>
      </c>
      <c r="R901" s="3">
        <v>0</v>
      </c>
      <c r="S901" s="4">
        <v>0</v>
      </c>
      <c r="T901" s="4">
        <v>45</v>
      </c>
      <c r="U901" s="4">
        <v>77</v>
      </c>
      <c r="V901" s="4">
        <f>IF(ISERROR(VLOOKUP($S$901,'TAR FIN'!$A$1:$O$92,15,0)),0,VLOOKUP($S$901,'TAR FIN'!$A$1:$O$92,15,0))</f>
        <v>0</v>
      </c>
      <c r="W901" s="4">
        <f>IF(ISERROR(VLOOKUP($T$901,'TAR FIN'!$A$1:$O$92,15,0)),0,VLOOKUP($T$901,'TAR FIN'!$A$1:$O$92,15,0))</f>
        <v>273.93</v>
      </c>
      <c r="X901" s="4">
        <f>IF(ISERROR(VLOOKUP($U$901,'TAR FIN'!$A$1:$O$92,15,0)),0,VLOOKUP($U$901,'TAR FIN'!$A$1:$O$92,15,0))</f>
        <v>236.63</v>
      </c>
      <c r="Y901" s="4"/>
      <c r="Z901" s="4">
        <f ca="1">('TUSD BE'!$AM$33+'TUSD BF'!$AM$33+'TUSD CVA'!$AM$33)*(1-CUSTOS!$M$38)</f>
        <v>375.01673922321953</v>
      </c>
      <c r="AA901" s="4">
        <f>('TE BE'!$AB$24+'TE BF'!$AB$24+'TE CVA'!$AB$24)*(1-CUSTOS!$M$38)</f>
        <v>316.00497871224974</v>
      </c>
      <c r="AB901" s="4">
        <f>$K$901*$V$901</f>
        <v>0</v>
      </c>
      <c r="AC901" s="4">
        <f>$M$901*$W$901</f>
        <v>1252582.4534099998</v>
      </c>
      <c r="AD901" s="4">
        <f>$O$901*$X$901</f>
        <v>1082023.0933099999</v>
      </c>
      <c r="AE901" s="4">
        <f>$K$901*$Y$901</f>
        <v>0</v>
      </c>
      <c r="AF901" s="4">
        <f ca="1">$M$901*$Z$901</f>
        <v>1714815.4173914448</v>
      </c>
      <c r="AG901" s="4">
        <f>$O$901*$AA$901</f>
        <v>1444976.0578438453</v>
      </c>
    </row>
    <row r="902" spans="1:33" ht="11.25" customHeight="1" x14ac:dyDescent="0.25">
      <c r="A902" s="3" t="s">
        <v>27</v>
      </c>
      <c r="B902" s="3" t="s">
        <v>43</v>
      </c>
      <c r="C902" s="3" t="s">
        <v>23</v>
      </c>
      <c r="D902" s="3" t="s">
        <v>44</v>
      </c>
      <c r="E902" s="3" t="s">
        <v>25</v>
      </c>
      <c r="F902" s="3" t="s">
        <v>25</v>
      </c>
      <c r="G902" s="3" t="s">
        <v>25</v>
      </c>
      <c r="H902" s="3" t="s">
        <v>25</v>
      </c>
      <c r="I902" s="6">
        <v>44531</v>
      </c>
      <c r="J902" s="4">
        <v>0</v>
      </c>
      <c r="K902" s="4">
        <v>0</v>
      </c>
      <c r="L902" s="4">
        <v>-1.2390000000000001</v>
      </c>
      <c r="M902" s="4">
        <v>-1.2390000000000001</v>
      </c>
      <c r="N902" s="4">
        <v>-1.2390000000000001</v>
      </c>
      <c r="O902" s="4">
        <v>-1.2390000000000001</v>
      </c>
      <c r="P902" s="4">
        <v>-1</v>
      </c>
      <c r="Q902" s="3" t="s">
        <v>26</v>
      </c>
      <c r="R902" s="3">
        <v>0</v>
      </c>
      <c r="S902" s="4">
        <v>0</v>
      </c>
      <c r="T902" s="4">
        <v>45</v>
      </c>
      <c r="U902" s="4">
        <v>77</v>
      </c>
      <c r="V902" s="4">
        <f>IF(ISERROR(VLOOKUP($S$902,'TAR FIN'!$A$1:$O$92,15,0)),0,VLOOKUP($S$902,'TAR FIN'!$A$1:$O$92,15,0))</f>
        <v>0</v>
      </c>
      <c r="W902" s="4">
        <f>IF(ISERROR(VLOOKUP($T$902,'TAR FIN'!$A$1:$O$92,15,0)),0,VLOOKUP($T$902,'TAR FIN'!$A$1:$O$92,15,0))</f>
        <v>273.93</v>
      </c>
      <c r="X902" s="4">
        <f>IF(ISERROR(VLOOKUP($U$902,'TAR FIN'!$A$1:$O$92,15,0)),0,VLOOKUP($U$902,'TAR FIN'!$A$1:$O$92,15,0))</f>
        <v>236.63</v>
      </c>
      <c r="Y902" s="4"/>
      <c r="Z902" s="4">
        <f ca="1">('TUSD BE'!$AM$33+'TUSD BF'!$AM$33+'TUSD CVA'!$AM$33)*(1-CUSTOS!$M$38)</f>
        <v>375.01673922321953</v>
      </c>
      <c r="AA902" s="4">
        <f>('TE BE'!$AB$24+'TE BF'!$AB$24+'TE CVA'!$AB$24)*(1-CUSTOS!$M$38)</f>
        <v>316.00497871224974</v>
      </c>
      <c r="AB902" s="4">
        <f>$K$902*$V$902</f>
        <v>0</v>
      </c>
      <c r="AC902" s="4">
        <f>$M$902*$W$902</f>
        <v>-339.39927000000006</v>
      </c>
      <c r="AD902" s="4">
        <f>$O$902*$X$902</f>
        <v>-293.18457000000001</v>
      </c>
      <c r="AE902" s="4">
        <f>$K$902*$Y$902</f>
        <v>0</v>
      </c>
      <c r="AF902" s="4">
        <f ca="1">$M$902*$Z$902</f>
        <v>-464.64573989756906</v>
      </c>
      <c r="AG902" s="4">
        <f>$O$902*$AA$902</f>
        <v>-391.53016862447748</v>
      </c>
    </row>
    <row r="903" spans="1:33" ht="11.25" customHeight="1" x14ac:dyDescent="0.25">
      <c r="A903" s="3" t="s">
        <v>28</v>
      </c>
      <c r="B903" s="3" t="s">
        <v>43</v>
      </c>
      <c r="C903" s="3" t="s">
        <v>23</v>
      </c>
      <c r="D903" s="3" t="s">
        <v>44</v>
      </c>
      <c r="E903" s="3" t="s">
        <v>25</v>
      </c>
      <c r="F903" s="3" t="s">
        <v>25</v>
      </c>
      <c r="G903" s="3" t="s">
        <v>25</v>
      </c>
      <c r="H903" s="3" t="s">
        <v>25</v>
      </c>
      <c r="I903" s="6">
        <v>44531</v>
      </c>
      <c r="J903" s="4">
        <v>0</v>
      </c>
      <c r="K903" s="4">
        <v>0</v>
      </c>
      <c r="L903" s="4">
        <v>12.677</v>
      </c>
      <c r="M903" s="4">
        <v>12.677</v>
      </c>
      <c r="N903" s="4">
        <v>12.677</v>
      </c>
      <c r="O903" s="4">
        <v>12.677</v>
      </c>
      <c r="P903" s="4">
        <v>22</v>
      </c>
      <c r="Q903" s="3" t="s">
        <v>26</v>
      </c>
      <c r="R903" s="3">
        <v>0</v>
      </c>
      <c r="S903" s="4">
        <v>0</v>
      </c>
      <c r="T903" s="4">
        <v>45</v>
      </c>
      <c r="U903" s="4">
        <v>77</v>
      </c>
      <c r="V903" s="4">
        <f>IF(ISERROR(VLOOKUP($S$903,'TAR FIN'!$A$1:$O$92,15,0)),0,VLOOKUP($S$903,'TAR FIN'!$A$1:$O$92,15,0))</f>
        <v>0</v>
      </c>
      <c r="W903" s="4">
        <f>IF(ISERROR(VLOOKUP($T$903,'TAR FIN'!$A$1:$O$92,15,0)),0,VLOOKUP($T$903,'TAR FIN'!$A$1:$O$92,15,0))</f>
        <v>273.93</v>
      </c>
      <c r="X903" s="4">
        <f>IF(ISERROR(VLOOKUP($U$903,'TAR FIN'!$A$1:$O$92,15,0)),0,VLOOKUP($U$903,'TAR FIN'!$A$1:$O$92,15,0))</f>
        <v>236.63</v>
      </c>
      <c r="Y903" s="4"/>
      <c r="Z903" s="4">
        <f ca="1">('TUSD BE'!$AM$33+'TUSD BF'!$AM$33+'TUSD CVA'!$AM$33)*(1-CUSTOS!$M$38)</f>
        <v>375.01673922321953</v>
      </c>
      <c r="AA903" s="4">
        <f>('TE BE'!$AB$24+'TE BF'!$AB$24+'TE CVA'!$AB$24)*(1-CUSTOS!$M$38)</f>
        <v>316.00497871224974</v>
      </c>
      <c r="AB903" s="4">
        <f>$K$903*$V$903</f>
        <v>0</v>
      </c>
      <c r="AC903" s="4">
        <f>$M$903*$W$903</f>
        <v>3472.6106100000002</v>
      </c>
      <c r="AD903" s="4">
        <f>$O$903*$X$903</f>
        <v>2999.7585099999997</v>
      </c>
      <c r="AE903" s="4">
        <f>$K$903*$Y$903</f>
        <v>0</v>
      </c>
      <c r="AF903" s="4">
        <f ca="1">$M$903*$Z$903</f>
        <v>4754.0872031327535</v>
      </c>
      <c r="AG903" s="4">
        <f>$O$903*$AA$903</f>
        <v>4005.9951151351897</v>
      </c>
    </row>
    <row r="904" spans="1:33" ht="11.25" customHeight="1" x14ac:dyDescent="0.25">
      <c r="A904" s="3" t="s">
        <v>21</v>
      </c>
      <c r="B904" s="3" t="s">
        <v>43</v>
      </c>
      <c r="C904" s="3" t="s">
        <v>23</v>
      </c>
      <c r="D904" s="3" t="s">
        <v>44</v>
      </c>
      <c r="E904" s="3" t="s">
        <v>25</v>
      </c>
      <c r="F904" s="3" t="s">
        <v>25</v>
      </c>
      <c r="G904" s="3" t="s">
        <v>25</v>
      </c>
      <c r="H904" s="3" t="s">
        <v>25</v>
      </c>
      <c r="I904" s="6">
        <v>44562</v>
      </c>
      <c r="J904" s="4">
        <v>0</v>
      </c>
      <c r="K904" s="4">
        <v>0</v>
      </c>
      <c r="L904" s="4">
        <v>4610.8729999999996</v>
      </c>
      <c r="M904" s="4">
        <v>4610.8729999999996</v>
      </c>
      <c r="N904" s="4">
        <v>4610.8729999999996</v>
      </c>
      <c r="O904" s="4">
        <v>4610.8729999999996</v>
      </c>
      <c r="P904" s="4">
        <v>21236</v>
      </c>
      <c r="Q904" s="3" t="s">
        <v>26</v>
      </c>
      <c r="R904" s="3">
        <v>0</v>
      </c>
      <c r="S904" s="4">
        <v>0</v>
      </c>
      <c r="T904" s="4">
        <v>45</v>
      </c>
      <c r="U904" s="4">
        <v>77</v>
      </c>
      <c r="V904" s="4">
        <f>IF(ISERROR(VLOOKUP($S$904,'TAR FIN'!$A$1:$O$92,15,0)),0,VLOOKUP($S$904,'TAR FIN'!$A$1:$O$92,15,0))</f>
        <v>0</v>
      </c>
      <c r="W904" s="4">
        <f>IF(ISERROR(VLOOKUP($T$904,'TAR FIN'!$A$1:$O$92,15,0)),0,VLOOKUP($T$904,'TAR FIN'!$A$1:$O$92,15,0))</f>
        <v>273.93</v>
      </c>
      <c r="X904" s="4">
        <f>IF(ISERROR(VLOOKUP($U$904,'TAR FIN'!$A$1:$O$92,15,0)),0,VLOOKUP($U$904,'TAR FIN'!$A$1:$O$92,15,0))</f>
        <v>236.63</v>
      </c>
      <c r="Y904" s="4"/>
      <c r="Z904" s="4">
        <f ca="1">('TUSD BE'!$AM$33+'TUSD BF'!$AM$33+'TUSD CVA'!$AM$33)*(1-CUSTOS!$M$38)</f>
        <v>375.01673922321953</v>
      </c>
      <c r="AA904" s="4">
        <f>('TE BE'!$AB$24+'TE BF'!$AB$24+'TE CVA'!$AB$24)*(1-CUSTOS!$M$38)</f>
        <v>316.00497871224974</v>
      </c>
      <c r="AB904" s="4">
        <f>$K$904*$V$904</f>
        <v>0</v>
      </c>
      <c r="AC904" s="4">
        <f>$M$904*$W$904</f>
        <v>1263056.44089</v>
      </c>
      <c r="AD904" s="4">
        <f>$O$904*$X$904</f>
        <v>1091070.8779899999</v>
      </c>
      <c r="AE904" s="4">
        <f>$K$904*$Y$904</f>
        <v>0</v>
      </c>
      <c r="AF904" s="4">
        <f ca="1">$M$904*$Z$904</f>
        <v>1729154.5574323838</v>
      </c>
      <c r="AG904" s="4">
        <f>$O$904*$AA$904</f>
        <v>1457058.8242098871</v>
      </c>
    </row>
    <row r="905" spans="1:33" ht="11.25" customHeight="1" x14ac:dyDescent="0.25">
      <c r="A905" s="3" t="s">
        <v>27</v>
      </c>
      <c r="B905" s="3" t="s">
        <v>43</v>
      </c>
      <c r="C905" s="3" t="s">
        <v>23</v>
      </c>
      <c r="D905" s="3" t="s">
        <v>44</v>
      </c>
      <c r="E905" s="3" t="s">
        <v>25</v>
      </c>
      <c r="F905" s="3" t="s">
        <v>25</v>
      </c>
      <c r="G905" s="3" t="s">
        <v>25</v>
      </c>
      <c r="H905" s="3" t="s">
        <v>25</v>
      </c>
      <c r="I905" s="6">
        <v>44562</v>
      </c>
      <c r="J905" s="4">
        <v>0</v>
      </c>
      <c r="K905" s="4">
        <v>0</v>
      </c>
      <c r="L905" s="4">
        <v>-35.445999999999998</v>
      </c>
      <c r="M905" s="4">
        <v>-35.445999999999998</v>
      </c>
      <c r="N905" s="4">
        <v>-35.445999999999998</v>
      </c>
      <c r="O905" s="4">
        <v>-35.445999999999998</v>
      </c>
      <c r="P905" s="4">
        <v>-10</v>
      </c>
      <c r="Q905" s="3" t="s">
        <v>26</v>
      </c>
      <c r="R905" s="3">
        <v>0</v>
      </c>
      <c r="S905" s="4">
        <v>0</v>
      </c>
      <c r="T905" s="4">
        <v>45</v>
      </c>
      <c r="U905" s="4">
        <v>77</v>
      </c>
      <c r="V905" s="4">
        <f>IF(ISERROR(VLOOKUP($S$905,'TAR FIN'!$A$1:$O$92,15,0)),0,VLOOKUP($S$905,'TAR FIN'!$A$1:$O$92,15,0))</f>
        <v>0</v>
      </c>
      <c r="W905" s="4">
        <f>IF(ISERROR(VLOOKUP($T$905,'TAR FIN'!$A$1:$O$92,15,0)),0,VLOOKUP($T$905,'TAR FIN'!$A$1:$O$92,15,0))</f>
        <v>273.93</v>
      </c>
      <c r="X905" s="4">
        <f>IF(ISERROR(VLOOKUP($U$905,'TAR FIN'!$A$1:$O$92,15,0)),0,VLOOKUP($U$905,'TAR FIN'!$A$1:$O$92,15,0))</f>
        <v>236.63</v>
      </c>
      <c r="Y905" s="4"/>
      <c r="Z905" s="4">
        <f ca="1">('TUSD BE'!$AM$33+'TUSD BF'!$AM$33+'TUSD CVA'!$AM$33)*(1-CUSTOS!$M$38)</f>
        <v>375.01673922321953</v>
      </c>
      <c r="AA905" s="4">
        <f>('TE BE'!$AB$24+'TE BF'!$AB$24+'TE CVA'!$AB$24)*(1-CUSTOS!$M$38)</f>
        <v>316.00497871224974</v>
      </c>
      <c r="AB905" s="4">
        <f>$K$905*$V$905</f>
        <v>0</v>
      </c>
      <c r="AC905" s="4">
        <f>$M$905*$W$905</f>
        <v>-9709.7227800000001</v>
      </c>
      <c r="AD905" s="4">
        <f>$O$905*$X$905</f>
        <v>-8387.58698</v>
      </c>
      <c r="AE905" s="4">
        <f>$K$905*$Y$905</f>
        <v>0</v>
      </c>
      <c r="AF905" s="4">
        <f ca="1">$M$905*$Z$905</f>
        <v>-13292.843338506238</v>
      </c>
      <c r="AG905" s="4">
        <f>$O$905*$AA$905</f>
        <v>-11201.112475434404</v>
      </c>
    </row>
    <row r="906" spans="1:33" ht="11.25" customHeight="1" x14ac:dyDescent="0.25">
      <c r="A906" s="3" t="s">
        <v>28</v>
      </c>
      <c r="B906" s="3" t="s">
        <v>43</v>
      </c>
      <c r="C906" s="3" t="s">
        <v>23</v>
      </c>
      <c r="D906" s="3" t="s">
        <v>44</v>
      </c>
      <c r="E906" s="3" t="s">
        <v>25</v>
      </c>
      <c r="F906" s="3" t="s">
        <v>25</v>
      </c>
      <c r="G906" s="3" t="s">
        <v>25</v>
      </c>
      <c r="H906" s="3" t="s">
        <v>25</v>
      </c>
      <c r="I906" s="6">
        <v>44562</v>
      </c>
      <c r="J906" s="4">
        <v>0</v>
      </c>
      <c r="K906" s="4">
        <v>0</v>
      </c>
      <c r="L906" s="4">
        <v>12.787000000000001</v>
      </c>
      <c r="M906" s="4">
        <v>12.787000000000001</v>
      </c>
      <c r="N906" s="4">
        <v>12.787000000000001</v>
      </c>
      <c r="O906" s="4">
        <v>12.787000000000001</v>
      </c>
      <c r="P906" s="4">
        <v>23</v>
      </c>
      <c r="Q906" s="3" t="s">
        <v>26</v>
      </c>
      <c r="R906" s="3">
        <v>0</v>
      </c>
      <c r="S906" s="4">
        <v>0</v>
      </c>
      <c r="T906" s="4">
        <v>45</v>
      </c>
      <c r="U906" s="4">
        <v>77</v>
      </c>
      <c r="V906" s="4">
        <f>IF(ISERROR(VLOOKUP($S$906,'TAR FIN'!$A$1:$O$92,15,0)),0,VLOOKUP($S$906,'TAR FIN'!$A$1:$O$92,15,0))</f>
        <v>0</v>
      </c>
      <c r="W906" s="4">
        <f>IF(ISERROR(VLOOKUP($T$906,'TAR FIN'!$A$1:$O$92,15,0)),0,VLOOKUP($T$906,'TAR FIN'!$A$1:$O$92,15,0))</f>
        <v>273.93</v>
      </c>
      <c r="X906" s="4">
        <f>IF(ISERROR(VLOOKUP($U$906,'TAR FIN'!$A$1:$O$92,15,0)),0,VLOOKUP($U$906,'TAR FIN'!$A$1:$O$92,15,0))</f>
        <v>236.63</v>
      </c>
      <c r="Y906" s="4"/>
      <c r="Z906" s="4">
        <f ca="1">('TUSD BE'!$AM$33+'TUSD BF'!$AM$33+'TUSD CVA'!$AM$33)*(1-CUSTOS!$M$38)</f>
        <v>375.01673922321953</v>
      </c>
      <c r="AA906" s="4">
        <f>('TE BE'!$AB$24+'TE BF'!$AB$24+'TE CVA'!$AB$24)*(1-CUSTOS!$M$38)</f>
        <v>316.00497871224974</v>
      </c>
      <c r="AB906" s="4">
        <f>$K$906*$V$906</f>
        <v>0</v>
      </c>
      <c r="AC906" s="4">
        <f>$M$906*$W$906</f>
        <v>3502.7429100000004</v>
      </c>
      <c r="AD906" s="4">
        <f>$O$906*$X$906</f>
        <v>3025.7878100000003</v>
      </c>
      <c r="AE906" s="4">
        <f>$K$906*$Y$906</f>
        <v>0</v>
      </c>
      <c r="AF906" s="4">
        <f ca="1">$M$906*$Z$906</f>
        <v>4795.3390444473089</v>
      </c>
      <c r="AG906" s="4">
        <f>$O$906*$AA$906</f>
        <v>4040.7556627935378</v>
      </c>
    </row>
    <row r="907" spans="1:33" ht="11.25" customHeight="1" x14ac:dyDescent="0.25">
      <c r="A907" s="3" t="s">
        <v>21</v>
      </c>
      <c r="B907" s="3" t="s">
        <v>43</v>
      </c>
      <c r="C907" s="3" t="s">
        <v>23</v>
      </c>
      <c r="D907" s="3" t="s">
        <v>44</v>
      </c>
      <c r="E907" s="3" t="s">
        <v>25</v>
      </c>
      <c r="F907" s="3" t="s">
        <v>25</v>
      </c>
      <c r="G907" s="3" t="s">
        <v>25</v>
      </c>
      <c r="H907" s="3" t="s">
        <v>25</v>
      </c>
      <c r="I907" s="6">
        <v>44593</v>
      </c>
      <c r="J907" s="4">
        <v>0</v>
      </c>
      <c r="K907" s="4">
        <v>0</v>
      </c>
      <c r="L907" s="4">
        <v>4667.0829999999996</v>
      </c>
      <c r="M907" s="4">
        <v>4667.0829999999996</v>
      </c>
      <c r="N907" s="4">
        <v>4667.0829999999996</v>
      </c>
      <c r="O907" s="4">
        <v>4667.0829999999996</v>
      </c>
      <c r="P907" s="4">
        <v>21352</v>
      </c>
      <c r="Q907" s="3" t="s">
        <v>26</v>
      </c>
      <c r="R907" s="3">
        <v>0</v>
      </c>
      <c r="S907" s="4">
        <v>0</v>
      </c>
      <c r="T907" s="4">
        <v>45</v>
      </c>
      <c r="U907" s="4">
        <v>77</v>
      </c>
      <c r="V907" s="4">
        <f>IF(ISERROR(VLOOKUP($S$907,'TAR FIN'!$A$1:$O$92,15,0)),0,VLOOKUP($S$907,'TAR FIN'!$A$1:$O$92,15,0))</f>
        <v>0</v>
      </c>
      <c r="W907" s="4">
        <f>IF(ISERROR(VLOOKUP($T$907,'TAR FIN'!$A$1:$O$92,15,0)),0,VLOOKUP($T$907,'TAR FIN'!$A$1:$O$92,15,0))</f>
        <v>273.93</v>
      </c>
      <c r="X907" s="4">
        <f>IF(ISERROR(VLOOKUP($U$907,'TAR FIN'!$A$1:$O$92,15,0)),0,VLOOKUP($U$907,'TAR FIN'!$A$1:$O$92,15,0))</f>
        <v>236.63</v>
      </c>
      <c r="Y907" s="4"/>
      <c r="Z907" s="4">
        <f ca="1">('TUSD BE'!$AM$33+'TUSD BF'!$AM$33+'TUSD CVA'!$AM$33)*(1-CUSTOS!$M$38)</f>
        <v>375.01673922321953</v>
      </c>
      <c r="AA907" s="4">
        <f>('TE BE'!$AB$24+'TE BF'!$AB$24+'TE CVA'!$AB$24)*(1-CUSTOS!$M$38)</f>
        <v>316.00497871224974</v>
      </c>
      <c r="AB907" s="4">
        <f>$K$907*$V$907</f>
        <v>0</v>
      </c>
      <c r="AC907" s="4">
        <f>$M$907*$W$907</f>
        <v>1278454.0461899999</v>
      </c>
      <c r="AD907" s="4">
        <f>$O$907*$X$907</f>
        <v>1104371.85029</v>
      </c>
      <c r="AE907" s="4">
        <f>$K$907*$Y$907</f>
        <v>0</v>
      </c>
      <c r="AF907" s="4">
        <f ca="1">$M$907*$Z$907</f>
        <v>1750234.248344121</v>
      </c>
      <c r="AG907" s="4">
        <f>$O$907*$AA$907</f>
        <v>1474821.4640633026</v>
      </c>
    </row>
    <row r="908" spans="1:33" ht="11.25" customHeight="1" x14ac:dyDescent="0.25">
      <c r="A908" s="3" t="s">
        <v>27</v>
      </c>
      <c r="B908" s="3" t="s">
        <v>43</v>
      </c>
      <c r="C908" s="3" t="s">
        <v>23</v>
      </c>
      <c r="D908" s="3" t="s">
        <v>44</v>
      </c>
      <c r="E908" s="3" t="s">
        <v>25</v>
      </c>
      <c r="F908" s="3" t="s">
        <v>25</v>
      </c>
      <c r="G908" s="3" t="s">
        <v>25</v>
      </c>
      <c r="H908" s="3" t="s">
        <v>25</v>
      </c>
      <c r="I908" s="6">
        <v>44593</v>
      </c>
      <c r="J908" s="4">
        <v>0</v>
      </c>
      <c r="K908" s="4">
        <v>0</v>
      </c>
      <c r="L908" s="4">
        <v>-10.644</v>
      </c>
      <c r="M908" s="4">
        <v>-10.644</v>
      </c>
      <c r="N908" s="4">
        <v>-10.644</v>
      </c>
      <c r="O908" s="4">
        <v>-10.644</v>
      </c>
      <c r="P908" s="4">
        <v>-119</v>
      </c>
      <c r="Q908" s="3" t="s">
        <v>26</v>
      </c>
      <c r="R908" s="3">
        <v>0</v>
      </c>
      <c r="S908" s="4">
        <v>0</v>
      </c>
      <c r="T908" s="4">
        <v>45</v>
      </c>
      <c r="U908" s="4">
        <v>77</v>
      </c>
      <c r="V908" s="4">
        <f>IF(ISERROR(VLOOKUP($S$908,'TAR FIN'!$A$1:$O$92,15,0)),0,VLOOKUP($S$908,'TAR FIN'!$A$1:$O$92,15,0))</f>
        <v>0</v>
      </c>
      <c r="W908" s="4">
        <f>IF(ISERROR(VLOOKUP($T$908,'TAR FIN'!$A$1:$O$92,15,0)),0,VLOOKUP($T$908,'TAR FIN'!$A$1:$O$92,15,0))</f>
        <v>273.93</v>
      </c>
      <c r="X908" s="4">
        <f>IF(ISERROR(VLOOKUP($U$908,'TAR FIN'!$A$1:$O$92,15,0)),0,VLOOKUP($U$908,'TAR FIN'!$A$1:$O$92,15,0))</f>
        <v>236.63</v>
      </c>
      <c r="Y908" s="4"/>
      <c r="Z908" s="4">
        <f ca="1">('TUSD BE'!$AM$33+'TUSD BF'!$AM$33+'TUSD CVA'!$AM$33)*(1-CUSTOS!$M$38)</f>
        <v>375.01673922321953</v>
      </c>
      <c r="AA908" s="4">
        <f>('TE BE'!$AB$24+'TE BF'!$AB$24+'TE CVA'!$AB$24)*(1-CUSTOS!$M$38)</f>
        <v>316.00497871224974</v>
      </c>
      <c r="AB908" s="4">
        <f>$K$908*$V$908</f>
        <v>0</v>
      </c>
      <c r="AC908" s="4">
        <f>$M$908*$W$908</f>
        <v>-2915.71092</v>
      </c>
      <c r="AD908" s="4">
        <f>$O$908*$X$908</f>
        <v>-2518.6897199999999</v>
      </c>
      <c r="AE908" s="4">
        <f>$K$908*$Y$908</f>
        <v>0</v>
      </c>
      <c r="AF908" s="4">
        <f ca="1">$M$908*$Z$908</f>
        <v>-3991.6781722919486</v>
      </c>
      <c r="AG908" s="4">
        <f>$O$908*$AA$908</f>
        <v>-3363.5569934131863</v>
      </c>
    </row>
    <row r="909" spans="1:33" ht="11.25" customHeight="1" x14ac:dyDescent="0.25">
      <c r="A909" s="3" t="s">
        <v>28</v>
      </c>
      <c r="B909" s="3" t="s">
        <v>43</v>
      </c>
      <c r="C909" s="3" t="s">
        <v>23</v>
      </c>
      <c r="D909" s="3" t="s">
        <v>44</v>
      </c>
      <c r="E909" s="3" t="s">
        <v>25</v>
      </c>
      <c r="F909" s="3" t="s">
        <v>25</v>
      </c>
      <c r="G909" s="3" t="s">
        <v>25</v>
      </c>
      <c r="H909" s="3" t="s">
        <v>25</v>
      </c>
      <c r="I909" s="6">
        <v>44593</v>
      </c>
      <c r="J909" s="4">
        <v>0</v>
      </c>
      <c r="K909" s="4">
        <v>0</v>
      </c>
      <c r="L909" s="4">
        <v>15.285</v>
      </c>
      <c r="M909" s="4">
        <v>15.285</v>
      </c>
      <c r="N909" s="4">
        <v>15.285</v>
      </c>
      <c r="O909" s="4">
        <v>15.285</v>
      </c>
      <c r="P909" s="4">
        <v>23</v>
      </c>
      <c r="Q909" s="3" t="s">
        <v>26</v>
      </c>
      <c r="R909" s="3">
        <v>0</v>
      </c>
      <c r="S909" s="4">
        <v>0</v>
      </c>
      <c r="T909" s="4">
        <v>45</v>
      </c>
      <c r="U909" s="4">
        <v>77</v>
      </c>
      <c r="V909" s="4">
        <f>IF(ISERROR(VLOOKUP($S$909,'TAR FIN'!$A$1:$O$92,15,0)),0,VLOOKUP($S$909,'TAR FIN'!$A$1:$O$92,15,0))</f>
        <v>0</v>
      </c>
      <c r="W909" s="4">
        <f>IF(ISERROR(VLOOKUP($T$909,'TAR FIN'!$A$1:$O$92,15,0)),0,VLOOKUP($T$909,'TAR FIN'!$A$1:$O$92,15,0))</f>
        <v>273.93</v>
      </c>
      <c r="X909" s="4">
        <f>IF(ISERROR(VLOOKUP($U$909,'TAR FIN'!$A$1:$O$92,15,0)),0,VLOOKUP($U$909,'TAR FIN'!$A$1:$O$92,15,0))</f>
        <v>236.63</v>
      </c>
      <c r="Y909" s="4"/>
      <c r="Z909" s="4">
        <f ca="1">('TUSD BE'!$AM$33+'TUSD BF'!$AM$33+'TUSD CVA'!$AM$33)*(1-CUSTOS!$M$38)</f>
        <v>375.01673922321953</v>
      </c>
      <c r="AA909" s="4">
        <f>('TE BE'!$AB$24+'TE BF'!$AB$24+'TE CVA'!$AB$24)*(1-CUSTOS!$M$38)</f>
        <v>316.00497871224974</v>
      </c>
      <c r="AB909" s="4">
        <f>$K$909*$V$909</f>
        <v>0</v>
      </c>
      <c r="AC909" s="4">
        <f>$M$909*$W$909</f>
        <v>4187.0200500000001</v>
      </c>
      <c r="AD909" s="4">
        <f>$O$909*$X$909</f>
        <v>3616.8895499999999</v>
      </c>
      <c r="AE909" s="4">
        <f>$K$909*$Y$909</f>
        <v>0</v>
      </c>
      <c r="AF909" s="4">
        <f ca="1">$M$909*$Z$909</f>
        <v>5732.1308590269109</v>
      </c>
      <c r="AG909" s="4">
        <f>$O$909*$AA$909</f>
        <v>4830.1360996167377</v>
      </c>
    </row>
    <row r="910" spans="1:33" ht="11.25" customHeight="1" x14ac:dyDescent="0.25">
      <c r="A910" s="3" t="s">
        <v>21</v>
      </c>
      <c r="B910" s="3" t="s">
        <v>43</v>
      </c>
      <c r="C910" s="3" t="s">
        <v>23</v>
      </c>
      <c r="D910" s="3" t="s">
        <v>44</v>
      </c>
      <c r="E910" s="3" t="s">
        <v>25</v>
      </c>
      <c r="F910" s="3" t="s">
        <v>25</v>
      </c>
      <c r="G910" s="3" t="s">
        <v>25</v>
      </c>
      <c r="H910" s="3" t="s">
        <v>25</v>
      </c>
      <c r="I910" s="6">
        <v>44621</v>
      </c>
      <c r="J910" s="4">
        <v>0</v>
      </c>
      <c r="K910" s="4">
        <v>0</v>
      </c>
      <c r="L910" s="4">
        <v>4556.893</v>
      </c>
      <c r="M910" s="4">
        <v>4556.893</v>
      </c>
      <c r="N910" s="4">
        <v>4556.893</v>
      </c>
      <c r="O910" s="4">
        <v>4556.893</v>
      </c>
      <c r="P910" s="4">
        <v>21403</v>
      </c>
      <c r="Q910" s="3" t="s">
        <v>26</v>
      </c>
      <c r="R910" s="3">
        <v>0</v>
      </c>
      <c r="S910" s="4">
        <v>0</v>
      </c>
      <c r="T910" s="4">
        <v>45</v>
      </c>
      <c r="U910" s="4">
        <v>77</v>
      </c>
      <c r="V910" s="4">
        <f>IF(ISERROR(VLOOKUP($S$910,'TAR FIN'!$A$1:$O$92,15,0)),0,VLOOKUP($S$910,'TAR FIN'!$A$1:$O$92,15,0))</f>
        <v>0</v>
      </c>
      <c r="W910" s="4">
        <f>IF(ISERROR(VLOOKUP($T$910,'TAR FIN'!$A$1:$O$92,15,0)),0,VLOOKUP($T$910,'TAR FIN'!$A$1:$O$92,15,0))</f>
        <v>273.93</v>
      </c>
      <c r="X910" s="4">
        <f>IF(ISERROR(VLOOKUP($U$910,'TAR FIN'!$A$1:$O$92,15,0)),0,VLOOKUP($U$910,'TAR FIN'!$A$1:$O$92,15,0))</f>
        <v>236.63</v>
      </c>
      <c r="Y910" s="4"/>
      <c r="Z910" s="4">
        <f ca="1">('TUSD BE'!$AM$33+'TUSD BF'!$AM$33+'TUSD CVA'!$AM$33)*(1-CUSTOS!$M$38)</f>
        <v>375.01673922321953</v>
      </c>
      <c r="AA910" s="4">
        <f>('TE BE'!$AB$24+'TE BF'!$AB$24+'TE CVA'!$AB$24)*(1-CUSTOS!$M$38)</f>
        <v>316.00497871224974</v>
      </c>
      <c r="AB910" s="4">
        <f>$K$910*$V$910</f>
        <v>0</v>
      </c>
      <c r="AC910" s="4">
        <f>$M$910*$W$910</f>
        <v>1248269.69949</v>
      </c>
      <c r="AD910" s="4">
        <f>$O$910*$X$910</f>
        <v>1078297.5905899999</v>
      </c>
      <c r="AE910" s="4">
        <f>$K$910*$Y$910</f>
        <v>0</v>
      </c>
      <c r="AF910" s="4">
        <f ca="1">$M$910*$Z$910</f>
        <v>1708911.1538491144</v>
      </c>
      <c r="AG910" s="4">
        <f>$O$910*$AA$910</f>
        <v>1440000.8754589998</v>
      </c>
    </row>
    <row r="911" spans="1:33" ht="11.25" customHeight="1" x14ac:dyDescent="0.25">
      <c r="A911" s="3" t="s">
        <v>27</v>
      </c>
      <c r="B911" s="3" t="s">
        <v>43</v>
      </c>
      <c r="C911" s="3" t="s">
        <v>23</v>
      </c>
      <c r="D911" s="3" t="s">
        <v>44</v>
      </c>
      <c r="E911" s="3" t="s">
        <v>25</v>
      </c>
      <c r="F911" s="3" t="s">
        <v>25</v>
      </c>
      <c r="G911" s="3" t="s">
        <v>25</v>
      </c>
      <c r="H911" s="3" t="s">
        <v>25</v>
      </c>
      <c r="I911" s="6">
        <v>44621</v>
      </c>
      <c r="J911" s="4">
        <v>0</v>
      </c>
      <c r="K911" s="4">
        <v>0</v>
      </c>
      <c r="L911" s="4">
        <v>-10.068</v>
      </c>
      <c r="M911" s="4">
        <v>-10.068</v>
      </c>
      <c r="N911" s="4">
        <v>-10.068</v>
      </c>
      <c r="O911" s="4">
        <v>-10.068</v>
      </c>
      <c r="P911" s="4">
        <v>-23</v>
      </c>
      <c r="Q911" s="3" t="s">
        <v>26</v>
      </c>
      <c r="R911" s="3">
        <v>0</v>
      </c>
      <c r="S911" s="4">
        <v>0</v>
      </c>
      <c r="T911" s="4">
        <v>45</v>
      </c>
      <c r="U911" s="4">
        <v>77</v>
      </c>
      <c r="V911" s="4">
        <f>IF(ISERROR(VLOOKUP($S$911,'TAR FIN'!$A$1:$O$92,15,0)),0,VLOOKUP($S$911,'TAR FIN'!$A$1:$O$92,15,0))</f>
        <v>0</v>
      </c>
      <c r="W911" s="4">
        <f>IF(ISERROR(VLOOKUP($T$911,'TAR FIN'!$A$1:$O$92,15,0)),0,VLOOKUP($T$911,'TAR FIN'!$A$1:$O$92,15,0))</f>
        <v>273.93</v>
      </c>
      <c r="X911" s="4">
        <f>IF(ISERROR(VLOOKUP($U$911,'TAR FIN'!$A$1:$O$92,15,0)),0,VLOOKUP($U$911,'TAR FIN'!$A$1:$O$92,15,0))</f>
        <v>236.63</v>
      </c>
      <c r="Y911" s="4"/>
      <c r="Z911" s="4">
        <f ca="1">('TUSD BE'!$AM$33+'TUSD BF'!$AM$33+'TUSD CVA'!$AM$33)*(1-CUSTOS!$M$38)</f>
        <v>375.01673922321953</v>
      </c>
      <c r="AA911" s="4">
        <f>('TE BE'!$AB$24+'TE BF'!$AB$24+'TE CVA'!$AB$24)*(1-CUSTOS!$M$38)</f>
        <v>316.00497871224974</v>
      </c>
      <c r="AB911" s="4">
        <f>$K$911*$V$911</f>
        <v>0</v>
      </c>
      <c r="AC911" s="4">
        <f>$M$911*$W$911</f>
        <v>-2757.92724</v>
      </c>
      <c r="AD911" s="4">
        <f>$O$911*$X$911</f>
        <v>-2382.39084</v>
      </c>
      <c r="AE911" s="4">
        <f>$K$911*$Y$911</f>
        <v>0</v>
      </c>
      <c r="AF911" s="4">
        <f ca="1">$M$911*$Z$911</f>
        <v>-3775.6685304993739</v>
      </c>
      <c r="AG911" s="4">
        <f>$O$911*$AA$911</f>
        <v>-3181.5381256749301</v>
      </c>
    </row>
    <row r="912" spans="1:33" ht="11.25" customHeight="1" x14ac:dyDescent="0.25">
      <c r="A912" s="3" t="s">
        <v>28</v>
      </c>
      <c r="B912" s="3" t="s">
        <v>43</v>
      </c>
      <c r="C912" s="3" t="s">
        <v>23</v>
      </c>
      <c r="D912" s="3" t="s">
        <v>44</v>
      </c>
      <c r="E912" s="3" t="s">
        <v>25</v>
      </c>
      <c r="F912" s="3" t="s">
        <v>25</v>
      </c>
      <c r="G912" s="3" t="s">
        <v>25</v>
      </c>
      <c r="H912" s="3" t="s">
        <v>25</v>
      </c>
      <c r="I912" s="6">
        <v>44621</v>
      </c>
      <c r="J912" s="4">
        <v>0</v>
      </c>
      <c r="K912" s="4">
        <v>0</v>
      </c>
      <c r="L912" s="4">
        <v>14.442</v>
      </c>
      <c r="M912" s="4">
        <v>14.442</v>
      </c>
      <c r="N912" s="4">
        <v>14.442</v>
      </c>
      <c r="O912" s="4">
        <v>14.442</v>
      </c>
      <c r="P912" s="4">
        <v>24</v>
      </c>
      <c r="Q912" s="3" t="s">
        <v>26</v>
      </c>
      <c r="R912" s="3">
        <v>0</v>
      </c>
      <c r="S912" s="4">
        <v>0</v>
      </c>
      <c r="T912" s="4">
        <v>45</v>
      </c>
      <c r="U912" s="4">
        <v>77</v>
      </c>
      <c r="V912" s="4">
        <f>IF(ISERROR(VLOOKUP($S$912,'TAR FIN'!$A$1:$O$92,15,0)),0,VLOOKUP($S$912,'TAR FIN'!$A$1:$O$92,15,0))</f>
        <v>0</v>
      </c>
      <c r="W912" s="4">
        <f>IF(ISERROR(VLOOKUP($T$912,'TAR FIN'!$A$1:$O$92,15,0)),0,VLOOKUP($T$912,'TAR FIN'!$A$1:$O$92,15,0))</f>
        <v>273.93</v>
      </c>
      <c r="X912" s="4">
        <f>IF(ISERROR(VLOOKUP($U$912,'TAR FIN'!$A$1:$O$92,15,0)),0,VLOOKUP($U$912,'TAR FIN'!$A$1:$O$92,15,0))</f>
        <v>236.63</v>
      </c>
      <c r="Y912" s="4"/>
      <c r="Z912" s="4">
        <f ca="1">('TUSD BE'!$AM$33+'TUSD BF'!$AM$33+'TUSD CVA'!$AM$33)*(1-CUSTOS!$M$38)</f>
        <v>375.01673922321953</v>
      </c>
      <c r="AA912" s="4">
        <f>('TE BE'!$AB$24+'TE BF'!$AB$24+'TE CVA'!$AB$24)*(1-CUSTOS!$M$38)</f>
        <v>316.00497871224974</v>
      </c>
      <c r="AB912" s="4">
        <f>$K$912*$V$912</f>
        <v>0</v>
      </c>
      <c r="AC912" s="4">
        <f>$M$912*$W$912</f>
        <v>3956.0970600000001</v>
      </c>
      <c r="AD912" s="4">
        <f>$O$912*$X$912</f>
        <v>3417.4104600000001</v>
      </c>
      <c r="AE912" s="4">
        <f>$K$912*$Y$912</f>
        <v>0</v>
      </c>
      <c r="AF912" s="4">
        <f ca="1">$M$912*$Z$912</f>
        <v>5415.9917478617363</v>
      </c>
      <c r="AG912" s="4">
        <f>$O$912*$AA$912</f>
        <v>4563.7439025623107</v>
      </c>
    </row>
    <row r="913" spans="1:33" ht="11.25" customHeight="1" x14ac:dyDescent="0.25">
      <c r="A913" s="3" t="s">
        <v>21</v>
      </c>
      <c r="B913" s="3" t="s">
        <v>43</v>
      </c>
      <c r="C913" s="3" t="s">
        <v>23</v>
      </c>
      <c r="D913" s="3" t="s">
        <v>44</v>
      </c>
      <c r="E913" s="3" t="s">
        <v>25</v>
      </c>
      <c r="F913" s="3" t="s">
        <v>25</v>
      </c>
      <c r="G913" s="3" t="s">
        <v>25</v>
      </c>
      <c r="H913" s="3" t="s">
        <v>25</v>
      </c>
      <c r="I913" s="6">
        <v>44652</v>
      </c>
      <c r="J913" s="4">
        <v>0</v>
      </c>
      <c r="K913" s="4">
        <v>0</v>
      </c>
      <c r="L913" s="4">
        <v>4556.893</v>
      </c>
      <c r="M913" s="4">
        <v>4556.893</v>
      </c>
      <c r="N913" s="4">
        <v>4556.893</v>
      </c>
      <c r="O913" s="4">
        <v>4556.893</v>
      </c>
      <c r="P913" s="4">
        <v>21403</v>
      </c>
      <c r="Q913" s="3" t="s">
        <v>26</v>
      </c>
      <c r="R913" s="3">
        <v>0</v>
      </c>
      <c r="S913" s="4">
        <v>0</v>
      </c>
      <c r="T913" s="4">
        <v>45</v>
      </c>
      <c r="U913" s="4">
        <v>77</v>
      </c>
      <c r="V913" s="4">
        <f>IF(ISERROR(VLOOKUP($S$913,'TAR FIN'!$A$1:$O$92,15,0)),0,VLOOKUP($S$913,'TAR FIN'!$A$1:$O$92,15,0))</f>
        <v>0</v>
      </c>
      <c r="W913" s="4">
        <f>IF(ISERROR(VLOOKUP($T$913,'TAR FIN'!$A$1:$O$92,15,0)),0,VLOOKUP($T$913,'TAR FIN'!$A$1:$O$92,15,0))</f>
        <v>273.93</v>
      </c>
      <c r="X913" s="4">
        <f>IF(ISERROR(VLOOKUP($U$913,'TAR FIN'!$A$1:$O$92,15,0)),0,VLOOKUP($U$913,'TAR FIN'!$A$1:$O$92,15,0))</f>
        <v>236.63</v>
      </c>
      <c r="Y913" s="4"/>
      <c r="Z913" s="4">
        <f ca="1">('TUSD BE'!$AM$33+'TUSD BF'!$AM$33+'TUSD CVA'!$AM$33)*(1-CUSTOS!$M$38)</f>
        <v>375.01673922321953</v>
      </c>
      <c r="AA913" s="4">
        <f>('TE BE'!$AB$24+'TE BF'!$AB$24+'TE CVA'!$AB$24)*(1-CUSTOS!$M$38)</f>
        <v>316.00497871224974</v>
      </c>
      <c r="AB913" s="4">
        <f>$K$913*$V$913</f>
        <v>0</v>
      </c>
      <c r="AC913" s="4">
        <f>$M$913*$W$913</f>
        <v>1248269.69949</v>
      </c>
      <c r="AD913" s="4">
        <f>$O$913*$X$913</f>
        <v>1078297.5905899999</v>
      </c>
      <c r="AE913" s="4">
        <f>$K$913*$Y$913</f>
        <v>0</v>
      </c>
      <c r="AF913" s="4">
        <f ca="1">$M$913*$Z$913</f>
        <v>1708911.1538491144</v>
      </c>
      <c r="AG913" s="4">
        <f>$O$913*$AA$913</f>
        <v>1440000.8754589998</v>
      </c>
    </row>
    <row r="914" spans="1:33" ht="11.25" customHeight="1" x14ac:dyDescent="0.25">
      <c r="A914" s="3" t="s">
        <v>27</v>
      </c>
      <c r="B914" s="3" t="s">
        <v>43</v>
      </c>
      <c r="C914" s="3" t="s">
        <v>23</v>
      </c>
      <c r="D914" s="3" t="s">
        <v>44</v>
      </c>
      <c r="E914" s="3" t="s">
        <v>25</v>
      </c>
      <c r="F914" s="3" t="s">
        <v>25</v>
      </c>
      <c r="G914" s="3" t="s">
        <v>25</v>
      </c>
      <c r="H914" s="3" t="s">
        <v>25</v>
      </c>
      <c r="I914" s="6">
        <v>44652</v>
      </c>
      <c r="J914" s="4">
        <v>0</v>
      </c>
      <c r="K914" s="4">
        <v>0</v>
      </c>
      <c r="L914" s="4">
        <v>-10.068</v>
      </c>
      <c r="M914" s="4">
        <v>-10.068</v>
      </c>
      <c r="N914" s="4">
        <v>-10.068</v>
      </c>
      <c r="O914" s="4">
        <v>-10.068</v>
      </c>
      <c r="P914" s="4">
        <v>-23</v>
      </c>
      <c r="Q914" s="3" t="s">
        <v>26</v>
      </c>
      <c r="R914" s="3">
        <v>0</v>
      </c>
      <c r="S914" s="4">
        <v>0</v>
      </c>
      <c r="T914" s="4">
        <v>45</v>
      </c>
      <c r="U914" s="4">
        <v>77</v>
      </c>
      <c r="V914" s="4">
        <f>IF(ISERROR(VLOOKUP($S$914,'TAR FIN'!$A$1:$O$92,15,0)),0,VLOOKUP($S$914,'TAR FIN'!$A$1:$O$92,15,0))</f>
        <v>0</v>
      </c>
      <c r="W914" s="4">
        <f>IF(ISERROR(VLOOKUP($T$914,'TAR FIN'!$A$1:$O$92,15,0)),0,VLOOKUP($T$914,'TAR FIN'!$A$1:$O$92,15,0))</f>
        <v>273.93</v>
      </c>
      <c r="X914" s="4">
        <f>IF(ISERROR(VLOOKUP($U$914,'TAR FIN'!$A$1:$O$92,15,0)),0,VLOOKUP($U$914,'TAR FIN'!$A$1:$O$92,15,0))</f>
        <v>236.63</v>
      </c>
      <c r="Y914" s="4"/>
      <c r="Z914" s="4">
        <f ca="1">('TUSD BE'!$AM$33+'TUSD BF'!$AM$33+'TUSD CVA'!$AM$33)*(1-CUSTOS!$M$38)</f>
        <v>375.01673922321953</v>
      </c>
      <c r="AA914" s="4">
        <f>('TE BE'!$AB$24+'TE BF'!$AB$24+'TE CVA'!$AB$24)*(1-CUSTOS!$M$38)</f>
        <v>316.00497871224974</v>
      </c>
      <c r="AB914" s="4">
        <f>$K$914*$V$914</f>
        <v>0</v>
      </c>
      <c r="AC914" s="4">
        <f>$M$914*$W$914</f>
        <v>-2757.92724</v>
      </c>
      <c r="AD914" s="4">
        <f>$O$914*$X$914</f>
        <v>-2382.39084</v>
      </c>
      <c r="AE914" s="4">
        <f>$K$914*$Y$914</f>
        <v>0</v>
      </c>
      <c r="AF914" s="4">
        <f ca="1">$M$914*$Z$914</f>
        <v>-3775.6685304993739</v>
      </c>
      <c r="AG914" s="4">
        <f>$O$914*$AA$914</f>
        <v>-3181.5381256749301</v>
      </c>
    </row>
    <row r="915" spans="1:33" ht="11.25" customHeight="1" x14ac:dyDescent="0.25">
      <c r="A915" s="3" t="s">
        <v>28</v>
      </c>
      <c r="B915" s="3" t="s">
        <v>43</v>
      </c>
      <c r="C915" s="3" t="s">
        <v>23</v>
      </c>
      <c r="D915" s="3" t="s">
        <v>44</v>
      </c>
      <c r="E915" s="3" t="s">
        <v>25</v>
      </c>
      <c r="F915" s="3" t="s">
        <v>25</v>
      </c>
      <c r="G915" s="3" t="s">
        <v>25</v>
      </c>
      <c r="H915" s="3" t="s">
        <v>25</v>
      </c>
      <c r="I915" s="6">
        <v>44652</v>
      </c>
      <c r="J915" s="4">
        <v>0</v>
      </c>
      <c r="K915" s="4">
        <v>0</v>
      </c>
      <c r="L915" s="4">
        <v>14.442</v>
      </c>
      <c r="M915" s="4">
        <v>14.442</v>
      </c>
      <c r="N915" s="4">
        <v>14.442</v>
      </c>
      <c r="O915" s="4">
        <v>14.442</v>
      </c>
      <c r="P915" s="4">
        <v>24</v>
      </c>
      <c r="Q915" s="3" t="s">
        <v>26</v>
      </c>
      <c r="R915" s="3">
        <v>0</v>
      </c>
      <c r="S915" s="4">
        <v>0</v>
      </c>
      <c r="T915" s="4">
        <v>45</v>
      </c>
      <c r="U915" s="4">
        <v>77</v>
      </c>
      <c r="V915" s="4">
        <f>IF(ISERROR(VLOOKUP($S$915,'TAR FIN'!$A$1:$O$92,15,0)),0,VLOOKUP($S$915,'TAR FIN'!$A$1:$O$92,15,0))</f>
        <v>0</v>
      </c>
      <c r="W915" s="4">
        <f>IF(ISERROR(VLOOKUP($T$915,'TAR FIN'!$A$1:$O$92,15,0)),0,VLOOKUP($T$915,'TAR FIN'!$A$1:$O$92,15,0))</f>
        <v>273.93</v>
      </c>
      <c r="X915" s="4">
        <f>IF(ISERROR(VLOOKUP($U$915,'TAR FIN'!$A$1:$O$92,15,0)),0,VLOOKUP($U$915,'TAR FIN'!$A$1:$O$92,15,0))</f>
        <v>236.63</v>
      </c>
      <c r="Y915" s="4"/>
      <c r="Z915" s="4">
        <f ca="1">('TUSD BE'!$AM$33+'TUSD BF'!$AM$33+'TUSD CVA'!$AM$33)*(1-CUSTOS!$M$38)</f>
        <v>375.01673922321953</v>
      </c>
      <c r="AA915" s="4">
        <f>('TE BE'!$AB$24+'TE BF'!$AB$24+'TE CVA'!$AB$24)*(1-CUSTOS!$M$38)</f>
        <v>316.00497871224974</v>
      </c>
      <c r="AB915" s="4">
        <f>$K$915*$V$915</f>
        <v>0</v>
      </c>
      <c r="AC915" s="4">
        <f>$M$915*$W$915</f>
        <v>3956.0970600000001</v>
      </c>
      <c r="AD915" s="4">
        <f>$O$915*$X$915</f>
        <v>3417.4104600000001</v>
      </c>
      <c r="AE915" s="4">
        <f>$K$915*$Y$915</f>
        <v>0</v>
      </c>
      <c r="AF915" s="4">
        <f ca="1">$M$915*$Z$915</f>
        <v>5415.9917478617363</v>
      </c>
      <c r="AG915" s="4">
        <f>$O$915*$AA$915</f>
        <v>4563.7439025623107</v>
      </c>
    </row>
    <row r="916" spans="1:33" ht="11.25" customHeight="1" x14ac:dyDescent="0.25">
      <c r="A916" s="3" t="s">
        <v>21</v>
      </c>
      <c r="B916" s="3" t="s">
        <v>43</v>
      </c>
      <c r="C916" s="3" t="s">
        <v>23</v>
      </c>
      <c r="D916" s="3" t="s">
        <v>44</v>
      </c>
      <c r="E916" s="3" t="s">
        <v>25</v>
      </c>
      <c r="F916" s="3" t="s">
        <v>25</v>
      </c>
      <c r="G916" s="3" t="s">
        <v>25</v>
      </c>
      <c r="H916" s="3" t="s">
        <v>25</v>
      </c>
      <c r="I916" s="6">
        <v>44682</v>
      </c>
      <c r="J916" s="4">
        <v>0</v>
      </c>
      <c r="K916" s="4">
        <v>0</v>
      </c>
      <c r="L916" s="4">
        <v>4387.3059999999996</v>
      </c>
      <c r="M916" s="4">
        <v>4387.3059999999996</v>
      </c>
      <c r="N916" s="4">
        <v>4387.3059999999996</v>
      </c>
      <c r="O916" s="4">
        <v>4387.3059999999996</v>
      </c>
      <c r="P916" s="4">
        <v>21390</v>
      </c>
      <c r="Q916" s="3" t="s">
        <v>26</v>
      </c>
      <c r="R916" s="3">
        <v>0</v>
      </c>
      <c r="S916" s="4">
        <v>0</v>
      </c>
      <c r="T916" s="4">
        <v>45</v>
      </c>
      <c r="U916" s="4">
        <v>77</v>
      </c>
      <c r="V916" s="4">
        <f>IF(ISERROR(VLOOKUP($S$916,'TAR FIN'!$A$1:$O$92,15,0)),0,VLOOKUP($S$916,'TAR FIN'!$A$1:$O$92,15,0))</f>
        <v>0</v>
      </c>
      <c r="W916" s="4">
        <f>IF(ISERROR(VLOOKUP($T$916,'TAR FIN'!$A$1:$O$92,15,0)),0,VLOOKUP($T$916,'TAR FIN'!$A$1:$O$92,15,0))</f>
        <v>273.93</v>
      </c>
      <c r="X916" s="4">
        <f>IF(ISERROR(VLOOKUP($U$916,'TAR FIN'!$A$1:$O$92,15,0)),0,VLOOKUP($U$916,'TAR FIN'!$A$1:$O$92,15,0))</f>
        <v>236.63</v>
      </c>
      <c r="Y916" s="4"/>
      <c r="Z916" s="4">
        <f ca="1">('TUSD BE'!$AM$33+'TUSD BF'!$AM$33+'TUSD CVA'!$AM$33)*(1-CUSTOS!$M$38)</f>
        <v>375.01673922321953</v>
      </c>
      <c r="AA916" s="4">
        <f>('TE BE'!$AB$24+'TE BF'!$AB$24+'TE CVA'!$AB$24)*(1-CUSTOS!$M$38)</f>
        <v>316.00497871224974</v>
      </c>
      <c r="AB916" s="4">
        <f>$K$916*$V$916</f>
        <v>0</v>
      </c>
      <c r="AC916" s="4">
        <f>$M$916*$W$916</f>
        <v>1201814.7325799998</v>
      </c>
      <c r="AD916" s="4">
        <f>$O$916*$X$916</f>
        <v>1038168.2187799999</v>
      </c>
      <c r="AE916" s="4">
        <f>$K$916*$Y$916</f>
        <v>0</v>
      </c>
      <c r="AF916" s="4">
        <f ca="1">$M$916*$Z$916</f>
        <v>1645313.1900944663</v>
      </c>
      <c r="AG916" s="4">
        <f>$O$916*$AA$916</f>
        <v>1386410.5391341255</v>
      </c>
    </row>
    <row r="917" spans="1:33" ht="11.25" customHeight="1" x14ac:dyDescent="0.25">
      <c r="A917" s="3" t="s">
        <v>27</v>
      </c>
      <c r="B917" s="3" t="s">
        <v>43</v>
      </c>
      <c r="C917" s="3" t="s">
        <v>23</v>
      </c>
      <c r="D917" s="3" t="s">
        <v>44</v>
      </c>
      <c r="E917" s="3" t="s">
        <v>25</v>
      </c>
      <c r="F917" s="3" t="s">
        <v>25</v>
      </c>
      <c r="G917" s="3" t="s">
        <v>25</v>
      </c>
      <c r="H917" s="3" t="s">
        <v>25</v>
      </c>
      <c r="I917" s="6">
        <v>44682</v>
      </c>
      <c r="J917" s="4">
        <v>0</v>
      </c>
      <c r="K917" s="4">
        <v>0</v>
      </c>
      <c r="L917" s="4">
        <v>-14.311999999999999</v>
      </c>
      <c r="M917" s="4">
        <v>-14.311999999999999</v>
      </c>
      <c r="N917" s="4">
        <v>-14.311999999999999</v>
      </c>
      <c r="O917" s="4">
        <v>-14.311999999999999</v>
      </c>
      <c r="P917" s="4">
        <v>0</v>
      </c>
      <c r="Q917" s="3" t="s">
        <v>26</v>
      </c>
      <c r="R917" s="3">
        <v>0</v>
      </c>
      <c r="S917" s="4">
        <v>0</v>
      </c>
      <c r="T917" s="4">
        <v>45</v>
      </c>
      <c r="U917" s="4">
        <v>77</v>
      </c>
      <c r="V917" s="4">
        <f>IF(ISERROR(VLOOKUP($S$917,'TAR FIN'!$A$1:$O$92,15,0)),0,VLOOKUP($S$917,'TAR FIN'!$A$1:$O$92,15,0))</f>
        <v>0</v>
      </c>
      <c r="W917" s="4">
        <f>IF(ISERROR(VLOOKUP($T$917,'TAR FIN'!$A$1:$O$92,15,0)),0,VLOOKUP($T$917,'TAR FIN'!$A$1:$O$92,15,0))</f>
        <v>273.93</v>
      </c>
      <c r="X917" s="4">
        <f>IF(ISERROR(VLOOKUP($U$917,'TAR FIN'!$A$1:$O$92,15,0)),0,VLOOKUP($U$917,'TAR FIN'!$A$1:$O$92,15,0))</f>
        <v>236.63</v>
      </c>
      <c r="Y917" s="4"/>
      <c r="Z917" s="4">
        <f ca="1">('TUSD BE'!$AM$33+'TUSD BF'!$AM$33+'TUSD CVA'!$AM$33)*(1-CUSTOS!$M$38)</f>
        <v>375.01673922321953</v>
      </c>
      <c r="AA917" s="4">
        <f>('TE BE'!$AB$24+'TE BF'!$AB$24+'TE CVA'!$AB$24)*(1-CUSTOS!$M$38)</f>
        <v>316.00497871224974</v>
      </c>
      <c r="AB917" s="4">
        <f>$K$917*$V$917</f>
        <v>0</v>
      </c>
      <c r="AC917" s="4">
        <f>$M$917*$W$917</f>
        <v>-3920.4861599999999</v>
      </c>
      <c r="AD917" s="4">
        <f>$O$917*$X$917</f>
        <v>-3386.6485599999996</v>
      </c>
      <c r="AE917" s="4">
        <f>$K$917*$Y$917</f>
        <v>0</v>
      </c>
      <c r="AF917" s="4">
        <f ca="1">$M$917*$Z$917</f>
        <v>-5367.2395717627178</v>
      </c>
      <c r="AG917" s="4">
        <f>$O$917*$AA$917</f>
        <v>-4522.6632553297177</v>
      </c>
    </row>
    <row r="918" spans="1:33" ht="11.25" customHeight="1" x14ac:dyDescent="0.25">
      <c r="A918" s="3" t="s">
        <v>28</v>
      </c>
      <c r="B918" s="3" t="s">
        <v>43</v>
      </c>
      <c r="C918" s="3" t="s">
        <v>23</v>
      </c>
      <c r="D918" s="3" t="s">
        <v>44</v>
      </c>
      <c r="E918" s="3" t="s">
        <v>25</v>
      </c>
      <c r="F918" s="3" t="s">
        <v>25</v>
      </c>
      <c r="G918" s="3" t="s">
        <v>25</v>
      </c>
      <c r="H918" s="3" t="s">
        <v>25</v>
      </c>
      <c r="I918" s="6">
        <v>44682</v>
      </c>
      <c r="J918" s="4">
        <v>0</v>
      </c>
      <c r="K918" s="4">
        <v>0</v>
      </c>
      <c r="L918" s="4">
        <v>64.147999999999996</v>
      </c>
      <c r="M918" s="4">
        <v>64.147999999999996</v>
      </c>
      <c r="N918" s="4">
        <v>64.147999999999996</v>
      </c>
      <c r="O918" s="4">
        <v>64.147999999999996</v>
      </c>
      <c r="P918" s="4">
        <v>120</v>
      </c>
      <c r="Q918" s="3" t="s">
        <v>26</v>
      </c>
      <c r="R918" s="3">
        <v>0</v>
      </c>
      <c r="S918" s="4">
        <v>0</v>
      </c>
      <c r="T918" s="4">
        <v>45</v>
      </c>
      <c r="U918" s="4">
        <v>77</v>
      </c>
      <c r="V918" s="4">
        <f>IF(ISERROR(VLOOKUP($S$918,'TAR FIN'!$A$1:$O$92,15,0)),0,VLOOKUP($S$918,'TAR FIN'!$A$1:$O$92,15,0))</f>
        <v>0</v>
      </c>
      <c r="W918" s="4">
        <f>IF(ISERROR(VLOOKUP($T$918,'TAR FIN'!$A$1:$O$92,15,0)),0,VLOOKUP($T$918,'TAR FIN'!$A$1:$O$92,15,0))</f>
        <v>273.93</v>
      </c>
      <c r="X918" s="4">
        <f>IF(ISERROR(VLOOKUP($U$918,'TAR FIN'!$A$1:$O$92,15,0)),0,VLOOKUP($U$918,'TAR FIN'!$A$1:$O$92,15,0))</f>
        <v>236.63</v>
      </c>
      <c r="Y918" s="4"/>
      <c r="Z918" s="4">
        <f ca="1">('TUSD BE'!$AM$33+'TUSD BF'!$AM$33+'TUSD CVA'!$AM$33)*(1-CUSTOS!$M$38)</f>
        <v>375.01673922321953</v>
      </c>
      <c r="AA918" s="4">
        <f>('TE BE'!$AB$24+'TE BF'!$AB$24+'TE CVA'!$AB$24)*(1-CUSTOS!$M$38)</f>
        <v>316.00497871224974</v>
      </c>
      <c r="AB918" s="4">
        <f>$K$918*$V$918</f>
        <v>0</v>
      </c>
      <c r="AC918" s="4">
        <f>$M$918*$W$918</f>
        <v>17572.06164</v>
      </c>
      <c r="AD918" s="4">
        <f>$O$918*$X$918</f>
        <v>15179.341239999998</v>
      </c>
      <c r="AE918" s="4">
        <f>$K$918*$Y$918</f>
        <v>0</v>
      </c>
      <c r="AF918" s="4">
        <f ca="1">$M$918*$Z$918</f>
        <v>24056.573787691086</v>
      </c>
      <c r="AG918" s="4">
        <f>$O$918*$AA$918</f>
        <v>20271.087374433395</v>
      </c>
    </row>
    <row r="919" spans="1:33" ht="11.25" customHeight="1" x14ac:dyDescent="0.25">
      <c r="A919" s="3" t="s">
        <v>21</v>
      </c>
      <c r="B919" s="3" t="s">
        <v>43</v>
      </c>
      <c r="C919" s="3" t="s">
        <v>23</v>
      </c>
      <c r="D919" s="3" t="s">
        <v>44</v>
      </c>
      <c r="E919" s="3" t="s">
        <v>25</v>
      </c>
      <c r="F919" s="3" t="s">
        <v>25</v>
      </c>
      <c r="G919" s="3" t="s">
        <v>25</v>
      </c>
      <c r="H919" s="3" t="s">
        <v>25</v>
      </c>
      <c r="I919" s="6">
        <v>44713</v>
      </c>
      <c r="J919" s="4">
        <v>0</v>
      </c>
      <c r="K919" s="4">
        <v>0</v>
      </c>
      <c r="L919" s="4">
        <v>4146.3980000000001</v>
      </c>
      <c r="M919" s="4">
        <v>4146.3980000000001</v>
      </c>
      <c r="N919" s="4">
        <v>4146.3980000000001</v>
      </c>
      <c r="O919" s="4">
        <v>4146.3980000000001</v>
      </c>
      <c r="P919" s="4">
        <v>21395</v>
      </c>
      <c r="Q919" s="3" t="s">
        <v>26</v>
      </c>
      <c r="R919" s="3">
        <v>0</v>
      </c>
      <c r="S919" s="4">
        <v>0</v>
      </c>
      <c r="T919" s="4">
        <v>45</v>
      </c>
      <c r="U919" s="4">
        <v>77</v>
      </c>
      <c r="V919" s="4">
        <f>IF(ISERROR(VLOOKUP($S$919,'TAR FIN'!$A$1:$O$92,15,0)),0,VLOOKUP($S$919,'TAR FIN'!$A$1:$O$92,15,0))</f>
        <v>0</v>
      </c>
      <c r="W919" s="4">
        <f>IF(ISERROR(VLOOKUP($T$919,'TAR FIN'!$A$1:$O$92,15,0)),0,VLOOKUP($T$919,'TAR FIN'!$A$1:$O$92,15,0))</f>
        <v>273.93</v>
      </c>
      <c r="X919" s="4">
        <f>IF(ISERROR(VLOOKUP($U$919,'TAR FIN'!$A$1:$O$92,15,0)),0,VLOOKUP($U$919,'TAR FIN'!$A$1:$O$92,15,0))</f>
        <v>236.63</v>
      </c>
      <c r="Y919" s="4"/>
      <c r="Z919" s="4">
        <f ca="1">('TUSD BE'!$AM$33+'TUSD BF'!$AM$33+'TUSD CVA'!$AM$33)*(1-CUSTOS!$M$38)</f>
        <v>375.01673922321953</v>
      </c>
      <c r="AA919" s="4">
        <f>('TE BE'!$AB$24+'TE BF'!$AB$24+'TE CVA'!$AB$24)*(1-CUSTOS!$M$38)</f>
        <v>316.00497871224974</v>
      </c>
      <c r="AB919" s="4">
        <f>$K$919*$V$919</f>
        <v>0</v>
      </c>
      <c r="AC919" s="4">
        <f>$M$919*$W$919</f>
        <v>1135822.8041400001</v>
      </c>
      <c r="AD919" s="4">
        <f>$O$919*$X$919</f>
        <v>981162.15873999998</v>
      </c>
      <c r="AE919" s="4">
        <f>$K$919*$Y$919</f>
        <v>0</v>
      </c>
      <c r="AF919" s="4">
        <f ca="1">$M$919*$Z$919</f>
        <v>1554968.657481679</v>
      </c>
      <c r="AG919" s="4">
        <f>$O$919*$AA$919</f>
        <v>1310282.411722515</v>
      </c>
    </row>
    <row r="920" spans="1:33" ht="11.25" customHeight="1" x14ac:dyDescent="0.25">
      <c r="A920" s="3" t="s">
        <v>27</v>
      </c>
      <c r="B920" s="3" t="s">
        <v>43</v>
      </c>
      <c r="C920" s="3" t="s">
        <v>23</v>
      </c>
      <c r="D920" s="3" t="s">
        <v>44</v>
      </c>
      <c r="E920" s="3" t="s">
        <v>25</v>
      </c>
      <c r="F920" s="3" t="s">
        <v>25</v>
      </c>
      <c r="G920" s="3" t="s">
        <v>25</v>
      </c>
      <c r="H920" s="3" t="s">
        <v>25</v>
      </c>
      <c r="I920" s="6">
        <v>44713</v>
      </c>
      <c r="J920" s="4">
        <v>0</v>
      </c>
      <c r="K920" s="4">
        <v>0</v>
      </c>
      <c r="L920" s="4">
        <v>-4.468</v>
      </c>
      <c r="M920" s="4">
        <v>-4.468</v>
      </c>
      <c r="N920" s="4">
        <v>-4.468</v>
      </c>
      <c r="O920" s="4">
        <v>-4.468</v>
      </c>
      <c r="P920" s="4">
        <v>-1</v>
      </c>
      <c r="Q920" s="3" t="s">
        <v>26</v>
      </c>
      <c r="R920" s="3">
        <v>0</v>
      </c>
      <c r="S920" s="4">
        <v>0</v>
      </c>
      <c r="T920" s="4">
        <v>45</v>
      </c>
      <c r="U920" s="4">
        <v>77</v>
      </c>
      <c r="V920" s="4">
        <f>IF(ISERROR(VLOOKUP($S$920,'TAR FIN'!$A$1:$O$92,15,0)),0,VLOOKUP($S$920,'TAR FIN'!$A$1:$O$92,15,0))</f>
        <v>0</v>
      </c>
      <c r="W920" s="4">
        <f>IF(ISERROR(VLOOKUP($T$920,'TAR FIN'!$A$1:$O$92,15,0)),0,VLOOKUP($T$920,'TAR FIN'!$A$1:$O$92,15,0))</f>
        <v>273.93</v>
      </c>
      <c r="X920" s="4">
        <f>IF(ISERROR(VLOOKUP($U$920,'TAR FIN'!$A$1:$O$92,15,0)),0,VLOOKUP($U$920,'TAR FIN'!$A$1:$O$92,15,0))</f>
        <v>236.63</v>
      </c>
      <c r="Y920" s="4"/>
      <c r="Z920" s="4">
        <f ca="1">('TUSD BE'!$AM$33+'TUSD BF'!$AM$33+'TUSD CVA'!$AM$33)*(1-CUSTOS!$M$38)</f>
        <v>375.01673922321953</v>
      </c>
      <c r="AA920" s="4">
        <f>('TE BE'!$AB$24+'TE BF'!$AB$24+'TE CVA'!$AB$24)*(1-CUSTOS!$M$38)</f>
        <v>316.00497871224974</v>
      </c>
      <c r="AB920" s="4">
        <f>$K$920*$V$920</f>
        <v>0</v>
      </c>
      <c r="AC920" s="4">
        <f>$M$920*$W$920</f>
        <v>-1223.9192399999999</v>
      </c>
      <c r="AD920" s="4">
        <f>$O$920*$X$920</f>
        <v>-1057.2628399999999</v>
      </c>
      <c r="AE920" s="4">
        <f>$K$920*$Y$920</f>
        <v>0</v>
      </c>
      <c r="AF920" s="4">
        <f ca="1">$M$920*$Z$920</f>
        <v>-1675.5747908493449</v>
      </c>
      <c r="AG920" s="4">
        <f>$O$920*$AA$920</f>
        <v>-1411.9102448863318</v>
      </c>
    </row>
    <row r="921" spans="1:33" ht="11.25" customHeight="1" x14ac:dyDescent="0.25">
      <c r="A921" s="3" t="s">
        <v>28</v>
      </c>
      <c r="B921" s="3" t="s">
        <v>43</v>
      </c>
      <c r="C921" s="3" t="s">
        <v>23</v>
      </c>
      <c r="D921" s="3" t="s">
        <v>44</v>
      </c>
      <c r="E921" s="3" t="s">
        <v>25</v>
      </c>
      <c r="F921" s="3" t="s">
        <v>25</v>
      </c>
      <c r="G921" s="3" t="s">
        <v>25</v>
      </c>
      <c r="H921" s="3" t="s">
        <v>25</v>
      </c>
      <c r="I921" s="6">
        <v>44713</v>
      </c>
      <c r="J921" s="4">
        <v>0</v>
      </c>
      <c r="K921" s="4">
        <v>0</v>
      </c>
      <c r="L921" s="4">
        <v>15.835000000000001</v>
      </c>
      <c r="M921" s="4">
        <v>15.835000000000001</v>
      </c>
      <c r="N921" s="4">
        <v>15.835000000000001</v>
      </c>
      <c r="O921" s="4">
        <v>15.835000000000001</v>
      </c>
      <c r="P921" s="4">
        <v>33</v>
      </c>
      <c r="Q921" s="3" t="s">
        <v>26</v>
      </c>
      <c r="R921" s="3">
        <v>0</v>
      </c>
      <c r="S921" s="4">
        <v>0</v>
      </c>
      <c r="T921" s="4">
        <v>45</v>
      </c>
      <c r="U921" s="4">
        <v>77</v>
      </c>
      <c r="V921" s="4">
        <f>IF(ISERROR(VLOOKUP($S$921,'TAR FIN'!$A$1:$O$92,15,0)),0,VLOOKUP($S$921,'TAR FIN'!$A$1:$O$92,15,0))</f>
        <v>0</v>
      </c>
      <c r="W921" s="4">
        <f>IF(ISERROR(VLOOKUP($T$921,'TAR FIN'!$A$1:$O$92,15,0)),0,VLOOKUP($T$921,'TAR FIN'!$A$1:$O$92,15,0))</f>
        <v>273.93</v>
      </c>
      <c r="X921" s="4">
        <f>IF(ISERROR(VLOOKUP($U$921,'TAR FIN'!$A$1:$O$92,15,0)),0,VLOOKUP($U$921,'TAR FIN'!$A$1:$O$92,15,0))</f>
        <v>236.63</v>
      </c>
      <c r="Y921" s="4"/>
      <c r="Z921" s="4">
        <f ca="1">('TUSD BE'!$AM$33+'TUSD BF'!$AM$33+'TUSD CVA'!$AM$33)*(1-CUSTOS!$M$38)</f>
        <v>375.01673922321953</v>
      </c>
      <c r="AA921" s="4">
        <f>('TE BE'!$AB$24+'TE BF'!$AB$24+'TE CVA'!$AB$24)*(1-CUSTOS!$M$38)</f>
        <v>316.00497871224974</v>
      </c>
      <c r="AB921" s="4">
        <f>$K$921*$V$921</f>
        <v>0</v>
      </c>
      <c r="AC921" s="4">
        <f>$M$921*$W$921</f>
        <v>4337.6815500000002</v>
      </c>
      <c r="AD921" s="4">
        <f>$O$921*$X$921</f>
        <v>3747.0360500000002</v>
      </c>
      <c r="AE921" s="4">
        <f>$K$921*$Y$921</f>
        <v>0</v>
      </c>
      <c r="AF921" s="4">
        <f ca="1">$M$921*$Z$921</f>
        <v>5938.3900655996813</v>
      </c>
      <c r="AG921" s="4">
        <f>$O$921*$AA$921</f>
        <v>5003.9388379084749</v>
      </c>
    </row>
    <row r="922" spans="1:33" ht="11.25" customHeight="1" x14ac:dyDescent="0.25">
      <c r="A922" s="3" t="s">
        <v>21</v>
      </c>
      <c r="B922" s="3" t="s">
        <v>43</v>
      </c>
      <c r="C922" s="3" t="s">
        <v>23</v>
      </c>
      <c r="D922" s="3" t="s">
        <v>44</v>
      </c>
      <c r="E922" s="3" t="s">
        <v>25</v>
      </c>
      <c r="F922" s="3" t="s">
        <v>25</v>
      </c>
      <c r="G922" s="3" t="s">
        <v>25</v>
      </c>
      <c r="H922" s="3" t="s">
        <v>25</v>
      </c>
      <c r="I922" s="6">
        <v>44743</v>
      </c>
      <c r="J922" s="4">
        <v>0</v>
      </c>
      <c r="K922" s="4">
        <v>0</v>
      </c>
      <c r="L922" s="4">
        <v>4019.98</v>
      </c>
      <c r="M922" s="4">
        <v>4019.98</v>
      </c>
      <c r="N922" s="4">
        <v>4019.98</v>
      </c>
      <c r="O922" s="4">
        <v>4019.98</v>
      </c>
      <c r="P922" s="4">
        <v>21381</v>
      </c>
      <c r="Q922" s="3" t="s">
        <v>26</v>
      </c>
      <c r="R922" s="3">
        <v>0</v>
      </c>
      <c r="S922" s="4">
        <v>0</v>
      </c>
      <c r="T922" s="4">
        <v>45</v>
      </c>
      <c r="U922" s="4">
        <v>77</v>
      </c>
      <c r="V922" s="4">
        <f>IF(ISERROR(VLOOKUP($S$922,'TAR FIN'!$A$1:$O$92,15,0)),0,VLOOKUP($S$922,'TAR FIN'!$A$1:$O$92,15,0))</f>
        <v>0</v>
      </c>
      <c r="W922" s="4">
        <f>IF(ISERROR(VLOOKUP($T$922,'TAR FIN'!$A$1:$O$92,15,0)),0,VLOOKUP($T$922,'TAR FIN'!$A$1:$O$92,15,0))</f>
        <v>273.93</v>
      </c>
      <c r="X922" s="4">
        <f>IF(ISERROR(VLOOKUP($U$922,'TAR FIN'!$A$1:$O$92,15,0)),0,VLOOKUP($U$922,'TAR FIN'!$A$1:$O$92,15,0))</f>
        <v>236.63</v>
      </c>
      <c r="Y922" s="4"/>
      <c r="Z922" s="4">
        <f ca="1">('TUSD BE'!$AM$33+'TUSD BF'!$AM$33+'TUSD CVA'!$AM$33)*(1-CUSTOS!$M$38)</f>
        <v>375.01673922321953</v>
      </c>
      <c r="AA922" s="4">
        <f>('TE BE'!$AB$24+'TE BF'!$AB$24+'TE CVA'!$AB$24)*(1-CUSTOS!$M$38)</f>
        <v>316.00497871224974</v>
      </c>
      <c r="AB922" s="4">
        <f>$K$922*$V$922</f>
        <v>0</v>
      </c>
      <c r="AC922" s="4">
        <f>$M$922*$W$922</f>
        <v>1101193.1214000001</v>
      </c>
      <c r="AD922" s="4">
        <f>$O$922*$X$922</f>
        <v>951247.86739999999</v>
      </c>
      <c r="AE922" s="4">
        <f>$K$922*$Y$922</f>
        <v>0</v>
      </c>
      <c r="AF922" s="4">
        <f ca="1">$M$922*$Z$922</f>
        <v>1507559.7913425581</v>
      </c>
      <c r="AG922" s="4">
        <f>$O$922*$AA$922</f>
        <v>1270333.6943236697</v>
      </c>
    </row>
    <row r="923" spans="1:33" ht="11.25" customHeight="1" x14ac:dyDescent="0.25">
      <c r="A923" s="3" t="s">
        <v>27</v>
      </c>
      <c r="B923" s="3" t="s">
        <v>43</v>
      </c>
      <c r="C923" s="3" t="s">
        <v>23</v>
      </c>
      <c r="D923" s="3" t="s">
        <v>44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44743</v>
      </c>
      <c r="J923" s="4">
        <v>0</v>
      </c>
      <c r="K923" s="4">
        <v>0</v>
      </c>
      <c r="L923" s="4">
        <v>-7.952</v>
      </c>
      <c r="M923" s="4">
        <v>-7.952</v>
      </c>
      <c r="N923" s="4">
        <v>-7.952</v>
      </c>
      <c r="O923" s="4">
        <v>-7.952</v>
      </c>
      <c r="P923" s="4">
        <v>-17</v>
      </c>
      <c r="Q923" s="3" t="s">
        <v>26</v>
      </c>
      <c r="R923" s="3">
        <v>0</v>
      </c>
      <c r="S923" s="4">
        <v>0</v>
      </c>
      <c r="T923" s="4">
        <v>45</v>
      </c>
      <c r="U923" s="4">
        <v>77</v>
      </c>
      <c r="V923" s="4">
        <f>IF(ISERROR(VLOOKUP($S$923,'TAR FIN'!$A$1:$O$92,15,0)),0,VLOOKUP($S$923,'TAR FIN'!$A$1:$O$92,15,0))</f>
        <v>0</v>
      </c>
      <c r="W923" s="4">
        <f>IF(ISERROR(VLOOKUP($T$923,'TAR FIN'!$A$1:$O$92,15,0)),0,VLOOKUP($T$923,'TAR FIN'!$A$1:$O$92,15,0))</f>
        <v>273.93</v>
      </c>
      <c r="X923" s="4">
        <f>IF(ISERROR(VLOOKUP($U$923,'TAR FIN'!$A$1:$O$92,15,0)),0,VLOOKUP($U$923,'TAR FIN'!$A$1:$O$92,15,0))</f>
        <v>236.63</v>
      </c>
      <c r="Y923" s="4"/>
      <c r="Z923" s="4">
        <f ca="1">('TUSD BE'!$AM$33+'TUSD BF'!$AM$33+'TUSD CVA'!$AM$33)*(1-CUSTOS!$M$38)</f>
        <v>375.01673922321953</v>
      </c>
      <c r="AA923" s="4">
        <f>('TE BE'!$AB$24+'TE BF'!$AB$24+'TE CVA'!$AB$24)*(1-CUSTOS!$M$38)</f>
        <v>316.00497871224974</v>
      </c>
      <c r="AB923" s="4">
        <f>$K$923*$V$923</f>
        <v>0</v>
      </c>
      <c r="AC923" s="4">
        <f>$M$923*$W$923</f>
        <v>-2178.2913600000002</v>
      </c>
      <c r="AD923" s="4">
        <f>$O$923*$X$923</f>
        <v>-1881.6817599999999</v>
      </c>
      <c r="AE923" s="4">
        <f>$K$923*$Y$923</f>
        <v>0</v>
      </c>
      <c r="AF923" s="4">
        <f ca="1">$M$923*$Z$923</f>
        <v>-2982.1331103030416</v>
      </c>
      <c r="AG923" s="4">
        <f>$O$923*$AA$923</f>
        <v>-2512.8715907198098</v>
      </c>
    </row>
    <row r="924" spans="1:33" ht="11.25" customHeight="1" x14ac:dyDescent="0.25">
      <c r="A924" s="3" t="s">
        <v>28</v>
      </c>
      <c r="B924" s="3" t="s">
        <v>43</v>
      </c>
      <c r="C924" s="3" t="s">
        <v>23</v>
      </c>
      <c r="D924" s="3" t="s">
        <v>44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44743</v>
      </c>
      <c r="J924" s="4">
        <v>0</v>
      </c>
      <c r="K924" s="4">
        <v>0</v>
      </c>
      <c r="L924" s="4">
        <v>30.071999999999999</v>
      </c>
      <c r="M924" s="4">
        <v>30.071999999999999</v>
      </c>
      <c r="N924" s="4">
        <v>30.071999999999999</v>
      </c>
      <c r="O924" s="4">
        <v>30.071999999999999</v>
      </c>
      <c r="P924" s="4">
        <v>36</v>
      </c>
      <c r="Q924" s="3" t="s">
        <v>26</v>
      </c>
      <c r="R924" s="3">
        <v>0</v>
      </c>
      <c r="S924" s="4">
        <v>0</v>
      </c>
      <c r="T924" s="4">
        <v>45</v>
      </c>
      <c r="U924" s="4">
        <v>77</v>
      </c>
      <c r="V924" s="4">
        <f>IF(ISERROR(VLOOKUP($S$924,'TAR FIN'!$A$1:$O$92,15,0)),0,VLOOKUP($S$924,'TAR FIN'!$A$1:$O$92,15,0))</f>
        <v>0</v>
      </c>
      <c r="W924" s="4">
        <f>IF(ISERROR(VLOOKUP($T$924,'TAR FIN'!$A$1:$O$92,15,0)),0,VLOOKUP($T$924,'TAR FIN'!$A$1:$O$92,15,0))</f>
        <v>273.93</v>
      </c>
      <c r="X924" s="4">
        <f>IF(ISERROR(VLOOKUP($U$924,'TAR FIN'!$A$1:$O$92,15,0)),0,VLOOKUP($U$924,'TAR FIN'!$A$1:$O$92,15,0))</f>
        <v>236.63</v>
      </c>
      <c r="Y924" s="4"/>
      <c r="Z924" s="4">
        <f ca="1">('TUSD BE'!$AM$33+'TUSD BF'!$AM$33+'TUSD CVA'!$AM$33)*(1-CUSTOS!$M$38)</f>
        <v>375.01673922321953</v>
      </c>
      <c r="AA924" s="4">
        <f>('TE BE'!$AB$24+'TE BF'!$AB$24+'TE CVA'!$AB$24)*(1-CUSTOS!$M$38)</f>
        <v>316.00497871224974</v>
      </c>
      <c r="AB924" s="4">
        <f>$K$924*$V$924</f>
        <v>0</v>
      </c>
      <c r="AC924" s="4">
        <f>$M$924*$W$924</f>
        <v>8237.6229600000006</v>
      </c>
      <c r="AD924" s="4">
        <f>$O$924*$X$924</f>
        <v>7115.9373599999999</v>
      </c>
      <c r="AE924" s="4">
        <f>$K$924*$Y$924</f>
        <v>0</v>
      </c>
      <c r="AF924" s="4">
        <f ca="1">$M$924*$Z$924</f>
        <v>11277.503381920658</v>
      </c>
      <c r="AG924" s="4">
        <f>$O$924*$AA$924</f>
        <v>9502.9017198347738</v>
      </c>
    </row>
    <row r="925" spans="1:33" ht="11.25" customHeight="1" x14ac:dyDescent="0.25">
      <c r="A925" s="3" t="s">
        <v>21</v>
      </c>
      <c r="B925" s="3" t="s">
        <v>43</v>
      </c>
      <c r="C925" s="3" t="s">
        <v>23</v>
      </c>
      <c r="D925" s="3" t="s">
        <v>44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44774</v>
      </c>
      <c r="J925" s="4">
        <v>0</v>
      </c>
      <c r="K925" s="4">
        <v>0</v>
      </c>
      <c r="L925" s="4">
        <v>4611.3069999999998</v>
      </c>
      <c r="M925" s="4">
        <v>4611.3069999999998</v>
      </c>
      <c r="N925" s="4">
        <v>4611.3069999999998</v>
      </c>
      <c r="O925" s="4">
        <v>4611.3069999999998</v>
      </c>
      <c r="P925" s="4">
        <v>21359</v>
      </c>
      <c r="Q925" s="3" t="s">
        <v>26</v>
      </c>
      <c r="R925" s="3">
        <v>0</v>
      </c>
      <c r="S925" s="4">
        <v>0</v>
      </c>
      <c r="T925" s="4">
        <v>45</v>
      </c>
      <c r="U925" s="4">
        <v>77</v>
      </c>
      <c r="V925" s="4">
        <f>IF(ISERROR(VLOOKUP($S$925,'TAR FIN'!$A$1:$O$92,15,0)),0,VLOOKUP($S$925,'TAR FIN'!$A$1:$O$92,15,0))</f>
        <v>0</v>
      </c>
      <c r="W925" s="4">
        <f>IF(ISERROR(VLOOKUP($T$925,'TAR FIN'!$A$1:$O$92,15,0)),0,VLOOKUP($T$925,'TAR FIN'!$A$1:$O$92,15,0))</f>
        <v>273.93</v>
      </c>
      <c r="X925" s="4">
        <f>IF(ISERROR(VLOOKUP($U$925,'TAR FIN'!$A$1:$O$92,15,0)),0,VLOOKUP($U$925,'TAR FIN'!$A$1:$O$92,15,0))</f>
        <v>236.63</v>
      </c>
      <c r="Y925" s="4"/>
      <c r="Z925" s="4">
        <f ca="1">('TUSD BE'!$AM$33+'TUSD BF'!$AM$33+'TUSD CVA'!$AM$33)*(1-CUSTOS!$M$38)</f>
        <v>375.01673922321953</v>
      </c>
      <c r="AA925" s="4">
        <f>('TE BE'!$AB$24+'TE BF'!$AB$24+'TE CVA'!$AB$24)*(1-CUSTOS!$M$38)</f>
        <v>316.00497871224974</v>
      </c>
      <c r="AB925" s="4">
        <f>$K$925*$V$925</f>
        <v>0</v>
      </c>
      <c r="AC925" s="4">
        <f>$M$925*$W$925</f>
        <v>1263175.32651</v>
      </c>
      <c r="AD925" s="4">
        <f>$O$925*$X$925</f>
        <v>1091173.5754099998</v>
      </c>
      <c r="AE925" s="4">
        <f>$K$925*$Y$925</f>
        <v>0</v>
      </c>
      <c r="AF925" s="4">
        <f ca="1">$M$925*$Z$925</f>
        <v>1729317.3146972067</v>
      </c>
      <c r="AG925" s="4">
        <f>$O$925*$AA$925</f>
        <v>1457195.9703706482</v>
      </c>
    </row>
    <row r="926" spans="1:33" ht="11.25" customHeight="1" x14ac:dyDescent="0.25">
      <c r="A926" s="3" t="s">
        <v>27</v>
      </c>
      <c r="B926" s="3" t="s">
        <v>43</v>
      </c>
      <c r="C926" s="3" t="s">
        <v>23</v>
      </c>
      <c r="D926" s="3" t="s">
        <v>44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44774</v>
      </c>
      <c r="J926" s="4">
        <v>0</v>
      </c>
      <c r="K926" s="4">
        <v>0</v>
      </c>
      <c r="L926" s="4">
        <v>-6.3239999999999998</v>
      </c>
      <c r="M926" s="4">
        <v>-6.3239999999999998</v>
      </c>
      <c r="N926" s="4">
        <v>-6.3239999999999998</v>
      </c>
      <c r="O926" s="4">
        <v>-6.3239999999999998</v>
      </c>
      <c r="P926" s="4">
        <v>-87</v>
      </c>
      <c r="Q926" s="3" t="s">
        <v>26</v>
      </c>
      <c r="R926" s="3">
        <v>0</v>
      </c>
      <c r="S926" s="4">
        <v>0</v>
      </c>
      <c r="T926" s="4">
        <v>45</v>
      </c>
      <c r="U926" s="4">
        <v>77</v>
      </c>
      <c r="V926" s="4">
        <f>IF(ISERROR(VLOOKUP($S$926,'TAR FIN'!$A$1:$O$92,15,0)),0,VLOOKUP($S$926,'TAR FIN'!$A$1:$O$92,15,0))</f>
        <v>0</v>
      </c>
      <c r="W926" s="4">
        <f>IF(ISERROR(VLOOKUP($T$926,'TAR FIN'!$A$1:$O$92,15,0)),0,VLOOKUP($T$926,'TAR FIN'!$A$1:$O$92,15,0))</f>
        <v>273.93</v>
      </c>
      <c r="X926" s="4">
        <f>IF(ISERROR(VLOOKUP($U$926,'TAR FIN'!$A$1:$O$92,15,0)),0,VLOOKUP($U$926,'TAR FIN'!$A$1:$O$92,15,0))</f>
        <v>236.63</v>
      </c>
      <c r="Y926" s="4"/>
      <c r="Z926" s="4">
        <f ca="1">('TUSD BE'!$AM$33+'TUSD BF'!$AM$33+'TUSD CVA'!$AM$33)*(1-CUSTOS!$M$38)</f>
        <v>375.01673922321953</v>
      </c>
      <c r="AA926" s="4">
        <f>('TE BE'!$AB$24+'TE BF'!$AB$24+'TE CVA'!$AB$24)*(1-CUSTOS!$M$38)</f>
        <v>316.00497871224974</v>
      </c>
      <c r="AB926" s="4">
        <f>$K$926*$V$926</f>
        <v>0</v>
      </c>
      <c r="AC926" s="4">
        <f>$M$926*$W$926</f>
        <v>-1732.33332</v>
      </c>
      <c r="AD926" s="4">
        <f>$O$926*$X$926</f>
        <v>-1496.44812</v>
      </c>
      <c r="AE926" s="4">
        <f>$K$926*$Y$926</f>
        <v>0</v>
      </c>
      <c r="AF926" s="4">
        <f ca="1">$M$926*$Z$926</f>
        <v>-2371.6058588476403</v>
      </c>
      <c r="AG926" s="4">
        <f>$O$926*$AA$926</f>
        <v>-1998.4154853762673</v>
      </c>
    </row>
    <row r="927" spans="1:33" ht="11.25" customHeight="1" x14ac:dyDescent="0.25">
      <c r="A927" s="3" t="s">
        <v>28</v>
      </c>
      <c r="B927" s="3" t="s">
        <v>43</v>
      </c>
      <c r="C927" s="3" t="s">
        <v>23</v>
      </c>
      <c r="D927" s="3" t="s">
        <v>44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44774</v>
      </c>
      <c r="J927" s="4">
        <v>0</v>
      </c>
      <c r="K927" s="4">
        <v>0</v>
      </c>
      <c r="L927" s="4">
        <v>29.541</v>
      </c>
      <c r="M927" s="4">
        <v>29.541</v>
      </c>
      <c r="N927" s="4">
        <v>29.541</v>
      </c>
      <c r="O927" s="4">
        <v>29.541</v>
      </c>
      <c r="P927" s="4">
        <v>39</v>
      </c>
      <c r="Q927" s="3" t="s">
        <v>26</v>
      </c>
      <c r="R927" s="3">
        <v>0</v>
      </c>
      <c r="S927" s="4">
        <v>0</v>
      </c>
      <c r="T927" s="4">
        <v>45</v>
      </c>
      <c r="U927" s="4">
        <v>77</v>
      </c>
      <c r="V927" s="4">
        <f>IF(ISERROR(VLOOKUP($S$927,'TAR FIN'!$A$1:$O$92,15,0)),0,VLOOKUP($S$927,'TAR FIN'!$A$1:$O$92,15,0))</f>
        <v>0</v>
      </c>
      <c r="W927" s="4">
        <f>IF(ISERROR(VLOOKUP($T$927,'TAR FIN'!$A$1:$O$92,15,0)),0,VLOOKUP($T$927,'TAR FIN'!$A$1:$O$92,15,0))</f>
        <v>273.93</v>
      </c>
      <c r="X927" s="4">
        <f>IF(ISERROR(VLOOKUP($U$927,'TAR FIN'!$A$1:$O$92,15,0)),0,VLOOKUP($U$927,'TAR FIN'!$A$1:$O$92,15,0))</f>
        <v>236.63</v>
      </c>
      <c r="Y927" s="4"/>
      <c r="Z927" s="4">
        <f ca="1">('TUSD BE'!$AM$33+'TUSD BF'!$AM$33+'TUSD CVA'!$AM$33)*(1-CUSTOS!$M$38)</f>
        <v>375.01673922321953</v>
      </c>
      <c r="AA927" s="4">
        <f>('TE BE'!$AB$24+'TE BF'!$AB$24+'TE CVA'!$AB$24)*(1-CUSTOS!$M$38)</f>
        <v>316.00497871224974</v>
      </c>
      <c r="AB927" s="4">
        <f>$K$927*$V$927</f>
        <v>0</v>
      </c>
      <c r="AC927" s="4">
        <f>$M$927*$W$927</f>
        <v>8092.1661300000005</v>
      </c>
      <c r="AD927" s="4">
        <f>$O$927*$X$927</f>
        <v>6990.28683</v>
      </c>
      <c r="AE927" s="4">
        <f>$K$927*$Y$927</f>
        <v>0</v>
      </c>
      <c r="AF927" s="4">
        <f ca="1">$M$927*$Z$927</f>
        <v>11078.369493393127</v>
      </c>
      <c r="AG927" s="4">
        <f>$O$927*$AA$927</f>
        <v>9335.10307613857</v>
      </c>
    </row>
    <row r="928" spans="1:33" ht="11.25" customHeight="1" x14ac:dyDescent="0.25">
      <c r="A928" s="3" t="s">
        <v>21</v>
      </c>
      <c r="B928" s="3" t="s">
        <v>43</v>
      </c>
      <c r="C928" s="3" t="s">
        <v>23</v>
      </c>
      <c r="D928" s="3" t="s">
        <v>44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44805</v>
      </c>
      <c r="J928" s="4">
        <v>0</v>
      </c>
      <c r="K928" s="4">
        <v>0</v>
      </c>
      <c r="L928" s="4">
        <v>4477.0479999999998</v>
      </c>
      <c r="M928" s="4">
        <v>4477.0479999999998</v>
      </c>
      <c r="N928" s="4">
        <v>4477.0479999999998</v>
      </c>
      <c r="O928" s="4">
        <v>4477.0479999999998</v>
      </c>
      <c r="P928" s="4">
        <v>21315</v>
      </c>
      <c r="Q928" s="3" t="s">
        <v>26</v>
      </c>
      <c r="R928" s="3">
        <v>0</v>
      </c>
      <c r="S928" s="4">
        <v>0</v>
      </c>
      <c r="T928" s="4">
        <v>45</v>
      </c>
      <c r="U928" s="4">
        <v>77</v>
      </c>
      <c r="V928" s="4">
        <f>IF(ISERROR(VLOOKUP($S$928,'TAR FIN'!$A$1:$O$92,15,0)),0,VLOOKUP($S$928,'TAR FIN'!$A$1:$O$92,15,0))</f>
        <v>0</v>
      </c>
      <c r="W928" s="4">
        <f>IF(ISERROR(VLOOKUP($T$928,'TAR FIN'!$A$1:$O$92,15,0)),0,VLOOKUP($T$928,'TAR FIN'!$A$1:$O$92,15,0))</f>
        <v>273.93</v>
      </c>
      <c r="X928" s="4">
        <f>IF(ISERROR(VLOOKUP($U$928,'TAR FIN'!$A$1:$O$92,15,0)),0,VLOOKUP($U$928,'TAR FIN'!$A$1:$O$92,15,0))</f>
        <v>236.63</v>
      </c>
      <c r="Y928" s="4"/>
      <c r="Z928" s="4">
        <f ca="1">('TUSD BE'!$AM$33+'TUSD BF'!$AM$33+'TUSD CVA'!$AM$33)*(1-CUSTOS!$M$38)</f>
        <v>375.01673922321953</v>
      </c>
      <c r="AA928" s="4">
        <f>('TE BE'!$AB$24+'TE BF'!$AB$24+'TE CVA'!$AB$24)*(1-CUSTOS!$M$38)</f>
        <v>316.00497871224974</v>
      </c>
      <c r="AB928" s="4">
        <f>$K$928*$V$928</f>
        <v>0</v>
      </c>
      <c r="AC928" s="4">
        <f>$M$928*$W$928</f>
        <v>1226397.7586399999</v>
      </c>
      <c r="AD928" s="4">
        <f>$O$928*$X$928</f>
        <v>1059403.86824</v>
      </c>
      <c r="AE928" s="4">
        <f>$K$928*$Y$928</f>
        <v>0</v>
      </c>
      <c r="AF928" s="4">
        <f ca="1">$M$928*$Z$928</f>
        <v>1678967.9423058364</v>
      </c>
      <c r="AG928" s="4">
        <f>$O$928*$AA$928</f>
        <v>1414769.4579337202</v>
      </c>
    </row>
    <row r="929" spans="1:33" ht="11.25" customHeight="1" x14ac:dyDescent="0.25">
      <c r="A929" s="3" t="s">
        <v>27</v>
      </c>
      <c r="B929" s="3" t="s">
        <v>43</v>
      </c>
      <c r="C929" s="3" t="s">
        <v>23</v>
      </c>
      <c r="D929" s="3" t="s">
        <v>44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44805</v>
      </c>
      <c r="J929" s="4">
        <v>0</v>
      </c>
      <c r="K929" s="4">
        <v>0</v>
      </c>
      <c r="L929" s="4">
        <v>-17.190999999999999</v>
      </c>
      <c r="M929" s="4">
        <v>-17.190999999999999</v>
      </c>
      <c r="N929" s="4">
        <v>-17.190999999999999</v>
      </c>
      <c r="O929" s="4">
        <v>-17.190999999999999</v>
      </c>
      <c r="P929" s="4">
        <v>-48</v>
      </c>
      <c r="Q929" s="3" t="s">
        <v>26</v>
      </c>
      <c r="R929" s="3">
        <v>0</v>
      </c>
      <c r="S929" s="4">
        <v>0</v>
      </c>
      <c r="T929" s="4">
        <v>45</v>
      </c>
      <c r="U929" s="4">
        <v>77</v>
      </c>
      <c r="V929" s="4">
        <f>IF(ISERROR(VLOOKUP($S$929,'TAR FIN'!$A$1:$O$92,15,0)),0,VLOOKUP($S$929,'TAR FIN'!$A$1:$O$92,15,0))</f>
        <v>0</v>
      </c>
      <c r="W929" s="4">
        <f>IF(ISERROR(VLOOKUP($T$929,'TAR FIN'!$A$1:$O$92,15,0)),0,VLOOKUP($T$929,'TAR FIN'!$A$1:$O$92,15,0))</f>
        <v>273.93</v>
      </c>
      <c r="X929" s="4">
        <f>IF(ISERROR(VLOOKUP($U$929,'TAR FIN'!$A$1:$O$92,15,0)),0,VLOOKUP($U$929,'TAR FIN'!$A$1:$O$92,15,0))</f>
        <v>236.63</v>
      </c>
      <c r="Y929" s="4"/>
      <c r="Z929" s="4">
        <f ca="1">('TUSD BE'!$AM$33+'TUSD BF'!$AM$33+'TUSD CVA'!$AM$33)*(1-CUSTOS!$M$38)</f>
        <v>375.01673922321953</v>
      </c>
      <c r="AA929" s="4">
        <f>('TE BE'!$AB$24+'TE BF'!$AB$24+'TE CVA'!$AB$24)*(1-CUSTOS!$M$38)</f>
        <v>316.00497871224974</v>
      </c>
      <c r="AB929" s="4">
        <f>$K$929*$V$929</f>
        <v>0</v>
      </c>
      <c r="AC929" s="4">
        <f>$M$929*$W$929</f>
        <v>-4709.1306299999997</v>
      </c>
      <c r="AD929" s="4">
        <f>$O$929*$X$929</f>
        <v>-4067.9063299999998</v>
      </c>
      <c r="AE929" s="4">
        <f>$K$929*$Y$929</f>
        <v>0</v>
      </c>
      <c r="AF929" s="4">
        <f ca="1">$M$929*$Z$929</f>
        <v>-6446.9127639863664</v>
      </c>
      <c r="AG929" s="4">
        <f>$O$929*$AA$929</f>
        <v>-5432.4415890422852</v>
      </c>
    </row>
    <row r="930" spans="1:33" ht="11.25" customHeight="1" x14ac:dyDescent="0.25">
      <c r="A930" s="3" t="s">
        <v>28</v>
      </c>
      <c r="B930" s="3" t="s">
        <v>43</v>
      </c>
      <c r="C930" s="3" t="s">
        <v>23</v>
      </c>
      <c r="D930" s="3" t="s">
        <v>44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44805</v>
      </c>
      <c r="J930" s="4">
        <v>0</v>
      </c>
      <c r="K930" s="4">
        <v>0</v>
      </c>
      <c r="L930" s="4">
        <v>33.85</v>
      </c>
      <c r="M930" s="4">
        <v>33.85</v>
      </c>
      <c r="N930" s="4">
        <v>33.85</v>
      </c>
      <c r="O930" s="4">
        <v>33.85</v>
      </c>
      <c r="P930" s="4">
        <v>40</v>
      </c>
      <c r="Q930" s="3" t="s">
        <v>26</v>
      </c>
      <c r="R930" s="3">
        <v>0</v>
      </c>
      <c r="S930" s="4">
        <v>0</v>
      </c>
      <c r="T930" s="4">
        <v>45</v>
      </c>
      <c r="U930" s="4">
        <v>77</v>
      </c>
      <c r="V930" s="4">
        <f>IF(ISERROR(VLOOKUP($S$930,'TAR FIN'!$A$1:$O$92,15,0)),0,VLOOKUP($S$930,'TAR FIN'!$A$1:$O$92,15,0))</f>
        <v>0</v>
      </c>
      <c r="W930" s="4">
        <f>IF(ISERROR(VLOOKUP($T$930,'TAR FIN'!$A$1:$O$92,15,0)),0,VLOOKUP($T$930,'TAR FIN'!$A$1:$O$92,15,0))</f>
        <v>273.93</v>
      </c>
      <c r="X930" s="4">
        <f>IF(ISERROR(VLOOKUP($U$930,'TAR FIN'!$A$1:$O$92,15,0)),0,VLOOKUP($U$930,'TAR FIN'!$A$1:$O$92,15,0))</f>
        <v>236.63</v>
      </c>
      <c r="Y930" s="4"/>
      <c r="Z930" s="4">
        <f ca="1">('TUSD BE'!$AM$33+'TUSD BF'!$AM$33+'TUSD CVA'!$AM$33)*(1-CUSTOS!$M$38)</f>
        <v>375.01673922321953</v>
      </c>
      <c r="AA930" s="4">
        <f>('TE BE'!$AB$24+'TE BF'!$AB$24+'TE CVA'!$AB$24)*(1-CUSTOS!$M$38)</f>
        <v>316.00497871224974</v>
      </c>
      <c r="AB930" s="4">
        <f>$K$930*$V$930</f>
        <v>0</v>
      </c>
      <c r="AC930" s="4">
        <f>$M$930*$W$930</f>
        <v>9272.5305000000008</v>
      </c>
      <c r="AD930" s="4">
        <f>$O$930*$X$930</f>
        <v>8009.9255000000003</v>
      </c>
      <c r="AE930" s="4">
        <f>$K$930*$Y$930</f>
        <v>0</v>
      </c>
      <c r="AF930" s="4">
        <f ca="1">$M$930*$Z$930</f>
        <v>12694.316622705981</v>
      </c>
      <c r="AG930" s="4">
        <f>$O$930*$AA$930</f>
        <v>10696.768529409654</v>
      </c>
    </row>
    <row r="931" spans="1:33" ht="11.25" customHeight="1" x14ac:dyDescent="0.25">
      <c r="A931" s="3" t="s">
        <v>55</v>
      </c>
      <c r="B931" s="3" t="s">
        <v>43</v>
      </c>
      <c r="C931" s="3" t="s">
        <v>23</v>
      </c>
      <c r="D931" s="3" t="s">
        <v>44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44835</v>
      </c>
      <c r="J931" s="4">
        <v>0</v>
      </c>
      <c r="K931" s="4">
        <v>0</v>
      </c>
      <c r="L931" s="4">
        <v>4477.0479999999998</v>
      </c>
      <c r="M931" s="4">
        <v>4477.0479999999998</v>
      </c>
      <c r="N931" s="4">
        <v>4477.0479999999998</v>
      </c>
      <c r="O931" s="4">
        <v>4477.0479999999998</v>
      </c>
      <c r="P931" s="4">
        <v>21315</v>
      </c>
      <c r="Q931" s="3" t="s">
        <v>26</v>
      </c>
      <c r="R931" s="3">
        <v>0</v>
      </c>
      <c r="S931" s="4">
        <v>0</v>
      </c>
      <c r="T931" s="4">
        <v>45</v>
      </c>
      <c r="U931" s="4">
        <v>77</v>
      </c>
      <c r="V931" s="4">
        <f>IF(ISERROR(VLOOKUP($S$931,'TAR FIN'!$A$1:$O$92,15,0)),0,VLOOKUP($S$931,'TAR FIN'!$A$1:$O$92,15,0))</f>
        <v>0</v>
      </c>
      <c r="W931" s="4">
        <f>IF(ISERROR(VLOOKUP($T$931,'TAR FIN'!$A$1:$O$92,15,0)),0,VLOOKUP($T$931,'TAR FIN'!$A$1:$O$92,15,0))</f>
        <v>273.93</v>
      </c>
      <c r="X931" s="4">
        <f>IF(ISERROR(VLOOKUP($U$931,'TAR FIN'!$A$1:$O$92,15,0)),0,VLOOKUP($U$931,'TAR FIN'!$A$1:$O$92,15,0))</f>
        <v>236.63</v>
      </c>
      <c r="Y931" s="4"/>
      <c r="Z931" s="4">
        <f ca="1">('TUSD BE'!$AM$33+'TUSD BF'!$AM$33+'TUSD CVA'!$AM$33)*(1-CUSTOS!$M$38)</f>
        <v>375.01673922321953</v>
      </c>
      <c r="AA931" s="4">
        <f>('TE BE'!$AB$24+'TE BF'!$AB$24+'TE CVA'!$AB$24)*(1-CUSTOS!$M$38)</f>
        <v>316.00497871224974</v>
      </c>
      <c r="AB931" s="4">
        <f>$K$931*$V$931</f>
        <v>0</v>
      </c>
      <c r="AC931" s="4">
        <f>$M$931*$W$931</f>
        <v>1226397.7586399999</v>
      </c>
      <c r="AD931" s="4">
        <f>$O$931*$X$931</f>
        <v>1059403.86824</v>
      </c>
      <c r="AE931" s="4">
        <f>$K$931*$Y$931</f>
        <v>0</v>
      </c>
      <c r="AF931" s="4">
        <f ca="1">$M$931*$Z$931</f>
        <v>1678967.9423058364</v>
      </c>
      <c r="AG931" s="4">
        <f>$O$931*$AA$931</f>
        <v>1414769.4579337202</v>
      </c>
    </row>
    <row r="932" spans="1:33" ht="11.25" customHeight="1" x14ac:dyDescent="0.25">
      <c r="A932" s="3" t="s">
        <v>55</v>
      </c>
      <c r="B932" s="3" t="s">
        <v>43</v>
      </c>
      <c r="C932" s="3" t="s">
        <v>23</v>
      </c>
      <c r="D932" s="3" t="s">
        <v>44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44835</v>
      </c>
      <c r="J932" s="4">
        <v>0</v>
      </c>
      <c r="K932" s="4">
        <v>0</v>
      </c>
      <c r="L932" s="4">
        <v>-17.190999999999999</v>
      </c>
      <c r="M932" s="4">
        <v>-17.190999999999999</v>
      </c>
      <c r="N932" s="4">
        <v>-17.190999999999999</v>
      </c>
      <c r="O932" s="4">
        <v>-17.190999999999999</v>
      </c>
      <c r="P932" s="4">
        <v>-48</v>
      </c>
      <c r="Q932" s="3" t="s">
        <v>26</v>
      </c>
      <c r="R932" s="3">
        <v>0</v>
      </c>
      <c r="S932" s="4">
        <v>0</v>
      </c>
      <c r="T932" s="4">
        <v>45</v>
      </c>
      <c r="U932" s="4">
        <v>77</v>
      </c>
      <c r="V932" s="4">
        <f>IF(ISERROR(VLOOKUP($S$932,'TAR FIN'!$A$1:$O$92,15,0)),0,VLOOKUP($S$932,'TAR FIN'!$A$1:$O$92,15,0))</f>
        <v>0</v>
      </c>
      <c r="W932" s="4">
        <f>IF(ISERROR(VLOOKUP($T$932,'TAR FIN'!$A$1:$O$92,15,0)),0,VLOOKUP($T$932,'TAR FIN'!$A$1:$O$92,15,0))</f>
        <v>273.93</v>
      </c>
      <c r="X932" s="4">
        <f>IF(ISERROR(VLOOKUP($U$932,'TAR FIN'!$A$1:$O$92,15,0)),0,VLOOKUP($U$932,'TAR FIN'!$A$1:$O$92,15,0))</f>
        <v>236.63</v>
      </c>
      <c r="Y932" s="4"/>
      <c r="Z932" s="4">
        <f ca="1">('TUSD BE'!$AM$33+'TUSD BF'!$AM$33+'TUSD CVA'!$AM$33)*(1-CUSTOS!$M$38)</f>
        <v>375.01673922321953</v>
      </c>
      <c r="AA932" s="4">
        <f>('TE BE'!$AB$24+'TE BF'!$AB$24+'TE CVA'!$AB$24)*(1-CUSTOS!$M$38)</f>
        <v>316.00497871224974</v>
      </c>
      <c r="AB932" s="4">
        <f>$K$932*$V$932</f>
        <v>0</v>
      </c>
      <c r="AC932" s="4">
        <f>$M$932*$W$932</f>
        <v>-4709.1306299999997</v>
      </c>
      <c r="AD932" s="4">
        <f>$O$932*$X$932</f>
        <v>-4067.9063299999998</v>
      </c>
      <c r="AE932" s="4">
        <f>$K$932*$Y$932</f>
        <v>0</v>
      </c>
      <c r="AF932" s="4">
        <f ca="1">$M$932*$Z$932</f>
        <v>-6446.9127639863664</v>
      </c>
      <c r="AG932" s="4">
        <f>$O$932*$AA$932</f>
        <v>-5432.4415890422852</v>
      </c>
    </row>
    <row r="933" spans="1:33" ht="11.25" customHeight="1" x14ac:dyDescent="0.25">
      <c r="A933" s="3" t="s">
        <v>55</v>
      </c>
      <c r="B933" s="3" t="s">
        <v>43</v>
      </c>
      <c r="C933" s="3" t="s">
        <v>23</v>
      </c>
      <c r="D933" s="3" t="s">
        <v>44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44835</v>
      </c>
      <c r="J933" s="4">
        <v>0</v>
      </c>
      <c r="K933" s="4">
        <v>0</v>
      </c>
      <c r="L933" s="4">
        <v>33.85</v>
      </c>
      <c r="M933" s="4">
        <v>33.85</v>
      </c>
      <c r="N933" s="4">
        <v>33.85</v>
      </c>
      <c r="O933" s="4">
        <v>33.85</v>
      </c>
      <c r="P933" s="4">
        <v>40</v>
      </c>
      <c r="Q933" s="3" t="s">
        <v>26</v>
      </c>
      <c r="R933" s="3">
        <v>0</v>
      </c>
      <c r="S933" s="4">
        <v>0</v>
      </c>
      <c r="T933" s="4">
        <v>45</v>
      </c>
      <c r="U933" s="4">
        <v>77</v>
      </c>
      <c r="V933" s="4">
        <f>IF(ISERROR(VLOOKUP($S$933,'TAR FIN'!$A$1:$O$92,15,0)),0,VLOOKUP($S$933,'TAR FIN'!$A$1:$O$92,15,0))</f>
        <v>0</v>
      </c>
      <c r="W933" s="4">
        <f>IF(ISERROR(VLOOKUP($T$933,'TAR FIN'!$A$1:$O$92,15,0)),0,VLOOKUP($T$933,'TAR FIN'!$A$1:$O$92,15,0))</f>
        <v>273.93</v>
      </c>
      <c r="X933" s="4">
        <f>IF(ISERROR(VLOOKUP($U$933,'TAR FIN'!$A$1:$O$92,15,0)),0,VLOOKUP($U$933,'TAR FIN'!$A$1:$O$92,15,0))</f>
        <v>236.63</v>
      </c>
      <c r="Y933" s="4"/>
      <c r="Z933" s="4">
        <f ca="1">('TUSD BE'!$AM$33+'TUSD BF'!$AM$33+'TUSD CVA'!$AM$33)*(1-CUSTOS!$M$38)</f>
        <v>375.01673922321953</v>
      </c>
      <c r="AA933" s="4">
        <f>('TE BE'!$AB$24+'TE BF'!$AB$24+'TE CVA'!$AB$24)*(1-CUSTOS!$M$38)</f>
        <v>316.00497871224974</v>
      </c>
      <c r="AB933" s="4">
        <f>$K$933*$V$933</f>
        <v>0</v>
      </c>
      <c r="AC933" s="4">
        <f>$M$933*$W$933</f>
        <v>9272.5305000000008</v>
      </c>
      <c r="AD933" s="4">
        <f>$O$933*$X$933</f>
        <v>8009.9255000000003</v>
      </c>
      <c r="AE933" s="4">
        <f>$K$933*$Y$933</f>
        <v>0</v>
      </c>
      <c r="AF933" s="4">
        <f ca="1">$M$933*$Z$933</f>
        <v>12694.316622705981</v>
      </c>
      <c r="AG933" s="4">
        <f>$O$933*$AA$933</f>
        <v>10696.768529409654</v>
      </c>
    </row>
    <row r="934" spans="1:33" ht="11.25" customHeight="1" x14ac:dyDescent="0.25">
      <c r="A934" s="3" t="s">
        <v>21</v>
      </c>
      <c r="B934" s="3" t="s">
        <v>37</v>
      </c>
      <c r="C934" s="3" t="s">
        <v>33</v>
      </c>
      <c r="D934" s="3" t="s">
        <v>42</v>
      </c>
      <c r="E934" s="3" t="s">
        <v>25</v>
      </c>
      <c r="F934" s="3" t="s">
        <v>25</v>
      </c>
      <c r="G934" s="3" t="s">
        <v>25</v>
      </c>
      <c r="H934" s="3" t="s">
        <v>35</v>
      </c>
      <c r="I934" s="6">
        <v>44501</v>
      </c>
      <c r="J934" s="4">
        <v>0</v>
      </c>
      <c r="K934" s="4">
        <v>0</v>
      </c>
      <c r="L934" s="4">
        <v>89.212000000000003</v>
      </c>
      <c r="M934" s="4">
        <v>89.212000000000003</v>
      </c>
      <c r="N934" s="4">
        <v>89.212000000000003</v>
      </c>
      <c r="O934" s="4">
        <v>89.212000000000003</v>
      </c>
      <c r="P934" s="4">
        <v>0</v>
      </c>
      <c r="Q934" s="3" t="s">
        <v>26</v>
      </c>
      <c r="R934" s="3">
        <v>0</v>
      </c>
      <c r="S934" s="4">
        <v>0</v>
      </c>
      <c r="T934" s="4">
        <v>46</v>
      </c>
      <c r="U934" s="4">
        <v>74</v>
      </c>
      <c r="V934" s="4">
        <f>IF(ISERROR(VLOOKUP($S$934,'TAR FIN'!$A$1:$O$92,15,0)),0,VLOOKUP($S$934,'TAR FIN'!$A$1:$O$92,15,0))</f>
        <v>0</v>
      </c>
      <c r="W934" s="4">
        <f>IF(ISERROR(VLOOKUP($T$934,'TAR FIN'!$A$1:$O$92,15,0)),0,VLOOKUP($T$934,'TAR FIN'!$A$1:$O$92,15,0))</f>
        <v>262.64999999999998</v>
      </c>
      <c r="X934" s="4">
        <f>IF(ISERROR(VLOOKUP($U$934,'TAR FIN'!$A$1:$O$92,15,0)),0,VLOOKUP($U$934,'TAR FIN'!$A$1:$O$92,15,0))</f>
        <v>253.9</v>
      </c>
      <c r="Y934" s="4"/>
      <c r="Z934" s="4">
        <f ca="1">('TUSD BE'!$AM$47+'TUSD BF'!$AM$47+'TUSD CVA'!$AM$47)*1</f>
        <v>336.04643285295185</v>
      </c>
      <c r="AA934" s="4">
        <f>('TE BE'!$AB$38+'TE BF'!$AB$38+'TE CVA'!$AB$38)*1</f>
        <v>317.3874512882154</v>
      </c>
      <c r="AB934" s="4">
        <f>$K$934*$V$934</f>
        <v>0</v>
      </c>
      <c r="AC934" s="4">
        <f>$M$934*$W$934</f>
        <v>23431.531799999997</v>
      </c>
      <c r="AD934" s="4">
        <f>$O$934*$X$934</f>
        <v>22650.926800000001</v>
      </c>
      <c r="AE934" s="4">
        <f>$K$934*$Y$934</f>
        <v>0</v>
      </c>
      <c r="AF934" s="4">
        <f ca="1">$M$934*$Z$934</f>
        <v>29979.374367677541</v>
      </c>
      <c r="AG934" s="4">
        <f>$O$934*$AA$934</f>
        <v>28314.769304324273</v>
      </c>
    </row>
    <row r="935" spans="1:33" ht="11.25" customHeight="1" x14ac:dyDescent="0.25">
      <c r="A935" s="3" t="s">
        <v>28</v>
      </c>
      <c r="B935" s="3" t="s">
        <v>37</v>
      </c>
      <c r="C935" s="3" t="s">
        <v>33</v>
      </c>
      <c r="D935" s="3" t="s">
        <v>42</v>
      </c>
      <c r="E935" s="3" t="s">
        <v>25</v>
      </c>
      <c r="F935" s="3" t="s">
        <v>25</v>
      </c>
      <c r="G935" s="3" t="s">
        <v>25</v>
      </c>
      <c r="H935" s="3" t="s">
        <v>35</v>
      </c>
      <c r="I935" s="6">
        <v>44501</v>
      </c>
      <c r="J935" s="4">
        <v>0</v>
      </c>
      <c r="K935" s="4">
        <v>0</v>
      </c>
      <c r="L935" s="4">
        <v>8.1999999999999993</v>
      </c>
      <c r="M935" s="4">
        <v>8.1999999999999993</v>
      </c>
      <c r="N935" s="4">
        <v>8.1999999999999993</v>
      </c>
      <c r="O935" s="4">
        <v>8.1999999999999993</v>
      </c>
      <c r="P935" s="4">
        <v>0</v>
      </c>
      <c r="Q935" s="3" t="s">
        <v>26</v>
      </c>
      <c r="R935" s="3">
        <v>0</v>
      </c>
      <c r="S935" s="4">
        <v>0</v>
      </c>
      <c r="T935" s="4">
        <v>46</v>
      </c>
      <c r="U935" s="4">
        <v>74</v>
      </c>
      <c r="V935" s="4">
        <f>IF(ISERROR(VLOOKUP($S$935,'TAR FIN'!$A$1:$O$92,15,0)),0,VLOOKUP($S$935,'TAR FIN'!$A$1:$O$92,15,0))</f>
        <v>0</v>
      </c>
      <c r="W935" s="4">
        <f>IF(ISERROR(VLOOKUP($T$935,'TAR FIN'!$A$1:$O$92,15,0)),0,VLOOKUP($T$935,'TAR FIN'!$A$1:$O$92,15,0))</f>
        <v>262.64999999999998</v>
      </c>
      <c r="X935" s="4">
        <f>IF(ISERROR(VLOOKUP($U$935,'TAR FIN'!$A$1:$O$92,15,0)),0,VLOOKUP($U$935,'TAR FIN'!$A$1:$O$92,15,0))</f>
        <v>253.9</v>
      </c>
      <c r="Y935" s="4"/>
      <c r="Z935" s="4">
        <f ca="1">('TUSD BE'!$AM$47+'TUSD BF'!$AM$47+'TUSD CVA'!$AM$47)*1</f>
        <v>336.04643285295185</v>
      </c>
      <c r="AA935" s="4">
        <f>('TE BE'!$AB$38+'TE BF'!$AB$38+'TE CVA'!$AB$38)*1</f>
        <v>317.3874512882154</v>
      </c>
      <c r="AB935" s="4">
        <f>$K$935*$V$935</f>
        <v>0</v>
      </c>
      <c r="AC935" s="4">
        <f>$M$935*$W$935</f>
        <v>2153.7299999999996</v>
      </c>
      <c r="AD935" s="4">
        <f>$O$935*$X$935</f>
        <v>2081.98</v>
      </c>
      <c r="AE935" s="4">
        <f>$K$935*$Y$935</f>
        <v>0</v>
      </c>
      <c r="AF935" s="4">
        <f ca="1">$M$935*$Z$935</f>
        <v>2755.5807493942048</v>
      </c>
      <c r="AG935" s="4">
        <f>$O$935*$AA$935</f>
        <v>2602.577100563366</v>
      </c>
    </row>
    <row r="936" spans="1:33" ht="11.25" customHeight="1" x14ac:dyDescent="0.25">
      <c r="A936" s="3" t="s">
        <v>21</v>
      </c>
      <c r="B936" s="3" t="s">
        <v>37</v>
      </c>
      <c r="C936" s="3" t="s">
        <v>33</v>
      </c>
      <c r="D936" s="3" t="s">
        <v>42</v>
      </c>
      <c r="E936" s="3" t="s">
        <v>25</v>
      </c>
      <c r="F936" s="3" t="s">
        <v>25</v>
      </c>
      <c r="G936" s="3" t="s">
        <v>25</v>
      </c>
      <c r="H936" s="3" t="s">
        <v>35</v>
      </c>
      <c r="I936" s="6">
        <v>44531</v>
      </c>
      <c r="J936" s="4">
        <v>0</v>
      </c>
      <c r="K936" s="4">
        <v>0</v>
      </c>
      <c r="L936" s="4">
        <v>88.055000000000007</v>
      </c>
      <c r="M936" s="4">
        <v>88.055000000000007</v>
      </c>
      <c r="N936" s="4">
        <v>88.055000000000007</v>
      </c>
      <c r="O936" s="4">
        <v>88.055000000000007</v>
      </c>
      <c r="P936" s="4">
        <v>0</v>
      </c>
      <c r="Q936" s="3" t="s">
        <v>26</v>
      </c>
      <c r="R936" s="3">
        <v>0</v>
      </c>
      <c r="S936" s="4">
        <v>0</v>
      </c>
      <c r="T936" s="4">
        <v>46</v>
      </c>
      <c r="U936" s="4">
        <v>74</v>
      </c>
      <c r="V936" s="4">
        <f>IF(ISERROR(VLOOKUP($S$936,'TAR FIN'!$A$1:$O$92,15,0)),0,VLOOKUP($S$936,'TAR FIN'!$A$1:$O$92,15,0))</f>
        <v>0</v>
      </c>
      <c r="W936" s="4">
        <f>IF(ISERROR(VLOOKUP($T$936,'TAR FIN'!$A$1:$O$92,15,0)),0,VLOOKUP($T$936,'TAR FIN'!$A$1:$O$92,15,0))</f>
        <v>262.64999999999998</v>
      </c>
      <c r="X936" s="4">
        <f>IF(ISERROR(VLOOKUP($U$936,'TAR FIN'!$A$1:$O$92,15,0)),0,VLOOKUP($U$936,'TAR FIN'!$A$1:$O$92,15,0))</f>
        <v>253.9</v>
      </c>
      <c r="Y936" s="4"/>
      <c r="Z936" s="4">
        <f ca="1">('TUSD BE'!$AM$47+'TUSD BF'!$AM$47+'TUSD CVA'!$AM$47)*1</f>
        <v>336.04643285295185</v>
      </c>
      <c r="AA936" s="4">
        <f>('TE BE'!$AB$38+'TE BF'!$AB$38+'TE CVA'!$AB$38)*1</f>
        <v>317.3874512882154</v>
      </c>
      <c r="AB936" s="4">
        <f>$K$936*$V$936</f>
        <v>0</v>
      </c>
      <c r="AC936" s="4">
        <f>$M$936*$W$936</f>
        <v>23127.64575</v>
      </c>
      <c r="AD936" s="4">
        <f>$O$936*$X$936</f>
        <v>22357.164500000003</v>
      </c>
      <c r="AE936" s="4">
        <f>$K$936*$Y$936</f>
        <v>0</v>
      </c>
      <c r="AF936" s="4">
        <f ca="1">$M$936*$Z$936</f>
        <v>29590.568644866678</v>
      </c>
      <c r="AG936" s="4">
        <f>$O$936*$AA$936</f>
        <v>27947.552023183809</v>
      </c>
    </row>
    <row r="937" spans="1:33" ht="11.25" customHeight="1" x14ac:dyDescent="0.25">
      <c r="A937" s="3" t="s">
        <v>28</v>
      </c>
      <c r="B937" s="3" t="s">
        <v>37</v>
      </c>
      <c r="C937" s="3" t="s">
        <v>33</v>
      </c>
      <c r="D937" s="3" t="s">
        <v>42</v>
      </c>
      <c r="E937" s="3" t="s">
        <v>25</v>
      </c>
      <c r="F937" s="3" t="s">
        <v>25</v>
      </c>
      <c r="G937" s="3" t="s">
        <v>25</v>
      </c>
      <c r="H937" s="3" t="s">
        <v>35</v>
      </c>
      <c r="I937" s="6">
        <v>44531</v>
      </c>
      <c r="J937" s="4">
        <v>0</v>
      </c>
      <c r="K937" s="4">
        <v>0</v>
      </c>
      <c r="L937" s="4">
        <v>8.4789999999999992</v>
      </c>
      <c r="M937" s="4">
        <v>8.4789999999999992</v>
      </c>
      <c r="N937" s="4">
        <v>8.4789999999999992</v>
      </c>
      <c r="O937" s="4">
        <v>8.4789999999999992</v>
      </c>
      <c r="P937" s="4">
        <v>0</v>
      </c>
      <c r="Q937" s="3" t="s">
        <v>26</v>
      </c>
      <c r="R937" s="3">
        <v>0</v>
      </c>
      <c r="S937" s="4">
        <v>0</v>
      </c>
      <c r="T937" s="4">
        <v>46</v>
      </c>
      <c r="U937" s="4">
        <v>74</v>
      </c>
      <c r="V937" s="4">
        <f>IF(ISERROR(VLOOKUP($S$937,'TAR FIN'!$A$1:$O$92,15,0)),0,VLOOKUP($S$937,'TAR FIN'!$A$1:$O$92,15,0))</f>
        <v>0</v>
      </c>
      <c r="W937" s="4">
        <f>IF(ISERROR(VLOOKUP($T$937,'TAR FIN'!$A$1:$O$92,15,0)),0,VLOOKUP($T$937,'TAR FIN'!$A$1:$O$92,15,0))</f>
        <v>262.64999999999998</v>
      </c>
      <c r="X937" s="4">
        <f>IF(ISERROR(VLOOKUP($U$937,'TAR FIN'!$A$1:$O$92,15,0)),0,VLOOKUP($U$937,'TAR FIN'!$A$1:$O$92,15,0))</f>
        <v>253.9</v>
      </c>
      <c r="Y937" s="4"/>
      <c r="Z937" s="4">
        <f ca="1">('TUSD BE'!$AM$47+'TUSD BF'!$AM$47+'TUSD CVA'!$AM$47)*1</f>
        <v>336.04643285295185</v>
      </c>
      <c r="AA937" s="4">
        <f>('TE BE'!$AB$38+'TE BF'!$AB$38+'TE CVA'!$AB$38)*1</f>
        <v>317.3874512882154</v>
      </c>
      <c r="AB937" s="4">
        <f>$K$937*$V$937</f>
        <v>0</v>
      </c>
      <c r="AC937" s="4">
        <f>$M$937*$W$937</f>
        <v>2227.0093499999998</v>
      </c>
      <c r="AD937" s="4">
        <f>$O$937*$X$937</f>
        <v>2152.8181</v>
      </c>
      <c r="AE937" s="4">
        <f>$K$937*$Y$937</f>
        <v>0</v>
      </c>
      <c r="AF937" s="4">
        <f ca="1">$M$937*$Z$937</f>
        <v>2849.3377041601784</v>
      </c>
      <c r="AG937" s="4">
        <f>$O$937*$AA$937</f>
        <v>2691.1281994727783</v>
      </c>
    </row>
    <row r="938" spans="1:33" ht="11.25" customHeight="1" x14ac:dyDescent="0.25">
      <c r="A938" s="3" t="s">
        <v>21</v>
      </c>
      <c r="B938" s="3" t="s">
        <v>37</v>
      </c>
      <c r="C938" s="3" t="s">
        <v>33</v>
      </c>
      <c r="D938" s="3" t="s">
        <v>42</v>
      </c>
      <c r="E938" s="3" t="s">
        <v>25</v>
      </c>
      <c r="F938" s="3" t="s">
        <v>25</v>
      </c>
      <c r="G938" s="3" t="s">
        <v>25</v>
      </c>
      <c r="H938" s="3" t="s">
        <v>35</v>
      </c>
      <c r="I938" s="6">
        <v>44562</v>
      </c>
      <c r="J938" s="4">
        <v>0</v>
      </c>
      <c r="K938" s="4">
        <v>0</v>
      </c>
      <c r="L938" s="4">
        <v>73.453000000000003</v>
      </c>
      <c r="M938" s="4">
        <v>73.453000000000003</v>
      </c>
      <c r="N938" s="4">
        <v>73.453000000000003</v>
      </c>
      <c r="O938" s="4">
        <v>73.453000000000003</v>
      </c>
      <c r="P938" s="4">
        <v>0</v>
      </c>
      <c r="Q938" s="3" t="s">
        <v>26</v>
      </c>
      <c r="R938" s="3">
        <v>0</v>
      </c>
      <c r="S938" s="4">
        <v>0</v>
      </c>
      <c r="T938" s="4">
        <v>46</v>
      </c>
      <c r="U938" s="4">
        <v>74</v>
      </c>
      <c r="V938" s="4">
        <f>IF(ISERROR(VLOOKUP($S$938,'TAR FIN'!$A$1:$O$92,15,0)),0,VLOOKUP($S$938,'TAR FIN'!$A$1:$O$92,15,0))</f>
        <v>0</v>
      </c>
      <c r="W938" s="4">
        <f>IF(ISERROR(VLOOKUP($T$938,'TAR FIN'!$A$1:$O$92,15,0)),0,VLOOKUP($T$938,'TAR FIN'!$A$1:$O$92,15,0))</f>
        <v>262.64999999999998</v>
      </c>
      <c r="X938" s="4">
        <f>IF(ISERROR(VLOOKUP($U$938,'TAR FIN'!$A$1:$O$92,15,0)),0,VLOOKUP($U$938,'TAR FIN'!$A$1:$O$92,15,0))</f>
        <v>253.9</v>
      </c>
      <c r="Y938" s="4"/>
      <c r="Z938" s="4">
        <f ca="1">('TUSD BE'!$AM$47+'TUSD BF'!$AM$47+'TUSD CVA'!$AM$47)*1</f>
        <v>336.04643285295185</v>
      </c>
      <c r="AA938" s="4">
        <f>('TE BE'!$AB$38+'TE BF'!$AB$38+'TE CVA'!$AB$38)*1</f>
        <v>317.3874512882154</v>
      </c>
      <c r="AB938" s="4">
        <f>$K$938*$V$938</f>
        <v>0</v>
      </c>
      <c r="AC938" s="4">
        <f>$M$938*$W$938</f>
        <v>19292.43045</v>
      </c>
      <c r="AD938" s="4">
        <f>$O$938*$X$938</f>
        <v>18649.716700000001</v>
      </c>
      <c r="AE938" s="4">
        <f>$K$938*$Y$938</f>
        <v>0</v>
      </c>
      <c r="AF938" s="4">
        <f ca="1">$M$938*$Z$938</f>
        <v>24683.618632347872</v>
      </c>
      <c r="AG938" s="4">
        <f>$O$938*$AA$938</f>
        <v>23313.060459473287</v>
      </c>
    </row>
    <row r="939" spans="1:33" ht="11.25" customHeight="1" x14ac:dyDescent="0.25">
      <c r="A939" s="3" t="s">
        <v>28</v>
      </c>
      <c r="B939" s="3" t="s">
        <v>37</v>
      </c>
      <c r="C939" s="3" t="s">
        <v>33</v>
      </c>
      <c r="D939" s="3" t="s">
        <v>42</v>
      </c>
      <c r="E939" s="3" t="s">
        <v>25</v>
      </c>
      <c r="F939" s="3" t="s">
        <v>25</v>
      </c>
      <c r="G939" s="3" t="s">
        <v>25</v>
      </c>
      <c r="H939" s="3" t="s">
        <v>35</v>
      </c>
      <c r="I939" s="6">
        <v>44562</v>
      </c>
      <c r="J939" s="4">
        <v>0</v>
      </c>
      <c r="K939" s="4">
        <v>0</v>
      </c>
      <c r="L939" s="4">
        <v>7.1130000000000004</v>
      </c>
      <c r="M939" s="4">
        <v>7.1130000000000004</v>
      </c>
      <c r="N939" s="4">
        <v>7.1130000000000004</v>
      </c>
      <c r="O939" s="4">
        <v>7.1130000000000004</v>
      </c>
      <c r="P939" s="4">
        <v>0</v>
      </c>
      <c r="Q939" s="3" t="s">
        <v>26</v>
      </c>
      <c r="R939" s="3">
        <v>0</v>
      </c>
      <c r="S939" s="4">
        <v>0</v>
      </c>
      <c r="T939" s="4">
        <v>46</v>
      </c>
      <c r="U939" s="4">
        <v>74</v>
      </c>
      <c r="V939" s="4">
        <f>IF(ISERROR(VLOOKUP($S$939,'TAR FIN'!$A$1:$O$92,15,0)),0,VLOOKUP($S$939,'TAR FIN'!$A$1:$O$92,15,0))</f>
        <v>0</v>
      </c>
      <c r="W939" s="4">
        <f>IF(ISERROR(VLOOKUP($T$939,'TAR FIN'!$A$1:$O$92,15,0)),0,VLOOKUP($T$939,'TAR FIN'!$A$1:$O$92,15,0))</f>
        <v>262.64999999999998</v>
      </c>
      <c r="X939" s="4">
        <f>IF(ISERROR(VLOOKUP($U$939,'TAR FIN'!$A$1:$O$92,15,0)),0,VLOOKUP($U$939,'TAR FIN'!$A$1:$O$92,15,0))</f>
        <v>253.9</v>
      </c>
      <c r="Y939" s="4"/>
      <c r="Z939" s="4">
        <f ca="1">('TUSD BE'!$AM$47+'TUSD BF'!$AM$47+'TUSD CVA'!$AM$47)*1</f>
        <v>336.04643285295185</v>
      </c>
      <c r="AA939" s="4">
        <f>('TE BE'!$AB$38+'TE BF'!$AB$38+'TE CVA'!$AB$38)*1</f>
        <v>317.3874512882154</v>
      </c>
      <c r="AB939" s="4">
        <f>$K$939*$V$939</f>
        <v>0</v>
      </c>
      <c r="AC939" s="4">
        <f>$M$939*$W$939</f>
        <v>1868.22945</v>
      </c>
      <c r="AD939" s="4">
        <f>$O$939*$X$939</f>
        <v>1805.9907000000001</v>
      </c>
      <c r="AE939" s="4">
        <f>$K$939*$Y$939</f>
        <v>0</v>
      </c>
      <c r="AF939" s="4">
        <f ca="1">$M$939*$Z$939</f>
        <v>2390.2982768830466</v>
      </c>
      <c r="AG939" s="4">
        <f>$O$939*$AA$939</f>
        <v>2257.5769410130761</v>
      </c>
    </row>
    <row r="940" spans="1:33" ht="11.25" customHeight="1" x14ac:dyDescent="0.25">
      <c r="A940" s="3" t="s">
        <v>21</v>
      </c>
      <c r="B940" s="3" t="s">
        <v>37</v>
      </c>
      <c r="C940" s="3" t="s">
        <v>33</v>
      </c>
      <c r="D940" s="3" t="s">
        <v>42</v>
      </c>
      <c r="E940" s="3" t="s">
        <v>25</v>
      </c>
      <c r="F940" s="3" t="s">
        <v>25</v>
      </c>
      <c r="G940" s="3" t="s">
        <v>25</v>
      </c>
      <c r="H940" s="3" t="s">
        <v>35</v>
      </c>
      <c r="I940" s="6">
        <v>44593</v>
      </c>
      <c r="J940" s="4">
        <v>0</v>
      </c>
      <c r="K940" s="4">
        <v>0</v>
      </c>
      <c r="L940" s="4">
        <v>80.587000000000003</v>
      </c>
      <c r="M940" s="4">
        <v>80.587000000000003</v>
      </c>
      <c r="N940" s="4">
        <v>80.587000000000003</v>
      </c>
      <c r="O940" s="4">
        <v>80.587000000000003</v>
      </c>
      <c r="P940" s="4">
        <v>0</v>
      </c>
      <c r="Q940" s="3" t="s">
        <v>26</v>
      </c>
      <c r="R940" s="3">
        <v>0</v>
      </c>
      <c r="S940" s="4">
        <v>0</v>
      </c>
      <c r="T940" s="4">
        <v>46</v>
      </c>
      <c r="U940" s="4">
        <v>74</v>
      </c>
      <c r="V940" s="4">
        <f>IF(ISERROR(VLOOKUP($S$940,'TAR FIN'!$A$1:$O$92,15,0)),0,VLOOKUP($S$940,'TAR FIN'!$A$1:$O$92,15,0))</f>
        <v>0</v>
      </c>
      <c r="W940" s="4">
        <f>IF(ISERROR(VLOOKUP($T$940,'TAR FIN'!$A$1:$O$92,15,0)),0,VLOOKUP($T$940,'TAR FIN'!$A$1:$O$92,15,0))</f>
        <v>262.64999999999998</v>
      </c>
      <c r="X940" s="4">
        <f>IF(ISERROR(VLOOKUP($U$940,'TAR FIN'!$A$1:$O$92,15,0)),0,VLOOKUP($U$940,'TAR FIN'!$A$1:$O$92,15,0))</f>
        <v>253.9</v>
      </c>
      <c r="Y940" s="4"/>
      <c r="Z940" s="4">
        <f ca="1">('TUSD BE'!$AM$47+'TUSD BF'!$AM$47+'TUSD CVA'!$AM$47)*1</f>
        <v>336.04643285295185</v>
      </c>
      <c r="AA940" s="4">
        <f>('TE BE'!$AB$38+'TE BF'!$AB$38+'TE CVA'!$AB$38)*1</f>
        <v>317.3874512882154</v>
      </c>
      <c r="AB940" s="4">
        <f>$K$940*$V$940</f>
        <v>0</v>
      </c>
      <c r="AC940" s="4">
        <f>$M$940*$W$940</f>
        <v>21166.17555</v>
      </c>
      <c r="AD940" s="4">
        <f>$O$940*$X$940</f>
        <v>20461.0393</v>
      </c>
      <c r="AE940" s="4">
        <f>$K$940*$Y$940</f>
        <v>0</v>
      </c>
      <c r="AF940" s="4">
        <f ca="1">$M$940*$Z$940</f>
        <v>27080.973884320832</v>
      </c>
      <c r="AG940" s="4">
        <f>$O$940*$AA$940</f>
        <v>25577.302536963416</v>
      </c>
    </row>
    <row r="941" spans="1:33" ht="11.25" customHeight="1" x14ac:dyDescent="0.25">
      <c r="A941" s="3" t="s">
        <v>28</v>
      </c>
      <c r="B941" s="3" t="s">
        <v>37</v>
      </c>
      <c r="C941" s="3" t="s">
        <v>33</v>
      </c>
      <c r="D941" s="3" t="s">
        <v>42</v>
      </c>
      <c r="E941" s="3" t="s">
        <v>25</v>
      </c>
      <c r="F941" s="3" t="s">
        <v>25</v>
      </c>
      <c r="G941" s="3" t="s">
        <v>25</v>
      </c>
      <c r="H941" s="3" t="s">
        <v>35</v>
      </c>
      <c r="I941" s="6">
        <v>44593</v>
      </c>
      <c r="J941" s="4">
        <v>0</v>
      </c>
      <c r="K941" s="4">
        <v>0</v>
      </c>
      <c r="L941" s="4">
        <v>6.3689999999999998</v>
      </c>
      <c r="M941" s="4">
        <v>6.3689999999999998</v>
      </c>
      <c r="N941" s="4">
        <v>6.3689999999999998</v>
      </c>
      <c r="O941" s="4">
        <v>6.3689999999999998</v>
      </c>
      <c r="P941" s="4">
        <v>0</v>
      </c>
      <c r="Q941" s="3" t="s">
        <v>26</v>
      </c>
      <c r="R941" s="3">
        <v>0</v>
      </c>
      <c r="S941" s="4">
        <v>0</v>
      </c>
      <c r="T941" s="4">
        <v>46</v>
      </c>
      <c r="U941" s="4">
        <v>74</v>
      </c>
      <c r="V941" s="4">
        <f>IF(ISERROR(VLOOKUP($S$941,'TAR FIN'!$A$1:$O$92,15,0)),0,VLOOKUP($S$941,'TAR FIN'!$A$1:$O$92,15,0))</f>
        <v>0</v>
      </c>
      <c r="W941" s="4">
        <f>IF(ISERROR(VLOOKUP($T$941,'TAR FIN'!$A$1:$O$92,15,0)),0,VLOOKUP($T$941,'TAR FIN'!$A$1:$O$92,15,0))</f>
        <v>262.64999999999998</v>
      </c>
      <c r="X941" s="4">
        <f>IF(ISERROR(VLOOKUP($U$941,'TAR FIN'!$A$1:$O$92,15,0)),0,VLOOKUP($U$941,'TAR FIN'!$A$1:$O$92,15,0))</f>
        <v>253.9</v>
      </c>
      <c r="Y941" s="4"/>
      <c r="Z941" s="4">
        <f ca="1">('TUSD BE'!$AM$47+'TUSD BF'!$AM$47+'TUSD CVA'!$AM$47)*1</f>
        <v>336.04643285295185</v>
      </c>
      <c r="AA941" s="4">
        <f>('TE BE'!$AB$38+'TE BF'!$AB$38+'TE CVA'!$AB$38)*1</f>
        <v>317.3874512882154</v>
      </c>
      <c r="AB941" s="4">
        <f>$K$941*$V$941</f>
        <v>0</v>
      </c>
      <c r="AC941" s="4">
        <f>$M$941*$W$941</f>
        <v>1672.8178499999999</v>
      </c>
      <c r="AD941" s="4">
        <f>$O$941*$X$941</f>
        <v>1617.0890999999999</v>
      </c>
      <c r="AE941" s="4">
        <f>$K$941*$Y$941</f>
        <v>0</v>
      </c>
      <c r="AF941" s="4">
        <f ca="1">$M$941*$Z$941</f>
        <v>2140.2797308404502</v>
      </c>
      <c r="AG941" s="4">
        <f>$O$941*$AA$941</f>
        <v>2021.4406772546438</v>
      </c>
    </row>
    <row r="942" spans="1:33" ht="11.25" customHeight="1" x14ac:dyDescent="0.25">
      <c r="A942" s="3" t="s">
        <v>21</v>
      </c>
      <c r="B942" s="3" t="s">
        <v>37</v>
      </c>
      <c r="C942" s="3" t="s">
        <v>33</v>
      </c>
      <c r="D942" s="3" t="s">
        <v>42</v>
      </c>
      <c r="E942" s="3" t="s">
        <v>25</v>
      </c>
      <c r="F942" s="3" t="s">
        <v>25</v>
      </c>
      <c r="G942" s="3" t="s">
        <v>25</v>
      </c>
      <c r="H942" s="3" t="s">
        <v>35</v>
      </c>
      <c r="I942" s="6">
        <v>44621</v>
      </c>
      <c r="J942" s="4">
        <v>0</v>
      </c>
      <c r="K942" s="4">
        <v>0</v>
      </c>
      <c r="L942" s="4">
        <v>91.36</v>
      </c>
      <c r="M942" s="4">
        <v>91.36</v>
      </c>
      <c r="N942" s="4">
        <v>91.36</v>
      </c>
      <c r="O942" s="4">
        <v>91.36</v>
      </c>
      <c r="P942" s="4">
        <v>0</v>
      </c>
      <c r="Q942" s="3" t="s">
        <v>26</v>
      </c>
      <c r="R942" s="3">
        <v>0</v>
      </c>
      <c r="S942" s="4">
        <v>0</v>
      </c>
      <c r="T942" s="4">
        <v>46</v>
      </c>
      <c r="U942" s="4">
        <v>74</v>
      </c>
      <c r="V942" s="4">
        <f>IF(ISERROR(VLOOKUP($S$942,'TAR FIN'!$A$1:$O$92,15,0)),0,VLOOKUP($S$942,'TAR FIN'!$A$1:$O$92,15,0))</f>
        <v>0</v>
      </c>
      <c r="W942" s="4">
        <f>IF(ISERROR(VLOOKUP($T$942,'TAR FIN'!$A$1:$O$92,15,0)),0,VLOOKUP($T$942,'TAR FIN'!$A$1:$O$92,15,0))</f>
        <v>262.64999999999998</v>
      </c>
      <c r="X942" s="4">
        <f>IF(ISERROR(VLOOKUP($U$942,'TAR FIN'!$A$1:$O$92,15,0)),0,VLOOKUP($U$942,'TAR FIN'!$A$1:$O$92,15,0))</f>
        <v>253.9</v>
      </c>
      <c r="Y942" s="4"/>
      <c r="Z942" s="4">
        <f ca="1">('TUSD BE'!$AM$47+'TUSD BF'!$AM$47+'TUSD CVA'!$AM$47)*1</f>
        <v>336.04643285295185</v>
      </c>
      <c r="AA942" s="4">
        <f>('TE BE'!$AB$38+'TE BF'!$AB$38+'TE CVA'!$AB$38)*1</f>
        <v>317.3874512882154</v>
      </c>
      <c r="AB942" s="4">
        <f>$K$942*$V$942</f>
        <v>0</v>
      </c>
      <c r="AC942" s="4">
        <f>$M$942*$W$942</f>
        <v>23995.703999999998</v>
      </c>
      <c r="AD942" s="4">
        <f>$O$942*$X$942</f>
        <v>23196.304</v>
      </c>
      <c r="AE942" s="4">
        <f>$K$942*$Y$942</f>
        <v>0</v>
      </c>
      <c r="AF942" s="4">
        <f ca="1">$M$942*$Z$942</f>
        <v>30701.202105445682</v>
      </c>
      <c r="AG942" s="4">
        <f>$O$942*$AA$942</f>
        <v>28996.517549691358</v>
      </c>
    </row>
    <row r="943" spans="1:33" ht="11.25" customHeight="1" x14ac:dyDescent="0.25">
      <c r="A943" s="3" t="s">
        <v>28</v>
      </c>
      <c r="B943" s="3" t="s">
        <v>37</v>
      </c>
      <c r="C943" s="3" t="s">
        <v>33</v>
      </c>
      <c r="D943" s="3" t="s">
        <v>42</v>
      </c>
      <c r="E943" s="3" t="s">
        <v>25</v>
      </c>
      <c r="F943" s="3" t="s">
        <v>25</v>
      </c>
      <c r="G943" s="3" t="s">
        <v>25</v>
      </c>
      <c r="H943" s="3" t="s">
        <v>35</v>
      </c>
      <c r="I943" s="6">
        <v>44621</v>
      </c>
      <c r="J943" s="4">
        <v>0</v>
      </c>
      <c r="K943" s="4">
        <v>0</v>
      </c>
      <c r="L943" s="4">
        <v>4.6559999999999997</v>
      </c>
      <c r="M943" s="4">
        <v>4.6559999999999997</v>
      </c>
      <c r="N943" s="4">
        <v>4.6559999999999997</v>
      </c>
      <c r="O943" s="4">
        <v>4.6559999999999997</v>
      </c>
      <c r="P943" s="4">
        <v>0</v>
      </c>
      <c r="Q943" s="3" t="s">
        <v>26</v>
      </c>
      <c r="R943" s="3">
        <v>0</v>
      </c>
      <c r="S943" s="4">
        <v>0</v>
      </c>
      <c r="T943" s="4">
        <v>46</v>
      </c>
      <c r="U943" s="4">
        <v>74</v>
      </c>
      <c r="V943" s="4">
        <f>IF(ISERROR(VLOOKUP($S$943,'TAR FIN'!$A$1:$O$92,15,0)),0,VLOOKUP($S$943,'TAR FIN'!$A$1:$O$92,15,0))</f>
        <v>0</v>
      </c>
      <c r="W943" s="4">
        <f>IF(ISERROR(VLOOKUP($T$943,'TAR FIN'!$A$1:$O$92,15,0)),0,VLOOKUP($T$943,'TAR FIN'!$A$1:$O$92,15,0))</f>
        <v>262.64999999999998</v>
      </c>
      <c r="X943" s="4">
        <f>IF(ISERROR(VLOOKUP($U$943,'TAR FIN'!$A$1:$O$92,15,0)),0,VLOOKUP($U$943,'TAR FIN'!$A$1:$O$92,15,0))</f>
        <v>253.9</v>
      </c>
      <c r="Y943" s="4"/>
      <c r="Z943" s="4">
        <f ca="1">('TUSD BE'!$AM$47+'TUSD BF'!$AM$47+'TUSD CVA'!$AM$47)*1</f>
        <v>336.04643285295185</v>
      </c>
      <c r="AA943" s="4">
        <f>('TE BE'!$AB$38+'TE BF'!$AB$38+'TE CVA'!$AB$38)*1</f>
        <v>317.3874512882154</v>
      </c>
      <c r="AB943" s="4">
        <f>$K$943*$V$943</f>
        <v>0</v>
      </c>
      <c r="AC943" s="4">
        <f>$M$943*$W$943</f>
        <v>1222.8983999999998</v>
      </c>
      <c r="AD943" s="4">
        <f>$O$943*$X$943</f>
        <v>1182.1584</v>
      </c>
      <c r="AE943" s="4">
        <f>$K$943*$Y$943</f>
        <v>0</v>
      </c>
      <c r="AF943" s="4">
        <f ca="1">$M$943*$Z$943</f>
        <v>1564.6321913633437</v>
      </c>
      <c r="AG943" s="4">
        <f>$O$943*$AA$943</f>
        <v>1477.7559731979309</v>
      </c>
    </row>
    <row r="944" spans="1:33" ht="11.25" customHeight="1" x14ac:dyDescent="0.25">
      <c r="A944" s="3" t="s">
        <v>21</v>
      </c>
      <c r="B944" s="3" t="s">
        <v>37</v>
      </c>
      <c r="C944" s="3" t="s">
        <v>33</v>
      </c>
      <c r="D944" s="3" t="s">
        <v>42</v>
      </c>
      <c r="E944" s="3" t="s">
        <v>25</v>
      </c>
      <c r="F944" s="3" t="s">
        <v>25</v>
      </c>
      <c r="G944" s="3" t="s">
        <v>25</v>
      </c>
      <c r="H944" s="3" t="s">
        <v>35</v>
      </c>
      <c r="I944" s="6">
        <v>44652</v>
      </c>
      <c r="J944" s="4">
        <v>0</v>
      </c>
      <c r="K944" s="4">
        <v>0</v>
      </c>
      <c r="L944" s="4">
        <v>91.36</v>
      </c>
      <c r="M944" s="4">
        <v>91.36</v>
      </c>
      <c r="N944" s="4">
        <v>91.36</v>
      </c>
      <c r="O944" s="4">
        <v>91.36</v>
      </c>
      <c r="P944" s="4">
        <v>0</v>
      </c>
      <c r="Q944" s="3" t="s">
        <v>26</v>
      </c>
      <c r="R944" s="3">
        <v>0</v>
      </c>
      <c r="S944" s="4">
        <v>0</v>
      </c>
      <c r="T944" s="4">
        <v>46</v>
      </c>
      <c r="U944" s="4">
        <v>74</v>
      </c>
      <c r="V944" s="4">
        <f>IF(ISERROR(VLOOKUP($S$944,'TAR FIN'!$A$1:$O$92,15,0)),0,VLOOKUP($S$944,'TAR FIN'!$A$1:$O$92,15,0))</f>
        <v>0</v>
      </c>
      <c r="W944" s="4">
        <f>IF(ISERROR(VLOOKUP($T$944,'TAR FIN'!$A$1:$O$92,15,0)),0,VLOOKUP($T$944,'TAR FIN'!$A$1:$O$92,15,0))</f>
        <v>262.64999999999998</v>
      </c>
      <c r="X944" s="4">
        <f>IF(ISERROR(VLOOKUP($U$944,'TAR FIN'!$A$1:$O$92,15,0)),0,VLOOKUP($U$944,'TAR FIN'!$A$1:$O$92,15,0))</f>
        <v>253.9</v>
      </c>
      <c r="Y944" s="4"/>
      <c r="Z944" s="4">
        <f ca="1">('TUSD BE'!$AM$47+'TUSD BF'!$AM$47+'TUSD CVA'!$AM$47)*1</f>
        <v>336.04643285295185</v>
      </c>
      <c r="AA944" s="4">
        <f>('TE BE'!$AB$38+'TE BF'!$AB$38+'TE CVA'!$AB$38)*1</f>
        <v>317.3874512882154</v>
      </c>
      <c r="AB944" s="4">
        <f>$K$944*$V$944</f>
        <v>0</v>
      </c>
      <c r="AC944" s="4">
        <f>$M$944*$W$944</f>
        <v>23995.703999999998</v>
      </c>
      <c r="AD944" s="4">
        <f>$O$944*$X$944</f>
        <v>23196.304</v>
      </c>
      <c r="AE944" s="4">
        <f>$K$944*$Y$944</f>
        <v>0</v>
      </c>
      <c r="AF944" s="4">
        <f ca="1">$M$944*$Z$944</f>
        <v>30701.202105445682</v>
      </c>
      <c r="AG944" s="4">
        <f>$O$944*$AA$944</f>
        <v>28996.517549691358</v>
      </c>
    </row>
    <row r="945" spans="1:33" ht="11.25" customHeight="1" x14ac:dyDescent="0.25">
      <c r="A945" s="3" t="s">
        <v>28</v>
      </c>
      <c r="B945" s="3" t="s">
        <v>37</v>
      </c>
      <c r="C945" s="3" t="s">
        <v>33</v>
      </c>
      <c r="D945" s="3" t="s">
        <v>42</v>
      </c>
      <c r="E945" s="3" t="s">
        <v>25</v>
      </c>
      <c r="F945" s="3" t="s">
        <v>25</v>
      </c>
      <c r="G945" s="3" t="s">
        <v>25</v>
      </c>
      <c r="H945" s="3" t="s">
        <v>35</v>
      </c>
      <c r="I945" s="6">
        <v>44652</v>
      </c>
      <c r="J945" s="4">
        <v>0</v>
      </c>
      <c r="K945" s="4">
        <v>0</v>
      </c>
      <c r="L945" s="4">
        <v>4.6559999999999997</v>
      </c>
      <c r="M945" s="4">
        <v>4.6559999999999997</v>
      </c>
      <c r="N945" s="4">
        <v>4.6559999999999997</v>
      </c>
      <c r="O945" s="4">
        <v>4.6559999999999997</v>
      </c>
      <c r="P945" s="4">
        <v>0</v>
      </c>
      <c r="Q945" s="3" t="s">
        <v>26</v>
      </c>
      <c r="R945" s="3">
        <v>0</v>
      </c>
      <c r="S945" s="4">
        <v>0</v>
      </c>
      <c r="T945" s="4">
        <v>46</v>
      </c>
      <c r="U945" s="4">
        <v>74</v>
      </c>
      <c r="V945" s="4">
        <f>IF(ISERROR(VLOOKUP($S$945,'TAR FIN'!$A$1:$O$92,15,0)),0,VLOOKUP($S$945,'TAR FIN'!$A$1:$O$92,15,0))</f>
        <v>0</v>
      </c>
      <c r="W945" s="4">
        <f>IF(ISERROR(VLOOKUP($T$945,'TAR FIN'!$A$1:$O$92,15,0)),0,VLOOKUP($T$945,'TAR FIN'!$A$1:$O$92,15,0))</f>
        <v>262.64999999999998</v>
      </c>
      <c r="X945" s="4">
        <f>IF(ISERROR(VLOOKUP($U$945,'TAR FIN'!$A$1:$O$92,15,0)),0,VLOOKUP($U$945,'TAR FIN'!$A$1:$O$92,15,0))</f>
        <v>253.9</v>
      </c>
      <c r="Y945" s="4"/>
      <c r="Z945" s="4">
        <f ca="1">('TUSD BE'!$AM$47+'TUSD BF'!$AM$47+'TUSD CVA'!$AM$47)*1</f>
        <v>336.04643285295185</v>
      </c>
      <c r="AA945" s="4">
        <f>('TE BE'!$AB$38+'TE BF'!$AB$38+'TE CVA'!$AB$38)*1</f>
        <v>317.3874512882154</v>
      </c>
      <c r="AB945" s="4">
        <f>$K$945*$V$945</f>
        <v>0</v>
      </c>
      <c r="AC945" s="4">
        <f>$M$945*$W$945</f>
        <v>1222.8983999999998</v>
      </c>
      <c r="AD945" s="4">
        <f>$O$945*$X$945</f>
        <v>1182.1584</v>
      </c>
      <c r="AE945" s="4">
        <f>$K$945*$Y$945</f>
        <v>0</v>
      </c>
      <c r="AF945" s="4">
        <f ca="1">$M$945*$Z$945</f>
        <v>1564.6321913633437</v>
      </c>
      <c r="AG945" s="4">
        <f>$O$945*$AA$945</f>
        <v>1477.7559731979309</v>
      </c>
    </row>
    <row r="946" spans="1:33" ht="11.25" customHeight="1" x14ac:dyDescent="0.25">
      <c r="A946" s="3" t="s">
        <v>21</v>
      </c>
      <c r="B946" s="3" t="s">
        <v>37</v>
      </c>
      <c r="C946" s="3" t="s">
        <v>33</v>
      </c>
      <c r="D946" s="3" t="s">
        <v>42</v>
      </c>
      <c r="E946" s="3" t="s">
        <v>25</v>
      </c>
      <c r="F946" s="3" t="s">
        <v>25</v>
      </c>
      <c r="G946" s="3" t="s">
        <v>25</v>
      </c>
      <c r="H946" s="3" t="s">
        <v>35</v>
      </c>
      <c r="I946" s="6">
        <v>44682</v>
      </c>
      <c r="J946" s="4">
        <v>0</v>
      </c>
      <c r="K946" s="4">
        <v>0</v>
      </c>
      <c r="L946" s="4">
        <v>89.512</v>
      </c>
      <c r="M946" s="4">
        <v>89.512</v>
      </c>
      <c r="N946" s="4">
        <v>89.512</v>
      </c>
      <c r="O946" s="4">
        <v>89.512</v>
      </c>
      <c r="P946" s="4">
        <v>0</v>
      </c>
      <c r="Q946" s="3" t="s">
        <v>26</v>
      </c>
      <c r="R946" s="3">
        <v>0</v>
      </c>
      <c r="S946" s="4">
        <v>0</v>
      </c>
      <c r="T946" s="4">
        <v>46</v>
      </c>
      <c r="U946" s="4">
        <v>74</v>
      </c>
      <c r="V946" s="4">
        <f>IF(ISERROR(VLOOKUP($S$946,'TAR FIN'!$A$1:$O$92,15,0)),0,VLOOKUP($S$946,'TAR FIN'!$A$1:$O$92,15,0))</f>
        <v>0</v>
      </c>
      <c r="W946" s="4">
        <f>IF(ISERROR(VLOOKUP($T$946,'TAR FIN'!$A$1:$O$92,15,0)),0,VLOOKUP($T$946,'TAR FIN'!$A$1:$O$92,15,0))</f>
        <v>262.64999999999998</v>
      </c>
      <c r="X946" s="4">
        <f>IF(ISERROR(VLOOKUP($U$946,'TAR FIN'!$A$1:$O$92,15,0)),0,VLOOKUP($U$946,'TAR FIN'!$A$1:$O$92,15,0))</f>
        <v>253.9</v>
      </c>
      <c r="Y946" s="4"/>
      <c r="Z946" s="4">
        <f ca="1">('TUSD BE'!$AM$47+'TUSD BF'!$AM$47+'TUSD CVA'!$AM$47)*1</f>
        <v>336.04643285295185</v>
      </c>
      <c r="AA946" s="4">
        <f>('TE BE'!$AB$38+'TE BF'!$AB$38+'TE CVA'!$AB$38)*1</f>
        <v>317.3874512882154</v>
      </c>
      <c r="AB946" s="4">
        <f>$K$946*$V$946</f>
        <v>0</v>
      </c>
      <c r="AC946" s="4">
        <f>$M$946*$W$946</f>
        <v>23510.326799999999</v>
      </c>
      <c r="AD946" s="4">
        <f>$O$946*$X$946</f>
        <v>22727.096799999999</v>
      </c>
      <c r="AE946" s="4">
        <f>$K$946*$Y$946</f>
        <v>0</v>
      </c>
      <c r="AF946" s="4">
        <f ca="1">$M$946*$Z$946</f>
        <v>30080.188297533427</v>
      </c>
      <c r="AG946" s="4">
        <f>$O$946*$AA$946</f>
        <v>28409.985539710739</v>
      </c>
    </row>
    <row r="947" spans="1:33" ht="11.25" customHeight="1" x14ac:dyDescent="0.25">
      <c r="A947" s="3" t="s">
        <v>28</v>
      </c>
      <c r="B947" s="3" t="s">
        <v>37</v>
      </c>
      <c r="C947" s="3" t="s">
        <v>33</v>
      </c>
      <c r="D947" s="3" t="s">
        <v>42</v>
      </c>
      <c r="E947" s="3" t="s">
        <v>25</v>
      </c>
      <c r="F947" s="3" t="s">
        <v>25</v>
      </c>
      <c r="G947" s="3" t="s">
        <v>25</v>
      </c>
      <c r="H947" s="3" t="s">
        <v>35</v>
      </c>
      <c r="I947" s="6">
        <v>44682</v>
      </c>
      <c r="J947" s="4">
        <v>0</v>
      </c>
      <c r="K947" s="4">
        <v>0</v>
      </c>
      <c r="L947" s="4">
        <v>18.28</v>
      </c>
      <c r="M947" s="4">
        <v>18.28</v>
      </c>
      <c r="N947" s="4">
        <v>18.28</v>
      </c>
      <c r="O947" s="4">
        <v>18.28</v>
      </c>
      <c r="P947" s="4">
        <v>0</v>
      </c>
      <c r="Q947" s="3" t="s">
        <v>26</v>
      </c>
      <c r="R947" s="3">
        <v>0</v>
      </c>
      <c r="S947" s="4">
        <v>0</v>
      </c>
      <c r="T947" s="4">
        <v>46</v>
      </c>
      <c r="U947" s="4">
        <v>74</v>
      </c>
      <c r="V947" s="4">
        <f>IF(ISERROR(VLOOKUP($S$947,'TAR FIN'!$A$1:$O$92,15,0)),0,VLOOKUP($S$947,'TAR FIN'!$A$1:$O$92,15,0))</f>
        <v>0</v>
      </c>
      <c r="W947" s="4">
        <f>IF(ISERROR(VLOOKUP($T$947,'TAR FIN'!$A$1:$O$92,15,0)),0,VLOOKUP($T$947,'TAR FIN'!$A$1:$O$92,15,0))</f>
        <v>262.64999999999998</v>
      </c>
      <c r="X947" s="4">
        <f>IF(ISERROR(VLOOKUP($U$947,'TAR FIN'!$A$1:$O$92,15,0)),0,VLOOKUP($U$947,'TAR FIN'!$A$1:$O$92,15,0))</f>
        <v>253.9</v>
      </c>
      <c r="Y947" s="4"/>
      <c r="Z947" s="4">
        <f ca="1">('TUSD BE'!$AM$47+'TUSD BF'!$AM$47+'TUSD CVA'!$AM$47)*1</f>
        <v>336.04643285295185</v>
      </c>
      <c r="AA947" s="4">
        <f>('TE BE'!$AB$38+'TE BF'!$AB$38+'TE CVA'!$AB$38)*1</f>
        <v>317.3874512882154</v>
      </c>
      <c r="AB947" s="4">
        <f>$K$947*$V$947</f>
        <v>0</v>
      </c>
      <c r="AC947" s="4">
        <f>$M$947*$W$947</f>
        <v>4801.2420000000002</v>
      </c>
      <c r="AD947" s="4">
        <f>$O$947*$X$947</f>
        <v>4641.2920000000004</v>
      </c>
      <c r="AE947" s="4">
        <f>$K$947*$Y$947</f>
        <v>0</v>
      </c>
      <c r="AF947" s="4">
        <f ca="1">$M$947*$Z$947</f>
        <v>6142.9287925519602</v>
      </c>
      <c r="AG947" s="4">
        <f>$O$947*$AA$947</f>
        <v>5801.8426095485784</v>
      </c>
    </row>
    <row r="948" spans="1:33" ht="11.25" customHeight="1" x14ac:dyDescent="0.25">
      <c r="A948" s="3" t="s">
        <v>21</v>
      </c>
      <c r="B948" s="3" t="s">
        <v>37</v>
      </c>
      <c r="C948" s="3" t="s">
        <v>33</v>
      </c>
      <c r="D948" s="3" t="s">
        <v>42</v>
      </c>
      <c r="E948" s="3" t="s">
        <v>25</v>
      </c>
      <c r="F948" s="3" t="s">
        <v>25</v>
      </c>
      <c r="G948" s="3" t="s">
        <v>25</v>
      </c>
      <c r="H948" s="3" t="s">
        <v>35</v>
      </c>
      <c r="I948" s="6">
        <v>44713</v>
      </c>
      <c r="J948" s="4">
        <v>0</v>
      </c>
      <c r="K948" s="4">
        <v>0</v>
      </c>
      <c r="L948" s="4">
        <v>86.263999999999996</v>
      </c>
      <c r="M948" s="4">
        <v>86.263999999999996</v>
      </c>
      <c r="N948" s="4">
        <v>86.263999999999996</v>
      </c>
      <c r="O948" s="4">
        <v>86.263999999999996</v>
      </c>
      <c r="P948" s="4">
        <v>0</v>
      </c>
      <c r="Q948" s="3" t="s">
        <v>26</v>
      </c>
      <c r="R948" s="3">
        <v>0</v>
      </c>
      <c r="S948" s="4">
        <v>0</v>
      </c>
      <c r="T948" s="4">
        <v>46</v>
      </c>
      <c r="U948" s="4">
        <v>74</v>
      </c>
      <c r="V948" s="4">
        <f>IF(ISERROR(VLOOKUP($S$948,'TAR FIN'!$A$1:$O$92,15,0)),0,VLOOKUP($S$948,'TAR FIN'!$A$1:$O$92,15,0))</f>
        <v>0</v>
      </c>
      <c r="W948" s="4">
        <f>IF(ISERROR(VLOOKUP($T$948,'TAR FIN'!$A$1:$O$92,15,0)),0,VLOOKUP($T$948,'TAR FIN'!$A$1:$O$92,15,0))</f>
        <v>262.64999999999998</v>
      </c>
      <c r="X948" s="4">
        <f>IF(ISERROR(VLOOKUP($U$948,'TAR FIN'!$A$1:$O$92,15,0)),0,VLOOKUP($U$948,'TAR FIN'!$A$1:$O$92,15,0))</f>
        <v>253.9</v>
      </c>
      <c r="Y948" s="4"/>
      <c r="Z948" s="4">
        <f ca="1">('TUSD BE'!$AM$47+'TUSD BF'!$AM$47+'TUSD CVA'!$AM$47)*1</f>
        <v>336.04643285295185</v>
      </c>
      <c r="AA948" s="4">
        <f>('TE BE'!$AB$38+'TE BF'!$AB$38+'TE CVA'!$AB$38)*1</f>
        <v>317.3874512882154</v>
      </c>
      <c r="AB948" s="4">
        <f>$K$948*$V$948</f>
        <v>0</v>
      </c>
      <c r="AC948" s="4">
        <f>$M$948*$W$948</f>
        <v>22657.239599999997</v>
      </c>
      <c r="AD948" s="4">
        <f>$O$948*$X$948</f>
        <v>21902.429599999999</v>
      </c>
      <c r="AE948" s="4">
        <f>$K$948*$Y$948</f>
        <v>0</v>
      </c>
      <c r="AF948" s="4">
        <f ca="1">$M$948*$Z$948</f>
        <v>28988.709483627037</v>
      </c>
      <c r="AG948" s="4">
        <f>$O$948*$AA$948</f>
        <v>27379.111097926612</v>
      </c>
    </row>
    <row r="949" spans="1:33" ht="11.25" customHeight="1" x14ac:dyDescent="0.25">
      <c r="A949" s="3" t="s">
        <v>28</v>
      </c>
      <c r="B949" s="3" t="s">
        <v>37</v>
      </c>
      <c r="C949" s="3" t="s">
        <v>33</v>
      </c>
      <c r="D949" s="3" t="s">
        <v>42</v>
      </c>
      <c r="E949" s="3" t="s">
        <v>25</v>
      </c>
      <c r="F949" s="3" t="s">
        <v>25</v>
      </c>
      <c r="G949" s="3" t="s">
        <v>25</v>
      </c>
      <c r="H949" s="3" t="s">
        <v>35</v>
      </c>
      <c r="I949" s="6">
        <v>44713</v>
      </c>
      <c r="J949" s="4">
        <v>0</v>
      </c>
      <c r="K949" s="4">
        <v>0</v>
      </c>
      <c r="L949" s="4">
        <v>4.4560000000000004</v>
      </c>
      <c r="M949" s="4">
        <v>4.4560000000000004</v>
      </c>
      <c r="N949" s="4">
        <v>4.4560000000000004</v>
      </c>
      <c r="O949" s="4">
        <v>4.4560000000000004</v>
      </c>
      <c r="P949" s="4">
        <v>0</v>
      </c>
      <c r="Q949" s="3" t="s">
        <v>26</v>
      </c>
      <c r="R949" s="3">
        <v>0</v>
      </c>
      <c r="S949" s="4">
        <v>0</v>
      </c>
      <c r="T949" s="4">
        <v>46</v>
      </c>
      <c r="U949" s="4">
        <v>74</v>
      </c>
      <c r="V949" s="4">
        <f>IF(ISERROR(VLOOKUP($S$949,'TAR FIN'!$A$1:$O$92,15,0)),0,VLOOKUP($S$949,'TAR FIN'!$A$1:$O$92,15,0))</f>
        <v>0</v>
      </c>
      <c r="W949" s="4">
        <f>IF(ISERROR(VLOOKUP($T$949,'TAR FIN'!$A$1:$O$92,15,0)),0,VLOOKUP($T$949,'TAR FIN'!$A$1:$O$92,15,0))</f>
        <v>262.64999999999998</v>
      </c>
      <c r="X949" s="4">
        <f>IF(ISERROR(VLOOKUP($U$949,'TAR FIN'!$A$1:$O$92,15,0)),0,VLOOKUP($U$949,'TAR FIN'!$A$1:$O$92,15,0))</f>
        <v>253.9</v>
      </c>
      <c r="Y949" s="4"/>
      <c r="Z949" s="4">
        <f ca="1">('TUSD BE'!$AM$47+'TUSD BF'!$AM$47+'TUSD CVA'!$AM$47)*1</f>
        <v>336.04643285295185</v>
      </c>
      <c r="AA949" s="4">
        <f>('TE BE'!$AB$38+'TE BF'!$AB$38+'TE CVA'!$AB$38)*1</f>
        <v>317.3874512882154</v>
      </c>
      <c r="AB949" s="4">
        <f>$K$949*$V$949</f>
        <v>0</v>
      </c>
      <c r="AC949" s="4">
        <f>$M$949*$W$949</f>
        <v>1170.3684000000001</v>
      </c>
      <c r="AD949" s="4">
        <f>$O$949*$X$949</f>
        <v>1131.3784000000001</v>
      </c>
      <c r="AE949" s="4">
        <f>$K$949*$Y$949</f>
        <v>0</v>
      </c>
      <c r="AF949" s="4">
        <f ca="1">$M$949*$Z$949</f>
        <v>1497.4229047927536</v>
      </c>
      <c r="AG949" s="4">
        <f>$O$949*$AA$949</f>
        <v>1414.2784829402879</v>
      </c>
    </row>
    <row r="950" spans="1:33" ht="11.25" customHeight="1" x14ac:dyDescent="0.25">
      <c r="A950" s="3" t="s">
        <v>21</v>
      </c>
      <c r="B950" s="3" t="s">
        <v>37</v>
      </c>
      <c r="C950" s="3" t="s">
        <v>33</v>
      </c>
      <c r="D950" s="3" t="s">
        <v>42</v>
      </c>
      <c r="E950" s="3" t="s">
        <v>25</v>
      </c>
      <c r="F950" s="3" t="s">
        <v>25</v>
      </c>
      <c r="G950" s="3" t="s">
        <v>25</v>
      </c>
      <c r="H950" s="3" t="s">
        <v>35</v>
      </c>
      <c r="I950" s="6">
        <v>44743</v>
      </c>
      <c r="J950" s="4">
        <v>0</v>
      </c>
      <c r="K950" s="4">
        <v>0</v>
      </c>
      <c r="L950" s="4">
        <v>87.045000000000002</v>
      </c>
      <c r="M950" s="4">
        <v>87.045000000000002</v>
      </c>
      <c r="N950" s="4">
        <v>87.045000000000002</v>
      </c>
      <c r="O950" s="4">
        <v>87.045000000000002</v>
      </c>
      <c r="P950" s="4">
        <v>0</v>
      </c>
      <c r="Q950" s="3" t="s">
        <v>26</v>
      </c>
      <c r="R950" s="3">
        <v>0</v>
      </c>
      <c r="S950" s="4">
        <v>0</v>
      </c>
      <c r="T950" s="4">
        <v>46</v>
      </c>
      <c r="U950" s="4">
        <v>74</v>
      </c>
      <c r="V950" s="4">
        <f>IF(ISERROR(VLOOKUP($S$950,'TAR FIN'!$A$1:$O$92,15,0)),0,VLOOKUP($S$950,'TAR FIN'!$A$1:$O$92,15,0))</f>
        <v>0</v>
      </c>
      <c r="W950" s="4">
        <f>IF(ISERROR(VLOOKUP($T$950,'TAR FIN'!$A$1:$O$92,15,0)),0,VLOOKUP($T$950,'TAR FIN'!$A$1:$O$92,15,0))</f>
        <v>262.64999999999998</v>
      </c>
      <c r="X950" s="4">
        <f>IF(ISERROR(VLOOKUP($U$950,'TAR FIN'!$A$1:$O$92,15,0)),0,VLOOKUP($U$950,'TAR FIN'!$A$1:$O$92,15,0))</f>
        <v>253.9</v>
      </c>
      <c r="Y950" s="4"/>
      <c r="Z950" s="4">
        <f ca="1">('TUSD BE'!$AM$47+'TUSD BF'!$AM$47+'TUSD CVA'!$AM$47)*1</f>
        <v>336.04643285295185</v>
      </c>
      <c r="AA950" s="4">
        <f>('TE BE'!$AB$38+'TE BF'!$AB$38+'TE CVA'!$AB$38)*1</f>
        <v>317.3874512882154</v>
      </c>
      <c r="AB950" s="4">
        <f>$K$950*$V$950</f>
        <v>0</v>
      </c>
      <c r="AC950" s="4">
        <f>$M$950*$W$950</f>
        <v>22862.36925</v>
      </c>
      <c r="AD950" s="4">
        <f>$O$950*$X$950</f>
        <v>22100.7255</v>
      </c>
      <c r="AE950" s="4">
        <f>$K$950*$Y$950</f>
        <v>0</v>
      </c>
      <c r="AF950" s="4">
        <f ca="1">$M$950*$Z$950</f>
        <v>29251.161747685193</v>
      </c>
      <c r="AG950" s="4">
        <f>$O$950*$AA$950</f>
        <v>27626.990697382709</v>
      </c>
    </row>
    <row r="951" spans="1:33" ht="11.25" customHeight="1" x14ac:dyDescent="0.25">
      <c r="A951" s="3" t="s">
        <v>28</v>
      </c>
      <c r="B951" s="3" t="s">
        <v>37</v>
      </c>
      <c r="C951" s="3" t="s">
        <v>33</v>
      </c>
      <c r="D951" s="3" t="s">
        <v>42</v>
      </c>
      <c r="E951" s="3" t="s">
        <v>25</v>
      </c>
      <c r="F951" s="3" t="s">
        <v>25</v>
      </c>
      <c r="G951" s="3" t="s">
        <v>25</v>
      </c>
      <c r="H951" s="3" t="s">
        <v>35</v>
      </c>
      <c r="I951" s="6">
        <v>44743</v>
      </c>
      <c r="J951" s="4">
        <v>0</v>
      </c>
      <c r="K951" s="4">
        <v>0</v>
      </c>
      <c r="L951" s="4">
        <v>4.4320000000000004</v>
      </c>
      <c r="M951" s="4">
        <v>4.4320000000000004</v>
      </c>
      <c r="N951" s="4">
        <v>4.4320000000000004</v>
      </c>
      <c r="O951" s="4">
        <v>4.4320000000000004</v>
      </c>
      <c r="P951" s="4">
        <v>0</v>
      </c>
      <c r="Q951" s="3" t="s">
        <v>26</v>
      </c>
      <c r="R951" s="3">
        <v>0</v>
      </c>
      <c r="S951" s="4">
        <v>0</v>
      </c>
      <c r="T951" s="4">
        <v>46</v>
      </c>
      <c r="U951" s="4">
        <v>74</v>
      </c>
      <c r="V951" s="4">
        <f>IF(ISERROR(VLOOKUP($S$951,'TAR FIN'!$A$1:$O$92,15,0)),0,VLOOKUP($S$951,'TAR FIN'!$A$1:$O$92,15,0))</f>
        <v>0</v>
      </c>
      <c r="W951" s="4">
        <f>IF(ISERROR(VLOOKUP($T$951,'TAR FIN'!$A$1:$O$92,15,0)),0,VLOOKUP($T$951,'TAR FIN'!$A$1:$O$92,15,0))</f>
        <v>262.64999999999998</v>
      </c>
      <c r="X951" s="4">
        <f>IF(ISERROR(VLOOKUP($U$951,'TAR FIN'!$A$1:$O$92,15,0)),0,VLOOKUP($U$951,'TAR FIN'!$A$1:$O$92,15,0))</f>
        <v>253.9</v>
      </c>
      <c r="Y951" s="4"/>
      <c r="Z951" s="4">
        <f ca="1">('TUSD BE'!$AM$47+'TUSD BF'!$AM$47+'TUSD CVA'!$AM$47)*1</f>
        <v>336.04643285295185</v>
      </c>
      <c r="AA951" s="4">
        <f>('TE BE'!$AB$38+'TE BF'!$AB$38+'TE CVA'!$AB$38)*1</f>
        <v>317.3874512882154</v>
      </c>
      <c r="AB951" s="4">
        <f>$K$951*$V$951</f>
        <v>0</v>
      </c>
      <c r="AC951" s="4">
        <f>$M$951*$W$951</f>
        <v>1164.0648000000001</v>
      </c>
      <c r="AD951" s="4">
        <f>$O$951*$X$951</f>
        <v>1125.2848000000001</v>
      </c>
      <c r="AE951" s="4">
        <f>$K$951*$Y$951</f>
        <v>0</v>
      </c>
      <c r="AF951" s="4">
        <f ca="1">$M$951*$Z$951</f>
        <v>1489.3577904042827</v>
      </c>
      <c r="AG951" s="4">
        <f>$O$951*$AA$951</f>
        <v>1406.6611841093709</v>
      </c>
    </row>
    <row r="952" spans="1:33" ht="11.25" customHeight="1" x14ac:dyDescent="0.25">
      <c r="A952" s="3" t="s">
        <v>21</v>
      </c>
      <c r="B952" s="3" t="s">
        <v>37</v>
      </c>
      <c r="C952" s="3" t="s">
        <v>33</v>
      </c>
      <c r="D952" s="3" t="s">
        <v>42</v>
      </c>
      <c r="E952" s="3" t="s">
        <v>25</v>
      </c>
      <c r="F952" s="3" t="s">
        <v>25</v>
      </c>
      <c r="G952" s="3" t="s">
        <v>25</v>
      </c>
      <c r="H952" s="3" t="s">
        <v>35</v>
      </c>
      <c r="I952" s="6">
        <v>44774</v>
      </c>
      <c r="J952" s="4">
        <v>0</v>
      </c>
      <c r="K952" s="4">
        <v>0</v>
      </c>
      <c r="L952" s="4">
        <v>109.024</v>
      </c>
      <c r="M952" s="4">
        <v>109.024</v>
      </c>
      <c r="N952" s="4">
        <v>109.024</v>
      </c>
      <c r="O952" s="4">
        <v>109.024</v>
      </c>
      <c r="P952" s="4">
        <v>0</v>
      </c>
      <c r="Q952" s="3" t="s">
        <v>26</v>
      </c>
      <c r="R952" s="3">
        <v>0</v>
      </c>
      <c r="S952" s="4">
        <v>0</v>
      </c>
      <c r="T952" s="4">
        <v>46</v>
      </c>
      <c r="U952" s="4">
        <v>74</v>
      </c>
      <c r="V952" s="4">
        <f>IF(ISERROR(VLOOKUP($S$952,'TAR FIN'!$A$1:$O$92,15,0)),0,VLOOKUP($S$952,'TAR FIN'!$A$1:$O$92,15,0))</f>
        <v>0</v>
      </c>
      <c r="W952" s="4">
        <f>IF(ISERROR(VLOOKUP($T$952,'TAR FIN'!$A$1:$O$92,15,0)),0,VLOOKUP($T$952,'TAR FIN'!$A$1:$O$92,15,0))</f>
        <v>262.64999999999998</v>
      </c>
      <c r="X952" s="4">
        <f>IF(ISERROR(VLOOKUP($U$952,'TAR FIN'!$A$1:$O$92,15,0)),0,VLOOKUP($U$952,'TAR FIN'!$A$1:$O$92,15,0))</f>
        <v>253.9</v>
      </c>
      <c r="Y952" s="4"/>
      <c r="Z952" s="4">
        <f ca="1">('TUSD BE'!$AM$47+'TUSD BF'!$AM$47+'TUSD CVA'!$AM$47)*1</f>
        <v>336.04643285295185</v>
      </c>
      <c r="AA952" s="4">
        <f>('TE BE'!$AB$38+'TE BF'!$AB$38+'TE CVA'!$AB$38)*1</f>
        <v>317.3874512882154</v>
      </c>
      <c r="AB952" s="4">
        <f>$K$952*$V$952</f>
        <v>0</v>
      </c>
      <c r="AC952" s="4">
        <f>$M$952*$W$952</f>
        <v>28635.153599999998</v>
      </c>
      <c r="AD952" s="4">
        <f>$O$952*$X$952</f>
        <v>27681.193600000002</v>
      </c>
      <c r="AE952" s="4">
        <f>$K$952*$Y$952</f>
        <v>0</v>
      </c>
      <c r="AF952" s="4">
        <f ca="1">$M$952*$Z$952</f>
        <v>36637.12629536022</v>
      </c>
      <c r="AG952" s="4">
        <f>$O$952*$AA$952</f>
        <v>34602.849489246393</v>
      </c>
    </row>
    <row r="953" spans="1:33" ht="11.25" customHeight="1" x14ac:dyDescent="0.25">
      <c r="A953" s="3" t="s">
        <v>28</v>
      </c>
      <c r="B953" s="3" t="s">
        <v>37</v>
      </c>
      <c r="C953" s="3" t="s">
        <v>33</v>
      </c>
      <c r="D953" s="3" t="s">
        <v>42</v>
      </c>
      <c r="E953" s="3" t="s">
        <v>25</v>
      </c>
      <c r="F953" s="3" t="s">
        <v>25</v>
      </c>
      <c r="G953" s="3" t="s">
        <v>25</v>
      </c>
      <c r="H953" s="3" t="s">
        <v>35</v>
      </c>
      <c r="I953" s="6">
        <v>44774</v>
      </c>
      <c r="J953" s="4">
        <v>0</v>
      </c>
      <c r="K953" s="4">
        <v>0</v>
      </c>
      <c r="L953" s="4">
        <v>5.5510000000000002</v>
      </c>
      <c r="M953" s="4">
        <v>5.5510000000000002</v>
      </c>
      <c r="N953" s="4">
        <v>5.5510000000000002</v>
      </c>
      <c r="O953" s="4">
        <v>5.5510000000000002</v>
      </c>
      <c r="P953" s="4">
        <v>0</v>
      </c>
      <c r="Q953" s="3" t="s">
        <v>26</v>
      </c>
      <c r="R953" s="3">
        <v>0</v>
      </c>
      <c r="S953" s="4">
        <v>0</v>
      </c>
      <c r="T953" s="4">
        <v>46</v>
      </c>
      <c r="U953" s="4">
        <v>74</v>
      </c>
      <c r="V953" s="4">
        <f>IF(ISERROR(VLOOKUP($S$953,'TAR FIN'!$A$1:$O$92,15,0)),0,VLOOKUP($S$953,'TAR FIN'!$A$1:$O$92,15,0))</f>
        <v>0</v>
      </c>
      <c r="W953" s="4">
        <f>IF(ISERROR(VLOOKUP($T$953,'TAR FIN'!$A$1:$O$92,15,0)),0,VLOOKUP($T$953,'TAR FIN'!$A$1:$O$92,15,0))</f>
        <v>262.64999999999998</v>
      </c>
      <c r="X953" s="4">
        <f>IF(ISERROR(VLOOKUP($U$953,'TAR FIN'!$A$1:$O$92,15,0)),0,VLOOKUP($U$953,'TAR FIN'!$A$1:$O$92,15,0))</f>
        <v>253.9</v>
      </c>
      <c r="Y953" s="4"/>
      <c r="Z953" s="4">
        <f ca="1">('TUSD BE'!$AM$47+'TUSD BF'!$AM$47+'TUSD CVA'!$AM$47)*1</f>
        <v>336.04643285295185</v>
      </c>
      <c r="AA953" s="4">
        <f>('TE BE'!$AB$38+'TE BF'!$AB$38+'TE CVA'!$AB$38)*1</f>
        <v>317.3874512882154</v>
      </c>
      <c r="AB953" s="4">
        <f>$K$953*$V$953</f>
        <v>0</v>
      </c>
      <c r="AC953" s="4">
        <f>$M$953*$W$953</f>
        <v>1457.9701499999999</v>
      </c>
      <c r="AD953" s="4">
        <f>$O$953*$X$953</f>
        <v>1409.3989000000001</v>
      </c>
      <c r="AE953" s="4">
        <f>$K$953*$Y$953</f>
        <v>0</v>
      </c>
      <c r="AF953" s="4">
        <f ca="1">$M$953*$Z$953</f>
        <v>1865.3937487667358</v>
      </c>
      <c r="AG953" s="4">
        <f>$O$953*$AA$953</f>
        <v>1761.8177421008838</v>
      </c>
    </row>
    <row r="954" spans="1:33" ht="11.25" customHeight="1" x14ac:dyDescent="0.25">
      <c r="A954" s="3" t="s">
        <v>21</v>
      </c>
      <c r="B954" s="3" t="s">
        <v>37</v>
      </c>
      <c r="C954" s="3" t="s">
        <v>33</v>
      </c>
      <c r="D954" s="3" t="s">
        <v>42</v>
      </c>
      <c r="E954" s="3" t="s">
        <v>25</v>
      </c>
      <c r="F954" s="3" t="s">
        <v>25</v>
      </c>
      <c r="G954" s="3" t="s">
        <v>25</v>
      </c>
      <c r="H954" s="3" t="s">
        <v>35</v>
      </c>
      <c r="I954" s="6">
        <v>44805</v>
      </c>
      <c r="J954" s="4">
        <v>0</v>
      </c>
      <c r="K954" s="4">
        <v>0</v>
      </c>
      <c r="L954" s="4">
        <v>105.971</v>
      </c>
      <c r="M954" s="4">
        <v>105.971</v>
      </c>
      <c r="N954" s="4">
        <v>105.971</v>
      </c>
      <c r="O954" s="4">
        <v>105.971</v>
      </c>
      <c r="P954" s="4">
        <v>0</v>
      </c>
      <c r="Q954" s="3" t="s">
        <v>26</v>
      </c>
      <c r="R954" s="3">
        <v>0</v>
      </c>
      <c r="S954" s="4">
        <v>0</v>
      </c>
      <c r="T954" s="4">
        <v>46</v>
      </c>
      <c r="U954" s="4">
        <v>74</v>
      </c>
      <c r="V954" s="4">
        <f>IF(ISERROR(VLOOKUP($S$954,'TAR FIN'!$A$1:$O$92,15,0)),0,VLOOKUP($S$954,'TAR FIN'!$A$1:$O$92,15,0))</f>
        <v>0</v>
      </c>
      <c r="W954" s="4">
        <f>IF(ISERROR(VLOOKUP($T$954,'TAR FIN'!$A$1:$O$92,15,0)),0,VLOOKUP($T$954,'TAR FIN'!$A$1:$O$92,15,0))</f>
        <v>262.64999999999998</v>
      </c>
      <c r="X954" s="4">
        <f>IF(ISERROR(VLOOKUP($U$954,'TAR FIN'!$A$1:$O$92,15,0)),0,VLOOKUP($U$954,'TAR FIN'!$A$1:$O$92,15,0))</f>
        <v>253.9</v>
      </c>
      <c r="Y954" s="4"/>
      <c r="Z954" s="4">
        <f ca="1">('TUSD BE'!$AM$47+'TUSD BF'!$AM$47+'TUSD CVA'!$AM$47)*1</f>
        <v>336.04643285295185</v>
      </c>
      <c r="AA954" s="4">
        <f>('TE BE'!$AB$38+'TE BF'!$AB$38+'TE CVA'!$AB$38)*1</f>
        <v>317.3874512882154</v>
      </c>
      <c r="AB954" s="4">
        <f>$K$954*$V$954</f>
        <v>0</v>
      </c>
      <c r="AC954" s="4">
        <f>$M$954*$W$954</f>
        <v>27833.283149999999</v>
      </c>
      <c r="AD954" s="4">
        <f>$O$954*$X$954</f>
        <v>26906.036900000003</v>
      </c>
      <c r="AE954" s="4">
        <f>$K$954*$Y$954</f>
        <v>0</v>
      </c>
      <c r="AF954" s="4">
        <f ca="1">$M$954*$Z$954</f>
        <v>35611.176535860162</v>
      </c>
      <c r="AG954" s="4">
        <f>$O$954*$AA$954</f>
        <v>33633.865600463476</v>
      </c>
    </row>
    <row r="955" spans="1:33" ht="11.25" customHeight="1" x14ac:dyDescent="0.25">
      <c r="A955" s="3" t="s">
        <v>28</v>
      </c>
      <c r="B955" s="3" t="s">
        <v>37</v>
      </c>
      <c r="C955" s="3" t="s">
        <v>33</v>
      </c>
      <c r="D955" s="3" t="s">
        <v>42</v>
      </c>
      <c r="E955" s="3" t="s">
        <v>25</v>
      </c>
      <c r="F955" s="3" t="s">
        <v>25</v>
      </c>
      <c r="G955" s="3" t="s">
        <v>25</v>
      </c>
      <c r="H955" s="3" t="s">
        <v>35</v>
      </c>
      <c r="I955" s="6">
        <v>44805</v>
      </c>
      <c r="J955" s="4">
        <v>0</v>
      </c>
      <c r="K955" s="4">
        <v>0</v>
      </c>
      <c r="L955" s="4">
        <v>5.8120000000000003</v>
      </c>
      <c r="M955" s="4">
        <v>5.8120000000000003</v>
      </c>
      <c r="N955" s="4">
        <v>5.8120000000000003</v>
      </c>
      <c r="O955" s="4">
        <v>5.8120000000000003</v>
      </c>
      <c r="P955" s="4">
        <v>0</v>
      </c>
      <c r="Q955" s="3" t="s">
        <v>26</v>
      </c>
      <c r="R955" s="3">
        <v>0</v>
      </c>
      <c r="S955" s="4">
        <v>0</v>
      </c>
      <c r="T955" s="4">
        <v>46</v>
      </c>
      <c r="U955" s="4">
        <v>74</v>
      </c>
      <c r="V955" s="4">
        <f>IF(ISERROR(VLOOKUP($S$955,'TAR FIN'!$A$1:$O$92,15,0)),0,VLOOKUP($S$955,'TAR FIN'!$A$1:$O$92,15,0))</f>
        <v>0</v>
      </c>
      <c r="W955" s="4">
        <f>IF(ISERROR(VLOOKUP($T$955,'TAR FIN'!$A$1:$O$92,15,0)),0,VLOOKUP($T$955,'TAR FIN'!$A$1:$O$92,15,0))</f>
        <v>262.64999999999998</v>
      </c>
      <c r="X955" s="4">
        <f>IF(ISERROR(VLOOKUP($U$955,'TAR FIN'!$A$1:$O$92,15,0)),0,VLOOKUP($U$955,'TAR FIN'!$A$1:$O$92,15,0))</f>
        <v>253.9</v>
      </c>
      <c r="Y955" s="4"/>
      <c r="Z955" s="4">
        <f ca="1">('TUSD BE'!$AM$47+'TUSD BF'!$AM$47+'TUSD CVA'!$AM$47)*1</f>
        <v>336.04643285295185</v>
      </c>
      <c r="AA955" s="4">
        <f>('TE BE'!$AB$38+'TE BF'!$AB$38+'TE CVA'!$AB$38)*1</f>
        <v>317.3874512882154</v>
      </c>
      <c r="AB955" s="4">
        <f>$K$955*$V$955</f>
        <v>0</v>
      </c>
      <c r="AC955" s="4">
        <f>$M$955*$W$955</f>
        <v>1526.5218</v>
      </c>
      <c r="AD955" s="4">
        <f>$O$955*$X$955</f>
        <v>1475.6668000000002</v>
      </c>
      <c r="AE955" s="4">
        <f>$K$955*$Y$955</f>
        <v>0</v>
      </c>
      <c r="AF955" s="4">
        <f ca="1">$M$955*$Z$955</f>
        <v>1953.1018677413563</v>
      </c>
      <c r="AG955" s="4">
        <f>$O$955*$AA$955</f>
        <v>1844.655866887108</v>
      </c>
    </row>
    <row r="956" spans="1:33" ht="11.25" customHeight="1" x14ac:dyDescent="0.25">
      <c r="A956" s="3" t="s">
        <v>55</v>
      </c>
      <c r="B956" s="3" t="s">
        <v>37</v>
      </c>
      <c r="C956" s="3" t="s">
        <v>33</v>
      </c>
      <c r="D956" s="3" t="s">
        <v>42</v>
      </c>
      <c r="E956" s="3" t="s">
        <v>25</v>
      </c>
      <c r="F956" s="3" t="s">
        <v>25</v>
      </c>
      <c r="G956" s="3" t="s">
        <v>25</v>
      </c>
      <c r="H956" s="3" t="s">
        <v>35</v>
      </c>
      <c r="I956" s="6">
        <v>44835</v>
      </c>
      <c r="J956" s="4">
        <v>0</v>
      </c>
      <c r="K956" s="4">
        <v>0</v>
      </c>
      <c r="L956" s="4">
        <v>105.971</v>
      </c>
      <c r="M956" s="4">
        <v>105.971</v>
      </c>
      <c r="N956" s="4">
        <v>105.971</v>
      </c>
      <c r="O956" s="4">
        <v>105.971</v>
      </c>
      <c r="P956" s="4">
        <v>0</v>
      </c>
      <c r="Q956" s="3" t="s">
        <v>26</v>
      </c>
      <c r="R956" s="3">
        <v>0</v>
      </c>
      <c r="S956" s="4">
        <v>0</v>
      </c>
      <c r="T956" s="4">
        <v>46</v>
      </c>
      <c r="U956" s="4">
        <v>74</v>
      </c>
      <c r="V956" s="4">
        <f>IF(ISERROR(VLOOKUP($S$956,'TAR FIN'!$A$1:$O$92,15,0)),0,VLOOKUP($S$956,'TAR FIN'!$A$1:$O$92,15,0))</f>
        <v>0</v>
      </c>
      <c r="W956" s="4">
        <f>IF(ISERROR(VLOOKUP($T$956,'TAR FIN'!$A$1:$O$92,15,0)),0,VLOOKUP($T$956,'TAR FIN'!$A$1:$O$92,15,0))</f>
        <v>262.64999999999998</v>
      </c>
      <c r="X956" s="4">
        <f>IF(ISERROR(VLOOKUP($U$956,'TAR FIN'!$A$1:$O$92,15,0)),0,VLOOKUP($U$956,'TAR FIN'!$A$1:$O$92,15,0))</f>
        <v>253.9</v>
      </c>
      <c r="Y956" s="4"/>
      <c r="Z956" s="4">
        <f ca="1">('TUSD BE'!$AM$47+'TUSD BF'!$AM$47+'TUSD CVA'!$AM$47)*1</f>
        <v>336.04643285295185</v>
      </c>
      <c r="AA956" s="4">
        <f>('TE BE'!$AB$38+'TE BF'!$AB$38+'TE CVA'!$AB$38)*1</f>
        <v>317.3874512882154</v>
      </c>
      <c r="AB956" s="4">
        <f>$K$956*$V$956</f>
        <v>0</v>
      </c>
      <c r="AC956" s="4">
        <f>$M$956*$W$956</f>
        <v>27833.283149999999</v>
      </c>
      <c r="AD956" s="4">
        <f>$O$956*$X$956</f>
        <v>26906.036900000003</v>
      </c>
      <c r="AE956" s="4">
        <f>$K$956*$Y$956</f>
        <v>0</v>
      </c>
      <c r="AF956" s="4">
        <f ca="1">$M$956*$Z$956</f>
        <v>35611.176535860162</v>
      </c>
      <c r="AG956" s="4">
        <f>$O$956*$AA$956</f>
        <v>33633.865600463476</v>
      </c>
    </row>
    <row r="957" spans="1:33" ht="11.25" customHeight="1" x14ac:dyDescent="0.25">
      <c r="A957" s="3" t="s">
        <v>55</v>
      </c>
      <c r="B957" s="3" t="s">
        <v>37</v>
      </c>
      <c r="C957" s="3" t="s">
        <v>33</v>
      </c>
      <c r="D957" s="3" t="s">
        <v>42</v>
      </c>
      <c r="E957" s="3" t="s">
        <v>25</v>
      </c>
      <c r="F957" s="3" t="s">
        <v>25</v>
      </c>
      <c r="G957" s="3" t="s">
        <v>25</v>
      </c>
      <c r="H957" s="3" t="s">
        <v>35</v>
      </c>
      <c r="I957" s="6">
        <v>44835</v>
      </c>
      <c r="J957" s="4">
        <v>0</v>
      </c>
      <c r="K957" s="4">
        <v>0</v>
      </c>
      <c r="L957" s="4">
        <v>5.8120000000000003</v>
      </c>
      <c r="M957" s="4">
        <v>5.8120000000000003</v>
      </c>
      <c r="N957" s="4">
        <v>5.8120000000000003</v>
      </c>
      <c r="O957" s="4">
        <v>5.8120000000000003</v>
      </c>
      <c r="P957" s="4">
        <v>0</v>
      </c>
      <c r="Q957" s="3" t="s">
        <v>26</v>
      </c>
      <c r="R957" s="3">
        <v>0</v>
      </c>
      <c r="S957" s="4">
        <v>0</v>
      </c>
      <c r="T957" s="4">
        <v>46</v>
      </c>
      <c r="U957" s="4">
        <v>74</v>
      </c>
      <c r="V957" s="4">
        <f>IF(ISERROR(VLOOKUP($S$957,'TAR FIN'!$A$1:$O$92,15,0)),0,VLOOKUP($S$957,'TAR FIN'!$A$1:$O$92,15,0))</f>
        <v>0</v>
      </c>
      <c r="W957" s="4">
        <f>IF(ISERROR(VLOOKUP($T$957,'TAR FIN'!$A$1:$O$92,15,0)),0,VLOOKUP($T$957,'TAR FIN'!$A$1:$O$92,15,0))</f>
        <v>262.64999999999998</v>
      </c>
      <c r="X957" s="4">
        <f>IF(ISERROR(VLOOKUP($U$957,'TAR FIN'!$A$1:$O$92,15,0)),0,VLOOKUP($U$957,'TAR FIN'!$A$1:$O$92,15,0))</f>
        <v>253.9</v>
      </c>
      <c r="Y957" s="4"/>
      <c r="Z957" s="4">
        <f ca="1">('TUSD BE'!$AM$47+'TUSD BF'!$AM$47+'TUSD CVA'!$AM$47)*1</f>
        <v>336.04643285295185</v>
      </c>
      <c r="AA957" s="4">
        <f>('TE BE'!$AB$38+'TE BF'!$AB$38+'TE CVA'!$AB$38)*1</f>
        <v>317.3874512882154</v>
      </c>
      <c r="AB957" s="4">
        <f>$K$957*$V$957</f>
        <v>0</v>
      </c>
      <c r="AC957" s="4">
        <f>$M$957*$W$957</f>
        <v>1526.5218</v>
      </c>
      <c r="AD957" s="4">
        <f>$O$957*$X$957</f>
        <v>1475.6668000000002</v>
      </c>
      <c r="AE957" s="4">
        <f>$K$957*$Y$957</f>
        <v>0</v>
      </c>
      <c r="AF957" s="4">
        <f ca="1">$M$957*$Z$957</f>
        <v>1953.1018677413563</v>
      </c>
      <c r="AG957" s="4">
        <f>$O$957*$AA$957</f>
        <v>1844.655866887108</v>
      </c>
    </row>
    <row r="958" spans="1:33" ht="11.25" customHeight="1" x14ac:dyDescent="0.25">
      <c r="A958" s="3" t="s">
        <v>21</v>
      </c>
      <c r="B958" s="3" t="s">
        <v>37</v>
      </c>
      <c r="C958" s="3" t="s">
        <v>33</v>
      </c>
      <c r="D958" s="3" t="s">
        <v>42</v>
      </c>
      <c r="E958" s="3" t="s">
        <v>25</v>
      </c>
      <c r="F958" s="3" t="s">
        <v>25</v>
      </c>
      <c r="G958" s="3" t="s">
        <v>25</v>
      </c>
      <c r="H958" s="3" t="s">
        <v>36</v>
      </c>
      <c r="I958" s="6">
        <v>44501</v>
      </c>
      <c r="J958" s="4">
        <v>0</v>
      </c>
      <c r="K958" s="4">
        <v>0</v>
      </c>
      <c r="L958" s="4">
        <v>2.2509999999999999</v>
      </c>
      <c r="M958" s="4">
        <v>2.2509999999999999</v>
      </c>
      <c r="N958" s="4">
        <v>2.2509999999999999</v>
      </c>
      <c r="O958" s="4">
        <v>2.2509999999999999</v>
      </c>
      <c r="P958" s="4">
        <v>0</v>
      </c>
      <c r="Q958" s="3" t="s">
        <v>26</v>
      </c>
      <c r="R958" s="3">
        <v>0</v>
      </c>
      <c r="S958" s="4">
        <v>0</v>
      </c>
      <c r="T958" s="4">
        <v>54</v>
      </c>
      <c r="U958" s="4">
        <v>82</v>
      </c>
      <c r="V958" s="4">
        <f>IF(ISERROR(VLOOKUP($S$958,'TAR FIN'!$A$1:$O$92,15,0)),0,VLOOKUP($S$958,'TAR FIN'!$A$1:$O$92,15,0))</f>
        <v>0</v>
      </c>
      <c r="W958" s="4">
        <f>IF(ISERROR(VLOOKUP($T$958,'TAR FIN'!$A$1:$O$92,15,0)),0,VLOOKUP($T$958,'TAR FIN'!$A$1:$O$92,15,0))</f>
        <v>554.39</v>
      </c>
      <c r="X958" s="4">
        <f>IF(ISERROR(VLOOKUP($U$958,'TAR FIN'!$A$1:$O$92,15,0)),0,VLOOKUP($U$958,'TAR FIN'!$A$1:$O$92,15,0))</f>
        <v>253.9</v>
      </c>
      <c r="Y958" s="4"/>
      <c r="Z958" s="4">
        <f ca="1">('TUSD BE'!$AM$46+'TUSD BF'!$AM$46+'TUSD CVA'!$AM$46)*1</f>
        <v>713.47585772196908</v>
      </c>
      <c r="AA958" s="4">
        <f>('TE BE'!$AB$37+'TE BF'!$AB$37+'TE CVA'!$AB$37)*1</f>
        <v>317.3874512882154</v>
      </c>
      <c r="AB958" s="4">
        <f>$K$958*$V$958</f>
        <v>0</v>
      </c>
      <c r="AC958" s="4">
        <f>$M$958*$W$958</f>
        <v>1247.9318899999998</v>
      </c>
      <c r="AD958" s="4">
        <f>$O$958*$X$958</f>
        <v>571.52890000000002</v>
      </c>
      <c r="AE958" s="4">
        <f>$K$958*$Y$958</f>
        <v>0</v>
      </c>
      <c r="AF958" s="4">
        <f ca="1">$M$958*$Z$958</f>
        <v>1606.0341557321524</v>
      </c>
      <c r="AG958" s="4">
        <f>$O$958*$AA$958</f>
        <v>714.43915284977288</v>
      </c>
    </row>
    <row r="959" spans="1:33" ht="11.25" customHeight="1" x14ac:dyDescent="0.25">
      <c r="A959" s="3" t="s">
        <v>21</v>
      </c>
      <c r="B959" s="3" t="s">
        <v>37</v>
      </c>
      <c r="C959" s="3" t="s">
        <v>33</v>
      </c>
      <c r="D959" s="3" t="s">
        <v>42</v>
      </c>
      <c r="E959" s="3" t="s">
        <v>25</v>
      </c>
      <c r="F959" s="3" t="s">
        <v>25</v>
      </c>
      <c r="G959" s="3" t="s">
        <v>25</v>
      </c>
      <c r="H959" s="3" t="s">
        <v>36</v>
      </c>
      <c r="I959" s="6">
        <v>44531</v>
      </c>
      <c r="J959" s="4">
        <v>0</v>
      </c>
      <c r="K959" s="4">
        <v>0</v>
      </c>
      <c r="L959" s="4">
        <v>2.1259999999999999</v>
      </c>
      <c r="M959" s="4">
        <v>2.1259999999999999</v>
      </c>
      <c r="N959" s="4">
        <v>2.1259999999999999</v>
      </c>
      <c r="O959" s="4">
        <v>2.1259999999999999</v>
      </c>
      <c r="P959" s="4">
        <v>0</v>
      </c>
      <c r="Q959" s="3" t="s">
        <v>26</v>
      </c>
      <c r="R959" s="3">
        <v>0</v>
      </c>
      <c r="S959" s="4">
        <v>0</v>
      </c>
      <c r="T959" s="4">
        <v>54</v>
      </c>
      <c r="U959" s="4">
        <v>82</v>
      </c>
      <c r="V959" s="4">
        <f>IF(ISERROR(VLOOKUP($S$959,'TAR FIN'!$A$1:$O$92,15,0)),0,VLOOKUP($S$959,'TAR FIN'!$A$1:$O$92,15,0))</f>
        <v>0</v>
      </c>
      <c r="W959" s="4">
        <f>IF(ISERROR(VLOOKUP($T$959,'TAR FIN'!$A$1:$O$92,15,0)),0,VLOOKUP($T$959,'TAR FIN'!$A$1:$O$92,15,0))</f>
        <v>554.39</v>
      </c>
      <c r="X959" s="4">
        <f>IF(ISERROR(VLOOKUP($U$959,'TAR FIN'!$A$1:$O$92,15,0)),0,VLOOKUP($U$959,'TAR FIN'!$A$1:$O$92,15,0))</f>
        <v>253.9</v>
      </c>
      <c r="Y959" s="4"/>
      <c r="Z959" s="4">
        <f ca="1">('TUSD BE'!$AM$46+'TUSD BF'!$AM$46+'TUSD CVA'!$AM$46)*1</f>
        <v>713.47585772196908</v>
      </c>
      <c r="AA959" s="4">
        <f>('TE BE'!$AB$37+'TE BF'!$AB$37+'TE CVA'!$AB$37)*1</f>
        <v>317.3874512882154</v>
      </c>
      <c r="AB959" s="4">
        <f>$K$959*$V$959</f>
        <v>0</v>
      </c>
      <c r="AC959" s="4">
        <f>$M$959*$W$959</f>
        <v>1178.6331399999999</v>
      </c>
      <c r="AD959" s="4">
        <f>$O$959*$X$959</f>
        <v>539.79139999999995</v>
      </c>
      <c r="AE959" s="4">
        <f>$K$959*$Y$959</f>
        <v>0</v>
      </c>
      <c r="AF959" s="4">
        <f ca="1">$M$959*$Z$959</f>
        <v>1516.8496735169063</v>
      </c>
      <c r="AG959" s="4">
        <f>$O$959*$AA$959</f>
        <v>674.76572143874591</v>
      </c>
    </row>
    <row r="960" spans="1:33" ht="11.25" customHeight="1" x14ac:dyDescent="0.25">
      <c r="A960" s="3" t="s">
        <v>21</v>
      </c>
      <c r="B960" s="3" t="s">
        <v>37</v>
      </c>
      <c r="C960" s="3" t="s">
        <v>33</v>
      </c>
      <c r="D960" s="3" t="s">
        <v>42</v>
      </c>
      <c r="E960" s="3" t="s">
        <v>25</v>
      </c>
      <c r="F960" s="3" t="s">
        <v>25</v>
      </c>
      <c r="G960" s="3" t="s">
        <v>25</v>
      </c>
      <c r="H960" s="3" t="s">
        <v>36</v>
      </c>
      <c r="I960" s="6">
        <v>44562</v>
      </c>
      <c r="J960" s="4">
        <v>0</v>
      </c>
      <c r="K960" s="4">
        <v>0</v>
      </c>
      <c r="L960" s="4">
        <v>1.875</v>
      </c>
      <c r="M960" s="4">
        <v>1.875</v>
      </c>
      <c r="N960" s="4">
        <v>1.875</v>
      </c>
      <c r="O960" s="4">
        <v>1.875</v>
      </c>
      <c r="P960" s="4">
        <v>0</v>
      </c>
      <c r="Q960" s="3" t="s">
        <v>26</v>
      </c>
      <c r="R960" s="3">
        <v>0</v>
      </c>
      <c r="S960" s="4">
        <v>0</v>
      </c>
      <c r="T960" s="4">
        <v>54</v>
      </c>
      <c r="U960" s="4">
        <v>82</v>
      </c>
      <c r="V960" s="4">
        <f>IF(ISERROR(VLOOKUP($S$960,'TAR FIN'!$A$1:$O$92,15,0)),0,VLOOKUP($S$960,'TAR FIN'!$A$1:$O$92,15,0))</f>
        <v>0</v>
      </c>
      <c r="W960" s="4">
        <f>IF(ISERROR(VLOOKUP($T$960,'TAR FIN'!$A$1:$O$92,15,0)),0,VLOOKUP($T$960,'TAR FIN'!$A$1:$O$92,15,0))</f>
        <v>554.39</v>
      </c>
      <c r="X960" s="4">
        <f>IF(ISERROR(VLOOKUP($U$960,'TAR FIN'!$A$1:$O$92,15,0)),0,VLOOKUP($U$960,'TAR FIN'!$A$1:$O$92,15,0))</f>
        <v>253.9</v>
      </c>
      <c r="Y960" s="4"/>
      <c r="Z960" s="4">
        <f ca="1">('TUSD BE'!$AM$46+'TUSD BF'!$AM$46+'TUSD CVA'!$AM$46)*1</f>
        <v>713.47585772196908</v>
      </c>
      <c r="AA960" s="4">
        <f>('TE BE'!$AB$37+'TE BF'!$AB$37+'TE CVA'!$AB$37)*1</f>
        <v>317.3874512882154</v>
      </c>
      <c r="AB960" s="4">
        <f>$K$960*$V$960</f>
        <v>0</v>
      </c>
      <c r="AC960" s="4">
        <f>$M$960*$W$960</f>
        <v>1039.48125</v>
      </c>
      <c r="AD960" s="4">
        <f>$O$960*$X$960</f>
        <v>476.0625</v>
      </c>
      <c r="AE960" s="4">
        <f>$K$960*$Y$960</f>
        <v>0</v>
      </c>
      <c r="AF960" s="4">
        <f ca="1">$M$960*$Z$960</f>
        <v>1337.767233228692</v>
      </c>
      <c r="AG960" s="4">
        <f>$O$960*$AA$960</f>
        <v>595.10147116540384</v>
      </c>
    </row>
    <row r="961" spans="1:33" ht="11.25" customHeight="1" x14ac:dyDescent="0.25">
      <c r="A961" s="3" t="s">
        <v>21</v>
      </c>
      <c r="B961" s="3" t="s">
        <v>37</v>
      </c>
      <c r="C961" s="3" t="s">
        <v>33</v>
      </c>
      <c r="D961" s="3" t="s">
        <v>42</v>
      </c>
      <c r="E961" s="3" t="s">
        <v>25</v>
      </c>
      <c r="F961" s="3" t="s">
        <v>25</v>
      </c>
      <c r="G961" s="3" t="s">
        <v>25</v>
      </c>
      <c r="H961" s="3" t="s">
        <v>36</v>
      </c>
      <c r="I961" s="6">
        <v>44593</v>
      </c>
      <c r="J961" s="4">
        <v>0</v>
      </c>
      <c r="K961" s="4">
        <v>0</v>
      </c>
      <c r="L961" s="4">
        <v>1.8560000000000001</v>
      </c>
      <c r="M961" s="4">
        <v>1.8560000000000001</v>
      </c>
      <c r="N961" s="4">
        <v>1.8560000000000001</v>
      </c>
      <c r="O961" s="4">
        <v>1.8560000000000001</v>
      </c>
      <c r="P961" s="4">
        <v>0</v>
      </c>
      <c r="Q961" s="3" t="s">
        <v>26</v>
      </c>
      <c r="R961" s="3">
        <v>0</v>
      </c>
      <c r="S961" s="4">
        <v>0</v>
      </c>
      <c r="T961" s="4">
        <v>54</v>
      </c>
      <c r="U961" s="4">
        <v>82</v>
      </c>
      <c r="V961" s="4">
        <f>IF(ISERROR(VLOOKUP($S$961,'TAR FIN'!$A$1:$O$92,15,0)),0,VLOOKUP($S$961,'TAR FIN'!$A$1:$O$92,15,0))</f>
        <v>0</v>
      </c>
      <c r="W961" s="4">
        <f>IF(ISERROR(VLOOKUP($T$961,'TAR FIN'!$A$1:$O$92,15,0)),0,VLOOKUP($T$961,'TAR FIN'!$A$1:$O$92,15,0))</f>
        <v>554.39</v>
      </c>
      <c r="X961" s="4">
        <f>IF(ISERROR(VLOOKUP($U$961,'TAR FIN'!$A$1:$O$92,15,0)),0,VLOOKUP($U$961,'TAR FIN'!$A$1:$O$92,15,0))</f>
        <v>253.9</v>
      </c>
      <c r="Y961" s="4"/>
      <c r="Z961" s="4">
        <f ca="1">('TUSD BE'!$AM$46+'TUSD BF'!$AM$46+'TUSD CVA'!$AM$46)*1</f>
        <v>713.47585772196908</v>
      </c>
      <c r="AA961" s="4">
        <f>('TE BE'!$AB$37+'TE BF'!$AB$37+'TE CVA'!$AB$37)*1</f>
        <v>317.3874512882154</v>
      </c>
      <c r="AB961" s="4">
        <f>$K$961*$V$961</f>
        <v>0</v>
      </c>
      <c r="AC961" s="4">
        <f>$M$961*$W$961</f>
        <v>1028.94784</v>
      </c>
      <c r="AD961" s="4">
        <f>$O$961*$X$961</f>
        <v>471.23840000000001</v>
      </c>
      <c r="AE961" s="4">
        <f>$K$961*$Y$961</f>
        <v>0</v>
      </c>
      <c r="AF961" s="4">
        <f ca="1">$M$961*$Z$961</f>
        <v>1324.2111919319748</v>
      </c>
      <c r="AG961" s="4">
        <f>$O$961*$AA$961</f>
        <v>589.07110959092779</v>
      </c>
    </row>
    <row r="962" spans="1:33" ht="11.25" customHeight="1" x14ac:dyDescent="0.25">
      <c r="A962" s="3" t="s">
        <v>21</v>
      </c>
      <c r="B962" s="3" t="s">
        <v>37</v>
      </c>
      <c r="C962" s="3" t="s">
        <v>33</v>
      </c>
      <c r="D962" s="3" t="s">
        <v>42</v>
      </c>
      <c r="E962" s="3" t="s">
        <v>25</v>
      </c>
      <c r="F962" s="3" t="s">
        <v>25</v>
      </c>
      <c r="G962" s="3" t="s">
        <v>25</v>
      </c>
      <c r="H962" s="3" t="s">
        <v>36</v>
      </c>
      <c r="I962" s="6">
        <v>44621</v>
      </c>
      <c r="J962" s="4">
        <v>0</v>
      </c>
      <c r="K962" s="4">
        <v>0</v>
      </c>
      <c r="L962" s="4">
        <v>2.1440000000000001</v>
      </c>
      <c r="M962" s="4">
        <v>2.1440000000000001</v>
      </c>
      <c r="N962" s="4">
        <v>2.1440000000000001</v>
      </c>
      <c r="O962" s="4">
        <v>2.1440000000000001</v>
      </c>
      <c r="P962" s="4">
        <v>0</v>
      </c>
      <c r="Q962" s="3" t="s">
        <v>26</v>
      </c>
      <c r="R962" s="3">
        <v>0</v>
      </c>
      <c r="S962" s="4">
        <v>0</v>
      </c>
      <c r="T962" s="4">
        <v>54</v>
      </c>
      <c r="U962" s="4">
        <v>82</v>
      </c>
      <c r="V962" s="4">
        <f>IF(ISERROR(VLOOKUP($S$962,'TAR FIN'!$A$1:$O$92,15,0)),0,VLOOKUP($S$962,'TAR FIN'!$A$1:$O$92,15,0))</f>
        <v>0</v>
      </c>
      <c r="W962" s="4">
        <f>IF(ISERROR(VLOOKUP($T$962,'TAR FIN'!$A$1:$O$92,15,0)),0,VLOOKUP($T$962,'TAR FIN'!$A$1:$O$92,15,0))</f>
        <v>554.39</v>
      </c>
      <c r="X962" s="4">
        <f>IF(ISERROR(VLOOKUP($U$962,'TAR FIN'!$A$1:$O$92,15,0)),0,VLOOKUP($U$962,'TAR FIN'!$A$1:$O$92,15,0))</f>
        <v>253.9</v>
      </c>
      <c r="Y962" s="4"/>
      <c r="Z962" s="4">
        <f ca="1">('TUSD BE'!$AM$46+'TUSD BF'!$AM$46+'TUSD CVA'!$AM$46)*1</f>
        <v>713.47585772196908</v>
      </c>
      <c r="AA962" s="4">
        <f>('TE BE'!$AB$37+'TE BF'!$AB$37+'TE CVA'!$AB$37)*1</f>
        <v>317.3874512882154</v>
      </c>
      <c r="AB962" s="4">
        <f>$K$962*$V$962</f>
        <v>0</v>
      </c>
      <c r="AC962" s="4">
        <f>$M$962*$W$962</f>
        <v>1188.6121600000001</v>
      </c>
      <c r="AD962" s="4">
        <f>$O$962*$X$962</f>
        <v>544.36160000000007</v>
      </c>
      <c r="AE962" s="4">
        <f>$K$962*$Y$962</f>
        <v>0</v>
      </c>
      <c r="AF962" s="4">
        <f ca="1">$M$962*$Z$962</f>
        <v>1529.6922389559018</v>
      </c>
      <c r="AG962" s="4">
        <f>$O$962*$AA$962</f>
        <v>680.47869556193382</v>
      </c>
    </row>
    <row r="963" spans="1:33" ht="11.25" customHeight="1" x14ac:dyDescent="0.25">
      <c r="A963" s="3" t="s">
        <v>21</v>
      </c>
      <c r="B963" s="3" t="s">
        <v>37</v>
      </c>
      <c r="C963" s="3" t="s">
        <v>33</v>
      </c>
      <c r="D963" s="3" t="s">
        <v>42</v>
      </c>
      <c r="E963" s="3" t="s">
        <v>25</v>
      </c>
      <c r="F963" s="3" t="s">
        <v>25</v>
      </c>
      <c r="G963" s="3" t="s">
        <v>25</v>
      </c>
      <c r="H963" s="3" t="s">
        <v>36</v>
      </c>
      <c r="I963" s="6">
        <v>44652</v>
      </c>
      <c r="J963" s="4">
        <v>0</v>
      </c>
      <c r="K963" s="4">
        <v>0</v>
      </c>
      <c r="L963" s="4">
        <v>2.1440000000000001</v>
      </c>
      <c r="M963" s="4">
        <v>2.1440000000000001</v>
      </c>
      <c r="N963" s="4">
        <v>2.1440000000000001</v>
      </c>
      <c r="O963" s="4">
        <v>2.1440000000000001</v>
      </c>
      <c r="P963" s="4">
        <v>0</v>
      </c>
      <c r="Q963" s="3" t="s">
        <v>26</v>
      </c>
      <c r="R963" s="3">
        <v>0</v>
      </c>
      <c r="S963" s="4">
        <v>0</v>
      </c>
      <c r="T963" s="4">
        <v>54</v>
      </c>
      <c r="U963" s="4">
        <v>82</v>
      </c>
      <c r="V963" s="4">
        <f>IF(ISERROR(VLOOKUP($S$963,'TAR FIN'!$A$1:$O$92,15,0)),0,VLOOKUP($S$963,'TAR FIN'!$A$1:$O$92,15,0))</f>
        <v>0</v>
      </c>
      <c r="W963" s="4">
        <f>IF(ISERROR(VLOOKUP($T$963,'TAR FIN'!$A$1:$O$92,15,0)),0,VLOOKUP($T$963,'TAR FIN'!$A$1:$O$92,15,0))</f>
        <v>554.39</v>
      </c>
      <c r="X963" s="4">
        <f>IF(ISERROR(VLOOKUP($U$963,'TAR FIN'!$A$1:$O$92,15,0)),0,VLOOKUP($U$963,'TAR FIN'!$A$1:$O$92,15,0))</f>
        <v>253.9</v>
      </c>
      <c r="Y963" s="4"/>
      <c r="Z963" s="4">
        <f ca="1">('TUSD BE'!$AM$46+'TUSD BF'!$AM$46+'TUSD CVA'!$AM$46)*1</f>
        <v>713.47585772196908</v>
      </c>
      <c r="AA963" s="4">
        <f>('TE BE'!$AB$37+'TE BF'!$AB$37+'TE CVA'!$AB$37)*1</f>
        <v>317.3874512882154</v>
      </c>
      <c r="AB963" s="4">
        <f>$K$963*$V$963</f>
        <v>0</v>
      </c>
      <c r="AC963" s="4">
        <f>$M$963*$W$963</f>
        <v>1188.6121600000001</v>
      </c>
      <c r="AD963" s="4">
        <f>$O$963*$X$963</f>
        <v>544.36160000000007</v>
      </c>
      <c r="AE963" s="4">
        <f>$K$963*$Y$963</f>
        <v>0</v>
      </c>
      <c r="AF963" s="4">
        <f ca="1">$M$963*$Z$963</f>
        <v>1529.6922389559018</v>
      </c>
      <c r="AG963" s="4">
        <f>$O$963*$AA$963</f>
        <v>680.47869556193382</v>
      </c>
    </row>
    <row r="964" spans="1:33" ht="11.25" customHeight="1" x14ac:dyDescent="0.25">
      <c r="A964" s="3" t="s">
        <v>21</v>
      </c>
      <c r="B964" s="3" t="s">
        <v>37</v>
      </c>
      <c r="C964" s="3" t="s">
        <v>33</v>
      </c>
      <c r="D964" s="3" t="s">
        <v>42</v>
      </c>
      <c r="E964" s="3" t="s">
        <v>25</v>
      </c>
      <c r="F964" s="3" t="s">
        <v>25</v>
      </c>
      <c r="G964" s="3" t="s">
        <v>25</v>
      </c>
      <c r="H964" s="3" t="s">
        <v>36</v>
      </c>
      <c r="I964" s="6">
        <v>44682</v>
      </c>
      <c r="J964" s="4">
        <v>0</v>
      </c>
      <c r="K964" s="4">
        <v>0</v>
      </c>
      <c r="L964" s="4">
        <v>2.036</v>
      </c>
      <c r="M964" s="4">
        <v>2.036</v>
      </c>
      <c r="N964" s="4">
        <v>2.036</v>
      </c>
      <c r="O964" s="4">
        <v>2.036</v>
      </c>
      <c r="P964" s="4">
        <v>0</v>
      </c>
      <c r="Q964" s="3" t="s">
        <v>26</v>
      </c>
      <c r="R964" s="3">
        <v>0</v>
      </c>
      <c r="S964" s="4">
        <v>0</v>
      </c>
      <c r="T964" s="4">
        <v>54</v>
      </c>
      <c r="U964" s="4">
        <v>82</v>
      </c>
      <c r="V964" s="4">
        <f>IF(ISERROR(VLOOKUP($S$964,'TAR FIN'!$A$1:$O$92,15,0)),0,VLOOKUP($S$964,'TAR FIN'!$A$1:$O$92,15,0))</f>
        <v>0</v>
      </c>
      <c r="W964" s="4">
        <f>IF(ISERROR(VLOOKUP($T$964,'TAR FIN'!$A$1:$O$92,15,0)),0,VLOOKUP($T$964,'TAR FIN'!$A$1:$O$92,15,0))</f>
        <v>554.39</v>
      </c>
      <c r="X964" s="4">
        <f>IF(ISERROR(VLOOKUP($U$964,'TAR FIN'!$A$1:$O$92,15,0)),0,VLOOKUP($U$964,'TAR FIN'!$A$1:$O$92,15,0))</f>
        <v>253.9</v>
      </c>
      <c r="Y964" s="4"/>
      <c r="Z964" s="4">
        <f ca="1">('TUSD BE'!$AM$46+'TUSD BF'!$AM$46+'TUSD CVA'!$AM$46)*1</f>
        <v>713.47585772196908</v>
      </c>
      <c r="AA964" s="4">
        <f>('TE BE'!$AB$37+'TE BF'!$AB$37+'TE CVA'!$AB$37)*1</f>
        <v>317.3874512882154</v>
      </c>
      <c r="AB964" s="4">
        <f>$K$964*$V$964</f>
        <v>0</v>
      </c>
      <c r="AC964" s="4">
        <f>$M$964*$W$964</f>
        <v>1128.73804</v>
      </c>
      <c r="AD964" s="4">
        <f>$O$964*$X$964</f>
        <v>516.94040000000007</v>
      </c>
      <c r="AE964" s="4">
        <f>$K$964*$Y$964</f>
        <v>0</v>
      </c>
      <c r="AF964" s="4">
        <f ca="1">$M$964*$Z$964</f>
        <v>1452.6368463219292</v>
      </c>
      <c r="AG964" s="4">
        <f>$O$964*$AA$964</f>
        <v>646.20085082280661</v>
      </c>
    </row>
    <row r="965" spans="1:33" ht="11.25" customHeight="1" x14ac:dyDescent="0.25">
      <c r="A965" s="3" t="s">
        <v>21</v>
      </c>
      <c r="B965" s="3" t="s">
        <v>37</v>
      </c>
      <c r="C965" s="3" t="s">
        <v>33</v>
      </c>
      <c r="D965" s="3" t="s">
        <v>42</v>
      </c>
      <c r="E965" s="3" t="s">
        <v>25</v>
      </c>
      <c r="F965" s="3" t="s">
        <v>25</v>
      </c>
      <c r="G965" s="3" t="s">
        <v>25</v>
      </c>
      <c r="H965" s="3" t="s">
        <v>36</v>
      </c>
      <c r="I965" s="6">
        <v>44713</v>
      </c>
      <c r="J965" s="4">
        <v>0</v>
      </c>
      <c r="K965" s="4">
        <v>0</v>
      </c>
      <c r="L965" s="4">
        <v>2.3340000000000001</v>
      </c>
      <c r="M965" s="4">
        <v>2.3340000000000001</v>
      </c>
      <c r="N965" s="4">
        <v>2.3340000000000001</v>
      </c>
      <c r="O965" s="4">
        <v>2.3340000000000001</v>
      </c>
      <c r="P965" s="4">
        <v>0</v>
      </c>
      <c r="Q965" s="3" t="s">
        <v>26</v>
      </c>
      <c r="R965" s="3">
        <v>0</v>
      </c>
      <c r="S965" s="4">
        <v>0</v>
      </c>
      <c r="T965" s="4">
        <v>54</v>
      </c>
      <c r="U965" s="4">
        <v>82</v>
      </c>
      <c r="V965" s="4">
        <f>IF(ISERROR(VLOOKUP($S$965,'TAR FIN'!$A$1:$O$92,15,0)),0,VLOOKUP($S$965,'TAR FIN'!$A$1:$O$92,15,0))</f>
        <v>0</v>
      </c>
      <c r="W965" s="4">
        <f>IF(ISERROR(VLOOKUP($T$965,'TAR FIN'!$A$1:$O$92,15,0)),0,VLOOKUP($T$965,'TAR FIN'!$A$1:$O$92,15,0))</f>
        <v>554.39</v>
      </c>
      <c r="X965" s="4">
        <f>IF(ISERROR(VLOOKUP($U$965,'TAR FIN'!$A$1:$O$92,15,0)),0,VLOOKUP($U$965,'TAR FIN'!$A$1:$O$92,15,0))</f>
        <v>253.9</v>
      </c>
      <c r="Y965" s="4"/>
      <c r="Z965" s="4">
        <f ca="1">('TUSD BE'!$AM$46+'TUSD BF'!$AM$46+'TUSD CVA'!$AM$46)*1</f>
        <v>713.47585772196908</v>
      </c>
      <c r="AA965" s="4">
        <f>('TE BE'!$AB$37+'TE BF'!$AB$37+'TE CVA'!$AB$37)*1</f>
        <v>317.3874512882154</v>
      </c>
      <c r="AB965" s="4">
        <f>$K$965*$V$965</f>
        <v>0</v>
      </c>
      <c r="AC965" s="4">
        <f>$M$965*$W$965</f>
        <v>1293.9462599999999</v>
      </c>
      <c r="AD965" s="4">
        <f>$O$965*$X$965</f>
        <v>592.60260000000005</v>
      </c>
      <c r="AE965" s="4">
        <f>$K$965*$Y$965</f>
        <v>0</v>
      </c>
      <c r="AF965" s="4">
        <f ca="1">$M$965*$Z$965</f>
        <v>1665.252651923076</v>
      </c>
      <c r="AG965" s="4">
        <f>$O$965*$AA$965</f>
        <v>740.78231130669474</v>
      </c>
    </row>
    <row r="966" spans="1:33" ht="11.25" customHeight="1" x14ac:dyDescent="0.25">
      <c r="A966" s="3" t="s">
        <v>21</v>
      </c>
      <c r="B966" s="3" t="s">
        <v>37</v>
      </c>
      <c r="C966" s="3" t="s">
        <v>33</v>
      </c>
      <c r="D966" s="3" t="s">
        <v>42</v>
      </c>
      <c r="E966" s="3" t="s">
        <v>25</v>
      </c>
      <c r="F966" s="3" t="s">
        <v>25</v>
      </c>
      <c r="G966" s="3" t="s">
        <v>25</v>
      </c>
      <c r="H966" s="3" t="s">
        <v>36</v>
      </c>
      <c r="I966" s="6">
        <v>44743</v>
      </c>
      <c r="J966" s="4">
        <v>0</v>
      </c>
      <c r="K966" s="4">
        <v>0</v>
      </c>
      <c r="L966" s="4">
        <v>2.3199999999999998</v>
      </c>
      <c r="M966" s="4">
        <v>2.3199999999999998</v>
      </c>
      <c r="N966" s="4">
        <v>2.3199999999999998</v>
      </c>
      <c r="O966" s="4">
        <v>2.3199999999999998</v>
      </c>
      <c r="P966" s="4">
        <v>0</v>
      </c>
      <c r="Q966" s="3" t="s">
        <v>26</v>
      </c>
      <c r="R966" s="3">
        <v>0</v>
      </c>
      <c r="S966" s="4">
        <v>0</v>
      </c>
      <c r="T966" s="4">
        <v>54</v>
      </c>
      <c r="U966" s="4">
        <v>82</v>
      </c>
      <c r="V966" s="4">
        <f>IF(ISERROR(VLOOKUP($S$966,'TAR FIN'!$A$1:$O$92,15,0)),0,VLOOKUP($S$966,'TAR FIN'!$A$1:$O$92,15,0))</f>
        <v>0</v>
      </c>
      <c r="W966" s="4">
        <f>IF(ISERROR(VLOOKUP($T$966,'TAR FIN'!$A$1:$O$92,15,0)),0,VLOOKUP($T$966,'TAR FIN'!$A$1:$O$92,15,0))</f>
        <v>554.39</v>
      </c>
      <c r="X966" s="4">
        <f>IF(ISERROR(VLOOKUP($U$966,'TAR FIN'!$A$1:$O$92,15,0)),0,VLOOKUP($U$966,'TAR FIN'!$A$1:$O$92,15,0))</f>
        <v>253.9</v>
      </c>
      <c r="Y966" s="4"/>
      <c r="Z966" s="4">
        <f ca="1">('TUSD BE'!$AM$46+'TUSD BF'!$AM$46+'TUSD CVA'!$AM$46)*1</f>
        <v>713.47585772196908</v>
      </c>
      <c r="AA966" s="4">
        <f>('TE BE'!$AB$37+'TE BF'!$AB$37+'TE CVA'!$AB$37)*1</f>
        <v>317.3874512882154</v>
      </c>
      <c r="AB966" s="4">
        <f>$K$966*$V$966</f>
        <v>0</v>
      </c>
      <c r="AC966" s="4">
        <f>$M$966*$W$966</f>
        <v>1286.1847999999998</v>
      </c>
      <c r="AD966" s="4">
        <f>$O$966*$X$966</f>
        <v>589.048</v>
      </c>
      <c r="AE966" s="4">
        <f>$K$966*$Y$966</f>
        <v>0</v>
      </c>
      <c r="AF966" s="4">
        <f ca="1">$M$966*$Z$966</f>
        <v>1655.2639899149681</v>
      </c>
      <c r="AG966" s="4">
        <f>$O$966*$AA$966</f>
        <v>736.33888698865974</v>
      </c>
    </row>
    <row r="967" spans="1:33" ht="11.25" customHeight="1" x14ac:dyDescent="0.25">
      <c r="A967" s="3" t="s">
        <v>21</v>
      </c>
      <c r="B967" s="3" t="s">
        <v>37</v>
      </c>
      <c r="C967" s="3" t="s">
        <v>33</v>
      </c>
      <c r="D967" s="3" t="s">
        <v>42</v>
      </c>
      <c r="E967" s="3" t="s">
        <v>25</v>
      </c>
      <c r="F967" s="3" t="s">
        <v>25</v>
      </c>
      <c r="G967" s="3" t="s">
        <v>25</v>
      </c>
      <c r="H967" s="3" t="s">
        <v>36</v>
      </c>
      <c r="I967" s="6">
        <v>44774</v>
      </c>
      <c r="J967" s="4">
        <v>0</v>
      </c>
      <c r="K967" s="4">
        <v>0</v>
      </c>
      <c r="L967" s="4">
        <v>2.6160000000000001</v>
      </c>
      <c r="M967" s="4">
        <v>2.6160000000000001</v>
      </c>
      <c r="N967" s="4">
        <v>2.6160000000000001</v>
      </c>
      <c r="O967" s="4">
        <v>2.6160000000000001</v>
      </c>
      <c r="P967" s="4">
        <v>0</v>
      </c>
      <c r="Q967" s="3" t="s">
        <v>26</v>
      </c>
      <c r="R967" s="3">
        <v>0</v>
      </c>
      <c r="S967" s="4">
        <v>0</v>
      </c>
      <c r="T967" s="4">
        <v>54</v>
      </c>
      <c r="U967" s="4">
        <v>82</v>
      </c>
      <c r="V967" s="4">
        <f>IF(ISERROR(VLOOKUP($S$967,'TAR FIN'!$A$1:$O$92,15,0)),0,VLOOKUP($S$967,'TAR FIN'!$A$1:$O$92,15,0))</f>
        <v>0</v>
      </c>
      <c r="W967" s="4">
        <f>IF(ISERROR(VLOOKUP($T$967,'TAR FIN'!$A$1:$O$92,15,0)),0,VLOOKUP($T$967,'TAR FIN'!$A$1:$O$92,15,0))</f>
        <v>554.39</v>
      </c>
      <c r="X967" s="4">
        <f>IF(ISERROR(VLOOKUP($U$967,'TAR FIN'!$A$1:$O$92,15,0)),0,VLOOKUP($U$967,'TAR FIN'!$A$1:$O$92,15,0))</f>
        <v>253.9</v>
      </c>
      <c r="Y967" s="4"/>
      <c r="Z967" s="4">
        <f ca="1">('TUSD BE'!$AM$46+'TUSD BF'!$AM$46+'TUSD CVA'!$AM$46)*1</f>
        <v>713.47585772196908</v>
      </c>
      <c r="AA967" s="4">
        <f>('TE BE'!$AB$37+'TE BF'!$AB$37+'TE CVA'!$AB$37)*1</f>
        <v>317.3874512882154</v>
      </c>
      <c r="AB967" s="4">
        <f>$K$967*$V$967</f>
        <v>0</v>
      </c>
      <c r="AC967" s="4">
        <f>$M$967*$W$967</f>
        <v>1450.28424</v>
      </c>
      <c r="AD967" s="4">
        <f>$O$967*$X$967</f>
        <v>664.20240000000001</v>
      </c>
      <c r="AE967" s="4">
        <f>$K$967*$Y$967</f>
        <v>0</v>
      </c>
      <c r="AF967" s="4">
        <f ca="1">$M$967*$Z$967</f>
        <v>1866.4528438006712</v>
      </c>
      <c r="AG967" s="4">
        <f>$O$967*$AA$967</f>
        <v>830.28557256997158</v>
      </c>
    </row>
    <row r="968" spans="1:33" ht="11.25" customHeight="1" x14ac:dyDescent="0.25">
      <c r="A968" s="3" t="s">
        <v>21</v>
      </c>
      <c r="B968" s="3" t="s">
        <v>37</v>
      </c>
      <c r="C968" s="3" t="s">
        <v>33</v>
      </c>
      <c r="D968" s="3" t="s">
        <v>42</v>
      </c>
      <c r="E968" s="3" t="s">
        <v>25</v>
      </c>
      <c r="F968" s="3" t="s">
        <v>25</v>
      </c>
      <c r="G968" s="3" t="s">
        <v>25</v>
      </c>
      <c r="H968" s="3" t="s">
        <v>36</v>
      </c>
      <c r="I968" s="6">
        <v>44805</v>
      </c>
      <c r="J968" s="4">
        <v>0</v>
      </c>
      <c r="K968" s="4">
        <v>0</v>
      </c>
      <c r="L968" s="4">
        <v>2.3439999999999999</v>
      </c>
      <c r="M968" s="4">
        <v>2.3439999999999999</v>
      </c>
      <c r="N968" s="4">
        <v>2.3439999999999999</v>
      </c>
      <c r="O968" s="4">
        <v>2.3439999999999999</v>
      </c>
      <c r="P968" s="4">
        <v>0</v>
      </c>
      <c r="Q968" s="3" t="s">
        <v>26</v>
      </c>
      <c r="R968" s="3">
        <v>0</v>
      </c>
      <c r="S968" s="4">
        <v>0</v>
      </c>
      <c r="T968" s="4">
        <v>54</v>
      </c>
      <c r="U968" s="4">
        <v>82</v>
      </c>
      <c r="V968" s="4">
        <f>IF(ISERROR(VLOOKUP($S$968,'TAR FIN'!$A$1:$O$92,15,0)),0,VLOOKUP($S$968,'TAR FIN'!$A$1:$O$92,15,0))</f>
        <v>0</v>
      </c>
      <c r="W968" s="4">
        <f>IF(ISERROR(VLOOKUP($T$968,'TAR FIN'!$A$1:$O$92,15,0)),0,VLOOKUP($T$968,'TAR FIN'!$A$1:$O$92,15,0))</f>
        <v>554.39</v>
      </c>
      <c r="X968" s="4">
        <f>IF(ISERROR(VLOOKUP($U$968,'TAR FIN'!$A$1:$O$92,15,0)),0,VLOOKUP($U$968,'TAR FIN'!$A$1:$O$92,15,0))</f>
        <v>253.9</v>
      </c>
      <c r="Y968" s="4"/>
      <c r="Z968" s="4">
        <f ca="1">('TUSD BE'!$AM$46+'TUSD BF'!$AM$46+'TUSD CVA'!$AM$46)*1</f>
        <v>713.47585772196908</v>
      </c>
      <c r="AA968" s="4">
        <f>('TE BE'!$AB$37+'TE BF'!$AB$37+'TE CVA'!$AB$37)*1</f>
        <v>317.3874512882154</v>
      </c>
      <c r="AB968" s="4">
        <f>$K$968*$V$968</f>
        <v>0</v>
      </c>
      <c r="AC968" s="4">
        <f>$M$968*$W$968</f>
        <v>1299.4901599999998</v>
      </c>
      <c r="AD968" s="4">
        <f>$O$968*$X$968</f>
        <v>595.14159999999993</v>
      </c>
      <c r="AE968" s="4">
        <f>$K$968*$Y$968</f>
        <v>0</v>
      </c>
      <c r="AF968" s="4">
        <f ca="1">$M$968*$Z$968</f>
        <v>1672.3874105002953</v>
      </c>
      <c r="AG968" s="4">
        <f>$O$968*$AA$968</f>
        <v>743.95618581957683</v>
      </c>
    </row>
    <row r="969" spans="1:33" ht="11.25" customHeight="1" x14ac:dyDescent="0.25">
      <c r="A969" s="3" t="s">
        <v>55</v>
      </c>
      <c r="B969" s="3" t="s">
        <v>37</v>
      </c>
      <c r="C969" s="3" t="s">
        <v>33</v>
      </c>
      <c r="D969" s="3" t="s">
        <v>42</v>
      </c>
      <c r="E969" s="3" t="s">
        <v>25</v>
      </c>
      <c r="F969" s="3" t="s">
        <v>25</v>
      </c>
      <c r="G969" s="3" t="s">
        <v>25</v>
      </c>
      <c r="H969" s="3" t="s">
        <v>36</v>
      </c>
      <c r="I969" s="6">
        <v>44835</v>
      </c>
      <c r="J969" s="4">
        <v>0</v>
      </c>
      <c r="K969" s="4">
        <v>0</v>
      </c>
      <c r="L969" s="4">
        <v>2.3439999999999999</v>
      </c>
      <c r="M969" s="4">
        <v>2.3439999999999999</v>
      </c>
      <c r="N969" s="4">
        <v>2.3439999999999999</v>
      </c>
      <c r="O969" s="4">
        <v>2.3439999999999999</v>
      </c>
      <c r="P969" s="4">
        <v>0</v>
      </c>
      <c r="Q969" s="3" t="s">
        <v>26</v>
      </c>
      <c r="R969" s="3">
        <v>0</v>
      </c>
      <c r="S969" s="4">
        <v>0</v>
      </c>
      <c r="T969" s="4">
        <v>54</v>
      </c>
      <c r="U969" s="4">
        <v>82</v>
      </c>
      <c r="V969" s="4">
        <f>IF(ISERROR(VLOOKUP($S$969,'TAR FIN'!$A$1:$O$92,15,0)),0,VLOOKUP($S$969,'TAR FIN'!$A$1:$O$92,15,0))</f>
        <v>0</v>
      </c>
      <c r="W969" s="4">
        <f>IF(ISERROR(VLOOKUP($T$969,'TAR FIN'!$A$1:$O$92,15,0)),0,VLOOKUP($T$969,'TAR FIN'!$A$1:$O$92,15,0))</f>
        <v>554.39</v>
      </c>
      <c r="X969" s="4">
        <f>IF(ISERROR(VLOOKUP($U$969,'TAR FIN'!$A$1:$O$92,15,0)),0,VLOOKUP($U$969,'TAR FIN'!$A$1:$O$92,15,0))</f>
        <v>253.9</v>
      </c>
      <c r="Y969" s="4"/>
      <c r="Z969" s="4">
        <f ca="1">('TUSD BE'!$AM$46+'TUSD BF'!$AM$46+'TUSD CVA'!$AM$46)*1</f>
        <v>713.47585772196908</v>
      </c>
      <c r="AA969" s="4">
        <f>('TE BE'!$AB$37+'TE BF'!$AB$37+'TE CVA'!$AB$37)*1</f>
        <v>317.3874512882154</v>
      </c>
      <c r="AB969" s="4">
        <f>$K$969*$V$969</f>
        <v>0</v>
      </c>
      <c r="AC969" s="4">
        <f>$M$969*$W$969</f>
        <v>1299.4901599999998</v>
      </c>
      <c r="AD969" s="4">
        <f>$O$969*$X$969</f>
        <v>595.14159999999993</v>
      </c>
      <c r="AE969" s="4">
        <f>$K$969*$Y$969</f>
        <v>0</v>
      </c>
      <c r="AF969" s="4">
        <f ca="1">$M$969*$Z$969</f>
        <v>1672.3874105002953</v>
      </c>
      <c r="AG969" s="4">
        <f>$O$969*$AA$969</f>
        <v>743.95618581957683</v>
      </c>
    </row>
    <row r="970" spans="1:33" ht="11.25" customHeight="1" x14ac:dyDescent="0.25">
      <c r="A970" s="3" t="s">
        <v>21</v>
      </c>
      <c r="B970" s="3" t="s">
        <v>37</v>
      </c>
      <c r="C970" s="3" t="s">
        <v>33</v>
      </c>
      <c r="D970" s="3" t="s">
        <v>42</v>
      </c>
      <c r="E970" s="3" t="s">
        <v>25</v>
      </c>
      <c r="F970" s="3" t="s">
        <v>25</v>
      </c>
      <c r="G970" s="3" t="s">
        <v>25</v>
      </c>
      <c r="H970" s="3" t="s">
        <v>34</v>
      </c>
      <c r="I970" s="6">
        <v>44501</v>
      </c>
      <c r="J970" s="4">
        <v>0</v>
      </c>
      <c r="K970" s="4">
        <v>0</v>
      </c>
      <c r="L970" s="4">
        <v>3.335</v>
      </c>
      <c r="M970" s="4">
        <v>3.335</v>
      </c>
      <c r="N970" s="4">
        <v>3.335</v>
      </c>
      <c r="O970" s="4">
        <v>3.335</v>
      </c>
      <c r="P970" s="4">
        <v>0</v>
      </c>
      <c r="Q970" s="3" t="s">
        <v>26</v>
      </c>
      <c r="R970" s="3">
        <v>0</v>
      </c>
      <c r="S970" s="4">
        <v>0</v>
      </c>
      <c r="T970" s="4">
        <v>64</v>
      </c>
      <c r="U970" s="4">
        <v>85</v>
      </c>
      <c r="V970" s="4">
        <f>IF(ISERROR(VLOOKUP($S$970,'TAR FIN'!$A$1:$O$92,15,0)),0,VLOOKUP($S$970,'TAR FIN'!$A$1:$O$92,15,0))</f>
        <v>0</v>
      </c>
      <c r="W970" s="4">
        <f>IF(ISERROR(VLOOKUP($T$970,'TAR FIN'!$A$1:$O$92,15,0)),0,VLOOKUP($T$970,'TAR FIN'!$A$1:$O$92,15,0))</f>
        <v>846.09</v>
      </c>
      <c r="X970" s="4">
        <f>IF(ISERROR(VLOOKUP($U$970,'TAR FIN'!$A$1:$O$92,15,0)),0,VLOOKUP($U$970,'TAR FIN'!$A$1:$O$92,15,0))</f>
        <v>433.77</v>
      </c>
      <c r="Y970" s="4"/>
      <c r="Z970" s="4">
        <f ca="1">('TUSD BE'!$AM$45+'TUSD BF'!$AM$45+'TUSD CVA'!$AM$45)*1</f>
        <v>1090.8890722965982</v>
      </c>
      <c r="AA970" s="4">
        <f>('TE BE'!$AB$36+'TE BF'!$AB$36+'TE CVA'!$AB$36)*1</f>
        <v>542.84414704984056</v>
      </c>
      <c r="AB970" s="4">
        <f>$K$970*$V$970</f>
        <v>0</v>
      </c>
      <c r="AC970" s="4">
        <f>$M$970*$W$970</f>
        <v>2821.7101499999999</v>
      </c>
      <c r="AD970" s="4">
        <f>$O$970*$X$970</f>
        <v>1446.6229499999999</v>
      </c>
      <c r="AE970" s="4">
        <f>$K$970*$Y$970</f>
        <v>0</v>
      </c>
      <c r="AF970" s="4">
        <f ca="1">$M$970*$Z$970</f>
        <v>3638.1150561091549</v>
      </c>
      <c r="AG970" s="4">
        <f>$O$970*$AA$970</f>
        <v>1810.3852304112183</v>
      </c>
    </row>
    <row r="971" spans="1:33" ht="11.25" customHeight="1" x14ac:dyDescent="0.25">
      <c r="A971" s="3" t="s">
        <v>28</v>
      </c>
      <c r="B971" s="3" t="s">
        <v>37</v>
      </c>
      <c r="C971" s="3" t="s">
        <v>33</v>
      </c>
      <c r="D971" s="3" t="s">
        <v>42</v>
      </c>
      <c r="E971" s="3" t="s">
        <v>25</v>
      </c>
      <c r="F971" s="3" t="s">
        <v>25</v>
      </c>
      <c r="G971" s="3" t="s">
        <v>25</v>
      </c>
      <c r="H971" s="3" t="s">
        <v>34</v>
      </c>
      <c r="I971" s="6">
        <v>44501</v>
      </c>
      <c r="J971" s="4">
        <v>0</v>
      </c>
      <c r="K971" s="4">
        <v>0</v>
      </c>
      <c r="L971" s="4">
        <v>0.15</v>
      </c>
      <c r="M971" s="4">
        <v>0.15</v>
      </c>
      <c r="N971" s="4">
        <v>0.15</v>
      </c>
      <c r="O971" s="4">
        <v>0.15</v>
      </c>
      <c r="P971" s="4">
        <v>0</v>
      </c>
      <c r="Q971" s="3" t="s">
        <v>26</v>
      </c>
      <c r="R971" s="3">
        <v>0</v>
      </c>
      <c r="S971" s="4">
        <v>0</v>
      </c>
      <c r="T971" s="4">
        <v>64</v>
      </c>
      <c r="U971" s="4">
        <v>85</v>
      </c>
      <c r="V971" s="4">
        <f>IF(ISERROR(VLOOKUP($S$971,'TAR FIN'!$A$1:$O$92,15,0)),0,VLOOKUP($S$971,'TAR FIN'!$A$1:$O$92,15,0))</f>
        <v>0</v>
      </c>
      <c r="W971" s="4">
        <f>IF(ISERROR(VLOOKUP($T$971,'TAR FIN'!$A$1:$O$92,15,0)),0,VLOOKUP($T$971,'TAR FIN'!$A$1:$O$92,15,0))</f>
        <v>846.09</v>
      </c>
      <c r="X971" s="4">
        <f>IF(ISERROR(VLOOKUP($U$971,'TAR FIN'!$A$1:$O$92,15,0)),0,VLOOKUP($U$971,'TAR FIN'!$A$1:$O$92,15,0))</f>
        <v>433.77</v>
      </c>
      <c r="Y971" s="4"/>
      <c r="Z971" s="4">
        <f ca="1">('TUSD BE'!$AM$45+'TUSD BF'!$AM$45+'TUSD CVA'!$AM$45)*1</f>
        <v>1090.8890722965982</v>
      </c>
      <c r="AA971" s="4">
        <f>('TE BE'!$AB$36+'TE BF'!$AB$36+'TE CVA'!$AB$36)*1</f>
        <v>542.84414704984056</v>
      </c>
      <c r="AB971" s="4">
        <f>$K$971*$V$971</f>
        <v>0</v>
      </c>
      <c r="AC971" s="4">
        <f>$M$971*$W$971</f>
        <v>126.9135</v>
      </c>
      <c r="AD971" s="4">
        <f>$O$971*$X$971</f>
        <v>65.0655</v>
      </c>
      <c r="AE971" s="4">
        <f>$K$971*$Y$971</f>
        <v>0</v>
      </c>
      <c r="AF971" s="4">
        <f ca="1">$M$971*$Z$971</f>
        <v>163.63336084448972</v>
      </c>
      <c r="AG971" s="4">
        <f>$O$971*$AA$971</f>
        <v>81.426622057476081</v>
      </c>
    </row>
    <row r="972" spans="1:33" ht="11.25" customHeight="1" x14ac:dyDescent="0.25">
      <c r="A972" s="3" t="s">
        <v>21</v>
      </c>
      <c r="B972" s="3" t="s">
        <v>37</v>
      </c>
      <c r="C972" s="3" t="s">
        <v>33</v>
      </c>
      <c r="D972" s="3" t="s">
        <v>42</v>
      </c>
      <c r="E972" s="3" t="s">
        <v>25</v>
      </c>
      <c r="F972" s="3" t="s">
        <v>25</v>
      </c>
      <c r="G972" s="3" t="s">
        <v>25</v>
      </c>
      <c r="H972" s="3" t="s">
        <v>34</v>
      </c>
      <c r="I972" s="6">
        <v>44531</v>
      </c>
      <c r="J972" s="4">
        <v>0</v>
      </c>
      <c r="K972" s="4">
        <v>0</v>
      </c>
      <c r="L972" s="4">
        <v>2.8759999999999999</v>
      </c>
      <c r="M972" s="4">
        <v>2.8759999999999999</v>
      </c>
      <c r="N972" s="4">
        <v>2.8759999999999999</v>
      </c>
      <c r="O972" s="4">
        <v>2.8759999999999999</v>
      </c>
      <c r="P972" s="4">
        <v>0</v>
      </c>
      <c r="Q972" s="3" t="s">
        <v>26</v>
      </c>
      <c r="R972" s="3">
        <v>0</v>
      </c>
      <c r="S972" s="4">
        <v>0</v>
      </c>
      <c r="T972" s="4">
        <v>64</v>
      </c>
      <c r="U972" s="4">
        <v>85</v>
      </c>
      <c r="V972" s="4">
        <f>IF(ISERROR(VLOOKUP($S$972,'TAR FIN'!$A$1:$O$92,15,0)),0,VLOOKUP($S$972,'TAR FIN'!$A$1:$O$92,15,0))</f>
        <v>0</v>
      </c>
      <c r="W972" s="4">
        <f>IF(ISERROR(VLOOKUP($T$972,'TAR FIN'!$A$1:$O$92,15,0)),0,VLOOKUP($T$972,'TAR FIN'!$A$1:$O$92,15,0))</f>
        <v>846.09</v>
      </c>
      <c r="X972" s="4">
        <f>IF(ISERROR(VLOOKUP($U$972,'TAR FIN'!$A$1:$O$92,15,0)),0,VLOOKUP($U$972,'TAR FIN'!$A$1:$O$92,15,0))</f>
        <v>433.77</v>
      </c>
      <c r="Y972" s="4"/>
      <c r="Z972" s="4">
        <f ca="1">('TUSD BE'!$AM$45+'TUSD BF'!$AM$45+'TUSD CVA'!$AM$45)*1</f>
        <v>1090.8890722965982</v>
      </c>
      <c r="AA972" s="4">
        <f>('TE BE'!$AB$36+'TE BF'!$AB$36+'TE CVA'!$AB$36)*1</f>
        <v>542.84414704984056</v>
      </c>
      <c r="AB972" s="4">
        <f>$K$972*$V$972</f>
        <v>0</v>
      </c>
      <c r="AC972" s="4">
        <f>$M$972*$W$972</f>
        <v>2433.35484</v>
      </c>
      <c r="AD972" s="4">
        <f>$O$972*$X$972</f>
        <v>1247.52252</v>
      </c>
      <c r="AE972" s="4">
        <f>$K$972*$Y$972</f>
        <v>0</v>
      </c>
      <c r="AF972" s="4">
        <f ca="1">$M$972*$Z$972</f>
        <v>3137.3969719250163</v>
      </c>
      <c r="AG972" s="4">
        <f>$O$972*$AA$972</f>
        <v>1561.2197669153413</v>
      </c>
    </row>
    <row r="973" spans="1:33" ht="11.25" customHeight="1" x14ac:dyDescent="0.25">
      <c r="A973" s="3" t="s">
        <v>28</v>
      </c>
      <c r="B973" s="3" t="s">
        <v>37</v>
      </c>
      <c r="C973" s="3" t="s">
        <v>33</v>
      </c>
      <c r="D973" s="3" t="s">
        <v>42</v>
      </c>
      <c r="E973" s="3" t="s">
        <v>25</v>
      </c>
      <c r="F973" s="3" t="s">
        <v>25</v>
      </c>
      <c r="G973" s="3" t="s">
        <v>25</v>
      </c>
      <c r="H973" s="3" t="s">
        <v>34</v>
      </c>
      <c r="I973" s="6">
        <v>44531</v>
      </c>
      <c r="J973" s="4">
        <v>0</v>
      </c>
      <c r="K973" s="4">
        <v>0</v>
      </c>
      <c r="L973" s="4">
        <v>0.2</v>
      </c>
      <c r="M973" s="4">
        <v>0.2</v>
      </c>
      <c r="N973" s="4">
        <v>0.2</v>
      </c>
      <c r="O973" s="4">
        <v>0.2</v>
      </c>
      <c r="P973" s="4">
        <v>0</v>
      </c>
      <c r="Q973" s="3" t="s">
        <v>26</v>
      </c>
      <c r="R973" s="3">
        <v>0</v>
      </c>
      <c r="S973" s="4">
        <v>0</v>
      </c>
      <c r="T973" s="4">
        <v>64</v>
      </c>
      <c r="U973" s="4">
        <v>85</v>
      </c>
      <c r="V973" s="4">
        <f>IF(ISERROR(VLOOKUP($S$973,'TAR FIN'!$A$1:$O$92,15,0)),0,VLOOKUP($S$973,'TAR FIN'!$A$1:$O$92,15,0))</f>
        <v>0</v>
      </c>
      <c r="W973" s="4">
        <f>IF(ISERROR(VLOOKUP($T$973,'TAR FIN'!$A$1:$O$92,15,0)),0,VLOOKUP($T$973,'TAR FIN'!$A$1:$O$92,15,0))</f>
        <v>846.09</v>
      </c>
      <c r="X973" s="4">
        <f>IF(ISERROR(VLOOKUP($U$973,'TAR FIN'!$A$1:$O$92,15,0)),0,VLOOKUP($U$973,'TAR FIN'!$A$1:$O$92,15,0))</f>
        <v>433.77</v>
      </c>
      <c r="Y973" s="4"/>
      <c r="Z973" s="4">
        <f ca="1">('TUSD BE'!$AM$45+'TUSD BF'!$AM$45+'TUSD CVA'!$AM$45)*1</f>
        <v>1090.8890722965982</v>
      </c>
      <c r="AA973" s="4">
        <f>('TE BE'!$AB$36+'TE BF'!$AB$36+'TE CVA'!$AB$36)*1</f>
        <v>542.84414704984056</v>
      </c>
      <c r="AB973" s="4">
        <f>$K$973*$V$973</f>
        <v>0</v>
      </c>
      <c r="AC973" s="4">
        <f>$M$973*$W$973</f>
        <v>169.21800000000002</v>
      </c>
      <c r="AD973" s="4">
        <f>$O$973*$X$973</f>
        <v>86.754000000000005</v>
      </c>
      <c r="AE973" s="4">
        <f>$K$973*$Y$973</f>
        <v>0</v>
      </c>
      <c r="AF973" s="4">
        <f ca="1">$M$973*$Z$973</f>
        <v>218.17781445931965</v>
      </c>
      <c r="AG973" s="4">
        <f>$O$973*$AA$973</f>
        <v>108.56882940996812</v>
      </c>
    </row>
    <row r="974" spans="1:33" ht="11.25" customHeight="1" x14ac:dyDescent="0.25">
      <c r="A974" s="3" t="s">
        <v>21</v>
      </c>
      <c r="B974" s="3" t="s">
        <v>37</v>
      </c>
      <c r="C974" s="3" t="s">
        <v>33</v>
      </c>
      <c r="D974" s="3" t="s">
        <v>42</v>
      </c>
      <c r="E974" s="3" t="s">
        <v>25</v>
      </c>
      <c r="F974" s="3" t="s">
        <v>25</v>
      </c>
      <c r="G974" s="3" t="s">
        <v>25</v>
      </c>
      <c r="H974" s="3" t="s">
        <v>34</v>
      </c>
      <c r="I974" s="6">
        <v>44562</v>
      </c>
      <c r="J974" s="4">
        <v>0</v>
      </c>
      <c r="K974" s="4">
        <v>0</v>
      </c>
      <c r="L974" s="4">
        <v>2.6339999999999999</v>
      </c>
      <c r="M974" s="4">
        <v>2.6339999999999999</v>
      </c>
      <c r="N974" s="4">
        <v>2.6339999999999999</v>
      </c>
      <c r="O974" s="4">
        <v>2.6339999999999999</v>
      </c>
      <c r="P974" s="4">
        <v>0</v>
      </c>
      <c r="Q974" s="3" t="s">
        <v>26</v>
      </c>
      <c r="R974" s="3">
        <v>0</v>
      </c>
      <c r="S974" s="4">
        <v>0</v>
      </c>
      <c r="T974" s="4">
        <v>64</v>
      </c>
      <c r="U974" s="4">
        <v>85</v>
      </c>
      <c r="V974" s="4">
        <f>IF(ISERROR(VLOOKUP($S$974,'TAR FIN'!$A$1:$O$92,15,0)),0,VLOOKUP($S$974,'TAR FIN'!$A$1:$O$92,15,0))</f>
        <v>0</v>
      </c>
      <c r="W974" s="4">
        <f>IF(ISERROR(VLOOKUP($T$974,'TAR FIN'!$A$1:$O$92,15,0)),0,VLOOKUP($T$974,'TAR FIN'!$A$1:$O$92,15,0))</f>
        <v>846.09</v>
      </c>
      <c r="X974" s="4">
        <f>IF(ISERROR(VLOOKUP($U$974,'TAR FIN'!$A$1:$O$92,15,0)),0,VLOOKUP($U$974,'TAR FIN'!$A$1:$O$92,15,0))</f>
        <v>433.77</v>
      </c>
      <c r="Y974" s="4"/>
      <c r="Z974" s="4">
        <f ca="1">('TUSD BE'!$AM$45+'TUSD BF'!$AM$45+'TUSD CVA'!$AM$45)*1</f>
        <v>1090.8890722965982</v>
      </c>
      <c r="AA974" s="4">
        <f>('TE BE'!$AB$36+'TE BF'!$AB$36+'TE CVA'!$AB$36)*1</f>
        <v>542.84414704984056</v>
      </c>
      <c r="AB974" s="4">
        <f>$K$974*$V$974</f>
        <v>0</v>
      </c>
      <c r="AC974" s="4">
        <f>$M$974*$W$974</f>
        <v>2228.60106</v>
      </c>
      <c r="AD974" s="4">
        <f>$O$974*$X$974</f>
        <v>1142.55018</v>
      </c>
      <c r="AE974" s="4">
        <f>$K$974*$Y$974</f>
        <v>0</v>
      </c>
      <c r="AF974" s="4">
        <f ca="1">$M$974*$Z$974</f>
        <v>2873.4018164292397</v>
      </c>
      <c r="AG974" s="4">
        <f>$O$974*$AA$974</f>
        <v>1429.85148332928</v>
      </c>
    </row>
    <row r="975" spans="1:33" ht="11.25" customHeight="1" x14ac:dyDescent="0.25">
      <c r="A975" s="3" t="s">
        <v>28</v>
      </c>
      <c r="B975" s="3" t="s">
        <v>37</v>
      </c>
      <c r="C975" s="3" t="s">
        <v>33</v>
      </c>
      <c r="D975" s="3" t="s">
        <v>42</v>
      </c>
      <c r="E975" s="3" t="s">
        <v>25</v>
      </c>
      <c r="F975" s="3" t="s">
        <v>25</v>
      </c>
      <c r="G975" s="3" t="s">
        <v>25</v>
      </c>
      <c r="H975" s="3" t="s">
        <v>34</v>
      </c>
      <c r="I975" s="6">
        <v>44562</v>
      </c>
      <c r="J975" s="4">
        <v>0</v>
      </c>
      <c r="K975" s="4">
        <v>0</v>
      </c>
      <c r="L975" s="4">
        <v>0.14499999999999999</v>
      </c>
      <c r="M975" s="4">
        <v>0.14499999999999999</v>
      </c>
      <c r="N975" s="4">
        <v>0.14499999999999999</v>
      </c>
      <c r="O975" s="4">
        <v>0.14499999999999999</v>
      </c>
      <c r="P975" s="4">
        <v>0</v>
      </c>
      <c r="Q975" s="3" t="s">
        <v>26</v>
      </c>
      <c r="R975" s="3">
        <v>0</v>
      </c>
      <c r="S975" s="4">
        <v>0</v>
      </c>
      <c r="T975" s="4">
        <v>64</v>
      </c>
      <c r="U975" s="4">
        <v>85</v>
      </c>
      <c r="V975" s="4">
        <f>IF(ISERROR(VLOOKUP($S$975,'TAR FIN'!$A$1:$O$92,15,0)),0,VLOOKUP($S$975,'TAR FIN'!$A$1:$O$92,15,0))</f>
        <v>0</v>
      </c>
      <c r="W975" s="4">
        <f>IF(ISERROR(VLOOKUP($T$975,'TAR FIN'!$A$1:$O$92,15,0)),0,VLOOKUP($T$975,'TAR FIN'!$A$1:$O$92,15,0))</f>
        <v>846.09</v>
      </c>
      <c r="X975" s="4">
        <f>IF(ISERROR(VLOOKUP($U$975,'TAR FIN'!$A$1:$O$92,15,0)),0,VLOOKUP($U$975,'TAR FIN'!$A$1:$O$92,15,0))</f>
        <v>433.77</v>
      </c>
      <c r="Y975" s="4"/>
      <c r="Z975" s="4">
        <f ca="1">('TUSD BE'!$AM$45+'TUSD BF'!$AM$45+'TUSD CVA'!$AM$45)*1</f>
        <v>1090.8890722965982</v>
      </c>
      <c r="AA975" s="4">
        <f>('TE BE'!$AB$36+'TE BF'!$AB$36+'TE CVA'!$AB$36)*1</f>
        <v>542.84414704984056</v>
      </c>
      <c r="AB975" s="4">
        <f>$K$975*$V$975</f>
        <v>0</v>
      </c>
      <c r="AC975" s="4">
        <f>$M$975*$W$975</f>
        <v>122.68304999999999</v>
      </c>
      <c r="AD975" s="4">
        <f>$O$975*$X$975</f>
        <v>62.896649999999994</v>
      </c>
      <c r="AE975" s="4">
        <f>$K$975*$Y$975</f>
        <v>0</v>
      </c>
      <c r="AF975" s="4">
        <f ca="1">$M$975*$Z$975</f>
        <v>158.17891548300673</v>
      </c>
      <c r="AG975" s="4">
        <f>$O$975*$AA$975</f>
        <v>78.712401322226881</v>
      </c>
    </row>
    <row r="976" spans="1:33" ht="11.25" customHeight="1" x14ac:dyDescent="0.25">
      <c r="A976" s="3" t="s">
        <v>21</v>
      </c>
      <c r="B976" s="3" t="s">
        <v>37</v>
      </c>
      <c r="C976" s="3" t="s">
        <v>33</v>
      </c>
      <c r="D976" s="3" t="s">
        <v>42</v>
      </c>
      <c r="E976" s="3" t="s">
        <v>25</v>
      </c>
      <c r="F976" s="3" t="s">
        <v>25</v>
      </c>
      <c r="G976" s="3" t="s">
        <v>25</v>
      </c>
      <c r="H976" s="3" t="s">
        <v>34</v>
      </c>
      <c r="I976" s="6">
        <v>44593</v>
      </c>
      <c r="J976" s="4">
        <v>0</v>
      </c>
      <c r="K976" s="4">
        <v>0</v>
      </c>
      <c r="L976" s="4">
        <v>2.6</v>
      </c>
      <c r="M976" s="4">
        <v>2.6</v>
      </c>
      <c r="N976" s="4">
        <v>2.6</v>
      </c>
      <c r="O976" s="4">
        <v>2.6</v>
      </c>
      <c r="P976" s="4">
        <v>0</v>
      </c>
      <c r="Q976" s="3" t="s">
        <v>26</v>
      </c>
      <c r="R976" s="3">
        <v>0</v>
      </c>
      <c r="S976" s="4">
        <v>0</v>
      </c>
      <c r="T976" s="4">
        <v>64</v>
      </c>
      <c r="U976" s="4">
        <v>85</v>
      </c>
      <c r="V976" s="4">
        <f>IF(ISERROR(VLOOKUP($S$976,'TAR FIN'!$A$1:$O$92,15,0)),0,VLOOKUP($S$976,'TAR FIN'!$A$1:$O$92,15,0))</f>
        <v>0</v>
      </c>
      <c r="W976" s="4">
        <f>IF(ISERROR(VLOOKUP($T$976,'TAR FIN'!$A$1:$O$92,15,0)),0,VLOOKUP($T$976,'TAR FIN'!$A$1:$O$92,15,0))</f>
        <v>846.09</v>
      </c>
      <c r="X976" s="4">
        <f>IF(ISERROR(VLOOKUP($U$976,'TAR FIN'!$A$1:$O$92,15,0)),0,VLOOKUP($U$976,'TAR FIN'!$A$1:$O$92,15,0))</f>
        <v>433.77</v>
      </c>
      <c r="Y976" s="4"/>
      <c r="Z976" s="4">
        <f ca="1">('TUSD BE'!$AM$45+'TUSD BF'!$AM$45+'TUSD CVA'!$AM$45)*1</f>
        <v>1090.8890722965982</v>
      </c>
      <c r="AA976" s="4">
        <f>('TE BE'!$AB$36+'TE BF'!$AB$36+'TE CVA'!$AB$36)*1</f>
        <v>542.84414704984056</v>
      </c>
      <c r="AB976" s="4">
        <f>$K$976*$V$976</f>
        <v>0</v>
      </c>
      <c r="AC976" s="4">
        <f>$M$976*$W$976</f>
        <v>2199.8340000000003</v>
      </c>
      <c r="AD976" s="4">
        <f>$O$976*$X$976</f>
        <v>1127.8019999999999</v>
      </c>
      <c r="AE976" s="4">
        <f>$K$976*$Y$976</f>
        <v>0</v>
      </c>
      <c r="AF976" s="4">
        <f ca="1">$M$976*$Z$976</f>
        <v>2836.3115879711554</v>
      </c>
      <c r="AG976" s="4">
        <f>$O$976*$AA$976</f>
        <v>1411.3947823295855</v>
      </c>
    </row>
    <row r="977" spans="1:33" ht="11.25" customHeight="1" x14ac:dyDescent="0.25">
      <c r="A977" s="3" t="s">
        <v>28</v>
      </c>
      <c r="B977" s="3" t="s">
        <v>37</v>
      </c>
      <c r="C977" s="3" t="s">
        <v>33</v>
      </c>
      <c r="D977" s="3" t="s">
        <v>42</v>
      </c>
      <c r="E977" s="3" t="s">
        <v>25</v>
      </c>
      <c r="F977" s="3" t="s">
        <v>25</v>
      </c>
      <c r="G977" s="3" t="s">
        <v>25</v>
      </c>
      <c r="H977" s="3" t="s">
        <v>34</v>
      </c>
      <c r="I977" s="6">
        <v>44593</v>
      </c>
      <c r="J977" s="4">
        <v>0</v>
      </c>
      <c r="K977" s="4">
        <v>0</v>
      </c>
      <c r="L977" s="4">
        <v>0.16600000000000001</v>
      </c>
      <c r="M977" s="4">
        <v>0.16600000000000001</v>
      </c>
      <c r="N977" s="4">
        <v>0.16600000000000001</v>
      </c>
      <c r="O977" s="4">
        <v>0.16600000000000001</v>
      </c>
      <c r="P977" s="4">
        <v>0</v>
      </c>
      <c r="Q977" s="3" t="s">
        <v>26</v>
      </c>
      <c r="R977" s="3">
        <v>0</v>
      </c>
      <c r="S977" s="4">
        <v>0</v>
      </c>
      <c r="T977" s="4">
        <v>64</v>
      </c>
      <c r="U977" s="4">
        <v>85</v>
      </c>
      <c r="V977" s="4">
        <f>IF(ISERROR(VLOOKUP($S$977,'TAR FIN'!$A$1:$O$92,15,0)),0,VLOOKUP($S$977,'TAR FIN'!$A$1:$O$92,15,0))</f>
        <v>0</v>
      </c>
      <c r="W977" s="4">
        <f>IF(ISERROR(VLOOKUP($T$977,'TAR FIN'!$A$1:$O$92,15,0)),0,VLOOKUP($T$977,'TAR FIN'!$A$1:$O$92,15,0))</f>
        <v>846.09</v>
      </c>
      <c r="X977" s="4">
        <f>IF(ISERROR(VLOOKUP($U$977,'TAR FIN'!$A$1:$O$92,15,0)),0,VLOOKUP($U$977,'TAR FIN'!$A$1:$O$92,15,0))</f>
        <v>433.77</v>
      </c>
      <c r="Y977" s="4"/>
      <c r="Z977" s="4">
        <f ca="1">('TUSD BE'!$AM$45+'TUSD BF'!$AM$45+'TUSD CVA'!$AM$45)*1</f>
        <v>1090.8890722965982</v>
      </c>
      <c r="AA977" s="4">
        <f>('TE BE'!$AB$36+'TE BF'!$AB$36+'TE CVA'!$AB$36)*1</f>
        <v>542.84414704984056</v>
      </c>
      <c r="AB977" s="4">
        <f>$K$977*$V$977</f>
        <v>0</v>
      </c>
      <c r="AC977" s="4">
        <f>$M$977*$W$977</f>
        <v>140.45094</v>
      </c>
      <c r="AD977" s="4">
        <f>$O$977*$X$977</f>
        <v>72.00582</v>
      </c>
      <c r="AE977" s="4">
        <f>$K$977*$Y$977</f>
        <v>0</v>
      </c>
      <c r="AF977" s="4">
        <f ca="1">$M$977*$Z$977</f>
        <v>181.08758600123531</v>
      </c>
      <c r="AG977" s="4">
        <f>$O$977*$AA$977</f>
        <v>90.112128410273542</v>
      </c>
    </row>
    <row r="978" spans="1:33" ht="11.25" customHeight="1" x14ac:dyDescent="0.25">
      <c r="A978" s="3" t="s">
        <v>21</v>
      </c>
      <c r="B978" s="3" t="s">
        <v>37</v>
      </c>
      <c r="C978" s="3" t="s">
        <v>33</v>
      </c>
      <c r="D978" s="3" t="s">
        <v>42</v>
      </c>
      <c r="E978" s="3" t="s">
        <v>25</v>
      </c>
      <c r="F978" s="3" t="s">
        <v>25</v>
      </c>
      <c r="G978" s="3" t="s">
        <v>25</v>
      </c>
      <c r="H978" s="3" t="s">
        <v>34</v>
      </c>
      <c r="I978" s="6">
        <v>44621</v>
      </c>
      <c r="J978" s="4">
        <v>0</v>
      </c>
      <c r="K978" s="4">
        <v>0</v>
      </c>
      <c r="L978" s="4">
        <v>2.899</v>
      </c>
      <c r="M978" s="4">
        <v>2.899</v>
      </c>
      <c r="N978" s="4">
        <v>2.899</v>
      </c>
      <c r="O978" s="4">
        <v>2.899</v>
      </c>
      <c r="P978" s="4">
        <v>0</v>
      </c>
      <c r="Q978" s="3" t="s">
        <v>26</v>
      </c>
      <c r="R978" s="3">
        <v>0</v>
      </c>
      <c r="S978" s="4">
        <v>0</v>
      </c>
      <c r="T978" s="4">
        <v>64</v>
      </c>
      <c r="U978" s="4">
        <v>85</v>
      </c>
      <c r="V978" s="4">
        <f>IF(ISERROR(VLOOKUP($S$978,'TAR FIN'!$A$1:$O$92,15,0)),0,VLOOKUP($S$978,'TAR FIN'!$A$1:$O$92,15,0))</f>
        <v>0</v>
      </c>
      <c r="W978" s="4">
        <f>IF(ISERROR(VLOOKUP($T$978,'TAR FIN'!$A$1:$O$92,15,0)),0,VLOOKUP($T$978,'TAR FIN'!$A$1:$O$92,15,0))</f>
        <v>846.09</v>
      </c>
      <c r="X978" s="4">
        <f>IF(ISERROR(VLOOKUP($U$978,'TAR FIN'!$A$1:$O$92,15,0)),0,VLOOKUP($U$978,'TAR FIN'!$A$1:$O$92,15,0))</f>
        <v>433.77</v>
      </c>
      <c r="Y978" s="4"/>
      <c r="Z978" s="4">
        <f ca="1">('TUSD BE'!$AM$45+'TUSD BF'!$AM$45+'TUSD CVA'!$AM$45)*1</f>
        <v>1090.8890722965982</v>
      </c>
      <c r="AA978" s="4">
        <f>('TE BE'!$AB$36+'TE BF'!$AB$36+'TE CVA'!$AB$36)*1</f>
        <v>542.84414704984056</v>
      </c>
      <c r="AB978" s="4">
        <f>$K$978*$V$978</f>
        <v>0</v>
      </c>
      <c r="AC978" s="4">
        <f>$M$978*$W$978</f>
        <v>2452.8149100000001</v>
      </c>
      <c r="AD978" s="4">
        <f>$O$978*$X$978</f>
        <v>1257.4992299999999</v>
      </c>
      <c r="AE978" s="4">
        <f>$K$978*$Y$978</f>
        <v>0</v>
      </c>
      <c r="AF978" s="4">
        <f ca="1">$M$978*$Z$978</f>
        <v>3162.4874205878382</v>
      </c>
      <c r="AG978" s="4">
        <f>$O$978*$AA$978</f>
        <v>1573.7051822974877</v>
      </c>
    </row>
    <row r="979" spans="1:33" ht="11.25" customHeight="1" x14ac:dyDescent="0.25">
      <c r="A979" s="3" t="s">
        <v>28</v>
      </c>
      <c r="B979" s="3" t="s">
        <v>37</v>
      </c>
      <c r="C979" s="3" t="s">
        <v>33</v>
      </c>
      <c r="D979" s="3" t="s">
        <v>42</v>
      </c>
      <c r="E979" s="3" t="s">
        <v>25</v>
      </c>
      <c r="F979" s="3" t="s">
        <v>25</v>
      </c>
      <c r="G979" s="3" t="s">
        <v>25</v>
      </c>
      <c r="H979" s="3" t="s">
        <v>34</v>
      </c>
      <c r="I979" s="6">
        <v>44621</v>
      </c>
      <c r="J979" s="4">
        <v>0</v>
      </c>
      <c r="K979" s="4">
        <v>0</v>
      </c>
      <c r="L979" s="4">
        <v>0.17399999999999999</v>
      </c>
      <c r="M979" s="4">
        <v>0.17399999999999999</v>
      </c>
      <c r="N979" s="4">
        <v>0.17399999999999999</v>
      </c>
      <c r="O979" s="4">
        <v>0.17399999999999999</v>
      </c>
      <c r="P979" s="4">
        <v>0</v>
      </c>
      <c r="Q979" s="3" t="s">
        <v>26</v>
      </c>
      <c r="R979" s="3">
        <v>0</v>
      </c>
      <c r="S979" s="4">
        <v>0</v>
      </c>
      <c r="T979" s="4">
        <v>64</v>
      </c>
      <c r="U979" s="4">
        <v>85</v>
      </c>
      <c r="V979" s="4">
        <f>IF(ISERROR(VLOOKUP($S$979,'TAR FIN'!$A$1:$O$92,15,0)),0,VLOOKUP($S$979,'TAR FIN'!$A$1:$O$92,15,0))</f>
        <v>0</v>
      </c>
      <c r="W979" s="4">
        <f>IF(ISERROR(VLOOKUP($T$979,'TAR FIN'!$A$1:$O$92,15,0)),0,VLOOKUP($T$979,'TAR FIN'!$A$1:$O$92,15,0))</f>
        <v>846.09</v>
      </c>
      <c r="X979" s="4">
        <f>IF(ISERROR(VLOOKUP($U$979,'TAR FIN'!$A$1:$O$92,15,0)),0,VLOOKUP($U$979,'TAR FIN'!$A$1:$O$92,15,0))</f>
        <v>433.77</v>
      </c>
      <c r="Y979" s="4"/>
      <c r="Z979" s="4">
        <f ca="1">('TUSD BE'!$AM$45+'TUSD BF'!$AM$45+'TUSD CVA'!$AM$45)*1</f>
        <v>1090.8890722965982</v>
      </c>
      <c r="AA979" s="4">
        <f>('TE BE'!$AB$36+'TE BF'!$AB$36+'TE CVA'!$AB$36)*1</f>
        <v>542.84414704984056</v>
      </c>
      <c r="AB979" s="4">
        <f>$K$979*$V$979</f>
        <v>0</v>
      </c>
      <c r="AC979" s="4">
        <f>$M$979*$W$979</f>
        <v>147.21966</v>
      </c>
      <c r="AD979" s="4">
        <f>$O$979*$X$979</f>
        <v>75.475979999999993</v>
      </c>
      <c r="AE979" s="4">
        <f>$K$979*$Y$979</f>
        <v>0</v>
      </c>
      <c r="AF979" s="4">
        <f ca="1">$M$979*$Z$979</f>
        <v>189.81469857960806</v>
      </c>
      <c r="AG979" s="4">
        <f>$O$979*$AA$979</f>
        <v>94.454881586672244</v>
      </c>
    </row>
    <row r="980" spans="1:33" ht="11.25" customHeight="1" x14ac:dyDescent="0.25">
      <c r="A980" s="3" t="s">
        <v>21</v>
      </c>
      <c r="B980" s="3" t="s">
        <v>37</v>
      </c>
      <c r="C980" s="3" t="s">
        <v>33</v>
      </c>
      <c r="D980" s="3" t="s">
        <v>42</v>
      </c>
      <c r="E980" s="3" t="s">
        <v>25</v>
      </c>
      <c r="F980" s="3" t="s">
        <v>25</v>
      </c>
      <c r="G980" s="3" t="s">
        <v>25</v>
      </c>
      <c r="H980" s="3" t="s">
        <v>34</v>
      </c>
      <c r="I980" s="6">
        <v>44652</v>
      </c>
      <c r="J980" s="4">
        <v>0</v>
      </c>
      <c r="K980" s="4">
        <v>0</v>
      </c>
      <c r="L980" s="4">
        <v>2.899</v>
      </c>
      <c r="M980" s="4">
        <v>2.899</v>
      </c>
      <c r="N980" s="4">
        <v>2.899</v>
      </c>
      <c r="O980" s="4">
        <v>2.899</v>
      </c>
      <c r="P980" s="4">
        <v>0</v>
      </c>
      <c r="Q980" s="3" t="s">
        <v>26</v>
      </c>
      <c r="R980" s="3">
        <v>0</v>
      </c>
      <c r="S980" s="4">
        <v>0</v>
      </c>
      <c r="T980" s="4">
        <v>64</v>
      </c>
      <c r="U980" s="4">
        <v>85</v>
      </c>
      <c r="V980" s="4">
        <f>IF(ISERROR(VLOOKUP($S$980,'TAR FIN'!$A$1:$O$92,15,0)),0,VLOOKUP($S$980,'TAR FIN'!$A$1:$O$92,15,0))</f>
        <v>0</v>
      </c>
      <c r="W980" s="4">
        <f>IF(ISERROR(VLOOKUP($T$980,'TAR FIN'!$A$1:$O$92,15,0)),0,VLOOKUP($T$980,'TAR FIN'!$A$1:$O$92,15,0))</f>
        <v>846.09</v>
      </c>
      <c r="X980" s="4">
        <f>IF(ISERROR(VLOOKUP($U$980,'TAR FIN'!$A$1:$O$92,15,0)),0,VLOOKUP($U$980,'TAR FIN'!$A$1:$O$92,15,0))</f>
        <v>433.77</v>
      </c>
      <c r="Y980" s="4"/>
      <c r="Z980" s="4">
        <f ca="1">('TUSD BE'!$AM$45+'TUSD BF'!$AM$45+'TUSD CVA'!$AM$45)*1</f>
        <v>1090.8890722965982</v>
      </c>
      <c r="AA980" s="4">
        <f>('TE BE'!$AB$36+'TE BF'!$AB$36+'TE CVA'!$AB$36)*1</f>
        <v>542.84414704984056</v>
      </c>
      <c r="AB980" s="4">
        <f>$K$980*$V$980</f>
        <v>0</v>
      </c>
      <c r="AC980" s="4">
        <f>$M$980*$W$980</f>
        <v>2452.8149100000001</v>
      </c>
      <c r="AD980" s="4">
        <f>$O$980*$X$980</f>
        <v>1257.4992299999999</v>
      </c>
      <c r="AE980" s="4">
        <f>$K$980*$Y$980</f>
        <v>0</v>
      </c>
      <c r="AF980" s="4">
        <f ca="1">$M$980*$Z$980</f>
        <v>3162.4874205878382</v>
      </c>
      <c r="AG980" s="4">
        <f>$O$980*$AA$980</f>
        <v>1573.7051822974877</v>
      </c>
    </row>
    <row r="981" spans="1:33" ht="11.25" customHeight="1" x14ac:dyDescent="0.25">
      <c r="A981" s="3" t="s">
        <v>28</v>
      </c>
      <c r="B981" s="3" t="s">
        <v>37</v>
      </c>
      <c r="C981" s="3" t="s">
        <v>33</v>
      </c>
      <c r="D981" s="3" t="s">
        <v>42</v>
      </c>
      <c r="E981" s="3" t="s">
        <v>25</v>
      </c>
      <c r="F981" s="3" t="s">
        <v>25</v>
      </c>
      <c r="G981" s="3" t="s">
        <v>25</v>
      </c>
      <c r="H981" s="3" t="s">
        <v>34</v>
      </c>
      <c r="I981" s="6">
        <v>44652</v>
      </c>
      <c r="J981" s="4">
        <v>0</v>
      </c>
      <c r="K981" s="4">
        <v>0</v>
      </c>
      <c r="L981" s="4">
        <v>0.17399999999999999</v>
      </c>
      <c r="M981" s="4">
        <v>0.17399999999999999</v>
      </c>
      <c r="N981" s="4">
        <v>0.17399999999999999</v>
      </c>
      <c r="O981" s="4">
        <v>0.17399999999999999</v>
      </c>
      <c r="P981" s="4">
        <v>0</v>
      </c>
      <c r="Q981" s="3" t="s">
        <v>26</v>
      </c>
      <c r="R981" s="3">
        <v>0</v>
      </c>
      <c r="S981" s="4">
        <v>0</v>
      </c>
      <c r="T981" s="4">
        <v>64</v>
      </c>
      <c r="U981" s="4">
        <v>85</v>
      </c>
      <c r="V981" s="4">
        <f>IF(ISERROR(VLOOKUP($S$981,'TAR FIN'!$A$1:$O$92,15,0)),0,VLOOKUP($S$981,'TAR FIN'!$A$1:$O$92,15,0))</f>
        <v>0</v>
      </c>
      <c r="W981" s="4">
        <f>IF(ISERROR(VLOOKUP($T$981,'TAR FIN'!$A$1:$O$92,15,0)),0,VLOOKUP($T$981,'TAR FIN'!$A$1:$O$92,15,0))</f>
        <v>846.09</v>
      </c>
      <c r="X981" s="4">
        <f>IF(ISERROR(VLOOKUP($U$981,'TAR FIN'!$A$1:$O$92,15,0)),0,VLOOKUP($U$981,'TAR FIN'!$A$1:$O$92,15,0))</f>
        <v>433.77</v>
      </c>
      <c r="Y981" s="4"/>
      <c r="Z981" s="4">
        <f ca="1">('TUSD BE'!$AM$45+'TUSD BF'!$AM$45+'TUSD CVA'!$AM$45)*1</f>
        <v>1090.8890722965982</v>
      </c>
      <c r="AA981" s="4">
        <f>('TE BE'!$AB$36+'TE BF'!$AB$36+'TE CVA'!$AB$36)*1</f>
        <v>542.84414704984056</v>
      </c>
      <c r="AB981" s="4">
        <f>$K$981*$V$981</f>
        <v>0</v>
      </c>
      <c r="AC981" s="4">
        <f>$M$981*$W$981</f>
        <v>147.21966</v>
      </c>
      <c r="AD981" s="4">
        <f>$O$981*$X$981</f>
        <v>75.475979999999993</v>
      </c>
      <c r="AE981" s="4">
        <f>$K$981*$Y$981</f>
        <v>0</v>
      </c>
      <c r="AF981" s="4">
        <f ca="1">$M$981*$Z$981</f>
        <v>189.81469857960806</v>
      </c>
      <c r="AG981" s="4">
        <f>$O$981*$AA$981</f>
        <v>94.454881586672244</v>
      </c>
    </row>
    <row r="982" spans="1:33" ht="11.25" customHeight="1" x14ac:dyDescent="0.25">
      <c r="A982" s="3" t="s">
        <v>21</v>
      </c>
      <c r="B982" s="3" t="s">
        <v>37</v>
      </c>
      <c r="C982" s="3" t="s">
        <v>33</v>
      </c>
      <c r="D982" s="3" t="s">
        <v>42</v>
      </c>
      <c r="E982" s="3" t="s">
        <v>25</v>
      </c>
      <c r="F982" s="3" t="s">
        <v>25</v>
      </c>
      <c r="G982" s="3" t="s">
        <v>25</v>
      </c>
      <c r="H982" s="3" t="s">
        <v>34</v>
      </c>
      <c r="I982" s="6">
        <v>44682</v>
      </c>
      <c r="J982" s="4">
        <v>0</v>
      </c>
      <c r="K982" s="4">
        <v>0</v>
      </c>
      <c r="L982" s="4">
        <v>3.024</v>
      </c>
      <c r="M982" s="4">
        <v>3.024</v>
      </c>
      <c r="N982" s="4">
        <v>3.024</v>
      </c>
      <c r="O982" s="4">
        <v>3.024</v>
      </c>
      <c r="P982" s="4">
        <v>0</v>
      </c>
      <c r="Q982" s="3" t="s">
        <v>26</v>
      </c>
      <c r="R982" s="3">
        <v>0</v>
      </c>
      <c r="S982" s="4">
        <v>0</v>
      </c>
      <c r="T982" s="4">
        <v>64</v>
      </c>
      <c r="U982" s="4">
        <v>85</v>
      </c>
      <c r="V982" s="4">
        <f>IF(ISERROR(VLOOKUP($S$982,'TAR FIN'!$A$1:$O$92,15,0)),0,VLOOKUP($S$982,'TAR FIN'!$A$1:$O$92,15,0))</f>
        <v>0</v>
      </c>
      <c r="W982" s="4">
        <f>IF(ISERROR(VLOOKUP($T$982,'TAR FIN'!$A$1:$O$92,15,0)),0,VLOOKUP($T$982,'TAR FIN'!$A$1:$O$92,15,0))</f>
        <v>846.09</v>
      </c>
      <c r="X982" s="4">
        <f>IF(ISERROR(VLOOKUP($U$982,'TAR FIN'!$A$1:$O$92,15,0)),0,VLOOKUP($U$982,'TAR FIN'!$A$1:$O$92,15,0))</f>
        <v>433.77</v>
      </c>
      <c r="Y982" s="4"/>
      <c r="Z982" s="4">
        <f ca="1">('TUSD BE'!$AM$45+'TUSD BF'!$AM$45+'TUSD CVA'!$AM$45)*1</f>
        <v>1090.8890722965982</v>
      </c>
      <c r="AA982" s="4">
        <f>('TE BE'!$AB$36+'TE BF'!$AB$36+'TE CVA'!$AB$36)*1</f>
        <v>542.84414704984056</v>
      </c>
      <c r="AB982" s="4">
        <f>$K$982*$V$982</f>
        <v>0</v>
      </c>
      <c r="AC982" s="4">
        <f>$M$982*$W$982</f>
        <v>2558.5761600000001</v>
      </c>
      <c r="AD982" s="4">
        <f>$O$982*$X$982</f>
        <v>1311.72048</v>
      </c>
      <c r="AE982" s="4">
        <f>$K$982*$Y$982</f>
        <v>0</v>
      </c>
      <c r="AF982" s="4">
        <f ca="1">$M$982*$Z$982</f>
        <v>3298.848554624913</v>
      </c>
      <c r="AG982" s="4">
        <f>$O$982*$AA$982</f>
        <v>1641.5607006787179</v>
      </c>
    </row>
    <row r="983" spans="1:33" ht="11.25" customHeight="1" x14ac:dyDescent="0.25">
      <c r="A983" s="3" t="s">
        <v>28</v>
      </c>
      <c r="B983" s="3" t="s">
        <v>37</v>
      </c>
      <c r="C983" s="3" t="s">
        <v>33</v>
      </c>
      <c r="D983" s="3" t="s">
        <v>42</v>
      </c>
      <c r="E983" s="3" t="s">
        <v>25</v>
      </c>
      <c r="F983" s="3" t="s">
        <v>25</v>
      </c>
      <c r="G983" s="3" t="s">
        <v>25</v>
      </c>
      <c r="H983" s="3" t="s">
        <v>34</v>
      </c>
      <c r="I983" s="6">
        <v>44682</v>
      </c>
      <c r="J983" s="4">
        <v>0</v>
      </c>
      <c r="K983" s="4">
        <v>0</v>
      </c>
      <c r="L983" s="4">
        <v>0.51600000000000001</v>
      </c>
      <c r="M983" s="4">
        <v>0.51600000000000001</v>
      </c>
      <c r="N983" s="4">
        <v>0.51600000000000001</v>
      </c>
      <c r="O983" s="4">
        <v>0.51600000000000001</v>
      </c>
      <c r="P983" s="4">
        <v>0</v>
      </c>
      <c r="Q983" s="3" t="s">
        <v>26</v>
      </c>
      <c r="R983" s="3">
        <v>0</v>
      </c>
      <c r="S983" s="4">
        <v>0</v>
      </c>
      <c r="T983" s="4">
        <v>64</v>
      </c>
      <c r="U983" s="4">
        <v>85</v>
      </c>
      <c r="V983" s="4">
        <f>IF(ISERROR(VLOOKUP($S$983,'TAR FIN'!$A$1:$O$92,15,0)),0,VLOOKUP($S$983,'TAR FIN'!$A$1:$O$92,15,0))</f>
        <v>0</v>
      </c>
      <c r="W983" s="4">
        <f>IF(ISERROR(VLOOKUP($T$983,'TAR FIN'!$A$1:$O$92,15,0)),0,VLOOKUP($T$983,'TAR FIN'!$A$1:$O$92,15,0))</f>
        <v>846.09</v>
      </c>
      <c r="X983" s="4">
        <f>IF(ISERROR(VLOOKUP($U$983,'TAR FIN'!$A$1:$O$92,15,0)),0,VLOOKUP($U$983,'TAR FIN'!$A$1:$O$92,15,0))</f>
        <v>433.77</v>
      </c>
      <c r="Y983" s="4"/>
      <c r="Z983" s="4">
        <f ca="1">('TUSD BE'!$AM$45+'TUSD BF'!$AM$45+'TUSD CVA'!$AM$45)*1</f>
        <v>1090.8890722965982</v>
      </c>
      <c r="AA983" s="4">
        <f>('TE BE'!$AB$36+'TE BF'!$AB$36+'TE CVA'!$AB$36)*1</f>
        <v>542.84414704984056</v>
      </c>
      <c r="AB983" s="4">
        <f>$K$983*$V$983</f>
        <v>0</v>
      </c>
      <c r="AC983" s="4">
        <f>$M$983*$W$983</f>
        <v>436.58244000000002</v>
      </c>
      <c r="AD983" s="4">
        <f>$O$983*$X$983</f>
        <v>223.82532</v>
      </c>
      <c r="AE983" s="4">
        <f>$K$983*$Y$983</f>
        <v>0</v>
      </c>
      <c r="AF983" s="4">
        <f ca="1">$M$983*$Z$983</f>
        <v>562.89876130504467</v>
      </c>
      <c r="AG983" s="4">
        <f>$O$983*$AA$983</f>
        <v>280.10757987771774</v>
      </c>
    </row>
    <row r="984" spans="1:33" ht="11.25" customHeight="1" x14ac:dyDescent="0.25">
      <c r="A984" s="3" t="s">
        <v>21</v>
      </c>
      <c r="B984" s="3" t="s">
        <v>37</v>
      </c>
      <c r="C984" s="3" t="s">
        <v>33</v>
      </c>
      <c r="D984" s="3" t="s">
        <v>42</v>
      </c>
      <c r="E984" s="3" t="s">
        <v>25</v>
      </c>
      <c r="F984" s="3" t="s">
        <v>25</v>
      </c>
      <c r="G984" s="3" t="s">
        <v>25</v>
      </c>
      <c r="H984" s="3" t="s">
        <v>34</v>
      </c>
      <c r="I984" s="6">
        <v>44713</v>
      </c>
      <c r="J984" s="4">
        <v>0</v>
      </c>
      <c r="K984" s="4">
        <v>0</v>
      </c>
      <c r="L984" s="4">
        <v>3.0270000000000001</v>
      </c>
      <c r="M984" s="4">
        <v>3.0270000000000001</v>
      </c>
      <c r="N984" s="4">
        <v>3.0270000000000001</v>
      </c>
      <c r="O984" s="4">
        <v>3.0270000000000001</v>
      </c>
      <c r="P984" s="4">
        <v>0</v>
      </c>
      <c r="Q984" s="3" t="s">
        <v>26</v>
      </c>
      <c r="R984" s="3">
        <v>0</v>
      </c>
      <c r="S984" s="4">
        <v>0</v>
      </c>
      <c r="T984" s="4">
        <v>64</v>
      </c>
      <c r="U984" s="4">
        <v>85</v>
      </c>
      <c r="V984" s="4">
        <f>IF(ISERROR(VLOOKUP($S$984,'TAR FIN'!$A$1:$O$92,15,0)),0,VLOOKUP($S$984,'TAR FIN'!$A$1:$O$92,15,0))</f>
        <v>0</v>
      </c>
      <c r="W984" s="4">
        <f>IF(ISERROR(VLOOKUP($T$984,'TAR FIN'!$A$1:$O$92,15,0)),0,VLOOKUP($T$984,'TAR FIN'!$A$1:$O$92,15,0))</f>
        <v>846.09</v>
      </c>
      <c r="X984" s="4">
        <f>IF(ISERROR(VLOOKUP($U$984,'TAR FIN'!$A$1:$O$92,15,0)),0,VLOOKUP($U$984,'TAR FIN'!$A$1:$O$92,15,0))</f>
        <v>433.77</v>
      </c>
      <c r="Y984" s="4"/>
      <c r="Z984" s="4">
        <f ca="1">('TUSD BE'!$AM$45+'TUSD BF'!$AM$45+'TUSD CVA'!$AM$45)*1</f>
        <v>1090.8890722965982</v>
      </c>
      <c r="AA984" s="4">
        <f>('TE BE'!$AB$36+'TE BF'!$AB$36+'TE CVA'!$AB$36)*1</f>
        <v>542.84414704984056</v>
      </c>
      <c r="AB984" s="4">
        <f>$K$984*$V$984</f>
        <v>0</v>
      </c>
      <c r="AC984" s="4">
        <f>$M$984*$W$984</f>
        <v>2561.1144300000001</v>
      </c>
      <c r="AD984" s="4">
        <f>$O$984*$X$984</f>
        <v>1313.02179</v>
      </c>
      <c r="AE984" s="4">
        <f>$K$984*$Y$984</f>
        <v>0</v>
      </c>
      <c r="AF984" s="4">
        <f ca="1">$M$984*$Z$984</f>
        <v>3302.1212218418032</v>
      </c>
      <c r="AG984" s="4">
        <f>$O$984*$AA$984</f>
        <v>1643.1892331198674</v>
      </c>
    </row>
    <row r="985" spans="1:33" ht="11.25" customHeight="1" x14ac:dyDescent="0.25">
      <c r="A985" s="3" t="s">
        <v>28</v>
      </c>
      <c r="B985" s="3" t="s">
        <v>37</v>
      </c>
      <c r="C985" s="3" t="s">
        <v>33</v>
      </c>
      <c r="D985" s="3" t="s">
        <v>42</v>
      </c>
      <c r="E985" s="3" t="s">
        <v>25</v>
      </c>
      <c r="F985" s="3" t="s">
        <v>25</v>
      </c>
      <c r="G985" s="3" t="s">
        <v>25</v>
      </c>
      <c r="H985" s="3" t="s">
        <v>34</v>
      </c>
      <c r="I985" s="6">
        <v>44713</v>
      </c>
      <c r="J985" s="4">
        <v>0</v>
      </c>
      <c r="K985" s="4">
        <v>0</v>
      </c>
      <c r="L985" s="4">
        <v>0.17100000000000001</v>
      </c>
      <c r="M985" s="4">
        <v>0.17100000000000001</v>
      </c>
      <c r="N985" s="4">
        <v>0.17100000000000001</v>
      </c>
      <c r="O985" s="4">
        <v>0.17100000000000001</v>
      </c>
      <c r="P985" s="4">
        <v>0</v>
      </c>
      <c r="Q985" s="3" t="s">
        <v>26</v>
      </c>
      <c r="R985" s="3">
        <v>0</v>
      </c>
      <c r="S985" s="4">
        <v>0</v>
      </c>
      <c r="T985" s="4">
        <v>64</v>
      </c>
      <c r="U985" s="4">
        <v>85</v>
      </c>
      <c r="V985" s="4">
        <f>IF(ISERROR(VLOOKUP($S$985,'TAR FIN'!$A$1:$O$92,15,0)),0,VLOOKUP($S$985,'TAR FIN'!$A$1:$O$92,15,0))</f>
        <v>0</v>
      </c>
      <c r="W985" s="4">
        <f>IF(ISERROR(VLOOKUP($T$985,'TAR FIN'!$A$1:$O$92,15,0)),0,VLOOKUP($T$985,'TAR FIN'!$A$1:$O$92,15,0))</f>
        <v>846.09</v>
      </c>
      <c r="X985" s="4">
        <f>IF(ISERROR(VLOOKUP($U$985,'TAR FIN'!$A$1:$O$92,15,0)),0,VLOOKUP($U$985,'TAR FIN'!$A$1:$O$92,15,0))</f>
        <v>433.77</v>
      </c>
      <c r="Y985" s="4"/>
      <c r="Z985" s="4">
        <f ca="1">('TUSD BE'!$AM$45+'TUSD BF'!$AM$45+'TUSD CVA'!$AM$45)*1</f>
        <v>1090.8890722965982</v>
      </c>
      <c r="AA985" s="4">
        <f>('TE BE'!$AB$36+'TE BF'!$AB$36+'TE CVA'!$AB$36)*1</f>
        <v>542.84414704984056</v>
      </c>
      <c r="AB985" s="4">
        <f>$K$985*$V$985</f>
        <v>0</v>
      </c>
      <c r="AC985" s="4">
        <f>$M$985*$W$985</f>
        <v>144.68139000000002</v>
      </c>
      <c r="AD985" s="4">
        <f>$O$985*$X$985</f>
        <v>74.174670000000006</v>
      </c>
      <c r="AE985" s="4">
        <f>$K$985*$Y$985</f>
        <v>0</v>
      </c>
      <c r="AF985" s="4">
        <f ca="1">$M$985*$Z$985</f>
        <v>186.54203136271832</v>
      </c>
      <c r="AG985" s="4">
        <f>$O$985*$AA$985</f>
        <v>92.826349145522741</v>
      </c>
    </row>
    <row r="986" spans="1:33" ht="11.25" customHeight="1" x14ac:dyDescent="0.25">
      <c r="A986" s="3" t="s">
        <v>21</v>
      </c>
      <c r="B986" s="3" t="s">
        <v>37</v>
      </c>
      <c r="C986" s="3" t="s">
        <v>33</v>
      </c>
      <c r="D986" s="3" t="s">
        <v>42</v>
      </c>
      <c r="E986" s="3" t="s">
        <v>25</v>
      </c>
      <c r="F986" s="3" t="s">
        <v>25</v>
      </c>
      <c r="G986" s="3" t="s">
        <v>25</v>
      </c>
      <c r="H986" s="3" t="s">
        <v>34</v>
      </c>
      <c r="I986" s="6">
        <v>44743</v>
      </c>
      <c r="J986" s="4">
        <v>0</v>
      </c>
      <c r="K986" s="4">
        <v>0</v>
      </c>
      <c r="L986" s="4">
        <v>2.8849999999999998</v>
      </c>
      <c r="M986" s="4">
        <v>2.8849999999999998</v>
      </c>
      <c r="N986" s="4">
        <v>2.8849999999999998</v>
      </c>
      <c r="O986" s="4">
        <v>2.8849999999999998</v>
      </c>
      <c r="P986" s="4">
        <v>0</v>
      </c>
      <c r="Q986" s="3" t="s">
        <v>26</v>
      </c>
      <c r="R986" s="3">
        <v>0</v>
      </c>
      <c r="S986" s="4">
        <v>0</v>
      </c>
      <c r="T986" s="4">
        <v>64</v>
      </c>
      <c r="U986" s="4">
        <v>85</v>
      </c>
      <c r="V986" s="4">
        <f>IF(ISERROR(VLOOKUP($S$986,'TAR FIN'!$A$1:$O$92,15,0)),0,VLOOKUP($S$986,'TAR FIN'!$A$1:$O$92,15,0))</f>
        <v>0</v>
      </c>
      <c r="W986" s="4">
        <f>IF(ISERROR(VLOOKUP($T$986,'TAR FIN'!$A$1:$O$92,15,0)),0,VLOOKUP($T$986,'TAR FIN'!$A$1:$O$92,15,0))</f>
        <v>846.09</v>
      </c>
      <c r="X986" s="4">
        <f>IF(ISERROR(VLOOKUP($U$986,'TAR FIN'!$A$1:$O$92,15,0)),0,VLOOKUP($U$986,'TAR FIN'!$A$1:$O$92,15,0))</f>
        <v>433.77</v>
      </c>
      <c r="Y986" s="4"/>
      <c r="Z986" s="4">
        <f ca="1">('TUSD BE'!$AM$45+'TUSD BF'!$AM$45+'TUSD CVA'!$AM$45)*1</f>
        <v>1090.8890722965982</v>
      </c>
      <c r="AA986" s="4">
        <f>('TE BE'!$AB$36+'TE BF'!$AB$36+'TE CVA'!$AB$36)*1</f>
        <v>542.84414704984056</v>
      </c>
      <c r="AB986" s="4">
        <f>$K$986*$V$986</f>
        <v>0</v>
      </c>
      <c r="AC986" s="4">
        <f>$M$986*$W$986</f>
        <v>2440.96965</v>
      </c>
      <c r="AD986" s="4">
        <f>$O$986*$X$986</f>
        <v>1251.4264499999999</v>
      </c>
      <c r="AE986" s="4">
        <f>$K$986*$Y$986</f>
        <v>0</v>
      </c>
      <c r="AF986" s="4">
        <f ca="1">$M$986*$Z$986</f>
        <v>3147.2149735756857</v>
      </c>
      <c r="AG986" s="4">
        <f>$O$986*$AA$986</f>
        <v>1566.1053642387899</v>
      </c>
    </row>
    <row r="987" spans="1:33" ht="11.25" customHeight="1" x14ac:dyDescent="0.25">
      <c r="A987" s="3" t="s">
        <v>28</v>
      </c>
      <c r="B987" s="3" t="s">
        <v>37</v>
      </c>
      <c r="C987" s="3" t="s">
        <v>33</v>
      </c>
      <c r="D987" s="3" t="s">
        <v>42</v>
      </c>
      <c r="E987" s="3" t="s">
        <v>25</v>
      </c>
      <c r="F987" s="3" t="s">
        <v>25</v>
      </c>
      <c r="G987" s="3" t="s">
        <v>25</v>
      </c>
      <c r="H987" s="3" t="s">
        <v>34</v>
      </c>
      <c r="I987" s="6">
        <v>44743</v>
      </c>
      <c r="J987" s="4">
        <v>0</v>
      </c>
      <c r="K987" s="4">
        <v>0</v>
      </c>
      <c r="L987" s="4">
        <v>0.14799999999999999</v>
      </c>
      <c r="M987" s="4">
        <v>0.14799999999999999</v>
      </c>
      <c r="N987" s="4">
        <v>0.14799999999999999</v>
      </c>
      <c r="O987" s="4">
        <v>0.14799999999999999</v>
      </c>
      <c r="P987" s="4">
        <v>0</v>
      </c>
      <c r="Q987" s="3" t="s">
        <v>26</v>
      </c>
      <c r="R987" s="3">
        <v>0</v>
      </c>
      <c r="S987" s="4">
        <v>0</v>
      </c>
      <c r="T987" s="4">
        <v>64</v>
      </c>
      <c r="U987" s="4">
        <v>85</v>
      </c>
      <c r="V987" s="4">
        <f>IF(ISERROR(VLOOKUP($S$987,'TAR FIN'!$A$1:$O$92,15,0)),0,VLOOKUP($S$987,'TAR FIN'!$A$1:$O$92,15,0))</f>
        <v>0</v>
      </c>
      <c r="W987" s="4">
        <f>IF(ISERROR(VLOOKUP($T$987,'TAR FIN'!$A$1:$O$92,15,0)),0,VLOOKUP($T$987,'TAR FIN'!$A$1:$O$92,15,0))</f>
        <v>846.09</v>
      </c>
      <c r="X987" s="4">
        <f>IF(ISERROR(VLOOKUP($U$987,'TAR FIN'!$A$1:$O$92,15,0)),0,VLOOKUP($U$987,'TAR FIN'!$A$1:$O$92,15,0))</f>
        <v>433.77</v>
      </c>
      <c r="Y987" s="4"/>
      <c r="Z987" s="4">
        <f ca="1">('TUSD BE'!$AM$45+'TUSD BF'!$AM$45+'TUSD CVA'!$AM$45)*1</f>
        <v>1090.8890722965982</v>
      </c>
      <c r="AA987" s="4">
        <f>('TE BE'!$AB$36+'TE BF'!$AB$36+'TE CVA'!$AB$36)*1</f>
        <v>542.84414704984056</v>
      </c>
      <c r="AB987" s="4">
        <f>$K$987*$V$987</f>
        <v>0</v>
      </c>
      <c r="AC987" s="4">
        <f>$M$987*$W$987</f>
        <v>125.22131999999999</v>
      </c>
      <c r="AD987" s="4">
        <f>$O$987*$X$987</f>
        <v>64.197959999999995</v>
      </c>
      <c r="AE987" s="4">
        <f>$K$987*$Y$987</f>
        <v>0</v>
      </c>
      <c r="AF987" s="4">
        <f ca="1">$M$987*$Z$987</f>
        <v>161.45158269989653</v>
      </c>
      <c r="AG987" s="4">
        <f>$O$987*$AA$987</f>
        <v>80.340933763376398</v>
      </c>
    </row>
    <row r="988" spans="1:33" ht="11.25" customHeight="1" x14ac:dyDescent="0.25">
      <c r="A988" s="3" t="s">
        <v>21</v>
      </c>
      <c r="B988" s="3" t="s">
        <v>37</v>
      </c>
      <c r="C988" s="3" t="s">
        <v>33</v>
      </c>
      <c r="D988" s="3" t="s">
        <v>42</v>
      </c>
      <c r="E988" s="3" t="s">
        <v>25</v>
      </c>
      <c r="F988" s="3" t="s">
        <v>25</v>
      </c>
      <c r="G988" s="3" t="s">
        <v>25</v>
      </c>
      <c r="H988" s="3" t="s">
        <v>34</v>
      </c>
      <c r="I988" s="6">
        <v>44774</v>
      </c>
      <c r="J988" s="4">
        <v>0</v>
      </c>
      <c r="K988" s="4">
        <v>0</v>
      </c>
      <c r="L988" s="4">
        <v>3.5779999999999998</v>
      </c>
      <c r="M988" s="4">
        <v>3.5779999999999998</v>
      </c>
      <c r="N988" s="4">
        <v>3.5779999999999998</v>
      </c>
      <c r="O988" s="4">
        <v>3.5779999999999998</v>
      </c>
      <c r="P988" s="4">
        <v>0</v>
      </c>
      <c r="Q988" s="3" t="s">
        <v>26</v>
      </c>
      <c r="R988" s="3">
        <v>0</v>
      </c>
      <c r="S988" s="4">
        <v>0</v>
      </c>
      <c r="T988" s="4">
        <v>64</v>
      </c>
      <c r="U988" s="4">
        <v>85</v>
      </c>
      <c r="V988" s="4">
        <f>IF(ISERROR(VLOOKUP($S$988,'TAR FIN'!$A$1:$O$92,15,0)),0,VLOOKUP($S$988,'TAR FIN'!$A$1:$O$92,15,0))</f>
        <v>0</v>
      </c>
      <c r="W988" s="4">
        <f>IF(ISERROR(VLOOKUP($T$988,'TAR FIN'!$A$1:$O$92,15,0)),0,VLOOKUP($T$988,'TAR FIN'!$A$1:$O$92,15,0))</f>
        <v>846.09</v>
      </c>
      <c r="X988" s="4">
        <f>IF(ISERROR(VLOOKUP($U$988,'TAR FIN'!$A$1:$O$92,15,0)),0,VLOOKUP($U$988,'TAR FIN'!$A$1:$O$92,15,0))</f>
        <v>433.77</v>
      </c>
      <c r="Y988" s="4"/>
      <c r="Z988" s="4">
        <f ca="1">('TUSD BE'!$AM$45+'TUSD BF'!$AM$45+'TUSD CVA'!$AM$45)*1</f>
        <v>1090.8890722965982</v>
      </c>
      <c r="AA988" s="4">
        <f>('TE BE'!$AB$36+'TE BF'!$AB$36+'TE CVA'!$AB$36)*1</f>
        <v>542.84414704984056</v>
      </c>
      <c r="AB988" s="4">
        <f>$K$988*$V$988</f>
        <v>0</v>
      </c>
      <c r="AC988" s="4">
        <f>$M$988*$W$988</f>
        <v>3027.3100199999999</v>
      </c>
      <c r="AD988" s="4">
        <f>$O$988*$X$988</f>
        <v>1552.0290599999998</v>
      </c>
      <c r="AE988" s="4">
        <f>$K$988*$Y$988</f>
        <v>0</v>
      </c>
      <c r="AF988" s="4">
        <f ca="1">$M$988*$Z$988</f>
        <v>3903.2011006772282</v>
      </c>
      <c r="AG988" s="4">
        <f>$O$988*$AA$988</f>
        <v>1942.2963581443294</v>
      </c>
    </row>
    <row r="989" spans="1:33" ht="11.25" customHeight="1" x14ac:dyDescent="0.25">
      <c r="A989" s="3" t="s">
        <v>28</v>
      </c>
      <c r="B989" s="3" t="s">
        <v>37</v>
      </c>
      <c r="C989" s="3" t="s">
        <v>33</v>
      </c>
      <c r="D989" s="3" t="s">
        <v>42</v>
      </c>
      <c r="E989" s="3" t="s">
        <v>25</v>
      </c>
      <c r="F989" s="3" t="s">
        <v>25</v>
      </c>
      <c r="G989" s="3" t="s">
        <v>25</v>
      </c>
      <c r="H989" s="3" t="s">
        <v>34</v>
      </c>
      <c r="I989" s="6">
        <v>44774</v>
      </c>
      <c r="J989" s="4">
        <v>0</v>
      </c>
      <c r="K989" s="4">
        <v>0</v>
      </c>
      <c r="L989" s="4">
        <v>0.151</v>
      </c>
      <c r="M989" s="4">
        <v>0.151</v>
      </c>
      <c r="N989" s="4">
        <v>0.151</v>
      </c>
      <c r="O989" s="4">
        <v>0.151</v>
      </c>
      <c r="P989" s="4">
        <v>0</v>
      </c>
      <c r="Q989" s="3" t="s">
        <v>26</v>
      </c>
      <c r="R989" s="3">
        <v>0</v>
      </c>
      <c r="S989" s="4">
        <v>0</v>
      </c>
      <c r="T989" s="4">
        <v>64</v>
      </c>
      <c r="U989" s="4">
        <v>85</v>
      </c>
      <c r="V989" s="4">
        <f>IF(ISERROR(VLOOKUP($S$989,'TAR FIN'!$A$1:$O$92,15,0)),0,VLOOKUP($S$989,'TAR FIN'!$A$1:$O$92,15,0))</f>
        <v>0</v>
      </c>
      <c r="W989" s="4">
        <f>IF(ISERROR(VLOOKUP($T$989,'TAR FIN'!$A$1:$O$92,15,0)),0,VLOOKUP($T$989,'TAR FIN'!$A$1:$O$92,15,0))</f>
        <v>846.09</v>
      </c>
      <c r="X989" s="4">
        <f>IF(ISERROR(VLOOKUP($U$989,'TAR FIN'!$A$1:$O$92,15,0)),0,VLOOKUP($U$989,'TAR FIN'!$A$1:$O$92,15,0))</f>
        <v>433.77</v>
      </c>
      <c r="Y989" s="4"/>
      <c r="Z989" s="4">
        <f ca="1">('TUSD BE'!$AM$45+'TUSD BF'!$AM$45+'TUSD CVA'!$AM$45)*1</f>
        <v>1090.8890722965982</v>
      </c>
      <c r="AA989" s="4">
        <f>('TE BE'!$AB$36+'TE BF'!$AB$36+'TE CVA'!$AB$36)*1</f>
        <v>542.84414704984056</v>
      </c>
      <c r="AB989" s="4">
        <f>$K$989*$V$989</f>
        <v>0</v>
      </c>
      <c r="AC989" s="4">
        <f>$M$989*$W$989</f>
        <v>127.75959</v>
      </c>
      <c r="AD989" s="4">
        <f>$O$989*$X$989</f>
        <v>65.499269999999996</v>
      </c>
      <c r="AE989" s="4">
        <f>$K$989*$Y$989</f>
        <v>0</v>
      </c>
      <c r="AF989" s="4">
        <f ca="1">$M$989*$Z$989</f>
        <v>164.72424991678633</v>
      </c>
      <c r="AG989" s="4">
        <f>$O$989*$AA$989</f>
        <v>81.969466204525915</v>
      </c>
    </row>
    <row r="990" spans="1:33" ht="11.25" customHeight="1" x14ac:dyDescent="0.25">
      <c r="A990" s="3" t="s">
        <v>21</v>
      </c>
      <c r="B990" s="3" t="s">
        <v>37</v>
      </c>
      <c r="C990" s="3" t="s">
        <v>33</v>
      </c>
      <c r="D990" s="3" t="s">
        <v>42</v>
      </c>
      <c r="E990" s="3" t="s">
        <v>25</v>
      </c>
      <c r="F990" s="3" t="s">
        <v>25</v>
      </c>
      <c r="G990" s="3" t="s">
        <v>25</v>
      </c>
      <c r="H990" s="3" t="s">
        <v>34</v>
      </c>
      <c r="I990" s="6">
        <v>44805</v>
      </c>
      <c r="J990" s="4">
        <v>0</v>
      </c>
      <c r="K990" s="4">
        <v>0</v>
      </c>
      <c r="L990" s="4">
        <v>3.0990000000000002</v>
      </c>
      <c r="M990" s="4">
        <v>3.0990000000000002</v>
      </c>
      <c r="N990" s="4">
        <v>3.0990000000000002</v>
      </c>
      <c r="O990" s="4">
        <v>3.0990000000000002</v>
      </c>
      <c r="P990" s="4">
        <v>0</v>
      </c>
      <c r="Q990" s="3" t="s">
        <v>26</v>
      </c>
      <c r="R990" s="3">
        <v>0</v>
      </c>
      <c r="S990" s="4">
        <v>0</v>
      </c>
      <c r="T990" s="4">
        <v>64</v>
      </c>
      <c r="U990" s="4">
        <v>85</v>
      </c>
      <c r="V990" s="4">
        <f>IF(ISERROR(VLOOKUP($S$990,'TAR FIN'!$A$1:$O$92,15,0)),0,VLOOKUP($S$990,'TAR FIN'!$A$1:$O$92,15,0))</f>
        <v>0</v>
      </c>
      <c r="W990" s="4">
        <f>IF(ISERROR(VLOOKUP($T$990,'TAR FIN'!$A$1:$O$92,15,0)),0,VLOOKUP($T$990,'TAR FIN'!$A$1:$O$92,15,0))</f>
        <v>846.09</v>
      </c>
      <c r="X990" s="4">
        <f>IF(ISERROR(VLOOKUP($U$990,'TAR FIN'!$A$1:$O$92,15,0)),0,VLOOKUP($U$990,'TAR FIN'!$A$1:$O$92,15,0))</f>
        <v>433.77</v>
      </c>
      <c r="Y990" s="4"/>
      <c r="Z990" s="4">
        <f ca="1">('TUSD BE'!$AM$45+'TUSD BF'!$AM$45+'TUSD CVA'!$AM$45)*1</f>
        <v>1090.8890722965982</v>
      </c>
      <c r="AA990" s="4">
        <f>('TE BE'!$AB$36+'TE BF'!$AB$36+'TE CVA'!$AB$36)*1</f>
        <v>542.84414704984056</v>
      </c>
      <c r="AB990" s="4">
        <f>$K$990*$V$990</f>
        <v>0</v>
      </c>
      <c r="AC990" s="4">
        <f>$M$990*$W$990</f>
        <v>2622.0329100000004</v>
      </c>
      <c r="AD990" s="4">
        <f>$O$990*$X$990</f>
        <v>1344.25323</v>
      </c>
      <c r="AE990" s="4">
        <f>$K$990*$Y$990</f>
        <v>0</v>
      </c>
      <c r="AF990" s="4">
        <f ca="1">$M$990*$Z$990</f>
        <v>3380.6652350471581</v>
      </c>
      <c r="AG990" s="4">
        <f>$O$990*$AA$990</f>
        <v>1682.2740117074559</v>
      </c>
    </row>
    <row r="991" spans="1:33" ht="11.25" customHeight="1" x14ac:dyDescent="0.25">
      <c r="A991" s="3" t="s">
        <v>28</v>
      </c>
      <c r="B991" s="3" t="s">
        <v>37</v>
      </c>
      <c r="C991" s="3" t="s">
        <v>33</v>
      </c>
      <c r="D991" s="3" t="s">
        <v>42</v>
      </c>
      <c r="E991" s="3" t="s">
        <v>25</v>
      </c>
      <c r="F991" s="3" t="s">
        <v>25</v>
      </c>
      <c r="G991" s="3" t="s">
        <v>25</v>
      </c>
      <c r="H991" s="3" t="s">
        <v>34</v>
      </c>
      <c r="I991" s="6">
        <v>44805</v>
      </c>
      <c r="J991" s="4">
        <v>0</v>
      </c>
      <c r="K991" s="4">
        <v>0</v>
      </c>
      <c r="L991" s="4">
        <v>0.14599999999999999</v>
      </c>
      <c r="M991" s="4">
        <v>0.14599999999999999</v>
      </c>
      <c r="N991" s="4">
        <v>0.14599999999999999</v>
      </c>
      <c r="O991" s="4">
        <v>0.14599999999999999</v>
      </c>
      <c r="P991" s="4">
        <v>0</v>
      </c>
      <c r="Q991" s="3" t="s">
        <v>26</v>
      </c>
      <c r="R991" s="3">
        <v>0</v>
      </c>
      <c r="S991" s="4">
        <v>0</v>
      </c>
      <c r="T991" s="4">
        <v>64</v>
      </c>
      <c r="U991" s="4">
        <v>85</v>
      </c>
      <c r="V991" s="4">
        <f>IF(ISERROR(VLOOKUP($S$991,'TAR FIN'!$A$1:$O$92,15,0)),0,VLOOKUP($S$991,'TAR FIN'!$A$1:$O$92,15,0))</f>
        <v>0</v>
      </c>
      <c r="W991" s="4">
        <f>IF(ISERROR(VLOOKUP($T$991,'TAR FIN'!$A$1:$O$92,15,0)),0,VLOOKUP($T$991,'TAR FIN'!$A$1:$O$92,15,0))</f>
        <v>846.09</v>
      </c>
      <c r="X991" s="4">
        <f>IF(ISERROR(VLOOKUP($U$991,'TAR FIN'!$A$1:$O$92,15,0)),0,VLOOKUP($U$991,'TAR FIN'!$A$1:$O$92,15,0))</f>
        <v>433.77</v>
      </c>
      <c r="Y991" s="4"/>
      <c r="Z991" s="4">
        <f ca="1">('TUSD BE'!$AM$45+'TUSD BF'!$AM$45+'TUSD CVA'!$AM$45)*1</f>
        <v>1090.8890722965982</v>
      </c>
      <c r="AA991" s="4">
        <f>('TE BE'!$AB$36+'TE BF'!$AB$36+'TE CVA'!$AB$36)*1</f>
        <v>542.84414704984056</v>
      </c>
      <c r="AB991" s="4">
        <f>$K$991*$V$991</f>
        <v>0</v>
      </c>
      <c r="AC991" s="4">
        <f>$M$991*$W$991</f>
        <v>123.52914</v>
      </c>
      <c r="AD991" s="4">
        <f>$O$991*$X$991</f>
        <v>63.330419999999997</v>
      </c>
      <c r="AE991" s="4">
        <f>$K$991*$Y$991</f>
        <v>0</v>
      </c>
      <c r="AF991" s="4">
        <f ca="1">$M$991*$Z$991</f>
        <v>159.26980455530332</v>
      </c>
      <c r="AG991" s="4">
        <f>$O$991*$AA$991</f>
        <v>79.255245469276716</v>
      </c>
    </row>
    <row r="992" spans="1:33" ht="11.25" customHeight="1" x14ac:dyDescent="0.25">
      <c r="A992" s="3" t="s">
        <v>55</v>
      </c>
      <c r="B992" s="3" t="s">
        <v>37</v>
      </c>
      <c r="C992" s="3" t="s">
        <v>33</v>
      </c>
      <c r="D992" s="3" t="s">
        <v>42</v>
      </c>
      <c r="E992" s="3" t="s">
        <v>25</v>
      </c>
      <c r="F992" s="3" t="s">
        <v>25</v>
      </c>
      <c r="G992" s="3" t="s">
        <v>25</v>
      </c>
      <c r="H992" s="3" t="s">
        <v>34</v>
      </c>
      <c r="I992" s="6">
        <v>44835</v>
      </c>
      <c r="J992" s="4">
        <v>0</v>
      </c>
      <c r="K992" s="4">
        <v>0</v>
      </c>
      <c r="L992" s="4">
        <v>3.0990000000000002</v>
      </c>
      <c r="M992" s="4">
        <v>3.0990000000000002</v>
      </c>
      <c r="N992" s="4">
        <v>3.0990000000000002</v>
      </c>
      <c r="O992" s="4">
        <v>3.0990000000000002</v>
      </c>
      <c r="P992" s="4">
        <v>0</v>
      </c>
      <c r="Q992" s="3" t="s">
        <v>26</v>
      </c>
      <c r="R992" s="3">
        <v>0</v>
      </c>
      <c r="S992" s="4">
        <v>0</v>
      </c>
      <c r="T992" s="4">
        <v>64</v>
      </c>
      <c r="U992" s="4">
        <v>85</v>
      </c>
      <c r="V992" s="4">
        <f>IF(ISERROR(VLOOKUP($S$992,'TAR FIN'!$A$1:$O$92,15,0)),0,VLOOKUP($S$992,'TAR FIN'!$A$1:$O$92,15,0))</f>
        <v>0</v>
      </c>
      <c r="W992" s="4">
        <f>IF(ISERROR(VLOOKUP($T$992,'TAR FIN'!$A$1:$O$92,15,0)),0,VLOOKUP($T$992,'TAR FIN'!$A$1:$O$92,15,0))</f>
        <v>846.09</v>
      </c>
      <c r="X992" s="4">
        <f>IF(ISERROR(VLOOKUP($U$992,'TAR FIN'!$A$1:$O$92,15,0)),0,VLOOKUP($U$992,'TAR FIN'!$A$1:$O$92,15,0))</f>
        <v>433.77</v>
      </c>
      <c r="Y992" s="4"/>
      <c r="Z992" s="4">
        <f ca="1">('TUSD BE'!$AM$45+'TUSD BF'!$AM$45+'TUSD CVA'!$AM$45)*1</f>
        <v>1090.8890722965982</v>
      </c>
      <c r="AA992" s="4">
        <f>('TE BE'!$AB$36+'TE BF'!$AB$36+'TE CVA'!$AB$36)*1</f>
        <v>542.84414704984056</v>
      </c>
      <c r="AB992" s="4">
        <f>$K$992*$V$992</f>
        <v>0</v>
      </c>
      <c r="AC992" s="4">
        <f>$M$992*$W$992</f>
        <v>2622.0329100000004</v>
      </c>
      <c r="AD992" s="4">
        <f>$O$992*$X$992</f>
        <v>1344.25323</v>
      </c>
      <c r="AE992" s="4">
        <f>$K$992*$Y$992</f>
        <v>0</v>
      </c>
      <c r="AF992" s="4">
        <f ca="1">$M$992*$Z$992</f>
        <v>3380.6652350471581</v>
      </c>
      <c r="AG992" s="4">
        <f>$O$992*$AA$992</f>
        <v>1682.2740117074559</v>
      </c>
    </row>
    <row r="993" spans="1:33" ht="11.25" customHeight="1" x14ac:dyDescent="0.25">
      <c r="A993" s="3" t="s">
        <v>55</v>
      </c>
      <c r="B993" s="3" t="s">
        <v>37</v>
      </c>
      <c r="C993" s="3" t="s">
        <v>33</v>
      </c>
      <c r="D993" s="3" t="s">
        <v>42</v>
      </c>
      <c r="E993" s="3" t="s">
        <v>25</v>
      </c>
      <c r="F993" s="3" t="s">
        <v>25</v>
      </c>
      <c r="G993" s="3" t="s">
        <v>25</v>
      </c>
      <c r="H993" s="3" t="s">
        <v>34</v>
      </c>
      <c r="I993" s="6">
        <v>44835</v>
      </c>
      <c r="J993" s="4">
        <v>0</v>
      </c>
      <c r="K993" s="4">
        <v>0</v>
      </c>
      <c r="L993" s="4">
        <v>0.14599999999999999</v>
      </c>
      <c r="M993" s="4">
        <v>0.14599999999999999</v>
      </c>
      <c r="N993" s="4">
        <v>0.14599999999999999</v>
      </c>
      <c r="O993" s="4">
        <v>0.14599999999999999</v>
      </c>
      <c r="P993" s="4">
        <v>0</v>
      </c>
      <c r="Q993" s="3" t="s">
        <v>26</v>
      </c>
      <c r="R993" s="3">
        <v>0</v>
      </c>
      <c r="S993" s="4">
        <v>0</v>
      </c>
      <c r="T993" s="4">
        <v>64</v>
      </c>
      <c r="U993" s="4">
        <v>85</v>
      </c>
      <c r="V993" s="4">
        <f>IF(ISERROR(VLOOKUP($S$993,'TAR FIN'!$A$1:$O$92,15,0)),0,VLOOKUP($S$993,'TAR FIN'!$A$1:$O$92,15,0))</f>
        <v>0</v>
      </c>
      <c r="W993" s="4">
        <f>IF(ISERROR(VLOOKUP($T$993,'TAR FIN'!$A$1:$O$92,15,0)),0,VLOOKUP($T$993,'TAR FIN'!$A$1:$O$92,15,0))</f>
        <v>846.09</v>
      </c>
      <c r="X993" s="4">
        <f>IF(ISERROR(VLOOKUP($U$993,'TAR FIN'!$A$1:$O$92,15,0)),0,VLOOKUP($U$993,'TAR FIN'!$A$1:$O$92,15,0))</f>
        <v>433.77</v>
      </c>
      <c r="Y993" s="4"/>
      <c r="Z993" s="4">
        <f ca="1">('TUSD BE'!$AM$45+'TUSD BF'!$AM$45+'TUSD CVA'!$AM$45)*1</f>
        <v>1090.8890722965982</v>
      </c>
      <c r="AA993" s="4">
        <f>('TE BE'!$AB$36+'TE BF'!$AB$36+'TE CVA'!$AB$36)*1</f>
        <v>542.84414704984056</v>
      </c>
      <c r="AB993" s="4">
        <f>$K$993*$V$993</f>
        <v>0</v>
      </c>
      <c r="AC993" s="4">
        <f>$M$993*$W$993</f>
        <v>123.52914</v>
      </c>
      <c r="AD993" s="4">
        <f>$O$993*$X$993</f>
        <v>63.330419999999997</v>
      </c>
      <c r="AE993" s="4">
        <f>$K$993*$Y$993</f>
        <v>0</v>
      </c>
      <c r="AF993" s="4">
        <f ca="1">$M$993*$Z$993</f>
        <v>159.26980455530332</v>
      </c>
      <c r="AG993" s="4">
        <f>$O$993*$AA$993</f>
        <v>79.255245469276716</v>
      </c>
    </row>
    <row r="994" spans="1:33" ht="11.25" customHeight="1" x14ac:dyDescent="0.25">
      <c r="A994" s="3" t="s">
        <v>21</v>
      </c>
      <c r="B994" s="3" t="s">
        <v>37</v>
      </c>
      <c r="C994" s="3" t="s">
        <v>23</v>
      </c>
      <c r="D994" s="3" t="s">
        <v>42</v>
      </c>
      <c r="E994" s="3" t="s">
        <v>25</v>
      </c>
      <c r="F994" s="3" t="s">
        <v>25</v>
      </c>
      <c r="G994" s="3" t="s">
        <v>25</v>
      </c>
      <c r="H994" s="3" t="s">
        <v>25</v>
      </c>
      <c r="I994" s="6">
        <v>44501</v>
      </c>
      <c r="J994" s="4">
        <v>0</v>
      </c>
      <c r="K994" s="4">
        <v>0</v>
      </c>
      <c r="L994" s="4">
        <v>12409.630999999999</v>
      </c>
      <c r="M994" s="4">
        <v>12409.630999999999</v>
      </c>
      <c r="N994" s="4">
        <v>12409.630999999999</v>
      </c>
      <c r="O994" s="4">
        <v>12409.630999999999</v>
      </c>
      <c r="P994" s="4">
        <v>12397</v>
      </c>
      <c r="Q994" s="3" t="s">
        <v>26</v>
      </c>
      <c r="R994" s="3">
        <v>0</v>
      </c>
      <c r="S994" s="4">
        <v>0</v>
      </c>
      <c r="T994" s="4">
        <v>33</v>
      </c>
      <c r="U994" s="4">
        <v>87</v>
      </c>
      <c r="V994" s="4">
        <f>IF(ISERROR(VLOOKUP($S$994,'TAR FIN'!$A$1:$O$92,15,0)),0,VLOOKUP($S$994,'TAR FIN'!$A$1:$O$92,15,0))</f>
        <v>0</v>
      </c>
      <c r="W994" s="4">
        <f>IF(ISERROR(VLOOKUP($T$994,'TAR FIN'!$A$1:$O$92,15,0)),0,VLOOKUP($T$994,'TAR FIN'!$A$1:$O$92,15,0))</f>
        <v>311.27999999999997</v>
      </c>
      <c r="X994" s="4">
        <f>IF(ISERROR(VLOOKUP($U$994,'TAR FIN'!$A$1:$O$92,15,0)),0,VLOOKUP($U$994,'TAR FIN'!$A$1:$O$92,15,0))</f>
        <v>268.89</v>
      </c>
      <c r="Y994" s="4"/>
      <c r="Z994" s="4">
        <f ca="1">('TUSD BE'!$AM$48+'TUSD BF'!$AM$48+'TUSD CVA'!$AM$48)*1</f>
        <v>398.95397789704208</v>
      </c>
      <c r="AA994" s="4">
        <f>('TE BE'!$AB$39+'TE BF'!$AB$39+'TE CVA'!$AB$39)*1</f>
        <v>336.17550926835082</v>
      </c>
      <c r="AB994" s="4">
        <f>$K$994*$V$994</f>
        <v>0</v>
      </c>
      <c r="AC994" s="4">
        <f>$M$994*$W$994</f>
        <v>3862869.9376799995</v>
      </c>
      <c r="AD994" s="4">
        <f>$O$994*$X$994</f>
        <v>3336825.6795899998</v>
      </c>
      <c r="AE994" s="4">
        <f>$K$994*$Y$994</f>
        <v>0</v>
      </c>
      <c r="AF994" s="4">
        <f ca="1">$M$994*$Z$994</f>
        <v>4950871.6516844481</v>
      </c>
      <c r="AG994" s="4">
        <f>$O$994*$AA$994</f>
        <v>4171814.0212573134</v>
      </c>
    </row>
    <row r="995" spans="1:33" ht="11.25" customHeight="1" x14ac:dyDescent="0.25">
      <c r="A995" s="3" t="s">
        <v>27</v>
      </c>
      <c r="B995" s="3" t="s">
        <v>37</v>
      </c>
      <c r="C995" s="3" t="s">
        <v>23</v>
      </c>
      <c r="D995" s="3" t="s">
        <v>42</v>
      </c>
      <c r="E995" s="3" t="s">
        <v>25</v>
      </c>
      <c r="F995" s="3" t="s">
        <v>25</v>
      </c>
      <c r="G995" s="3" t="s">
        <v>25</v>
      </c>
      <c r="H995" s="3" t="s">
        <v>25</v>
      </c>
      <c r="I995" s="6">
        <v>44501</v>
      </c>
      <c r="J995" s="4">
        <v>0</v>
      </c>
      <c r="K995" s="4">
        <v>0</v>
      </c>
      <c r="L995" s="4">
        <v>-17.187000000000001</v>
      </c>
      <c r="M995" s="4">
        <v>-17.187000000000001</v>
      </c>
      <c r="N995" s="4">
        <v>-17.187000000000001</v>
      </c>
      <c r="O995" s="4">
        <v>-17.187000000000001</v>
      </c>
      <c r="P995" s="4">
        <v>1</v>
      </c>
      <c r="Q995" s="3" t="s">
        <v>26</v>
      </c>
      <c r="R995" s="3">
        <v>0</v>
      </c>
      <c r="S995" s="4">
        <v>0</v>
      </c>
      <c r="T995" s="4">
        <v>33</v>
      </c>
      <c r="U995" s="4">
        <v>87</v>
      </c>
      <c r="V995" s="4">
        <f>IF(ISERROR(VLOOKUP($S$995,'TAR FIN'!$A$1:$O$92,15,0)),0,VLOOKUP($S$995,'TAR FIN'!$A$1:$O$92,15,0))</f>
        <v>0</v>
      </c>
      <c r="W995" s="4">
        <f>IF(ISERROR(VLOOKUP($T$995,'TAR FIN'!$A$1:$O$92,15,0)),0,VLOOKUP($T$995,'TAR FIN'!$A$1:$O$92,15,0))</f>
        <v>311.27999999999997</v>
      </c>
      <c r="X995" s="4">
        <f>IF(ISERROR(VLOOKUP($U$995,'TAR FIN'!$A$1:$O$92,15,0)),0,VLOOKUP($U$995,'TAR FIN'!$A$1:$O$92,15,0))</f>
        <v>268.89</v>
      </c>
      <c r="Y995" s="4"/>
      <c r="Z995" s="4">
        <f ca="1">('TUSD BE'!$AM$48+'TUSD BF'!$AM$48+'TUSD CVA'!$AM$48)*1</f>
        <v>398.95397789704208</v>
      </c>
      <c r="AA995" s="4">
        <f>('TE BE'!$AB$39+'TE BF'!$AB$39+'TE CVA'!$AB$39)*1</f>
        <v>336.17550926835082</v>
      </c>
      <c r="AB995" s="4">
        <f>$K$995*$V$995</f>
        <v>0</v>
      </c>
      <c r="AC995" s="4">
        <f>$M$995*$W$995</f>
        <v>-5349.9693600000001</v>
      </c>
      <c r="AD995" s="4">
        <f>$O$995*$X$995</f>
        <v>-4621.4124300000003</v>
      </c>
      <c r="AE995" s="4">
        <f>$K$995*$Y$995</f>
        <v>0</v>
      </c>
      <c r="AF995" s="4">
        <f ca="1">$M$995*$Z$995</f>
        <v>-6856.8220181164625</v>
      </c>
      <c r="AG995" s="4">
        <f>$O$995*$AA$995</f>
        <v>-5777.8484777951462</v>
      </c>
    </row>
    <row r="996" spans="1:33" ht="11.25" customHeight="1" x14ac:dyDescent="0.25">
      <c r="A996" s="3" t="s">
        <v>28</v>
      </c>
      <c r="B996" s="3" t="s">
        <v>37</v>
      </c>
      <c r="C996" s="3" t="s">
        <v>23</v>
      </c>
      <c r="D996" s="3" t="s">
        <v>42</v>
      </c>
      <c r="E996" s="3" t="s">
        <v>25</v>
      </c>
      <c r="F996" s="3" t="s">
        <v>25</v>
      </c>
      <c r="G996" s="3" t="s">
        <v>25</v>
      </c>
      <c r="H996" s="3" t="s">
        <v>25</v>
      </c>
      <c r="I996" s="6">
        <v>44501</v>
      </c>
      <c r="J996" s="4">
        <v>0</v>
      </c>
      <c r="K996" s="4">
        <v>0</v>
      </c>
      <c r="L996" s="4">
        <v>330.00400000000002</v>
      </c>
      <c r="M996" s="4">
        <v>330.00400000000002</v>
      </c>
      <c r="N996" s="4">
        <v>330.00400000000002</v>
      </c>
      <c r="O996" s="4">
        <v>330.00400000000002</v>
      </c>
      <c r="P996" s="4">
        <v>123</v>
      </c>
      <c r="Q996" s="3" t="s">
        <v>26</v>
      </c>
      <c r="R996" s="3">
        <v>0</v>
      </c>
      <c r="S996" s="4">
        <v>0</v>
      </c>
      <c r="T996" s="4">
        <v>33</v>
      </c>
      <c r="U996" s="4">
        <v>87</v>
      </c>
      <c r="V996" s="4">
        <f>IF(ISERROR(VLOOKUP($S$996,'TAR FIN'!$A$1:$O$92,15,0)),0,VLOOKUP($S$996,'TAR FIN'!$A$1:$O$92,15,0))</f>
        <v>0</v>
      </c>
      <c r="W996" s="4">
        <f>IF(ISERROR(VLOOKUP($T$996,'TAR FIN'!$A$1:$O$92,15,0)),0,VLOOKUP($T$996,'TAR FIN'!$A$1:$O$92,15,0))</f>
        <v>311.27999999999997</v>
      </c>
      <c r="X996" s="4">
        <f>IF(ISERROR(VLOOKUP($U$996,'TAR FIN'!$A$1:$O$92,15,0)),0,VLOOKUP($U$996,'TAR FIN'!$A$1:$O$92,15,0))</f>
        <v>268.89</v>
      </c>
      <c r="Y996" s="4"/>
      <c r="Z996" s="4">
        <f ca="1">('TUSD BE'!$AM$48+'TUSD BF'!$AM$48+'TUSD CVA'!$AM$48)*1</f>
        <v>398.95397789704208</v>
      </c>
      <c r="AA996" s="4">
        <f>('TE BE'!$AB$39+'TE BF'!$AB$39+'TE CVA'!$AB$39)*1</f>
        <v>336.17550926835082</v>
      </c>
      <c r="AB996" s="4">
        <f>$K$996*$V$996</f>
        <v>0</v>
      </c>
      <c r="AC996" s="4">
        <f>$M$996*$W$996</f>
        <v>102723.64512</v>
      </c>
      <c r="AD996" s="4">
        <f>$O$996*$X$996</f>
        <v>88734.775559999995</v>
      </c>
      <c r="AE996" s="4">
        <f>$K$996*$Y$996</f>
        <v>0</v>
      </c>
      <c r="AF996" s="4">
        <f ca="1">$M$996*$Z$996</f>
        <v>131656.40852193549</v>
      </c>
      <c r="AG996" s="4">
        <f>$O$996*$AA$996</f>
        <v>110939.26276059286</v>
      </c>
    </row>
    <row r="997" spans="1:33" ht="11.25" customHeight="1" x14ac:dyDescent="0.25">
      <c r="A997" s="3" t="s">
        <v>21</v>
      </c>
      <c r="B997" s="3" t="s">
        <v>37</v>
      </c>
      <c r="C997" s="3" t="s">
        <v>23</v>
      </c>
      <c r="D997" s="3" t="s">
        <v>42</v>
      </c>
      <c r="E997" s="3" t="s">
        <v>25</v>
      </c>
      <c r="F997" s="3" t="s">
        <v>25</v>
      </c>
      <c r="G997" s="3" t="s">
        <v>25</v>
      </c>
      <c r="H997" s="3" t="s">
        <v>25</v>
      </c>
      <c r="I997" s="6">
        <v>44531</v>
      </c>
      <c r="J997" s="4">
        <v>0</v>
      </c>
      <c r="K997" s="4">
        <v>0</v>
      </c>
      <c r="L997" s="4">
        <v>12028.57</v>
      </c>
      <c r="M997" s="4">
        <v>12028.57</v>
      </c>
      <c r="N997" s="4">
        <v>12028.57</v>
      </c>
      <c r="O997" s="4">
        <v>12028.57</v>
      </c>
      <c r="P997" s="4">
        <v>12432</v>
      </c>
      <c r="Q997" s="3" t="s">
        <v>26</v>
      </c>
      <c r="R997" s="3">
        <v>0</v>
      </c>
      <c r="S997" s="4">
        <v>0</v>
      </c>
      <c r="T997" s="4">
        <v>33</v>
      </c>
      <c r="U997" s="4">
        <v>87</v>
      </c>
      <c r="V997" s="4">
        <f>IF(ISERROR(VLOOKUP($S$997,'TAR FIN'!$A$1:$O$92,15,0)),0,VLOOKUP($S$997,'TAR FIN'!$A$1:$O$92,15,0))</f>
        <v>0</v>
      </c>
      <c r="W997" s="4">
        <f>IF(ISERROR(VLOOKUP($T$997,'TAR FIN'!$A$1:$O$92,15,0)),0,VLOOKUP($T$997,'TAR FIN'!$A$1:$O$92,15,0))</f>
        <v>311.27999999999997</v>
      </c>
      <c r="X997" s="4">
        <f>IF(ISERROR(VLOOKUP($U$997,'TAR FIN'!$A$1:$O$92,15,0)),0,VLOOKUP($U$997,'TAR FIN'!$A$1:$O$92,15,0))</f>
        <v>268.89</v>
      </c>
      <c r="Y997" s="4"/>
      <c r="Z997" s="4">
        <f ca="1">('TUSD BE'!$AM$48+'TUSD BF'!$AM$48+'TUSD CVA'!$AM$48)*1</f>
        <v>398.95397789704208</v>
      </c>
      <c r="AA997" s="4">
        <f>('TE BE'!$AB$39+'TE BF'!$AB$39+'TE CVA'!$AB$39)*1</f>
        <v>336.17550926835082</v>
      </c>
      <c r="AB997" s="4">
        <f>$K$997*$V$997</f>
        <v>0</v>
      </c>
      <c r="AC997" s="4">
        <f>$M$997*$W$997</f>
        <v>3744253.2695999998</v>
      </c>
      <c r="AD997" s="4">
        <f>$O$997*$X$997</f>
        <v>3234362.1872999999</v>
      </c>
      <c r="AE997" s="4">
        <f>$K$997*$Y$997</f>
        <v>0</v>
      </c>
      <c r="AF997" s="4">
        <f ca="1">$M$997*$Z$997</f>
        <v>4798845.8499130234</v>
      </c>
      <c r="AG997" s="4">
        <f>$O$997*$AA$997</f>
        <v>4043710.6455200068</v>
      </c>
    </row>
    <row r="998" spans="1:33" ht="11.25" customHeight="1" x14ac:dyDescent="0.25">
      <c r="A998" s="3" t="s">
        <v>27</v>
      </c>
      <c r="B998" s="3" t="s">
        <v>37</v>
      </c>
      <c r="C998" s="3" t="s">
        <v>23</v>
      </c>
      <c r="D998" s="3" t="s">
        <v>42</v>
      </c>
      <c r="E998" s="3" t="s">
        <v>25</v>
      </c>
      <c r="F998" s="3" t="s">
        <v>25</v>
      </c>
      <c r="G998" s="3" t="s">
        <v>25</v>
      </c>
      <c r="H998" s="3" t="s">
        <v>25</v>
      </c>
      <c r="I998" s="6">
        <v>44531</v>
      </c>
      <c r="J998" s="4">
        <v>0</v>
      </c>
      <c r="K998" s="4">
        <v>0</v>
      </c>
      <c r="L998" s="4">
        <v>-4.556</v>
      </c>
      <c r="M998" s="4">
        <v>-4.556</v>
      </c>
      <c r="N998" s="4">
        <v>-4.556</v>
      </c>
      <c r="O998" s="4">
        <v>-4.556</v>
      </c>
      <c r="P998" s="4">
        <v>-28</v>
      </c>
      <c r="Q998" s="3" t="s">
        <v>26</v>
      </c>
      <c r="R998" s="3">
        <v>0</v>
      </c>
      <c r="S998" s="4">
        <v>0</v>
      </c>
      <c r="T998" s="4">
        <v>33</v>
      </c>
      <c r="U998" s="4">
        <v>87</v>
      </c>
      <c r="V998" s="4">
        <f>IF(ISERROR(VLOOKUP($S$998,'TAR FIN'!$A$1:$O$92,15,0)),0,VLOOKUP($S$998,'TAR FIN'!$A$1:$O$92,15,0))</f>
        <v>0</v>
      </c>
      <c r="W998" s="4">
        <f>IF(ISERROR(VLOOKUP($T$998,'TAR FIN'!$A$1:$O$92,15,0)),0,VLOOKUP($T$998,'TAR FIN'!$A$1:$O$92,15,0))</f>
        <v>311.27999999999997</v>
      </c>
      <c r="X998" s="4">
        <f>IF(ISERROR(VLOOKUP($U$998,'TAR FIN'!$A$1:$O$92,15,0)),0,VLOOKUP($U$998,'TAR FIN'!$A$1:$O$92,15,0))</f>
        <v>268.89</v>
      </c>
      <c r="Y998" s="4"/>
      <c r="Z998" s="4">
        <f ca="1">('TUSD BE'!$AM$48+'TUSD BF'!$AM$48+'TUSD CVA'!$AM$48)*1</f>
        <v>398.95397789704208</v>
      </c>
      <c r="AA998" s="4">
        <f>('TE BE'!$AB$39+'TE BF'!$AB$39+'TE CVA'!$AB$39)*1</f>
        <v>336.17550926835082</v>
      </c>
      <c r="AB998" s="4">
        <f>$K$998*$V$998</f>
        <v>0</v>
      </c>
      <c r="AC998" s="4">
        <f>$M$998*$W$998</f>
        <v>-1418.1916799999999</v>
      </c>
      <c r="AD998" s="4">
        <f>$O$998*$X$998</f>
        <v>-1225.0628400000001</v>
      </c>
      <c r="AE998" s="4">
        <f>$K$998*$Y$998</f>
        <v>0</v>
      </c>
      <c r="AF998" s="4">
        <f ca="1">$M$998*$Z$998</f>
        <v>-1817.6343232989238</v>
      </c>
      <c r="AG998" s="4">
        <f>$O$998*$AA$998</f>
        <v>-1531.6156202266063</v>
      </c>
    </row>
    <row r="999" spans="1:33" ht="11.25" customHeight="1" x14ac:dyDescent="0.25">
      <c r="A999" s="3" t="s">
        <v>28</v>
      </c>
      <c r="B999" s="3" t="s">
        <v>37</v>
      </c>
      <c r="C999" s="3" t="s">
        <v>23</v>
      </c>
      <c r="D999" s="3" t="s">
        <v>42</v>
      </c>
      <c r="E999" s="3" t="s">
        <v>25</v>
      </c>
      <c r="F999" s="3" t="s">
        <v>25</v>
      </c>
      <c r="G999" s="3" t="s">
        <v>25</v>
      </c>
      <c r="H999" s="3" t="s">
        <v>25</v>
      </c>
      <c r="I999" s="6">
        <v>44531</v>
      </c>
      <c r="J999" s="4">
        <v>0</v>
      </c>
      <c r="K999" s="4">
        <v>0</v>
      </c>
      <c r="L999" s="4">
        <v>335.04500000000002</v>
      </c>
      <c r="M999" s="4">
        <v>335.04500000000002</v>
      </c>
      <c r="N999" s="4">
        <v>335.04500000000002</v>
      </c>
      <c r="O999" s="4">
        <v>335.04500000000002</v>
      </c>
      <c r="P999" s="4">
        <v>132</v>
      </c>
      <c r="Q999" s="3" t="s">
        <v>26</v>
      </c>
      <c r="R999" s="3">
        <v>0</v>
      </c>
      <c r="S999" s="4">
        <v>0</v>
      </c>
      <c r="T999" s="4">
        <v>33</v>
      </c>
      <c r="U999" s="4">
        <v>87</v>
      </c>
      <c r="V999" s="4">
        <f>IF(ISERROR(VLOOKUP($S$999,'TAR FIN'!$A$1:$O$92,15,0)),0,VLOOKUP($S$999,'TAR FIN'!$A$1:$O$92,15,0))</f>
        <v>0</v>
      </c>
      <c r="W999" s="4">
        <f>IF(ISERROR(VLOOKUP($T$999,'TAR FIN'!$A$1:$O$92,15,0)),0,VLOOKUP($T$999,'TAR FIN'!$A$1:$O$92,15,0))</f>
        <v>311.27999999999997</v>
      </c>
      <c r="X999" s="4">
        <f>IF(ISERROR(VLOOKUP($U$999,'TAR FIN'!$A$1:$O$92,15,0)),0,VLOOKUP($U$999,'TAR FIN'!$A$1:$O$92,15,0))</f>
        <v>268.89</v>
      </c>
      <c r="Y999" s="4"/>
      <c r="Z999" s="4">
        <f ca="1">('TUSD BE'!$AM$48+'TUSD BF'!$AM$48+'TUSD CVA'!$AM$48)*1</f>
        <v>398.95397789704208</v>
      </c>
      <c r="AA999" s="4">
        <f>('TE BE'!$AB$39+'TE BF'!$AB$39+'TE CVA'!$AB$39)*1</f>
        <v>336.17550926835082</v>
      </c>
      <c r="AB999" s="4">
        <f>$K$999*$V$999</f>
        <v>0</v>
      </c>
      <c r="AC999" s="4">
        <f>$M$999*$W$999</f>
        <v>104292.8076</v>
      </c>
      <c r="AD999" s="4">
        <f>$O$999*$X$999</f>
        <v>90090.250050000002</v>
      </c>
      <c r="AE999" s="4">
        <f>$K$999*$Y$999</f>
        <v>0</v>
      </c>
      <c r="AF999" s="4">
        <f ca="1">$M$999*$Z$999</f>
        <v>133667.53552451447</v>
      </c>
      <c r="AG999" s="4">
        <f>$O$999*$AA$999</f>
        <v>112633.92350281461</v>
      </c>
    </row>
    <row r="1000" spans="1:33" ht="11.25" customHeight="1" x14ac:dyDescent="0.25">
      <c r="A1000" s="3" t="s">
        <v>21</v>
      </c>
      <c r="B1000" s="3" t="s">
        <v>37</v>
      </c>
      <c r="C1000" s="3" t="s">
        <v>23</v>
      </c>
      <c r="D1000" s="3" t="s">
        <v>42</v>
      </c>
      <c r="E1000" s="3" t="s">
        <v>25</v>
      </c>
      <c r="F1000" s="3" t="s">
        <v>25</v>
      </c>
      <c r="G1000" s="3" t="s">
        <v>25</v>
      </c>
      <c r="H1000" s="3" t="s">
        <v>25</v>
      </c>
      <c r="I1000" s="6">
        <v>44562</v>
      </c>
      <c r="J1000" s="4">
        <v>0</v>
      </c>
      <c r="K1000" s="4">
        <v>0</v>
      </c>
      <c r="L1000" s="4">
        <v>10777.65</v>
      </c>
      <c r="M1000" s="4">
        <v>10777.65</v>
      </c>
      <c r="N1000" s="4">
        <v>10777.65</v>
      </c>
      <c r="O1000" s="4">
        <v>10777.65</v>
      </c>
      <c r="P1000" s="4">
        <v>12439</v>
      </c>
      <c r="Q1000" s="3" t="s">
        <v>26</v>
      </c>
      <c r="R1000" s="3">
        <v>0</v>
      </c>
      <c r="S1000" s="4">
        <v>0</v>
      </c>
      <c r="T1000" s="4">
        <v>33</v>
      </c>
      <c r="U1000" s="4">
        <v>87</v>
      </c>
      <c r="V1000" s="4">
        <f>IF(ISERROR(VLOOKUP($S$1000,'TAR FIN'!$A$1:$O$92,15,0)),0,VLOOKUP($S$1000,'TAR FIN'!$A$1:$O$92,15,0))</f>
        <v>0</v>
      </c>
      <c r="W1000" s="4">
        <f>IF(ISERROR(VLOOKUP($T$1000,'TAR FIN'!$A$1:$O$92,15,0)),0,VLOOKUP($T$1000,'TAR FIN'!$A$1:$O$92,15,0))</f>
        <v>311.27999999999997</v>
      </c>
      <c r="X1000" s="4">
        <f>IF(ISERROR(VLOOKUP($U$1000,'TAR FIN'!$A$1:$O$92,15,0)),0,VLOOKUP($U$1000,'TAR FIN'!$A$1:$O$92,15,0))</f>
        <v>268.89</v>
      </c>
      <c r="Y1000" s="4"/>
      <c r="Z1000" s="4">
        <f ca="1">('TUSD BE'!$AM$48+'TUSD BF'!$AM$48+'TUSD CVA'!$AM$48)*1</f>
        <v>398.95397789704208</v>
      </c>
      <c r="AA1000" s="4">
        <f>('TE BE'!$AB$39+'TE BF'!$AB$39+'TE CVA'!$AB$39)*1</f>
        <v>336.17550926835082</v>
      </c>
      <c r="AB1000" s="4">
        <f>$K$1000*$V$1000</f>
        <v>0</v>
      </c>
      <c r="AC1000" s="4">
        <f>$M$1000*$W$1000</f>
        <v>3354866.8919999995</v>
      </c>
      <c r="AD1000" s="4">
        <f>$O$1000*$X$1000</f>
        <v>2898002.3084999998</v>
      </c>
      <c r="AE1000" s="4">
        <f>$K$1000*$Y$1000</f>
        <v>0</v>
      </c>
      <c r="AF1000" s="4">
        <f ca="1">$M$1000*$Z$1000</f>
        <v>4299786.3398820553</v>
      </c>
      <c r="AG1000" s="4">
        <f>$O$1000*$AA$1000</f>
        <v>3623181.9774660412</v>
      </c>
    </row>
    <row r="1001" spans="1:33" ht="11.25" customHeight="1" x14ac:dyDescent="0.25">
      <c r="A1001" s="3" t="s">
        <v>27</v>
      </c>
      <c r="B1001" s="3" t="s">
        <v>37</v>
      </c>
      <c r="C1001" s="3" t="s">
        <v>23</v>
      </c>
      <c r="D1001" s="3" t="s">
        <v>42</v>
      </c>
      <c r="E1001" s="3" t="s">
        <v>25</v>
      </c>
      <c r="F1001" s="3" t="s">
        <v>25</v>
      </c>
      <c r="G1001" s="3" t="s">
        <v>25</v>
      </c>
      <c r="H1001" s="3" t="s">
        <v>25</v>
      </c>
      <c r="I1001" s="6">
        <v>44562</v>
      </c>
      <c r="J1001" s="4">
        <v>0</v>
      </c>
      <c r="K1001" s="4">
        <v>0</v>
      </c>
      <c r="L1001" s="4">
        <v>-51.652999999999999</v>
      </c>
      <c r="M1001" s="4">
        <v>-51.652999999999999</v>
      </c>
      <c r="N1001" s="4">
        <v>-51.652999999999999</v>
      </c>
      <c r="O1001" s="4">
        <v>-51.652999999999999</v>
      </c>
      <c r="P1001" s="4">
        <v>-23</v>
      </c>
      <c r="Q1001" s="3" t="s">
        <v>26</v>
      </c>
      <c r="R1001" s="3">
        <v>0</v>
      </c>
      <c r="S1001" s="4">
        <v>0</v>
      </c>
      <c r="T1001" s="4">
        <v>33</v>
      </c>
      <c r="U1001" s="4">
        <v>87</v>
      </c>
      <c r="V1001" s="4">
        <f>IF(ISERROR(VLOOKUP($S$1001,'TAR FIN'!$A$1:$O$92,15,0)),0,VLOOKUP($S$1001,'TAR FIN'!$A$1:$O$92,15,0))</f>
        <v>0</v>
      </c>
      <c r="W1001" s="4">
        <f>IF(ISERROR(VLOOKUP($T$1001,'TAR FIN'!$A$1:$O$92,15,0)),0,VLOOKUP($T$1001,'TAR FIN'!$A$1:$O$92,15,0))</f>
        <v>311.27999999999997</v>
      </c>
      <c r="X1001" s="4">
        <f>IF(ISERROR(VLOOKUP($U$1001,'TAR FIN'!$A$1:$O$92,15,0)),0,VLOOKUP($U$1001,'TAR FIN'!$A$1:$O$92,15,0))</f>
        <v>268.89</v>
      </c>
      <c r="Y1001" s="4"/>
      <c r="Z1001" s="4">
        <f ca="1">('TUSD BE'!$AM$48+'TUSD BF'!$AM$48+'TUSD CVA'!$AM$48)*1</f>
        <v>398.95397789704208</v>
      </c>
      <c r="AA1001" s="4">
        <f>('TE BE'!$AB$39+'TE BF'!$AB$39+'TE CVA'!$AB$39)*1</f>
        <v>336.17550926835082</v>
      </c>
      <c r="AB1001" s="4">
        <f>$K$1001*$V$1001</f>
        <v>0</v>
      </c>
      <c r="AC1001" s="4">
        <f>$M$1001*$W$1001</f>
        <v>-16078.545839999999</v>
      </c>
      <c r="AD1001" s="4">
        <f>$O$1001*$X$1001</f>
        <v>-13888.97517</v>
      </c>
      <c r="AE1001" s="4">
        <f>$K$1001*$Y$1001</f>
        <v>0</v>
      </c>
      <c r="AF1001" s="4">
        <f ca="1">$M$1001*$Z$1001</f>
        <v>-20607.169820315914</v>
      </c>
      <c r="AG1001" s="4">
        <f>$O$1001*$AA$1001</f>
        <v>-17364.473580238126</v>
      </c>
    </row>
    <row r="1002" spans="1:33" ht="11.25" customHeight="1" x14ac:dyDescent="0.25">
      <c r="A1002" s="3" t="s">
        <v>28</v>
      </c>
      <c r="B1002" s="3" t="s">
        <v>37</v>
      </c>
      <c r="C1002" s="3" t="s">
        <v>23</v>
      </c>
      <c r="D1002" s="3" t="s">
        <v>42</v>
      </c>
      <c r="E1002" s="3" t="s">
        <v>25</v>
      </c>
      <c r="F1002" s="3" t="s">
        <v>25</v>
      </c>
      <c r="G1002" s="3" t="s">
        <v>25</v>
      </c>
      <c r="H1002" s="3" t="s">
        <v>25</v>
      </c>
      <c r="I1002" s="6">
        <v>44562</v>
      </c>
      <c r="J1002" s="4">
        <v>0</v>
      </c>
      <c r="K1002" s="4">
        <v>0</v>
      </c>
      <c r="L1002" s="4">
        <v>322.72000000000003</v>
      </c>
      <c r="M1002" s="4">
        <v>322.72000000000003</v>
      </c>
      <c r="N1002" s="4">
        <v>322.72000000000003</v>
      </c>
      <c r="O1002" s="4">
        <v>322.72000000000003</v>
      </c>
      <c r="P1002" s="4">
        <v>138</v>
      </c>
      <c r="Q1002" s="3" t="s">
        <v>26</v>
      </c>
      <c r="R1002" s="3">
        <v>0</v>
      </c>
      <c r="S1002" s="4">
        <v>0</v>
      </c>
      <c r="T1002" s="4">
        <v>33</v>
      </c>
      <c r="U1002" s="4">
        <v>87</v>
      </c>
      <c r="V1002" s="4">
        <f>IF(ISERROR(VLOOKUP($S$1002,'TAR FIN'!$A$1:$O$92,15,0)),0,VLOOKUP($S$1002,'TAR FIN'!$A$1:$O$92,15,0))</f>
        <v>0</v>
      </c>
      <c r="W1002" s="4">
        <f>IF(ISERROR(VLOOKUP($T$1002,'TAR FIN'!$A$1:$O$92,15,0)),0,VLOOKUP($T$1002,'TAR FIN'!$A$1:$O$92,15,0))</f>
        <v>311.27999999999997</v>
      </c>
      <c r="X1002" s="4">
        <f>IF(ISERROR(VLOOKUP($U$1002,'TAR FIN'!$A$1:$O$92,15,0)),0,VLOOKUP($U$1002,'TAR FIN'!$A$1:$O$92,15,0))</f>
        <v>268.89</v>
      </c>
      <c r="Y1002" s="4"/>
      <c r="Z1002" s="4">
        <f ca="1">('TUSD BE'!$AM$48+'TUSD BF'!$AM$48+'TUSD CVA'!$AM$48)*1</f>
        <v>398.95397789704208</v>
      </c>
      <c r="AA1002" s="4">
        <f>('TE BE'!$AB$39+'TE BF'!$AB$39+'TE CVA'!$AB$39)*1</f>
        <v>336.17550926835082</v>
      </c>
      <c r="AB1002" s="4">
        <f>$K$1002*$V$1002</f>
        <v>0</v>
      </c>
      <c r="AC1002" s="4">
        <f>$M$1002*$W$1002</f>
        <v>100456.2816</v>
      </c>
      <c r="AD1002" s="4">
        <f>$O$1002*$X$1002</f>
        <v>86776.180800000002</v>
      </c>
      <c r="AE1002" s="4">
        <f>$K$1002*$Y$1002</f>
        <v>0</v>
      </c>
      <c r="AF1002" s="4">
        <f ca="1">$M$1002*$Z$1002</f>
        <v>128750.42774693343</v>
      </c>
      <c r="AG1002" s="4">
        <f>$O$1002*$AA$1002</f>
        <v>108490.56035108218</v>
      </c>
    </row>
    <row r="1003" spans="1:33" ht="11.25" customHeight="1" x14ac:dyDescent="0.25">
      <c r="A1003" s="3" t="s">
        <v>21</v>
      </c>
      <c r="B1003" s="3" t="s">
        <v>37</v>
      </c>
      <c r="C1003" s="3" t="s">
        <v>23</v>
      </c>
      <c r="D1003" s="3" t="s">
        <v>42</v>
      </c>
      <c r="E1003" s="3" t="s">
        <v>25</v>
      </c>
      <c r="F1003" s="3" t="s">
        <v>25</v>
      </c>
      <c r="G1003" s="3" t="s">
        <v>25</v>
      </c>
      <c r="H1003" s="3" t="s">
        <v>25</v>
      </c>
      <c r="I1003" s="6">
        <v>44593</v>
      </c>
      <c r="J1003" s="4">
        <v>0</v>
      </c>
      <c r="K1003" s="4">
        <v>0</v>
      </c>
      <c r="L1003" s="4">
        <v>11081.419</v>
      </c>
      <c r="M1003" s="4">
        <v>11081.419</v>
      </c>
      <c r="N1003" s="4">
        <v>11081.419</v>
      </c>
      <c r="O1003" s="4">
        <v>11081.419</v>
      </c>
      <c r="P1003" s="4">
        <v>12571</v>
      </c>
      <c r="Q1003" s="3" t="s">
        <v>26</v>
      </c>
      <c r="R1003" s="3">
        <v>0</v>
      </c>
      <c r="S1003" s="4">
        <v>0</v>
      </c>
      <c r="T1003" s="4">
        <v>33</v>
      </c>
      <c r="U1003" s="4">
        <v>87</v>
      </c>
      <c r="V1003" s="4">
        <f>IF(ISERROR(VLOOKUP($S$1003,'TAR FIN'!$A$1:$O$92,15,0)),0,VLOOKUP($S$1003,'TAR FIN'!$A$1:$O$92,15,0))</f>
        <v>0</v>
      </c>
      <c r="W1003" s="4">
        <f>IF(ISERROR(VLOOKUP($T$1003,'TAR FIN'!$A$1:$O$92,15,0)),0,VLOOKUP($T$1003,'TAR FIN'!$A$1:$O$92,15,0))</f>
        <v>311.27999999999997</v>
      </c>
      <c r="X1003" s="4">
        <f>IF(ISERROR(VLOOKUP($U$1003,'TAR FIN'!$A$1:$O$92,15,0)),0,VLOOKUP($U$1003,'TAR FIN'!$A$1:$O$92,15,0))</f>
        <v>268.89</v>
      </c>
      <c r="Y1003" s="4"/>
      <c r="Z1003" s="4">
        <f ca="1">('TUSD BE'!$AM$48+'TUSD BF'!$AM$48+'TUSD CVA'!$AM$48)*1</f>
        <v>398.95397789704208</v>
      </c>
      <c r="AA1003" s="4">
        <f>('TE BE'!$AB$39+'TE BF'!$AB$39+'TE CVA'!$AB$39)*1</f>
        <v>336.17550926835082</v>
      </c>
      <c r="AB1003" s="4">
        <f>$K$1003*$V$1003</f>
        <v>0</v>
      </c>
      <c r="AC1003" s="4">
        <f>$M$1003*$W$1003</f>
        <v>3449424.1063199998</v>
      </c>
      <c r="AD1003" s="4">
        <f>$O$1003*$X$1003</f>
        <v>2979682.7549099997</v>
      </c>
      <c r="AE1003" s="4">
        <f>$K$1003*$Y$1003</f>
        <v>0</v>
      </c>
      <c r="AF1003" s="4">
        <f ca="1">$M$1003*$Z$1003</f>
        <v>4420976.1907938616</v>
      </c>
      <c r="AG1003" s="4">
        <f>$O$1003*$AA$1003</f>
        <v>3725301.6757409787</v>
      </c>
    </row>
    <row r="1004" spans="1:33" ht="11.25" customHeight="1" x14ac:dyDescent="0.25">
      <c r="A1004" s="3" t="s">
        <v>27</v>
      </c>
      <c r="B1004" s="3" t="s">
        <v>37</v>
      </c>
      <c r="C1004" s="3" t="s">
        <v>23</v>
      </c>
      <c r="D1004" s="3" t="s">
        <v>42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44593</v>
      </c>
      <c r="J1004" s="4">
        <v>0</v>
      </c>
      <c r="K1004" s="4">
        <v>0</v>
      </c>
      <c r="L1004" s="4">
        <v>-69.700999999999993</v>
      </c>
      <c r="M1004" s="4">
        <v>-69.700999999999993</v>
      </c>
      <c r="N1004" s="4">
        <v>-69.700999999999993</v>
      </c>
      <c r="O1004" s="4">
        <v>-69.700999999999993</v>
      </c>
      <c r="P1004" s="4">
        <v>-14</v>
      </c>
      <c r="Q1004" s="3" t="s">
        <v>26</v>
      </c>
      <c r="R1004" s="3">
        <v>0</v>
      </c>
      <c r="S1004" s="4">
        <v>0</v>
      </c>
      <c r="T1004" s="4">
        <v>33</v>
      </c>
      <c r="U1004" s="4">
        <v>87</v>
      </c>
      <c r="V1004" s="4">
        <f>IF(ISERROR(VLOOKUP($S$1004,'TAR FIN'!$A$1:$O$92,15,0)),0,VLOOKUP($S$1004,'TAR FIN'!$A$1:$O$92,15,0))</f>
        <v>0</v>
      </c>
      <c r="W1004" s="4">
        <f>IF(ISERROR(VLOOKUP($T$1004,'TAR FIN'!$A$1:$O$92,15,0)),0,VLOOKUP($T$1004,'TAR FIN'!$A$1:$O$92,15,0))</f>
        <v>311.27999999999997</v>
      </c>
      <c r="X1004" s="4">
        <f>IF(ISERROR(VLOOKUP($U$1004,'TAR FIN'!$A$1:$O$92,15,0)),0,VLOOKUP($U$1004,'TAR FIN'!$A$1:$O$92,15,0))</f>
        <v>268.89</v>
      </c>
      <c r="Y1004" s="4"/>
      <c r="Z1004" s="4">
        <f ca="1">('TUSD BE'!$AM$48+'TUSD BF'!$AM$48+'TUSD CVA'!$AM$48)*1</f>
        <v>398.95397789704208</v>
      </c>
      <c r="AA1004" s="4">
        <f>('TE BE'!$AB$39+'TE BF'!$AB$39+'TE CVA'!$AB$39)*1</f>
        <v>336.17550926835082</v>
      </c>
      <c r="AB1004" s="4">
        <f>$K$1004*$V$1004</f>
        <v>0</v>
      </c>
      <c r="AC1004" s="4">
        <f>$M$1004*$W$1004</f>
        <v>-21696.527279999995</v>
      </c>
      <c r="AD1004" s="4">
        <f>$O$1004*$X$1004</f>
        <v>-18741.901889999997</v>
      </c>
      <c r="AE1004" s="4">
        <f>$K$1004*$Y$1004</f>
        <v>0</v>
      </c>
      <c r="AF1004" s="4">
        <f ca="1">$M$1004*$Z$1004</f>
        <v>-27807.491213401729</v>
      </c>
      <c r="AG1004" s="4">
        <f>$O$1004*$AA$1004</f>
        <v>-23431.769171513319</v>
      </c>
    </row>
    <row r="1005" spans="1:33" ht="11.25" customHeight="1" x14ac:dyDescent="0.25">
      <c r="A1005" s="3" t="s">
        <v>28</v>
      </c>
      <c r="B1005" s="3" t="s">
        <v>37</v>
      </c>
      <c r="C1005" s="3" t="s">
        <v>23</v>
      </c>
      <c r="D1005" s="3" t="s">
        <v>42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44593</v>
      </c>
      <c r="J1005" s="4">
        <v>0</v>
      </c>
      <c r="K1005" s="4">
        <v>0</v>
      </c>
      <c r="L1005" s="4">
        <v>328.82499999999999</v>
      </c>
      <c r="M1005" s="4">
        <v>328.82499999999999</v>
      </c>
      <c r="N1005" s="4">
        <v>328.82499999999999</v>
      </c>
      <c r="O1005" s="4">
        <v>328.82499999999999</v>
      </c>
      <c r="P1005" s="4">
        <v>147</v>
      </c>
      <c r="Q1005" s="3" t="s">
        <v>26</v>
      </c>
      <c r="R1005" s="3">
        <v>0</v>
      </c>
      <c r="S1005" s="4">
        <v>0</v>
      </c>
      <c r="T1005" s="4">
        <v>33</v>
      </c>
      <c r="U1005" s="4">
        <v>87</v>
      </c>
      <c r="V1005" s="4">
        <f>IF(ISERROR(VLOOKUP($S$1005,'TAR FIN'!$A$1:$O$92,15,0)),0,VLOOKUP($S$1005,'TAR FIN'!$A$1:$O$92,15,0))</f>
        <v>0</v>
      </c>
      <c r="W1005" s="4">
        <f>IF(ISERROR(VLOOKUP($T$1005,'TAR FIN'!$A$1:$O$92,15,0)),0,VLOOKUP($T$1005,'TAR FIN'!$A$1:$O$92,15,0))</f>
        <v>311.27999999999997</v>
      </c>
      <c r="X1005" s="4">
        <f>IF(ISERROR(VLOOKUP($U$1005,'TAR FIN'!$A$1:$O$92,15,0)),0,VLOOKUP($U$1005,'TAR FIN'!$A$1:$O$92,15,0))</f>
        <v>268.89</v>
      </c>
      <c r="Y1005" s="4"/>
      <c r="Z1005" s="4">
        <f ca="1">('TUSD BE'!$AM$48+'TUSD BF'!$AM$48+'TUSD CVA'!$AM$48)*1</f>
        <v>398.95397789704208</v>
      </c>
      <c r="AA1005" s="4">
        <f>('TE BE'!$AB$39+'TE BF'!$AB$39+'TE CVA'!$AB$39)*1</f>
        <v>336.17550926835082</v>
      </c>
      <c r="AB1005" s="4">
        <f>$K$1005*$V$1005</f>
        <v>0</v>
      </c>
      <c r="AC1005" s="4">
        <f>$M$1005*$W$1005</f>
        <v>102356.64599999999</v>
      </c>
      <c r="AD1005" s="4">
        <f>$O$1005*$X$1005</f>
        <v>88417.754249999998</v>
      </c>
      <c r="AE1005" s="4">
        <f>$K$1005*$Y$1005</f>
        <v>0</v>
      </c>
      <c r="AF1005" s="4">
        <f ca="1">$M$1005*$Z$1005</f>
        <v>131186.04178199486</v>
      </c>
      <c r="AG1005" s="4">
        <f>$O$1005*$AA$1005</f>
        <v>110542.91183516546</v>
      </c>
    </row>
    <row r="1006" spans="1:33" ht="11.25" customHeight="1" x14ac:dyDescent="0.25">
      <c r="A1006" s="3" t="s">
        <v>21</v>
      </c>
      <c r="B1006" s="3" t="s">
        <v>37</v>
      </c>
      <c r="C1006" s="3" t="s">
        <v>23</v>
      </c>
      <c r="D1006" s="3" t="s">
        <v>42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44621</v>
      </c>
      <c r="J1006" s="4">
        <v>0</v>
      </c>
      <c r="K1006" s="4">
        <v>0</v>
      </c>
      <c r="L1006" s="4">
        <v>12027.672</v>
      </c>
      <c r="M1006" s="4">
        <v>12027.672</v>
      </c>
      <c r="N1006" s="4">
        <v>12027.672</v>
      </c>
      <c r="O1006" s="4">
        <v>12027.672</v>
      </c>
      <c r="P1006" s="4">
        <v>13240</v>
      </c>
      <c r="Q1006" s="3" t="s">
        <v>26</v>
      </c>
      <c r="R1006" s="3">
        <v>0</v>
      </c>
      <c r="S1006" s="4">
        <v>0</v>
      </c>
      <c r="T1006" s="4">
        <v>33</v>
      </c>
      <c r="U1006" s="4">
        <v>87</v>
      </c>
      <c r="V1006" s="4">
        <f>IF(ISERROR(VLOOKUP($S$1006,'TAR FIN'!$A$1:$O$92,15,0)),0,VLOOKUP($S$1006,'TAR FIN'!$A$1:$O$92,15,0))</f>
        <v>0</v>
      </c>
      <c r="W1006" s="4">
        <f>IF(ISERROR(VLOOKUP($T$1006,'TAR FIN'!$A$1:$O$92,15,0)),0,VLOOKUP($T$1006,'TAR FIN'!$A$1:$O$92,15,0))</f>
        <v>311.27999999999997</v>
      </c>
      <c r="X1006" s="4">
        <f>IF(ISERROR(VLOOKUP($U$1006,'TAR FIN'!$A$1:$O$92,15,0)),0,VLOOKUP($U$1006,'TAR FIN'!$A$1:$O$92,15,0))</f>
        <v>268.89</v>
      </c>
      <c r="Y1006" s="4"/>
      <c r="Z1006" s="4">
        <f ca="1">('TUSD BE'!$AM$48+'TUSD BF'!$AM$48+'TUSD CVA'!$AM$48)*1</f>
        <v>398.95397789704208</v>
      </c>
      <c r="AA1006" s="4">
        <f>('TE BE'!$AB$39+'TE BF'!$AB$39+'TE CVA'!$AB$39)*1</f>
        <v>336.17550926835082</v>
      </c>
      <c r="AB1006" s="4">
        <f>$K$1006*$V$1006</f>
        <v>0</v>
      </c>
      <c r="AC1006" s="4">
        <f>$M$1006*$W$1006</f>
        <v>3743973.74016</v>
      </c>
      <c r="AD1006" s="4">
        <f>$O$1006*$X$1006</f>
        <v>3234120.7240800001</v>
      </c>
      <c r="AE1006" s="4">
        <f>$K$1006*$Y$1006</f>
        <v>0</v>
      </c>
      <c r="AF1006" s="4">
        <f ca="1">$M$1006*$Z$1006</f>
        <v>4798487.5892408723</v>
      </c>
      <c r="AG1006" s="4">
        <f>$O$1006*$AA$1006</f>
        <v>4043408.7599126836</v>
      </c>
    </row>
    <row r="1007" spans="1:33" ht="11.25" customHeight="1" x14ac:dyDescent="0.25">
      <c r="A1007" s="3" t="s">
        <v>27</v>
      </c>
      <c r="B1007" s="3" t="s">
        <v>37</v>
      </c>
      <c r="C1007" s="3" t="s">
        <v>23</v>
      </c>
      <c r="D1007" s="3" t="s">
        <v>42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44621</v>
      </c>
      <c r="J1007" s="4">
        <v>0</v>
      </c>
      <c r="K1007" s="4">
        <v>0</v>
      </c>
      <c r="L1007" s="4">
        <v>-37.176000000000002</v>
      </c>
      <c r="M1007" s="4">
        <v>-37.176000000000002</v>
      </c>
      <c r="N1007" s="4">
        <v>-37.176000000000002</v>
      </c>
      <c r="O1007" s="4">
        <v>-37.176000000000002</v>
      </c>
      <c r="P1007" s="4">
        <v>0</v>
      </c>
      <c r="Q1007" s="3" t="s">
        <v>26</v>
      </c>
      <c r="R1007" s="3">
        <v>0</v>
      </c>
      <c r="S1007" s="4">
        <v>0</v>
      </c>
      <c r="T1007" s="4">
        <v>33</v>
      </c>
      <c r="U1007" s="4">
        <v>87</v>
      </c>
      <c r="V1007" s="4">
        <f>IF(ISERROR(VLOOKUP($S$1007,'TAR FIN'!$A$1:$O$92,15,0)),0,VLOOKUP($S$1007,'TAR FIN'!$A$1:$O$92,15,0))</f>
        <v>0</v>
      </c>
      <c r="W1007" s="4">
        <f>IF(ISERROR(VLOOKUP($T$1007,'TAR FIN'!$A$1:$O$92,15,0)),0,VLOOKUP($T$1007,'TAR FIN'!$A$1:$O$92,15,0))</f>
        <v>311.27999999999997</v>
      </c>
      <c r="X1007" s="4">
        <f>IF(ISERROR(VLOOKUP($U$1007,'TAR FIN'!$A$1:$O$92,15,0)),0,VLOOKUP($U$1007,'TAR FIN'!$A$1:$O$92,15,0))</f>
        <v>268.89</v>
      </c>
      <c r="Y1007" s="4"/>
      <c r="Z1007" s="4">
        <f ca="1">('TUSD BE'!$AM$48+'TUSD BF'!$AM$48+'TUSD CVA'!$AM$48)*1</f>
        <v>398.95397789704208</v>
      </c>
      <c r="AA1007" s="4">
        <f>('TE BE'!$AB$39+'TE BF'!$AB$39+'TE CVA'!$AB$39)*1</f>
        <v>336.17550926835082</v>
      </c>
      <c r="AB1007" s="4">
        <f>$K$1007*$V$1007</f>
        <v>0</v>
      </c>
      <c r="AC1007" s="4">
        <f>$M$1007*$W$1007</f>
        <v>-11572.145279999999</v>
      </c>
      <c r="AD1007" s="4">
        <f>$O$1007*$X$1007</f>
        <v>-9996.2546399999992</v>
      </c>
      <c r="AE1007" s="4">
        <f>$K$1007*$Y$1007</f>
        <v>0</v>
      </c>
      <c r="AF1007" s="4">
        <f ca="1">$M$1007*$Z$1007</f>
        <v>-14831.513082300437</v>
      </c>
      <c r="AG1007" s="4">
        <f>$O$1007*$AA$1007</f>
        <v>-12497.660732560211</v>
      </c>
    </row>
    <row r="1008" spans="1:33" ht="11.25" customHeight="1" x14ac:dyDescent="0.25">
      <c r="A1008" s="3" t="s">
        <v>28</v>
      </c>
      <c r="B1008" s="3" t="s">
        <v>37</v>
      </c>
      <c r="C1008" s="3" t="s">
        <v>23</v>
      </c>
      <c r="D1008" s="3" t="s">
        <v>42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44621</v>
      </c>
      <c r="J1008" s="4">
        <v>0</v>
      </c>
      <c r="K1008" s="4">
        <v>0</v>
      </c>
      <c r="L1008" s="4">
        <v>351.78899999999999</v>
      </c>
      <c r="M1008" s="4">
        <v>351.78899999999999</v>
      </c>
      <c r="N1008" s="4">
        <v>351.78899999999999</v>
      </c>
      <c r="O1008" s="4">
        <v>351.78899999999999</v>
      </c>
      <c r="P1008" s="4">
        <v>167</v>
      </c>
      <c r="Q1008" s="3" t="s">
        <v>26</v>
      </c>
      <c r="R1008" s="3">
        <v>0</v>
      </c>
      <c r="S1008" s="4">
        <v>0</v>
      </c>
      <c r="T1008" s="4">
        <v>33</v>
      </c>
      <c r="U1008" s="4">
        <v>87</v>
      </c>
      <c r="V1008" s="4">
        <f>IF(ISERROR(VLOOKUP($S$1008,'TAR FIN'!$A$1:$O$92,15,0)),0,VLOOKUP($S$1008,'TAR FIN'!$A$1:$O$92,15,0))</f>
        <v>0</v>
      </c>
      <c r="W1008" s="4">
        <f>IF(ISERROR(VLOOKUP($T$1008,'TAR FIN'!$A$1:$O$92,15,0)),0,VLOOKUP($T$1008,'TAR FIN'!$A$1:$O$92,15,0))</f>
        <v>311.27999999999997</v>
      </c>
      <c r="X1008" s="4">
        <f>IF(ISERROR(VLOOKUP($U$1008,'TAR FIN'!$A$1:$O$92,15,0)),0,VLOOKUP($U$1008,'TAR FIN'!$A$1:$O$92,15,0))</f>
        <v>268.89</v>
      </c>
      <c r="Y1008" s="4"/>
      <c r="Z1008" s="4">
        <f ca="1">('TUSD BE'!$AM$48+'TUSD BF'!$AM$48+'TUSD CVA'!$AM$48)*1</f>
        <v>398.95397789704208</v>
      </c>
      <c r="AA1008" s="4">
        <f>('TE BE'!$AB$39+'TE BF'!$AB$39+'TE CVA'!$AB$39)*1</f>
        <v>336.17550926835082</v>
      </c>
      <c r="AB1008" s="4">
        <f>$K$1008*$V$1008</f>
        <v>0</v>
      </c>
      <c r="AC1008" s="4">
        <f>$M$1008*$W$1008</f>
        <v>109504.87991999999</v>
      </c>
      <c r="AD1008" s="4">
        <f>$O$1008*$X$1008</f>
        <v>94592.544209999993</v>
      </c>
      <c r="AE1008" s="4">
        <f>$K$1008*$Y$1008</f>
        <v>0</v>
      </c>
      <c r="AF1008" s="4">
        <f ca="1">$M$1008*$Z$1008</f>
        <v>140347.62093042253</v>
      </c>
      <c r="AG1008" s="4">
        <f>$O$1008*$AA$1008</f>
        <v>118262.84623000387</v>
      </c>
    </row>
    <row r="1009" spans="1:33" ht="11.25" customHeight="1" x14ac:dyDescent="0.25">
      <c r="A1009" s="3" t="s">
        <v>21</v>
      </c>
      <c r="B1009" s="3" t="s">
        <v>37</v>
      </c>
      <c r="C1009" s="3" t="s">
        <v>23</v>
      </c>
      <c r="D1009" s="3" t="s">
        <v>42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44652</v>
      </c>
      <c r="J1009" s="4">
        <v>0</v>
      </c>
      <c r="K1009" s="4">
        <v>0</v>
      </c>
      <c r="L1009" s="4">
        <v>12027.672</v>
      </c>
      <c r="M1009" s="4">
        <v>12027.672</v>
      </c>
      <c r="N1009" s="4">
        <v>12027.672</v>
      </c>
      <c r="O1009" s="4">
        <v>12027.672</v>
      </c>
      <c r="P1009" s="4">
        <v>13240</v>
      </c>
      <c r="Q1009" s="3" t="s">
        <v>26</v>
      </c>
      <c r="R1009" s="3">
        <v>0</v>
      </c>
      <c r="S1009" s="4">
        <v>0</v>
      </c>
      <c r="T1009" s="4">
        <v>33</v>
      </c>
      <c r="U1009" s="4">
        <v>87</v>
      </c>
      <c r="V1009" s="4">
        <f>IF(ISERROR(VLOOKUP($S$1009,'TAR FIN'!$A$1:$O$92,15,0)),0,VLOOKUP($S$1009,'TAR FIN'!$A$1:$O$92,15,0))</f>
        <v>0</v>
      </c>
      <c r="W1009" s="4">
        <f>IF(ISERROR(VLOOKUP($T$1009,'TAR FIN'!$A$1:$O$92,15,0)),0,VLOOKUP($T$1009,'TAR FIN'!$A$1:$O$92,15,0))</f>
        <v>311.27999999999997</v>
      </c>
      <c r="X1009" s="4">
        <f>IF(ISERROR(VLOOKUP($U$1009,'TAR FIN'!$A$1:$O$92,15,0)),0,VLOOKUP($U$1009,'TAR FIN'!$A$1:$O$92,15,0))</f>
        <v>268.89</v>
      </c>
      <c r="Y1009" s="4"/>
      <c r="Z1009" s="4">
        <f ca="1">('TUSD BE'!$AM$48+'TUSD BF'!$AM$48+'TUSD CVA'!$AM$48)*1</f>
        <v>398.95397789704208</v>
      </c>
      <c r="AA1009" s="4">
        <f>('TE BE'!$AB$39+'TE BF'!$AB$39+'TE CVA'!$AB$39)*1</f>
        <v>336.17550926835082</v>
      </c>
      <c r="AB1009" s="4">
        <f>$K$1009*$V$1009</f>
        <v>0</v>
      </c>
      <c r="AC1009" s="4">
        <f>$M$1009*$W$1009</f>
        <v>3743973.74016</v>
      </c>
      <c r="AD1009" s="4">
        <f>$O$1009*$X$1009</f>
        <v>3234120.7240800001</v>
      </c>
      <c r="AE1009" s="4">
        <f>$K$1009*$Y$1009</f>
        <v>0</v>
      </c>
      <c r="AF1009" s="4">
        <f ca="1">$M$1009*$Z$1009</f>
        <v>4798487.5892408723</v>
      </c>
      <c r="AG1009" s="4">
        <f>$O$1009*$AA$1009</f>
        <v>4043408.7599126836</v>
      </c>
    </row>
    <row r="1010" spans="1:33" ht="11.25" customHeight="1" x14ac:dyDescent="0.25">
      <c r="A1010" s="3" t="s">
        <v>27</v>
      </c>
      <c r="B1010" s="3" t="s">
        <v>37</v>
      </c>
      <c r="C1010" s="3" t="s">
        <v>23</v>
      </c>
      <c r="D1010" s="3" t="s">
        <v>42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44652</v>
      </c>
      <c r="J1010" s="4">
        <v>0</v>
      </c>
      <c r="K1010" s="4">
        <v>0</v>
      </c>
      <c r="L1010" s="4">
        <v>-37.176000000000002</v>
      </c>
      <c r="M1010" s="4">
        <v>-37.176000000000002</v>
      </c>
      <c r="N1010" s="4">
        <v>-37.176000000000002</v>
      </c>
      <c r="O1010" s="4">
        <v>-37.176000000000002</v>
      </c>
      <c r="P1010" s="4">
        <v>0</v>
      </c>
      <c r="Q1010" s="3" t="s">
        <v>26</v>
      </c>
      <c r="R1010" s="3">
        <v>0</v>
      </c>
      <c r="S1010" s="4">
        <v>0</v>
      </c>
      <c r="T1010" s="4">
        <v>33</v>
      </c>
      <c r="U1010" s="4">
        <v>87</v>
      </c>
      <c r="V1010" s="4">
        <f>IF(ISERROR(VLOOKUP($S$1010,'TAR FIN'!$A$1:$O$92,15,0)),0,VLOOKUP($S$1010,'TAR FIN'!$A$1:$O$92,15,0))</f>
        <v>0</v>
      </c>
      <c r="W1010" s="4">
        <f>IF(ISERROR(VLOOKUP($T$1010,'TAR FIN'!$A$1:$O$92,15,0)),0,VLOOKUP($T$1010,'TAR FIN'!$A$1:$O$92,15,0))</f>
        <v>311.27999999999997</v>
      </c>
      <c r="X1010" s="4">
        <f>IF(ISERROR(VLOOKUP($U$1010,'TAR FIN'!$A$1:$O$92,15,0)),0,VLOOKUP($U$1010,'TAR FIN'!$A$1:$O$92,15,0))</f>
        <v>268.89</v>
      </c>
      <c r="Y1010" s="4"/>
      <c r="Z1010" s="4">
        <f ca="1">('TUSD BE'!$AM$48+'TUSD BF'!$AM$48+'TUSD CVA'!$AM$48)*1</f>
        <v>398.95397789704208</v>
      </c>
      <c r="AA1010" s="4">
        <f>('TE BE'!$AB$39+'TE BF'!$AB$39+'TE CVA'!$AB$39)*1</f>
        <v>336.17550926835082</v>
      </c>
      <c r="AB1010" s="4">
        <f>$K$1010*$V$1010</f>
        <v>0</v>
      </c>
      <c r="AC1010" s="4">
        <f>$M$1010*$W$1010</f>
        <v>-11572.145279999999</v>
      </c>
      <c r="AD1010" s="4">
        <f>$O$1010*$X$1010</f>
        <v>-9996.2546399999992</v>
      </c>
      <c r="AE1010" s="4">
        <f>$K$1010*$Y$1010</f>
        <v>0</v>
      </c>
      <c r="AF1010" s="4">
        <f ca="1">$M$1010*$Z$1010</f>
        <v>-14831.513082300437</v>
      </c>
      <c r="AG1010" s="4">
        <f>$O$1010*$AA$1010</f>
        <v>-12497.660732560211</v>
      </c>
    </row>
    <row r="1011" spans="1:33" ht="11.25" customHeight="1" x14ac:dyDescent="0.25">
      <c r="A1011" s="3" t="s">
        <v>28</v>
      </c>
      <c r="B1011" s="3" t="s">
        <v>37</v>
      </c>
      <c r="C1011" s="3" t="s">
        <v>23</v>
      </c>
      <c r="D1011" s="3" t="s">
        <v>42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44652</v>
      </c>
      <c r="J1011" s="4">
        <v>0</v>
      </c>
      <c r="K1011" s="4">
        <v>0</v>
      </c>
      <c r="L1011" s="4">
        <v>351.78899999999999</v>
      </c>
      <c r="M1011" s="4">
        <v>351.78899999999999</v>
      </c>
      <c r="N1011" s="4">
        <v>351.78899999999999</v>
      </c>
      <c r="O1011" s="4">
        <v>351.78899999999999</v>
      </c>
      <c r="P1011" s="4">
        <v>167</v>
      </c>
      <c r="Q1011" s="3" t="s">
        <v>26</v>
      </c>
      <c r="R1011" s="3">
        <v>0</v>
      </c>
      <c r="S1011" s="4">
        <v>0</v>
      </c>
      <c r="T1011" s="4">
        <v>33</v>
      </c>
      <c r="U1011" s="4">
        <v>87</v>
      </c>
      <c r="V1011" s="4">
        <f>IF(ISERROR(VLOOKUP($S$1011,'TAR FIN'!$A$1:$O$92,15,0)),0,VLOOKUP($S$1011,'TAR FIN'!$A$1:$O$92,15,0))</f>
        <v>0</v>
      </c>
      <c r="W1011" s="4">
        <f>IF(ISERROR(VLOOKUP($T$1011,'TAR FIN'!$A$1:$O$92,15,0)),0,VLOOKUP($T$1011,'TAR FIN'!$A$1:$O$92,15,0))</f>
        <v>311.27999999999997</v>
      </c>
      <c r="X1011" s="4">
        <f>IF(ISERROR(VLOOKUP($U$1011,'TAR FIN'!$A$1:$O$92,15,0)),0,VLOOKUP($U$1011,'TAR FIN'!$A$1:$O$92,15,0))</f>
        <v>268.89</v>
      </c>
      <c r="Y1011" s="4"/>
      <c r="Z1011" s="4">
        <f ca="1">('TUSD BE'!$AM$48+'TUSD BF'!$AM$48+'TUSD CVA'!$AM$48)*1</f>
        <v>398.95397789704208</v>
      </c>
      <c r="AA1011" s="4">
        <f>('TE BE'!$AB$39+'TE BF'!$AB$39+'TE CVA'!$AB$39)*1</f>
        <v>336.17550926835082</v>
      </c>
      <c r="AB1011" s="4">
        <f>$K$1011*$V$1011</f>
        <v>0</v>
      </c>
      <c r="AC1011" s="4">
        <f>$M$1011*$W$1011</f>
        <v>109504.87991999999</v>
      </c>
      <c r="AD1011" s="4">
        <f>$O$1011*$X$1011</f>
        <v>94592.544209999993</v>
      </c>
      <c r="AE1011" s="4">
        <f>$K$1011*$Y$1011</f>
        <v>0</v>
      </c>
      <c r="AF1011" s="4">
        <f ca="1">$M$1011*$Z$1011</f>
        <v>140347.62093042253</v>
      </c>
      <c r="AG1011" s="4">
        <f>$O$1011*$AA$1011</f>
        <v>118262.84623000387</v>
      </c>
    </row>
    <row r="1012" spans="1:33" ht="11.25" customHeight="1" x14ac:dyDescent="0.25">
      <c r="A1012" s="3" t="s">
        <v>21</v>
      </c>
      <c r="B1012" s="3" t="s">
        <v>37</v>
      </c>
      <c r="C1012" s="3" t="s">
        <v>23</v>
      </c>
      <c r="D1012" s="3" t="s">
        <v>42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44682</v>
      </c>
      <c r="J1012" s="4">
        <v>0</v>
      </c>
      <c r="K1012" s="4">
        <v>0</v>
      </c>
      <c r="L1012" s="4">
        <v>11366.262000000001</v>
      </c>
      <c r="M1012" s="4">
        <v>11366.262000000001</v>
      </c>
      <c r="N1012" s="4">
        <v>11366.262000000001</v>
      </c>
      <c r="O1012" s="4">
        <v>11366.262000000001</v>
      </c>
      <c r="P1012" s="4">
        <v>13538</v>
      </c>
      <c r="Q1012" s="3" t="s">
        <v>26</v>
      </c>
      <c r="R1012" s="3">
        <v>0</v>
      </c>
      <c r="S1012" s="4">
        <v>0</v>
      </c>
      <c r="T1012" s="4">
        <v>33</v>
      </c>
      <c r="U1012" s="4">
        <v>87</v>
      </c>
      <c r="V1012" s="4">
        <f>IF(ISERROR(VLOOKUP($S$1012,'TAR FIN'!$A$1:$O$92,15,0)),0,VLOOKUP($S$1012,'TAR FIN'!$A$1:$O$92,15,0))</f>
        <v>0</v>
      </c>
      <c r="W1012" s="4">
        <f>IF(ISERROR(VLOOKUP($T$1012,'TAR FIN'!$A$1:$O$92,15,0)),0,VLOOKUP($T$1012,'TAR FIN'!$A$1:$O$92,15,0))</f>
        <v>311.27999999999997</v>
      </c>
      <c r="X1012" s="4">
        <f>IF(ISERROR(VLOOKUP($U$1012,'TAR FIN'!$A$1:$O$92,15,0)),0,VLOOKUP($U$1012,'TAR FIN'!$A$1:$O$92,15,0))</f>
        <v>268.89</v>
      </c>
      <c r="Y1012" s="4"/>
      <c r="Z1012" s="4">
        <f ca="1">('TUSD BE'!$AM$48+'TUSD BF'!$AM$48+'TUSD CVA'!$AM$48)*1</f>
        <v>398.95397789704208</v>
      </c>
      <c r="AA1012" s="4">
        <f>('TE BE'!$AB$39+'TE BF'!$AB$39+'TE CVA'!$AB$39)*1</f>
        <v>336.17550926835082</v>
      </c>
      <c r="AB1012" s="4">
        <f>$K$1012*$V$1012</f>
        <v>0</v>
      </c>
      <c r="AC1012" s="4">
        <f>$M$1012*$W$1012</f>
        <v>3538090.0353600001</v>
      </c>
      <c r="AD1012" s="4">
        <f>$O$1012*$X$1012</f>
        <v>3056274.1891800002</v>
      </c>
      <c r="AE1012" s="4">
        <f>$K$1012*$Y$1012</f>
        <v>0</v>
      </c>
      <c r="AF1012" s="4">
        <f ca="1">$M$1012*$Z$1012</f>
        <v>4534615.4387199897</v>
      </c>
      <c r="AG1012" s="4">
        <f>$O$1012*$AA$1012</f>
        <v>3821058.916327504</v>
      </c>
    </row>
    <row r="1013" spans="1:33" ht="11.25" customHeight="1" x14ac:dyDescent="0.25">
      <c r="A1013" s="3" t="s">
        <v>27</v>
      </c>
      <c r="B1013" s="3" t="s">
        <v>37</v>
      </c>
      <c r="C1013" s="3" t="s">
        <v>23</v>
      </c>
      <c r="D1013" s="3" t="s">
        <v>42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44682</v>
      </c>
      <c r="J1013" s="4">
        <v>0</v>
      </c>
      <c r="K1013" s="4">
        <v>0</v>
      </c>
      <c r="L1013" s="4">
        <v>-118.688</v>
      </c>
      <c r="M1013" s="4">
        <v>-118.688</v>
      </c>
      <c r="N1013" s="4">
        <v>-118.688</v>
      </c>
      <c r="O1013" s="4">
        <v>-118.688</v>
      </c>
      <c r="P1013" s="4">
        <v>-112</v>
      </c>
      <c r="Q1013" s="3" t="s">
        <v>26</v>
      </c>
      <c r="R1013" s="3">
        <v>0</v>
      </c>
      <c r="S1013" s="4">
        <v>0</v>
      </c>
      <c r="T1013" s="4">
        <v>33</v>
      </c>
      <c r="U1013" s="4">
        <v>87</v>
      </c>
      <c r="V1013" s="4">
        <f>IF(ISERROR(VLOOKUP($S$1013,'TAR FIN'!$A$1:$O$92,15,0)),0,VLOOKUP($S$1013,'TAR FIN'!$A$1:$O$92,15,0))</f>
        <v>0</v>
      </c>
      <c r="W1013" s="4">
        <f>IF(ISERROR(VLOOKUP($T$1013,'TAR FIN'!$A$1:$O$92,15,0)),0,VLOOKUP($T$1013,'TAR FIN'!$A$1:$O$92,15,0))</f>
        <v>311.27999999999997</v>
      </c>
      <c r="X1013" s="4">
        <f>IF(ISERROR(VLOOKUP($U$1013,'TAR FIN'!$A$1:$O$92,15,0)),0,VLOOKUP($U$1013,'TAR FIN'!$A$1:$O$92,15,0))</f>
        <v>268.89</v>
      </c>
      <c r="Y1013" s="4"/>
      <c r="Z1013" s="4">
        <f ca="1">('TUSD BE'!$AM$48+'TUSD BF'!$AM$48+'TUSD CVA'!$AM$48)*1</f>
        <v>398.95397789704208</v>
      </c>
      <c r="AA1013" s="4">
        <f>('TE BE'!$AB$39+'TE BF'!$AB$39+'TE CVA'!$AB$39)*1</f>
        <v>336.17550926835082</v>
      </c>
      <c r="AB1013" s="4">
        <f>$K$1013*$V$1013</f>
        <v>0</v>
      </c>
      <c r="AC1013" s="4">
        <f>$M$1013*$W$1013</f>
        <v>-36945.200639999995</v>
      </c>
      <c r="AD1013" s="4">
        <f>$O$1013*$X$1013</f>
        <v>-31914.016319999999</v>
      </c>
      <c r="AE1013" s="4">
        <f>$K$1013*$Y$1013</f>
        <v>0</v>
      </c>
      <c r="AF1013" s="4">
        <f ca="1">$M$1013*$Z$1013</f>
        <v>-47351.049728644131</v>
      </c>
      <c r="AG1013" s="4">
        <f>$O$1013*$AA$1013</f>
        <v>-39899.99884404202</v>
      </c>
    </row>
    <row r="1014" spans="1:33" ht="11.25" customHeight="1" x14ac:dyDescent="0.25">
      <c r="A1014" s="3" t="s">
        <v>28</v>
      </c>
      <c r="B1014" s="3" t="s">
        <v>37</v>
      </c>
      <c r="C1014" s="3" t="s">
        <v>23</v>
      </c>
      <c r="D1014" s="3" t="s">
        <v>42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44682</v>
      </c>
      <c r="J1014" s="4">
        <v>0</v>
      </c>
      <c r="K1014" s="4">
        <v>0</v>
      </c>
      <c r="L1014" s="4">
        <v>1503.096</v>
      </c>
      <c r="M1014" s="4">
        <v>1503.096</v>
      </c>
      <c r="N1014" s="4">
        <v>1503.096</v>
      </c>
      <c r="O1014" s="4">
        <v>1503.096</v>
      </c>
      <c r="P1014" s="4">
        <v>712</v>
      </c>
      <c r="Q1014" s="3" t="s">
        <v>26</v>
      </c>
      <c r="R1014" s="3">
        <v>0</v>
      </c>
      <c r="S1014" s="4">
        <v>0</v>
      </c>
      <c r="T1014" s="4">
        <v>33</v>
      </c>
      <c r="U1014" s="4">
        <v>87</v>
      </c>
      <c r="V1014" s="4">
        <f>IF(ISERROR(VLOOKUP($S$1014,'TAR FIN'!$A$1:$O$92,15,0)),0,VLOOKUP($S$1014,'TAR FIN'!$A$1:$O$92,15,0))</f>
        <v>0</v>
      </c>
      <c r="W1014" s="4">
        <f>IF(ISERROR(VLOOKUP($T$1014,'TAR FIN'!$A$1:$O$92,15,0)),0,VLOOKUP($T$1014,'TAR FIN'!$A$1:$O$92,15,0))</f>
        <v>311.27999999999997</v>
      </c>
      <c r="X1014" s="4">
        <f>IF(ISERROR(VLOOKUP($U$1014,'TAR FIN'!$A$1:$O$92,15,0)),0,VLOOKUP($U$1014,'TAR FIN'!$A$1:$O$92,15,0))</f>
        <v>268.89</v>
      </c>
      <c r="Y1014" s="4"/>
      <c r="Z1014" s="4">
        <f ca="1">('TUSD BE'!$AM$48+'TUSD BF'!$AM$48+'TUSD CVA'!$AM$48)*1</f>
        <v>398.95397789704208</v>
      </c>
      <c r="AA1014" s="4">
        <f>('TE BE'!$AB$39+'TE BF'!$AB$39+'TE CVA'!$AB$39)*1</f>
        <v>336.17550926835082</v>
      </c>
      <c r="AB1014" s="4">
        <f>$K$1014*$V$1014</f>
        <v>0</v>
      </c>
      <c r="AC1014" s="4">
        <f>$M$1014*$W$1014</f>
        <v>467883.72287999996</v>
      </c>
      <c r="AD1014" s="4">
        <f>$O$1014*$X$1014</f>
        <v>404167.48343999998</v>
      </c>
      <c r="AE1014" s="4">
        <f>$K$1014*$Y$1014</f>
        <v>0</v>
      </c>
      <c r="AF1014" s="4">
        <f ca="1">$M$1014*$Z$1014</f>
        <v>599666.12836113235</v>
      </c>
      <c r="AG1014" s="4">
        <f>$O$1014*$AA$1014</f>
        <v>505304.06327922107</v>
      </c>
    </row>
    <row r="1015" spans="1:33" ht="11.25" customHeight="1" x14ac:dyDescent="0.25">
      <c r="A1015" s="3" t="s">
        <v>21</v>
      </c>
      <c r="B1015" s="3" t="s">
        <v>37</v>
      </c>
      <c r="C1015" s="3" t="s">
        <v>23</v>
      </c>
      <c r="D1015" s="3" t="s">
        <v>42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44713</v>
      </c>
      <c r="J1015" s="4">
        <v>0</v>
      </c>
      <c r="K1015" s="4">
        <v>0</v>
      </c>
      <c r="L1015" s="4">
        <v>11099.717000000001</v>
      </c>
      <c r="M1015" s="4">
        <v>11099.717000000001</v>
      </c>
      <c r="N1015" s="4">
        <v>11099.717000000001</v>
      </c>
      <c r="O1015" s="4">
        <v>11099.717000000001</v>
      </c>
      <c r="P1015" s="4">
        <v>13572</v>
      </c>
      <c r="Q1015" s="3" t="s">
        <v>26</v>
      </c>
      <c r="R1015" s="3">
        <v>0</v>
      </c>
      <c r="S1015" s="4">
        <v>0</v>
      </c>
      <c r="T1015" s="4">
        <v>33</v>
      </c>
      <c r="U1015" s="4">
        <v>87</v>
      </c>
      <c r="V1015" s="4">
        <f>IF(ISERROR(VLOOKUP($S$1015,'TAR FIN'!$A$1:$O$92,15,0)),0,VLOOKUP($S$1015,'TAR FIN'!$A$1:$O$92,15,0))</f>
        <v>0</v>
      </c>
      <c r="W1015" s="4">
        <f>IF(ISERROR(VLOOKUP($T$1015,'TAR FIN'!$A$1:$O$92,15,0)),0,VLOOKUP($T$1015,'TAR FIN'!$A$1:$O$92,15,0))</f>
        <v>311.27999999999997</v>
      </c>
      <c r="X1015" s="4">
        <f>IF(ISERROR(VLOOKUP($U$1015,'TAR FIN'!$A$1:$O$92,15,0)),0,VLOOKUP($U$1015,'TAR FIN'!$A$1:$O$92,15,0))</f>
        <v>268.89</v>
      </c>
      <c r="Y1015" s="4"/>
      <c r="Z1015" s="4">
        <f ca="1">('TUSD BE'!$AM$48+'TUSD BF'!$AM$48+'TUSD CVA'!$AM$48)*1</f>
        <v>398.95397789704208</v>
      </c>
      <c r="AA1015" s="4">
        <f>('TE BE'!$AB$39+'TE BF'!$AB$39+'TE CVA'!$AB$39)*1</f>
        <v>336.17550926835082</v>
      </c>
      <c r="AB1015" s="4">
        <f>$K$1015*$V$1015</f>
        <v>0</v>
      </c>
      <c r="AC1015" s="4">
        <f>$M$1015*$W$1015</f>
        <v>3455119.9077599999</v>
      </c>
      <c r="AD1015" s="4">
        <f>$O$1015*$X$1015</f>
        <v>2984602.9041300002</v>
      </c>
      <c r="AE1015" s="4">
        <f>$K$1015*$Y$1015</f>
        <v>0</v>
      </c>
      <c r="AF1015" s="4">
        <f ca="1">$M$1015*$Z$1015</f>
        <v>4428276.2506814227</v>
      </c>
      <c r="AG1015" s="4">
        <f>$O$1015*$AA$1015</f>
        <v>3731453.0152095715</v>
      </c>
    </row>
    <row r="1016" spans="1:33" ht="11.25" customHeight="1" x14ac:dyDescent="0.25">
      <c r="A1016" s="3" t="s">
        <v>27</v>
      </c>
      <c r="B1016" s="3" t="s">
        <v>37</v>
      </c>
      <c r="C1016" s="3" t="s">
        <v>23</v>
      </c>
      <c r="D1016" s="3" t="s">
        <v>42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44713</v>
      </c>
      <c r="J1016" s="4">
        <v>0</v>
      </c>
      <c r="K1016" s="4">
        <v>0</v>
      </c>
      <c r="L1016" s="4">
        <v>-43.124000000000002</v>
      </c>
      <c r="M1016" s="4">
        <v>-43.124000000000002</v>
      </c>
      <c r="N1016" s="4">
        <v>-43.124000000000002</v>
      </c>
      <c r="O1016" s="4">
        <v>-43.124000000000002</v>
      </c>
      <c r="P1016" s="4">
        <v>1</v>
      </c>
      <c r="Q1016" s="3" t="s">
        <v>26</v>
      </c>
      <c r="R1016" s="3">
        <v>0</v>
      </c>
      <c r="S1016" s="4">
        <v>0</v>
      </c>
      <c r="T1016" s="4">
        <v>33</v>
      </c>
      <c r="U1016" s="4">
        <v>87</v>
      </c>
      <c r="V1016" s="4">
        <f>IF(ISERROR(VLOOKUP($S$1016,'TAR FIN'!$A$1:$O$92,15,0)),0,VLOOKUP($S$1016,'TAR FIN'!$A$1:$O$92,15,0))</f>
        <v>0</v>
      </c>
      <c r="W1016" s="4">
        <f>IF(ISERROR(VLOOKUP($T$1016,'TAR FIN'!$A$1:$O$92,15,0)),0,VLOOKUP($T$1016,'TAR FIN'!$A$1:$O$92,15,0))</f>
        <v>311.27999999999997</v>
      </c>
      <c r="X1016" s="4">
        <f>IF(ISERROR(VLOOKUP($U$1016,'TAR FIN'!$A$1:$O$92,15,0)),0,VLOOKUP($U$1016,'TAR FIN'!$A$1:$O$92,15,0))</f>
        <v>268.89</v>
      </c>
      <c r="Y1016" s="4"/>
      <c r="Z1016" s="4">
        <f ca="1">('TUSD BE'!$AM$48+'TUSD BF'!$AM$48+'TUSD CVA'!$AM$48)*1</f>
        <v>398.95397789704208</v>
      </c>
      <c r="AA1016" s="4">
        <f>('TE BE'!$AB$39+'TE BF'!$AB$39+'TE CVA'!$AB$39)*1</f>
        <v>336.17550926835082</v>
      </c>
      <c r="AB1016" s="4">
        <f>$K$1016*$V$1016</f>
        <v>0</v>
      </c>
      <c r="AC1016" s="4">
        <f>$M$1016*$W$1016</f>
        <v>-13423.638719999999</v>
      </c>
      <c r="AD1016" s="4">
        <f>$O$1016*$X$1016</f>
        <v>-11595.612359999999</v>
      </c>
      <c r="AE1016" s="4">
        <f>$K$1016*$Y$1016</f>
        <v>0</v>
      </c>
      <c r="AF1016" s="4">
        <f ca="1">$M$1016*$Z$1016</f>
        <v>-17204.491342832043</v>
      </c>
      <c r="AG1016" s="4">
        <f>$O$1016*$AA$1016</f>
        <v>-14497.232661688362</v>
      </c>
    </row>
    <row r="1017" spans="1:33" ht="11.25" customHeight="1" x14ac:dyDescent="0.25">
      <c r="A1017" s="3" t="s">
        <v>28</v>
      </c>
      <c r="B1017" s="3" t="s">
        <v>37</v>
      </c>
      <c r="C1017" s="3" t="s">
        <v>23</v>
      </c>
      <c r="D1017" s="3" t="s">
        <v>42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44713</v>
      </c>
      <c r="J1017" s="4">
        <v>0</v>
      </c>
      <c r="K1017" s="4">
        <v>0</v>
      </c>
      <c r="L1017" s="4">
        <v>468.73700000000002</v>
      </c>
      <c r="M1017" s="4">
        <v>468.73700000000002</v>
      </c>
      <c r="N1017" s="4">
        <v>468.73700000000002</v>
      </c>
      <c r="O1017" s="4">
        <v>468.73700000000002</v>
      </c>
      <c r="P1017" s="4">
        <v>212</v>
      </c>
      <c r="Q1017" s="3" t="s">
        <v>26</v>
      </c>
      <c r="R1017" s="3">
        <v>0</v>
      </c>
      <c r="S1017" s="4">
        <v>0</v>
      </c>
      <c r="T1017" s="4">
        <v>33</v>
      </c>
      <c r="U1017" s="4">
        <v>87</v>
      </c>
      <c r="V1017" s="4">
        <f>IF(ISERROR(VLOOKUP($S$1017,'TAR FIN'!$A$1:$O$92,15,0)),0,VLOOKUP($S$1017,'TAR FIN'!$A$1:$O$92,15,0))</f>
        <v>0</v>
      </c>
      <c r="W1017" s="4">
        <f>IF(ISERROR(VLOOKUP($T$1017,'TAR FIN'!$A$1:$O$92,15,0)),0,VLOOKUP($T$1017,'TAR FIN'!$A$1:$O$92,15,0))</f>
        <v>311.27999999999997</v>
      </c>
      <c r="X1017" s="4">
        <f>IF(ISERROR(VLOOKUP($U$1017,'TAR FIN'!$A$1:$O$92,15,0)),0,VLOOKUP($U$1017,'TAR FIN'!$A$1:$O$92,15,0))</f>
        <v>268.89</v>
      </c>
      <c r="Y1017" s="4"/>
      <c r="Z1017" s="4">
        <f ca="1">('TUSD BE'!$AM$48+'TUSD BF'!$AM$48+'TUSD CVA'!$AM$48)*1</f>
        <v>398.95397789704208</v>
      </c>
      <c r="AA1017" s="4">
        <f>('TE BE'!$AB$39+'TE BF'!$AB$39+'TE CVA'!$AB$39)*1</f>
        <v>336.17550926835082</v>
      </c>
      <c r="AB1017" s="4">
        <f>$K$1017*$V$1017</f>
        <v>0</v>
      </c>
      <c r="AC1017" s="4">
        <f>$M$1017*$W$1017</f>
        <v>145908.45335999998</v>
      </c>
      <c r="AD1017" s="4">
        <f>$O$1017*$X$1017</f>
        <v>126038.69193</v>
      </c>
      <c r="AE1017" s="4">
        <f>$K$1017*$Y$1017</f>
        <v>0</v>
      </c>
      <c r="AF1017" s="4">
        <f ca="1">$M$1017*$Z$1017</f>
        <v>187004.49073752583</v>
      </c>
      <c r="AG1017" s="4">
        <f>$O$1017*$AA$1017</f>
        <v>157577.89968791898</v>
      </c>
    </row>
    <row r="1018" spans="1:33" ht="11.25" customHeight="1" x14ac:dyDescent="0.25">
      <c r="A1018" s="3" t="s">
        <v>28</v>
      </c>
      <c r="B1018" s="3" t="s">
        <v>37</v>
      </c>
      <c r="C1018" s="3" t="s">
        <v>23</v>
      </c>
      <c r="D1018" s="3" t="s">
        <v>42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44713</v>
      </c>
      <c r="J1018" s="4">
        <v>0</v>
      </c>
      <c r="K1018" s="4">
        <v>0</v>
      </c>
      <c r="L1018" s="4">
        <v>1.38</v>
      </c>
      <c r="M1018" s="4">
        <v>1.38</v>
      </c>
      <c r="N1018" s="4">
        <v>1.38</v>
      </c>
      <c r="O1018" s="4">
        <v>1.38</v>
      </c>
      <c r="P1018" s="4">
        <v>0</v>
      </c>
      <c r="Q1018" s="3" t="s">
        <v>26</v>
      </c>
      <c r="R1018" s="3">
        <v>0</v>
      </c>
      <c r="S1018" s="4">
        <v>0</v>
      </c>
      <c r="T1018" s="4">
        <v>33</v>
      </c>
      <c r="U1018" s="4">
        <v>87</v>
      </c>
      <c r="V1018" s="4">
        <f>IF(ISERROR(VLOOKUP($S$1018,'TAR FIN'!$A$1:$O$92,15,0)),0,VLOOKUP($S$1018,'TAR FIN'!$A$1:$O$92,15,0))</f>
        <v>0</v>
      </c>
      <c r="W1018" s="4">
        <f>IF(ISERROR(VLOOKUP($T$1018,'TAR FIN'!$A$1:$O$92,15,0)),0,VLOOKUP($T$1018,'TAR FIN'!$A$1:$O$92,15,0))</f>
        <v>311.27999999999997</v>
      </c>
      <c r="X1018" s="4">
        <f>IF(ISERROR(VLOOKUP($U$1018,'TAR FIN'!$A$1:$O$92,15,0)),0,VLOOKUP($U$1018,'TAR FIN'!$A$1:$O$92,15,0))</f>
        <v>268.89</v>
      </c>
      <c r="Y1018" s="4"/>
      <c r="Z1018" s="4">
        <f ca="1">('TUSD BE'!$AM$48+'TUSD BF'!$AM$48+'TUSD CVA'!$AM$48)*1</f>
        <v>398.95397789704208</v>
      </c>
      <c r="AA1018" s="4">
        <f>('TE BE'!$AB$39+'TE BF'!$AB$39+'TE CVA'!$AB$39)*1</f>
        <v>336.17550926835082</v>
      </c>
      <c r="AB1018" s="4">
        <f>$K$1018*$V$1018</f>
        <v>0</v>
      </c>
      <c r="AC1018" s="4">
        <f>$M$1018*$W$1018</f>
        <v>429.56639999999993</v>
      </c>
      <c r="AD1018" s="4">
        <f>$O$1018*$X$1018</f>
        <v>371.06819999999993</v>
      </c>
      <c r="AE1018" s="4">
        <f>$K$1018*$Y$1018</f>
        <v>0</v>
      </c>
      <c r="AF1018" s="4">
        <f ca="1">$M$1018*$Z$1018</f>
        <v>550.55648949791805</v>
      </c>
      <c r="AG1018" s="4">
        <f>$O$1018*$AA$1018</f>
        <v>463.92220279032409</v>
      </c>
    </row>
    <row r="1019" spans="1:33" ht="11.25" customHeight="1" x14ac:dyDescent="0.25">
      <c r="A1019" s="3" t="s">
        <v>21</v>
      </c>
      <c r="B1019" s="3" t="s">
        <v>37</v>
      </c>
      <c r="C1019" s="3" t="s">
        <v>23</v>
      </c>
      <c r="D1019" s="3" t="s">
        <v>42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44743</v>
      </c>
      <c r="J1019" s="4">
        <v>0</v>
      </c>
      <c r="K1019" s="4">
        <v>0</v>
      </c>
      <c r="L1019" s="4">
        <v>10901.441000000001</v>
      </c>
      <c r="M1019" s="4">
        <v>10901.441000000001</v>
      </c>
      <c r="N1019" s="4">
        <v>10901.441000000001</v>
      </c>
      <c r="O1019" s="4">
        <v>10901.441000000001</v>
      </c>
      <c r="P1019" s="4">
        <v>13628</v>
      </c>
      <c r="Q1019" s="3" t="s">
        <v>26</v>
      </c>
      <c r="R1019" s="3">
        <v>0</v>
      </c>
      <c r="S1019" s="4">
        <v>0</v>
      </c>
      <c r="T1019" s="4">
        <v>33</v>
      </c>
      <c r="U1019" s="4">
        <v>87</v>
      </c>
      <c r="V1019" s="4">
        <f>IF(ISERROR(VLOOKUP($S$1019,'TAR FIN'!$A$1:$O$92,15,0)),0,VLOOKUP($S$1019,'TAR FIN'!$A$1:$O$92,15,0))</f>
        <v>0</v>
      </c>
      <c r="W1019" s="4">
        <f>IF(ISERROR(VLOOKUP($T$1019,'TAR FIN'!$A$1:$O$92,15,0)),0,VLOOKUP($T$1019,'TAR FIN'!$A$1:$O$92,15,0))</f>
        <v>311.27999999999997</v>
      </c>
      <c r="X1019" s="4">
        <f>IF(ISERROR(VLOOKUP($U$1019,'TAR FIN'!$A$1:$O$92,15,0)),0,VLOOKUP($U$1019,'TAR FIN'!$A$1:$O$92,15,0))</f>
        <v>268.89</v>
      </c>
      <c r="Y1019" s="4"/>
      <c r="Z1019" s="4">
        <f ca="1">('TUSD BE'!$AM$48+'TUSD BF'!$AM$48+'TUSD CVA'!$AM$48)*1</f>
        <v>398.95397789704208</v>
      </c>
      <c r="AA1019" s="4">
        <f>('TE BE'!$AB$39+'TE BF'!$AB$39+'TE CVA'!$AB$39)*1</f>
        <v>336.17550926835082</v>
      </c>
      <c r="AB1019" s="4">
        <f>$K$1019*$V$1019</f>
        <v>0</v>
      </c>
      <c r="AC1019" s="4">
        <f>$M$1019*$W$1019</f>
        <v>3393400.5544799999</v>
      </c>
      <c r="AD1019" s="4">
        <f>$O$1019*$X$1019</f>
        <v>2931288.4704900002</v>
      </c>
      <c r="AE1019" s="4">
        <f>$K$1019*$Y$1019</f>
        <v>0</v>
      </c>
      <c r="AF1019" s="4">
        <f ca="1">$M$1019*$Z$1019</f>
        <v>4349173.2517599082</v>
      </c>
      <c r="AG1019" s="4">
        <f>$O$1019*$AA$1019</f>
        <v>3664797.4799338798</v>
      </c>
    </row>
    <row r="1020" spans="1:33" ht="11.25" customHeight="1" x14ac:dyDescent="0.25">
      <c r="A1020" s="3" t="s">
        <v>27</v>
      </c>
      <c r="B1020" s="3" t="s">
        <v>37</v>
      </c>
      <c r="C1020" s="3" t="s">
        <v>23</v>
      </c>
      <c r="D1020" s="3" t="s">
        <v>42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44743</v>
      </c>
      <c r="J1020" s="4">
        <v>0</v>
      </c>
      <c r="K1020" s="4">
        <v>0</v>
      </c>
      <c r="L1020" s="4">
        <v>-5.0979999999999999</v>
      </c>
      <c r="M1020" s="4">
        <v>-5.0979999999999999</v>
      </c>
      <c r="N1020" s="4">
        <v>-5.0979999999999999</v>
      </c>
      <c r="O1020" s="4">
        <v>-5.0979999999999999</v>
      </c>
      <c r="P1020" s="4">
        <v>-5</v>
      </c>
      <c r="Q1020" s="3" t="s">
        <v>26</v>
      </c>
      <c r="R1020" s="3">
        <v>0</v>
      </c>
      <c r="S1020" s="4">
        <v>0</v>
      </c>
      <c r="T1020" s="4">
        <v>33</v>
      </c>
      <c r="U1020" s="4">
        <v>87</v>
      </c>
      <c r="V1020" s="4">
        <f>IF(ISERROR(VLOOKUP($S$1020,'TAR FIN'!$A$1:$O$92,15,0)),0,VLOOKUP($S$1020,'TAR FIN'!$A$1:$O$92,15,0))</f>
        <v>0</v>
      </c>
      <c r="W1020" s="4">
        <f>IF(ISERROR(VLOOKUP($T$1020,'TAR FIN'!$A$1:$O$92,15,0)),0,VLOOKUP($T$1020,'TAR FIN'!$A$1:$O$92,15,0))</f>
        <v>311.27999999999997</v>
      </c>
      <c r="X1020" s="4">
        <f>IF(ISERROR(VLOOKUP($U$1020,'TAR FIN'!$A$1:$O$92,15,0)),0,VLOOKUP($U$1020,'TAR FIN'!$A$1:$O$92,15,0))</f>
        <v>268.89</v>
      </c>
      <c r="Y1020" s="4"/>
      <c r="Z1020" s="4">
        <f ca="1">('TUSD BE'!$AM$48+'TUSD BF'!$AM$48+'TUSD CVA'!$AM$48)*1</f>
        <v>398.95397789704208</v>
      </c>
      <c r="AA1020" s="4">
        <f>('TE BE'!$AB$39+'TE BF'!$AB$39+'TE CVA'!$AB$39)*1</f>
        <v>336.17550926835082</v>
      </c>
      <c r="AB1020" s="4">
        <f>$K$1020*$V$1020</f>
        <v>0</v>
      </c>
      <c r="AC1020" s="4">
        <f>$M$1020*$W$1020</f>
        <v>-1586.9054399999998</v>
      </c>
      <c r="AD1020" s="4">
        <f>$O$1020*$X$1020</f>
        <v>-1370.8012199999998</v>
      </c>
      <c r="AE1020" s="4">
        <f>$K$1020*$Y$1020</f>
        <v>0</v>
      </c>
      <c r="AF1020" s="4">
        <f ca="1">$M$1020*$Z$1020</f>
        <v>-2033.8673793191206</v>
      </c>
      <c r="AG1020" s="4">
        <f>$O$1020*$AA$1020</f>
        <v>-1713.8227462500524</v>
      </c>
    </row>
    <row r="1021" spans="1:33" ht="11.25" customHeight="1" x14ac:dyDescent="0.25">
      <c r="A1021" s="3" t="s">
        <v>28</v>
      </c>
      <c r="B1021" s="3" t="s">
        <v>37</v>
      </c>
      <c r="C1021" s="3" t="s">
        <v>23</v>
      </c>
      <c r="D1021" s="3" t="s">
        <v>42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44743</v>
      </c>
      <c r="J1021" s="4">
        <v>0</v>
      </c>
      <c r="K1021" s="4">
        <v>0</v>
      </c>
      <c r="L1021" s="4">
        <v>607.91899999999998</v>
      </c>
      <c r="M1021" s="4">
        <v>607.91899999999998</v>
      </c>
      <c r="N1021" s="4">
        <v>607.91899999999998</v>
      </c>
      <c r="O1021" s="4">
        <v>607.91899999999998</v>
      </c>
      <c r="P1021" s="4">
        <v>255</v>
      </c>
      <c r="Q1021" s="3" t="s">
        <v>26</v>
      </c>
      <c r="R1021" s="3">
        <v>0</v>
      </c>
      <c r="S1021" s="4">
        <v>0</v>
      </c>
      <c r="T1021" s="4">
        <v>33</v>
      </c>
      <c r="U1021" s="4">
        <v>87</v>
      </c>
      <c r="V1021" s="4">
        <f>IF(ISERROR(VLOOKUP($S$1021,'TAR FIN'!$A$1:$O$92,15,0)),0,VLOOKUP($S$1021,'TAR FIN'!$A$1:$O$92,15,0))</f>
        <v>0</v>
      </c>
      <c r="W1021" s="4">
        <f>IF(ISERROR(VLOOKUP($T$1021,'TAR FIN'!$A$1:$O$92,15,0)),0,VLOOKUP($T$1021,'TAR FIN'!$A$1:$O$92,15,0))</f>
        <v>311.27999999999997</v>
      </c>
      <c r="X1021" s="4">
        <f>IF(ISERROR(VLOOKUP($U$1021,'TAR FIN'!$A$1:$O$92,15,0)),0,VLOOKUP($U$1021,'TAR FIN'!$A$1:$O$92,15,0))</f>
        <v>268.89</v>
      </c>
      <c r="Y1021" s="4"/>
      <c r="Z1021" s="4">
        <f ca="1">('TUSD BE'!$AM$48+'TUSD BF'!$AM$48+'TUSD CVA'!$AM$48)*1</f>
        <v>398.95397789704208</v>
      </c>
      <c r="AA1021" s="4">
        <f>('TE BE'!$AB$39+'TE BF'!$AB$39+'TE CVA'!$AB$39)*1</f>
        <v>336.17550926835082</v>
      </c>
      <c r="AB1021" s="4">
        <f>$K$1021*$V$1021</f>
        <v>0</v>
      </c>
      <c r="AC1021" s="4">
        <f>$M$1021*$W$1021</f>
        <v>189233.02631999998</v>
      </c>
      <c r="AD1021" s="4">
        <f>$O$1021*$X$1021</f>
        <v>163463.33990999998</v>
      </c>
      <c r="AE1021" s="4">
        <f>$K$1021*$Y$1021</f>
        <v>0</v>
      </c>
      <c r="AF1021" s="4">
        <f ca="1">$M$1021*$Z$1021</f>
        <v>242531.70328919191</v>
      </c>
      <c r="AG1021" s="4">
        <f>$O$1021*$AA$1021</f>
        <v>204367.47941890656</v>
      </c>
    </row>
    <row r="1022" spans="1:33" ht="11.25" customHeight="1" x14ac:dyDescent="0.25">
      <c r="A1022" s="3" t="s">
        <v>21</v>
      </c>
      <c r="B1022" s="3" t="s">
        <v>37</v>
      </c>
      <c r="C1022" s="3" t="s">
        <v>23</v>
      </c>
      <c r="D1022" s="3" t="s">
        <v>42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44774</v>
      </c>
      <c r="J1022" s="4">
        <v>0</v>
      </c>
      <c r="K1022" s="4">
        <v>0</v>
      </c>
      <c r="L1022" s="4">
        <v>12795.486999999999</v>
      </c>
      <c r="M1022" s="4">
        <v>12795.486999999999</v>
      </c>
      <c r="N1022" s="4">
        <v>12795.486999999999</v>
      </c>
      <c r="O1022" s="4">
        <v>12795.486999999999</v>
      </c>
      <c r="P1022" s="4">
        <v>13679</v>
      </c>
      <c r="Q1022" s="3" t="s">
        <v>26</v>
      </c>
      <c r="R1022" s="3">
        <v>0</v>
      </c>
      <c r="S1022" s="4">
        <v>0</v>
      </c>
      <c r="T1022" s="4">
        <v>33</v>
      </c>
      <c r="U1022" s="4">
        <v>87</v>
      </c>
      <c r="V1022" s="4">
        <f>IF(ISERROR(VLOOKUP($S$1022,'TAR FIN'!$A$1:$O$92,15,0)),0,VLOOKUP($S$1022,'TAR FIN'!$A$1:$O$92,15,0))</f>
        <v>0</v>
      </c>
      <c r="W1022" s="4">
        <f>IF(ISERROR(VLOOKUP($T$1022,'TAR FIN'!$A$1:$O$92,15,0)),0,VLOOKUP($T$1022,'TAR FIN'!$A$1:$O$92,15,0))</f>
        <v>311.27999999999997</v>
      </c>
      <c r="X1022" s="4">
        <f>IF(ISERROR(VLOOKUP($U$1022,'TAR FIN'!$A$1:$O$92,15,0)),0,VLOOKUP($U$1022,'TAR FIN'!$A$1:$O$92,15,0))</f>
        <v>268.89</v>
      </c>
      <c r="Y1022" s="4"/>
      <c r="Z1022" s="4">
        <f ca="1">('TUSD BE'!$AM$48+'TUSD BF'!$AM$48+'TUSD CVA'!$AM$48)*1</f>
        <v>398.95397789704208</v>
      </c>
      <c r="AA1022" s="4">
        <f>('TE BE'!$AB$39+'TE BF'!$AB$39+'TE CVA'!$AB$39)*1</f>
        <v>336.17550926835082</v>
      </c>
      <c r="AB1022" s="4">
        <f>$K$1022*$V$1022</f>
        <v>0</v>
      </c>
      <c r="AC1022" s="4">
        <f>$M$1022*$W$1022</f>
        <v>3982979.1933599995</v>
      </c>
      <c r="AD1022" s="4">
        <f>$O$1022*$X$1022</f>
        <v>3440578.4994299994</v>
      </c>
      <c r="AE1022" s="4">
        <f>$K$1022*$Y$1022</f>
        <v>0</v>
      </c>
      <c r="AF1022" s="4">
        <f ca="1">$M$1022*$Z$1022</f>
        <v>5104810.4377798885</v>
      </c>
      <c r="AG1022" s="4">
        <f>$O$1022*$AA$1022</f>
        <v>4301529.3585615624</v>
      </c>
    </row>
    <row r="1023" spans="1:33" ht="11.25" customHeight="1" x14ac:dyDescent="0.25">
      <c r="A1023" s="3" t="s">
        <v>27</v>
      </c>
      <c r="B1023" s="3" t="s">
        <v>37</v>
      </c>
      <c r="C1023" s="3" t="s">
        <v>23</v>
      </c>
      <c r="D1023" s="3" t="s">
        <v>42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44774</v>
      </c>
      <c r="J1023" s="4">
        <v>0</v>
      </c>
      <c r="K1023" s="4">
        <v>0</v>
      </c>
      <c r="L1023" s="4">
        <v>-49.113</v>
      </c>
      <c r="M1023" s="4">
        <v>-49.113</v>
      </c>
      <c r="N1023" s="4">
        <v>-49.113</v>
      </c>
      <c r="O1023" s="4">
        <v>-49.113</v>
      </c>
      <c r="P1023" s="4">
        <v>-4</v>
      </c>
      <c r="Q1023" s="3" t="s">
        <v>26</v>
      </c>
      <c r="R1023" s="3">
        <v>0</v>
      </c>
      <c r="S1023" s="4">
        <v>0</v>
      </c>
      <c r="T1023" s="4">
        <v>33</v>
      </c>
      <c r="U1023" s="4">
        <v>87</v>
      </c>
      <c r="V1023" s="4">
        <f>IF(ISERROR(VLOOKUP($S$1023,'TAR FIN'!$A$1:$O$92,15,0)),0,VLOOKUP($S$1023,'TAR FIN'!$A$1:$O$92,15,0))</f>
        <v>0</v>
      </c>
      <c r="W1023" s="4">
        <f>IF(ISERROR(VLOOKUP($T$1023,'TAR FIN'!$A$1:$O$92,15,0)),0,VLOOKUP($T$1023,'TAR FIN'!$A$1:$O$92,15,0))</f>
        <v>311.27999999999997</v>
      </c>
      <c r="X1023" s="4">
        <f>IF(ISERROR(VLOOKUP($U$1023,'TAR FIN'!$A$1:$O$92,15,0)),0,VLOOKUP($U$1023,'TAR FIN'!$A$1:$O$92,15,0))</f>
        <v>268.89</v>
      </c>
      <c r="Y1023" s="4"/>
      <c r="Z1023" s="4">
        <f ca="1">('TUSD BE'!$AM$48+'TUSD BF'!$AM$48+'TUSD CVA'!$AM$48)*1</f>
        <v>398.95397789704208</v>
      </c>
      <c r="AA1023" s="4">
        <f>('TE BE'!$AB$39+'TE BF'!$AB$39+'TE CVA'!$AB$39)*1</f>
        <v>336.17550926835082</v>
      </c>
      <c r="AB1023" s="4">
        <f>$K$1023*$V$1023</f>
        <v>0</v>
      </c>
      <c r="AC1023" s="4">
        <f>$M$1023*$W$1023</f>
        <v>-15287.894639999999</v>
      </c>
      <c r="AD1023" s="4">
        <f>$O$1023*$X$1023</f>
        <v>-13205.994569999999</v>
      </c>
      <c r="AE1023" s="4">
        <f>$K$1023*$Y$1023</f>
        <v>0</v>
      </c>
      <c r="AF1023" s="4">
        <f ca="1">$M$1023*$Z$1023</f>
        <v>-19593.826716457428</v>
      </c>
      <c r="AG1023" s="4">
        <f>$O$1023*$AA$1023</f>
        <v>-16510.587786696513</v>
      </c>
    </row>
    <row r="1024" spans="1:33" ht="11.25" customHeight="1" x14ac:dyDescent="0.25">
      <c r="A1024" s="3" t="s">
        <v>28</v>
      </c>
      <c r="B1024" s="3" t="s">
        <v>37</v>
      </c>
      <c r="C1024" s="3" t="s">
        <v>23</v>
      </c>
      <c r="D1024" s="3" t="s">
        <v>42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44774</v>
      </c>
      <c r="J1024" s="4">
        <v>0</v>
      </c>
      <c r="K1024" s="4">
        <v>0</v>
      </c>
      <c r="L1024" s="4">
        <v>699.35299999999995</v>
      </c>
      <c r="M1024" s="4">
        <v>699.35299999999995</v>
      </c>
      <c r="N1024" s="4">
        <v>699.35299999999995</v>
      </c>
      <c r="O1024" s="4">
        <v>699.35299999999995</v>
      </c>
      <c r="P1024" s="4">
        <v>278</v>
      </c>
      <c r="Q1024" s="3" t="s">
        <v>26</v>
      </c>
      <c r="R1024" s="3">
        <v>0</v>
      </c>
      <c r="S1024" s="4">
        <v>0</v>
      </c>
      <c r="T1024" s="4">
        <v>33</v>
      </c>
      <c r="U1024" s="4">
        <v>87</v>
      </c>
      <c r="V1024" s="4">
        <f>IF(ISERROR(VLOOKUP($S$1024,'TAR FIN'!$A$1:$O$92,15,0)),0,VLOOKUP($S$1024,'TAR FIN'!$A$1:$O$92,15,0))</f>
        <v>0</v>
      </c>
      <c r="W1024" s="4">
        <f>IF(ISERROR(VLOOKUP($T$1024,'TAR FIN'!$A$1:$O$92,15,0)),0,VLOOKUP($T$1024,'TAR FIN'!$A$1:$O$92,15,0))</f>
        <v>311.27999999999997</v>
      </c>
      <c r="X1024" s="4">
        <f>IF(ISERROR(VLOOKUP($U$1024,'TAR FIN'!$A$1:$O$92,15,0)),0,VLOOKUP($U$1024,'TAR FIN'!$A$1:$O$92,15,0))</f>
        <v>268.89</v>
      </c>
      <c r="Y1024" s="4"/>
      <c r="Z1024" s="4">
        <f ca="1">('TUSD BE'!$AM$48+'TUSD BF'!$AM$48+'TUSD CVA'!$AM$48)*1</f>
        <v>398.95397789704208</v>
      </c>
      <c r="AA1024" s="4">
        <f>('TE BE'!$AB$39+'TE BF'!$AB$39+'TE CVA'!$AB$39)*1</f>
        <v>336.17550926835082</v>
      </c>
      <c r="AB1024" s="4">
        <f>$K$1024*$V$1024</f>
        <v>0</v>
      </c>
      <c r="AC1024" s="4">
        <f>$M$1024*$W$1024</f>
        <v>217694.60183999996</v>
      </c>
      <c r="AD1024" s="4">
        <f>$O$1024*$X$1024</f>
        <v>188049.02816999998</v>
      </c>
      <c r="AE1024" s="4">
        <f>$K$1024*$Y$1024</f>
        <v>0</v>
      </c>
      <c r="AF1024" s="4">
        <f ca="1">$M$1024*$Z$1024</f>
        <v>279009.66130423005</v>
      </c>
      <c r="AG1024" s="4">
        <f>$O$1024*$AA$1024</f>
        <v>235105.35093334893</v>
      </c>
    </row>
    <row r="1025" spans="1:33" ht="11.25" customHeight="1" x14ac:dyDescent="0.25">
      <c r="A1025" s="3" t="s">
        <v>28</v>
      </c>
      <c r="B1025" s="3" t="s">
        <v>37</v>
      </c>
      <c r="C1025" s="3" t="s">
        <v>23</v>
      </c>
      <c r="D1025" s="3" t="s">
        <v>42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44774</v>
      </c>
      <c r="J1025" s="4">
        <v>0</v>
      </c>
      <c r="K1025" s="4">
        <v>0</v>
      </c>
      <c r="L1025" s="4">
        <v>0.71699999999999997</v>
      </c>
      <c r="M1025" s="4">
        <v>0.71699999999999997</v>
      </c>
      <c r="N1025" s="4">
        <v>0.71699999999999997</v>
      </c>
      <c r="O1025" s="4">
        <v>0.71699999999999997</v>
      </c>
      <c r="P1025" s="4">
        <v>1</v>
      </c>
      <c r="Q1025" s="3" t="s">
        <v>26</v>
      </c>
      <c r="R1025" s="3">
        <v>0</v>
      </c>
      <c r="S1025" s="4">
        <v>0</v>
      </c>
      <c r="T1025" s="4">
        <v>33</v>
      </c>
      <c r="U1025" s="4">
        <v>87</v>
      </c>
      <c r="V1025" s="4">
        <f>IF(ISERROR(VLOOKUP($S$1025,'TAR FIN'!$A$1:$O$92,15,0)),0,VLOOKUP($S$1025,'TAR FIN'!$A$1:$O$92,15,0))</f>
        <v>0</v>
      </c>
      <c r="W1025" s="4">
        <f>IF(ISERROR(VLOOKUP($T$1025,'TAR FIN'!$A$1:$O$92,15,0)),0,VLOOKUP($T$1025,'TAR FIN'!$A$1:$O$92,15,0))</f>
        <v>311.27999999999997</v>
      </c>
      <c r="X1025" s="4">
        <f>IF(ISERROR(VLOOKUP($U$1025,'TAR FIN'!$A$1:$O$92,15,0)),0,VLOOKUP($U$1025,'TAR FIN'!$A$1:$O$92,15,0))</f>
        <v>268.89</v>
      </c>
      <c r="Y1025" s="4"/>
      <c r="Z1025" s="4">
        <f ca="1">('TUSD BE'!$AM$48+'TUSD BF'!$AM$48+'TUSD CVA'!$AM$48)*1</f>
        <v>398.95397789704208</v>
      </c>
      <c r="AA1025" s="4">
        <f>('TE BE'!$AB$39+'TE BF'!$AB$39+'TE CVA'!$AB$39)*1</f>
        <v>336.17550926835082</v>
      </c>
      <c r="AB1025" s="4">
        <f>$K$1025*$V$1025</f>
        <v>0</v>
      </c>
      <c r="AC1025" s="4">
        <f>$M$1025*$W$1025</f>
        <v>223.18775999999997</v>
      </c>
      <c r="AD1025" s="4">
        <f>$O$1025*$X$1025</f>
        <v>192.79413</v>
      </c>
      <c r="AE1025" s="4">
        <f>$K$1025*$Y$1025</f>
        <v>0</v>
      </c>
      <c r="AF1025" s="4">
        <f ca="1">$M$1025*$Z$1025</f>
        <v>286.05000215217916</v>
      </c>
      <c r="AG1025" s="4">
        <f>$O$1025*$AA$1025</f>
        <v>241.03784014540753</v>
      </c>
    </row>
    <row r="1026" spans="1:33" ht="11.25" customHeight="1" x14ac:dyDescent="0.25">
      <c r="A1026" s="3" t="s">
        <v>21</v>
      </c>
      <c r="B1026" s="3" t="s">
        <v>37</v>
      </c>
      <c r="C1026" s="3" t="s">
        <v>23</v>
      </c>
      <c r="D1026" s="3" t="s">
        <v>42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44805</v>
      </c>
      <c r="J1026" s="4">
        <v>0</v>
      </c>
      <c r="K1026" s="4">
        <v>0</v>
      </c>
      <c r="L1026" s="4">
        <v>12873.173000000001</v>
      </c>
      <c r="M1026" s="4">
        <v>12873.173000000001</v>
      </c>
      <c r="N1026" s="4">
        <v>12873.173000000001</v>
      </c>
      <c r="O1026" s="4">
        <v>12873.173000000001</v>
      </c>
      <c r="P1026" s="4">
        <v>13754</v>
      </c>
      <c r="Q1026" s="3" t="s">
        <v>26</v>
      </c>
      <c r="R1026" s="3">
        <v>0</v>
      </c>
      <c r="S1026" s="4">
        <v>0</v>
      </c>
      <c r="T1026" s="4">
        <v>33</v>
      </c>
      <c r="U1026" s="4">
        <v>87</v>
      </c>
      <c r="V1026" s="4">
        <f>IF(ISERROR(VLOOKUP($S$1026,'TAR FIN'!$A$1:$O$92,15,0)),0,VLOOKUP($S$1026,'TAR FIN'!$A$1:$O$92,15,0))</f>
        <v>0</v>
      </c>
      <c r="W1026" s="4">
        <f>IF(ISERROR(VLOOKUP($T$1026,'TAR FIN'!$A$1:$O$92,15,0)),0,VLOOKUP($T$1026,'TAR FIN'!$A$1:$O$92,15,0))</f>
        <v>311.27999999999997</v>
      </c>
      <c r="X1026" s="4">
        <f>IF(ISERROR(VLOOKUP($U$1026,'TAR FIN'!$A$1:$O$92,15,0)),0,VLOOKUP($U$1026,'TAR FIN'!$A$1:$O$92,15,0))</f>
        <v>268.89</v>
      </c>
      <c r="Y1026" s="4"/>
      <c r="Z1026" s="4">
        <f ca="1">('TUSD BE'!$AM$48+'TUSD BF'!$AM$48+'TUSD CVA'!$AM$48)*1</f>
        <v>398.95397789704208</v>
      </c>
      <c r="AA1026" s="4">
        <f>('TE BE'!$AB$39+'TE BF'!$AB$39+'TE CVA'!$AB$39)*1</f>
        <v>336.17550926835082</v>
      </c>
      <c r="AB1026" s="4">
        <f>$K$1026*$V$1026</f>
        <v>0</v>
      </c>
      <c r="AC1026" s="4">
        <f>$M$1026*$W$1026</f>
        <v>4007161.2914399998</v>
      </c>
      <c r="AD1026" s="4">
        <f>$O$1026*$X$1026</f>
        <v>3461467.4879700001</v>
      </c>
      <c r="AE1026" s="4">
        <f>$K$1026*$Y$1026</f>
        <v>0</v>
      </c>
      <c r="AF1026" s="4">
        <f ca="1">$M$1026*$Z$1026</f>
        <v>5135803.5765067991</v>
      </c>
      <c r="AG1026" s="4">
        <f>$O$1026*$AA$1026</f>
        <v>4327645.4891745839</v>
      </c>
    </row>
    <row r="1027" spans="1:33" ht="11.25" customHeight="1" x14ac:dyDescent="0.25">
      <c r="A1027" s="3" t="s">
        <v>27</v>
      </c>
      <c r="B1027" s="3" t="s">
        <v>37</v>
      </c>
      <c r="C1027" s="3" t="s">
        <v>23</v>
      </c>
      <c r="D1027" s="3" t="s">
        <v>42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44805</v>
      </c>
      <c r="J1027" s="4">
        <v>0</v>
      </c>
      <c r="K1027" s="4">
        <v>0</v>
      </c>
      <c r="L1027" s="4">
        <v>-2.7559999999999998</v>
      </c>
      <c r="M1027" s="4">
        <v>-2.7559999999999998</v>
      </c>
      <c r="N1027" s="4">
        <v>-2.7559999999999998</v>
      </c>
      <c r="O1027" s="4">
        <v>-2.7559999999999998</v>
      </c>
      <c r="P1027" s="4">
        <v>-2</v>
      </c>
      <c r="Q1027" s="3" t="s">
        <v>26</v>
      </c>
      <c r="R1027" s="3">
        <v>0</v>
      </c>
      <c r="S1027" s="4">
        <v>0</v>
      </c>
      <c r="T1027" s="4">
        <v>33</v>
      </c>
      <c r="U1027" s="4">
        <v>87</v>
      </c>
      <c r="V1027" s="4">
        <f>IF(ISERROR(VLOOKUP($S$1027,'TAR FIN'!$A$1:$O$92,15,0)),0,VLOOKUP($S$1027,'TAR FIN'!$A$1:$O$92,15,0))</f>
        <v>0</v>
      </c>
      <c r="W1027" s="4">
        <f>IF(ISERROR(VLOOKUP($T$1027,'TAR FIN'!$A$1:$O$92,15,0)),0,VLOOKUP($T$1027,'TAR FIN'!$A$1:$O$92,15,0))</f>
        <v>311.27999999999997</v>
      </c>
      <c r="X1027" s="4">
        <f>IF(ISERROR(VLOOKUP($U$1027,'TAR FIN'!$A$1:$O$92,15,0)),0,VLOOKUP($U$1027,'TAR FIN'!$A$1:$O$92,15,0))</f>
        <v>268.89</v>
      </c>
      <c r="Y1027" s="4"/>
      <c r="Z1027" s="4">
        <f ca="1">('TUSD BE'!$AM$48+'TUSD BF'!$AM$48+'TUSD CVA'!$AM$48)*1</f>
        <v>398.95397789704208</v>
      </c>
      <c r="AA1027" s="4">
        <f>('TE BE'!$AB$39+'TE BF'!$AB$39+'TE CVA'!$AB$39)*1</f>
        <v>336.17550926835082</v>
      </c>
      <c r="AB1027" s="4">
        <f>$K$1027*$V$1027</f>
        <v>0</v>
      </c>
      <c r="AC1027" s="4">
        <f>$M$1027*$W$1027</f>
        <v>-857.88767999999982</v>
      </c>
      <c r="AD1027" s="4">
        <f>$O$1027*$X$1027</f>
        <v>-741.06083999999987</v>
      </c>
      <c r="AE1027" s="4">
        <f>$K$1027*$Y$1027</f>
        <v>0</v>
      </c>
      <c r="AF1027" s="4">
        <f ca="1">$M$1027*$Z$1027</f>
        <v>-1099.5171630842478</v>
      </c>
      <c r="AG1027" s="4">
        <f>$O$1027*$AA$1027</f>
        <v>-926.49970354357481</v>
      </c>
    </row>
    <row r="1028" spans="1:33" ht="11.25" customHeight="1" x14ac:dyDescent="0.25">
      <c r="A1028" s="3" t="s">
        <v>28</v>
      </c>
      <c r="B1028" s="3" t="s">
        <v>37</v>
      </c>
      <c r="C1028" s="3" t="s">
        <v>23</v>
      </c>
      <c r="D1028" s="3" t="s">
        <v>42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44805</v>
      </c>
      <c r="J1028" s="4">
        <v>0</v>
      </c>
      <c r="K1028" s="4">
        <v>0</v>
      </c>
      <c r="L1028" s="4">
        <v>684.14599999999996</v>
      </c>
      <c r="M1028" s="4">
        <v>684.14599999999996</v>
      </c>
      <c r="N1028" s="4">
        <v>684.14599999999996</v>
      </c>
      <c r="O1028" s="4">
        <v>684.14599999999996</v>
      </c>
      <c r="P1028" s="4">
        <v>271</v>
      </c>
      <c r="Q1028" s="3" t="s">
        <v>26</v>
      </c>
      <c r="R1028" s="3">
        <v>0</v>
      </c>
      <c r="S1028" s="4">
        <v>0</v>
      </c>
      <c r="T1028" s="4">
        <v>33</v>
      </c>
      <c r="U1028" s="4">
        <v>87</v>
      </c>
      <c r="V1028" s="4">
        <f>IF(ISERROR(VLOOKUP($S$1028,'TAR FIN'!$A$1:$O$92,15,0)),0,VLOOKUP($S$1028,'TAR FIN'!$A$1:$O$92,15,0))</f>
        <v>0</v>
      </c>
      <c r="W1028" s="4">
        <f>IF(ISERROR(VLOOKUP($T$1028,'TAR FIN'!$A$1:$O$92,15,0)),0,VLOOKUP($T$1028,'TAR FIN'!$A$1:$O$92,15,0))</f>
        <v>311.27999999999997</v>
      </c>
      <c r="X1028" s="4">
        <f>IF(ISERROR(VLOOKUP($U$1028,'TAR FIN'!$A$1:$O$92,15,0)),0,VLOOKUP($U$1028,'TAR FIN'!$A$1:$O$92,15,0))</f>
        <v>268.89</v>
      </c>
      <c r="Y1028" s="4"/>
      <c r="Z1028" s="4">
        <f ca="1">('TUSD BE'!$AM$48+'TUSD BF'!$AM$48+'TUSD CVA'!$AM$48)*1</f>
        <v>398.95397789704208</v>
      </c>
      <c r="AA1028" s="4">
        <f>('TE BE'!$AB$39+'TE BF'!$AB$39+'TE CVA'!$AB$39)*1</f>
        <v>336.17550926835082</v>
      </c>
      <c r="AB1028" s="4">
        <f>$K$1028*$V$1028</f>
        <v>0</v>
      </c>
      <c r="AC1028" s="4">
        <f>$M$1028*$W$1028</f>
        <v>212960.96687999996</v>
      </c>
      <c r="AD1028" s="4">
        <f>$O$1028*$X$1028</f>
        <v>183960.01793999999</v>
      </c>
      <c r="AE1028" s="4">
        <f>$K$1028*$Y$1028</f>
        <v>0</v>
      </c>
      <c r="AF1028" s="4">
        <f ca="1">$M$1028*$Z$1028</f>
        <v>272942.76816234976</v>
      </c>
      <c r="AG1028" s="4">
        <f>$O$1028*$AA$1028</f>
        <v>229993.12996390511</v>
      </c>
    </row>
    <row r="1029" spans="1:33" ht="11.25" customHeight="1" x14ac:dyDescent="0.25">
      <c r="A1029" s="3" t="s">
        <v>28</v>
      </c>
      <c r="B1029" s="3" t="s">
        <v>37</v>
      </c>
      <c r="C1029" s="3" t="s">
        <v>23</v>
      </c>
      <c r="D1029" s="3" t="s">
        <v>42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44805</v>
      </c>
      <c r="J1029" s="4">
        <v>0</v>
      </c>
      <c r="K1029" s="4">
        <v>0</v>
      </c>
      <c r="L1029" s="4">
        <v>-1.623</v>
      </c>
      <c r="M1029" s="4">
        <v>-1.623</v>
      </c>
      <c r="N1029" s="4">
        <v>-1.623</v>
      </c>
      <c r="O1029" s="4">
        <v>-1.623</v>
      </c>
      <c r="P1029" s="4">
        <v>-1</v>
      </c>
      <c r="Q1029" s="3" t="s">
        <v>26</v>
      </c>
      <c r="R1029" s="3">
        <v>0</v>
      </c>
      <c r="S1029" s="4">
        <v>0</v>
      </c>
      <c r="T1029" s="4">
        <v>33</v>
      </c>
      <c r="U1029" s="4">
        <v>87</v>
      </c>
      <c r="V1029" s="4">
        <f>IF(ISERROR(VLOOKUP($S$1029,'TAR FIN'!$A$1:$O$92,15,0)),0,VLOOKUP($S$1029,'TAR FIN'!$A$1:$O$92,15,0))</f>
        <v>0</v>
      </c>
      <c r="W1029" s="4">
        <f>IF(ISERROR(VLOOKUP($T$1029,'TAR FIN'!$A$1:$O$92,15,0)),0,VLOOKUP($T$1029,'TAR FIN'!$A$1:$O$92,15,0))</f>
        <v>311.27999999999997</v>
      </c>
      <c r="X1029" s="4">
        <f>IF(ISERROR(VLOOKUP($U$1029,'TAR FIN'!$A$1:$O$92,15,0)),0,VLOOKUP($U$1029,'TAR FIN'!$A$1:$O$92,15,0))</f>
        <v>268.89</v>
      </c>
      <c r="Y1029" s="4"/>
      <c r="Z1029" s="4">
        <f ca="1">('TUSD BE'!$AM$48+'TUSD BF'!$AM$48+'TUSD CVA'!$AM$48)*1</f>
        <v>398.95397789704208</v>
      </c>
      <c r="AA1029" s="4">
        <f>('TE BE'!$AB$39+'TE BF'!$AB$39+'TE CVA'!$AB$39)*1</f>
        <v>336.17550926835082</v>
      </c>
      <c r="AB1029" s="4">
        <f>$K$1029*$V$1029</f>
        <v>0</v>
      </c>
      <c r="AC1029" s="4">
        <f>$M$1029*$W$1029</f>
        <v>-505.20743999999996</v>
      </c>
      <c r="AD1029" s="4">
        <f>$O$1029*$X$1029</f>
        <v>-436.40846999999997</v>
      </c>
      <c r="AE1029" s="4">
        <f>$K$1029*$Y$1029</f>
        <v>0</v>
      </c>
      <c r="AF1029" s="4">
        <f ca="1">$M$1029*$Z$1029</f>
        <v>-647.50230612689927</v>
      </c>
      <c r="AG1029" s="4">
        <f>$O$1029*$AA$1029</f>
        <v>-545.61285154253335</v>
      </c>
    </row>
    <row r="1030" spans="1:33" ht="11.25" customHeight="1" x14ac:dyDescent="0.25">
      <c r="A1030" s="3" t="s">
        <v>55</v>
      </c>
      <c r="B1030" s="3" t="s">
        <v>37</v>
      </c>
      <c r="C1030" s="3" t="s">
        <v>23</v>
      </c>
      <c r="D1030" s="3" t="s">
        <v>42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44835</v>
      </c>
      <c r="J1030" s="4">
        <v>0</v>
      </c>
      <c r="K1030" s="4">
        <v>0</v>
      </c>
      <c r="L1030" s="4">
        <v>12873.173000000001</v>
      </c>
      <c r="M1030" s="4">
        <v>12873.173000000001</v>
      </c>
      <c r="N1030" s="4">
        <v>12873.173000000001</v>
      </c>
      <c r="O1030" s="4">
        <v>12873.173000000001</v>
      </c>
      <c r="P1030" s="4">
        <v>13754</v>
      </c>
      <c r="Q1030" s="3" t="s">
        <v>26</v>
      </c>
      <c r="R1030" s="3">
        <v>0</v>
      </c>
      <c r="S1030" s="4">
        <v>0</v>
      </c>
      <c r="T1030" s="4">
        <v>33</v>
      </c>
      <c r="U1030" s="4">
        <v>87</v>
      </c>
      <c r="V1030" s="4">
        <f>IF(ISERROR(VLOOKUP($S$1030,'TAR FIN'!$A$1:$O$92,15,0)),0,VLOOKUP($S$1030,'TAR FIN'!$A$1:$O$92,15,0))</f>
        <v>0</v>
      </c>
      <c r="W1030" s="4">
        <f>IF(ISERROR(VLOOKUP($T$1030,'TAR FIN'!$A$1:$O$92,15,0)),0,VLOOKUP($T$1030,'TAR FIN'!$A$1:$O$92,15,0))</f>
        <v>311.27999999999997</v>
      </c>
      <c r="X1030" s="4">
        <f>IF(ISERROR(VLOOKUP($U$1030,'TAR FIN'!$A$1:$O$92,15,0)),0,VLOOKUP($U$1030,'TAR FIN'!$A$1:$O$92,15,0))</f>
        <v>268.89</v>
      </c>
      <c r="Y1030" s="4"/>
      <c r="Z1030" s="4">
        <f ca="1">('TUSD BE'!$AM$48+'TUSD BF'!$AM$48+'TUSD CVA'!$AM$48)*1</f>
        <v>398.95397789704208</v>
      </c>
      <c r="AA1030" s="4">
        <f>('TE BE'!$AB$39+'TE BF'!$AB$39+'TE CVA'!$AB$39)*1</f>
        <v>336.17550926835082</v>
      </c>
      <c r="AB1030" s="4">
        <f>$K$1030*$V$1030</f>
        <v>0</v>
      </c>
      <c r="AC1030" s="4">
        <f>$M$1030*$W$1030</f>
        <v>4007161.2914399998</v>
      </c>
      <c r="AD1030" s="4">
        <f>$O$1030*$X$1030</f>
        <v>3461467.4879700001</v>
      </c>
      <c r="AE1030" s="4">
        <f>$K$1030*$Y$1030</f>
        <v>0</v>
      </c>
      <c r="AF1030" s="4">
        <f ca="1">$M$1030*$Z$1030</f>
        <v>5135803.5765067991</v>
      </c>
      <c r="AG1030" s="4">
        <f>$O$1030*$AA$1030</f>
        <v>4327645.4891745839</v>
      </c>
    </row>
    <row r="1031" spans="1:33" ht="11.25" customHeight="1" x14ac:dyDescent="0.25">
      <c r="A1031" s="3" t="s">
        <v>55</v>
      </c>
      <c r="B1031" s="3" t="s">
        <v>37</v>
      </c>
      <c r="C1031" s="3" t="s">
        <v>23</v>
      </c>
      <c r="D1031" s="3" t="s">
        <v>42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44835</v>
      </c>
      <c r="J1031" s="4">
        <v>0</v>
      </c>
      <c r="K1031" s="4">
        <v>0</v>
      </c>
      <c r="L1031" s="4">
        <v>-2.7559999999999998</v>
      </c>
      <c r="M1031" s="4">
        <v>-2.7559999999999998</v>
      </c>
      <c r="N1031" s="4">
        <v>-2.7559999999999998</v>
      </c>
      <c r="O1031" s="4">
        <v>-2.7559999999999998</v>
      </c>
      <c r="P1031" s="4">
        <v>-2</v>
      </c>
      <c r="Q1031" s="3" t="s">
        <v>26</v>
      </c>
      <c r="R1031" s="3">
        <v>0</v>
      </c>
      <c r="S1031" s="4">
        <v>0</v>
      </c>
      <c r="T1031" s="4">
        <v>33</v>
      </c>
      <c r="U1031" s="4">
        <v>87</v>
      </c>
      <c r="V1031" s="4">
        <f>IF(ISERROR(VLOOKUP($S$1031,'TAR FIN'!$A$1:$O$92,15,0)),0,VLOOKUP($S$1031,'TAR FIN'!$A$1:$O$92,15,0))</f>
        <v>0</v>
      </c>
      <c r="W1031" s="4">
        <f>IF(ISERROR(VLOOKUP($T$1031,'TAR FIN'!$A$1:$O$92,15,0)),0,VLOOKUP($T$1031,'TAR FIN'!$A$1:$O$92,15,0))</f>
        <v>311.27999999999997</v>
      </c>
      <c r="X1031" s="4">
        <f>IF(ISERROR(VLOOKUP($U$1031,'TAR FIN'!$A$1:$O$92,15,0)),0,VLOOKUP($U$1031,'TAR FIN'!$A$1:$O$92,15,0))</f>
        <v>268.89</v>
      </c>
      <c r="Y1031" s="4"/>
      <c r="Z1031" s="4">
        <f ca="1">('TUSD BE'!$AM$48+'TUSD BF'!$AM$48+'TUSD CVA'!$AM$48)*1</f>
        <v>398.95397789704208</v>
      </c>
      <c r="AA1031" s="4">
        <f>('TE BE'!$AB$39+'TE BF'!$AB$39+'TE CVA'!$AB$39)*1</f>
        <v>336.17550926835082</v>
      </c>
      <c r="AB1031" s="4">
        <f>$K$1031*$V$1031</f>
        <v>0</v>
      </c>
      <c r="AC1031" s="4">
        <f>$M$1031*$W$1031</f>
        <v>-857.88767999999982</v>
      </c>
      <c r="AD1031" s="4">
        <f>$O$1031*$X$1031</f>
        <v>-741.06083999999987</v>
      </c>
      <c r="AE1031" s="4">
        <f>$K$1031*$Y$1031</f>
        <v>0</v>
      </c>
      <c r="AF1031" s="4">
        <f ca="1">$M$1031*$Z$1031</f>
        <v>-1099.5171630842478</v>
      </c>
      <c r="AG1031" s="4">
        <f>$O$1031*$AA$1031</f>
        <v>-926.49970354357481</v>
      </c>
    </row>
    <row r="1032" spans="1:33" ht="11.25" customHeight="1" x14ac:dyDescent="0.25">
      <c r="A1032" s="3" t="s">
        <v>55</v>
      </c>
      <c r="B1032" s="3" t="s">
        <v>37</v>
      </c>
      <c r="C1032" s="3" t="s">
        <v>23</v>
      </c>
      <c r="D1032" s="3" t="s">
        <v>42</v>
      </c>
      <c r="E1032" s="3" t="s">
        <v>25</v>
      </c>
      <c r="F1032" s="3" t="s">
        <v>25</v>
      </c>
      <c r="G1032" s="3" t="s">
        <v>25</v>
      </c>
      <c r="H1032" s="3" t="s">
        <v>25</v>
      </c>
      <c r="I1032" s="6">
        <v>44835</v>
      </c>
      <c r="J1032" s="4">
        <v>0</v>
      </c>
      <c r="K1032" s="4">
        <v>0</v>
      </c>
      <c r="L1032" s="4">
        <v>684.14599999999996</v>
      </c>
      <c r="M1032" s="4">
        <v>684.14599999999996</v>
      </c>
      <c r="N1032" s="4">
        <v>684.14599999999996</v>
      </c>
      <c r="O1032" s="4">
        <v>684.14599999999996</v>
      </c>
      <c r="P1032" s="4">
        <v>271</v>
      </c>
      <c r="Q1032" s="3" t="s">
        <v>26</v>
      </c>
      <c r="R1032" s="3">
        <v>0</v>
      </c>
      <c r="S1032" s="4">
        <v>0</v>
      </c>
      <c r="T1032" s="4">
        <v>33</v>
      </c>
      <c r="U1032" s="4">
        <v>87</v>
      </c>
      <c r="V1032" s="4">
        <f>IF(ISERROR(VLOOKUP($S$1032,'TAR FIN'!$A$1:$O$92,15,0)),0,VLOOKUP($S$1032,'TAR FIN'!$A$1:$O$92,15,0))</f>
        <v>0</v>
      </c>
      <c r="W1032" s="4">
        <f>IF(ISERROR(VLOOKUP($T$1032,'TAR FIN'!$A$1:$O$92,15,0)),0,VLOOKUP($T$1032,'TAR FIN'!$A$1:$O$92,15,0))</f>
        <v>311.27999999999997</v>
      </c>
      <c r="X1032" s="4">
        <f>IF(ISERROR(VLOOKUP($U$1032,'TAR FIN'!$A$1:$O$92,15,0)),0,VLOOKUP($U$1032,'TAR FIN'!$A$1:$O$92,15,0))</f>
        <v>268.89</v>
      </c>
      <c r="Y1032" s="4"/>
      <c r="Z1032" s="4">
        <f ca="1">('TUSD BE'!$AM$48+'TUSD BF'!$AM$48+'TUSD CVA'!$AM$48)*1</f>
        <v>398.95397789704208</v>
      </c>
      <c r="AA1032" s="4">
        <f>('TE BE'!$AB$39+'TE BF'!$AB$39+'TE CVA'!$AB$39)*1</f>
        <v>336.17550926835082</v>
      </c>
      <c r="AB1032" s="4">
        <f>$K$1032*$V$1032</f>
        <v>0</v>
      </c>
      <c r="AC1032" s="4">
        <f>$M$1032*$W$1032</f>
        <v>212960.96687999996</v>
      </c>
      <c r="AD1032" s="4">
        <f>$O$1032*$X$1032</f>
        <v>183960.01793999999</v>
      </c>
      <c r="AE1032" s="4">
        <f>$K$1032*$Y$1032</f>
        <v>0</v>
      </c>
      <c r="AF1032" s="4">
        <f ca="1">$M$1032*$Z$1032</f>
        <v>272942.76816234976</v>
      </c>
      <c r="AG1032" s="4">
        <f>$O$1032*$AA$1032</f>
        <v>229993.12996390511</v>
      </c>
    </row>
    <row r="1033" spans="1:33" ht="11.25" customHeight="1" x14ac:dyDescent="0.25">
      <c r="A1033" s="3" t="s">
        <v>55</v>
      </c>
      <c r="B1033" s="3" t="s">
        <v>37</v>
      </c>
      <c r="C1033" s="3" t="s">
        <v>23</v>
      </c>
      <c r="D1033" s="3" t="s">
        <v>42</v>
      </c>
      <c r="E1033" s="3" t="s">
        <v>25</v>
      </c>
      <c r="F1033" s="3" t="s">
        <v>25</v>
      </c>
      <c r="G1033" s="3" t="s">
        <v>25</v>
      </c>
      <c r="H1033" s="3" t="s">
        <v>25</v>
      </c>
      <c r="I1033" s="6">
        <v>44835</v>
      </c>
      <c r="J1033" s="4">
        <v>0</v>
      </c>
      <c r="K1033" s="4">
        <v>0</v>
      </c>
      <c r="L1033" s="4">
        <v>-1.623</v>
      </c>
      <c r="M1033" s="4">
        <v>-1.623</v>
      </c>
      <c r="N1033" s="4">
        <v>-1.623</v>
      </c>
      <c r="O1033" s="4">
        <v>-1.623</v>
      </c>
      <c r="P1033" s="4">
        <v>-1</v>
      </c>
      <c r="Q1033" s="3" t="s">
        <v>26</v>
      </c>
      <c r="R1033" s="3">
        <v>0</v>
      </c>
      <c r="S1033" s="4">
        <v>0</v>
      </c>
      <c r="T1033" s="4">
        <v>33</v>
      </c>
      <c r="U1033" s="4">
        <v>87</v>
      </c>
      <c r="V1033" s="4">
        <f>IF(ISERROR(VLOOKUP($S$1033,'TAR FIN'!$A$1:$O$92,15,0)),0,VLOOKUP($S$1033,'TAR FIN'!$A$1:$O$92,15,0))</f>
        <v>0</v>
      </c>
      <c r="W1033" s="4">
        <f>IF(ISERROR(VLOOKUP($T$1033,'TAR FIN'!$A$1:$O$92,15,0)),0,VLOOKUP($T$1033,'TAR FIN'!$A$1:$O$92,15,0))</f>
        <v>311.27999999999997</v>
      </c>
      <c r="X1033" s="4">
        <f>IF(ISERROR(VLOOKUP($U$1033,'TAR FIN'!$A$1:$O$92,15,0)),0,VLOOKUP($U$1033,'TAR FIN'!$A$1:$O$92,15,0))</f>
        <v>268.89</v>
      </c>
      <c r="Y1033" s="4"/>
      <c r="Z1033" s="4">
        <f ca="1">('TUSD BE'!$AM$48+'TUSD BF'!$AM$48+'TUSD CVA'!$AM$48)*1</f>
        <v>398.95397789704208</v>
      </c>
      <c r="AA1033" s="4">
        <f>('TE BE'!$AB$39+'TE BF'!$AB$39+'TE CVA'!$AB$39)*1</f>
        <v>336.17550926835082</v>
      </c>
      <c r="AB1033" s="4">
        <f>$K$1033*$V$1033</f>
        <v>0</v>
      </c>
      <c r="AC1033" s="4">
        <f>$M$1033*$W$1033</f>
        <v>-505.20743999999996</v>
      </c>
      <c r="AD1033" s="4">
        <f>$O$1033*$X$1033</f>
        <v>-436.40846999999997</v>
      </c>
      <c r="AE1033" s="4">
        <f>$K$1033*$Y$1033</f>
        <v>0</v>
      </c>
      <c r="AF1033" s="4">
        <f ca="1">$M$1033*$Z$1033</f>
        <v>-647.50230612689927</v>
      </c>
      <c r="AG1033" s="4">
        <f>$O$1033*$AA$1033</f>
        <v>-545.61285154253335</v>
      </c>
    </row>
    <row r="1034" spans="1:33" ht="11.25" customHeight="1" x14ac:dyDescent="0.25">
      <c r="A1034" s="3" t="s">
        <v>21</v>
      </c>
      <c r="B1034" s="3" t="s">
        <v>37</v>
      </c>
      <c r="C1034" s="3" t="s">
        <v>23</v>
      </c>
      <c r="D1034" s="3" t="s">
        <v>51</v>
      </c>
      <c r="E1034" s="3" t="s">
        <v>25</v>
      </c>
      <c r="F1034" s="3" t="s">
        <v>25</v>
      </c>
      <c r="G1034" s="3" t="s">
        <v>25</v>
      </c>
      <c r="H1034" s="3" t="s">
        <v>25</v>
      </c>
      <c r="I1034" s="6">
        <v>44501</v>
      </c>
      <c r="J1034" s="4">
        <v>0</v>
      </c>
      <c r="K1034" s="4">
        <v>0</v>
      </c>
      <c r="L1034" s="4">
        <v>41.658000000000001</v>
      </c>
      <c r="M1034" s="4">
        <v>41.658000000000001</v>
      </c>
      <c r="N1034" s="4">
        <v>41.658000000000001</v>
      </c>
      <c r="O1034" s="4">
        <v>41.658000000000001</v>
      </c>
      <c r="P1034" s="4">
        <v>35</v>
      </c>
      <c r="Q1034" s="3" t="s">
        <v>26</v>
      </c>
      <c r="R1034" s="3">
        <v>0</v>
      </c>
      <c r="S1034" s="4">
        <v>0</v>
      </c>
      <c r="T1034" s="4">
        <v>33</v>
      </c>
      <c r="U1034" s="4">
        <v>87</v>
      </c>
      <c r="V1034" s="4">
        <f>IF(ISERROR(VLOOKUP($S$1034,'TAR FIN'!$A$1:$O$92,15,0)),0,VLOOKUP($S$1034,'TAR FIN'!$A$1:$O$92,15,0))</f>
        <v>0</v>
      </c>
      <c r="W1034" s="4">
        <f>IF(ISERROR(VLOOKUP($T$1034,'TAR FIN'!$A$1:$O$92,15,0)),0,VLOOKUP($T$1034,'TAR FIN'!$A$1:$O$92,15,0))</f>
        <v>311.27999999999997</v>
      </c>
      <c r="X1034" s="4">
        <f>IF(ISERROR(VLOOKUP($U$1034,'TAR FIN'!$A$1:$O$92,15,0)),0,VLOOKUP($U$1034,'TAR FIN'!$A$1:$O$92,15,0))</f>
        <v>268.89</v>
      </c>
      <c r="Y1034" s="4"/>
      <c r="Z1034" s="4">
        <f ca="1">('TUSD BE'!$AM$48+'TUSD BF'!$AM$48+'TUSD CVA'!$AM$48)*1</f>
        <v>398.95397789704208</v>
      </c>
      <c r="AA1034" s="4">
        <f>('TE BE'!$AB$39+'TE BF'!$AB$39+'TE CVA'!$AB$39)*1</f>
        <v>336.17550926835082</v>
      </c>
      <c r="AB1034" s="4">
        <f>$K$1034*$V$1034</f>
        <v>0</v>
      </c>
      <c r="AC1034" s="4">
        <f>$M$1034*$W$1034</f>
        <v>12967.302239999999</v>
      </c>
      <c r="AD1034" s="4">
        <f>$O$1034*$X$1034</f>
        <v>11201.419620000001</v>
      </c>
      <c r="AE1034" s="4">
        <f>$K$1034*$Y$1034</f>
        <v>0</v>
      </c>
      <c r="AF1034" s="4">
        <f ca="1">$M$1034*$Z$1034</f>
        <v>16619.624811234979</v>
      </c>
      <c r="AG1034" s="4">
        <f>$O$1034*$AA$1034</f>
        <v>14004.399365100959</v>
      </c>
    </row>
    <row r="1035" spans="1:33" ht="11.25" customHeight="1" x14ac:dyDescent="0.25">
      <c r="A1035" s="3" t="s">
        <v>21</v>
      </c>
      <c r="B1035" s="3" t="s">
        <v>37</v>
      </c>
      <c r="C1035" s="3" t="s">
        <v>23</v>
      </c>
      <c r="D1035" s="3" t="s">
        <v>51</v>
      </c>
      <c r="E1035" s="3" t="s">
        <v>25</v>
      </c>
      <c r="F1035" s="3" t="s">
        <v>25</v>
      </c>
      <c r="G1035" s="3" t="s">
        <v>25</v>
      </c>
      <c r="H1035" s="3" t="s">
        <v>25</v>
      </c>
      <c r="I1035" s="6">
        <v>44531</v>
      </c>
      <c r="J1035" s="4">
        <v>0</v>
      </c>
      <c r="K1035" s="4">
        <v>0</v>
      </c>
      <c r="L1035" s="4">
        <v>39.405999999999999</v>
      </c>
      <c r="M1035" s="4">
        <v>39.405999999999999</v>
      </c>
      <c r="N1035" s="4">
        <v>39.405999999999999</v>
      </c>
      <c r="O1035" s="4">
        <v>39.405999999999999</v>
      </c>
      <c r="P1035" s="4">
        <v>35</v>
      </c>
      <c r="Q1035" s="3" t="s">
        <v>26</v>
      </c>
      <c r="R1035" s="3">
        <v>0</v>
      </c>
      <c r="S1035" s="4">
        <v>0</v>
      </c>
      <c r="T1035" s="4">
        <v>33</v>
      </c>
      <c r="U1035" s="4">
        <v>87</v>
      </c>
      <c r="V1035" s="4">
        <f>IF(ISERROR(VLOOKUP($S$1035,'TAR FIN'!$A$1:$O$92,15,0)),0,VLOOKUP($S$1035,'TAR FIN'!$A$1:$O$92,15,0))</f>
        <v>0</v>
      </c>
      <c r="W1035" s="4">
        <f>IF(ISERROR(VLOOKUP($T$1035,'TAR FIN'!$A$1:$O$92,15,0)),0,VLOOKUP($T$1035,'TAR FIN'!$A$1:$O$92,15,0))</f>
        <v>311.27999999999997</v>
      </c>
      <c r="X1035" s="4">
        <f>IF(ISERROR(VLOOKUP($U$1035,'TAR FIN'!$A$1:$O$92,15,0)),0,VLOOKUP($U$1035,'TAR FIN'!$A$1:$O$92,15,0))</f>
        <v>268.89</v>
      </c>
      <c r="Y1035" s="4"/>
      <c r="Z1035" s="4">
        <f ca="1">('TUSD BE'!$AM$48+'TUSD BF'!$AM$48+'TUSD CVA'!$AM$48)*1</f>
        <v>398.95397789704208</v>
      </c>
      <c r="AA1035" s="4">
        <f>('TE BE'!$AB$39+'TE BF'!$AB$39+'TE CVA'!$AB$39)*1</f>
        <v>336.17550926835082</v>
      </c>
      <c r="AB1035" s="4">
        <f>$K$1035*$V$1035</f>
        <v>0</v>
      </c>
      <c r="AC1035" s="4">
        <f>$M$1035*$W$1035</f>
        <v>12266.299679999998</v>
      </c>
      <c r="AD1035" s="4">
        <f>$O$1035*$X$1035</f>
        <v>10595.87934</v>
      </c>
      <c r="AE1035" s="4">
        <f>$K$1035*$Y$1035</f>
        <v>0</v>
      </c>
      <c r="AF1035" s="4">
        <f ca="1">$M$1035*$Z$1035</f>
        <v>15721.18045301084</v>
      </c>
      <c r="AG1035" s="4">
        <f>$O$1035*$AA$1035</f>
        <v>13247.332118228633</v>
      </c>
    </row>
    <row r="1036" spans="1:33" ht="11.25" customHeight="1" x14ac:dyDescent="0.25">
      <c r="A1036" s="3" t="s">
        <v>21</v>
      </c>
      <c r="B1036" s="3" t="s">
        <v>37</v>
      </c>
      <c r="C1036" s="3" t="s">
        <v>23</v>
      </c>
      <c r="D1036" s="3" t="s">
        <v>51</v>
      </c>
      <c r="E1036" s="3" t="s">
        <v>25</v>
      </c>
      <c r="F1036" s="3" t="s">
        <v>25</v>
      </c>
      <c r="G1036" s="3" t="s">
        <v>25</v>
      </c>
      <c r="H1036" s="3" t="s">
        <v>25</v>
      </c>
      <c r="I1036" s="6">
        <v>44562</v>
      </c>
      <c r="J1036" s="4">
        <v>0</v>
      </c>
      <c r="K1036" s="4">
        <v>0</v>
      </c>
      <c r="L1036" s="4">
        <v>38.715000000000003</v>
      </c>
      <c r="M1036" s="4">
        <v>38.715000000000003</v>
      </c>
      <c r="N1036" s="4">
        <v>38.715000000000003</v>
      </c>
      <c r="O1036" s="4">
        <v>38.715000000000003</v>
      </c>
      <c r="P1036" s="4">
        <v>35</v>
      </c>
      <c r="Q1036" s="3" t="s">
        <v>26</v>
      </c>
      <c r="R1036" s="3">
        <v>0</v>
      </c>
      <c r="S1036" s="4">
        <v>0</v>
      </c>
      <c r="T1036" s="4">
        <v>33</v>
      </c>
      <c r="U1036" s="4">
        <v>87</v>
      </c>
      <c r="V1036" s="4">
        <f>IF(ISERROR(VLOOKUP($S$1036,'TAR FIN'!$A$1:$O$92,15,0)),0,VLOOKUP($S$1036,'TAR FIN'!$A$1:$O$92,15,0))</f>
        <v>0</v>
      </c>
      <c r="W1036" s="4">
        <f>IF(ISERROR(VLOOKUP($T$1036,'TAR FIN'!$A$1:$O$92,15,0)),0,VLOOKUP($T$1036,'TAR FIN'!$A$1:$O$92,15,0))</f>
        <v>311.27999999999997</v>
      </c>
      <c r="X1036" s="4">
        <f>IF(ISERROR(VLOOKUP($U$1036,'TAR FIN'!$A$1:$O$92,15,0)),0,VLOOKUP($U$1036,'TAR FIN'!$A$1:$O$92,15,0))</f>
        <v>268.89</v>
      </c>
      <c r="Y1036" s="4"/>
      <c r="Z1036" s="4">
        <f ca="1">('TUSD BE'!$AM$48+'TUSD BF'!$AM$48+'TUSD CVA'!$AM$48)*1</f>
        <v>398.95397789704208</v>
      </c>
      <c r="AA1036" s="4">
        <f>('TE BE'!$AB$39+'TE BF'!$AB$39+'TE CVA'!$AB$39)*1</f>
        <v>336.17550926835082</v>
      </c>
      <c r="AB1036" s="4">
        <f>$K$1036*$V$1036</f>
        <v>0</v>
      </c>
      <c r="AC1036" s="4">
        <f>$M$1036*$W$1036</f>
        <v>12051.2052</v>
      </c>
      <c r="AD1036" s="4">
        <f>$O$1036*$X$1036</f>
        <v>10410.076350000001</v>
      </c>
      <c r="AE1036" s="4">
        <f>$K$1036*$Y$1036</f>
        <v>0</v>
      </c>
      <c r="AF1036" s="4">
        <f ca="1">$M$1036*$Z$1036</f>
        <v>15445.503254283985</v>
      </c>
      <c r="AG1036" s="4">
        <f>$O$1036*$AA$1036</f>
        <v>13015.034841324203</v>
      </c>
    </row>
    <row r="1037" spans="1:33" ht="11.25" customHeight="1" x14ac:dyDescent="0.25">
      <c r="A1037" s="3" t="s">
        <v>21</v>
      </c>
      <c r="B1037" s="3" t="s">
        <v>37</v>
      </c>
      <c r="C1037" s="3" t="s">
        <v>23</v>
      </c>
      <c r="D1037" s="3" t="s">
        <v>51</v>
      </c>
      <c r="E1037" s="3" t="s">
        <v>25</v>
      </c>
      <c r="F1037" s="3" t="s">
        <v>25</v>
      </c>
      <c r="G1037" s="3" t="s">
        <v>25</v>
      </c>
      <c r="H1037" s="3" t="s">
        <v>25</v>
      </c>
      <c r="I1037" s="6">
        <v>44593</v>
      </c>
      <c r="J1037" s="4">
        <v>0</v>
      </c>
      <c r="K1037" s="4">
        <v>0</v>
      </c>
      <c r="L1037" s="4">
        <v>37.613</v>
      </c>
      <c r="M1037" s="4">
        <v>37.613</v>
      </c>
      <c r="N1037" s="4">
        <v>37.613</v>
      </c>
      <c r="O1037" s="4">
        <v>37.613</v>
      </c>
      <c r="P1037" s="4">
        <v>36</v>
      </c>
      <c r="Q1037" s="3" t="s">
        <v>26</v>
      </c>
      <c r="R1037" s="3">
        <v>0</v>
      </c>
      <c r="S1037" s="4">
        <v>0</v>
      </c>
      <c r="T1037" s="4">
        <v>33</v>
      </c>
      <c r="U1037" s="4">
        <v>87</v>
      </c>
      <c r="V1037" s="4">
        <f>IF(ISERROR(VLOOKUP($S$1037,'TAR FIN'!$A$1:$O$92,15,0)),0,VLOOKUP($S$1037,'TAR FIN'!$A$1:$O$92,15,0))</f>
        <v>0</v>
      </c>
      <c r="W1037" s="4">
        <f>IF(ISERROR(VLOOKUP($T$1037,'TAR FIN'!$A$1:$O$92,15,0)),0,VLOOKUP($T$1037,'TAR FIN'!$A$1:$O$92,15,0))</f>
        <v>311.27999999999997</v>
      </c>
      <c r="X1037" s="4">
        <f>IF(ISERROR(VLOOKUP($U$1037,'TAR FIN'!$A$1:$O$92,15,0)),0,VLOOKUP($U$1037,'TAR FIN'!$A$1:$O$92,15,0))</f>
        <v>268.89</v>
      </c>
      <c r="Y1037" s="4"/>
      <c r="Z1037" s="4">
        <f ca="1">('TUSD BE'!$AM$48+'TUSD BF'!$AM$48+'TUSD CVA'!$AM$48)*1</f>
        <v>398.95397789704208</v>
      </c>
      <c r="AA1037" s="4">
        <f>('TE BE'!$AB$39+'TE BF'!$AB$39+'TE CVA'!$AB$39)*1</f>
        <v>336.17550926835082</v>
      </c>
      <c r="AB1037" s="4">
        <f>$K$1037*$V$1037</f>
        <v>0</v>
      </c>
      <c r="AC1037" s="4">
        <f>$M$1037*$W$1037</f>
        <v>11708.174639999999</v>
      </c>
      <c r="AD1037" s="4">
        <f>$O$1037*$X$1037</f>
        <v>10113.75957</v>
      </c>
      <c r="AE1037" s="4">
        <f>$K$1037*$Y$1037</f>
        <v>0</v>
      </c>
      <c r="AF1037" s="4">
        <f ca="1">$M$1037*$Z$1037</f>
        <v>15005.855970641443</v>
      </c>
      <c r="AG1037" s="4">
        <f>$O$1037*$AA$1037</f>
        <v>12644.56943011048</v>
      </c>
    </row>
    <row r="1038" spans="1:33" ht="11.25" customHeight="1" x14ac:dyDescent="0.25">
      <c r="A1038" s="3" t="s">
        <v>21</v>
      </c>
      <c r="B1038" s="3" t="s">
        <v>37</v>
      </c>
      <c r="C1038" s="3" t="s">
        <v>23</v>
      </c>
      <c r="D1038" s="3" t="s">
        <v>51</v>
      </c>
      <c r="E1038" s="3" t="s">
        <v>25</v>
      </c>
      <c r="F1038" s="3" t="s">
        <v>25</v>
      </c>
      <c r="G1038" s="3" t="s">
        <v>25</v>
      </c>
      <c r="H1038" s="3" t="s">
        <v>25</v>
      </c>
      <c r="I1038" s="6">
        <v>44621</v>
      </c>
      <c r="J1038" s="4">
        <v>0</v>
      </c>
      <c r="K1038" s="4">
        <v>0</v>
      </c>
      <c r="L1038" s="4">
        <v>39.884999999999998</v>
      </c>
      <c r="M1038" s="4">
        <v>39.884999999999998</v>
      </c>
      <c r="N1038" s="4">
        <v>39.884999999999998</v>
      </c>
      <c r="O1038" s="4">
        <v>39.884999999999998</v>
      </c>
      <c r="P1038" s="4">
        <v>36</v>
      </c>
      <c r="Q1038" s="3" t="s">
        <v>26</v>
      </c>
      <c r="R1038" s="3">
        <v>0</v>
      </c>
      <c r="S1038" s="4">
        <v>0</v>
      </c>
      <c r="T1038" s="4">
        <v>33</v>
      </c>
      <c r="U1038" s="4">
        <v>87</v>
      </c>
      <c r="V1038" s="4">
        <f>IF(ISERROR(VLOOKUP($S$1038,'TAR FIN'!$A$1:$O$92,15,0)),0,VLOOKUP($S$1038,'TAR FIN'!$A$1:$O$92,15,0))</f>
        <v>0</v>
      </c>
      <c r="W1038" s="4">
        <f>IF(ISERROR(VLOOKUP($T$1038,'TAR FIN'!$A$1:$O$92,15,0)),0,VLOOKUP($T$1038,'TAR FIN'!$A$1:$O$92,15,0))</f>
        <v>311.27999999999997</v>
      </c>
      <c r="X1038" s="4">
        <f>IF(ISERROR(VLOOKUP($U$1038,'TAR FIN'!$A$1:$O$92,15,0)),0,VLOOKUP($U$1038,'TAR FIN'!$A$1:$O$92,15,0))</f>
        <v>268.89</v>
      </c>
      <c r="Y1038" s="4"/>
      <c r="Z1038" s="4">
        <f ca="1">('TUSD BE'!$AM$48+'TUSD BF'!$AM$48+'TUSD CVA'!$AM$48)*1</f>
        <v>398.95397789704208</v>
      </c>
      <c r="AA1038" s="4">
        <f>('TE BE'!$AB$39+'TE BF'!$AB$39+'TE CVA'!$AB$39)*1</f>
        <v>336.17550926835082</v>
      </c>
      <c r="AB1038" s="4">
        <f>$K$1038*$V$1038</f>
        <v>0</v>
      </c>
      <c r="AC1038" s="4">
        <f>$M$1038*$W$1038</f>
        <v>12415.402799999998</v>
      </c>
      <c r="AD1038" s="4">
        <f>$O$1038*$X$1038</f>
        <v>10724.67765</v>
      </c>
      <c r="AE1038" s="4">
        <f>$K$1038*$Y$1038</f>
        <v>0</v>
      </c>
      <c r="AF1038" s="4">
        <f ca="1">$M$1038*$Z$1038</f>
        <v>15912.279408423523</v>
      </c>
      <c r="AG1038" s="4">
        <f>$O$1038*$AA$1038</f>
        <v>13408.360187168171</v>
      </c>
    </row>
    <row r="1039" spans="1:33" ht="11.25" customHeight="1" x14ac:dyDescent="0.25">
      <c r="A1039" s="3" t="s">
        <v>21</v>
      </c>
      <c r="B1039" s="3" t="s">
        <v>37</v>
      </c>
      <c r="C1039" s="3" t="s">
        <v>23</v>
      </c>
      <c r="D1039" s="3" t="s">
        <v>51</v>
      </c>
      <c r="E1039" s="3" t="s">
        <v>25</v>
      </c>
      <c r="F1039" s="3" t="s">
        <v>25</v>
      </c>
      <c r="G1039" s="3" t="s">
        <v>25</v>
      </c>
      <c r="H1039" s="3" t="s">
        <v>25</v>
      </c>
      <c r="I1039" s="6">
        <v>44652</v>
      </c>
      <c r="J1039" s="4">
        <v>0</v>
      </c>
      <c r="K1039" s="4">
        <v>0</v>
      </c>
      <c r="L1039" s="4">
        <v>39.884999999999998</v>
      </c>
      <c r="M1039" s="4">
        <v>39.884999999999998</v>
      </c>
      <c r="N1039" s="4">
        <v>39.884999999999998</v>
      </c>
      <c r="O1039" s="4">
        <v>39.884999999999998</v>
      </c>
      <c r="P1039" s="4">
        <v>36</v>
      </c>
      <c r="Q1039" s="3" t="s">
        <v>26</v>
      </c>
      <c r="R1039" s="3">
        <v>0</v>
      </c>
      <c r="S1039" s="4">
        <v>0</v>
      </c>
      <c r="T1039" s="4">
        <v>33</v>
      </c>
      <c r="U1039" s="4">
        <v>87</v>
      </c>
      <c r="V1039" s="4">
        <f>IF(ISERROR(VLOOKUP($S$1039,'TAR FIN'!$A$1:$O$92,15,0)),0,VLOOKUP($S$1039,'TAR FIN'!$A$1:$O$92,15,0))</f>
        <v>0</v>
      </c>
      <c r="W1039" s="4">
        <f>IF(ISERROR(VLOOKUP($T$1039,'TAR FIN'!$A$1:$O$92,15,0)),0,VLOOKUP($T$1039,'TAR FIN'!$A$1:$O$92,15,0))</f>
        <v>311.27999999999997</v>
      </c>
      <c r="X1039" s="4">
        <f>IF(ISERROR(VLOOKUP($U$1039,'TAR FIN'!$A$1:$O$92,15,0)),0,VLOOKUP($U$1039,'TAR FIN'!$A$1:$O$92,15,0))</f>
        <v>268.89</v>
      </c>
      <c r="Y1039" s="4"/>
      <c r="Z1039" s="4">
        <f ca="1">('TUSD BE'!$AM$48+'TUSD BF'!$AM$48+'TUSD CVA'!$AM$48)*1</f>
        <v>398.95397789704208</v>
      </c>
      <c r="AA1039" s="4">
        <f>('TE BE'!$AB$39+'TE BF'!$AB$39+'TE CVA'!$AB$39)*1</f>
        <v>336.17550926835082</v>
      </c>
      <c r="AB1039" s="4">
        <f>$K$1039*$V$1039</f>
        <v>0</v>
      </c>
      <c r="AC1039" s="4">
        <f>$M$1039*$W$1039</f>
        <v>12415.402799999998</v>
      </c>
      <c r="AD1039" s="4">
        <f>$O$1039*$X$1039</f>
        <v>10724.67765</v>
      </c>
      <c r="AE1039" s="4">
        <f>$K$1039*$Y$1039</f>
        <v>0</v>
      </c>
      <c r="AF1039" s="4">
        <f ca="1">$M$1039*$Z$1039</f>
        <v>15912.279408423523</v>
      </c>
      <c r="AG1039" s="4">
        <f>$O$1039*$AA$1039</f>
        <v>13408.360187168171</v>
      </c>
    </row>
    <row r="1040" spans="1:33" ht="11.25" customHeight="1" x14ac:dyDescent="0.25">
      <c r="A1040" s="3" t="s">
        <v>21</v>
      </c>
      <c r="B1040" s="3" t="s">
        <v>37</v>
      </c>
      <c r="C1040" s="3" t="s">
        <v>23</v>
      </c>
      <c r="D1040" s="3" t="s">
        <v>51</v>
      </c>
      <c r="E1040" s="3" t="s">
        <v>25</v>
      </c>
      <c r="F1040" s="3" t="s">
        <v>25</v>
      </c>
      <c r="G1040" s="3" t="s">
        <v>25</v>
      </c>
      <c r="H1040" s="3" t="s">
        <v>25</v>
      </c>
      <c r="I1040" s="6">
        <v>44682</v>
      </c>
      <c r="J1040" s="4">
        <v>0</v>
      </c>
      <c r="K1040" s="4">
        <v>0</v>
      </c>
      <c r="L1040" s="4">
        <v>39.146999999999998</v>
      </c>
      <c r="M1040" s="4">
        <v>39.146999999999998</v>
      </c>
      <c r="N1040" s="4">
        <v>39.146999999999998</v>
      </c>
      <c r="O1040" s="4">
        <v>39.146999999999998</v>
      </c>
      <c r="P1040" s="4">
        <v>35</v>
      </c>
      <c r="Q1040" s="3" t="s">
        <v>26</v>
      </c>
      <c r="R1040" s="3">
        <v>0</v>
      </c>
      <c r="S1040" s="4">
        <v>0</v>
      </c>
      <c r="T1040" s="4">
        <v>33</v>
      </c>
      <c r="U1040" s="4">
        <v>87</v>
      </c>
      <c r="V1040" s="4">
        <f>IF(ISERROR(VLOOKUP($S$1040,'TAR FIN'!$A$1:$O$92,15,0)),0,VLOOKUP($S$1040,'TAR FIN'!$A$1:$O$92,15,0))</f>
        <v>0</v>
      </c>
      <c r="W1040" s="4">
        <f>IF(ISERROR(VLOOKUP($T$1040,'TAR FIN'!$A$1:$O$92,15,0)),0,VLOOKUP($T$1040,'TAR FIN'!$A$1:$O$92,15,0))</f>
        <v>311.27999999999997</v>
      </c>
      <c r="X1040" s="4">
        <f>IF(ISERROR(VLOOKUP($U$1040,'TAR FIN'!$A$1:$O$92,15,0)),0,VLOOKUP($U$1040,'TAR FIN'!$A$1:$O$92,15,0))</f>
        <v>268.89</v>
      </c>
      <c r="Y1040" s="4"/>
      <c r="Z1040" s="4">
        <f ca="1">('TUSD BE'!$AM$48+'TUSD BF'!$AM$48+'TUSD CVA'!$AM$48)*1</f>
        <v>398.95397789704208</v>
      </c>
      <c r="AA1040" s="4">
        <f>('TE BE'!$AB$39+'TE BF'!$AB$39+'TE CVA'!$AB$39)*1</f>
        <v>336.17550926835082</v>
      </c>
      <c r="AB1040" s="4">
        <f>$K$1040*$V$1040</f>
        <v>0</v>
      </c>
      <c r="AC1040" s="4">
        <f>$M$1040*$W$1040</f>
        <v>12185.678159999998</v>
      </c>
      <c r="AD1040" s="4">
        <f>$O$1040*$X$1040</f>
        <v>10526.23683</v>
      </c>
      <c r="AE1040" s="4">
        <f>$K$1040*$Y$1040</f>
        <v>0</v>
      </c>
      <c r="AF1040" s="4">
        <f ca="1">$M$1040*$Z$1040</f>
        <v>15617.851372735506</v>
      </c>
      <c r="AG1040" s="4">
        <f>$O$1040*$AA$1040</f>
        <v>13160.26266132813</v>
      </c>
    </row>
    <row r="1041" spans="1:33" ht="11.25" customHeight="1" x14ac:dyDescent="0.25">
      <c r="A1041" s="3" t="s">
        <v>21</v>
      </c>
      <c r="B1041" s="3" t="s">
        <v>37</v>
      </c>
      <c r="C1041" s="3" t="s">
        <v>23</v>
      </c>
      <c r="D1041" s="3" t="s">
        <v>51</v>
      </c>
      <c r="E1041" s="3" t="s">
        <v>25</v>
      </c>
      <c r="F1041" s="3" t="s">
        <v>25</v>
      </c>
      <c r="G1041" s="3" t="s">
        <v>25</v>
      </c>
      <c r="H1041" s="3" t="s">
        <v>25</v>
      </c>
      <c r="I1041" s="6">
        <v>44713</v>
      </c>
      <c r="J1041" s="4">
        <v>0</v>
      </c>
      <c r="K1041" s="4">
        <v>0</v>
      </c>
      <c r="L1041" s="4">
        <v>38.069000000000003</v>
      </c>
      <c r="M1041" s="4">
        <v>38.069000000000003</v>
      </c>
      <c r="N1041" s="4">
        <v>38.069000000000003</v>
      </c>
      <c r="O1041" s="4">
        <v>38.069000000000003</v>
      </c>
      <c r="P1041" s="4">
        <v>35</v>
      </c>
      <c r="Q1041" s="3" t="s">
        <v>26</v>
      </c>
      <c r="R1041" s="3">
        <v>0</v>
      </c>
      <c r="S1041" s="4">
        <v>0</v>
      </c>
      <c r="T1041" s="4">
        <v>33</v>
      </c>
      <c r="U1041" s="4">
        <v>87</v>
      </c>
      <c r="V1041" s="4">
        <f>IF(ISERROR(VLOOKUP($S$1041,'TAR FIN'!$A$1:$O$92,15,0)),0,VLOOKUP($S$1041,'TAR FIN'!$A$1:$O$92,15,0))</f>
        <v>0</v>
      </c>
      <c r="W1041" s="4">
        <f>IF(ISERROR(VLOOKUP($T$1041,'TAR FIN'!$A$1:$O$92,15,0)),0,VLOOKUP($T$1041,'TAR FIN'!$A$1:$O$92,15,0))</f>
        <v>311.27999999999997</v>
      </c>
      <c r="X1041" s="4">
        <f>IF(ISERROR(VLOOKUP($U$1041,'TAR FIN'!$A$1:$O$92,15,0)),0,VLOOKUP($U$1041,'TAR FIN'!$A$1:$O$92,15,0))</f>
        <v>268.89</v>
      </c>
      <c r="Y1041" s="4"/>
      <c r="Z1041" s="4">
        <f ca="1">('TUSD BE'!$AM$48+'TUSD BF'!$AM$48+'TUSD CVA'!$AM$48)*1</f>
        <v>398.95397789704208</v>
      </c>
      <c r="AA1041" s="4">
        <f>('TE BE'!$AB$39+'TE BF'!$AB$39+'TE CVA'!$AB$39)*1</f>
        <v>336.17550926835082</v>
      </c>
      <c r="AB1041" s="4">
        <f>$K$1041*$V$1041</f>
        <v>0</v>
      </c>
      <c r="AC1041" s="4">
        <f>$M$1041*$W$1041</f>
        <v>11850.11832</v>
      </c>
      <c r="AD1041" s="4">
        <f>$O$1041*$X$1041</f>
        <v>10236.37341</v>
      </c>
      <c r="AE1041" s="4">
        <f>$K$1041*$Y$1041</f>
        <v>0</v>
      </c>
      <c r="AF1041" s="4">
        <f ca="1">$M$1041*$Z$1041</f>
        <v>15187.778984562496</v>
      </c>
      <c r="AG1041" s="4">
        <f>$O$1041*$AA$1041</f>
        <v>12797.865462336847</v>
      </c>
    </row>
    <row r="1042" spans="1:33" ht="11.25" customHeight="1" x14ac:dyDescent="0.25">
      <c r="A1042" s="3" t="s">
        <v>21</v>
      </c>
      <c r="B1042" s="3" t="s">
        <v>37</v>
      </c>
      <c r="C1042" s="3" t="s">
        <v>23</v>
      </c>
      <c r="D1042" s="3" t="s">
        <v>51</v>
      </c>
      <c r="E1042" s="3" t="s">
        <v>25</v>
      </c>
      <c r="F1042" s="3" t="s">
        <v>25</v>
      </c>
      <c r="G1042" s="3" t="s">
        <v>25</v>
      </c>
      <c r="H1042" s="3" t="s">
        <v>25</v>
      </c>
      <c r="I1042" s="6">
        <v>44743</v>
      </c>
      <c r="J1042" s="4">
        <v>0</v>
      </c>
      <c r="K1042" s="4">
        <v>0</v>
      </c>
      <c r="L1042" s="4">
        <v>36.874000000000002</v>
      </c>
      <c r="M1042" s="4">
        <v>36.874000000000002</v>
      </c>
      <c r="N1042" s="4">
        <v>36.874000000000002</v>
      </c>
      <c r="O1042" s="4">
        <v>36.874000000000002</v>
      </c>
      <c r="P1042" s="4">
        <v>35</v>
      </c>
      <c r="Q1042" s="3" t="s">
        <v>26</v>
      </c>
      <c r="R1042" s="3">
        <v>0</v>
      </c>
      <c r="S1042" s="4">
        <v>0</v>
      </c>
      <c r="T1042" s="4">
        <v>33</v>
      </c>
      <c r="U1042" s="4">
        <v>87</v>
      </c>
      <c r="V1042" s="4">
        <f>IF(ISERROR(VLOOKUP($S$1042,'TAR FIN'!$A$1:$O$92,15,0)),0,VLOOKUP($S$1042,'TAR FIN'!$A$1:$O$92,15,0))</f>
        <v>0</v>
      </c>
      <c r="W1042" s="4">
        <f>IF(ISERROR(VLOOKUP($T$1042,'TAR FIN'!$A$1:$O$92,15,0)),0,VLOOKUP($T$1042,'TAR FIN'!$A$1:$O$92,15,0))</f>
        <v>311.27999999999997</v>
      </c>
      <c r="X1042" s="4">
        <f>IF(ISERROR(VLOOKUP($U$1042,'TAR FIN'!$A$1:$O$92,15,0)),0,VLOOKUP($U$1042,'TAR FIN'!$A$1:$O$92,15,0))</f>
        <v>268.89</v>
      </c>
      <c r="Y1042" s="4"/>
      <c r="Z1042" s="4">
        <f ca="1">('TUSD BE'!$AM$48+'TUSD BF'!$AM$48+'TUSD CVA'!$AM$48)*1</f>
        <v>398.95397789704208</v>
      </c>
      <c r="AA1042" s="4">
        <f>('TE BE'!$AB$39+'TE BF'!$AB$39+'TE CVA'!$AB$39)*1</f>
        <v>336.17550926835082</v>
      </c>
      <c r="AB1042" s="4">
        <f>$K$1042*$V$1042</f>
        <v>0</v>
      </c>
      <c r="AC1042" s="4">
        <f>$M$1042*$W$1042</f>
        <v>11478.138719999999</v>
      </c>
      <c r="AD1042" s="4">
        <f>$O$1042*$X$1042</f>
        <v>9915.049860000001</v>
      </c>
      <c r="AE1042" s="4">
        <f>$K$1042*$Y$1042</f>
        <v>0</v>
      </c>
      <c r="AF1042" s="4">
        <f ca="1">$M$1042*$Z$1042</f>
        <v>14711.02898097553</v>
      </c>
      <c r="AG1042" s="4">
        <f>$O$1042*$AA$1042</f>
        <v>12396.135728761168</v>
      </c>
    </row>
    <row r="1043" spans="1:33" ht="11.25" customHeight="1" x14ac:dyDescent="0.25">
      <c r="A1043" s="3" t="s">
        <v>21</v>
      </c>
      <c r="B1043" s="3" t="s">
        <v>37</v>
      </c>
      <c r="C1043" s="3" t="s">
        <v>23</v>
      </c>
      <c r="D1043" s="3" t="s">
        <v>51</v>
      </c>
      <c r="E1043" s="3" t="s">
        <v>25</v>
      </c>
      <c r="F1043" s="3" t="s">
        <v>25</v>
      </c>
      <c r="G1043" s="3" t="s">
        <v>25</v>
      </c>
      <c r="H1043" s="3" t="s">
        <v>25</v>
      </c>
      <c r="I1043" s="6">
        <v>44774</v>
      </c>
      <c r="J1043" s="4">
        <v>0</v>
      </c>
      <c r="K1043" s="4">
        <v>0</v>
      </c>
      <c r="L1043" s="4">
        <v>42.790999999999997</v>
      </c>
      <c r="M1043" s="4">
        <v>42.790999999999997</v>
      </c>
      <c r="N1043" s="4">
        <v>42.790999999999997</v>
      </c>
      <c r="O1043" s="4">
        <v>42.790999999999997</v>
      </c>
      <c r="P1043" s="4">
        <v>35</v>
      </c>
      <c r="Q1043" s="3" t="s">
        <v>26</v>
      </c>
      <c r="R1043" s="3">
        <v>0</v>
      </c>
      <c r="S1043" s="4">
        <v>0</v>
      </c>
      <c r="T1043" s="4">
        <v>33</v>
      </c>
      <c r="U1043" s="4">
        <v>87</v>
      </c>
      <c r="V1043" s="4">
        <f>IF(ISERROR(VLOOKUP($S$1043,'TAR FIN'!$A$1:$O$92,15,0)),0,VLOOKUP($S$1043,'TAR FIN'!$A$1:$O$92,15,0))</f>
        <v>0</v>
      </c>
      <c r="W1043" s="4">
        <f>IF(ISERROR(VLOOKUP($T$1043,'TAR FIN'!$A$1:$O$92,15,0)),0,VLOOKUP($T$1043,'TAR FIN'!$A$1:$O$92,15,0))</f>
        <v>311.27999999999997</v>
      </c>
      <c r="X1043" s="4">
        <f>IF(ISERROR(VLOOKUP($U$1043,'TAR FIN'!$A$1:$O$92,15,0)),0,VLOOKUP($U$1043,'TAR FIN'!$A$1:$O$92,15,0))</f>
        <v>268.89</v>
      </c>
      <c r="Y1043" s="4"/>
      <c r="Z1043" s="4">
        <f ca="1">('TUSD BE'!$AM$48+'TUSD BF'!$AM$48+'TUSD CVA'!$AM$48)*1</f>
        <v>398.95397789704208</v>
      </c>
      <c r="AA1043" s="4">
        <f>('TE BE'!$AB$39+'TE BF'!$AB$39+'TE CVA'!$AB$39)*1</f>
        <v>336.17550926835082</v>
      </c>
      <c r="AB1043" s="4">
        <f>$K$1043*$V$1043</f>
        <v>0</v>
      </c>
      <c r="AC1043" s="4">
        <f>$M$1043*$W$1043</f>
        <v>13319.982479999997</v>
      </c>
      <c r="AD1043" s="4">
        <f>$O$1043*$X$1043</f>
        <v>11506.071989999999</v>
      </c>
      <c r="AE1043" s="4">
        <f>$K$1043*$Y$1043</f>
        <v>0</v>
      </c>
      <c r="AF1043" s="4">
        <f ca="1">$M$1043*$Z$1043</f>
        <v>17071.639668192325</v>
      </c>
      <c r="AG1043" s="4">
        <f>$O$1043*$AA$1043</f>
        <v>14385.286217101999</v>
      </c>
    </row>
    <row r="1044" spans="1:33" ht="11.25" customHeight="1" x14ac:dyDescent="0.25">
      <c r="A1044" s="3" t="s">
        <v>21</v>
      </c>
      <c r="B1044" s="3" t="s">
        <v>37</v>
      </c>
      <c r="C1044" s="3" t="s">
        <v>23</v>
      </c>
      <c r="D1044" s="3" t="s">
        <v>51</v>
      </c>
      <c r="E1044" s="3" t="s">
        <v>25</v>
      </c>
      <c r="F1044" s="3" t="s">
        <v>25</v>
      </c>
      <c r="G1044" s="3" t="s">
        <v>25</v>
      </c>
      <c r="H1044" s="3" t="s">
        <v>25</v>
      </c>
      <c r="I1044" s="6">
        <v>44805</v>
      </c>
      <c r="J1044" s="4">
        <v>0</v>
      </c>
      <c r="K1044" s="4">
        <v>0</v>
      </c>
      <c r="L1044" s="4">
        <v>44.250999999999998</v>
      </c>
      <c r="M1044" s="4">
        <v>44.250999999999998</v>
      </c>
      <c r="N1044" s="4">
        <v>44.250999999999998</v>
      </c>
      <c r="O1044" s="4">
        <v>44.250999999999998</v>
      </c>
      <c r="P1044" s="4">
        <v>36</v>
      </c>
      <c r="Q1044" s="3" t="s">
        <v>26</v>
      </c>
      <c r="R1044" s="3">
        <v>0</v>
      </c>
      <c r="S1044" s="4">
        <v>0</v>
      </c>
      <c r="T1044" s="4">
        <v>33</v>
      </c>
      <c r="U1044" s="4">
        <v>87</v>
      </c>
      <c r="V1044" s="4">
        <f>IF(ISERROR(VLOOKUP($S$1044,'TAR FIN'!$A$1:$O$92,15,0)),0,VLOOKUP($S$1044,'TAR FIN'!$A$1:$O$92,15,0))</f>
        <v>0</v>
      </c>
      <c r="W1044" s="4">
        <f>IF(ISERROR(VLOOKUP($T$1044,'TAR FIN'!$A$1:$O$92,15,0)),0,VLOOKUP($T$1044,'TAR FIN'!$A$1:$O$92,15,0))</f>
        <v>311.27999999999997</v>
      </c>
      <c r="X1044" s="4">
        <f>IF(ISERROR(VLOOKUP($U$1044,'TAR FIN'!$A$1:$O$92,15,0)),0,VLOOKUP($U$1044,'TAR FIN'!$A$1:$O$92,15,0))</f>
        <v>268.89</v>
      </c>
      <c r="Y1044" s="4"/>
      <c r="Z1044" s="4">
        <f ca="1">('TUSD BE'!$AM$48+'TUSD BF'!$AM$48+'TUSD CVA'!$AM$48)*1</f>
        <v>398.95397789704208</v>
      </c>
      <c r="AA1044" s="4">
        <f>('TE BE'!$AB$39+'TE BF'!$AB$39+'TE CVA'!$AB$39)*1</f>
        <v>336.17550926835082</v>
      </c>
      <c r="AB1044" s="4">
        <f>$K$1044*$V$1044</f>
        <v>0</v>
      </c>
      <c r="AC1044" s="4">
        <f>$M$1044*$W$1044</f>
        <v>13774.451279999997</v>
      </c>
      <c r="AD1044" s="4">
        <f>$O$1044*$X$1044</f>
        <v>11898.651389999999</v>
      </c>
      <c r="AE1044" s="4">
        <f>$K$1044*$Y$1044</f>
        <v>0</v>
      </c>
      <c r="AF1044" s="4">
        <f ca="1">$M$1044*$Z$1044</f>
        <v>17654.112475922007</v>
      </c>
      <c r="AG1044" s="4">
        <f>$O$1044*$AA$1044</f>
        <v>14876.102460633792</v>
      </c>
    </row>
    <row r="1045" spans="1:33" ht="11.25" customHeight="1" x14ac:dyDescent="0.25">
      <c r="A1045" s="3" t="s">
        <v>55</v>
      </c>
      <c r="B1045" s="3" t="s">
        <v>37</v>
      </c>
      <c r="C1045" s="3" t="s">
        <v>23</v>
      </c>
      <c r="D1045" s="3" t="s">
        <v>51</v>
      </c>
      <c r="E1045" s="3" t="s">
        <v>25</v>
      </c>
      <c r="F1045" s="3" t="s">
        <v>25</v>
      </c>
      <c r="G1045" s="3" t="s">
        <v>25</v>
      </c>
      <c r="H1045" s="3" t="s">
        <v>25</v>
      </c>
      <c r="I1045" s="6">
        <v>44835</v>
      </c>
      <c r="J1045" s="4">
        <v>0</v>
      </c>
      <c r="K1045" s="4">
        <v>0</v>
      </c>
      <c r="L1045" s="4">
        <v>44.250999999999998</v>
      </c>
      <c r="M1045" s="4">
        <v>44.250999999999998</v>
      </c>
      <c r="N1045" s="4">
        <v>44.250999999999998</v>
      </c>
      <c r="O1045" s="4">
        <v>44.250999999999998</v>
      </c>
      <c r="P1045" s="4">
        <v>36</v>
      </c>
      <c r="Q1045" s="3" t="s">
        <v>26</v>
      </c>
      <c r="R1045" s="3">
        <v>0</v>
      </c>
      <c r="S1045" s="4">
        <v>0</v>
      </c>
      <c r="T1045" s="4">
        <v>33</v>
      </c>
      <c r="U1045" s="4">
        <v>87</v>
      </c>
      <c r="V1045" s="4">
        <f>IF(ISERROR(VLOOKUP($S$1045,'TAR FIN'!$A$1:$O$92,15,0)),0,VLOOKUP($S$1045,'TAR FIN'!$A$1:$O$92,15,0))</f>
        <v>0</v>
      </c>
      <c r="W1045" s="4">
        <f>IF(ISERROR(VLOOKUP($T$1045,'TAR FIN'!$A$1:$O$92,15,0)),0,VLOOKUP($T$1045,'TAR FIN'!$A$1:$O$92,15,0))</f>
        <v>311.27999999999997</v>
      </c>
      <c r="X1045" s="4">
        <f>IF(ISERROR(VLOOKUP($U$1045,'TAR FIN'!$A$1:$O$92,15,0)),0,VLOOKUP($U$1045,'TAR FIN'!$A$1:$O$92,15,0))</f>
        <v>268.89</v>
      </c>
      <c r="Y1045" s="4"/>
      <c r="Z1045" s="4">
        <f ca="1">('TUSD BE'!$AM$48+'TUSD BF'!$AM$48+'TUSD CVA'!$AM$48)*1</f>
        <v>398.95397789704208</v>
      </c>
      <c r="AA1045" s="4">
        <f>('TE BE'!$AB$39+'TE BF'!$AB$39+'TE CVA'!$AB$39)*1</f>
        <v>336.17550926835082</v>
      </c>
      <c r="AB1045" s="4">
        <f>$K$1045*$V$1045</f>
        <v>0</v>
      </c>
      <c r="AC1045" s="4">
        <f>$M$1045*$W$1045</f>
        <v>13774.451279999997</v>
      </c>
      <c r="AD1045" s="4">
        <f>$O$1045*$X$1045</f>
        <v>11898.651389999999</v>
      </c>
      <c r="AE1045" s="4">
        <f>$K$1045*$Y$1045</f>
        <v>0</v>
      </c>
      <c r="AF1045" s="4">
        <f ca="1">$M$1045*$Z$1045</f>
        <v>17654.112475922007</v>
      </c>
      <c r="AG1045" s="4">
        <f>$O$1045*$AA$1045</f>
        <v>14876.102460633792</v>
      </c>
    </row>
    <row r="1046" spans="1:33" ht="11.25" customHeight="1" x14ac:dyDescent="0.25">
      <c r="A1046" s="3" t="s">
        <v>21</v>
      </c>
      <c r="B1046" s="3" t="s">
        <v>37</v>
      </c>
      <c r="C1046" s="3" t="s">
        <v>23</v>
      </c>
      <c r="D1046" s="3" t="s">
        <v>38</v>
      </c>
      <c r="E1046" s="3" t="s">
        <v>25</v>
      </c>
      <c r="F1046" s="3" t="s">
        <v>25</v>
      </c>
      <c r="G1046" s="3" t="s">
        <v>25</v>
      </c>
      <c r="H1046" s="3" t="s">
        <v>25</v>
      </c>
      <c r="I1046" s="6">
        <v>44501</v>
      </c>
      <c r="J1046" s="4">
        <v>0</v>
      </c>
      <c r="K1046" s="4">
        <v>0</v>
      </c>
      <c r="L1046" s="4">
        <v>558.31700000000001</v>
      </c>
      <c r="M1046" s="4">
        <v>558.31700000000001</v>
      </c>
      <c r="N1046" s="4">
        <v>558.31700000000001</v>
      </c>
      <c r="O1046" s="4">
        <v>558.31700000000001</v>
      </c>
      <c r="P1046" s="4">
        <v>334</v>
      </c>
      <c r="Q1046" s="3" t="s">
        <v>26</v>
      </c>
      <c r="R1046" s="3">
        <v>0</v>
      </c>
      <c r="S1046" s="4">
        <v>0</v>
      </c>
      <c r="T1046" s="4">
        <v>33</v>
      </c>
      <c r="U1046" s="4">
        <v>87</v>
      </c>
      <c r="V1046" s="4">
        <f>IF(ISERROR(VLOOKUP($S$1046,'TAR FIN'!$A$1:$O$92,15,0)),0,VLOOKUP($S$1046,'TAR FIN'!$A$1:$O$92,15,0))</f>
        <v>0</v>
      </c>
      <c r="W1046" s="4">
        <f>IF(ISERROR(VLOOKUP($T$1046,'TAR FIN'!$A$1:$O$92,15,0)),0,VLOOKUP($T$1046,'TAR FIN'!$A$1:$O$92,15,0))</f>
        <v>311.27999999999997</v>
      </c>
      <c r="X1046" s="4">
        <f>IF(ISERROR(VLOOKUP($U$1046,'TAR FIN'!$A$1:$O$92,15,0)),0,VLOOKUP($U$1046,'TAR FIN'!$A$1:$O$92,15,0))</f>
        <v>268.89</v>
      </c>
      <c r="Y1046" s="4"/>
      <c r="Z1046" s="4">
        <f ca="1">('TUSD BE'!$AM$48+'TUSD BF'!$AM$48+'TUSD CVA'!$AM$48)*1</f>
        <v>398.95397789704208</v>
      </c>
      <c r="AA1046" s="4">
        <f>('TE BE'!$AB$39+'TE BF'!$AB$39+'TE CVA'!$AB$39)*1</f>
        <v>336.17550926835082</v>
      </c>
      <c r="AB1046" s="4">
        <f>$K$1046*$V$1046</f>
        <v>0</v>
      </c>
      <c r="AC1046" s="4">
        <f>$M$1046*$W$1046</f>
        <v>173792.91575999997</v>
      </c>
      <c r="AD1046" s="4">
        <f>$O$1046*$X$1046</f>
        <v>150125.85813000001</v>
      </c>
      <c r="AE1046" s="4">
        <f>$K$1046*$Y$1046</f>
        <v>0</v>
      </c>
      <c r="AF1046" s="4">
        <f ca="1">$M$1046*$Z$1046</f>
        <v>222742.78807754285</v>
      </c>
      <c r="AG1046" s="4">
        <f>$O$1046*$AA$1046</f>
        <v>187692.50180817783</v>
      </c>
    </row>
    <row r="1047" spans="1:33" ht="11.25" customHeight="1" x14ac:dyDescent="0.25">
      <c r="A1047" s="3" t="s">
        <v>27</v>
      </c>
      <c r="B1047" s="3" t="s">
        <v>37</v>
      </c>
      <c r="C1047" s="3" t="s">
        <v>23</v>
      </c>
      <c r="D1047" s="3" t="s">
        <v>38</v>
      </c>
      <c r="E1047" s="3" t="s">
        <v>25</v>
      </c>
      <c r="F1047" s="3" t="s">
        <v>25</v>
      </c>
      <c r="G1047" s="3" t="s">
        <v>25</v>
      </c>
      <c r="H1047" s="3" t="s">
        <v>25</v>
      </c>
      <c r="I1047" s="6">
        <v>44501</v>
      </c>
      <c r="J1047" s="4">
        <v>0</v>
      </c>
      <c r="K1047" s="4">
        <v>0</v>
      </c>
      <c r="L1047" s="4">
        <v>0.98299999999999998</v>
      </c>
      <c r="M1047" s="4">
        <v>0.98299999999999998</v>
      </c>
      <c r="N1047" s="4">
        <v>0.98299999999999998</v>
      </c>
      <c r="O1047" s="4">
        <v>0.98299999999999998</v>
      </c>
      <c r="P1047" s="4">
        <v>-2</v>
      </c>
      <c r="Q1047" s="3" t="s">
        <v>26</v>
      </c>
      <c r="R1047" s="3">
        <v>0</v>
      </c>
      <c r="S1047" s="4">
        <v>0</v>
      </c>
      <c r="T1047" s="4">
        <v>33</v>
      </c>
      <c r="U1047" s="4">
        <v>87</v>
      </c>
      <c r="V1047" s="4">
        <f>IF(ISERROR(VLOOKUP($S$1047,'TAR FIN'!$A$1:$O$92,15,0)),0,VLOOKUP($S$1047,'TAR FIN'!$A$1:$O$92,15,0))</f>
        <v>0</v>
      </c>
      <c r="W1047" s="4">
        <f>IF(ISERROR(VLOOKUP($T$1047,'TAR FIN'!$A$1:$O$92,15,0)),0,VLOOKUP($T$1047,'TAR FIN'!$A$1:$O$92,15,0))</f>
        <v>311.27999999999997</v>
      </c>
      <c r="X1047" s="4">
        <f>IF(ISERROR(VLOOKUP($U$1047,'TAR FIN'!$A$1:$O$92,15,0)),0,VLOOKUP($U$1047,'TAR FIN'!$A$1:$O$92,15,0))</f>
        <v>268.89</v>
      </c>
      <c r="Y1047" s="4"/>
      <c r="Z1047" s="4">
        <f ca="1">('TUSD BE'!$AM$48+'TUSD BF'!$AM$48+'TUSD CVA'!$AM$48)*1</f>
        <v>398.95397789704208</v>
      </c>
      <c r="AA1047" s="4">
        <f>('TE BE'!$AB$39+'TE BF'!$AB$39+'TE CVA'!$AB$39)*1</f>
        <v>336.17550926835082</v>
      </c>
      <c r="AB1047" s="4">
        <f>$K$1047*$V$1047</f>
        <v>0</v>
      </c>
      <c r="AC1047" s="4">
        <f>$M$1047*$W$1047</f>
        <v>305.98823999999996</v>
      </c>
      <c r="AD1047" s="4">
        <f>$O$1047*$X$1047</f>
        <v>264.31887</v>
      </c>
      <c r="AE1047" s="4">
        <f>$K$1047*$Y$1047</f>
        <v>0</v>
      </c>
      <c r="AF1047" s="4">
        <f ca="1">$M$1047*$Z$1047</f>
        <v>392.17176027279237</v>
      </c>
      <c r="AG1047" s="4">
        <f>$O$1047*$AA$1047</f>
        <v>330.46052561078886</v>
      </c>
    </row>
    <row r="1048" spans="1:33" ht="11.25" customHeight="1" x14ac:dyDescent="0.25">
      <c r="A1048" s="3" t="s">
        <v>28</v>
      </c>
      <c r="B1048" s="3" t="s">
        <v>37</v>
      </c>
      <c r="C1048" s="3" t="s">
        <v>23</v>
      </c>
      <c r="D1048" s="3" t="s">
        <v>38</v>
      </c>
      <c r="E1048" s="3" t="s">
        <v>25</v>
      </c>
      <c r="F1048" s="3" t="s">
        <v>25</v>
      </c>
      <c r="G1048" s="3" t="s">
        <v>25</v>
      </c>
      <c r="H1048" s="3" t="s">
        <v>25</v>
      </c>
      <c r="I1048" s="6">
        <v>44501</v>
      </c>
      <c r="J1048" s="4">
        <v>0</v>
      </c>
      <c r="K1048" s="4">
        <v>0</v>
      </c>
      <c r="L1048" s="4">
        <v>4.9359999999999999</v>
      </c>
      <c r="M1048" s="4">
        <v>4.9359999999999999</v>
      </c>
      <c r="N1048" s="4">
        <v>4.9359999999999999</v>
      </c>
      <c r="O1048" s="4">
        <v>4.9359999999999999</v>
      </c>
      <c r="P1048" s="4">
        <v>2</v>
      </c>
      <c r="Q1048" s="3" t="s">
        <v>26</v>
      </c>
      <c r="R1048" s="3">
        <v>0</v>
      </c>
      <c r="S1048" s="4">
        <v>0</v>
      </c>
      <c r="T1048" s="4">
        <v>33</v>
      </c>
      <c r="U1048" s="4">
        <v>87</v>
      </c>
      <c r="V1048" s="4">
        <f>IF(ISERROR(VLOOKUP($S$1048,'TAR FIN'!$A$1:$O$92,15,0)),0,VLOOKUP($S$1048,'TAR FIN'!$A$1:$O$92,15,0))</f>
        <v>0</v>
      </c>
      <c r="W1048" s="4">
        <f>IF(ISERROR(VLOOKUP($T$1048,'TAR FIN'!$A$1:$O$92,15,0)),0,VLOOKUP($T$1048,'TAR FIN'!$A$1:$O$92,15,0))</f>
        <v>311.27999999999997</v>
      </c>
      <c r="X1048" s="4">
        <f>IF(ISERROR(VLOOKUP($U$1048,'TAR FIN'!$A$1:$O$92,15,0)),0,VLOOKUP($U$1048,'TAR FIN'!$A$1:$O$92,15,0))</f>
        <v>268.89</v>
      </c>
      <c r="Y1048" s="4"/>
      <c r="Z1048" s="4">
        <f ca="1">('TUSD BE'!$AM$48+'TUSD BF'!$AM$48+'TUSD CVA'!$AM$48)*1</f>
        <v>398.95397789704208</v>
      </c>
      <c r="AA1048" s="4">
        <f>('TE BE'!$AB$39+'TE BF'!$AB$39+'TE CVA'!$AB$39)*1</f>
        <v>336.17550926835082</v>
      </c>
      <c r="AB1048" s="4">
        <f>$K$1048*$V$1048</f>
        <v>0</v>
      </c>
      <c r="AC1048" s="4">
        <f>$M$1048*$W$1048</f>
        <v>1536.4780799999999</v>
      </c>
      <c r="AD1048" s="4">
        <f>$O$1048*$X$1048</f>
        <v>1327.2410399999999</v>
      </c>
      <c r="AE1048" s="4">
        <f>$K$1048*$Y$1048</f>
        <v>0</v>
      </c>
      <c r="AF1048" s="4">
        <f ca="1">$M$1048*$Z$1048</f>
        <v>1969.2368348997998</v>
      </c>
      <c r="AG1048" s="4">
        <f>$O$1048*$AA$1048</f>
        <v>1659.3623137485797</v>
      </c>
    </row>
    <row r="1049" spans="1:33" ht="11.25" customHeight="1" x14ac:dyDescent="0.25">
      <c r="A1049" s="3" t="s">
        <v>21</v>
      </c>
      <c r="B1049" s="3" t="s">
        <v>37</v>
      </c>
      <c r="C1049" s="3" t="s">
        <v>23</v>
      </c>
      <c r="D1049" s="3" t="s">
        <v>38</v>
      </c>
      <c r="E1049" s="3" t="s">
        <v>25</v>
      </c>
      <c r="F1049" s="3" t="s">
        <v>25</v>
      </c>
      <c r="G1049" s="3" t="s">
        <v>25</v>
      </c>
      <c r="H1049" s="3" t="s">
        <v>25</v>
      </c>
      <c r="I1049" s="6">
        <v>44531</v>
      </c>
      <c r="J1049" s="4">
        <v>0</v>
      </c>
      <c r="K1049" s="4">
        <v>0</v>
      </c>
      <c r="L1049" s="4">
        <v>584.803</v>
      </c>
      <c r="M1049" s="4">
        <v>584.803</v>
      </c>
      <c r="N1049" s="4">
        <v>584.803</v>
      </c>
      <c r="O1049" s="4">
        <v>584.803</v>
      </c>
      <c r="P1049" s="4">
        <v>330</v>
      </c>
      <c r="Q1049" s="3" t="s">
        <v>26</v>
      </c>
      <c r="R1049" s="3">
        <v>0</v>
      </c>
      <c r="S1049" s="4">
        <v>0</v>
      </c>
      <c r="T1049" s="4">
        <v>33</v>
      </c>
      <c r="U1049" s="4">
        <v>87</v>
      </c>
      <c r="V1049" s="4">
        <f>IF(ISERROR(VLOOKUP($S$1049,'TAR FIN'!$A$1:$O$92,15,0)),0,VLOOKUP($S$1049,'TAR FIN'!$A$1:$O$92,15,0))</f>
        <v>0</v>
      </c>
      <c r="W1049" s="4">
        <f>IF(ISERROR(VLOOKUP($T$1049,'TAR FIN'!$A$1:$O$92,15,0)),0,VLOOKUP($T$1049,'TAR FIN'!$A$1:$O$92,15,0))</f>
        <v>311.27999999999997</v>
      </c>
      <c r="X1049" s="4">
        <f>IF(ISERROR(VLOOKUP($U$1049,'TAR FIN'!$A$1:$O$92,15,0)),0,VLOOKUP($U$1049,'TAR FIN'!$A$1:$O$92,15,0))</f>
        <v>268.89</v>
      </c>
      <c r="Y1049" s="4"/>
      <c r="Z1049" s="4">
        <f ca="1">('TUSD BE'!$AM$48+'TUSD BF'!$AM$48+'TUSD CVA'!$AM$48)*1</f>
        <v>398.95397789704208</v>
      </c>
      <c r="AA1049" s="4">
        <f>('TE BE'!$AB$39+'TE BF'!$AB$39+'TE CVA'!$AB$39)*1</f>
        <v>336.17550926835082</v>
      </c>
      <c r="AB1049" s="4">
        <f>$K$1049*$V$1049</f>
        <v>0</v>
      </c>
      <c r="AC1049" s="4">
        <f>$M$1049*$W$1049</f>
        <v>182037.47783999998</v>
      </c>
      <c r="AD1049" s="4">
        <f>$O$1049*$X$1049</f>
        <v>157247.67866999999</v>
      </c>
      <c r="AE1049" s="4">
        <f>$K$1049*$Y$1049</f>
        <v>0</v>
      </c>
      <c r="AF1049" s="4">
        <f ca="1">$M$1049*$Z$1049</f>
        <v>233309.48313612389</v>
      </c>
      <c r="AG1049" s="4">
        <f>$O$1049*$AA$1049</f>
        <v>196596.44634665936</v>
      </c>
    </row>
    <row r="1050" spans="1:33" ht="11.25" customHeight="1" x14ac:dyDescent="0.25">
      <c r="A1050" s="3" t="s">
        <v>27</v>
      </c>
      <c r="B1050" s="3" t="s">
        <v>37</v>
      </c>
      <c r="C1050" s="3" t="s">
        <v>23</v>
      </c>
      <c r="D1050" s="3" t="s">
        <v>38</v>
      </c>
      <c r="E1050" s="3" t="s">
        <v>25</v>
      </c>
      <c r="F1050" s="3" t="s">
        <v>25</v>
      </c>
      <c r="G1050" s="3" t="s">
        <v>25</v>
      </c>
      <c r="H1050" s="3" t="s">
        <v>25</v>
      </c>
      <c r="I1050" s="6">
        <v>44531</v>
      </c>
      <c r="J1050" s="4">
        <v>0</v>
      </c>
      <c r="K1050" s="4">
        <v>0</v>
      </c>
      <c r="L1050" s="4">
        <v>0.56499999999999995</v>
      </c>
      <c r="M1050" s="4">
        <v>0.56499999999999995</v>
      </c>
      <c r="N1050" s="4">
        <v>0.56499999999999995</v>
      </c>
      <c r="O1050" s="4">
        <v>0.56499999999999995</v>
      </c>
      <c r="P1050" s="4">
        <v>0</v>
      </c>
      <c r="Q1050" s="3" t="s">
        <v>26</v>
      </c>
      <c r="R1050" s="3">
        <v>0</v>
      </c>
      <c r="S1050" s="4">
        <v>0</v>
      </c>
      <c r="T1050" s="4">
        <v>33</v>
      </c>
      <c r="U1050" s="4">
        <v>87</v>
      </c>
      <c r="V1050" s="4">
        <f>IF(ISERROR(VLOOKUP($S$1050,'TAR FIN'!$A$1:$O$92,15,0)),0,VLOOKUP($S$1050,'TAR FIN'!$A$1:$O$92,15,0))</f>
        <v>0</v>
      </c>
      <c r="W1050" s="4">
        <f>IF(ISERROR(VLOOKUP($T$1050,'TAR FIN'!$A$1:$O$92,15,0)),0,VLOOKUP($T$1050,'TAR FIN'!$A$1:$O$92,15,0))</f>
        <v>311.27999999999997</v>
      </c>
      <c r="X1050" s="4">
        <f>IF(ISERROR(VLOOKUP($U$1050,'TAR FIN'!$A$1:$O$92,15,0)),0,VLOOKUP($U$1050,'TAR FIN'!$A$1:$O$92,15,0))</f>
        <v>268.89</v>
      </c>
      <c r="Y1050" s="4"/>
      <c r="Z1050" s="4">
        <f ca="1">('TUSD BE'!$AM$48+'TUSD BF'!$AM$48+'TUSD CVA'!$AM$48)*1</f>
        <v>398.95397789704208</v>
      </c>
      <c r="AA1050" s="4">
        <f>('TE BE'!$AB$39+'TE BF'!$AB$39+'TE CVA'!$AB$39)*1</f>
        <v>336.17550926835082</v>
      </c>
      <c r="AB1050" s="4">
        <f>$K$1050*$V$1050</f>
        <v>0</v>
      </c>
      <c r="AC1050" s="4">
        <f>$M$1050*$W$1050</f>
        <v>175.87319999999997</v>
      </c>
      <c r="AD1050" s="4">
        <f>$O$1050*$X$1050</f>
        <v>151.92284999999998</v>
      </c>
      <c r="AE1050" s="4">
        <f>$K$1050*$Y$1050</f>
        <v>0</v>
      </c>
      <c r="AF1050" s="4">
        <f ca="1">$M$1050*$Z$1050</f>
        <v>225.40899751182874</v>
      </c>
      <c r="AG1050" s="4">
        <f>$O$1050*$AA$1050</f>
        <v>189.93916273661819</v>
      </c>
    </row>
    <row r="1051" spans="1:33" ht="11.25" customHeight="1" x14ac:dyDescent="0.25">
      <c r="A1051" s="3" t="s">
        <v>28</v>
      </c>
      <c r="B1051" s="3" t="s">
        <v>37</v>
      </c>
      <c r="C1051" s="3" t="s">
        <v>23</v>
      </c>
      <c r="D1051" s="3" t="s">
        <v>38</v>
      </c>
      <c r="E1051" s="3" t="s">
        <v>25</v>
      </c>
      <c r="F1051" s="3" t="s">
        <v>25</v>
      </c>
      <c r="G1051" s="3" t="s">
        <v>25</v>
      </c>
      <c r="H1051" s="3" t="s">
        <v>25</v>
      </c>
      <c r="I1051" s="6">
        <v>44531</v>
      </c>
      <c r="J1051" s="4">
        <v>0</v>
      </c>
      <c r="K1051" s="4">
        <v>0</v>
      </c>
      <c r="L1051" s="4">
        <v>5.1429999999999998</v>
      </c>
      <c r="M1051" s="4">
        <v>5.1429999999999998</v>
      </c>
      <c r="N1051" s="4">
        <v>5.1429999999999998</v>
      </c>
      <c r="O1051" s="4">
        <v>5.1429999999999998</v>
      </c>
      <c r="P1051" s="4">
        <v>2</v>
      </c>
      <c r="Q1051" s="3" t="s">
        <v>26</v>
      </c>
      <c r="R1051" s="3">
        <v>0</v>
      </c>
      <c r="S1051" s="4">
        <v>0</v>
      </c>
      <c r="T1051" s="4">
        <v>33</v>
      </c>
      <c r="U1051" s="4">
        <v>87</v>
      </c>
      <c r="V1051" s="4">
        <f>IF(ISERROR(VLOOKUP($S$1051,'TAR FIN'!$A$1:$O$92,15,0)),0,VLOOKUP($S$1051,'TAR FIN'!$A$1:$O$92,15,0))</f>
        <v>0</v>
      </c>
      <c r="W1051" s="4">
        <f>IF(ISERROR(VLOOKUP($T$1051,'TAR FIN'!$A$1:$O$92,15,0)),0,VLOOKUP($T$1051,'TAR FIN'!$A$1:$O$92,15,0))</f>
        <v>311.27999999999997</v>
      </c>
      <c r="X1051" s="4">
        <f>IF(ISERROR(VLOOKUP($U$1051,'TAR FIN'!$A$1:$O$92,15,0)),0,VLOOKUP($U$1051,'TAR FIN'!$A$1:$O$92,15,0))</f>
        <v>268.89</v>
      </c>
      <c r="Y1051" s="4"/>
      <c r="Z1051" s="4">
        <f ca="1">('TUSD BE'!$AM$48+'TUSD BF'!$AM$48+'TUSD CVA'!$AM$48)*1</f>
        <v>398.95397789704208</v>
      </c>
      <c r="AA1051" s="4">
        <f>('TE BE'!$AB$39+'TE BF'!$AB$39+'TE CVA'!$AB$39)*1</f>
        <v>336.17550926835082</v>
      </c>
      <c r="AB1051" s="4">
        <f>$K$1051*$V$1051</f>
        <v>0</v>
      </c>
      <c r="AC1051" s="4">
        <f>$M$1051*$W$1051</f>
        <v>1600.9130399999997</v>
      </c>
      <c r="AD1051" s="4">
        <f>$O$1051*$X$1051</f>
        <v>1382.9012699999998</v>
      </c>
      <c r="AE1051" s="4">
        <f>$K$1051*$Y$1051</f>
        <v>0</v>
      </c>
      <c r="AF1051" s="4">
        <f ca="1">$M$1051*$Z$1051</f>
        <v>2051.8203083244875</v>
      </c>
      <c r="AG1051" s="4">
        <f>$O$1051*$AA$1051</f>
        <v>1728.9506441671283</v>
      </c>
    </row>
    <row r="1052" spans="1:33" ht="11.25" customHeight="1" x14ac:dyDescent="0.25">
      <c r="A1052" s="3" t="s">
        <v>21</v>
      </c>
      <c r="B1052" s="3" t="s">
        <v>37</v>
      </c>
      <c r="C1052" s="3" t="s">
        <v>23</v>
      </c>
      <c r="D1052" s="3" t="s">
        <v>38</v>
      </c>
      <c r="E1052" s="3" t="s">
        <v>25</v>
      </c>
      <c r="F1052" s="3" t="s">
        <v>25</v>
      </c>
      <c r="G1052" s="3" t="s">
        <v>25</v>
      </c>
      <c r="H1052" s="3" t="s">
        <v>25</v>
      </c>
      <c r="I1052" s="6">
        <v>44562</v>
      </c>
      <c r="J1052" s="4">
        <v>0</v>
      </c>
      <c r="K1052" s="4">
        <v>0</v>
      </c>
      <c r="L1052" s="4">
        <v>558.44200000000001</v>
      </c>
      <c r="M1052" s="4">
        <v>558.44200000000001</v>
      </c>
      <c r="N1052" s="4">
        <v>558.44200000000001</v>
      </c>
      <c r="O1052" s="4">
        <v>558.44200000000001</v>
      </c>
      <c r="P1052" s="4">
        <v>333</v>
      </c>
      <c r="Q1052" s="3" t="s">
        <v>26</v>
      </c>
      <c r="R1052" s="3">
        <v>0</v>
      </c>
      <c r="S1052" s="4">
        <v>0</v>
      </c>
      <c r="T1052" s="4">
        <v>33</v>
      </c>
      <c r="U1052" s="4">
        <v>87</v>
      </c>
      <c r="V1052" s="4">
        <f>IF(ISERROR(VLOOKUP($S$1052,'TAR FIN'!$A$1:$O$92,15,0)),0,VLOOKUP($S$1052,'TAR FIN'!$A$1:$O$92,15,0))</f>
        <v>0</v>
      </c>
      <c r="W1052" s="4">
        <f>IF(ISERROR(VLOOKUP($T$1052,'TAR FIN'!$A$1:$O$92,15,0)),0,VLOOKUP($T$1052,'TAR FIN'!$A$1:$O$92,15,0))</f>
        <v>311.27999999999997</v>
      </c>
      <c r="X1052" s="4">
        <f>IF(ISERROR(VLOOKUP($U$1052,'TAR FIN'!$A$1:$O$92,15,0)),0,VLOOKUP($U$1052,'TAR FIN'!$A$1:$O$92,15,0))</f>
        <v>268.89</v>
      </c>
      <c r="Y1052" s="4"/>
      <c r="Z1052" s="4">
        <f ca="1">('TUSD BE'!$AM$48+'TUSD BF'!$AM$48+'TUSD CVA'!$AM$48)*1</f>
        <v>398.95397789704208</v>
      </c>
      <c r="AA1052" s="4">
        <f>('TE BE'!$AB$39+'TE BF'!$AB$39+'TE CVA'!$AB$39)*1</f>
        <v>336.17550926835082</v>
      </c>
      <c r="AB1052" s="4">
        <f>$K$1052*$V$1052</f>
        <v>0</v>
      </c>
      <c r="AC1052" s="4">
        <f>$M$1052*$W$1052</f>
        <v>173831.82575999998</v>
      </c>
      <c r="AD1052" s="4">
        <f>$O$1052*$X$1052</f>
        <v>150159.46937999999</v>
      </c>
      <c r="AE1052" s="4">
        <f>$K$1052*$Y$1052</f>
        <v>0</v>
      </c>
      <c r="AF1052" s="4">
        <f ca="1">$M$1052*$Z$1052</f>
        <v>222792.65732477998</v>
      </c>
      <c r="AG1052" s="4">
        <f>$O$1052*$AA$1052</f>
        <v>187734.52374683638</v>
      </c>
    </row>
    <row r="1053" spans="1:33" ht="11.25" customHeight="1" x14ac:dyDescent="0.25">
      <c r="A1053" s="3" t="s">
        <v>28</v>
      </c>
      <c r="B1053" s="3" t="s">
        <v>37</v>
      </c>
      <c r="C1053" s="3" t="s">
        <v>23</v>
      </c>
      <c r="D1053" s="3" t="s">
        <v>38</v>
      </c>
      <c r="E1053" s="3" t="s">
        <v>25</v>
      </c>
      <c r="F1053" s="3" t="s">
        <v>25</v>
      </c>
      <c r="G1053" s="3" t="s">
        <v>25</v>
      </c>
      <c r="H1053" s="3" t="s">
        <v>25</v>
      </c>
      <c r="I1053" s="6">
        <v>44562</v>
      </c>
      <c r="J1053" s="4">
        <v>0</v>
      </c>
      <c r="K1053" s="4">
        <v>0</v>
      </c>
      <c r="L1053" s="4">
        <v>5.7690000000000001</v>
      </c>
      <c r="M1053" s="4">
        <v>5.7690000000000001</v>
      </c>
      <c r="N1053" s="4">
        <v>5.7690000000000001</v>
      </c>
      <c r="O1053" s="4">
        <v>5.7690000000000001</v>
      </c>
      <c r="P1053" s="4">
        <v>2</v>
      </c>
      <c r="Q1053" s="3" t="s">
        <v>26</v>
      </c>
      <c r="R1053" s="3">
        <v>0</v>
      </c>
      <c r="S1053" s="4">
        <v>0</v>
      </c>
      <c r="T1053" s="4">
        <v>33</v>
      </c>
      <c r="U1053" s="4">
        <v>87</v>
      </c>
      <c r="V1053" s="4">
        <f>IF(ISERROR(VLOOKUP($S$1053,'TAR FIN'!$A$1:$O$92,15,0)),0,VLOOKUP($S$1053,'TAR FIN'!$A$1:$O$92,15,0))</f>
        <v>0</v>
      </c>
      <c r="W1053" s="4">
        <f>IF(ISERROR(VLOOKUP($T$1053,'TAR FIN'!$A$1:$O$92,15,0)),0,VLOOKUP($T$1053,'TAR FIN'!$A$1:$O$92,15,0))</f>
        <v>311.27999999999997</v>
      </c>
      <c r="X1053" s="4">
        <f>IF(ISERROR(VLOOKUP($U$1053,'TAR FIN'!$A$1:$O$92,15,0)),0,VLOOKUP($U$1053,'TAR FIN'!$A$1:$O$92,15,0))</f>
        <v>268.89</v>
      </c>
      <c r="Y1053" s="4"/>
      <c r="Z1053" s="4">
        <f ca="1">('TUSD BE'!$AM$48+'TUSD BF'!$AM$48+'TUSD CVA'!$AM$48)*1</f>
        <v>398.95397789704208</v>
      </c>
      <c r="AA1053" s="4">
        <f>('TE BE'!$AB$39+'TE BF'!$AB$39+'TE CVA'!$AB$39)*1</f>
        <v>336.17550926835082</v>
      </c>
      <c r="AB1053" s="4">
        <f>$K$1053*$V$1053</f>
        <v>0</v>
      </c>
      <c r="AC1053" s="4">
        <f>$M$1053*$W$1053</f>
        <v>1795.77432</v>
      </c>
      <c r="AD1053" s="4">
        <f>$O$1053*$X$1053</f>
        <v>1551.22641</v>
      </c>
      <c r="AE1053" s="4">
        <f>$K$1053*$Y$1053</f>
        <v>0</v>
      </c>
      <c r="AF1053" s="4">
        <f ca="1">$M$1053*$Z$1053</f>
        <v>2301.5654984880357</v>
      </c>
      <c r="AG1053" s="4">
        <f>$O$1053*$AA$1053</f>
        <v>1939.396512969116</v>
      </c>
    </row>
    <row r="1054" spans="1:33" ht="11.25" customHeight="1" x14ac:dyDescent="0.25">
      <c r="A1054" s="3" t="s">
        <v>21</v>
      </c>
      <c r="B1054" s="3" t="s">
        <v>37</v>
      </c>
      <c r="C1054" s="3" t="s">
        <v>23</v>
      </c>
      <c r="D1054" s="3" t="s">
        <v>38</v>
      </c>
      <c r="E1054" s="3" t="s">
        <v>25</v>
      </c>
      <c r="F1054" s="3" t="s">
        <v>25</v>
      </c>
      <c r="G1054" s="3" t="s">
        <v>25</v>
      </c>
      <c r="H1054" s="3" t="s">
        <v>25</v>
      </c>
      <c r="I1054" s="6">
        <v>44593</v>
      </c>
      <c r="J1054" s="4">
        <v>0</v>
      </c>
      <c r="K1054" s="4">
        <v>0</v>
      </c>
      <c r="L1054" s="4">
        <v>593.94299999999998</v>
      </c>
      <c r="M1054" s="4">
        <v>593.94299999999998</v>
      </c>
      <c r="N1054" s="4">
        <v>593.94299999999998</v>
      </c>
      <c r="O1054" s="4">
        <v>593.94299999999998</v>
      </c>
      <c r="P1054" s="4">
        <v>332</v>
      </c>
      <c r="Q1054" s="3" t="s">
        <v>26</v>
      </c>
      <c r="R1054" s="3">
        <v>0</v>
      </c>
      <c r="S1054" s="4">
        <v>0</v>
      </c>
      <c r="T1054" s="4">
        <v>33</v>
      </c>
      <c r="U1054" s="4">
        <v>87</v>
      </c>
      <c r="V1054" s="4">
        <f>IF(ISERROR(VLOOKUP($S$1054,'TAR FIN'!$A$1:$O$92,15,0)),0,VLOOKUP($S$1054,'TAR FIN'!$A$1:$O$92,15,0))</f>
        <v>0</v>
      </c>
      <c r="W1054" s="4">
        <f>IF(ISERROR(VLOOKUP($T$1054,'TAR FIN'!$A$1:$O$92,15,0)),0,VLOOKUP($T$1054,'TAR FIN'!$A$1:$O$92,15,0))</f>
        <v>311.27999999999997</v>
      </c>
      <c r="X1054" s="4">
        <f>IF(ISERROR(VLOOKUP($U$1054,'TAR FIN'!$A$1:$O$92,15,0)),0,VLOOKUP($U$1054,'TAR FIN'!$A$1:$O$92,15,0))</f>
        <v>268.89</v>
      </c>
      <c r="Y1054" s="4"/>
      <c r="Z1054" s="4">
        <f ca="1">('TUSD BE'!$AM$48+'TUSD BF'!$AM$48+'TUSD CVA'!$AM$48)*1</f>
        <v>398.95397789704208</v>
      </c>
      <c r="AA1054" s="4">
        <f>('TE BE'!$AB$39+'TE BF'!$AB$39+'TE CVA'!$AB$39)*1</f>
        <v>336.17550926835082</v>
      </c>
      <c r="AB1054" s="4">
        <f>$K$1054*$V$1054</f>
        <v>0</v>
      </c>
      <c r="AC1054" s="4">
        <f>$M$1054*$W$1054</f>
        <v>184882.57703999997</v>
      </c>
      <c r="AD1054" s="4">
        <f>$O$1054*$X$1054</f>
        <v>159705.33326999997</v>
      </c>
      <c r="AE1054" s="4">
        <f>$K$1054*$Y$1054</f>
        <v>0</v>
      </c>
      <c r="AF1054" s="4">
        <f ca="1">$M$1054*$Z$1054</f>
        <v>236955.92249410285</v>
      </c>
      <c r="AG1054" s="4">
        <f>$O$1054*$AA$1054</f>
        <v>199669.09050137209</v>
      </c>
    </row>
    <row r="1055" spans="1:33" ht="11.25" customHeight="1" x14ac:dyDescent="0.25">
      <c r="A1055" s="3" t="s">
        <v>27</v>
      </c>
      <c r="B1055" s="3" t="s">
        <v>37</v>
      </c>
      <c r="C1055" s="3" t="s">
        <v>23</v>
      </c>
      <c r="D1055" s="3" t="s">
        <v>38</v>
      </c>
      <c r="E1055" s="3" t="s">
        <v>25</v>
      </c>
      <c r="F1055" s="3" t="s">
        <v>25</v>
      </c>
      <c r="G1055" s="3" t="s">
        <v>25</v>
      </c>
      <c r="H1055" s="3" t="s">
        <v>25</v>
      </c>
      <c r="I1055" s="6">
        <v>44593</v>
      </c>
      <c r="J1055" s="4">
        <v>0</v>
      </c>
      <c r="K1055" s="4">
        <v>0</v>
      </c>
      <c r="L1055" s="4">
        <v>0.251</v>
      </c>
      <c r="M1055" s="4">
        <v>0.251</v>
      </c>
      <c r="N1055" s="4">
        <v>0.251</v>
      </c>
      <c r="O1055" s="4">
        <v>0.251</v>
      </c>
      <c r="P1055" s="4">
        <v>-3</v>
      </c>
      <c r="Q1055" s="3" t="s">
        <v>26</v>
      </c>
      <c r="R1055" s="3">
        <v>0</v>
      </c>
      <c r="S1055" s="4">
        <v>0</v>
      </c>
      <c r="T1055" s="4">
        <v>33</v>
      </c>
      <c r="U1055" s="4">
        <v>87</v>
      </c>
      <c r="V1055" s="4">
        <f>IF(ISERROR(VLOOKUP($S$1055,'TAR FIN'!$A$1:$O$92,15,0)),0,VLOOKUP($S$1055,'TAR FIN'!$A$1:$O$92,15,0))</f>
        <v>0</v>
      </c>
      <c r="W1055" s="4">
        <f>IF(ISERROR(VLOOKUP($T$1055,'TAR FIN'!$A$1:$O$92,15,0)),0,VLOOKUP($T$1055,'TAR FIN'!$A$1:$O$92,15,0))</f>
        <v>311.27999999999997</v>
      </c>
      <c r="X1055" s="4">
        <f>IF(ISERROR(VLOOKUP($U$1055,'TAR FIN'!$A$1:$O$92,15,0)),0,VLOOKUP($U$1055,'TAR FIN'!$A$1:$O$92,15,0))</f>
        <v>268.89</v>
      </c>
      <c r="Y1055" s="4"/>
      <c r="Z1055" s="4">
        <f ca="1">('TUSD BE'!$AM$48+'TUSD BF'!$AM$48+'TUSD CVA'!$AM$48)*1</f>
        <v>398.95397789704208</v>
      </c>
      <c r="AA1055" s="4">
        <f>('TE BE'!$AB$39+'TE BF'!$AB$39+'TE CVA'!$AB$39)*1</f>
        <v>336.17550926835082</v>
      </c>
      <c r="AB1055" s="4">
        <f>$K$1055*$V$1055</f>
        <v>0</v>
      </c>
      <c r="AC1055" s="4">
        <f>$M$1055*$W$1055</f>
        <v>78.13127999999999</v>
      </c>
      <c r="AD1055" s="4">
        <f>$O$1055*$X$1055</f>
        <v>67.491389999999996</v>
      </c>
      <c r="AE1055" s="4">
        <f>$K$1055*$Y$1055</f>
        <v>0</v>
      </c>
      <c r="AF1055" s="4">
        <f ca="1">$M$1055*$Z$1055</f>
        <v>100.13744845215756</v>
      </c>
      <c r="AG1055" s="4">
        <f>$O$1055*$AA$1055</f>
        <v>84.380052826356064</v>
      </c>
    </row>
    <row r="1056" spans="1:33" ht="11.25" customHeight="1" x14ac:dyDescent="0.25">
      <c r="A1056" s="3" t="s">
        <v>28</v>
      </c>
      <c r="B1056" s="3" t="s">
        <v>37</v>
      </c>
      <c r="C1056" s="3" t="s">
        <v>23</v>
      </c>
      <c r="D1056" s="3" t="s">
        <v>38</v>
      </c>
      <c r="E1056" s="3" t="s">
        <v>25</v>
      </c>
      <c r="F1056" s="3" t="s">
        <v>25</v>
      </c>
      <c r="G1056" s="3" t="s">
        <v>25</v>
      </c>
      <c r="H1056" s="3" t="s">
        <v>25</v>
      </c>
      <c r="I1056" s="6">
        <v>44593</v>
      </c>
      <c r="J1056" s="4">
        <v>0</v>
      </c>
      <c r="K1056" s="4">
        <v>0</v>
      </c>
      <c r="L1056" s="4">
        <v>6.0030000000000001</v>
      </c>
      <c r="M1056" s="4">
        <v>6.0030000000000001</v>
      </c>
      <c r="N1056" s="4">
        <v>6.0030000000000001</v>
      </c>
      <c r="O1056" s="4">
        <v>6.0030000000000001</v>
      </c>
      <c r="P1056" s="4">
        <v>2</v>
      </c>
      <c r="Q1056" s="3" t="s">
        <v>26</v>
      </c>
      <c r="R1056" s="3">
        <v>0</v>
      </c>
      <c r="S1056" s="4">
        <v>0</v>
      </c>
      <c r="T1056" s="4">
        <v>33</v>
      </c>
      <c r="U1056" s="4">
        <v>87</v>
      </c>
      <c r="V1056" s="4">
        <f>IF(ISERROR(VLOOKUP($S$1056,'TAR FIN'!$A$1:$O$92,15,0)),0,VLOOKUP($S$1056,'TAR FIN'!$A$1:$O$92,15,0))</f>
        <v>0</v>
      </c>
      <c r="W1056" s="4">
        <f>IF(ISERROR(VLOOKUP($T$1056,'TAR FIN'!$A$1:$O$92,15,0)),0,VLOOKUP($T$1056,'TAR FIN'!$A$1:$O$92,15,0))</f>
        <v>311.27999999999997</v>
      </c>
      <c r="X1056" s="4">
        <f>IF(ISERROR(VLOOKUP($U$1056,'TAR FIN'!$A$1:$O$92,15,0)),0,VLOOKUP($U$1056,'TAR FIN'!$A$1:$O$92,15,0))</f>
        <v>268.89</v>
      </c>
      <c r="Y1056" s="4"/>
      <c r="Z1056" s="4">
        <f ca="1">('TUSD BE'!$AM$48+'TUSD BF'!$AM$48+'TUSD CVA'!$AM$48)*1</f>
        <v>398.95397789704208</v>
      </c>
      <c r="AA1056" s="4">
        <f>('TE BE'!$AB$39+'TE BF'!$AB$39+'TE CVA'!$AB$39)*1</f>
        <v>336.17550926835082</v>
      </c>
      <c r="AB1056" s="4">
        <f>$K$1056*$V$1056</f>
        <v>0</v>
      </c>
      <c r="AC1056" s="4">
        <f>$M$1056*$W$1056</f>
        <v>1868.61384</v>
      </c>
      <c r="AD1056" s="4">
        <f>$O$1056*$X$1056</f>
        <v>1614.1466699999999</v>
      </c>
      <c r="AE1056" s="4">
        <f>$K$1056*$Y$1056</f>
        <v>0</v>
      </c>
      <c r="AF1056" s="4">
        <f ca="1">$M$1056*$Z$1056</f>
        <v>2394.9207293159438</v>
      </c>
      <c r="AG1056" s="4">
        <f>$O$1056*$AA$1056</f>
        <v>2018.0615821379101</v>
      </c>
    </row>
    <row r="1057" spans="1:33" ht="11.25" customHeight="1" x14ac:dyDescent="0.25">
      <c r="A1057" s="3" t="s">
        <v>21</v>
      </c>
      <c r="B1057" s="3" t="s">
        <v>37</v>
      </c>
      <c r="C1057" s="3" t="s">
        <v>23</v>
      </c>
      <c r="D1057" s="3" t="s">
        <v>38</v>
      </c>
      <c r="E1057" s="3" t="s">
        <v>25</v>
      </c>
      <c r="F1057" s="3" t="s">
        <v>25</v>
      </c>
      <c r="G1057" s="3" t="s">
        <v>25</v>
      </c>
      <c r="H1057" s="3" t="s">
        <v>25</v>
      </c>
      <c r="I1057" s="6">
        <v>44621</v>
      </c>
      <c r="J1057" s="4">
        <v>0</v>
      </c>
      <c r="K1057" s="4">
        <v>0</v>
      </c>
      <c r="L1057" s="4">
        <v>622.48699999999997</v>
      </c>
      <c r="M1057" s="4">
        <v>622.48699999999997</v>
      </c>
      <c r="N1057" s="4">
        <v>622.48699999999997</v>
      </c>
      <c r="O1057" s="4">
        <v>622.48699999999997</v>
      </c>
      <c r="P1057" s="4">
        <v>336</v>
      </c>
      <c r="Q1057" s="3" t="s">
        <v>26</v>
      </c>
      <c r="R1057" s="3">
        <v>0</v>
      </c>
      <c r="S1057" s="4">
        <v>0</v>
      </c>
      <c r="T1057" s="4">
        <v>33</v>
      </c>
      <c r="U1057" s="4">
        <v>87</v>
      </c>
      <c r="V1057" s="4">
        <f>IF(ISERROR(VLOOKUP($S$1057,'TAR FIN'!$A$1:$O$92,15,0)),0,VLOOKUP($S$1057,'TAR FIN'!$A$1:$O$92,15,0))</f>
        <v>0</v>
      </c>
      <c r="W1057" s="4">
        <f>IF(ISERROR(VLOOKUP($T$1057,'TAR FIN'!$A$1:$O$92,15,0)),0,VLOOKUP($T$1057,'TAR FIN'!$A$1:$O$92,15,0))</f>
        <v>311.27999999999997</v>
      </c>
      <c r="X1057" s="4">
        <f>IF(ISERROR(VLOOKUP($U$1057,'TAR FIN'!$A$1:$O$92,15,0)),0,VLOOKUP($U$1057,'TAR FIN'!$A$1:$O$92,15,0))</f>
        <v>268.89</v>
      </c>
      <c r="Y1057" s="4"/>
      <c r="Z1057" s="4">
        <f ca="1">('TUSD BE'!$AM$48+'TUSD BF'!$AM$48+'TUSD CVA'!$AM$48)*1</f>
        <v>398.95397789704208</v>
      </c>
      <c r="AA1057" s="4">
        <f>('TE BE'!$AB$39+'TE BF'!$AB$39+'TE CVA'!$AB$39)*1</f>
        <v>336.17550926835082</v>
      </c>
      <c r="AB1057" s="4">
        <f>$K$1057*$V$1057</f>
        <v>0</v>
      </c>
      <c r="AC1057" s="4">
        <f>$M$1057*$W$1057</f>
        <v>193767.75335999997</v>
      </c>
      <c r="AD1057" s="4">
        <f>$O$1057*$X$1057</f>
        <v>167380.52943</v>
      </c>
      <c r="AE1057" s="4">
        <f>$K$1057*$Y$1057</f>
        <v>0</v>
      </c>
      <c r="AF1057" s="4">
        <f ca="1">$M$1057*$Z$1057</f>
        <v>248343.66483919602</v>
      </c>
      <c r="AG1057" s="4">
        <f>$O$1057*$AA$1057</f>
        <v>209264.88423792788</v>
      </c>
    </row>
    <row r="1058" spans="1:33" ht="11.25" customHeight="1" x14ac:dyDescent="0.25">
      <c r="A1058" s="3" t="s">
        <v>28</v>
      </c>
      <c r="B1058" s="3" t="s">
        <v>37</v>
      </c>
      <c r="C1058" s="3" t="s">
        <v>23</v>
      </c>
      <c r="D1058" s="3" t="s">
        <v>38</v>
      </c>
      <c r="E1058" s="3" t="s">
        <v>25</v>
      </c>
      <c r="F1058" s="3" t="s">
        <v>25</v>
      </c>
      <c r="G1058" s="3" t="s">
        <v>25</v>
      </c>
      <c r="H1058" s="3" t="s">
        <v>25</v>
      </c>
      <c r="I1058" s="6">
        <v>44621</v>
      </c>
      <c r="J1058" s="4">
        <v>0</v>
      </c>
      <c r="K1058" s="4">
        <v>0</v>
      </c>
      <c r="L1058" s="4">
        <v>6.26</v>
      </c>
      <c r="M1058" s="4">
        <v>6.26</v>
      </c>
      <c r="N1058" s="4">
        <v>6.26</v>
      </c>
      <c r="O1058" s="4">
        <v>6.26</v>
      </c>
      <c r="P1058" s="4">
        <v>2</v>
      </c>
      <c r="Q1058" s="3" t="s">
        <v>26</v>
      </c>
      <c r="R1058" s="3">
        <v>0</v>
      </c>
      <c r="S1058" s="4">
        <v>0</v>
      </c>
      <c r="T1058" s="4">
        <v>33</v>
      </c>
      <c r="U1058" s="4">
        <v>87</v>
      </c>
      <c r="V1058" s="4">
        <f>IF(ISERROR(VLOOKUP($S$1058,'TAR FIN'!$A$1:$O$92,15,0)),0,VLOOKUP($S$1058,'TAR FIN'!$A$1:$O$92,15,0))</f>
        <v>0</v>
      </c>
      <c r="W1058" s="4">
        <f>IF(ISERROR(VLOOKUP($T$1058,'TAR FIN'!$A$1:$O$92,15,0)),0,VLOOKUP($T$1058,'TAR FIN'!$A$1:$O$92,15,0))</f>
        <v>311.27999999999997</v>
      </c>
      <c r="X1058" s="4">
        <f>IF(ISERROR(VLOOKUP($U$1058,'TAR FIN'!$A$1:$O$92,15,0)),0,VLOOKUP($U$1058,'TAR FIN'!$A$1:$O$92,15,0))</f>
        <v>268.89</v>
      </c>
      <c r="Y1058" s="4"/>
      <c r="Z1058" s="4">
        <f ca="1">('TUSD BE'!$AM$48+'TUSD BF'!$AM$48+'TUSD CVA'!$AM$48)*1</f>
        <v>398.95397789704208</v>
      </c>
      <c r="AA1058" s="4">
        <f>('TE BE'!$AB$39+'TE BF'!$AB$39+'TE CVA'!$AB$39)*1</f>
        <v>336.17550926835082</v>
      </c>
      <c r="AB1058" s="4">
        <f>$K$1058*$V$1058</f>
        <v>0</v>
      </c>
      <c r="AC1058" s="4">
        <f>$M$1058*$W$1058</f>
        <v>1948.6127999999997</v>
      </c>
      <c r="AD1058" s="4">
        <f>$O$1058*$X$1058</f>
        <v>1683.2513999999999</v>
      </c>
      <c r="AE1058" s="4">
        <f>$K$1058*$Y$1058</f>
        <v>0</v>
      </c>
      <c r="AF1058" s="4">
        <f ca="1">$M$1058*$Z$1058</f>
        <v>2497.4519016354834</v>
      </c>
      <c r="AG1058" s="4">
        <f>$O$1058*$AA$1058</f>
        <v>2104.4586880198763</v>
      </c>
    </row>
    <row r="1059" spans="1:33" ht="11.25" customHeight="1" x14ac:dyDescent="0.25">
      <c r="A1059" s="3" t="s">
        <v>21</v>
      </c>
      <c r="B1059" s="3" t="s">
        <v>37</v>
      </c>
      <c r="C1059" s="3" t="s">
        <v>23</v>
      </c>
      <c r="D1059" s="3" t="s">
        <v>38</v>
      </c>
      <c r="E1059" s="3" t="s">
        <v>25</v>
      </c>
      <c r="F1059" s="3" t="s">
        <v>25</v>
      </c>
      <c r="G1059" s="3" t="s">
        <v>25</v>
      </c>
      <c r="H1059" s="3" t="s">
        <v>25</v>
      </c>
      <c r="I1059" s="6">
        <v>44652</v>
      </c>
      <c r="J1059" s="4">
        <v>0</v>
      </c>
      <c r="K1059" s="4">
        <v>0</v>
      </c>
      <c r="L1059" s="4">
        <v>622.48699999999997</v>
      </c>
      <c r="M1059" s="4">
        <v>622.48699999999997</v>
      </c>
      <c r="N1059" s="4">
        <v>622.48699999999997</v>
      </c>
      <c r="O1059" s="4">
        <v>622.48699999999997</v>
      </c>
      <c r="P1059" s="4">
        <v>336</v>
      </c>
      <c r="Q1059" s="3" t="s">
        <v>26</v>
      </c>
      <c r="R1059" s="3">
        <v>0</v>
      </c>
      <c r="S1059" s="4">
        <v>0</v>
      </c>
      <c r="T1059" s="4">
        <v>33</v>
      </c>
      <c r="U1059" s="4">
        <v>87</v>
      </c>
      <c r="V1059" s="4">
        <f>IF(ISERROR(VLOOKUP($S$1059,'TAR FIN'!$A$1:$O$92,15,0)),0,VLOOKUP($S$1059,'TAR FIN'!$A$1:$O$92,15,0))</f>
        <v>0</v>
      </c>
      <c r="W1059" s="4">
        <f>IF(ISERROR(VLOOKUP($T$1059,'TAR FIN'!$A$1:$O$92,15,0)),0,VLOOKUP($T$1059,'TAR FIN'!$A$1:$O$92,15,0))</f>
        <v>311.27999999999997</v>
      </c>
      <c r="X1059" s="4">
        <f>IF(ISERROR(VLOOKUP($U$1059,'TAR FIN'!$A$1:$O$92,15,0)),0,VLOOKUP($U$1059,'TAR FIN'!$A$1:$O$92,15,0))</f>
        <v>268.89</v>
      </c>
      <c r="Y1059" s="4"/>
      <c r="Z1059" s="4">
        <f ca="1">('TUSD BE'!$AM$48+'TUSD BF'!$AM$48+'TUSD CVA'!$AM$48)*1</f>
        <v>398.95397789704208</v>
      </c>
      <c r="AA1059" s="4">
        <f>('TE BE'!$AB$39+'TE BF'!$AB$39+'TE CVA'!$AB$39)*1</f>
        <v>336.17550926835082</v>
      </c>
      <c r="AB1059" s="4">
        <f>$K$1059*$V$1059</f>
        <v>0</v>
      </c>
      <c r="AC1059" s="4">
        <f>$M$1059*$W$1059</f>
        <v>193767.75335999997</v>
      </c>
      <c r="AD1059" s="4">
        <f>$O$1059*$X$1059</f>
        <v>167380.52943</v>
      </c>
      <c r="AE1059" s="4">
        <f>$K$1059*$Y$1059</f>
        <v>0</v>
      </c>
      <c r="AF1059" s="4">
        <f ca="1">$M$1059*$Z$1059</f>
        <v>248343.66483919602</v>
      </c>
      <c r="AG1059" s="4">
        <f>$O$1059*$AA$1059</f>
        <v>209264.88423792788</v>
      </c>
    </row>
    <row r="1060" spans="1:33" ht="11.25" customHeight="1" x14ac:dyDescent="0.25">
      <c r="A1060" s="3" t="s">
        <v>28</v>
      </c>
      <c r="B1060" s="3" t="s">
        <v>37</v>
      </c>
      <c r="C1060" s="3" t="s">
        <v>23</v>
      </c>
      <c r="D1060" s="3" t="s">
        <v>38</v>
      </c>
      <c r="E1060" s="3" t="s">
        <v>25</v>
      </c>
      <c r="F1060" s="3" t="s">
        <v>25</v>
      </c>
      <c r="G1060" s="3" t="s">
        <v>25</v>
      </c>
      <c r="H1060" s="3" t="s">
        <v>25</v>
      </c>
      <c r="I1060" s="6">
        <v>44652</v>
      </c>
      <c r="J1060" s="4">
        <v>0</v>
      </c>
      <c r="K1060" s="4">
        <v>0</v>
      </c>
      <c r="L1060" s="4">
        <v>6.26</v>
      </c>
      <c r="M1060" s="4">
        <v>6.26</v>
      </c>
      <c r="N1060" s="4">
        <v>6.26</v>
      </c>
      <c r="O1060" s="4">
        <v>6.26</v>
      </c>
      <c r="P1060" s="4">
        <v>2</v>
      </c>
      <c r="Q1060" s="3" t="s">
        <v>26</v>
      </c>
      <c r="R1060" s="3">
        <v>0</v>
      </c>
      <c r="S1060" s="4">
        <v>0</v>
      </c>
      <c r="T1060" s="4">
        <v>33</v>
      </c>
      <c r="U1060" s="4">
        <v>87</v>
      </c>
      <c r="V1060" s="4">
        <f>IF(ISERROR(VLOOKUP($S$1060,'TAR FIN'!$A$1:$O$92,15,0)),0,VLOOKUP($S$1060,'TAR FIN'!$A$1:$O$92,15,0))</f>
        <v>0</v>
      </c>
      <c r="W1060" s="4">
        <f>IF(ISERROR(VLOOKUP($T$1060,'TAR FIN'!$A$1:$O$92,15,0)),0,VLOOKUP($T$1060,'TAR FIN'!$A$1:$O$92,15,0))</f>
        <v>311.27999999999997</v>
      </c>
      <c r="X1060" s="4">
        <f>IF(ISERROR(VLOOKUP($U$1060,'TAR FIN'!$A$1:$O$92,15,0)),0,VLOOKUP($U$1060,'TAR FIN'!$A$1:$O$92,15,0))</f>
        <v>268.89</v>
      </c>
      <c r="Y1060" s="4"/>
      <c r="Z1060" s="4">
        <f ca="1">('TUSD BE'!$AM$48+'TUSD BF'!$AM$48+'TUSD CVA'!$AM$48)*1</f>
        <v>398.95397789704208</v>
      </c>
      <c r="AA1060" s="4">
        <f>('TE BE'!$AB$39+'TE BF'!$AB$39+'TE CVA'!$AB$39)*1</f>
        <v>336.17550926835082</v>
      </c>
      <c r="AB1060" s="4">
        <f>$K$1060*$V$1060</f>
        <v>0</v>
      </c>
      <c r="AC1060" s="4">
        <f>$M$1060*$W$1060</f>
        <v>1948.6127999999997</v>
      </c>
      <c r="AD1060" s="4">
        <f>$O$1060*$X$1060</f>
        <v>1683.2513999999999</v>
      </c>
      <c r="AE1060" s="4">
        <f>$K$1060*$Y$1060</f>
        <v>0</v>
      </c>
      <c r="AF1060" s="4">
        <f ca="1">$M$1060*$Z$1060</f>
        <v>2497.4519016354834</v>
      </c>
      <c r="AG1060" s="4">
        <f>$O$1060*$AA$1060</f>
        <v>2104.4586880198763</v>
      </c>
    </row>
    <row r="1061" spans="1:33" ht="11.25" customHeight="1" x14ac:dyDescent="0.25">
      <c r="A1061" s="3" t="s">
        <v>21</v>
      </c>
      <c r="B1061" s="3" t="s">
        <v>37</v>
      </c>
      <c r="C1061" s="3" t="s">
        <v>23</v>
      </c>
      <c r="D1061" s="3" t="s">
        <v>38</v>
      </c>
      <c r="E1061" s="3" t="s">
        <v>25</v>
      </c>
      <c r="F1061" s="3" t="s">
        <v>25</v>
      </c>
      <c r="G1061" s="3" t="s">
        <v>25</v>
      </c>
      <c r="H1061" s="3" t="s">
        <v>25</v>
      </c>
      <c r="I1061" s="6">
        <v>44682</v>
      </c>
      <c r="J1061" s="4">
        <v>0</v>
      </c>
      <c r="K1061" s="4">
        <v>0</v>
      </c>
      <c r="L1061" s="4">
        <v>566.77200000000005</v>
      </c>
      <c r="M1061" s="4">
        <v>566.77200000000005</v>
      </c>
      <c r="N1061" s="4">
        <v>566.77200000000005</v>
      </c>
      <c r="O1061" s="4">
        <v>566.77200000000005</v>
      </c>
      <c r="P1061" s="4">
        <v>334</v>
      </c>
      <c r="Q1061" s="3" t="s">
        <v>26</v>
      </c>
      <c r="R1061" s="3">
        <v>0</v>
      </c>
      <c r="S1061" s="4">
        <v>0</v>
      </c>
      <c r="T1061" s="4">
        <v>33</v>
      </c>
      <c r="U1061" s="4">
        <v>87</v>
      </c>
      <c r="V1061" s="4">
        <f>IF(ISERROR(VLOOKUP($S$1061,'TAR FIN'!$A$1:$O$92,15,0)),0,VLOOKUP($S$1061,'TAR FIN'!$A$1:$O$92,15,0))</f>
        <v>0</v>
      </c>
      <c r="W1061" s="4">
        <f>IF(ISERROR(VLOOKUP($T$1061,'TAR FIN'!$A$1:$O$92,15,0)),0,VLOOKUP($T$1061,'TAR FIN'!$A$1:$O$92,15,0))</f>
        <v>311.27999999999997</v>
      </c>
      <c r="X1061" s="4">
        <f>IF(ISERROR(VLOOKUP($U$1061,'TAR FIN'!$A$1:$O$92,15,0)),0,VLOOKUP($U$1061,'TAR FIN'!$A$1:$O$92,15,0))</f>
        <v>268.89</v>
      </c>
      <c r="Y1061" s="4"/>
      <c r="Z1061" s="4">
        <f ca="1">('TUSD BE'!$AM$48+'TUSD BF'!$AM$48+'TUSD CVA'!$AM$48)*1</f>
        <v>398.95397789704208</v>
      </c>
      <c r="AA1061" s="4">
        <f>('TE BE'!$AB$39+'TE BF'!$AB$39+'TE CVA'!$AB$39)*1</f>
        <v>336.17550926835082</v>
      </c>
      <c r="AB1061" s="4">
        <f>$K$1061*$V$1061</f>
        <v>0</v>
      </c>
      <c r="AC1061" s="4">
        <f>$M$1061*$W$1061</f>
        <v>176424.78816</v>
      </c>
      <c r="AD1061" s="4">
        <f>$O$1061*$X$1061</f>
        <v>152399.32308</v>
      </c>
      <c r="AE1061" s="4">
        <f>$K$1061*$Y$1061</f>
        <v>0</v>
      </c>
      <c r="AF1061" s="4">
        <f ca="1">$M$1061*$Z$1061</f>
        <v>226115.94396066235</v>
      </c>
      <c r="AG1061" s="4">
        <f>$O$1061*$AA$1061</f>
        <v>190534.86573904174</v>
      </c>
    </row>
    <row r="1062" spans="1:33" ht="11.25" customHeight="1" x14ac:dyDescent="0.25">
      <c r="A1062" s="3" t="s">
        <v>27</v>
      </c>
      <c r="B1062" s="3" t="s">
        <v>37</v>
      </c>
      <c r="C1062" s="3" t="s">
        <v>23</v>
      </c>
      <c r="D1062" s="3" t="s">
        <v>38</v>
      </c>
      <c r="E1062" s="3" t="s">
        <v>25</v>
      </c>
      <c r="F1062" s="3" t="s">
        <v>25</v>
      </c>
      <c r="G1062" s="3" t="s">
        <v>25</v>
      </c>
      <c r="H1062" s="3" t="s">
        <v>25</v>
      </c>
      <c r="I1062" s="6">
        <v>44682</v>
      </c>
      <c r="J1062" s="4">
        <v>0</v>
      </c>
      <c r="K1062" s="4">
        <v>0</v>
      </c>
      <c r="L1062" s="4">
        <v>-2.74</v>
      </c>
      <c r="M1062" s="4">
        <v>-2.74</v>
      </c>
      <c r="N1062" s="4">
        <v>-2.74</v>
      </c>
      <c r="O1062" s="4">
        <v>-2.74</v>
      </c>
      <c r="P1062" s="4">
        <v>0</v>
      </c>
      <c r="Q1062" s="3" t="s">
        <v>26</v>
      </c>
      <c r="R1062" s="3">
        <v>0</v>
      </c>
      <c r="S1062" s="4">
        <v>0</v>
      </c>
      <c r="T1062" s="4">
        <v>33</v>
      </c>
      <c r="U1062" s="4">
        <v>87</v>
      </c>
      <c r="V1062" s="4">
        <f>IF(ISERROR(VLOOKUP($S$1062,'TAR FIN'!$A$1:$O$92,15,0)),0,VLOOKUP($S$1062,'TAR FIN'!$A$1:$O$92,15,0))</f>
        <v>0</v>
      </c>
      <c r="W1062" s="4">
        <f>IF(ISERROR(VLOOKUP($T$1062,'TAR FIN'!$A$1:$O$92,15,0)),0,VLOOKUP($T$1062,'TAR FIN'!$A$1:$O$92,15,0))</f>
        <v>311.27999999999997</v>
      </c>
      <c r="X1062" s="4">
        <f>IF(ISERROR(VLOOKUP($U$1062,'TAR FIN'!$A$1:$O$92,15,0)),0,VLOOKUP($U$1062,'TAR FIN'!$A$1:$O$92,15,0))</f>
        <v>268.89</v>
      </c>
      <c r="Y1062" s="4"/>
      <c r="Z1062" s="4">
        <f ca="1">('TUSD BE'!$AM$48+'TUSD BF'!$AM$48+'TUSD CVA'!$AM$48)*1</f>
        <v>398.95397789704208</v>
      </c>
      <c r="AA1062" s="4">
        <f>('TE BE'!$AB$39+'TE BF'!$AB$39+'TE CVA'!$AB$39)*1</f>
        <v>336.17550926835082</v>
      </c>
      <c r="AB1062" s="4">
        <f>$K$1062*$V$1062</f>
        <v>0</v>
      </c>
      <c r="AC1062" s="4">
        <f>$M$1062*$W$1062</f>
        <v>-852.90719999999999</v>
      </c>
      <c r="AD1062" s="4">
        <f>$O$1062*$X$1062</f>
        <v>-736.7586</v>
      </c>
      <c r="AE1062" s="4">
        <f>$K$1062*$Y$1062</f>
        <v>0</v>
      </c>
      <c r="AF1062" s="4">
        <f ca="1">$M$1062*$Z$1062</f>
        <v>-1093.1338994378955</v>
      </c>
      <c r="AG1062" s="4">
        <f>$O$1062*$AA$1062</f>
        <v>-921.12089539528131</v>
      </c>
    </row>
    <row r="1063" spans="1:33" ht="11.25" customHeight="1" x14ac:dyDescent="0.25">
      <c r="A1063" s="3" t="s">
        <v>28</v>
      </c>
      <c r="B1063" s="3" t="s">
        <v>37</v>
      </c>
      <c r="C1063" s="3" t="s">
        <v>23</v>
      </c>
      <c r="D1063" s="3" t="s">
        <v>38</v>
      </c>
      <c r="E1063" s="3" t="s">
        <v>25</v>
      </c>
      <c r="F1063" s="3" t="s">
        <v>25</v>
      </c>
      <c r="G1063" s="3" t="s">
        <v>25</v>
      </c>
      <c r="H1063" s="3" t="s">
        <v>25</v>
      </c>
      <c r="I1063" s="6">
        <v>44682</v>
      </c>
      <c r="J1063" s="4">
        <v>0</v>
      </c>
      <c r="K1063" s="4">
        <v>0</v>
      </c>
      <c r="L1063" s="4">
        <v>23.172000000000001</v>
      </c>
      <c r="M1063" s="4">
        <v>23.172000000000001</v>
      </c>
      <c r="N1063" s="4">
        <v>23.172000000000001</v>
      </c>
      <c r="O1063" s="4">
        <v>23.172000000000001</v>
      </c>
      <c r="P1063" s="4">
        <v>8</v>
      </c>
      <c r="Q1063" s="3" t="s">
        <v>26</v>
      </c>
      <c r="R1063" s="3">
        <v>0</v>
      </c>
      <c r="S1063" s="4">
        <v>0</v>
      </c>
      <c r="T1063" s="4">
        <v>33</v>
      </c>
      <c r="U1063" s="4">
        <v>87</v>
      </c>
      <c r="V1063" s="4">
        <f>IF(ISERROR(VLOOKUP($S$1063,'TAR FIN'!$A$1:$O$92,15,0)),0,VLOOKUP($S$1063,'TAR FIN'!$A$1:$O$92,15,0))</f>
        <v>0</v>
      </c>
      <c r="W1063" s="4">
        <f>IF(ISERROR(VLOOKUP($T$1063,'TAR FIN'!$A$1:$O$92,15,0)),0,VLOOKUP($T$1063,'TAR FIN'!$A$1:$O$92,15,0))</f>
        <v>311.27999999999997</v>
      </c>
      <c r="X1063" s="4">
        <f>IF(ISERROR(VLOOKUP($U$1063,'TAR FIN'!$A$1:$O$92,15,0)),0,VLOOKUP($U$1063,'TAR FIN'!$A$1:$O$92,15,0))</f>
        <v>268.89</v>
      </c>
      <c r="Y1063" s="4"/>
      <c r="Z1063" s="4">
        <f ca="1">('TUSD BE'!$AM$48+'TUSD BF'!$AM$48+'TUSD CVA'!$AM$48)*1</f>
        <v>398.95397789704208</v>
      </c>
      <c r="AA1063" s="4">
        <f>('TE BE'!$AB$39+'TE BF'!$AB$39+'TE CVA'!$AB$39)*1</f>
        <v>336.17550926835082</v>
      </c>
      <c r="AB1063" s="4">
        <f>$K$1063*$V$1063</f>
        <v>0</v>
      </c>
      <c r="AC1063" s="4">
        <f>$M$1063*$W$1063</f>
        <v>7212.9801599999992</v>
      </c>
      <c r="AD1063" s="4">
        <f>$O$1063*$X$1063</f>
        <v>6230.7190799999998</v>
      </c>
      <c r="AE1063" s="4">
        <f>$K$1063*$Y$1063</f>
        <v>0</v>
      </c>
      <c r="AF1063" s="4">
        <f ca="1">$M$1063*$Z$1063</f>
        <v>9244.5615758302592</v>
      </c>
      <c r="AG1063" s="4">
        <f>$O$1063*$AA$1063</f>
        <v>7789.8589007662258</v>
      </c>
    </row>
    <row r="1064" spans="1:33" ht="11.25" customHeight="1" x14ac:dyDescent="0.25">
      <c r="A1064" s="3" t="s">
        <v>21</v>
      </c>
      <c r="B1064" s="3" t="s">
        <v>37</v>
      </c>
      <c r="C1064" s="3" t="s">
        <v>23</v>
      </c>
      <c r="D1064" s="3" t="s">
        <v>38</v>
      </c>
      <c r="E1064" s="3" t="s">
        <v>25</v>
      </c>
      <c r="F1064" s="3" t="s">
        <v>25</v>
      </c>
      <c r="G1064" s="3" t="s">
        <v>25</v>
      </c>
      <c r="H1064" s="3" t="s">
        <v>25</v>
      </c>
      <c r="I1064" s="6">
        <v>44713</v>
      </c>
      <c r="J1064" s="4">
        <v>0</v>
      </c>
      <c r="K1064" s="4">
        <v>0</v>
      </c>
      <c r="L1064" s="4">
        <v>551.89300000000003</v>
      </c>
      <c r="M1064" s="4">
        <v>551.89300000000003</v>
      </c>
      <c r="N1064" s="4">
        <v>551.89300000000003</v>
      </c>
      <c r="O1064" s="4">
        <v>551.89300000000003</v>
      </c>
      <c r="P1064" s="4">
        <v>335</v>
      </c>
      <c r="Q1064" s="3" t="s">
        <v>26</v>
      </c>
      <c r="R1064" s="3">
        <v>0</v>
      </c>
      <c r="S1064" s="4">
        <v>0</v>
      </c>
      <c r="T1064" s="4">
        <v>33</v>
      </c>
      <c r="U1064" s="4">
        <v>87</v>
      </c>
      <c r="V1064" s="4">
        <f>IF(ISERROR(VLOOKUP($S$1064,'TAR FIN'!$A$1:$O$92,15,0)),0,VLOOKUP($S$1064,'TAR FIN'!$A$1:$O$92,15,0))</f>
        <v>0</v>
      </c>
      <c r="W1064" s="4">
        <f>IF(ISERROR(VLOOKUP($T$1064,'TAR FIN'!$A$1:$O$92,15,0)),0,VLOOKUP($T$1064,'TAR FIN'!$A$1:$O$92,15,0))</f>
        <v>311.27999999999997</v>
      </c>
      <c r="X1064" s="4">
        <f>IF(ISERROR(VLOOKUP($U$1064,'TAR FIN'!$A$1:$O$92,15,0)),0,VLOOKUP($U$1064,'TAR FIN'!$A$1:$O$92,15,0))</f>
        <v>268.89</v>
      </c>
      <c r="Y1064" s="4"/>
      <c r="Z1064" s="4">
        <f ca="1">('TUSD BE'!$AM$48+'TUSD BF'!$AM$48+'TUSD CVA'!$AM$48)*1</f>
        <v>398.95397789704208</v>
      </c>
      <c r="AA1064" s="4">
        <f>('TE BE'!$AB$39+'TE BF'!$AB$39+'TE CVA'!$AB$39)*1</f>
        <v>336.17550926835082</v>
      </c>
      <c r="AB1064" s="4">
        <f>$K$1064*$V$1064</f>
        <v>0</v>
      </c>
      <c r="AC1064" s="4">
        <f>$M$1064*$W$1064</f>
        <v>171793.25303999998</v>
      </c>
      <c r="AD1064" s="4">
        <f>$O$1064*$X$1064</f>
        <v>148398.50876999999</v>
      </c>
      <c r="AE1064" s="4">
        <f>$K$1064*$Y$1064</f>
        <v>0</v>
      </c>
      <c r="AF1064" s="4">
        <f ca="1">$M$1064*$Z$1064</f>
        <v>220179.90772353226</v>
      </c>
      <c r="AG1064" s="4">
        <f>$O$1064*$AA$1064</f>
        <v>185532.91033663796</v>
      </c>
    </row>
    <row r="1065" spans="1:33" ht="11.25" customHeight="1" x14ac:dyDescent="0.25">
      <c r="A1065" s="3" t="s">
        <v>28</v>
      </c>
      <c r="B1065" s="3" t="s">
        <v>37</v>
      </c>
      <c r="C1065" s="3" t="s">
        <v>23</v>
      </c>
      <c r="D1065" s="3" t="s">
        <v>38</v>
      </c>
      <c r="E1065" s="3" t="s">
        <v>25</v>
      </c>
      <c r="F1065" s="3" t="s">
        <v>25</v>
      </c>
      <c r="G1065" s="3" t="s">
        <v>25</v>
      </c>
      <c r="H1065" s="3" t="s">
        <v>25</v>
      </c>
      <c r="I1065" s="6">
        <v>44713</v>
      </c>
      <c r="J1065" s="4">
        <v>0</v>
      </c>
      <c r="K1065" s="4">
        <v>0</v>
      </c>
      <c r="L1065" s="4">
        <v>4.8869999999999996</v>
      </c>
      <c r="M1065" s="4">
        <v>4.8869999999999996</v>
      </c>
      <c r="N1065" s="4">
        <v>4.8869999999999996</v>
      </c>
      <c r="O1065" s="4">
        <v>4.8869999999999996</v>
      </c>
      <c r="P1065" s="4">
        <v>2</v>
      </c>
      <c r="Q1065" s="3" t="s">
        <v>26</v>
      </c>
      <c r="R1065" s="3">
        <v>0</v>
      </c>
      <c r="S1065" s="4">
        <v>0</v>
      </c>
      <c r="T1065" s="4">
        <v>33</v>
      </c>
      <c r="U1065" s="4">
        <v>87</v>
      </c>
      <c r="V1065" s="4">
        <f>IF(ISERROR(VLOOKUP($S$1065,'TAR FIN'!$A$1:$O$92,15,0)),0,VLOOKUP($S$1065,'TAR FIN'!$A$1:$O$92,15,0))</f>
        <v>0</v>
      </c>
      <c r="W1065" s="4">
        <f>IF(ISERROR(VLOOKUP($T$1065,'TAR FIN'!$A$1:$O$92,15,0)),0,VLOOKUP($T$1065,'TAR FIN'!$A$1:$O$92,15,0))</f>
        <v>311.27999999999997</v>
      </c>
      <c r="X1065" s="4">
        <f>IF(ISERROR(VLOOKUP($U$1065,'TAR FIN'!$A$1:$O$92,15,0)),0,VLOOKUP($U$1065,'TAR FIN'!$A$1:$O$92,15,0))</f>
        <v>268.89</v>
      </c>
      <c r="Y1065" s="4"/>
      <c r="Z1065" s="4">
        <f ca="1">('TUSD BE'!$AM$48+'TUSD BF'!$AM$48+'TUSD CVA'!$AM$48)*1</f>
        <v>398.95397789704208</v>
      </c>
      <c r="AA1065" s="4">
        <f>('TE BE'!$AB$39+'TE BF'!$AB$39+'TE CVA'!$AB$39)*1</f>
        <v>336.17550926835082</v>
      </c>
      <c r="AB1065" s="4">
        <f>$K$1065*$V$1065</f>
        <v>0</v>
      </c>
      <c r="AC1065" s="4">
        <f>$M$1065*$W$1065</f>
        <v>1521.2253599999997</v>
      </c>
      <c r="AD1065" s="4">
        <f>$O$1065*$X$1065</f>
        <v>1314.0654299999999</v>
      </c>
      <c r="AE1065" s="4">
        <f>$K$1065*$Y$1065</f>
        <v>0</v>
      </c>
      <c r="AF1065" s="4">
        <f ca="1">$M$1065*$Z$1065</f>
        <v>1949.6880899828445</v>
      </c>
      <c r="AG1065" s="4">
        <f>$O$1065*$AA$1065</f>
        <v>1642.8897137944302</v>
      </c>
    </row>
    <row r="1066" spans="1:33" ht="11.25" customHeight="1" x14ac:dyDescent="0.25">
      <c r="A1066" s="3" t="s">
        <v>21</v>
      </c>
      <c r="B1066" s="3" t="s">
        <v>37</v>
      </c>
      <c r="C1066" s="3" t="s">
        <v>23</v>
      </c>
      <c r="D1066" s="3" t="s">
        <v>38</v>
      </c>
      <c r="E1066" s="3" t="s">
        <v>25</v>
      </c>
      <c r="F1066" s="3" t="s">
        <v>25</v>
      </c>
      <c r="G1066" s="3" t="s">
        <v>25</v>
      </c>
      <c r="H1066" s="3" t="s">
        <v>25</v>
      </c>
      <c r="I1066" s="6">
        <v>44743</v>
      </c>
      <c r="J1066" s="4">
        <v>0</v>
      </c>
      <c r="K1066" s="4">
        <v>0</v>
      </c>
      <c r="L1066" s="4">
        <v>553.22799999999995</v>
      </c>
      <c r="M1066" s="4">
        <v>553.22799999999995</v>
      </c>
      <c r="N1066" s="4">
        <v>553.22799999999995</v>
      </c>
      <c r="O1066" s="4">
        <v>553.22799999999995</v>
      </c>
      <c r="P1066" s="4">
        <v>332</v>
      </c>
      <c r="Q1066" s="3" t="s">
        <v>26</v>
      </c>
      <c r="R1066" s="3">
        <v>0</v>
      </c>
      <c r="S1066" s="4">
        <v>0</v>
      </c>
      <c r="T1066" s="4">
        <v>33</v>
      </c>
      <c r="U1066" s="4">
        <v>87</v>
      </c>
      <c r="V1066" s="4">
        <f>IF(ISERROR(VLOOKUP($S$1066,'TAR FIN'!$A$1:$O$92,15,0)),0,VLOOKUP($S$1066,'TAR FIN'!$A$1:$O$92,15,0))</f>
        <v>0</v>
      </c>
      <c r="W1066" s="4">
        <f>IF(ISERROR(VLOOKUP($T$1066,'TAR FIN'!$A$1:$O$92,15,0)),0,VLOOKUP($T$1066,'TAR FIN'!$A$1:$O$92,15,0))</f>
        <v>311.27999999999997</v>
      </c>
      <c r="X1066" s="4">
        <f>IF(ISERROR(VLOOKUP($U$1066,'TAR FIN'!$A$1:$O$92,15,0)),0,VLOOKUP($U$1066,'TAR FIN'!$A$1:$O$92,15,0))</f>
        <v>268.89</v>
      </c>
      <c r="Y1066" s="4"/>
      <c r="Z1066" s="4">
        <f ca="1">('TUSD BE'!$AM$48+'TUSD BF'!$AM$48+'TUSD CVA'!$AM$48)*1</f>
        <v>398.95397789704208</v>
      </c>
      <c r="AA1066" s="4">
        <f>('TE BE'!$AB$39+'TE BF'!$AB$39+'TE CVA'!$AB$39)*1</f>
        <v>336.17550926835082</v>
      </c>
      <c r="AB1066" s="4">
        <f>$K$1066*$V$1066</f>
        <v>0</v>
      </c>
      <c r="AC1066" s="4">
        <f>$M$1066*$W$1066</f>
        <v>172208.81183999998</v>
      </c>
      <c r="AD1066" s="4">
        <f>$O$1066*$X$1066</f>
        <v>148757.47691999999</v>
      </c>
      <c r="AE1066" s="4">
        <f>$K$1066*$Y$1066</f>
        <v>0</v>
      </c>
      <c r="AF1066" s="4">
        <f ca="1">$M$1066*$Z$1066</f>
        <v>220712.51128402477</v>
      </c>
      <c r="AG1066" s="4">
        <f>$O$1066*$AA$1066</f>
        <v>185981.70464151117</v>
      </c>
    </row>
    <row r="1067" spans="1:33" ht="11.25" customHeight="1" x14ac:dyDescent="0.25">
      <c r="A1067" s="3" t="s">
        <v>27</v>
      </c>
      <c r="B1067" s="3" t="s">
        <v>37</v>
      </c>
      <c r="C1067" s="3" t="s">
        <v>23</v>
      </c>
      <c r="D1067" s="3" t="s">
        <v>38</v>
      </c>
      <c r="E1067" s="3" t="s">
        <v>25</v>
      </c>
      <c r="F1067" s="3" t="s">
        <v>25</v>
      </c>
      <c r="G1067" s="3" t="s">
        <v>25</v>
      </c>
      <c r="H1067" s="3" t="s">
        <v>25</v>
      </c>
      <c r="I1067" s="6">
        <v>44743</v>
      </c>
      <c r="J1067" s="4">
        <v>0</v>
      </c>
      <c r="K1067" s="4">
        <v>0</v>
      </c>
      <c r="L1067" s="4">
        <v>7.07</v>
      </c>
      <c r="M1067" s="4">
        <v>7.07</v>
      </c>
      <c r="N1067" s="4">
        <v>7.07</v>
      </c>
      <c r="O1067" s="4">
        <v>7.07</v>
      </c>
      <c r="P1067" s="4">
        <v>0</v>
      </c>
      <c r="Q1067" s="3" t="s">
        <v>26</v>
      </c>
      <c r="R1067" s="3">
        <v>0</v>
      </c>
      <c r="S1067" s="4">
        <v>0</v>
      </c>
      <c r="T1067" s="4">
        <v>33</v>
      </c>
      <c r="U1067" s="4">
        <v>87</v>
      </c>
      <c r="V1067" s="4">
        <f>IF(ISERROR(VLOOKUP($S$1067,'TAR FIN'!$A$1:$O$92,15,0)),0,VLOOKUP($S$1067,'TAR FIN'!$A$1:$O$92,15,0))</f>
        <v>0</v>
      </c>
      <c r="W1067" s="4">
        <f>IF(ISERROR(VLOOKUP($T$1067,'TAR FIN'!$A$1:$O$92,15,0)),0,VLOOKUP($T$1067,'TAR FIN'!$A$1:$O$92,15,0))</f>
        <v>311.27999999999997</v>
      </c>
      <c r="X1067" s="4">
        <f>IF(ISERROR(VLOOKUP($U$1067,'TAR FIN'!$A$1:$O$92,15,0)),0,VLOOKUP($U$1067,'TAR FIN'!$A$1:$O$92,15,0))</f>
        <v>268.89</v>
      </c>
      <c r="Y1067" s="4"/>
      <c r="Z1067" s="4">
        <f ca="1">('TUSD BE'!$AM$48+'TUSD BF'!$AM$48+'TUSD CVA'!$AM$48)*1</f>
        <v>398.95397789704208</v>
      </c>
      <c r="AA1067" s="4">
        <f>('TE BE'!$AB$39+'TE BF'!$AB$39+'TE CVA'!$AB$39)*1</f>
        <v>336.17550926835082</v>
      </c>
      <c r="AB1067" s="4">
        <f>$K$1067*$V$1067</f>
        <v>0</v>
      </c>
      <c r="AC1067" s="4">
        <f>$M$1067*$W$1067</f>
        <v>2200.7496000000001</v>
      </c>
      <c r="AD1067" s="4">
        <f>$O$1067*$X$1067</f>
        <v>1901.0523000000001</v>
      </c>
      <c r="AE1067" s="4">
        <f>$K$1067*$Y$1067</f>
        <v>0</v>
      </c>
      <c r="AF1067" s="4">
        <f ca="1">$M$1067*$Z$1067</f>
        <v>2820.6046237320875</v>
      </c>
      <c r="AG1067" s="4">
        <f>$O$1067*$AA$1067</f>
        <v>2376.7608505272406</v>
      </c>
    </row>
    <row r="1068" spans="1:33" ht="11.25" customHeight="1" x14ac:dyDescent="0.25">
      <c r="A1068" s="3" t="s">
        <v>28</v>
      </c>
      <c r="B1068" s="3" t="s">
        <v>37</v>
      </c>
      <c r="C1068" s="3" t="s">
        <v>23</v>
      </c>
      <c r="D1068" s="3" t="s">
        <v>38</v>
      </c>
      <c r="E1068" s="3" t="s">
        <v>25</v>
      </c>
      <c r="F1068" s="3" t="s">
        <v>25</v>
      </c>
      <c r="G1068" s="3" t="s">
        <v>25</v>
      </c>
      <c r="H1068" s="3" t="s">
        <v>25</v>
      </c>
      <c r="I1068" s="6">
        <v>44743</v>
      </c>
      <c r="J1068" s="4">
        <v>0</v>
      </c>
      <c r="K1068" s="4">
        <v>0</v>
      </c>
      <c r="L1068" s="4">
        <v>7.875</v>
      </c>
      <c r="M1068" s="4">
        <v>7.875</v>
      </c>
      <c r="N1068" s="4">
        <v>7.875</v>
      </c>
      <c r="O1068" s="4">
        <v>7.875</v>
      </c>
      <c r="P1068" s="4">
        <v>2</v>
      </c>
      <c r="Q1068" s="3" t="s">
        <v>26</v>
      </c>
      <c r="R1068" s="3">
        <v>0</v>
      </c>
      <c r="S1068" s="4">
        <v>0</v>
      </c>
      <c r="T1068" s="4">
        <v>33</v>
      </c>
      <c r="U1068" s="4">
        <v>87</v>
      </c>
      <c r="V1068" s="4">
        <f>IF(ISERROR(VLOOKUP($S$1068,'TAR FIN'!$A$1:$O$92,15,0)),0,VLOOKUP($S$1068,'TAR FIN'!$A$1:$O$92,15,0))</f>
        <v>0</v>
      </c>
      <c r="W1068" s="4">
        <f>IF(ISERROR(VLOOKUP($T$1068,'TAR FIN'!$A$1:$O$92,15,0)),0,VLOOKUP($T$1068,'TAR FIN'!$A$1:$O$92,15,0))</f>
        <v>311.27999999999997</v>
      </c>
      <c r="X1068" s="4">
        <f>IF(ISERROR(VLOOKUP($U$1068,'TAR FIN'!$A$1:$O$92,15,0)),0,VLOOKUP($U$1068,'TAR FIN'!$A$1:$O$92,15,0))</f>
        <v>268.89</v>
      </c>
      <c r="Y1068" s="4"/>
      <c r="Z1068" s="4">
        <f ca="1">('TUSD BE'!$AM$48+'TUSD BF'!$AM$48+'TUSD CVA'!$AM$48)*1</f>
        <v>398.95397789704208</v>
      </c>
      <c r="AA1068" s="4">
        <f>('TE BE'!$AB$39+'TE BF'!$AB$39+'TE CVA'!$AB$39)*1</f>
        <v>336.17550926835082</v>
      </c>
      <c r="AB1068" s="4">
        <f>$K$1068*$V$1068</f>
        <v>0</v>
      </c>
      <c r="AC1068" s="4">
        <f>$M$1068*$W$1068</f>
        <v>2451.33</v>
      </c>
      <c r="AD1068" s="4">
        <f>$O$1068*$X$1068</f>
        <v>2117.50875</v>
      </c>
      <c r="AE1068" s="4">
        <f>$K$1068*$Y$1068</f>
        <v>0</v>
      </c>
      <c r="AF1068" s="4">
        <f ca="1">$M$1068*$Z$1068</f>
        <v>3141.7625759392063</v>
      </c>
      <c r="AG1068" s="4">
        <f>$O$1068*$AA$1068</f>
        <v>2647.3821354882625</v>
      </c>
    </row>
    <row r="1069" spans="1:33" ht="11.25" customHeight="1" x14ac:dyDescent="0.25">
      <c r="A1069" s="3" t="s">
        <v>21</v>
      </c>
      <c r="B1069" s="3" t="s">
        <v>37</v>
      </c>
      <c r="C1069" s="3" t="s">
        <v>23</v>
      </c>
      <c r="D1069" s="3" t="s">
        <v>38</v>
      </c>
      <c r="E1069" s="3" t="s">
        <v>25</v>
      </c>
      <c r="F1069" s="3" t="s">
        <v>25</v>
      </c>
      <c r="G1069" s="3" t="s">
        <v>25</v>
      </c>
      <c r="H1069" s="3" t="s">
        <v>25</v>
      </c>
      <c r="I1069" s="6">
        <v>44774</v>
      </c>
      <c r="J1069" s="4">
        <v>0</v>
      </c>
      <c r="K1069" s="4">
        <v>0</v>
      </c>
      <c r="L1069" s="4">
        <v>594.38</v>
      </c>
      <c r="M1069" s="4">
        <v>594.38</v>
      </c>
      <c r="N1069" s="4">
        <v>594.38</v>
      </c>
      <c r="O1069" s="4">
        <v>594.38</v>
      </c>
      <c r="P1069" s="4">
        <v>333</v>
      </c>
      <c r="Q1069" s="3" t="s">
        <v>26</v>
      </c>
      <c r="R1069" s="3">
        <v>0</v>
      </c>
      <c r="S1069" s="4">
        <v>0</v>
      </c>
      <c r="T1069" s="4">
        <v>33</v>
      </c>
      <c r="U1069" s="4">
        <v>87</v>
      </c>
      <c r="V1069" s="4">
        <f>IF(ISERROR(VLOOKUP($S$1069,'TAR FIN'!$A$1:$O$92,15,0)),0,VLOOKUP($S$1069,'TAR FIN'!$A$1:$O$92,15,0))</f>
        <v>0</v>
      </c>
      <c r="W1069" s="4">
        <f>IF(ISERROR(VLOOKUP($T$1069,'TAR FIN'!$A$1:$O$92,15,0)),0,VLOOKUP($T$1069,'TAR FIN'!$A$1:$O$92,15,0))</f>
        <v>311.27999999999997</v>
      </c>
      <c r="X1069" s="4">
        <f>IF(ISERROR(VLOOKUP($U$1069,'TAR FIN'!$A$1:$O$92,15,0)),0,VLOOKUP($U$1069,'TAR FIN'!$A$1:$O$92,15,0))</f>
        <v>268.89</v>
      </c>
      <c r="Y1069" s="4"/>
      <c r="Z1069" s="4">
        <f ca="1">('TUSD BE'!$AM$48+'TUSD BF'!$AM$48+'TUSD CVA'!$AM$48)*1</f>
        <v>398.95397789704208</v>
      </c>
      <c r="AA1069" s="4">
        <f>('TE BE'!$AB$39+'TE BF'!$AB$39+'TE CVA'!$AB$39)*1</f>
        <v>336.17550926835082</v>
      </c>
      <c r="AB1069" s="4">
        <f>$K$1069*$V$1069</f>
        <v>0</v>
      </c>
      <c r="AC1069" s="4">
        <f>$M$1069*$W$1069</f>
        <v>185018.60639999999</v>
      </c>
      <c r="AD1069" s="4">
        <f>$O$1069*$X$1069</f>
        <v>159822.8382</v>
      </c>
      <c r="AE1069" s="4">
        <f>$K$1069*$Y$1069</f>
        <v>0</v>
      </c>
      <c r="AF1069" s="4">
        <f ca="1">$M$1069*$Z$1069</f>
        <v>237130.26538244387</v>
      </c>
      <c r="AG1069" s="4">
        <f>$O$1069*$AA$1069</f>
        <v>199815.99919892236</v>
      </c>
    </row>
    <row r="1070" spans="1:33" ht="11.25" customHeight="1" x14ac:dyDescent="0.25">
      <c r="A1070" s="3" t="s">
        <v>27</v>
      </c>
      <c r="B1070" s="3" t="s">
        <v>37</v>
      </c>
      <c r="C1070" s="3" t="s">
        <v>23</v>
      </c>
      <c r="D1070" s="3" t="s">
        <v>38</v>
      </c>
      <c r="E1070" s="3" t="s">
        <v>25</v>
      </c>
      <c r="F1070" s="3" t="s">
        <v>25</v>
      </c>
      <c r="G1070" s="3" t="s">
        <v>25</v>
      </c>
      <c r="H1070" s="3" t="s">
        <v>25</v>
      </c>
      <c r="I1070" s="6">
        <v>44774</v>
      </c>
      <c r="J1070" s="4">
        <v>0</v>
      </c>
      <c r="K1070" s="4">
        <v>0</v>
      </c>
      <c r="L1070" s="4">
        <v>-0.4</v>
      </c>
      <c r="M1070" s="4">
        <v>-0.4</v>
      </c>
      <c r="N1070" s="4">
        <v>-0.4</v>
      </c>
      <c r="O1070" s="4">
        <v>-0.4</v>
      </c>
      <c r="P1070" s="4">
        <v>-8</v>
      </c>
      <c r="Q1070" s="3" t="s">
        <v>26</v>
      </c>
      <c r="R1070" s="3">
        <v>0</v>
      </c>
      <c r="S1070" s="4">
        <v>0</v>
      </c>
      <c r="T1070" s="4">
        <v>33</v>
      </c>
      <c r="U1070" s="4">
        <v>87</v>
      </c>
      <c r="V1070" s="4">
        <f>IF(ISERROR(VLOOKUP($S$1070,'TAR FIN'!$A$1:$O$92,15,0)),0,VLOOKUP($S$1070,'TAR FIN'!$A$1:$O$92,15,0))</f>
        <v>0</v>
      </c>
      <c r="W1070" s="4">
        <f>IF(ISERROR(VLOOKUP($T$1070,'TAR FIN'!$A$1:$O$92,15,0)),0,VLOOKUP($T$1070,'TAR FIN'!$A$1:$O$92,15,0))</f>
        <v>311.27999999999997</v>
      </c>
      <c r="X1070" s="4">
        <f>IF(ISERROR(VLOOKUP($U$1070,'TAR FIN'!$A$1:$O$92,15,0)),0,VLOOKUP($U$1070,'TAR FIN'!$A$1:$O$92,15,0))</f>
        <v>268.89</v>
      </c>
      <c r="Y1070" s="4"/>
      <c r="Z1070" s="4">
        <f ca="1">('TUSD BE'!$AM$48+'TUSD BF'!$AM$48+'TUSD CVA'!$AM$48)*1</f>
        <v>398.95397789704208</v>
      </c>
      <c r="AA1070" s="4">
        <f>('TE BE'!$AB$39+'TE BF'!$AB$39+'TE CVA'!$AB$39)*1</f>
        <v>336.17550926835082</v>
      </c>
      <c r="AB1070" s="4">
        <f>$K$1070*$V$1070</f>
        <v>0</v>
      </c>
      <c r="AC1070" s="4">
        <f>$M$1070*$W$1070</f>
        <v>-124.512</v>
      </c>
      <c r="AD1070" s="4">
        <f>$O$1070*$X$1070</f>
        <v>-107.556</v>
      </c>
      <c r="AE1070" s="4">
        <f>$K$1070*$Y$1070</f>
        <v>0</v>
      </c>
      <c r="AF1070" s="4">
        <f ca="1">$M$1070*$Z$1070</f>
        <v>-159.58159115881685</v>
      </c>
      <c r="AG1070" s="4">
        <f>$O$1070*$AA$1070</f>
        <v>-134.47020370734035</v>
      </c>
    </row>
    <row r="1071" spans="1:33" ht="11.25" customHeight="1" x14ac:dyDescent="0.25">
      <c r="A1071" s="3" t="s">
        <v>28</v>
      </c>
      <c r="B1071" s="3" t="s">
        <v>37</v>
      </c>
      <c r="C1071" s="3" t="s">
        <v>23</v>
      </c>
      <c r="D1071" s="3" t="s">
        <v>38</v>
      </c>
      <c r="E1071" s="3" t="s">
        <v>25</v>
      </c>
      <c r="F1071" s="3" t="s">
        <v>25</v>
      </c>
      <c r="G1071" s="3" t="s">
        <v>25</v>
      </c>
      <c r="H1071" s="3" t="s">
        <v>25</v>
      </c>
      <c r="I1071" s="6">
        <v>44774</v>
      </c>
      <c r="J1071" s="4">
        <v>0</v>
      </c>
      <c r="K1071" s="4">
        <v>0</v>
      </c>
      <c r="L1071" s="4">
        <v>8.7149999999999999</v>
      </c>
      <c r="M1071" s="4">
        <v>8.7149999999999999</v>
      </c>
      <c r="N1071" s="4">
        <v>8.7149999999999999</v>
      </c>
      <c r="O1071" s="4">
        <v>8.7149999999999999</v>
      </c>
      <c r="P1071" s="4">
        <v>2</v>
      </c>
      <c r="Q1071" s="3" t="s">
        <v>26</v>
      </c>
      <c r="R1071" s="3">
        <v>0</v>
      </c>
      <c r="S1071" s="4">
        <v>0</v>
      </c>
      <c r="T1071" s="4">
        <v>33</v>
      </c>
      <c r="U1071" s="4">
        <v>87</v>
      </c>
      <c r="V1071" s="4">
        <f>IF(ISERROR(VLOOKUP($S$1071,'TAR FIN'!$A$1:$O$92,15,0)),0,VLOOKUP($S$1071,'TAR FIN'!$A$1:$O$92,15,0))</f>
        <v>0</v>
      </c>
      <c r="W1071" s="4">
        <f>IF(ISERROR(VLOOKUP($T$1071,'TAR FIN'!$A$1:$O$92,15,0)),0,VLOOKUP($T$1071,'TAR FIN'!$A$1:$O$92,15,0))</f>
        <v>311.27999999999997</v>
      </c>
      <c r="X1071" s="4">
        <f>IF(ISERROR(VLOOKUP($U$1071,'TAR FIN'!$A$1:$O$92,15,0)),0,VLOOKUP($U$1071,'TAR FIN'!$A$1:$O$92,15,0))</f>
        <v>268.89</v>
      </c>
      <c r="Y1071" s="4"/>
      <c r="Z1071" s="4">
        <f ca="1">('TUSD BE'!$AM$48+'TUSD BF'!$AM$48+'TUSD CVA'!$AM$48)*1</f>
        <v>398.95397789704208</v>
      </c>
      <c r="AA1071" s="4">
        <f>('TE BE'!$AB$39+'TE BF'!$AB$39+'TE CVA'!$AB$39)*1</f>
        <v>336.17550926835082</v>
      </c>
      <c r="AB1071" s="4">
        <f>$K$1071*$V$1071</f>
        <v>0</v>
      </c>
      <c r="AC1071" s="4">
        <f>$M$1071*$W$1071</f>
        <v>2712.8051999999998</v>
      </c>
      <c r="AD1071" s="4">
        <f>$O$1071*$X$1071</f>
        <v>2343.37635</v>
      </c>
      <c r="AE1071" s="4">
        <f>$K$1071*$Y$1071</f>
        <v>0</v>
      </c>
      <c r="AF1071" s="4">
        <f ca="1">$M$1071*$Z$1071</f>
        <v>3476.8839173727215</v>
      </c>
      <c r="AG1071" s="4">
        <f>$O$1071*$AA$1071</f>
        <v>2929.7695632736772</v>
      </c>
    </row>
    <row r="1072" spans="1:33" ht="11.25" customHeight="1" x14ac:dyDescent="0.25">
      <c r="A1072" s="3" t="s">
        <v>21</v>
      </c>
      <c r="B1072" s="3" t="s">
        <v>37</v>
      </c>
      <c r="C1072" s="3" t="s">
        <v>23</v>
      </c>
      <c r="D1072" s="3" t="s">
        <v>38</v>
      </c>
      <c r="E1072" s="3" t="s">
        <v>25</v>
      </c>
      <c r="F1072" s="3" t="s">
        <v>25</v>
      </c>
      <c r="G1072" s="3" t="s">
        <v>25</v>
      </c>
      <c r="H1072" s="3" t="s">
        <v>25</v>
      </c>
      <c r="I1072" s="6">
        <v>44805</v>
      </c>
      <c r="J1072" s="4">
        <v>0</v>
      </c>
      <c r="K1072" s="4">
        <v>0</v>
      </c>
      <c r="L1072" s="4">
        <v>609.09699999999998</v>
      </c>
      <c r="M1072" s="4">
        <v>609.09699999999998</v>
      </c>
      <c r="N1072" s="4">
        <v>609.09699999999998</v>
      </c>
      <c r="O1072" s="4">
        <v>609.09699999999998</v>
      </c>
      <c r="P1072" s="4">
        <v>332</v>
      </c>
      <c r="Q1072" s="3" t="s">
        <v>26</v>
      </c>
      <c r="R1072" s="3">
        <v>0</v>
      </c>
      <c r="S1072" s="4">
        <v>0</v>
      </c>
      <c r="T1072" s="4">
        <v>33</v>
      </c>
      <c r="U1072" s="4">
        <v>87</v>
      </c>
      <c r="V1072" s="4">
        <f>IF(ISERROR(VLOOKUP($S$1072,'TAR FIN'!$A$1:$O$92,15,0)),0,VLOOKUP($S$1072,'TAR FIN'!$A$1:$O$92,15,0))</f>
        <v>0</v>
      </c>
      <c r="W1072" s="4">
        <f>IF(ISERROR(VLOOKUP($T$1072,'TAR FIN'!$A$1:$O$92,15,0)),0,VLOOKUP($T$1072,'TAR FIN'!$A$1:$O$92,15,0))</f>
        <v>311.27999999999997</v>
      </c>
      <c r="X1072" s="4">
        <f>IF(ISERROR(VLOOKUP($U$1072,'TAR FIN'!$A$1:$O$92,15,0)),0,VLOOKUP($U$1072,'TAR FIN'!$A$1:$O$92,15,0))</f>
        <v>268.89</v>
      </c>
      <c r="Y1072" s="4"/>
      <c r="Z1072" s="4">
        <f ca="1">('TUSD BE'!$AM$48+'TUSD BF'!$AM$48+'TUSD CVA'!$AM$48)*1</f>
        <v>398.95397789704208</v>
      </c>
      <c r="AA1072" s="4">
        <f>('TE BE'!$AB$39+'TE BF'!$AB$39+'TE CVA'!$AB$39)*1</f>
        <v>336.17550926835082</v>
      </c>
      <c r="AB1072" s="4">
        <f>$K$1072*$V$1072</f>
        <v>0</v>
      </c>
      <c r="AC1072" s="4">
        <f>$M$1072*$W$1072</f>
        <v>189599.71415999997</v>
      </c>
      <c r="AD1072" s="4">
        <f>$O$1072*$X$1072</f>
        <v>163780.09232999998</v>
      </c>
      <c r="AE1072" s="4">
        <f>$K$1072*$Y$1072</f>
        <v>0</v>
      </c>
      <c r="AF1072" s="4">
        <f ca="1">$M$1072*$Z$1072</f>
        <v>243001.67107515462</v>
      </c>
      <c r="AG1072" s="4">
        <f>$O$1072*$AA$1072</f>
        <v>204763.49416882466</v>
      </c>
    </row>
    <row r="1073" spans="1:33" ht="11.25" customHeight="1" x14ac:dyDescent="0.25">
      <c r="A1073" s="3" t="s">
        <v>28</v>
      </c>
      <c r="B1073" s="3" t="s">
        <v>37</v>
      </c>
      <c r="C1073" s="3" t="s">
        <v>23</v>
      </c>
      <c r="D1073" s="3" t="s">
        <v>38</v>
      </c>
      <c r="E1073" s="3" t="s">
        <v>25</v>
      </c>
      <c r="F1073" s="3" t="s">
        <v>25</v>
      </c>
      <c r="G1073" s="3" t="s">
        <v>25</v>
      </c>
      <c r="H1073" s="3" t="s">
        <v>25</v>
      </c>
      <c r="I1073" s="6">
        <v>44805</v>
      </c>
      <c r="J1073" s="4">
        <v>0</v>
      </c>
      <c r="K1073" s="4">
        <v>0</v>
      </c>
      <c r="L1073" s="4">
        <v>14.805</v>
      </c>
      <c r="M1073" s="4">
        <v>14.805</v>
      </c>
      <c r="N1073" s="4">
        <v>14.805</v>
      </c>
      <c r="O1073" s="4">
        <v>14.805</v>
      </c>
      <c r="P1073" s="4">
        <v>3</v>
      </c>
      <c r="Q1073" s="3" t="s">
        <v>26</v>
      </c>
      <c r="R1073" s="3">
        <v>0</v>
      </c>
      <c r="S1073" s="4">
        <v>0</v>
      </c>
      <c r="T1073" s="4">
        <v>33</v>
      </c>
      <c r="U1073" s="4">
        <v>87</v>
      </c>
      <c r="V1073" s="4">
        <f>IF(ISERROR(VLOOKUP($S$1073,'TAR FIN'!$A$1:$O$92,15,0)),0,VLOOKUP($S$1073,'TAR FIN'!$A$1:$O$92,15,0))</f>
        <v>0</v>
      </c>
      <c r="W1073" s="4">
        <f>IF(ISERROR(VLOOKUP($T$1073,'TAR FIN'!$A$1:$O$92,15,0)),0,VLOOKUP($T$1073,'TAR FIN'!$A$1:$O$92,15,0))</f>
        <v>311.27999999999997</v>
      </c>
      <c r="X1073" s="4">
        <f>IF(ISERROR(VLOOKUP($U$1073,'TAR FIN'!$A$1:$O$92,15,0)),0,VLOOKUP($U$1073,'TAR FIN'!$A$1:$O$92,15,0))</f>
        <v>268.89</v>
      </c>
      <c r="Y1073" s="4"/>
      <c r="Z1073" s="4">
        <f ca="1">('TUSD BE'!$AM$48+'TUSD BF'!$AM$48+'TUSD CVA'!$AM$48)*1</f>
        <v>398.95397789704208</v>
      </c>
      <c r="AA1073" s="4">
        <f>('TE BE'!$AB$39+'TE BF'!$AB$39+'TE CVA'!$AB$39)*1</f>
        <v>336.17550926835082</v>
      </c>
      <c r="AB1073" s="4">
        <f>$K$1073*$V$1073</f>
        <v>0</v>
      </c>
      <c r="AC1073" s="4">
        <f>$M$1073*$W$1073</f>
        <v>4608.5003999999999</v>
      </c>
      <c r="AD1073" s="4">
        <f>$O$1073*$X$1073</f>
        <v>3980.9164499999997</v>
      </c>
      <c r="AE1073" s="4">
        <f>$K$1073*$Y$1073</f>
        <v>0</v>
      </c>
      <c r="AF1073" s="4">
        <f ca="1">$M$1073*$Z$1073</f>
        <v>5906.513642765708</v>
      </c>
      <c r="AG1073" s="4">
        <f>$O$1073*$AA$1073</f>
        <v>4977.0784147179338</v>
      </c>
    </row>
    <row r="1074" spans="1:33" ht="11.25" customHeight="1" x14ac:dyDescent="0.25">
      <c r="A1074" s="3" t="s">
        <v>55</v>
      </c>
      <c r="B1074" s="3" t="s">
        <v>37</v>
      </c>
      <c r="C1074" s="3" t="s">
        <v>23</v>
      </c>
      <c r="D1074" s="3" t="s">
        <v>38</v>
      </c>
      <c r="E1074" s="3" t="s">
        <v>25</v>
      </c>
      <c r="F1074" s="3" t="s">
        <v>25</v>
      </c>
      <c r="G1074" s="3" t="s">
        <v>25</v>
      </c>
      <c r="H1074" s="3" t="s">
        <v>25</v>
      </c>
      <c r="I1074" s="6">
        <v>44835</v>
      </c>
      <c r="J1074" s="4">
        <v>0</v>
      </c>
      <c r="K1074" s="4">
        <v>0</v>
      </c>
      <c r="L1074" s="4">
        <v>609.09699999999998</v>
      </c>
      <c r="M1074" s="4">
        <v>609.09699999999998</v>
      </c>
      <c r="N1074" s="4">
        <v>609.09699999999998</v>
      </c>
      <c r="O1074" s="4">
        <v>609.09699999999998</v>
      </c>
      <c r="P1074" s="4">
        <v>332</v>
      </c>
      <c r="Q1074" s="3" t="s">
        <v>26</v>
      </c>
      <c r="R1074" s="3">
        <v>0</v>
      </c>
      <c r="S1074" s="4">
        <v>0</v>
      </c>
      <c r="T1074" s="4">
        <v>33</v>
      </c>
      <c r="U1074" s="4">
        <v>87</v>
      </c>
      <c r="V1074" s="4">
        <f>IF(ISERROR(VLOOKUP($S$1074,'TAR FIN'!$A$1:$O$92,15,0)),0,VLOOKUP($S$1074,'TAR FIN'!$A$1:$O$92,15,0))</f>
        <v>0</v>
      </c>
      <c r="W1074" s="4">
        <f>IF(ISERROR(VLOOKUP($T$1074,'TAR FIN'!$A$1:$O$92,15,0)),0,VLOOKUP($T$1074,'TAR FIN'!$A$1:$O$92,15,0))</f>
        <v>311.27999999999997</v>
      </c>
      <c r="X1074" s="4">
        <f>IF(ISERROR(VLOOKUP($U$1074,'TAR FIN'!$A$1:$O$92,15,0)),0,VLOOKUP($U$1074,'TAR FIN'!$A$1:$O$92,15,0))</f>
        <v>268.89</v>
      </c>
      <c r="Y1074" s="4"/>
      <c r="Z1074" s="4">
        <f ca="1">('TUSD BE'!$AM$48+'TUSD BF'!$AM$48+'TUSD CVA'!$AM$48)*1</f>
        <v>398.95397789704208</v>
      </c>
      <c r="AA1074" s="4">
        <f>('TE BE'!$AB$39+'TE BF'!$AB$39+'TE CVA'!$AB$39)*1</f>
        <v>336.17550926835082</v>
      </c>
      <c r="AB1074" s="4">
        <f>$K$1074*$V$1074</f>
        <v>0</v>
      </c>
      <c r="AC1074" s="4">
        <f>$M$1074*$W$1074</f>
        <v>189599.71415999997</v>
      </c>
      <c r="AD1074" s="4">
        <f>$O$1074*$X$1074</f>
        <v>163780.09232999998</v>
      </c>
      <c r="AE1074" s="4">
        <f>$K$1074*$Y$1074</f>
        <v>0</v>
      </c>
      <c r="AF1074" s="4">
        <f ca="1">$M$1074*$Z$1074</f>
        <v>243001.67107515462</v>
      </c>
      <c r="AG1074" s="4">
        <f>$O$1074*$AA$1074</f>
        <v>204763.49416882466</v>
      </c>
    </row>
    <row r="1075" spans="1:33" ht="11.25" customHeight="1" x14ac:dyDescent="0.25">
      <c r="A1075" s="3" t="s">
        <v>55</v>
      </c>
      <c r="B1075" s="3" t="s">
        <v>37</v>
      </c>
      <c r="C1075" s="3" t="s">
        <v>23</v>
      </c>
      <c r="D1075" s="3" t="s">
        <v>38</v>
      </c>
      <c r="E1075" s="3" t="s">
        <v>25</v>
      </c>
      <c r="F1075" s="3" t="s">
        <v>25</v>
      </c>
      <c r="G1075" s="3" t="s">
        <v>25</v>
      </c>
      <c r="H1075" s="3" t="s">
        <v>25</v>
      </c>
      <c r="I1075" s="6">
        <v>44835</v>
      </c>
      <c r="J1075" s="4">
        <v>0</v>
      </c>
      <c r="K1075" s="4">
        <v>0</v>
      </c>
      <c r="L1075" s="4">
        <v>14.805</v>
      </c>
      <c r="M1075" s="4">
        <v>14.805</v>
      </c>
      <c r="N1075" s="4">
        <v>14.805</v>
      </c>
      <c r="O1075" s="4">
        <v>14.805</v>
      </c>
      <c r="P1075" s="4">
        <v>3</v>
      </c>
      <c r="Q1075" s="3" t="s">
        <v>26</v>
      </c>
      <c r="R1075" s="3">
        <v>0</v>
      </c>
      <c r="S1075" s="4">
        <v>0</v>
      </c>
      <c r="T1075" s="4">
        <v>33</v>
      </c>
      <c r="U1075" s="4">
        <v>87</v>
      </c>
      <c r="V1075" s="4">
        <f>IF(ISERROR(VLOOKUP($S$1075,'TAR FIN'!$A$1:$O$92,15,0)),0,VLOOKUP($S$1075,'TAR FIN'!$A$1:$O$92,15,0))</f>
        <v>0</v>
      </c>
      <c r="W1075" s="4">
        <f>IF(ISERROR(VLOOKUP($T$1075,'TAR FIN'!$A$1:$O$92,15,0)),0,VLOOKUP($T$1075,'TAR FIN'!$A$1:$O$92,15,0))</f>
        <v>311.27999999999997</v>
      </c>
      <c r="X1075" s="4">
        <f>IF(ISERROR(VLOOKUP($U$1075,'TAR FIN'!$A$1:$O$92,15,0)),0,VLOOKUP($U$1075,'TAR FIN'!$A$1:$O$92,15,0))</f>
        <v>268.89</v>
      </c>
      <c r="Y1075" s="4"/>
      <c r="Z1075" s="4">
        <f ca="1">('TUSD BE'!$AM$48+'TUSD BF'!$AM$48+'TUSD CVA'!$AM$48)*1</f>
        <v>398.95397789704208</v>
      </c>
      <c r="AA1075" s="4">
        <f>('TE BE'!$AB$39+'TE BF'!$AB$39+'TE CVA'!$AB$39)*1</f>
        <v>336.17550926835082</v>
      </c>
      <c r="AB1075" s="4">
        <f>$K$1075*$V$1075</f>
        <v>0</v>
      </c>
      <c r="AC1075" s="4">
        <f>$M$1075*$W$1075</f>
        <v>4608.5003999999999</v>
      </c>
      <c r="AD1075" s="4">
        <f>$O$1075*$X$1075</f>
        <v>3980.9164499999997</v>
      </c>
      <c r="AE1075" s="4">
        <f>$K$1075*$Y$1075</f>
        <v>0</v>
      </c>
      <c r="AF1075" s="4">
        <f ca="1">$M$1075*$Z$1075</f>
        <v>5906.513642765708</v>
      </c>
      <c r="AG1075" s="4">
        <f>$O$1075*$AA$1075</f>
        <v>4977.0784147179338</v>
      </c>
    </row>
    <row r="1076" spans="1:33" ht="11.25" customHeight="1" x14ac:dyDescent="0.25">
      <c r="A1076" s="3" t="s">
        <v>21</v>
      </c>
      <c r="B1076" s="3" t="s">
        <v>37</v>
      </c>
      <c r="C1076" s="3" t="s">
        <v>23</v>
      </c>
      <c r="D1076" s="3" t="s">
        <v>45</v>
      </c>
      <c r="E1076" s="3" t="s">
        <v>25</v>
      </c>
      <c r="F1076" s="3" t="s">
        <v>25</v>
      </c>
      <c r="G1076" s="3" t="s">
        <v>25</v>
      </c>
      <c r="H1076" s="3" t="s">
        <v>25</v>
      </c>
      <c r="I1076" s="6">
        <v>44501</v>
      </c>
      <c r="J1076" s="4">
        <v>0</v>
      </c>
      <c r="K1076" s="4">
        <v>0</v>
      </c>
      <c r="L1076" s="4">
        <v>1688.6949999999999</v>
      </c>
      <c r="M1076" s="4">
        <v>1688.6949999999999</v>
      </c>
      <c r="N1076" s="4">
        <v>1688.6949999999999</v>
      </c>
      <c r="O1076" s="4">
        <v>1688.6949999999999</v>
      </c>
      <c r="P1076" s="4">
        <v>1600</v>
      </c>
      <c r="Q1076" s="3" t="s">
        <v>26</v>
      </c>
      <c r="R1076" s="3">
        <v>0</v>
      </c>
      <c r="S1076" s="4">
        <v>0</v>
      </c>
      <c r="T1076" s="4">
        <v>33</v>
      </c>
      <c r="U1076" s="4">
        <v>87</v>
      </c>
      <c r="V1076" s="4">
        <f>IF(ISERROR(VLOOKUP($S$1076,'TAR FIN'!$A$1:$O$92,15,0)),0,VLOOKUP($S$1076,'TAR FIN'!$A$1:$O$92,15,0))</f>
        <v>0</v>
      </c>
      <c r="W1076" s="4">
        <f>IF(ISERROR(VLOOKUP($T$1076,'TAR FIN'!$A$1:$O$92,15,0)),0,VLOOKUP($T$1076,'TAR FIN'!$A$1:$O$92,15,0))</f>
        <v>311.27999999999997</v>
      </c>
      <c r="X1076" s="4">
        <f>IF(ISERROR(VLOOKUP($U$1076,'TAR FIN'!$A$1:$O$92,15,0)),0,VLOOKUP($U$1076,'TAR FIN'!$A$1:$O$92,15,0))</f>
        <v>268.89</v>
      </c>
      <c r="Y1076" s="4"/>
      <c r="Z1076" s="4">
        <f ca="1">('TUSD BE'!$AM$48+'TUSD BF'!$AM$48+'TUSD CVA'!$AM$48)*1</f>
        <v>398.95397789704208</v>
      </c>
      <c r="AA1076" s="4">
        <f>('TE BE'!$AB$39+'TE BF'!$AB$39+'TE CVA'!$AB$39)*1</f>
        <v>336.17550926835082</v>
      </c>
      <c r="AB1076" s="4">
        <f>$K$1076*$V$1076</f>
        <v>0</v>
      </c>
      <c r="AC1076" s="4">
        <f>$M$1076*$W$1076</f>
        <v>525656.97959999996</v>
      </c>
      <c r="AD1076" s="4">
        <f>$O$1076*$X$1076</f>
        <v>454073.19854999997</v>
      </c>
      <c r="AE1076" s="4">
        <f>$K$1076*$Y$1076</f>
        <v>0</v>
      </c>
      <c r="AF1076" s="4">
        <f ca="1">$M$1076*$Z$1076</f>
        <v>673711.58770484547</v>
      </c>
      <c r="AG1076" s="4">
        <f>$O$1076*$AA$1076</f>
        <v>567697.90162391763</v>
      </c>
    </row>
    <row r="1077" spans="1:33" ht="11.25" customHeight="1" x14ac:dyDescent="0.25">
      <c r="A1077" s="3" t="s">
        <v>27</v>
      </c>
      <c r="B1077" s="3" t="s">
        <v>37</v>
      </c>
      <c r="C1077" s="3" t="s">
        <v>23</v>
      </c>
      <c r="D1077" s="3" t="s">
        <v>45</v>
      </c>
      <c r="E1077" s="3" t="s">
        <v>25</v>
      </c>
      <c r="F1077" s="3" t="s">
        <v>25</v>
      </c>
      <c r="G1077" s="3" t="s">
        <v>25</v>
      </c>
      <c r="H1077" s="3" t="s">
        <v>25</v>
      </c>
      <c r="I1077" s="6">
        <v>44501</v>
      </c>
      <c r="J1077" s="4">
        <v>0</v>
      </c>
      <c r="K1077" s="4">
        <v>0</v>
      </c>
      <c r="L1077" s="4">
        <v>19.978999999999999</v>
      </c>
      <c r="M1077" s="4">
        <v>19.978999999999999</v>
      </c>
      <c r="N1077" s="4">
        <v>19.978999999999999</v>
      </c>
      <c r="O1077" s="4">
        <v>19.978999999999999</v>
      </c>
      <c r="P1077" s="4">
        <v>2</v>
      </c>
      <c r="Q1077" s="3" t="s">
        <v>26</v>
      </c>
      <c r="R1077" s="3">
        <v>0</v>
      </c>
      <c r="S1077" s="4">
        <v>0</v>
      </c>
      <c r="T1077" s="4">
        <v>33</v>
      </c>
      <c r="U1077" s="4">
        <v>87</v>
      </c>
      <c r="V1077" s="4">
        <f>IF(ISERROR(VLOOKUP($S$1077,'TAR FIN'!$A$1:$O$92,15,0)),0,VLOOKUP($S$1077,'TAR FIN'!$A$1:$O$92,15,0))</f>
        <v>0</v>
      </c>
      <c r="W1077" s="4">
        <f>IF(ISERROR(VLOOKUP($T$1077,'TAR FIN'!$A$1:$O$92,15,0)),0,VLOOKUP($T$1077,'TAR FIN'!$A$1:$O$92,15,0))</f>
        <v>311.27999999999997</v>
      </c>
      <c r="X1077" s="4">
        <f>IF(ISERROR(VLOOKUP($U$1077,'TAR FIN'!$A$1:$O$92,15,0)),0,VLOOKUP($U$1077,'TAR FIN'!$A$1:$O$92,15,0))</f>
        <v>268.89</v>
      </c>
      <c r="Y1077" s="4"/>
      <c r="Z1077" s="4">
        <f ca="1">('TUSD BE'!$AM$48+'TUSD BF'!$AM$48+'TUSD CVA'!$AM$48)*1</f>
        <v>398.95397789704208</v>
      </c>
      <c r="AA1077" s="4">
        <f>('TE BE'!$AB$39+'TE BF'!$AB$39+'TE CVA'!$AB$39)*1</f>
        <v>336.17550926835082</v>
      </c>
      <c r="AB1077" s="4">
        <f>$K$1077*$V$1077</f>
        <v>0</v>
      </c>
      <c r="AC1077" s="4">
        <f>$M$1077*$W$1077</f>
        <v>6219.0631199999989</v>
      </c>
      <c r="AD1077" s="4">
        <f>$O$1077*$X$1077</f>
        <v>5372.1533099999997</v>
      </c>
      <c r="AE1077" s="4">
        <f>$K$1077*$Y$1077</f>
        <v>0</v>
      </c>
      <c r="AF1077" s="4">
        <f ca="1">$M$1077*$Z$1077</f>
        <v>7970.7015244050035</v>
      </c>
      <c r="AG1077" s="4">
        <f>$O$1077*$AA$1077</f>
        <v>6716.4504996723808</v>
      </c>
    </row>
    <row r="1078" spans="1:33" ht="11.25" customHeight="1" x14ac:dyDescent="0.25">
      <c r="A1078" s="3" t="s">
        <v>28</v>
      </c>
      <c r="B1078" s="3" t="s">
        <v>37</v>
      </c>
      <c r="C1078" s="3" t="s">
        <v>23</v>
      </c>
      <c r="D1078" s="3" t="s">
        <v>45</v>
      </c>
      <c r="E1078" s="3" t="s">
        <v>25</v>
      </c>
      <c r="F1078" s="3" t="s">
        <v>25</v>
      </c>
      <c r="G1078" s="3" t="s">
        <v>25</v>
      </c>
      <c r="H1078" s="3" t="s">
        <v>25</v>
      </c>
      <c r="I1078" s="6">
        <v>44501</v>
      </c>
      <c r="J1078" s="4">
        <v>0</v>
      </c>
      <c r="K1078" s="4">
        <v>0</v>
      </c>
      <c r="L1078" s="4">
        <v>841.68600000000004</v>
      </c>
      <c r="M1078" s="4">
        <v>841.68600000000004</v>
      </c>
      <c r="N1078" s="4">
        <v>841.68600000000004</v>
      </c>
      <c r="O1078" s="4">
        <v>841.68600000000004</v>
      </c>
      <c r="P1078" s="4">
        <v>238</v>
      </c>
      <c r="Q1078" s="3" t="s">
        <v>26</v>
      </c>
      <c r="R1078" s="3">
        <v>0</v>
      </c>
      <c r="S1078" s="4">
        <v>0</v>
      </c>
      <c r="T1078" s="4">
        <v>33</v>
      </c>
      <c r="U1078" s="4">
        <v>87</v>
      </c>
      <c r="V1078" s="4">
        <f>IF(ISERROR(VLOOKUP($S$1078,'TAR FIN'!$A$1:$O$92,15,0)),0,VLOOKUP($S$1078,'TAR FIN'!$A$1:$O$92,15,0))</f>
        <v>0</v>
      </c>
      <c r="W1078" s="4">
        <f>IF(ISERROR(VLOOKUP($T$1078,'TAR FIN'!$A$1:$O$92,15,0)),0,VLOOKUP($T$1078,'TAR FIN'!$A$1:$O$92,15,0))</f>
        <v>311.27999999999997</v>
      </c>
      <c r="X1078" s="4">
        <f>IF(ISERROR(VLOOKUP($U$1078,'TAR FIN'!$A$1:$O$92,15,0)),0,VLOOKUP($U$1078,'TAR FIN'!$A$1:$O$92,15,0))</f>
        <v>268.89</v>
      </c>
      <c r="Y1078" s="4"/>
      <c r="Z1078" s="4">
        <f ca="1">('TUSD BE'!$AM$48+'TUSD BF'!$AM$48+'TUSD CVA'!$AM$48)*1</f>
        <v>398.95397789704208</v>
      </c>
      <c r="AA1078" s="4">
        <f>('TE BE'!$AB$39+'TE BF'!$AB$39+'TE CVA'!$AB$39)*1</f>
        <v>336.17550926835082</v>
      </c>
      <c r="AB1078" s="4">
        <f>$K$1078*$V$1078</f>
        <v>0</v>
      </c>
      <c r="AC1078" s="4">
        <f>$M$1078*$W$1078</f>
        <v>262000.01807999998</v>
      </c>
      <c r="AD1078" s="4">
        <f>$O$1078*$X$1078</f>
        <v>226320.94854000001</v>
      </c>
      <c r="AE1078" s="4">
        <f>$K$1078*$Y$1078</f>
        <v>0</v>
      </c>
      <c r="AF1078" s="4">
        <f ca="1">$M$1078*$Z$1078</f>
        <v>335793.97784024978</v>
      </c>
      <c r="AG1078" s="4">
        <f>$O$1078*$AA$1078</f>
        <v>282954.21969404112</v>
      </c>
    </row>
    <row r="1079" spans="1:33" ht="11.25" customHeight="1" x14ac:dyDescent="0.25">
      <c r="A1079" s="3" t="s">
        <v>28</v>
      </c>
      <c r="B1079" s="3" t="s">
        <v>37</v>
      </c>
      <c r="C1079" s="3" t="s">
        <v>23</v>
      </c>
      <c r="D1079" s="3" t="s">
        <v>45</v>
      </c>
      <c r="E1079" s="3" t="s">
        <v>25</v>
      </c>
      <c r="F1079" s="3" t="s">
        <v>25</v>
      </c>
      <c r="G1079" s="3" t="s">
        <v>25</v>
      </c>
      <c r="H1079" s="3" t="s">
        <v>25</v>
      </c>
      <c r="I1079" s="6">
        <v>44501</v>
      </c>
      <c r="J1079" s="4">
        <v>0</v>
      </c>
      <c r="K1079" s="4">
        <v>0</v>
      </c>
      <c r="L1079" s="4">
        <v>-0.52100000000000002</v>
      </c>
      <c r="M1079" s="4">
        <v>-0.52100000000000002</v>
      </c>
      <c r="N1079" s="4">
        <v>-0.52100000000000002</v>
      </c>
      <c r="O1079" s="4">
        <v>-0.52100000000000002</v>
      </c>
      <c r="P1079" s="4">
        <v>0</v>
      </c>
      <c r="Q1079" s="3" t="s">
        <v>26</v>
      </c>
      <c r="R1079" s="3">
        <v>0</v>
      </c>
      <c r="S1079" s="4">
        <v>0</v>
      </c>
      <c r="T1079" s="4">
        <v>33</v>
      </c>
      <c r="U1079" s="4">
        <v>87</v>
      </c>
      <c r="V1079" s="4">
        <f>IF(ISERROR(VLOOKUP($S$1079,'TAR FIN'!$A$1:$O$92,15,0)),0,VLOOKUP($S$1079,'TAR FIN'!$A$1:$O$92,15,0))</f>
        <v>0</v>
      </c>
      <c r="W1079" s="4">
        <f>IF(ISERROR(VLOOKUP($T$1079,'TAR FIN'!$A$1:$O$92,15,0)),0,VLOOKUP($T$1079,'TAR FIN'!$A$1:$O$92,15,0))</f>
        <v>311.27999999999997</v>
      </c>
      <c r="X1079" s="4">
        <f>IF(ISERROR(VLOOKUP($U$1079,'TAR FIN'!$A$1:$O$92,15,0)),0,VLOOKUP($U$1079,'TAR FIN'!$A$1:$O$92,15,0))</f>
        <v>268.89</v>
      </c>
      <c r="Y1079" s="4"/>
      <c r="Z1079" s="4">
        <f ca="1">('TUSD BE'!$AM$48+'TUSD BF'!$AM$48+'TUSD CVA'!$AM$48)*1</f>
        <v>398.95397789704208</v>
      </c>
      <c r="AA1079" s="4">
        <f>('TE BE'!$AB$39+'TE BF'!$AB$39+'TE CVA'!$AB$39)*1</f>
        <v>336.17550926835082</v>
      </c>
      <c r="AB1079" s="4">
        <f>$K$1079*$V$1079</f>
        <v>0</v>
      </c>
      <c r="AC1079" s="4">
        <f>$M$1079*$W$1079</f>
        <v>-162.17687999999998</v>
      </c>
      <c r="AD1079" s="4">
        <f>$O$1079*$X$1079</f>
        <v>-140.09169</v>
      </c>
      <c r="AE1079" s="4">
        <f>$K$1079*$Y$1079</f>
        <v>0</v>
      </c>
      <c r="AF1079" s="4">
        <f ca="1">$M$1079*$Z$1079</f>
        <v>-207.85502248435893</v>
      </c>
      <c r="AG1079" s="4">
        <f>$O$1079*$AA$1079</f>
        <v>-175.14744032881077</v>
      </c>
    </row>
    <row r="1080" spans="1:33" ht="11.25" customHeight="1" x14ac:dyDescent="0.25">
      <c r="A1080" s="3" t="s">
        <v>21</v>
      </c>
      <c r="B1080" s="3" t="s">
        <v>37</v>
      </c>
      <c r="C1080" s="3" t="s">
        <v>23</v>
      </c>
      <c r="D1080" s="3" t="s">
        <v>45</v>
      </c>
      <c r="E1080" s="3" t="s">
        <v>25</v>
      </c>
      <c r="F1080" s="3" t="s">
        <v>25</v>
      </c>
      <c r="G1080" s="3" t="s">
        <v>25</v>
      </c>
      <c r="H1080" s="3" t="s">
        <v>25</v>
      </c>
      <c r="I1080" s="6">
        <v>44531</v>
      </c>
      <c r="J1080" s="4">
        <v>0</v>
      </c>
      <c r="K1080" s="4">
        <v>0</v>
      </c>
      <c r="L1080" s="4">
        <v>1591.17</v>
      </c>
      <c r="M1080" s="4">
        <v>1591.17</v>
      </c>
      <c r="N1080" s="4">
        <v>1591.17</v>
      </c>
      <c r="O1080" s="4">
        <v>1591.17</v>
      </c>
      <c r="P1080" s="4">
        <v>1603</v>
      </c>
      <c r="Q1080" s="3" t="s">
        <v>26</v>
      </c>
      <c r="R1080" s="3">
        <v>0</v>
      </c>
      <c r="S1080" s="4">
        <v>0</v>
      </c>
      <c r="T1080" s="4">
        <v>33</v>
      </c>
      <c r="U1080" s="4">
        <v>87</v>
      </c>
      <c r="V1080" s="4">
        <f>IF(ISERROR(VLOOKUP($S$1080,'TAR FIN'!$A$1:$O$92,15,0)),0,VLOOKUP($S$1080,'TAR FIN'!$A$1:$O$92,15,0))</f>
        <v>0</v>
      </c>
      <c r="W1080" s="4">
        <f>IF(ISERROR(VLOOKUP($T$1080,'TAR FIN'!$A$1:$O$92,15,0)),0,VLOOKUP($T$1080,'TAR FIN'!$A$1:$O$92,15,0))</f>
        <v>311.27999999999997</v>
      </c>
      <c r="X1080" s="4">
        <f>IF(ISERROR(VLOOKUP($U$1080,'TAR FIN'!$A$1:$O$92,15,0)),0,VLOOKUP($U$1080,'TAR FIN'!$A$1:$O$92,15,0))</f>
        <v>268.89</v>
      </c>
      <c r="Y1080" s="4"/>
      <c r="Z1080" s="4">
        <f ca="1">('TUSD BE'!$AM$48+'TUSD BF'!$AM$48+'TUSD CVA'!$AM$48)*1</f>
        <v>398.95397789704208</v>
      </c>
      <c r="AA1080" s="4">
        <f>('TE BE'!$AB$39+'TE BF'!$AB$39+'TE CVA'!$AB$39)*1</f>
        <v>336.17550926835082</v>
      </c>
      <c r="AB1080" s="4">
        <f>$K$1080*$V$1080</f>
        <v>0</v>
      </c>
      <c r="AC1080" s="4">
        <f>$M$1080*$W$1080</f>
        <v>495299.39759999997</v>
      </c>
      <c r="AD1080" s="4">
        <f>$O$1080*$X$1080</f>
        <v>427849.70130000002</v>
      </c>
      <c r="AE1080" s="4">
        <f>$K$1080*$Y$1080</f>
        <v>0</v>
      </c>
      <c r="AF1080" s="4">
        <f ca="1">$M$1080*$Z$1080</f>
        <v>634803.60101043642</v>
      </c>
      <c r="AG1080" s="4">
        <f>$O$1080*$AA$1080</f>
        <v>534912.38508252183</v>
      </c>
    </row>
    <row r="1081" spans="1:33" ht="11.25" customHeight="1" x14ac:dyDescent="0.25">
      <c r="A1081" s="3" t="s">
        <v>27</v>
      </c>
      <c r="B1081" s="3" t="s">
        <v>37</v>
      </c>
      <c r="C1081" s="3" t="s">
        <v>23</v>
      </c>
      <c r="D1081" s="3" t="s">
        <v>45</v>
      </c>
      <c r="E1081" s="3" t="s">
        <v>25</v>
      </c>
      <c r="F1081" s="3" t="s">
        <v>25</v>
      </c>
      <c r="G1081" s="3" t="s">
        <v>25</v>
      </c>
      <c r="H1081" s="3" t="s">
        <v>25</v>
      </c>
      <c r="I1081" s="6">
        <v>44531</v>
      </c>
      <c r="J1081" s="4">
        <v>0</v>
      </c>
      <c r="K1081" s="4">
        <v>0</v>
      </c>
      <c r="L1081" s="4">
        <v>3.7080000000000002</v>
      </c>
      <c r="M1081" s="4">
        <v>3.7080000000000002</v>
      </c>
      <c r="N1081" s="4">
        <v>3.7080000000000002</v>
      </c>
      <c r="O1081" s="4">
        <v>3.7080000000000002</v>
      </c>
      <c r="P1081" s="4">
        <v>4</v>
      </c>
      <c r="Q1081" s="3" t="s">
        <v>26</v>
      </c>
      <c r="R1081" s="3">
        <v>0</v>
      </c>
      <c r="S1081" s="4">
        <v>0</v>
      </c>
      <c r="T1081" s="4">
        <v>33</v>
      </c>
      <c r="U1081" s="4">
        <v>87</v>
      </c>
      <c r="V1081" s="4">
        <f>IF(ISERROR(VLOOKUP($S$1081,'TAR FIN'!$A$1:$O$92,15,0)),0,VLOOKUP($S$1081,'TAR FIN'!$A$1:$O$92,15,0))</f>
        <v>0</v>
      </c>
      <c r="W1081" s="4">
        <f>IF(ISERROR(VLOOKUP($T$1081,'TAR FIN'!$A$1:$O$92,15,0)),0,VLOOKUP($T$1081,'TAR FIN'!$A$1:$O$92,15,0))</f>
        <v>311.27999999999997</v>
      </c>
      <c r="X1081" s="4">
        <f>IF(ISERROR(VLOOKUP($U$1081,'TAR FIN'!$A$1:$O$92,15,0)),0,VLOOKUP($U$1081,'TAR FIN'!$A$1:$O$92,15,0))</f>
        <v>268.89</v>
      </c>
      <c r="Y1081" s="4"/>
      <c r="Z1081" s="4">
        <f ca="1">('TUSD BE'!$AM$48+'TUSD BF'!$AM$48+'TUSD CVA'!$AM$48)*1</f>
        <v>398.95397789704208</v>
      </c>
      <c r="AA1081" s="4">
        <f>('TE BE'!$AB$39+'TE BF'!$AB$39+'TE CVA'!$AB$39)*1</f>
        <v>336.17550926835082</v>
      </c>
      <c r="AB1081" s="4">
        <f>$K$1081*$V$1081</f>
        <v>0</v>
      </c>
      <c r="AC1081" s="4">
        <f>$M$1081*$W$1081</f>
        <v>1154.22624</v>
      </c>
      <c r="AD1081" s="4">
        <f>$O$1081*$X$1081</f>
        <v>997.04412000000002</v>
      </c>
      <c r="AE1081" s="4">
        <f>$K$1081*$Y$1081</f>
        <v>0</v>
      </c>
      <c r="AF1081" s="4">
        <f ca="1">$M$1081*$Z$1081</f>
        <v>1479.3213500422321</v>
      </c>
      <c r="AG1081" s="4">
        <f>$O$1081*$AA$1081</f>
        <v>1246.5387883670448</v>
      </c>
    </row>
    <row r="1082" spans="1:33" ht="11.25" customHeight="1" x14ac:dyDescent="0.25">
      <c r="A1082" s="3" t="s">
        <v>28</v>
      </c>
      <c r="B1082" s="3" t="s">
        <v>37</v>
      </c>
      <c r="C1082" s="3" t="s">
        <v>23</v>
      </c>
      <c r="D1082" s="3" t="s">
        <v>45</v>
      </c>
      <c r="E1082" s="3" t="s">
        <v>25</v>
      </c>
      <c r="F1082" s="3" t="s">
        <v>25</v>
      </c>
      <c r="G1082" s="3" t="s">
        <v>25</v>
      </c>
      <c r="H1082" s="3" t="s">
        <v>25</v>
      </c>
      <c r="I1082" s="6">
        <v>44531</v>
      </c>
      <c r="J1082" s="4">
        <v>0</v>
      </c>
      <c r="K1082" s="4">
        <v>0</v>
      </c>
      <c r="L1082" s="4">
        <v>781.03800000000001</v>
      </c>
      <c r="M1082" s="4">
        <v>781.03800000000001</v>
      </c>
      <c r="N1082" s="4">
        <v>781.03800000000001</v>
      </c>
      <c r="O1082" s="4">
        <v>781.03800000000001</v>
      </c>
      <c r="P1082" s="4">
        <v>237</v>
      </c>
      <c r="Q1082" s="3" t="s">
        <v>26</v>
      </c>
      <c r="R1082" s="3">
        <v>0</v>
      </c>
      <c r="S1082" s="4">
        <v>0</v>
      </c>
      <c r="T1082" s="4">
        <v>33</v>
      </c>
      <c r="U1082" s="4">
        <v>87</v>
      </c>
      <c r="V1082" s="4">
        <f>IF(ISERROR(VLOOKUP($S$1082,'TAR FIN'!$A$1:$O$92,15,0)),0,VLOOKUP($S$1082,'TAR FIN'!$A$1:$O$92,15,0))</f>
        <v>0</v>
      </c>
      <c r="W1082" s="4">
        <f>IF(ISERROR(VLOOKUP($T$1082,'TAR FIN'!$A$1:$O$92,15,0)),0,VLOOKUP($T$1082,'TAR FIN'!$A$1:$O$92,15,0))</f>
        <v>311.27999999999997</v>
      </c>
      <c r="X1082" s="4">
        <f>IF(ISERROR(VLOOKUP($U$1082,'TAR FIN'!$A$1:$O$92,15,0)),0,VLOOKUP($U$1082,'TAR FIN'!$A$1:$O$92,15,0))</f>
        <v>268.89</v>
      </c>
      <c r="Y1082" s="4"/>
      <c r="Z1082" s="4">
        <f ca="1">('TUSD BE'!$AM$48+'TUSD BF'!$AM$48+'TUSD CVA'!$AM$48)*1</f>
        <v>398.95397789704208</v>
      </c>
      <c r="AA1082" s="4">
        <f>('TE BE'!$AB$39+'TE BF'!$AB$39+'TE CVA'!$AB$39)*1</f>
        <v>336.17550926835082</v>
      </c>
      <c r="AB1082" s="4">
        <f>$K$1082*$V$1082</f>
        <v>0</v>
      </c>
      <c r="AC1082" s="4">
        <f>$M$1082*$W$1082</f>
        <v>243121.50863999999</v>
      </c>
      <c r="AD1082" s="4">
        <f>$O$1082*$X$1082</f>
        <v>210013.30781999999</v>
      </c>
      <c r="AE1082" s="4">
        <f>$K$1082*$Y$1082</f>
        <v>0</v>
      </c>
      <c r="AF1082" s="4">
        <f ca="1">$M$1082*$Z$1082</f>
        <v>311598.21698874998</v>
      </c>
      <c r="AG1082" s="4">
        <f>$O$1082*$AA$1082</f>
        <v>262565.8474079342</v>
      </c>
    </row>
    <row r="1083" spans="1:33" ht="11.25" customHeight="1" x14ac:dyDescent="0.25">
      <c r="A1083" s="3" t="s">
        <v>28</v>
      </c>
      <c r="B1083" s="3" t="s">
        <v>37</v>
      </c>
      <c r="C1083" s="3" t="s">
        <v>23</v>
      </c>
      <c r="D1083" s="3" t="s">
        <v>45</v>
      </c>
      <c r="E1083" s="3" t="s">
        <v>25</v>
      </c>
      <c r="F1083" s="3" t="s">
        <v>25</v>
      </c>
      <c r="G1083" s="3" t="s">
        <v>25</v>
      </c>
      <c r="H1083" s="3" t="s">
        <v>25</v>
      </c>
      <c r="I1083" s="6">
        <v>44531</v>
      </c>
      <c r="J1083" s="4">
        <v>0</v>
      </c>
      <c r="K1083" s="4">
        <v>0</v>
      </c>
      <c r="L1083" s="4">
        <v>-0.1</v>
      </c>
      <c r="M1083" s="4">
        <v>-0.1</v>
      </c>
      <c r="N1083" s="4">
        <v>-0.1</v>
      </c>
      <c r="O1083" s="4">
        <v>-0.1</v>
      </c>
      <c r="P1083" s="4">
        <v>0</v>
      </c>
      <c r="Q1083" s="3" t="s">
        <v>26</v>
      </c>
      <c r="R1083" s="3">
        <v>0</v>
      </c>
      <c r="S1083" s="4">
        <v>0</v>
      </c>
      <c r="T1083" s="4">
        <v>33</v>
      </c>
      <c r="U1083" s="4">
        <v>87</v>
      </c>
      <c r="V1083" s="4">
        <f>IF(ISERROR(VLOOKUP($S$1083,'TAR FIN'!$A$1:$O$92,15,0)),0,VLOOKUP($S$1083,'TAR FIN'!$A$1:$O$92,15,0))</f>
        <v>0</v>
      </c>
      <c r="W1083" s="4">
        <f>IF(ISERROR(VLOOKUP($T$1083,'TAR FIN'!$A$1:$O$92,15,0)),0,VLOOKUP($T$1083,'TAR FIN'!$A$1:$O$92,15,0))</f>
        <v>311.27999999999997</v>
      </c>
      <c r="X1083" s="4">
        <f>IF(ISERROR(VLOOKUP($U$1083,'TAR FIN'!$A$1:$O$92,15,0)),0,VLOOKUP($U$1083,'TAR FIN'!$A$1:$O$92,15,0))</f>
        <v>268.89</v>
      </c>
      <c r="Y1083" s="4"/>
      <c r="Z1083" s="4">
        <f ca="1">('TUSD BE'!$AM$48+'TUSD BF'!$AM$48+'TUSD CVA'!$AM$48)*1</f>
        <v>398.95397789704208</v>
      </c>
      <c r="AA1083" s="4">
        <f>('TE BE'!$AB$39+'TE BF'!$AB$39+'TE CVA'!$AB$39)*1</f>
        <v>336.17550926835082</v>
      </c>
      <c r="AB1083" s="4">
        <f>$K$1083*$V$1083</f>
        <v>0</v>
      </c>
      <c r="AC1083" s="4">
        <f>$M$1083*$W$1083</f>
        <v>-31.128</v>
      </c>
      <c r="AD1083" s="4">
        <f>$O$1083*$X$1083</f>
        <v>-26.888999999999999</v>
      </c>
      <c r="AE1083" s="4">
        <f>$K$1083*$Y$1083</f>
        <v>0</v>
      </c>
      <c r="AF1083" s="4">
        <f ca="1">$M$1083*$Z$1083</f>
        <v>-39.895397789704212</v>
      </c>
      <c r="AG1083" s="4">
        <f>$O$1083*$AA$1083</f>
        <v>-33.617550926835086</v>
      </c>
    </row>
    <row r="1084" spans="1:33" ht="11.25" customHeight="1" x14ac:dyDescent="0.25">
      <c r="A1084" s="3" t="s">
        <v>21</v>
      </c>
      <c r="B1084" s="3" t="s">
        <v>37</v>
      </c>
      <c r="C1084" s="3" t="s">
        <v>23</v>
      </c>
      <c r="D1084" s="3" t="s">
        <v>45</v>
      </c>
      <c r="E1084" s="3" t="s">
        <v>25</v>
      </c>
      <c r="F1084" s="3" t="s">
        <v>25</v>
      </c>
      <c r="G1084" s="3" t="s">
        <v>25</v>
      </c>
      <c r="H1084" s="3" t="s">
        <v>25</v>
      </c>
      <c r="I1084" s="6">
        <v>44562</v>
      </c>
      <c r="J1084" s="4">
        <v>0</v>
      </c>
      <c r="K1084" s="4">
        <v>0</v>
      </c>
      <c r="L1084" s="4">
        <v>1404.723</v>
      </c>
      <c r="M1084" s="4">
        <v>1404.723</v>
      </c>
      <c r="N1084" s="4">
        <v>1404.723</v>
      </c>
      <c r="O1084" s="4">
        <v>1404.723</v>
      </c>
      <c r="P1084" s="4">
        <v>1613</v>
      </c>
      <c r="Q1084" s="3" t="s">
        <v>26</v>
      </c>
      <c r="R1084" s="3">
        <v>0</v>
      </c>
      <c r="S1084" s="4">
        <v>0</v>
      </c>
      <c r="T1084" s="4">
        <v>33</v>
      </c>
      <c r="U1084" s="4">
        <v>87</v>
      </c>
      <c r="V1084" s="4">
        <f>IF(ISERROR(VLOOKUP($S$1084,'TAR FIN'!$A$1:$O$92,15,0)),0,VLOOKUP($S$1084,'TAR FIN'!$A$1:$O$92,15,0))</f>
        <v>0</v>
      </c>
      <c r="W1084" s="4">
        <f>IF(ISERROR(VLOOKUP($T$1084,'TAR FIN'!$A$1:$O$92,15,0)),0,VLOOKUP($T$1084,'TAR FIN'!$A$1:$O$92,15,0))</f>
        <v>311.27999999999997</v>
      </c>
      <c r="X1084" s="4">
        <f>IF(ISERROR(VLOOKUP($U$1084,'TAR FIN'!$A$1:$O$92,15,0)),0,VLOOKUP($U$1084,'TAR FIN'!$A$1:$O$92,15,0))</f>
        <v>268.89</v>
      </c>
      <c r="Y1084" s="4"/>
      <c r="Z1084" s="4">
        <f ca="1">('TUSD BE'!$AM$48+'TUSD BF'!$AM$48+'TUSD CVA'!$AM$48)*1</f>
        <v>398.95397789704208</v>
      </c>
      <c r="AA1084" s="4">
        <f>('TE BE'!$AB$39+'TE BF'!$AB$39+'TE CVA'!$AB$39)*1</f>
        <v>336.17550926835082</v>
      </c>
      <c r="AB1084" s="4">
        <f>$K$1084*$V$1084</f>
        <v>0</v>
      </c>
      <c r="AC1084" s="4">
        <f>$M$1084*$W$1084</f>
        <v>437262.17543999996</v>
      </c>
      <c r="AD1084" s="4">
        <f>$O$1084*$X$1084</f>
        <v>377715.96746999997</v>
      </c>
      <c r="AE1084" s="4">
        <f>$K$1084*$Y$1084</f>
        <v>0</v>
      </c>
      <c r="AF1084" s="4">
        <f ca="1">$M$1084*$Z$1084</f>
        <v>560419.82869346661</v>
      </c>
      <c r="AG1084" s="4">
        <f>$O$1084*$AA$1084</f>
        <v>472233.46990596555</v>
      </c>
    </row>
    <row r="1085" spans="1:33" ht="11.25" customHeight="1" x14ac:dyDescent="0.25">
      <c r="A1085" s="3" t="s">
        <v>27</v>
      </c>
      <c r="B1085" s="3" t="s">
        <v>37</v>
      </c>
      <c r="C1085" s="3" t="s">
        <v>23</v>
      </c>
      <c r="D1085" s="3" t="s">
        <v>45</v>
      </c>
      <c r="E1085" s="3" t="s">
        <v>25</v>
      </c>
      <c r="F1085" s="3" t="s">
        <v>25</v>
      </c>
      <c r="G1085" s="3" t="s">
        <v>25</v>
      </c>
      <c r="H1085" s="3" t="s">
        <v>25</v>
      </c>
      <c r="I1085" s="6">
        <v>44562</v>
      </c>
      <c r="J1085" s="4">
        <v>0</v>
      </c>
      <c r="K1085" s="4">
        <v>0</v>
      </c>
      <c r="L1085" s="4">
        <v>5.4480000000000004</v>
      </c>
      <c r="M1085" s="4">
        <v>5.4480000000000004</v>
      </c>
      <c r="N1085" s="4">
        <v>5.4480000000000004</v>
      </c>
      <c r="O1085" s="4">
        <v>5.4480000000000004</v>
      </c>
      <c r="P1085" s="4">
        <v>4</v>
      </c>
      <c r="Q1085" s="3" t="s">
        <v>26</v>
      </c>
      <c r="R1085" s="3">
        <v>0</v>
      </c>
      <c r="S1085" s="4">
        <v>0</v>
      </c>
      <c r="T1085" s="4">
        <v>33</v>
      </c>
      <c r="U1085" s="4">
        <v>87</v>
      </c>
      <c r="V1085" s="4">
        <f>IF(ISERROR(VLOOKUP($S$1085,'TAR FIN'!$A$1:$O$92,15,0)),0,VLOOKUP($S$1085,'TAR FIN'!$A$1:$O$92,15,0))</f>
        <v>0</v>
      </c>
      <c r="W1085" s="4">
        <f>IF(ISERROR(VLOOKUP($T$1085,'TAR FIN'!$A$1:$O$92,15,0)),0,VLOOKUP($T$1085,'TAR FIN'!$A$1:$O$92,15,0))</f>
        <v>311.27999999999997</v>
      </c>
      <c r="X1085" s="4">
        <f>IF(ISERROR(VLOOKUP($U$1085,'TAR FIN'!$A$1:$O$92,15,0)),0,VLOOKUP($U$1085,'TAR FIN'!$A$1:$O$92,15,0))</f>
        <v>268.89</v>
      </c>
      <c r="Y1085" s="4"/>
      <c r="Z1085" s="4">
        <f ca="1">('TUSD BE'!$AM$48+'TUSD BF'!$AM$48+'TUSD CVA'!$AM$48)*1</f>
        <v>398.95397789704208</v>
      </c>
      <c r="AA1085" s="4">
        <f>('TE BE'!$AB$39+'TE BF'!$AB$39+'TE CVA'!$AB$39)*1</f>
        <v>336.17550926835082</v>
      </c>
      <c r="AB1085" s="4">
        <f>$K$1085*$V$1085</f>
        <v>0</v>
      </c>
      <c r="AC1085" s="4">
        <f>$M$1085*$W$1085</f>
        <v>1695.8534399999999</v>
      </c>
      <c r="AD1085" s="4">
        <f>$O$1085*$X$1085</f>
        <v>1464.91272</v>
      </c>
      <c r="AE1085" s="4">
        <f>$K$1085*$Y$1085</f>
        <v>0</v>
      </c>
      <c r="AF1085" s="4">
        <f ca="1">$M$1085*$Z$1085</f>
        <v>2173.5012715830853</v>
      </c>
      <c r="AG1085" s="4">
        <f>$O$1085*$AA$1085</f>
        <v>1831.4841744939754</v>
      </c>
    </row>
    <row r="1086" spans="1:33" ht="11.25" customHeight="1" x14ac:dyDescent="0.25">
      <c r="A1086" s="3" t="s">
        <v>28</v>
      </c>
      <c r="B1086" s="3" t="s">
        <v>37</v>
      </c>
      <c r="C1086" s="3" t="s">
        <v>23</v>
      </c>
      <c r="D1086" s="3" t="s">
        <v>45</v>
      </c>
      <c r="E1086" s="3" t="s">
        <v>25</v>
      </c>
      <c r="F1086" s="3" t="s">
        <v>25</v>
      </c>
      <c r="G1086" s="3" t="s">
        <v>25</v>
      </c>
      <c r="H1086" s="3" t="s">
        <v>25</v>
      </c>
      <c r="I1086" s="6">
        <v>44562</v>
      </c>
      <c r="J1086" s="4">
        <v>0</v>
      </c>
      <c r="K1086" s="4">
        <v>0</v>
      </c>
      <c r="L1086" s="4">
        <v>582.83699999999999</v>
      </c>
      <c r="M1086" s="4">
        <v>582.83699999999999</v>
      </c>
      <c r="N1086" s="4">
        <v>582.83699999999999</v>
      </c>
      <c r="O1086" s="4">
        <v>582.83699999999999</v>
      </c>
      <c r="P1086" s="4">
        <v>236</v>
      </c>
      <c r="Q1086" s="3" t="s">
        <v>26</v>
      </c>
      <c r="R1086" s="3">
        <v>0</v>
      </c>
      <c r="S1086" s="4">
        <v>0</v>
      </c>
      <c r="T1086" s="4">
        <v>33</v>
      </c>
      <c r="U1086" s="4">
        <v>87</v>
      </c>
      <c r="V1086" s="4">
        <f>IF(ISERROR(VLOOKUP($S$1086,'TAR FIN'!$A$1:$O$92,15,0)),0,VLOOKUP($S$1086,'TAR FIN'!$A$1:$O$92,15,0))</f>
        <v>0</v>
      </c>
      <c r="W1086" s="4">
        <f>IF(ISERROR(VLOOKUP($T$1086,'TAR FIN'!$A$1:$O$92,15,0)),0,VLOOKUP($T$1086,'TAR FIN'!$A$1:$O$92,15,0))</f>
        <v>311.27999999999997</v>
      </c>
      <c r="X1086" s="4">
        <f>IF(ISERROR(VLOOKUP($U$1086,'TAR FIN'!$A$1:$O$92,15,0)),0,VLOOKUP($U$1086,'TAR FIN'!$A$1:$O$92,15,0))</f>
        <v>268.89</v>
      </c>
      <c r="Y1086" s="4"/>
      <c r="Z1086" s="4">
        <f ca="1">('TUSD BE'!$AM$48+'TUSD BF'!$AM$48+'TUSD CVA'!$AM$48)*1</f>
        <v>398.95397789704208</v>
      </c>
      <c r="AA1086" s="4">
        <f>('TE BE'!$AB$39+'TE BF'!$AB$39+'TE CVA'!$AB$39)*1</f>
        <v>336.17550926835082</v>
      </c>
      <c r="AB1086" s="4">
        <f>$K$1086*$V$1086</f>
        <v>0</v>
      </c>
      <c r="AC1086" s="4">
        <f>$M$1086*$W$1086</f>
        <v>181425.50135999999</v>
      </c>
      <c r="AD1086" s="4">
        <f>$O$1086*$X$1086</f>
        <v>156719.04092999999</v>
      </c>
      <c r="AE1086" s="4">
        <f>$K$1086*$Y$1086</f>
        <v>0</v>
      </c>
      <c r="AF1086" s="4">
        <f ca="1">$M$1086*$Z$1086</f>
        <v>232525.13961557831</v>
      </c>
      <c r="AG1086" s="4">
        <f>$O$1086*$AA$1086</f>
        <v>195935.52529543778</v>
      </c>
    </row>
    <row r="1087" spans="1:33" ht="11.25" customHeight="1" x14ac:dyDescent="0.25">
      <c r="A1087" s="3" t="s">
        <v>21</v>
      </c>
      <c r="B1087" s="3" t="s">
        <v>37</v>
      </c>
      <c r="C1087" s="3" t="s">
        <v>23</v>
      </c>
      <c r="D1087" s="3" t="s">
        <v>45</v>
      </c>
      <c r="E1087" s="3" t="s">
        <v>25</v>
      </c>
      <c r="F1087" s="3" t="s">
        <v>25</v>
      </c>
      <c r="G1087" s="3" t="s">
        <v>25</v>
      </c>
      <c r="H1087" s="3" t="s">
        <v>25</v>
      </c>
      <c r="I1087" s="6">
        <v>44593</v>
      </c>
      <c r="J1087" s="4">
        <v>0</v>
      </c>
      <c r="K1087" s="4">
        <v>0</v>
      </c>
      <c r="L1087" s="4">
        <v>1523.3779999999999</v>
      </c>
      <c r="M1087" s="4">
        <v>1523.3779999999999</v>
      </c>
      <c r="N1087" s="4">
        <v>1523.3779999999999</v>
      </c>
      <c r="O1087" s="4">
        <v>1523.3779999999999</v>
      </c>
      <c r="P1087" s="4">
        <v>1612</v>
      </c>
      <c r="Q1087" s="3" t="s">
        <v>26</v>
      </c>
      <c r="R1087" s="3">
        <v>0</v>
      </c>
      <c r="S1087" s="4">
        <v>0</v>
      </c>
      <c r="T1087" s="4">
        <v>33</v>
      </c>
      <c r="U1087" s="4">
        <v>87</v>
      </c>
      <c r="V1087" s="4">
        <f>IF(ISERROR(VLOOKUP($S$1087,'TAR FIN'!$A$1:$O$92,15,0)),0,VLOOKUP($S$1087,'TAR FIN'!$A$1:$O$92,15,0))</f>
        <v>0</v>
      </c>
      <c r="W1087" s="4">
        <f>IF(ISERROR(VLOOKUP($T$1087,'TAR FIN'!$A$1:$O$92,15,0)),0,VLOOKUP($T$1087,'TAR FIN'!$A$1:$O$92,15,0))</f>
        <v>311.27999999999997</v>
      </c>
      <c r="X1087" s="4">
        <f>IF(ISERROR(VLOOKUP($U$1087,'TAR FIN'!$A$1:$O$92,15,0)),0,VLOOKUP($U$1087,'TAR FIN'!$A$1:$O$92,15,0))</f>
        <v>268.89</v>
      </c>
      <c r="Y1087" s="4"/>
      <c r="Z1087" s="4">
        <f ca="1">('TUSD BE'!$AM$48+'TUSD BF'!$AM$48+'TUSD CVA'!$AM$48)*1</f>
        <v>398.95397789704208</v>
      </c>
      <c r="AA1087" s="4">
        <f>('TE BE'!$AB$39+'TE BF'!$AB$39+'TE CVA'!$AB$39)*1</f>
        <v>336.17550926835082</v>
      </c>
      <c r="AB1087" s="4">
        <f>$K$1087*$V$1087</f>
        <v>0</v>
      </c>
      <c r="AC1087" s="4">
        <f>$M$1087*$W$1087</f>
        <v>474197.10383999994</v>
      </c>
      <c r="AD1087" s="4">
        <f>$O$1087*$X$1087</f>
        <v>409621.11041999998</v>
      </c>
      <c r="AE1087" s="4">
        <f>$K$1087*$Y$1087</f>
        <v>0</v>
      </c>
      <c r="AF1087" s="4">
        <f ca="1">$M$1087*$Z$1087</f>
        <v>607757.71294084017</v>
      </c>
      <c r="AG1087" s="4">
        <f>$O$1087*$AA$1087</f>
        <v>512122.37495820172</v>
      </c>
    </row>
    <row r="1088" spans="1:33" ht="11.25" customHeight="1" x14ac:dyDescent="0.25">
      <c r="A1088" s="3" t="s">
        <v>27</v>
      </c>
      <c r="B1088" s="3" t="s">
        <v>37</v>
      </c>
      <c r="C1088" s="3" t="s">
        <v>23</v>
      </c>
      <c r="D1088" s="3" t="s">
        <v>45</v>
      </c>
      <c r="E1088" s="3" t="s">
        <v>25</v>
      </c>
      <c r="F1088" s="3" t="s">
        <v>25</v>
      </c>
      <c r="G1088" s="3" t="s">
        <v>25</v>
      </c>
      <c r="H1088" s="3" t="s">
        <v>25</v>
      </c>
      <c r="I1088" s="6">
        <v>44593</v>
      </c>
      <c r="J1088" s="4">
        <v>0</v>
      </c>
      <c r="K1088" s="4">
        <v>0</v>
      </c>
      <c r="L1088" s="4">
        <v>-0.29099999999999998</v>
      </c>
      <c r="M1088" s="4">
        <v>-0.29099999999999998</v>
      </c>
      <c r="N1088" s="4">
        <v>-0.29099999999999998</v>
      </c>
      <c r="O1088" s="4">
        <v>-0.29099999999999998</v>
      </c>
      <c r="P1088" s="4">
        <v>0</v>
      </c>
      <c r="Q1088" s="3" t="s">
        <v>26</v>
      </c>
      <c r="R1088" s="3">
        <v>0</v>
      </c>
      <c r="S1088" s="4">
        <v>0</v>
      </c>
      <c r="T1088" s="4">
        <v>33</v>
      </c>
      <c r="U1088" s="4">
        <v>87</v>
      </c>
      <c r="V1088" s="4">
        <f>IF(ISERROR(VLOOKUP($S$1088,'TAR FIN'!$A$1:$O$92,15,0)),0,VLOOKUP($S$1088,'TAR FIN'!$A$1:$O$92,15,0))</f>
        <v>0</v>
      </c>
      <c r="W1088" s="4">
        <f>IF(ISERROR(VLOOKUP($T$1088,'TAR FIN'!$A$1:$O$92,15,0)),0,VLOOKUP($T$1088,'TAR FIN'!$A$1:$O$92,15,0))</f>
        <v>311.27999999999997</v>
      </c>
      <c r="X1088" s="4">
        <f>IF(ISERROR(VLOOKUP($U$1088,'TAR FIN'!$A$1:$O$92,15,0)),0,VLOOKUP($U$1088,'TAR FIN'!$A$1:$O$92,15,0))</f>
        <v>268.89</v>
      </c>
      <c r="Y1088" s="4"/>
      <c r="Z1088" s="4">
        <f ca="1">('TUSD BE'!$AM$48+'TUSD BF'!$AM$48+'TUSD CVA'!$AM$48)*1</f>
        <v>398.95397789704208</v>
      </c>
      <c r="AA1088" s="4">
        <f>('TE BE'!$AB$39+'TE BF'!$AB$39+'TE CVA'!$AB$39)*1</f>
        <v>336.17550926835082</v>
      </c>
      <c r="AB1088" s="4">
        <f>$K$1088*$V$1088</f>
        <v>0</v>
      </c>
      <c r="AC1088" s="4">
        <f>$M$1088*$W$1088</f>
        <v>-90.58247999999999</v>
      </c>
      <c r="AD1088" s="4">
        <f>$O$1088*$X$1088</f>
        <v>-78.246989999999997</v>
      </c>
      <c r="AE1088" s="4">
        <f>$K$1088*$Y$1088</f>
        <v>0</v>
      </c>
      <c r="AF1088" s="4">
        <f ca="1">$M$1088*$Z$1088</f>
        <v>-116.09560756803924</v>
      </c>
      <c r="AG1088" s="4">
        <f>$O$1088*$AA$1088</f>
        <v>-97.827073197090087</v>
      </c>
    </row>
    <row r="1089" spans="1:33" ht="11.25" customHeight="1" x14ac:dyDescent="0.25">
      <c r="A1089" s="3" t="s">
        <v>28</v>
      </c>
      <c r="B1089" s="3" t="s">
        <v>37</v>
      </c>
      <c r="C1089" s="3" t="s">
        <v>23</v>
      </c>
      <c r="D1089" s="3" t="s">
        <v>45</v>
      </c>
      <c r="E1089" s="3" t="s">
        <v>25</v>
      </c>
      <c r="F1089" s="3" t="s">
        <v>25</v>
      </c>
      <c r="G1089" s="3" t="s">
        <v>25</v>
      </c>
      <c r="H1089" s="3" t="s">
        <v>25</v>
      </c>
      <c r="I1089" s="6">
        <v>44593</v>
      </c>
      <c r="J1089" s="4">
        <v>0</v>
      </c>
      <c r="K1089" s="4">
        <v>0</v>
      </c>
      <c r="L1089" s="4">
        <v>738.68299999999999</v>
      </c>
      <c r="M1089" s="4">
        <v>738.68299999999999</v>
      </c>
      <c r="N1089" s="4">
        <v>738.68299999999999</v>
      </c>
      <c r="O1089" s="4">
        <v>738.68299999999999</v>
      </c>
      <c r="P1089" s="4">
        <v>233</v>
      </c>
      <c r="Q1089" s="3" t="s">
        <v>26</v>
      </c>
      <c r="R1089" s="3">
        <v>0</v>
      </c>
      <c r="S1089" s="4">
        <v>0</v>
      </c>
      <c r="T1089" s="4">
        <v>33</v>
      </c>
      <c r="U1089" s="4">
        <v>87</v>
      </c>
      <c r="V1089" s="4">
        <f>IF(ISERROR(VLOOKUP($S$1089,'TAR FIN'!$A$1:$O$92,15,0)),0,VLOOKUP($S$1089,'TAR FIN'!$A$1:$O$92,15,0))</f>
        <v>0</v>
      </c>
      <c r="W1089" s="4">
        <f>IF(ISERROR(VLOOKUP($T$1089,'TAR FIN'!$A$1:$O$92,15,0)),0,VLOOKUP($T$1089,'TAR FIN'!$A$1:$O$92,15,0))</f>
        <v>311.27999999999997</v>
      </c>
      <c r="X1089" s="4">
        <f>IF(ISERROR(VLOOKUP($U$1089,'TAR FIN'!$A$1:$O$92,15,0)),0,VLOOKUP($U$1089,'TAR FIN'!$A$1:$O$92,15,0))</f>
        <v>268.89</v>
      </c>
      <c r="Y1089" s="4"/>
      <c r="Z1089" s="4">
        <f ca="1">('TUSD BE'!$AM$48+'TUSD BF'!$AM$48+'TUSD CVA'!$AM$48)*1</f>
        <v>398.95397789704208</v>
      </c>
      <c r="AA1089" s="4">
        <f>('TE BE'!$AB$39+'TE BF'!$AB$39+'TE CVA'!$AB$39)*1</f>
        <v>336.17550926835082</v>
      </c>
      <c r="AB1089" s="4">
        <f>$K$1089*$V$1089</f>
        <v>0</v>
      </c>
      <c r="AC1089" s="4">
        <f>$M$1089*$W$1089</f>
        <v>229937.24423999997</v>
      </c>
      <c r="AD1089" s="4">
        <f>$O$1089*$X$1089</f>
        <v>198624.47186999998</v>
      </c>
      <c r="AE1089" s="4">
        <f>$K$1089*$Y$1089</f>
        <v>0</v>
      </c>
      <c r="AF1089" s="4">
        <f ca="1">$M$1089*$Z$1089</f>
        <v>294700.52125492075</v>
      </c>
      <c r="AG1089" s="4">
        <f>$O$1089*$AA$1089</f>
        <v>248327.13371287318</v>
      </c>
    </row>
    <row r="1090" spans="1:33" ht="11.25" customHeight="1" x14ac:dyDescent="0.25">
      <c r="A1090" s="3" t="s">
        <v>21</v>
      </c>
      <c r="B1090" s="3" t="s">
        <v>37</v>
      </c>
      <c r="C1090" s="3" t="s">
        <v>23</v>
      </c>
      <c r="D1090" s="3" t="s">
        <v>45</v>
      </c>
      <c r="E1090" s="3" t="s">
        <v>25</v>
      </c>
      <c r="F1090" s="3" t="s">
        <v>25</v>
      </c>
      <c r="G1090" s="3" t="s">
        <v>25</v>
      </c>
      <c r="H1090" s="3" t="s">
        <v>25</v>
      </c>
      <c r="I1090" s="6">
        <v>44621</v>
      </c>
      <c r="J1090" s="4">
        <v>0</v>
      </c>
      <c r="K1090" s="4">
        <v>0</v>
      </c>
      <c r="L1090" s="4">
        <v>1688.0550000000001</v>
      </c>
      <c r="M1090" s="4">
        <v>1688.0550000000001</v>
      </c>
      <c r="N1090" s="4">
        <v>1688.0550000000001</v>
      </c>
      <c r="O1090" s="4">
        <v>1688.0550000000001</v>
      </c>
      <c r="P1090" s="4">
        <v>1616</v>
      </c>
      <c r="Q1090" s="3" t="s">
        <v>26</v>
      </c>
      <c r="R1090" s="3">
        <v>0</v>
      </c>
      <c r="S1090" s="4">
        <v>0</v>
      </c>
      <c r="T1090" s="4">
        <v>33</v>
      </c>
      <c r="U1090" s="4">
        <v>87</v>
      </c>
      <c r="V1090" s="4">
        <f>IF(ISERROR(VLOOKUP($S$1090,'TAR FIN'!$A$1:$O$92,15,0)),0,VLOOKUP($S$1090,'TAR FIN'!$A$1:$O$92,15,0))</f>
        <v>0</v>
      </c>
      <c r="W1090" s="4">
        <f>IF(ISERROR(VLOOKUP($T$1090,'TAR FIN'!$A$1:$O$92,15,0)),0,VLOOKUP($T$1090,'TAR FIN'!$A$1:$O$92,15,0))</f>
        <v>311.27999999999997</v>
      </c>
      <c r="X1090" s="4">
        <f>IF(ISERROR(VLOOKUP($U$1090,'TAR FIN'!$A$1:$O$92,15,0)),0,VLOOKUP($U$1090,'TAR FIN'!$A$1:$O$92,15,0))</f>
        <v>268.89</v>
      </c>
      <c r="Y1090" s="4"/>
      <c r="Z1090" s="4">
        <f ca="1">('TUSD BE'!$AM$48+'TUSD BF'!$AM$48+'TUSD CVA'!$AM$48)*1</f>
        <v>398.95397789704208</v>
      </c>
      <c r="AA1090" s="4">
        <f>('TE BE'!$AB$39+'TE BF'!$AB$39+'TE CVA'!$AB$39)*1</f>
        <v>336.17550926835082</v>
      </c>
      <c r="AB1090" s="4">
        <f>$K$1090*$V$1090</f>
        <v>0</v>
      </c>
      <c r="AC1090" s="4">
        <f>$M$1090*$W$1090</f>
        <v>525457.76040000003</v>
      </c>
      <c r="AD1090" s="4">
        <f>$O$1090*$X$1090</f>
        <v>453901.10894999997</v>
      </c>
      <c r="AE1090" s="4">
        <f>$K$1090*$Y$1090</f>
        <v>0</v>
      </c>
      <c r="AF1090" s="4">
        <f ca="1">$M$1090*$Z$1090</f>
        <v>673456.25715899142</v>
      </c>
      <c r="AG1090" s="4">
        <f>$O$1090*$AA$1090</f>
        <v>567482.74929798592</v>
      </c>
    </row>
    <row r="1091" spans="1:33" ht="11.25" customHeight="1" x14ac:dyDescent="0.25">
      <c r="A1091" s="3" t="s">
        <v>28</v>
      </c>
      <c r="B1091" s="3" t="s">
        <v>37</v>
      </c>
      <c r="C1091" s="3" t="s">
        <v>23</v>
      </c>
      <c r="D1091" s="3" t="s">
        <v>45</v>
      </c>
      <c r="E1091" s="3" t="s">
        <v>25</v>
      </c>
      <c r="F1091" s="3" t="s">
        <v>25</v>
      </c>
      <c r="G1091" s="3" t="s">
        <v>25</v>
      </c>
      <c r="H1091" s="3" t="s">
        <v>25</v>
      </c>
      <c r="I1091" s="6">
        <v>44621</v>
      </c>
      <c r="J1091" s="4">
        <v>0</v>
      </c>
      <c r="K1091" s="4">
        <v>0</v>
      </c>
      <c r="L1091" s="4">
        <v>778.11</v>
      </c>
      <c r="M1091" s="4">
        <v>778.11</v>
      </c>
      <c r="N1091" s="4">
        <v>778.11</v>
      </c>
      <c r="O1091" s="4">
        <v>778.11</v>
      </c>
      <c r="P1091" s="4">
        <v>233</v>
      </c>
      <c r="Q1091" s="3" t="s">
        <v>26</v>
      </c>
      <c r="R1091" s="3">
        <v>0</v>
      </c>
      <c r="S1091" s="4">
        <v>0</v>
      </c>
      <c r="T1091" s="4">
        <v>33</v>
      </c>
      <c r="U1091" s="4">
        <v>87</v>
      </c>
      <c r="V1091" s="4">
        <f>IF(ISERROR(VLOOKUP($S$1091,'TAR FIN'!$A$1:$O$92,15,0)),0,VLOOKUP($S$1091,'TAR FIN'!$A$1:$O$92,15,0))</f>
        <v>0</v>
      </c>
      <c r="W1091" s="4">
        <f>IF(ISERROR(VLOOKUP($T$1091,'TAR FIN'!$A$1:$O$92,15,0)),0,VLOOKUP($T$1091,'TAR FIN'!$A$1:$O$92,15,0))</f>
        <v>311.27999999999997</v>
      </c>
      <c r="X1091" s="4">
        <f>IF(ISERROR(VLOOKUP($U$1091,'TAR FIN'!$A$1:$O$92,15,0)),0,VLOOKUP($U$1091,'TAR FIN'!$A$1:$O$92,15,0))</f>
        <v>268.89</v>
      </c>
      <c r="Y1091" s="4"/>
      <c r="Z1091" s="4">
        <f ca="1">('TUSD BE'!$AM$48+'TUSD BF'!$AM$48+'TUSD CVA'!$AM$48)*1</f>
        <v>398.95397789704208</v>
      </c>
      <c r="AA1091" s="4">
        <f>('TE BE'!$AB$39+'TE BF'!$AB$39+'TE CVA'!$AB$39)*1</f>
        <v>336.17550926835082</v>
      </c>
      <c r="AB1091" s="4">
        <f>$K$1091*$V$1091</f>
        <v>0</v>
      </c>
      <c r="AC1091" s="4">
        <f>$M$1091*$W$1091</f>
        <v>242210.0808</v>
      </c>
      <c r="AD1091" s="4">
        <f>$O$1091*$X$1091</f>
        <v>209225.99789999999</v>
      </c>
      <c r="AE1091" s="4">
        <f>$K$1091*$Y$1091</f>
        <v>0</v>
      </c>
      <c r="AF1091" s="4">
        <f ca="1">$M$1091*$Z$1091</f>
        <v>310430.07974146743</v>
      </c>
      <c r="AG1091" s="4">
        <f>$O$1091*$AA$1091</f>
        <v>261581.52551679645</v>
      </c>
    </row>
    <row r="1092" spans="1:33" ht="11.25" customHeight="1" x14ac:dyDescent="0.25">
      <c r="A1092" s="3" t="s">
        <v>21</v>
      </c>
      <c r="B1092" s="3" t="s">
        <v>37</v>
      </c>
      <c r="C1092" s="3" t="s">
        <v>23</v>
      </c>
      <c r="D1092" s="3" t="s">
        <v>45</v>
      </c>
      <c r="E1092" s="3" t="s">
        <v>25</v>
      </c>
      <c r="F1092" s="3" t="s">
        <v>25</v>
      </c>
      <c r="G1092" s="3" t="s">
        <v>25</v>
      </c>
      <c r="H1092" s="3" t="s">
        <v>25</v>
      </c>
      <c r="I1092" s="6">
        <v>44652</v>
      </c>
      <c r="J1092" s="4">
        <v>0</v>
      </c>
      <c r="K1092" s="4">
        <v>0</v>
      </c>
      <c r="L1092" s="4">
        <v>1688.0550000000001</v>
      </c>
      <c r="M1092" s="4">
        <v>1688.0550000000001</v>
      </c>
      <c r="N1092" s="4">
        <v>1688.0550000000001</v>
      </c>
      <c r="O1092" s="4">
        <v>1688.0550000000001</v>
      </c>
      <c r="P1092" s="4">
        <v>1616</v>
      </c>
      <c r="Q1092" s="3" t="s">
        <v>26</v>
      </c>
      <c r="R1092" s="3">
        <v>0</v>
      </c>
      <c r="S1092" s="4">
        <v>0</v>
      </c>
      <c r="T1092" s="4">
        <v>33</v>
      </c>
      <c r="U1092" s="4">
        <v>87</v>
      </c>
      <c r="V1092" s="4">
        <f>IF(ISERROR(VLOOKUP($S$1092,'TAR FIN'!$A$1:$O$92,15,0)),0,VLOOKUP($S$1092,'TAR FIN'!$A$1:$O$92,15,0))</f>
        <v>0</v>
      </c>
      <c r="W1092" s="4">
        <f>IF(ISERROR(VLOOKUP($T$1092,'TAR FIN'!$A$1:$O$92,15,0)),0,VLOOKUP($T$1092,'TAR FIN'!$A$1:$O$92,15,0))</f>
        <v>311.27999999999997</v>
      </c>
      <c r="X1092" s="4">
        <f>IF(ISERROR(VLOOKUP($U$1092,'TAR FIN'!$A$1:$O$92,15,0)),0,VLOOKUP($U$1092,'TAR FIN'!$A$1:$O$92,15,0))</f>
        <v>268.89</v>
      </c>
      <c r="Y1092" s="4"/>
      <c r="Z1092" s="4">
        <f ca="1">('TUSD BE'!$AM$48+'TUSD BF'!$AM$48+'TUSD CVA'!$AM$48)*1</f>
        <v>398.95397789704208</v>
      </c>
      <c r="AA1092" s="4">
        <f>('TE BE'!$AB$39+'TE BF'!$AB$39+'TE CVA'!$AB$39)*1</f>
        <v>336.17550926835082</v>
      </c>
      <c r="AB1092" s="4">
        <f>$K$1092*$V$1092</f>
        <v>0</v>
      </c>
      <c r="AC1092" s="4">
        <f>$M$1092*$W$1092</f>
        <v>525457.76040000003</v>
      </c>
      <c r="AD1092" s="4">
        <f>$O$1092*$X$1092</f>
        <v>453901.10894999997</v>
      </c>
      <c r="AE1092" s="4">
        <f>$K$1092*$Y$1092</f>
        <v>0</v>
      </c>
      <c r="AF1092" s="4">
        <f ca="1">$M$1092*$Z$1092</f>
        <v>673456.25715899142</v>
      </c>
      <c r="AG1092" s="4">
        <f>$O$1092*$AA$1092</f>
        <v>567482.74929798592</v>
      </c>
    </row>
    <row r="1093" spans="1:33" ht="11.25" customHeight="1" x14ac:dyDescent="0.25">
      <c r="A1093" s="3" t="s">
        <v>28</v>
      </c>
      <c r="B1093" s="3" t="s">
        <v>37</v>
      </c>
      <c r="C1093" s="3" t="s">
        <v>23</v>
      </c>
      <c r="D1093" s="3" t="s">
        <v>45</v>
      </c>
      <c r="E1093" s="3" t="s">
        <v>25</v>
      </c>
      <c r="F1093" s="3" t="s">
        <v>25</v>
      </c>
      <c r="G1093" s="3" t="s">
        <v>25</v>
      </c>
      <c r="H1093" s="3" t="s">
        <v>25</v>
      </c>
      <c r="I1093" s="6">
        <v>44652</v>
      </c>
      <c r="J1093" s="4">
        <v>0</v>
      </c>
      <c r="K1093" s="4">
        <v>0</v>
      </c>
      <c r="L1093" s="4">
        <v>778.11</v>
      </c>
      <c r="M1093" s="4">
        <v>778.11</v>
      </c>
      <c r="N1093" s="4">
        <v>778.11</v>
      </c>
      <c r="O1093" s="4">
        <v>778.11</v>
      </c>
      <c r="P1093" s="4">
        <v>233</v>
      </c>
      <c r="Q1093" s="3" t="s">
        <v>26</v>
      </c>
      <c r="R1093" s="3">
        <v>0</v>
      </c>
      <c r="S1093" s="4">
        <v>0</v>
      </c>
      <c r="T1093" s="4">
        <v>33</v>
      </c>
      <c r="U1093" s="4">
        <v>87</v>
      </c>
      <c r="V1093" s="4">
        <f>IF(ISERROR(VLOOKUP($S$1093,'TAR FIN'!$A$1:$O$92,15,0)),0,VLOOKUP($S$1093,'TAR FIN'!$A$1:$O$92,15,0))</f>
        <v>0</v>
      </c>
      <c r="W1093" s="4">
        <f>IF(ISERROR(VLOOKUP($T$1093,'TAR FIN'!$A$1:$O$92,15,0)),0,VLOOKUP($T$1093,'TAR FIN'!$A$1:$O$92,15,0))</f>
        <v>311.27999999999997</v>
      </c>
      <c r="X1093" s="4">
        <f>IF(ISERROR(VLOOKUP($U$1093,'TAR FIN'!$A$1:$O$92,15,0)),0,VLOOKUP($U$1093,'TAR FIN'!$A$1:$O$92,15,0))</f>
        <v>268.89</v>
      </c>
      <c r="Y1093" s="4"/>
      <c r="Z1093" s="4">
        <f ca="1">('TUSD BE'!$AM$48+'TUSD BF'!$AM$48+'TUSD CVA'!$AM$48)*1</f>
        <v>398.95397789704208</v>
      </c>
      <c r="AA1093" s="4">
        <f>('TE BE'!$AB$39+'TE BF'!$AB$39+'TE CVA'!$AB$39)*1</f>
        <v>336.17550926835082</v>
      </c>
      <c r="AB1093" s="4">
        <f>$K$1093*$V$1093</f>
        <v>0</v>
      </c>
      <c r="AC1093" s="4">
        <f>$M$1093*$W$1093</f>
        <v>242210.0808</v>
      </c>
      <c r="AD1093" s="4">
        <f>$O$1093*$X$1093</f>
        <v>209225.99789999999</v>
      </c>
      <c r="AE1093" s="4">
        <f>$K$1093*$Y$1093</f>
        <v>0</v>
      </c>
      <c r="AF1093" s="4">
        <f ca="1">$M$1093*$Z$1093</f>
        <v>310430.07974146743</v>
      </c>
      <c r="AG1093" s="4">
        <f>$O$1093*$AA$1093</f>
        <v>261581.52551679645</v>
      </c>
    </row>
    <row r="1094" spans="1:33" ht="11.25" customHeight="1" x14ac:dyDescent="0.25">
      <c r="A1094" s="3" t="s">
        <v>21</v>
      </c>
      <c r="B1094" s="3" t="s">
        <v>37</v>
      </c>
      <c r="C1094" s="3" t="s">
        <v>23</v>
      </c>
      <c r="D1094" s="3" t="s">
        <v>45</v>
      </c>
      <c r="E1094" s="3" t="s">
        <v>25</v>
      </c>
      <c r="F1094" s="3" t="s">
        <v>25</v>
      </c>
      <c r="G1094" s="3" t="s">
        <v>25</v>
      </c>
      <c r="H1094" s="3" t="s">
        <v>25</v>
      </c>
      <c r="I1094" s="6">
        <v>44682</v>
      </c>
      <c r="J1094" s="4">
        <v>0</v>
      </c>
      <c r="K1094" s="4">
        <v>0</v>
      </c>
      <c r="L1094" s="4">
        <v>1610.2909999999999</v>
      </c>
      <c r="M1094" s="4">
        <v>1610.2909999999999</v>
      </c>
      <c r="N1094" s="4">
        <v>1610.2909999999999</v>
      </c>
      <c r="O1094" s="4">
        <v>1610.2909999999999</v>
      </c>
      <c r="P1094" s="4">
        <v>1664</v>
      </c>
      <c r="Q1094" s="3" t="s">
        <v>26</v>
      </c>
      <c r="R1094" s="3">
        <v>0</v>
      </c>
      <c r="S1094" s="4">
        <v>0</v>
      </c>
      <c r="T1094" s="4">
        <v>33</v>
      </c>
      <c r="U1094" s="4">
        <v>87</v>
      </c>
      <c r="V1094" s="4">
        <f>IF(ISERROR(VLOOKUP($S$1094,'TAR FIN'!$A$1:$O$92,15,0)),0,VLOOKUP($S$1094,'TAR FIN'!$A$1:$O$92,15,0))</f>
        <v>0</v>
      </c>
      <c r="W1094" s="4">
        <f>IF(ISERROR(VLOOKUP($T$1094,'TAR FIN'!$A$1:$O$92,15,0)),0,VLOOKUP($T$1094,'TAR FIN'!$A$1:$O$92,15,0))</f>
        <v>311.27999999999997</v>
      </c>
      <c r="X1094" s="4">
        <f>IF(ISERROR(VLOOKUP($U$1094,'TAR FIN'!$A$1:$O$92,15,0)),0,VLOOKUP($U$1094,'TAR FIN'!$A$1:$O$92,15,0))</f>
        <v>268.89</v>
      </c>
      <c r="Y1094" s="4"/>
      <c r="Z1094" s="4">
        <f ca="1">('TUSD BE'!$AM$48+'TUSD BF'!$AM$48+'TUSD CVA'!$AM$48)*1</f>
        <v>398.95397789704208</v>
      </c>
      <c r="AA1094" s="4">
        <f>('TE BE'!$AB$39+'TE BF'!$AB$39+'TE CVA'!$AB$39)*1</f>
        <v>336.17550926835082</v>
      </c>
      <c r="AB1094" s="4">
        <f>$K$1094*$V$1094</f>
        <v>0</v>
      </c>
      <c r="AC1094" s="4">
        <f>$M$1094*$W$1094</f>
        <v>501251.38247999991</v>
      </c>
      <c r="AD1094" s="4">
        <f>$O$1094*$X$1094</f>
        <v>432991.14698999998</v>
      </c>
      <c r="AE1094" s="4">
        <f>$K$1094*$Y$1094</f>
        <v>0</v>
      </c>
      <c r="AF1094" s="4">
        <f ca="1">$M$1094*$Z$1094</f>
        <v>642432.00002180575</v>
      </c>
      <c r="AG1094" s="4">
        <f>$O$1094*$AA$1094</f>
        <v>541340.39699524187</v>
      </c>
    </row>
    <row r="1095" spans="1:33" ht="11.25" customHeight="1" x14ac:dyDescent="0.25">
      <c r="A1095" s="3" t="s">
        <v>27</v>
      </c>
      <c r="B1095" s="3" t="s">
        <v>37</v>
      </c>
      <c r="C1095" s="3" t="s">
        <v>23</v>
      </c>
      <c r="D1095" s="3" t="s">
        <v>45</v>
      </c>
      <c r="E1095" s="3" t="s">
        <v>25</v>
      </c>
      <c r="F1095" s="3" t="s">
        <v>25</v>
      </c>
      <c r="G1095" s="3" t="s">
        <v>25</v>
      </c>
      <c r="H1095" s="3" t="s">
        <v>25</v>
      </c>
      <c r="I1095" s="6">
        <v>44682</v>
      </c>
      <c r="J1095" s="4">
        <v>0</v>
      </c>
      <c r="K1095" s="4">
        <v>0</v>
      </c>
      <c r="L1095" s="4">
        <v>0.2</v>
      </c>
      <c r="M1095" s="4">
        <v>0.2</v>
      </c>
      <c r="N1095" s="4">
        <v>0.2</v>
      </c>
      <c r="O1095" s="4">
        <v>0.2</v>
      </c>
      <c r="P1095" s="4">
        <v>4</v>
      </c>
      <c r="Q1095" s="3" t="s">
        <v>26</v>
      </c>
      <c r="R1095" s="3">
        <v>0</v>
      </c>
      <c r="S1095" s="4">
        <v>0</v>
      </c>
      <c r="T1095" s="4">
        <v>33</v>
      </c>
      <c r="U1095" s="4">
        <v>87</v>
      </c>
      <c r="V1095" s="4">
        <f>IF(ISERROR(VLOOKUP($S$1095,'TAR FIN'!$A$1:$O$92,15,0)),0,VLOOKUP($S$1095,'TAR FIN'!$A$1:$O$92,15,0))</f>
        <v>0</v>
      </c>
      <c r="W1095" s="4">
        <f>IF(ISERROR(VLOOKUP($T$1095,'TAR FIN'!$A$1:$O$92,15,0)),0,VLOOKUP($T$1095,'TAR FIN'!$A$1:$O$92,15,0))</f>
        <v>311.27999999999997</v>
      </c>
      <c r="X1095" s="4">
        <f>IF(ISERROR(VLOOKUP($U$1095,'TAR FIN'!$A$1:$O$92,15,0)),0,VLOOKUP($U$1095,'TAR FIN'!$A$1:$O$92,15,0))</f>
        <v>268.89</v>
      </c>
      <c r="Y1095" s="4"/>
      <c r="Z1095" s="4">
        <f ca="1">('TUSD BE'!$AM$48+'TUSD BF'!$AM$48+'TUSD CVA'!$AM$48)*1</f>
        <v>398.95397789704208</v>
      </c>
      <c r="AA1095" s="4">
        <f>('TE BE'!$AB$39+'TE BF'!$AB$39+'TE CVA'!$AB$39)*1</f>
        <v>336.17550926835082</v>
      </c>
      <c r="AB1095" s="4">
        <f>$K$1095*$V$1095</f>
        <v>0</v>
      </c>
      <c r="AC1095" s="4">
        <f>$M$1095*$W$1095</f>
        <v>62.256</v>
      </c>
      <c r="AD1095" s="4">
        <f>$O$1095*$X$1095</f>
        <v>53.777999999999999</v>
      </c>
      <c r="AE1095" s="4">
        <f>$K$1095*$Y$1095</f>
        <v>0</v>
      </c>
      <c r="AF1095" s="4">
        <f ca="1">$M$1095*$Z$1095</f>
        <v>79.790795579408424</v>
      </c>
      <c r="AG1095" s="4">
        <f>$O$1095*$AA$1095</f>
        <v>67.235101853670173</v>
      </c>
    </row>
    <row r="1096" spans="1:33" ht="11.25" customHeight="1" x14ac:dyDescent="0.25">
      <c r="A1096" s="3" t="s">
        <v>28</v>
      </c>
      <c r="B1096" s="3" t="s">
        <v>37</v>
      </c>
      <c r="C1096" s="3" t="s">
        <v>23</v>
      </c>
      <c r="D1096" s="3" t="s">
        <v>45</v>
      </c>
      <c r="E1096" s="3" t="s">
        <v>25</v>
      </c>
      <c r="F1096" s="3" t="s">
        <v>25</v>
      </c>
      <c r="G1096" s="3" t="s">
        <v>25</v>
      </c>
      <c r="H1096" s="3" t="s">
        <v>25</v>
      </c>
      <c r="I1096" s="6">
        <v>44682</v>
      </c>
      <c r="J1096" s="4">
        <v>0</v>
      </c>
      <c r="K1096" s="4">
        <v>0</v>
      </c>
      <c r="L1096" s="4">
        <v>2902.1239999999998</v>
      </c>
      <c r="M1096" s="4">
        <v>2902.1239999999998</v>
      </c>
      <c r="N1096" s="4">
        <v>2902.1239999999998</v>
      </c>
      <c r="O1096" s="4">
        <v>2902.1239999999998</v>
      </c>
      <c r="P1096" s="4">
        <v>928</v>
      </c>
      <c r="Q1096" s="3" t="s">
        <v>26</v>
      </c>
      <c r="R1096" s="3">
        <v>0</v>
      </c>
      <c r="S1096" s="4">
        <v>0</v>
      </c>
      <c r="T1096" s="4">
        <v>33</v>
      </c>
      <c r="U1096" s="4">
        <v>87</v>
      </c>
      <c r="V1096" s="4">
        <f>IF(ISERROR(VLOOKUP($S$1096,'TAR FIN'!$A$1:$O$92,15,0)),0,VLOOKUP($S$1096,'TAR FIN'!$A$1:$O$92,15,0))</f>
        <v>0</v>
      </c>
      <c r="W1096" s="4">
        <f>IF(ISERROR(VLOOKUP($T$1096,'TAR FIN'!$A$1:$O$92,15,0)),0,VLOOKUP($T$1096,'TAR FIN'!$A$1:$O$92,15,0))</f>
        <v>311.27999999999997</v>
      </c>
      <c r="X1096" s="4">
        <f>IF(ISERROR(VLOOKUP($U$1096,'TAR FIN'!$A$1:$O$92,15,0)),0,VLOOKUP($U$1096,'TAR FIN'!$A$1:$O$92,15,0))</f>
        <v>268.89</v>
      </c>
      <c r="Y1096" s="4"/>
      <c r="Z1096" s="4">
        <f ca="1">('TUSD BE'!$AM$48+'TUSD BF'!$AM$48+'TUSD CVA'!$AM$48)*1</f>
        <v>398.95397789704208</v>
      </c>
      <c r="AA1096" s="4">
        <f>('TE BE'!$AB$39+'TE BF'!$AB$39+'TE CVA'!$AB$39)*1</f>
        <v>336.17550926835082</v>
      </c>
      <c r="AB1096" s="4">
        <f>$K$1096*$V$1096</f>
        <v>0</v>
      </c>
      <c r="AC1096" s="4">
        <f>$M$1096*$W$1096</f>
        <v>903373.15871999983</v>
      </c>
      <c r="AD1096" s="4">
        <f>$O$1096*$X$1096</f>
        <v>780352.12235999992</v>
      </c>
      <c r="AE1096" s="4">
        <f>$K$1096*$Y$1096</f>
        <v>0</v>
      </c>
      <c r="AF1096" s="4">
        <f ca="1">$M$1096*$Z$1096</f>
        <v>1157813.9141504753</v>
      </c>
      <c r="AG1096" s="4">
        <f>$O$1096*$AA$1096</f>
        <v>975623.01365990331</v>
      </c>
    </row>
    <row r="1097" spans="1:33" ht="11.25" customHeight="1" x14ac:dyDescent="0.25">
      <c r="A1097" s="3" t="s">
        <v>21</v>
      </c>
      <c r="B1097" s="3" t="s">
        <v>37</v>
      </c>
      <c r="C1097" s="3" t="s">
        <v>23</v>
      </c>
      <c r="D1097" s="3" t="s">
        <v>45</v>
      </c>
      <c r="E1097" s="3" t="s">
        <v>25</v>
      </c>
      <c r="F1097" s="3" t="s">
        <v>25</v>
      </c>
      <c r="G1097" s="3" t="s">
        <v>25</v>
      </c>
      <c r="H1097" s="3" t="s">
        <v>25</v>
      </c>
      <c r="I1097" s="6">
        <v>44713</v>
      </c>
      <c r="J1097" s="4">
        <v>0</v>
      </c>
      <c r="K1097" s="4">
        <v>0</v>
      </c>
      <c r="L1097" s="4">
        <v>1578.172</v>
      </c>
      <c r="M1097" s="4">
        <v>1578.172</v>
      </c>
      <c r="N1097" s="4">
        <v>1578.172</v>
      </c>
      <c r="O1097" s="4">
        <v>1578.172</v>
      </c>
      <c r="P1097" s="4">
        <v>1665</v>
      </c>
      <c r="Q1097" s="3" t="s">
        <v>26</v>
      </c>
      <c r="R1097" s="3">
        <v>0</v>
      </c>
      <c r="S1097" s="4">
        <v>0</v>
      </c>
      <c r="T1097" s="4">
        <v>33</v>
      </c>
      <c r="U1097" s="4">
        <v>87</v>
      </c>
      <c r="V1097" s="4">
        <f>IF(ISERROR(VLOOKUP($S$1097,'TAR FIN'!$A$1:$O$92,15,0)),0,VLOOKUP($S$1097,'TAR FIN'!$A$1:$O$92,15,0))</f>
        <v>0</v>
      </c>
      <c r="W1097" s="4">
        <f>IF(ISERROR(VLOOKUP($T$1097,'TAR FIN'!$A$1:$O$92,15,0)),0,VLOOKUP($T$1097,'TAR FIN'!$A$1:$O$92,15,0))</f>
        <v>311.27999999999997</v>
      </c>
      <c r="X1097" s="4">
        <f>IF(ISERROR(VLOOKUP($U$1097,'TAR FIN'!$A$1:$O$92,15,0)),0,VLOOKUP($U$1097,'TAR FIN'!$A$1:$O$92,15,0))</f>
        <v>268.89</v>
      </c>
      <c r="Y1097" s="4"/>
      <c r="Z1097" s="4">
        <f ca="1">('TUSD BE'!$AM$48+'TUSD BF'!$AM$48+'TUSD CVA'!$AM$48)*1</f>
        <v>398.95397789704208</v>
      </c>
      <c r="AA1097" s="4">
        <f>('TE BE'!$AB$39+'TE BF'!$AB$39+'TE CVA'!$AB$39)*1</f>
        <v>336.17550926835082</v>
      </c>
      <c r="AB1097" s="4">
        <f>$K$1097*$V$1097</f>
        <v>0</v>
      </c>
      <c r="AC1097" s="4">
        <f>$M$1097*$W$1097</f>
        <v>491253.38015999994</v>
      </c>
      <c r="AD1097" s="4">
        <f>$O$1097*$X$1097</f>
        <v>424354.66907999996</v>
      </c>
      <c r="AE1097" s="4">
        <f>$K$1097*$Y$1097</f>
        <v>0</v>
      </c>
      <c r="AF1097" s="4">
        <f ca="1">$M$1097*$Z$1097</f>
        <v>629617.99720573076</v>
      </c>
      <c r="AG1097" s="4">
        <f>$O$1097*$AA$1097</f>
        <v>530542.77581305173</v>
      </c>
    </row>
    <row r="1098" spans="1:33" ht="11.25" customHeight="1" x14ac:dyDescent="0.25">
      <c r="A1098" s="3" t="s">
        <v>27</v>
      </c>
      <c r="B1098" s="3" t="s">
        <v>37</v>
      </c>
      <c r="C1098" s="3" t="s">
        <v>23</v>
      </c>
      <c r="D1098" s="3" t="s">
        <v>45</v>
      </c>
      <c r="E1098" s="3" t="s">
        <v>25</v>
      </c>
      <c r="F1098" s="3" t="s">
        <v>25</v>
      </c>
      <c r="G1098" s="3" t="s">
        <v>25</v>
      </c>
      <c r="H1098" s="3" t="s">
        <v>25</v>
      </c>
      <c r="I1098" s="6">
        <v>44713</v>
      </c>
      <c r="J1098" s="4">
        <v>0</v>
      </c>
      <c r="K1098" s="4">
        <v>0</v>
      </c>
      <c r="L1098" s="4">
        <v>-6.2140000000000004</v>
      </c>
      <c r="M1098" s="4">
        <v>-6.2140000000000004</v>
      </c>
      <c r="N1098" s="4">
        <v>-6.2140000000000004</v>
      </c>
      <c r="O1098" s="4">
        <v>-6.2140000000000004</v>
      </c>
      <c r="P1098" s="4">
        <v>-2</v>
      </c>
      <c r="Q1098" s="3" t="s">
        <v>26</v>
      </c>
      <c r="R1098" s="3">
        <v>0</v>
      </c>
      <c r="S1098" s="4">
        <v>0</v>
      </c>
      <c r="T1098" s="4">
        <v>33</v>
      </c>
      <c r="U1098" s="4">
        <v>87</v>
      </c>
      <c r="V1098" s="4">
        <f>IF(ISERROR(VLOOKUP($S$1098,'TAR FIN'!$A$1:$O$92,15,0)),0,VLOOKUP($S$1098,'TAR FIN'!$A$1:$O$92,15,0))</f>
        <v>0</v>
      </c>
      <c r="W1098" s="4">
        <f>IF(ISERROR(VLOOKUP($T$1098,'TAR FIN'!$A$1:$O$92,15,0)),0,VLOOKUP($T$1098,'TAR FIN'!$A$1:$O$92,15,0))</f>
        <v>311.27999999999997</v>
      </c>
      <c r="X1098" s="4">
        <f>IF(ISERROR(VLOOKUP($U$1098,'TAR FIN'!$A$1:$O$92,15,0)),0,VLOOKUP($U$1098,'TAR FIN'!$A$1:$O$92,15,0))</f>
        <v>268.89</v>
      </c>
      <c r="Y1098" s="4"/>
      <c r="Z1098" s="4">
        <f ca="1">('TUSD BE'!$AM$48+'TUSD BF'!$AM$48+'TUSD CVA'!$AM$48)*1</f>
        <v>398.95397789704208</v>
      </c>
      <c r="AA1098" s="4">
        <f>('TE BE'!$AB$39+'TE BF'!$AB$39+'TE CVA'!$AB$39)*1</f>
        <v>336.17550926835082</v>
      </c>
      <c r="AB1098" s="4">
        <f>$K$1098*$V$1098</f>
        <v>0</v>
      </c>
      <c r="AC1098" s="4">
        <f>$M$1098*$W$1098</f>
        <v>-1934.2939200000001</v>
      </c>
      <c r="AD1098" s="4">
        <f>$O$1098*$X$1098</f>
        <v>-1670.88246</v>
      </c>
      <c r="AE1098" s="4">
        <f>$K$1098*$Y$1098</f>
        <v>0</v>
      </c>
      <c r="AF1098" s="4">
        <f ca="1">$M$1098*$Z$1098</f>
        <v>-2479.1000186522197</v>
      </c>
      <c r="AG1098" s="4">
        <f>$O$1098*$AA$1098</f>
        <v>-2088.9946145935323</v>
      </c>
    </row>
    <row r="1099" spans="1:33" ht="11.25" customHeight="1" x14ac:dyDescent="0.25">
      <c r="A1099" s="3" t="s">
        <v>28</v>
      </c>
      <c r="B1099" s="3" t="s">
        <v>37</v>
      </c>
      <c r="C1099" s="3" t="s">
        <v>23</v>
      </c>
      <c r="D1099" s="3" t="s">
        <v>45</v>
      </c>
      <c r="E1099" s="3" t="s">
        <v>25</v>
      </c>
      <c r="F1099" s="3" t="s">
        <v>25</v>
      </c>
      <c r="G1099" s="3" t="s">
        <v>25</v>
      </c>
      <c r="H1099" s="3" t="s">
        <v>25</v>
      </c>
      <c r="I1099" s="6">
        <v>44713</v>
      </c>
      <c r="J1099" s="4">
        <v>0</v>
      </c>
      <c r="K1099" s="4">
        <v>0</v>
      </c>
      <c r="L1099" s="4">
        <v>720.51700000000005</v>
      </c>
      <c r="M1099" s="4">
        <v>720.51700000000005</v>
      </c>
      <c r="N1099" s="4">
        <v>720.51700000000005</v>
      </c>
      <c r="O1099" s="4">
        <v>720.51700000000005</v>
      </c>
      <c r="P1099" s="4">
        <v>232</v>
      </c>
      <c r="Q1099" s="3" t="s">
        <v>26</v>
      </c>
      <c r="R1099" s="3">
        <v>0</v>
      </c>
      <c r="S1099" s="4">
        <v>0</v>
      </c>
      <c r="T1099" s="4">
        <v>33</v>
      </c>
      <c r="U1099" s="4">
        <v>87</v>
      </c>
      <c r="V1099" s="4">
        <f>IF(ISERROR(VLOOKUP($S$1099,'TAR FIN'!$A$1:$O$92,15,0)),0,VLOOKUP($S$1099,'TAR FIN'!$A$1:$O$92,15,0))</f>
        <v>0</v>
      </c>
      <c r="W1099" s="4">
        <f>IF(ISERROR(VLOOKUP($T$1099,'TAR FIN'!$A$1:$O$92,15,0)),0,VLOOKUP($T$1099,'TAR FIN'!$A$1:$O$92,15,0))</f>
        <v>311.27999999999997</v>
      </c>
      <c r="X1099" s="4">
        <f>IF(ISERROR(VLOOKUP($U$1099,'TAR FIN'!$A$1:$O$92,15,0)),0,VLOOKUP($U$1099,'TAR FIN'!$A$1:$O$92,15,0))</f>
        <v>268.89</v>
      </c>
      <c r="Y1099" s="4"/>
      <c r="Z1099" s="4">
        <f ca="1">('TUSD BE'!$AM$48+'TUSD BF'!$AM$48+'TUSD CVA'!$AM$48)*1</f>
        <v>398.95397789704208</v>
      </c>
      <c r="AA1099" s="4">
        <f>('TE BE'!$AB$39+'TE BF'!$AB$39+'TE CVA'!$AB$39)*1</f>
        <v>336.17550926835082</v>
      </c>
      <c r="AB1099" s="4">
        <f>$K$1099*$V$1099</f>
        <v>0</v>
      </c>
      <c r="AC1099" s="4">
        <f>$M$1099*$W$1099</f>
        <v>224282.53175999998</v>
      </c>
      <c r="AD1099" s="4">
        <f>$O$1099*$X$1099</f>
        <v>193739.81612999999</v>
      </c>
      <c r="AE1099" s="4">
        <f>$K$1099*$Y$1099</f>
        <v>0</v>
      </c>
      <c r="AF1099" s="4">
        <f ca="1">$M$1099*$Z$1099</f>
        <v>287453.12329244311</v>
      </c>
      <c r="AG1099" s="4">
        <f>$O$1099*$AA$1099</f>
        <v>242220.16941150435</v>
      </c>
    </row>
    <row r="1100" spans="1:33" ht="11.25" customHeight="1" x14ac:dyDescent="0.25">
      <c r="A1100" s="3" t="s">
        <v>21</v>
      </c>
      <c r="B1100" s="3" t="s">
        <v>37</v>
      </c>
      <c r="C1100" s="3" t="s">
        <v>23</v>
      </c>
      <c r="D1100" s="3" t="s">
        <v>45</v>
      </c>
      <c r="E1100" s="3" t="s">
        <v>25</v>
      </c>
      <c r="F1100" s="3" t="s">
        <v>25</v>
      </c>
      <c r="G1100" s="3" t="s">
        <v>25</v>
      </c>
      <c r="H1100" s="3" t="s">
        <v>25</v>
      </c>
      <c r="I1100" s="6">
        <v>44743</v>
      </c>
      <c r="J1100" s="4">
        <v>0</v>
      </c>
      <c r="K1100" s="4">
        <v>0</v>
      </c>
      <c r="L1100" s="4">
        <v>1497.865</v>
      </c>
      <c r="M1100" s="4">
        <v>1497.865</v>
      </c>
      <c r="N1100" s="4">
        <v>1497.865</v>
      </c>
      <c r="O1100" s="4">
        <v>1497.865</v>
      </c>
      <c r="P1100" s="4">
        <v>1654</v>
      </c>
      <c r="Q1100" s="3" t="s">
        <v>26</v>
      </c>
      <c r="R1100" s="3">
        <v>0</v>
      </c>
      <c r="S1100" s="4">
        <v>0</v>
      </c>
      <c r="T1100" s="4">
        <v>33</v>
      </c>
      <c r="U1100" s="4">
        <v>87</v>
      </c>
      <c r="V1100" s="4">
        <f>IF(ISERROR(VLOOKUP($S$1100,'TAR FIN'!$A$1:$O$92,15,0)),0,VLOOKUP($S$1100,'TAR FIN'!$A$1:$O$92,15,0))</f>
        <v>0</v>
      </c>
      <c r="W1100" s="4">
        <f>IF(ISERROR(VLOOKUP($T$1100,'TAR FIN'!$A$1:$O$92,15,0)),0,VLOOKUP($T$1100,'TAR FIN'!$A$1:$O$92,15,0))</f>
        <v>311.27999999999997</v>
      </c>
      <c r="X1100" s="4">
        <f>IF(ISERROR(VLOOKUP($U$1100,'TAR FIN'!$A$1:$O$92,15,0)),0,VLOOKUP($U$1100,'TAR FIN'!$A$1:$O$92,15,0))</f>
        <v>268.89</v>
      </c>
      <c r="Y1100" s="4"/>
      <c r="Z1100" s="4">
        <f ca="1">('TUSD BE'!$AM$48+'TUSD BF'!$AM$48+'TUSD CVA'!$AM$48)*1</f>
        <v>398.95397789704208</v>
      </c>
      <c r="AA1100" s="4">
        <f>('TE BE'!$AB$39+'TE BF'!$AB$39+'TE CVA'!$AB$39)*1</f>
        <v>336.17550926835082</v>
      </c>
      <c r="AB1100" s="4">
        <f>$K$1100*$V$1100</f>
        <v>0</v>
      </c>
      <c r="AC1100" s="4">
        <f>$M$1100*$W$1100</f>
        <v>466255.41719999997</v>
      </c>
      <c r="AD1100" s="4">
        <f>$O$1100*$X$1100</f>
        <v>402760.91985000001</v>
      </c>
      <c r="AE1100" s="4">
        <f>$K$1100*$Y$1100</f>
        <v>0</v>
      </c>
      <c r="AF1100" s="4">
        <f ca="1">$M$1100*$Z$1100</f>
        <v>597579.20010275289</v>
      </c>
      <c r="AG1100" s="4">
        <f>$O$1100*$AA$1100</f>
        <v>503545.52919023833</v>
      </c>
    </row>
    <row r="1101" spans="1:33" ht="11.25" customHeight="1" x14ac:dyDescent="0.25">
      <c r="A1101" s="3" t="s">
        <v>27</v>
      </c>
      <c r="B1101" s="3" t="s">
        <v>37</v>
      </c>
      <c r="C1101" s="3" t="s">
        <v>23</v>
      </c>
      <c r="D1101" s="3" t="s">
        <v>45</v>
      </c>
      <c r="E1101" s="3" t="s">
        <v>25</v>
      </c>
      <c r="F1101" s="3" t="s">
        <v>25</v>
      </c>
      <c r="G1101" s="3" t="s">
        <v>25</v>
      </c>
      <c r="H1101" s="3" t="s">
        <v>25</v>
      </c>
      <c r="I1101" s="6">
        <v>44743</v>
      </c>
      <c r="J1101" s="4">
        <v>0</v>
      </c>
      <c r="K1101" s="4">
        <v>0</v>
      </c>
      <c r="L1101" s="4">
        <v>-1.038</v>
      </c>
      <c r="M1101" s="4">
        <v>-1.038</v>
      </c>
      <c r="N1101" s="4">
        <v>-1.038</v>
      </c>
      <c r="O1101" s="4">
        <v>-1.038</v>
      </c>
      <c r="P1101" s="4">
        <v>-4</v>
      </c>
      <c r="Q1101" s="3" t="s">
        <v>26</v>
      </c>
      <c r="R1101" s="3">
        <v>0</v>
      </c>
      <c r="S1101" s="4">
        <v>0</v>
      </c>
      <c r="T1101" s="4">
        <v>33</v>
      </c>
      <c r="U1101" s="4">
        <v>87</v>
      </c>
      <c r="V1101" s="4">
        <f>IF(ISERROR(VLOOKUP($S$1101,'TAR FIN'!$A$1:$O$92,15,0)),0,VLOOKUP($S$1101,'TAR FIN'!$A$1:$O$92,15,0))</f>
        <v>0</v>
      </c>
      <c r="W1101" s="4">
        <f>IF(ISERROR(VLOOKUP($T$1101,'TAR FIN'!$A$1:$O$92,15,0)),0,VLOOKUP($T$1101,'TAR FIN'!$A$1:$O$92,15,0))</f>
        <v>311.27999999999997</v>
      </c>
      <c r="X1101" s="4">
        <f>IF(ISERROR(VLOOKUP($U$1101,'TAR FIN'!$A$1:$O$92,15,0)),0,VLOOKUP($U$1101,'TAR FIN'!$A$1:$O$92,15,0))</f>
        <v>268.89</v>
      </c>
      <c r="Y1101" s="4"/>
      <c r="Z1101" s="4">
        <f ca="1">('TUSD BE'!$AM$48+'TUSD BF'!$AM$48+'TUSD CVA'!$AM$48)*1</f>
        <v>398.95397789704208</v>
      </c>
      <c r="AA1101" s="4">
        <f>('TE BE'!$AB$39+'TE BF'!$AB$39+'TE CVA'!$AB$39)*1</f>
        <v>336.17550926835082</v>
      </c>
      <c r="AB1101" s="4">
        <f>$K$1101*$V$1101</f>
        <v>0</v>
      </c>
      <c r="AC1101" s="4">
        <f>$M$1101*$W$1101</f>
        <v>-323.10863999999998</v>
      </c>
      <c r="AD1101" s="4">
        <f>$O$1101*$X$1101</f>
        <v>-279.10782</v>
      </c>
      <c r="AE1101" s="4">
        <f>$K$1101*$Y$1101</f>
        <v>0</v>
      </c>
      <c r="AF1101" s="4">
        <f ca="1">$M$1101*$Z$1101</f>
        <v>-414.11422905712971</v>
      </c>
      <c r="AG1101" s="4">
        <f>$O$1101*$AA$1101</f>
        <v>-348.95017862054817</v>
      </c>
    </row>
    <row r="1102" spans="1:33" ht="11.25" customHeight="1" x14ac:dyDescent="0.25">
      <c r="A1102" s="3" t="s">
        <v>28</v>
      </c>
      <c r="B1102" s="3" t="s">
        <v>37</v>
      </c>
      <c r="C1102" s="3" t="s">
        <v>23</v>
      </c>
      <c r="D1102" s="3" t="s">
        <v>45</v>
      </c>
      <c r="E1102" s="3" t="s">
        <v>25</v>
      </c>
      <c r="F1102" s="3" t="s">
        <v>25</v>
      </c>
      <c r="G1102" s="3" t="s">
        <v>25</v>
      </c>
      <c r="H1102" s="3" t="s">
        <v>25</v>
      </c>
      <c r="I1102" s="6">
        <v>44743</v>
      </c>
      <c r="J1102" s="4">
        <v>0</v>
      </c>
      <c r="K1102" s="4">
        <v>0</v>
      </c>
      <c r="L1102" s="4">
        <v>651.04999999999995</v>
      </c>
      <c r="M1102" s="4">
        <v>651.04999999999995</v>
      </c>
      <c r="N1102" s="4">
        <v>651.04999999999995</v>
      </c>
      <c r="O1102" s="4">
        <v>651.04999999999995</v>
      </c>
      <c r="P1102" s="4">
        <v>235</v>
      </c>
      <c r="Q1102" s="3" t="s">
        <v>26</v>
      </c>
      <c r="R1102" s="3">
        <v>0</v>
      </c>
      <c r="S1102" s="4">
        <v>0</v>
      </c>
      <c r="T1102" s="4">
        <v>33</v>
      </c>
      <c r="U1102" s="4">
        <v>87</v>
      </c>
      <c r="V1102" s="4">
        <f>IF(ISERROR(VLOOKUP($S$1102,'TAR FIN'!$A$1:$O$92,15,0)),0,VLOOKUP($S$1102,'TAR FIN'!$A$1:$O$92,15,0))</f>
        <v>0</v>
      </c>
      <c r="W1102" s="4">
        <f>IF(ISERROR(VLOOKUP($T$1102,'TAR FIN'!$A$1:$O$92,15,0)),0,VLOOKUP($T$1102,'TAR FIN'!$A$1:$O$92,15,0))</f>
        <v>311.27999999999997</v>
      </c>
      <c r="X1102" s="4">
        <f>IF(ISERROR(VLOOKUP($U$1102,'TAR FIN'!$A$1:$O$92,15,0)),0,VLOOKUP($U$1102,'TAR FIN'!$A$1:$O$92,15,0))</f>
        <v>268.89</v>
      </c>
      <c r="Y1102" s="4"/>
      <c r="Z1102" s="4">
        <f ca="1">('TUSD BE'!$AM$48+'TUSD BF'!$AM$48+'TUSD CVA'!$AM$48)*1</f>
        <v>398.95397789704208</v>
      </c>
      <c r="AA1102" s="4">
        <f>('TE BE'!$AB$39+'TE BF'!$AB$39+'TE CVA'!$AB$39)*1</f>
        <v>336.17550926835082</v>
      </c>
      <c r="AB1102" s="4">
        <f>$K$1102*$V$1102</f>
        <v>0</v>
      </c>
      <c r="AC1102" s="4">
        <f>$M$1102*$W$1102</f>
        <v>202658.84399999995</v>
      </c>
      <c r="AD1102" s="4">
        <f>$O$1102*$X$1102</f>
        <v>175060.83449999997</v>
      </c>
      <c r="AE1102" s="4">
        <f>$K$1102*$Y$1102</f>
        <v>0</v>
      </c>
      <c r="AF1102" s="4">
        <f ca="1">$M$1102*$Z$1102</f>
        <v>259738.98730986923</v>
      </c>
      <c r="AG1102" s="4">
        <f>$O$1102*$AA$1102</f>
        <v>218867.06530915978</v>
      </c>
    </row>
    <row r="1103" spans="1:33" ht="11.25" customHeight="1" x14ac:dyDescent="0.25">
      <c r="A1103" s="3" t="s">
        <v>21</v>
      </c>
      <c r="B1103" s="3" t="s">
        <v>37</v>
      </c>
      <c r="C1103" s="3" t="s">
        <v>23</v>
      </c>
      <c r="D1103" s="3" t="s">
        <v>45</v>
      </c>
      <c r="E1103" s="3" t="s">
        <v>25</v>
      </c>
      <c r="F1103" s="3" t="s">
        <v>25</v>
      </c>
      <c r="G1103" s="3" t="s">
        <v>25</v>
      </c>
      <c r="H1103" s="3" t="s">
        <v>25</v>
      </c>
      <c r="I1103" s="6">
        <v>44774</v>
      </c>
      <c r="J1103" s="4">
        <v>0</v>
      </c>
      <c r="K1103" s="4">
        <v>0</v>
      </c>
      <c r="L1103" s="4">
        <v>1896.625</v>
      </c>
      <c r="M1103" s="4">
        <v>1896.625</v>
      </c>
      <c r="N1103" s="4">
        <v>1896.625</v>
      </c>
      <c r="O1103" s="4">
        <v>1896.625</v>
      </c>
      <c r="P1103" s="4">
        <v>1656</v>
      </c>
      <c r="Q1103" s="3" t="s">
        <v>26</v>
      </c>
      <c r="R1103" s="3">
        <v>0</v>
      </c>
      <c r="S1103" s="4">
        <v>0</v>
      </c>
      <c r="T1103" s="4">
        <v>33</v>
      </c>
      <c r="U1103" s="4">
        <v>87</v>
      </c>
      <c r="V1103" s="4">
        <f>IF(ISERROR(VLOOKUP($S$1103,'TAR FIN'!$A$1:$O$92,15,0)),0,VLOOKUP($S$1103,'TAR FIN'!$A$1:$O$92,15,0))</f>
        <v>0</v>
      </c>
      <c r="W1103" s="4">
        <f>IF(ISERROR(VLOOKUP($T$1103,'TAR FIN'!$A$1:$O$92,15,0)),0,VLOOKUP($T$1103,'TAR FIN'!$A$1:$O$92,15,0))</f>
        <v>311.27999999999997</v>
      </c>
      <c r="X1103" s="4">
        <f>IF(ISERROR(VLOOKUP($U$1103,'TAR FIN'!$A$1:$O$92,15,0)),0,VLOOKUP($U$1103,'TAR FIN'!$A$1:$O$92,15,0))</f>
        <v>268.89</v>
      </c>
      <c r="Y1103" s="4"/>
      <c r="Z1103" s="4">
        <f ca="1">('TUSD BE'!$AM$48+'TUSD BF'!$AM$48+'TUSD CVA'!$AM$48)*1</f>
        <v>398.95397789704208</v>
      </c>
      <c r="AA1103" s="4">
        <f>('TE BE'!$AB$39+'TE BF'!$AB$39+'TE CVA'!$AB$39)*1</f>
        <v>336.17550926835082</v>
      </c>
      <c r="AB1103" s="4">
        <f>$K$1103*$V$1103</f>
        <v>0</v>
      </c>
      <c r="AC1103" s="4">
        <f>$M$1103*$W$1103</f>
        <v>590381.42999999993</v>
      </c>
      <c r="AD1103" s="4">
        <f>$O$1103*$X$1103</f>
        <v>509983.49624999997</v>
      </c>
      <c r="AE1103" s="4">
        <f>$K$1103*$Y$1103</f>
        <v>0</v>
      </c>
      <c r="AF1103" s="4">
        <f ca="1">$M$1103*$Z$1103</f>
        <v>756666.08832897746</v>
      </c>
      <c r="AG1103" s="4">
        <f>$O$1103*$AA$1103</f>
        <v>637598.87526608584</v>
      </c>
    </row>
    <row r="1104" spans="1:33" ht="11.25" customHeight="1" x14ac:dyDescent="0.25">
      <c r="A1104" s="3" t="s">
        <v>27</v>
      </c>
      <c r="B1104" s="3" t="s">
        <v>37</v>
      </c>
      <c r="C1104" s="3" t="s">
        <v>23</v>
      </c>
      <c r="D1104" s="3" t="s">
        <v>45</v>
      </c>
      <c r="E1104" s="3" t="s">
        <v>25</v>
      </c>
      <c r="F1104" s="3" t="s">
        <v>25</v>
      </c>
      <c r="G1104" s="3" t="s">
        <v>25</v>
      </c>
      <c r="H1104" s="3" t="s">
        <v>25</v>
      </c>
      <c r="I1104" s="6">
        <v>44774</v>
      </c>
      <c r="J1104" s="4">
        <v>0</v>
      </c>
      <c r="K1104" s="4">
        <v>0</v>
      </c>
      <c r="L1104" s="4">
        <v>-13.897</v>
      </c>
      <c r="M1104" s="4">
        <v>-13.897</v>
      </c>
      <c r="N1104" s="4">
        <v>-13.897</v>
      </c>
      <c r="O1104" s="4">
        <v>-13.897</v>
      </c>
      <c r="P1104" s="4">
        <v>-3</v>
      </c>
      <c r="Q1104" s="3" t="s">
        <v>26</v>
      </c>
      <c r="R1104" s="3">
        <v>0</v>
      </c>
      <c r="S1104" s="4">
        <v>0</v>
      </c>
      <c r="T1104" s="4">
        <v>33</v>
      </c>
      <c r="U1104" s="4">
        <v>87</v>
      </c>
      <c r="V1104" s="4">
        <f>IF(ISERROR(VLOOKUP($S$1104,'TAR FIN'!$A$1:$O$92,15,0)),0,VLOOKUP($S$1104,'TAR FIN'!$A$1:$O$92,15,0))</f>
        <v>0</v>
      </c>
      <c r="W1104" s="4">
        <f>IF(ISERROR(VLOOKUP($T$1104,'TAR FIN'!$A$1:$O$92,15,0)),0,VLOOKUP($T$1104,'TAR FIN'!$A$1:$O$92,15,0))</f>
        <v>311.27999999999997</v>
      </c>
      <c r="X1104" s="4">
        <f>IF(ISERROR(VLOOKUP($U$1104,'TAR FIN'!$A$1:$O$92,15,0)),0,VLOOKUP($U$1104,'TAR FIN'!$A$1:$O$92,15,0))</f>
        <v>268.89</v>
      </c>
      <c r="Y1104" s="4"/>
      <c r="Z1104" s="4">
        <f ca="1">('TUSD BE'!$AM$48+'TUSD BF'!$AM$48+'TUSD CVA'!$AM$48)*1</f>
        <v>398.95397789704208</v>
      </c>
      <c r="AA1104" s="4">
        <f>('TE BE'!$AB$39+'TE BF'!$AB$39+'TE CVA'!$AB$39)*1</f>
        <v>336.17550926835082</v>
      </c>
      <c r="AB1104" s="4">
        <f>$K$1104*$V$1104</f>
        <v>0</v>
      </c>
      <c r="AC1104" s="4">
        <f>$M$1104*$W$1104</f>
        <v>-4325.8581599999998</v>
      </c>
      <c r="AD1104" s="4">
        <f>$O$1104*$X$1104</f>
        <v>-3736.76433</v>
      </c>
      <c r="AE1104" s="4">
        <f>$K$1104*$Y$1104</f>
        <v>0</v>
      </c>
      <c r="AF1104" s="4">
        <f ca="1">$M$1104*$Z$1104</f>
        <v>-5544.2634308351935</v>
      </c>
      <c r="AG1104" s="4">
        <f>$O$1104*$AA$1104</f>
        <v>-4671.831052302271</v>
      </c>
    </row>
    <row r="1105" spans="1:33" ht="11.25" customHeight="1" x14ac:dyDescent="0.25">
      <c r="A1105" s="3" t="s">
        <v>28</v>
      </c>
      <c r="B1105" s="3" t="s">
        <v>37</v>
      </c>
      <c r="C1105" s="3" t="s">
        <v>23</v>
      </c>
      <c r="D1105" s="3" t="s">
        <v>45</v>
      </c>
      <c r="E1105" s="3" t="s">
        <v>25</v>
      </c>
      <c r="F1105" s="3" t="s">
        <v>25</v>
      </c>
      <c r="G1105" s="3" t="s">
        <v>25</v>
      </c>
      <c r="H1105" s="3" t="s">
        <v>25</v>
      </c>
      <c r="I1105" s="6">
        <v>44774</v>
      </c>
      <c r="J1105" s="4">
        <v>0</v>
      </c>
      <c r="K1105" s="4">
        <v>0</v>
      </c>
      <c r="L1105" s="4">
        <v>891.13300000000004</v>
      </c>
      <c r="M1105" s="4">
        <v>891.13300000000004</v>
      </c>
      <c r="N1105" s="4">
        <v>891.13300000000004</v>
      </c>
      <c r="O1105" s="4">
        <v>891.13300000000004</v>
      </c>
      <c r="P1105" s="4">
        <v>236</v>
      </c>
      <c r="Q1105" s="3" t="s">
        <v>26</v>
      </c>
      <c r="R1105" s="3">
        <v>0</v>
      </c>
      <c r="S1105" s="4">
        <v>0</v>
      </c>
      <c r="T1105" s="4">
        <v>33</v>
      </c>
      <c r="U1105" s="4">
        <v>87</v>
      </c>
      <c r="V1105" s="4">
        <f>IF(ISERROR(VLOOKUP($S$1105,'TAR FIN'!$A$1:$O$92,15,0)),0,VLOOKUP($S$1105,'TAR FIN'!$A$1:$O$92,15,0))</f>
        <v>0</v>
      </c>
      <c r="W1105" s="4">
        <f>IF(ISERROR(VLOOKUP($T$1105,'TAR FIN'!$A$1:$O$92,15,0)),0,VLOOKUP($T$1105,'TAR FIN'!$A$1:$O$92,15,0))</f>
        <v>311.27999999999997</v>
      </c>
      <c r="X1105" s="4">
        <f>IF(ISERROR(VLOOKUP($U$1105,'TAR FIN'!$A$1:$O$92,15,0)),0,VLOOKUP($U$1105,'TAR FIN'!$A$1:$O$92,15,0))</f>
        <v>268.89</v>
      </c>
      <c r="Y1105" s="4"/>
      <c r="Z1105" s="4">
        <f ca="1">('TUSD BE'!$AM$48+'TUSD BF'!$AM$48+'TUSD CVA'!$AM$48)*1</f>
        <v>398.95397789704208</v>
      </c>
      <c r="AA1105" s="4">
        <f>('TE BE'!$AB$39+'TE BF'!$AB$39+'TE CVA'!$AB$39)*1</f>
        <v>336.17550926835082</v>
      </c>
      <c r="AB1105" s="4">
        <f>$K$1105*$V$1105</f>
        <v>0</v>
      </c>
      <c r="AC1105" s="4">
        <f>$M$1105*$W$1105</f>
        <v>277391.88023999997</v>
      </c>
      <c r="AD1105" s="4">
        <f>$O$1105*$X$1105</f>
        <v>239616.75237</v>
      </c>
      <c r="AE1105" s="4">
        <f>$K$1105*$Y$1105</f>
        <v>0</v>
      </c>
      <c r="AF1105" s="4">
        <f ca="1">$M$1105*$Z$1105</f>
        <v>355521.0551853248</v>
      </c>
      <c r="AG1105" s="4">
        <f>$O$1105*$AA$1105</f>
        <v>299577.09010083327</v>
      </c>
    </row>
    <row r="1106" spans="1:33" ht="11.25" customHeight="1" x14ac:dyDescent="0.25">
      <c r="A1106" s="3" t="s">
        <v>21</v>
      </c>
      <c r="B1106" s="3" t="s">
        <v>37</v>
      </c>
      <c r="C1106" s="3" t="s">
        <v>23</v>
      </c>
      <c r="D1106" s="3" t="s">
        <v>45</v>
      </c>
      <c r="E1106" s="3" t="s">
        <v>25</v>
      </c>
      <c r="F1106" s="3" t="s">
        <v>25</v>
      </c>
      <c r="G1106" s="3" t="s">
        <v>25</v>
      </c>
      <c r="H1106" s="3" t="s">
        <v>25</v>
      </c>
      <c r="I1106" s="6">
        <v>44805</v>
      </c>
      <c r="J1106" s="4">
        <v>0</v>
      </c>
      <c r="K1106" s="4">
        <v>0</v>
      </c>
      <c r="L1106" s="4">
        <v>1919.9480000000001</v>
      </c>
      <c r="M1106" s="4">
        <v>1919.9480000000001</v>
      </c>
      <c r="N1106" s="4">
        <v>1919.9480000000001</v>
      </c>
      <c r="O1106" s="4">
        <v>1919.9480000000001</v>
      </c>
      <c r="P1106" s="4">
        <v>1665</v>
      </c>
      <c r="Q1106" s="3" t="s">
        <v>26</v>
      </c>
      <c r="R1106" s="3">
        <v>0</v>
      </c>
      <c r="S1106" s="4">
        <v>0</v>
      </c>
      <c r="T1106" s="4">
        <v>33</v>
      </c>
      <c r="U1106" s="4">
        <v>87</v>
      </c>
      <c r="V1106" s="4">
        <f>IF(ISERROR(VLOOKUP($S$1106,'TAR FIN'!$A$1:$O$92,15,0)),0,VLOOKUP($S$1106,'TAR FIN'!$A$1:$O$92,15,0))</f>
        <v>0</v>
      </c>
      <c r="W1106" s="4">
        <f>IF(ISERROR(VLOOKUP($T$1106,'TAR FIN'!$A$1:$O$92,15,0)),0,VLOOKUP($T$1106,'TAR FIN'!$A$1:$O$92,15,0))</f>
        <v>311.27999999999997</v>
      </c>
      <c r="X1106" s="4">
        <f>IF(ISERROR(VLOOKUP($U$1106,'TAR FIN'!$A$1:$O$92,15,0)),0,VLOOKUP($U$1106,'TAR FIN'!$A$1:$O$92,15,0))</f>
        <v>268.89</v>
      </c>
      <c r="Y1106" s="4"/>
      <c r="Z1106" s="4">
        <f ca="1">('TUSD BE'!$AM$48+'TUSD BF'!$AM$48+'TUSD CVA'!$AM$48)*1</f>
        <v>398.95397789704208</v>
      </c>
      <c r="AA1106" s="4">
        <f>('TE BE'!$AB$39+'TE BF'!$AB$39+'TE CVA'!$AB$39)*1</f>
        <v>336.17550926835082</v>
      </c>
      <c r="AB1106" s="4">
        <f>$K$1106*$V$1106</f>
        <v>0</v>
      </c>
      <c r="AC1106" s="4">
        <f>$M$1106*$W$1106</f>
        <v>597641.41344000003</v>
      </c>
      <c r="AD1106" s="4">
        <f>$O$1106*$X$1106</f>
        <v>516254.81771999999</v>
      </c>
      <c r="AE1106" s="4">
        <f>$K$1106*$Y$1106</f>
        <v>0</v>
      </c>
      <c r="AF1106" s="4">
        <f ca="1">$M$1106*$Z$1106</f>
        <v>765970.8919554702</v>
      </c>
      <c r="AG1106" s="4">
        <f>$O$1106*$AA$1106</f>
        <v>645439.4966687517</v>
      </c>
    </row>
    <row r="1107" spans="1:33" ht="11.25" customHeight="1" x14ac:dyDescent="0.25">
      <c r="A1107" s="3" t="s">
        <v>27</v>
      </c>
      <c r="B1107" s="3" t="s">
        <v>37</v>
      </c>
      <c r="C1107" s="3" t="s">
        <v>23</v>
      </c>
      <c r="D1107" s="3" t="s">
        <v>45</v>
      </c>
      <c r="E1107" s="3" t="s">
        <v>25</v>
      </c>
      <c r="F1107" s="3" t="s">
        <v>25</v>
      </c>
      <c r="G1107" s="3" t="s">
        <v>25</v>
      </c>
      <c r="H1107" s="3" t="s">
        <v>25</v>
      </c>
      <c r="I1107" s="6">
        <v>44805</v>
      </c>
      <c r="J1107" s="4">
        <v>0</v>
      </c>
      <c r="K1107" s="4">
        <v>0</v>
      </c>
      <c r="L1107" s="4">
        <v>-0.56899999999999995</v>
      </c>
      <c r="M1107" s="4">
        <v>-0.56899999999999995</v>
      </c>
      <c r="N1107" s="4">
        <v>-0.56899999999999995</v>
      </c>
      <c r="O1107" s="4">
        <v>-0.56899999999999995</v>
      </c>
      <c r="P1107" s="4">
        <v>-1</v>
      </c>
      <c r="Q1107" s="3" t="s">
        <v>26</v>
      </c>
      <c r="R1107" s="3">
        <v>0</v>
      </c>
      <c r="S1107" s="4">
        <v>0</v>
      </c>
      <c r="T1107" s="4">
        <v>33</v>
      </c>
      <c r="U1107" s="4">
        <v>87</v>
      </c>
      <c r="V1107" s="4">
        <f>IF(ISERROR(VLOOKUP($S$1107,'TAR FIN'!$A$1:$O$92,15,0)),0,VLOOKUP($S$1107,'TAR FIN'!$A$1:$O$92,15,0))</f>
        <v>0</v>
      </c>
      <c r="W1107" s="4">
        <f>IF(ISERROR(VLOOKUP($T$1107,'TAR FIN'!$A$1:$O$92,15,0)),0,VLOOKUP($T$1107,'TAR FIN'!$A$1:$O$92,15,0))</f>
        <v>311.27999999999997</v>
      </c>
      <c r="X1107" s="4">
        <f>IF(ISERROR(VLOOKUP($U$1107,'TAR FIN'!$A$1:$O$92,15,0)),0,VLOOKUP($U$1107,'TAR FIN'!$A$1:$O$92,15,0))</f>
        <v>268.89</v>
      </c>
      <c r="Y1107" s="4"/>
      <c r="Z1107" s="4">
        <f ca="1">('TUSD BE'!$AM$48+'TUSD BF'!$AM$48+'TUSD CVA'!$AM$48)*1</f>
        <v>398.95397789704208</v>
      </c>
      <c r="AA1107" s="4">
        <f>('TE BE'!$AB$39+'TE BF'!$AB$39+'TE CVA'!$AB$39)*1</f>
        <v>336.17550926835082</v>
      </c>
      <c r="AB1107" s="4">
        <f>$K$1107*$V$1107</f>
        <v>0</v>
      </c>
      <c r="AC1107" s="4">
        <f>$M$1107*$W$1107</f>
        <v>-177.11831999999998</v>
      </c>
      <c r="AD1107" s="4">
        <f>$O$1107*$X$1107</f>
        <v>-152.99840999999998</v>
      </c>
      <c r="AE1107" s="4">
        <f>$K$1107*$Y$1107</f>
        <v>0</v>
      </c>
      <c r="AF1107" s="4">
        <f ca="1">$M$1107*$Z$1107</f>
        <v>-227.00481342341692</v>
      </c>
      <c r="AG1107" s="4">
        <f>$O$1107*$AA$1107</f>
        <v>-191.28386477369159</v>
      </c>
    </row>
    <row r="1108" spans="1:33" ht="11.25" customHeight="1" x14ac:dyDescent="0.25">
      <c r="A1108" s="3" t="s">
        <v>28</v>
      </c>
      <c r="B1108" s="3" t="s">
        <v>37</v>
      </c>
      <c r="C1108" s="3" t="s">
        <v>23</v>
      </c>
      <c r="D1108" s="3" t="s">
        <v>45</v>
      </c>
      <c r="E1108" s="3" t="s">
        <v>25</v>
      </c>
      <c r="F1108" s="3" t="s">
        <v>25</v>
      </c>
      <c r="G1108" s="3" t="s">
        <v>25</v>
      </c>
      <c r="H1108" s="3" t="s">
        <v>25</v>
      </c>
      <c r="I1108" s="6">
        <v>44805</v>
      </c>
      <c r="J1108" s="4">
        <v>0</v>
      </c>
      <c r="K1108" s="4">
        <v>0</v>
      </c>
      <c r="L1108" s="4">
        <v>871.98199999999997</v>
      </c>
      <c r="M1108" s="4">
        <v>871.98199999999997</v>
      </c>
      <c r="N1108" s="4">
        <v>871.98199999999997</v>
      </c>
      <c r="O1108" s="4">
        <v>871.98199999999997</v>
      </c>
      <c r="P1108" s="4">
        <v>239</v>
      </c>
      <c r="Q1108" s="3" t="s">
        <v>26</v>
      </c>
      <c r="R1108" s="3">
        <v>0</v>
      </c>
      <c r="S1108" s="4">
        <v>0</v>
      </c>
      <c r="T1108" s="4">
        <v>33</v>
      </c>
      <c r="U1108" s="4">
        <v>87</v>
      </c>
      <c r="V1108" s="4">
        <f>IF(ISERROR(VLOOKUP($S$1108,'TAR FIN'!$A$1:$O$92,15,0)),0,VLOOKUP($S$1108,'TAR FIN'!$A$1:$O$92,15,0))</f>
        <v>0</v>
      </c>
      <c r="W1108" s="4">
        <f>IF(ISERROR(VLOOKUP($T$1108,'TAR FIN'!$A$1:$O$92,15,0)),0,VLOOKUP($T$1108,'TAR FIN'!$A$1:$O$92,15,0))</f>
        <v>311.27999999999997</v>
      </c>
      <c r="X1108" s="4">
        <f>IF(ISERROR(VLOOKUP($U$1108,'TAR FIN'!$A$1:$O$92,15,0)),0,VLOOKUP($U$1108,'TAR FIN'!$A$1:$O$92,15,0))</f>
        <v>268.89</v>
      </c>
      <c r="Y1108" s="4"/>
      <c r="Z1108" s="4">
        <f ca="1">('TUSD BE'!$AM$48+'TUSD BF'!$AM$48+'TUSD CVA'!$AM$48)*1</f>
        <v>398.95397789704208</v>
      </c>
      <c r="AA1108" s="4">
        <f>('TE BE'!$AB$39+'TE BF'!$AB$39+'TE CVA'!$AB$39)*1</f>
        <v>336.17550926835082</v>
      </c>
      <c r="AB1108" s="4">
        <f>$K$1108*$V$1108</f>
        <v>0</v>
      </c>
      <c r="AC1108" s="4">
        <f>$M$1108*$W$1108</f>
        <v>271430.55695999996</v>
      </c>
      <c r="AD1108" s="4">
        <f>$O$1108*$X$1108</f>
        <v>234467.23997999998</v>
      </c>
      <c r="AE1108" s="4">
        <f>$K$1108*$Y$1108</f>
        <v>0</v>
      </c>
      <c r="AF1108" s="4">
        <f ca="1">$M$1108*$Z$1108</f>
        <v>347880.68755461852</v>
      </c>
      <c r="AG1108" s="4">
        <f>$O$1108*$AA$1108</f>
        <v>293138.99292283505</v>
      </c>
    </row>
    <row r="1109" spans="1:33" ht="11.25" customHeight="1" x14ac:dyDescent="0.25">
      <c r="A1109" s="3" t="s">
        <v>55</v>
      </c>
      <c r="B1109" s="3" t="s">
        <v>37</v>
      </c>
      <c r="C1109" s="3" t="s">
        <v>23</v>
      </c>
      <c r="D1109" s="3" t="s">
        <v>45</v>
      </c>
      <c r="E1109" s="3" t="s">
        <v>25</v>
      </c>
      <c r="F1109" s="3" t="s">
        <v>25</v>
      </c>
      <c r="G1109" s="3" t="s">
        <v>25</v>
      </c>
      <c r="H1109" s="3" t="s">
        <v>25</v>
      </c>
      <c r="I1109" s="6">
        <v>44835</v>
      </c>
      <c r="J1109" s="4">
        <v>0</v>
      </c>
      <c r="K1109" s="4">
        <v>0</v>
      </c>
      <c r="L1109" s="4">
        <v>1919.9480000000001</v>
      </c>
      <c r="M1109" s="4">
        <v>1919.9480000000001</v>
      </c>
      <c r="N1109" s="4">
        <v>1919.9480000000001</v>
      </c>
      <c r="O1109" s="4">
        <v>1919.9480000000001</v>
      </c>
      <c r="P1109" s="4">
        <v>1665</v>
      </c>
      <c r="Q1109" s="3" t="s">
        <v>26</v>
      </c>
      <c r="R1109" s="3">
        <v>0</v>
      </c>
      <c r="S1109" s="4">
        <v>0</v>
      </c>
      <c r="T1109" s="4">
        <v>33</v>
      </c>
      <c r="U1109" s="4">
        <v>87</v>
      </c>
      <c r="V1109" s="4">
        <f>IF(ISERROR(VLOOKUP($S$1109,'TAR FIN'!$A$1:$O$92,15,0)),0,VLOOKUP($S$1109,'TAR FIN'!$A$1:$O$92,15,0))</f>
        <v>0</v>
      </c>
      <c r="W1109" s="4">
        <f>IF(ISERROR(VLOOKUP($T$1109,'TAR FIN'!$A$1:$O$92,15,0)),0,VLOOKUP($T$1109,'TAR FIN'!$A$1:$O$92,15,0))</f>
        <v>311.27999999999997</v>
      </c>
      <c r="X1109" s="4">
        <f>IF(ISERROR(VLOOKUP($U$1109,'TAR FIN'!$A$1:$O$92,15,0)),0,VLOOKUP($U$1109,'TAR FIN'!$A$1:$O$92,15,0))</f>
        <v>268.89</v>
      </c>
      <c r="Y1109" s="4"/>
      <c r="Z1109" s="4">
        <f ca="1">('TUSD BE'!$AM$48+'TUSD BF'!$AM$48+'TUSD CVA'!$AM$48)*1</f>
        <v>398.95397789704208</v>
      </c>
      <c r="AA1109" s="4">
        <f>('TE BE'!$AB$39+'TE BF'!$AB$39+'TE CVA'!$AB$39)*1</f>
        <v>336.17550926835082</v>
      </c>
      <c r="AB1109" s="4">
        <f>$K$1109*$V$1109</f>
        <v>0</v>
      </c>
      <c r="AC1109" s="4">
        <f>$M$1109*$W$1109</f>
        <v>597641.41344000003</v>
      </c>
      <c r="AD1109" s="4">
        <f>$O$1109*$X$1109</f>
        <v>516254.81771999999</v>
      </c>
      <c r="AE1109" s="4">
        <f>$K$1109*$Y$1109</f>
        <v>0</v>
      </c>
      <c r="AF1109" s="4">
        <f ca="1">$M$1109*$Z$1109</f>
        <v>765970.8919554702</v>
      </c>
      <c r="AG1109" s="4">
        <f>$O$1109*$AA$1109</f>
        <v>645439.4966687517</v>
      </c>
    </row>
    <row r="1110" spans="1:33" ht="11.25" customHeight="1" x14ac:dyDescent="0.25">
      <c r="A1110" s="3" t="s">
        <v>55</v>
      </c>
      <c r="B1110" s="3" t="s">
        <v>37</v>
      </c>
      <c r="C1110" s="3" t="s">
        <v>23</v>
      </c>
      <c r="D1110" s="3" t="s">
        <v>45</v>
      </c>
      <c r="E1110" s="3" t="s">
        <v>25</v>
      </c>
      <c r="F1110" s="3" t="s">
        <v>25</v>
      </c>
      <c r="G1110" s="3" t="s">
        <v>25</v>
      </c>
      <c r="H1110" s="3" t="s">
        <v>25</v>
      </c>
      <c r="I1110" s="6">
        <v>44835</v>
      </c>
      <c r="J1110" s="4">
        <v>0</v>
      </c>
      <c r="K1110" s="4">
        <v>0</v>
      </c>
      <c r="L1110" s="4">
        <v>-0.56899999999999995</v>
      </c>
      <c r="M1110" s="4">
        <v>-0.56899999999999995</v>
      </c>
      <c r="N1110" s="4">
        <v>-0.56899999999999995</v>
      </c>
      <c r="O1110" s="4">
        <v>-0.56899999999999995</v>
      </c>
      <c r="P1110" s="4">
        <v>-1</v>
      </c>
      <c r="Q1110" s="3" t="s">
        <v>26</v>
      </c>
      <c r="R1110" s="3">
        <v>0</v>
      </c>
      <c r="S1110" s="4">
        <v>0</v>
      </c>
      <c r="T1110" s="4">
        <v>33</v>
      </c>
      <c r="U1110" s="4">
        <v>87</v>
      </c>
      <c r="V1110" s="4">
        <f>IF(ISERROR(VLOOKUP($S$1110,'TAR FIN'!$A$1:$O$92,15,0)),0,VLOOKUP($S$1110,'TAR FIN'!$A$1:$O$92,15,0))</f>
        <v>0</v>
      </c>
      <c r="W1110" s="4">
        <f>IF(ISERROR(VLOOKUP($T$1110,'TAR FIN'!$A$1:$O$92,15,0)),0,VLOOKUP($T$1110,'TAR FIN'!$A$1:$O$92,15,0))</f>
        <v>311.27999999999997</v>
      </c>
      <c r="X1110" s="4">
        <f>IF(ISERROR(VLOOKUP($U$1110,'TAR FIN'!$A$1:$O$92,15,0)),0,VLOOKUP($U$1110,'TAR FIN'!$A$1:$O$92,15,0))</f>
        <v>268.89</v>
      </c>
      <c r="Y1110" s="4"/>
      <c r="Z1110" s="4">
        <f ca="1">('TUSD BE'!$AM$48+'TUSD BF'!$AM$48+'TUSD CVA'!$AM$48)*1</f>
        <v>398.95397789704208</v>
      </c>
      <c r="AA1110" s="4">
        <f>('TE BE'!$AB$39+'TE BF'!$AB$39+'TE CVA'!$AB$39)*1</f>
        <v>336.17550926835082</v>
      </c>
      <c r="AB1110" s="4">
        <f>$K$1110*$V$1110</f>
        <v>0</v>
      </c>
      <c r="AC1110" s="4">
        <f>$M$1110*$W$1110</f>
        <v>-177.11831999999998</v>
      </c>
      <c r="AD1110" s="4">
        <f>$O$1110*$X$1110</f>
        <v>-152.99840999999998</v>
      </c>
      <c r="AE1110" s="4">
        <f>$K$1110*$Y$1110</f>
        <v>0</v>
      </c>
      <c r="AF1110" s="4">
        <f ca="1">$M$1110*$Z$1110</f>
        <v>-227.00481342341692</v>
      </c>
      <c r="AG1110" s="4">
        <f>$O$1110*$AA$1110</f>
        <v>-191.28386477369159</v>
      </c>
    </row>
    <row r="1111" spans="1:33" ht="11.25" customHeight="1" x14ac:dyDescent="0.25">
      <c r="A1111" s="3" t="s">
        <v>55</v>
      </c>
      <c r="B1111" s="3" t="s">
        <v>37</v>
      </c>
      <c r="C1111" s="3" t="s">
        <v>23</v>
      </c>
      <c r="D1111" s="3" t="s">
        <v>45</v>
      </c>
      <c r="E1111" s="3" t="s">
        <v>25</v>
      </c>
      <c r="F1111" s="3" t="s">
        <v>25</v>
      </c>
      <c r="G1111" s="3" t="s">
        <v>25</v>
      </c>
      <c r="H1111" s="3" t="s">
        <v>25</v>
      </c>
      <c r="I1111" s="6">
        <v>44835</v>
      </c>
      <c r="J1111" s="4">
        <v>0</v>
      </c>
      <c r="K1111" s="4">
        <v>0</v>
      </c>
      <c r="L1111" s="4">
        <v>871.98199999999997</v>
      </c>
      <c r="M1111" s="4">
        <v>871.98199999999997</v>
      </c>
      <c r="N1111" s="4">
        <v>871.98199999999997</v>
      </c>
      <c r="O1111" s="4">
        <v>871.98199999999997</v>
      </c>
      <c r="P1111" s="4">
        <v>239</v>
      </c>
      <c r="Q1111" s="3" t="s">
        <v>26</v>
      </c>
      <c r="R1111" s="3">
        <v>0</v>
      </c>
      <c r="S1111" s="4">
        <v>0</v>
      </c>
      <c r="T1111" s="4">
        <v>33</v>
      </c>
      <c r="U1111" s="4">
        <v>87</v>
      </c>
      <c r="V1111" s="4">
        <f>IF(ISERROR(VLOOKUP($S$1111,'TAR FIN'!$A$1:$O$92,15,0)),0,VLOOKUP($S$1111,'TAR FIN'!$A$1:$O$92,15,0))</f>
        <v>0</v>
      </c>
      <c r="W1111" s="4">
        <f>IF(ISERROR(VLOOKUP($T$1111,'TAR FIN'!$A$1:$O$92,15,0)),0,VLOOKUP($T$1111,'TAR FIN'!$A$1:$O$92,15,0))</f>
        <v>311.27999999999997</v>
      </c>
      <c r="X1111" s="4">
        <f>IF(ISERROR(VLOOKUP($U$1111,'TAR FIN'!$A$1:$O$92,15,0)),0,VLOOKUP($U$1111,'TAR FIN'!$A$1:$O$92,15,0))</f>
        <v>268.89</v>
      </c>
      <c r="Y1111" s="4"/>
      <c r="Z1111" s="4">
        <f ca="1">('TUSD BE'!$AM$48+'TUSD BF'!$AM$48+'TUSD CVA'!$AM$48)*1</f>
        <v>398.95397789704208</v>
      </c>
      <c r="AA1111" s="4">
        <f>('TE BE'!$AB$39+'TE BF'!$AB$39+'TE CVA'!$AB$39)*1</f>
        <v>336.17550926835082</v>
      </c>
      <c r="AB1111" s="4">
        <f>$K$1111*$V$1111</f>
        <v>0</v>
      </c>
      <c r="AC1111" s="4">
        <f>$M$1111*$W$1111</f>
        <v>271430.55695999996</v>
      </c>
      <c r="AD1111" s="4">
        <f>$O$1111*$X$1111</f>
        <v>234467.23997999998</v>
      </c>
      <c r="AE1111" s="4">
        <f>$K$1111*$Y$1111</f>
        <v>0</v>
      </c>
      <c r="AF1111" s="4">
        <f ca="1">$M$1111*$Z$1111</f>
        <v>347880.68755461852</v>
      </c>
      <c r="AG1111" s="4">
        <f>$O$1111*$AA$1111</f>
        <v>293138.99292283505</v>
      </c>
    </row>
    <row r="1112" spans="1:33" ht="11.25" customHeight="1" x14ac:dyDescent="0.25">
      <c r="A1112" s="3" t="s">
        <v>21</v>
      </c>
      <c r="B1112" s="3" t="s">
        <v>37</v>
      </c>
      <c r="C1112" s="3" t="s">
        <v>23</v>
      </c>
      <c r="D1112" s="3" t="s">
        <v>49</v>
      </c>
      <c r="E1112" s="3" t="s">
        <v>50</v>
      </c>
      <c r="F1112" s="3" t="s">
        <v>25</v>
      </c>
      <c r="G1112" s="3" t="s">
        <v>25</v>
      </c>
      <c r="H1112" s="3" t="s">
        <v>25</v>
      </c>
      <c r="I1112" s="6">
        <v>44501</v>
      </c>
      <c r="J1112" s="4">
        <v>0</v>
      </c>
      <c r="K1112" s="64">
        <v>0</v>
      </c>
      <c r="L1112" s="4">
        <v>846.09400000000005</v>
      </c>
      <c r="M1112" s="64">
        <v>846.09400000000005</v>
      </c>
      <c r="N1112" s="4">
        <v>846.09400000000005</v>
      </c>
      <c r="O1112" s="64">
        <v>846.09400000000005</v>
      </c>
      <c r="P1112" s="4">
        <v>281</v>
      </c>
      <c r="Q1112" s="3" t="s">
        <v>26</v>
      </c>
      <c r="R1112" s="3">
        <v>0</v>
      </c>
      <c r="S1112" s="4">
        <v>0</v>
      </c>
      <c r="T1112" s="4">
        <v>33</v>
      </c>
      <c r="U1112" s="4">
        <v>87</v>
      </c>
      <c r="V1112" s="64">
        <f>IF(ISERROR(VLOOKUP($S$1112,'TAR FIN'!$A$1:$O$92,15,0)),0,VLOOKUP($S$1112,'TAR FIN'!$A$1:$O$92,15,0))</f>
        <v>0</v>
      </c>
      <c r="W1112" s="64">
        <f>IF(ISERROR(VLOOKUP($T$1112,'TAR FIN'!$A$1:$O$92,15,0)),0,VLOOKUP($T$1112,'TAR FIN'!$A$1:$O$92,15,0))*(1-0.06)</f>
        <v>292.60319999999996</v>
      </c>
      <c r="X1112" s="64">
        <f>IF(ISERROR(VLOOKUP($U$1112,'TAR FIN'!$A$1:$O$92,15,0)),0,VLOOKUP($U$1112,'TAR FIN'!$A$1:$O$92,15,0))*(1-0.06)</f>
        <v>252.75659999999996</v>
      </c>
      <c r="Y1112" s="64"/>
      <c r="Z1112" s="64">
        <f ca="1">('TUSD BE'!$AM$48+'TUSD BF'!$AM$48+'TUSD CVA'!$AM$48)*1*(1-0.03)</f>
        <v>386.98535856013081</v>
      </c>
      <c r="AA1112" s="64">
        <f>('TE BE'!$AB$39+'TE BF'!$AB$39+'TE CVA'!$AB$39)*1*(1-0.03)</f>
        <v>326.09024399030028</v>
      </c>
      <c r="AB1112" s="4">
        <f>$K$1112*$V$1112</f>
        <v>0</v>
      </c>
      <c r="AC1112" s="4">
        <f>$M$1112*$W$1112</f>
        <v>247569.81190079998</v>
      </c>
      <c r="AD1112" s="4">
        <f>$O$1112*$X$1112</f>
        <v>213855.84272039999</v>
      </c>
      <c r="AE1112" s="4">
        <f>$K$1112*$Y$1112</f>
        <v>0</v>
      </c>
      <c r="AF1112" s="4">
        <f ca="1">$M$1112*$Z$1112</f>
        <v>327425.98996557534</v>
      </c>
      <c r="AG1112" s="4">
        <f>$O$1112*$AA$1112</f>
        <v>275902.99889872916</v>
      </c>
    </row>
    <row r="1113" spans="1:33" ht="11.25" customHeight="1" x14ac:dyDescent="0.25">
      <c r="A1113" s="3" t="s">
        <v>27</v>
      </c>
      <c r="B1113" s="3" t="s">
        <v>37</v>
      </c>
      <c r="C1113" s="3" t="s">
        <v>23</v>
      </c>
      <c r="D1113" s="3" t="s">
        <v>49</v>
      </c>
      <c r="E1113" s="3" t="s">
        <v>50</v>
      </c>
      <c r="F1113" s="3" t="s">
        <v>25</v>
      </c>
      <c r="G1113" s="3" t="s">
        <v>25</v>
      </c>
      <c r="H1113" s="3" t="s">
        <v>25</v>
      </c>
      <c r="I1113" s="6">
        <v>44501</v>
      </c>
      <c r="J1113" s="4">
        <v>0</v>
      </c>
      <c r="K1113" s="64">
        <v>0</v>
      </c>
      <c r="L1113" s="4">
        <v>-10.592000000000001</v>
      </c>
      <c r="M1113" s="64">
        <v>-10.592000000000001</v>
      </c>
      <c r="N1113" s="4">
        <v>-10.592000000000001</v>
      </c>
      <c r="O1113" s="64">
        <v>-10.592000000000001</v>
      </c>
      <c r="P1113" s="4">
        <v>0</v>
      </c>
      <c r="Q1113" s="3" t="s">
        <v>26</v>
      </c>
      <c r="R1113" s="3">
        <v>0</v>
      </c>
      <c r="S1113" s="4">
        <v>0</v>
      </c>
      <c r="T1113" s="4">
        <v>33</v>
      </c>
      <c r="U1113" s="4">
        <v>87</v>
      </c>
      <c r="V1113" s="64">
        <f>IF(ISERROR(VLOOKUP($S$1113,'TAR FIN'!$A$1:$O$92,15,0)),0,VLOOKUP($S$1113,'TAR FIN'!$A$1:$O$92,15,0))</f>
        <v>0</v>
      </c>
      <c r="W1113" s="64">
        <f>IF(ISERROR(VLOOKUP($T$1113,'TAR FIN'!$A$1:$O$92,15,0)),0,VLOOKUP($T$1113,'TAR FIN'!$A$1:$O$92,15,0))*(1-0.06)</f>
        <v>292.60319999999996</v>
      </c>
      <c r="X1113" s="64">
        <f>IF(ISERROR(VLOOKUP($U$1113,'TAR FIN'!$A$1:$O$92,15,0)),0,VLOOKUP($U$1113,'TAR FIN'!$A$1:$O$92,15,0))*(1-0.06)</f>
        <v>252.75659999999996</v>
      </c>
      <c r="Y1113" s="64"/>
      <c r="Z1113" s="64">
        <f ca="1">('TUSD BE'!$AM$48+'TUSD BF'!$AM$48+'TUSD CVA'!$AM$48)*1*(1-0.03)</f>
        <v>386.98535856013081</v>
      </c>
      <c r="AA1113" s="64">
        <f>('TE BE'!$AB$39+'TE BF'!$AB$39+'TE CVA'!$AB$39)*1*(1-0.03)</f>
        <v>326.09024399030028</v>
      </c>
      <c r="AB1113" s="4">
        <f>$K$1113*$V$1113</f>
        <v>0</v>
      </c>
      <c r="AC1113" s="4">
        <f>$M$1113*$W$1113</f>
        <v>-3099.2530943999996</v>
      </c>
      <c r="AD1113" s="4">
        <f>$O$1113*$X$1113</f>
        <v>-2677.1979071999999</v>
      </c>
      <c r="AE1113" s="4">
        <f>$K$1113*$Y$1113</f>
        <v>0</v>
      </c>
      <c r="AF1113" s="4">
        <f ca="1">$M$1113*$Z$1113</f>
        <v>-4098.9489178689055</v>
      </c>
      <c r="AG1113" s="4">
        <f>$O$1113*$AA$1113</f>
        <v>-3453.9478643452608</v>
      </c>
    </row>
    <row r="1114" spans="1:33" ht="11.25" customHeight="1" x14ac:dyDescent="0.25">
      <c r="A1114" s="3" t="s">
        <v>21</v>
      </c>
      <c r="B1114" s="3" t="s">
        <v>37</v>
      </c>
      <c r="C1114" s="3" t="s">
        <v>23</v>
      </c>
      <c r="D1114" s="3" t="s">
        <v>49</v>
      </c>
      <c r="E1114" s="3" t="s">
        <v>50</v>
      </c>
      <c r="F1114" s="3" t="s">
        <v>25</v>
      </c>
      <c r="G1114" s="3" t="s">
        <v>25</v>
      </c>
      <c r="H1114" s="3" t="s">
        <v>25</v>
      </c>
      <c r="I1114" s="6">
        <v>44531</v>
      </c>
      <c r="J1114" s="4">
        <v>0</v>
      </c>
      <c r="K1114" s="64">
        <v>0</v>
      </c>
      <c r="L1114" s="4">
        <v>825.83399999999995</v>
      </c>
      <c r="M1114" s="64">
        <v>825.83399999999995</v>
      </c>
      <c r="N1114" s="4">
        <v>825.83399999999995</v>
      </c>
      <c r="O1114" s="64">
        <v>825.83399999999995</v>
      </c>
      <c r="P1114" s="4">
        <v>280</v>
      </c>
      <c r="Q1114" s="3" t="s">
        <v>26</v>
      </c>
      <c r="R1114" s="3">
        <v>0</v>
      </c>
      <c r="S1114" s="4">
        <v>0</v>
      </c>
      <c r="T1114" s="4">
        <v>33</v>
      </c>
      <c r="U1114" s="4">
        <v>87</v>
      </c>
      <c r="V1114" s="64">
        <f>IF(ISERROR(VLOOKUP($S$1114,'TAR FIN'!$A$1:$O$92,15,0)),0,VLOOKUP($S$1114,'TAR FIN'!$A$1:$O$92,15,0))</f>
        <v>0</v>
      </c>
      <c r="W1114" s="64">
        <f>IF(ISERROR(VLOOKUP($T$1114,'TAR FIN'!$A$1:$O$92,15,0)),0,VLOOKUP($T$1114,'TAR FIN'!$A$1:$O$92,15,0))*(1-0.06)</f>
        <v>292.60319999999996</v>
      </c>
      <c r="X1114" s="64">
        <f>IF(ISERROR(VLOOKUP($U$1114,'TAR FIN'!$A$1:$O$92,15,0)),0,VLOOKUP($U$1114,'TAR FIN'!$A$1:$O$92,15,0))*(1-0.06)</f>
        <v>252.75659999999996</v>
      </c>
      <c r="Y1114" s="64"/>
      <c r="Z1114" s="64">
        <f ca="1">('TUSD BE'!$AM$48+'TUSD BF'!$AM$48+'TUSD CVA'!$AM$48)*1*(1-0.03)</f>
        <v>386.98535856013081</v>
      </c>
      <c r="AA1114" s="64">
        <f>('TE BE'!$AB$39+'TE BF'!$AB$39+'TE CVA'!$AB$39)*1*(1-0.03)</f>
        <v>326.09024399030028</v>
      </c>
      <c r="AB1114" s="4">
        <f>$K$1114*$V$1114</f>
        <v>0</v>
      </c>
      <c r="AC1114" s="4">
        <f>$M$1114*$W$1114</f>
        <v>241641.67106879994</v>
      </c>
      <c r="AD1114" s="4">
        <f>$O$1114*$X$1114</f>
        <v>208734.99400439995</v>
      </c>
      <c r="AE1114" s="4">
        <f>$K$1114*$Y$1114</f>
        <v>0</v>
      </c>
      <c r="AF1114" s="4">
        <f ca="1">$M$1114*$Z$1114</f>
        <v>319585.66660114704</v>
      </c>
      <c r="AG1114" s="4">
        <f>$O$1114*$AA$1114</f>
        <v>269296.41055548564</v>
      </c>
    </row>
    <row r="1115" spans="1:33" ht="11.25" customHeight="1" x14ac:dyDescent="0.25">
      <c r="A1115" s="3" t="s">
        <v>27</v>
      </c>
      <c r="B1115" s="3" t="s">
        <v>37</v>
      </c>
      <c r="C1115" s="3" t="s">
        <v>23</v>
      </c>
      <c r="D1115" s="3" t="s">
        <v>49</v>
      </c>
      <c r="E1115" s="3" t="s">
        <v>50</v>
      </c>
      <c r="F1115" s="3" t="s">
        <v>25</v>
      </c>
      <c r="G1115" s="3" t="s">
        <v>25</v>
      </c>
      <c r="H1115" s="3" t="s">
        <v>25</v>
      </c>
      <c r="I1115" s="6">
        <v>44531</v>
      </c>
      <c r="J1115" s="4">
        <v>0</v>
      </c>
      <c r="K1115" s="64">
        <v>0</v>
      </c>
      <c r="L1115" s="4">
        <v>-1.276</v>
      </c>
      <c r="M1115" s="64">
        <v>-1.276</v>
      </c>
      <c r="N1115" s="4">
        <v>-1.276</v>
      </c>
      <c r="O1115" s="64">
        <v>-1.276</v>
      </c>
      <c r="P1115" s="4">
        <v>-1</v>
      </c>
      <c r="Q1115" s="3" t="s">
        <v>26</v>
      </c>
      <c r="R1115" s="3">
        <v>0</v>
      </c>
      <c r="S1115" s="4">
        <v>0</v>
      </c>
      <c r="T1115" s="4">
        <v>33</v>
      </c>
      <c r="U1115" s="4">
        <v>87</v>
      </c>
      <c r="V1115" s="64">
        <f>IF(ISERROR(VLOOKUP($S$1115,'TAR FIN'!$A$1:$O$92,15,0)),0,VLOOKUP($S$1115,'TAR FIN'!$A$1:$O$92,15,0))</f>
        <v>0</v>
      </c>
      <c r="W1115" s="64">
        <f>IF(ISERROR(VLOOKUP($T$1115,'TAR FIN'!$A$1:$O$92,15,0)),0,VLOOKUP($T$1115,'TAR FIN'!$A$1:$O$92,15,0))*(1-0.06)</f>
        <v>292.60319999999996</v>
      </c>
      <c r="X1115" s="64">
        <f>IF(ISERROR(VLOOKUP($U$1115,'TAR FIN'!$A$1:$O$92,15,0)),0,VLOOKUP($U$1115,'TAR FIN'!$A$1:$O$92,15,0))*(1-0.06)</f>
        <v>252.75659999999996</v>
      </c>
      <c r="Y1115" s="64"/>
      <c r="Z1115" s="64">
        <f ca="1">('TUSD BE'!$AM$48+'TUSD BF'!$AM$48+'TUSD CVA'!$AM$48)*1*(1-0.03)</f>
        <v>386.98535856013081</v>
      </c>
      <c r="AA1115" s="64">
        <f>('TE BE'!$AB$39+'TE BF'!$AB$39+'TE CVA'!$AB$39)*1*(1-0.03)</f>
        <v>326.09024399030028</v>
      </c>
      <c r="AB1115" s="4">
        <f>$K$1115*$V$1115</f>
        <v>0</v>
      </c>
      <c r="AC1115" s="4">
        <f>$M$1115*$W$1115</f>
        <v>-373.36168319999996</v>
      </c>
      <c r="AD1115" s="4">
        <f>$O$1115*$X$1115</f>
        <v>-322.51742159999998</v>
      </c>
      <c r="AE1115" s="4">
        <f>$K$1115*$Y$1115</f>
        <v>0</v>
      </c>
      <c r="AF1115" s="4">
        <f ca="1">$M$1115*$Z$1115</f>
        <v>-493.79331752272691</v>
      </c>
      <c r="AG1115" s="4">
        <f>$O$1115*$AA$1115</f>
        <v>-416.09115133162317</v>
      </c>
    </row>
    <row r="1116" spans="1:33" ht="11.25" customHeight="1" x14ac:dyDescent="0.25">
      <c r="A1116" s="3" t="s">
        <v>21</v>
      </c>
      <c r="B1116" s="3" t="s">
        <v>37</v>
      </c>
      <c r="C1116" s="3" t="s">
        <v>23</v>
      </c>
      <c r="D1116" s="3" t="s">
        <v>49</v>
      </c>
      <c r="E1116" s="3" t="s">
        <v>50</v>
      </c>
      <c r="F1116" s="3" t="s">
        <v>25</v>
      </c>
      <c r="G1116" s="3" t="s">
        <v>25</v>
      </c>
      <c r="H1116" s="3" t="s">
        <v>25</v>
      </c>
      <c r="I1116" s="6">
        <v>44562</v>
      </c>
      <c r="J1116" s="4">
        <v>0</v>
      </c>
      <c r="K1116" s="64">
        <v>0</v>
      </c>
      <c r="L1116" s="4">
        <v>770.93499999999995</v>
      </c>
      <c r="M1116" s="64">
        <v>770.93499999999995</v>
      </c>
      <c r="N1116" s="4">
        <v>770.93499999999995</v>
      </c>
      <c r="O1116" s="64">
        <v>770.93499999999995</v>
      </c>
      <c r="P1116" s="4">
        <v>279</v>
      </c>
      <c r="Q1116" s="3" t="s">
        <v>26</v>
      </c>
      <c r="R1116" s="3">
        <v>0</v>
      </c>
      <c r="S1116" s="4">
        <v>0</v>
      </c>
      <c r="T1116" s="4">
        <v>33</v>
      </c>
      <c r="U1116" s="4">
        <v>87</v>
      </c>
      <c r="V1116" s="64">
        <f>IF(ISERROR(VLOOKUP($S$1116,'TAR FIN'!$A$1:$O$92,15,0)),0,VLOOKUP($S$1116,'TAR FIN'!$A$1:$O$92,15,0))</f>
        <v>0</v>
      </c>
      <c r="W1116" s="64">
        <f>IF(ISERROR(VLOOKUP($T$1116,'TAR FIN'!$A$1:$O$92,15,0)),0,VLOOKUP($T$1116,'TAR FIN'!$A$1:$O$92,15,0))*(1-0.06)</f>
        <v>292.60319999999996</v>
      </c>
      <c r="X1116" s="64">
        <f>IF(ISERROR(VLOOKUP($U$1116,'TAR FIN'!$A$1:$O$92,15,0)),0,VLOOKUP($U$1116,'TAR FIN'!$A$1:$O$92,15,0))*(1-0.06)</f>
        <v>252.75659999999996</v>
      </c>
      <c r="Y1116" s="64"/>
      <c r="Z1116" s="64">
        <f ca="1">('TUSD BE'!$AM$48+'TUSD BF'!$AM$48+'TUSD CVA'!$AM$48)*1*(1-0.03)</f>
        <v>386.98535856013081</v>
      </c>
      <c r="AA1116" s="64">
        <f>('TE BE'!$AB$39+'TE BF'!$AB$39+'TE CVA'!$AB$39)*1*(1-0.03)</f>
        <v>326.09024399030028</v>
      </c>
      <c r="AB1116" s="4">
        <f>$K$1116*$V$1116</f>
        <v>0</v>
      </c>
      <c r="AC1116" s="4">
        <f>$M$1116*$W$1116</f>
        <v>225578.04799199995</v>
      </c>
      <c r="AD1116" s="4">
        <f>$O$1116*$X$1116</f>
        <v>194858.90942099996</v>
      </c>
      <c r="AE1116" s="4">
        <f>$K$1116*$Y$1116</f>
        <v>0</v>
      </c>
      <c r="AF1116" s="4">
        <f ca="1">$M$1116*$Z$1116</f>
        <v>298340.55740155443</v>
      </c>
      <c r="AG1116" s="4">
        <f>$O$1116*$AA$1116</f>
        <v>251394.38225066214</v>
      </c>
    </row>
    <row r="1117" spans="1:33" ht="11.25" customHeight="1" x14ac:dyDescent="0.25">
      <c r="A1117" s="3" t="s">
        <v>21</v>
      </c>
      <c r="B1117" s="3" t="s">
        <v>37</v>
      </c>
      <c r="C1117" s="3" t="s">
        <v>23</v>
      </c>
      <c r="D1117" s="3" t="s">
        <v>49</v>
      </c>
      <c r="E1117" s="3" t="s">
        <v>50</v>
      </c>
      <c r="F1117" s="3" t="s">
        <v>25</v>
      </c>
      <c r="G1117" s="3" t="s">
        <v>25</v>
      </c>
      <c r="H1117" s="3" t="s">
        <v>25</v>
      </c>
      <c r="I1117" s="6">
        <v>44593</v>
      </c>
      <c r="J1117" s="4">
        <v>0</v>
      </c>
      <c r="K1117" s="64">
        <v>0</v>
      </c>
      <c r="L1117" s="4">
        <v>771.96199999999999</v>
      </c>
      <c r="M1117" s="64">
        <v>771.96199999999999</v>
      </c>
      <c r="N1117" s="4">
        <v>771.96199999999999</v>
      </c>
      <c r="O1117" s="64">
        <v>771.96199999999999</v>
      </c>
      <c r="P1117" s="4">
        <v>282</v>
      </c>
      <c r="Q1117" s="3" t="s">
        <v>26</v>
      </c>
      <c r="R1117" s="3">
        <v>0</v>
      </c>
      <c r="S1117" s="4">
        <v>0</v>
      </c>
      <c r="T1117" s="4">
        <v>33</v>
      </c>
      <c r="U1117" s="4">
        <v>87</v>
      </c>
      <c r="V1117" s="64">
        <f>IF(ISERROR(VLOOKUP($S$1117,'TAR FIN'!$A$1:$O$92,15,0)),0,VLOOKUP($S$1117,'TAR FIN'!$A$1:$O$92,15,0))</f>
        <v>0</v>
      </c>
      <c r="W1117" s="64">
        <f>IF(ISERROR(VLOOKUP($T$1117,'TAR FIN'!$A$1:$O$92,15,0)),0,VLOOKUP($T$1117,'TAR FIN'!$A$1:$O$92,15,0))*(1-0.06)</f>
        <v>292.60319999999996</v>
      </c>
      <c r="X1117" s="64">
        <f>IF(ISERROR(VLOOKUP($U$1117,'TAR FIN'!$A$1:$O$92,15,0)),0,VLOOKUP($U$1117,'TAR FIN'!$A$1:$O$92,15,0))*(1-0.06)</f>
        <v>252.75659999999996</v>
      </c>
      <c r="Y1117" s="64"/>
      <c r="Z1117" s="64">
        <f ca="1">('TUSD BE'!$AM$48+'TUSD BF'!$AM$48+'TUSD CVA'!$AM$48)*1*(1-0.03)</f>
        <v>386.98535856013081</v>
      </c>
      <c r="AA1117" s="64">
        <f>('TE BE'!$AB$39+'TE BF'!$AB$39+'TE CVA'!$AB$39)*1*(1-0.03)</f>
        <v>326.09024399030028</v>
      </c>
      <c r="AB1117" s="4">
        <f>$K$1117*$V$1117</f>
        <v>0</v>
      </c>
      <c r="AC1117" s="4">
        <f>$M$1117*$W$1117</f>
        <v>225878.55147839995</v>
      </c>
      <c r="AD1117" s="4">
        <f>$O$1117*$X$1117</f>
        <v>195118.49044919998</v>
      </c>
      <c r="AE1117" s="4">
        <f>$K$1117*$Y$1117</f>
        <v>0</v>
      </c>
      <c r="AF1117" s="4">
        <f ca="1">$M$1117*$Z$1117</f>
        <v>298737.99136479571</v>
      </c>
      <c r="AG1117" s="4">
        <f>$O$1117*$AA$1117</f>
        <v>251729.27693124019</v>
      </c>
    </row>
    <row r="1118" spans="1:33" ht="11.25" customHeight="1" x14ac:dyDescent="0.25">
      <c r="A1118" s="3" t="s">
        <v>21</v>
      </c>
      <c r="B1118" s="3" t="s">
        <v>37</v>
      </c>
      <c r="C1118" s="3" t="s">
        <v>23</v>
      </c>
      <c r="D1118" s="3" t="s">
        <v>49</v>
      </c>
      <c r="E1118" s="3" t="s">
        <v>50</v>
      </c>
      <c r="F1118" s="3" t="s">
        <v>25</v>
      </c>
      <c r="G1118" s="3" t="s">
        <v>25</v>
      </c>
      <c r="H1118" s="3" t="s">
        <v>25</v>
      </c>
      <c r="I1118" s="6">
        <v>44621</v>
      </c>
      <c r="J1118" s="4">
        <v>0</v>
      </c>
      <c r="K1118" s="64">
        <v>0</v>
      </c>
      <c r="L1118" s="4">
        <v>825.13499999999999</v>
      </c>
      <c r="M1118" s="64">
        <v>825.13499999999999</v>
      </c>
      <c r="N1118" s="4">
        <v>825.13499999999999</v>
      </c>
      <c r="O1118" s="64">
        <v>825.13499999999999</v>
      </c>
      <c r="P1118" s="4">
        <v>288</v>
      </c>
      <c r="Q1118" s="3" t="s">
        <v>26</v>
      </c>
      <c r="R1118" s="3">
        <v>0</v>
      </c>
      <c r="S1118" s="4">
        <v>0</v>
      </c>
      <c r="T1118" s="4">
        <v>33</v>
      </c>
      <c r="U1118" s="4">
        <v>87</v>
      </c>
      <c r="V1118" s="64">
        <f>IF(ISERROR(VLOOKUP($S$1118,'TAR FIN'!$A$1:$O$92,15,0)),0,VLOOKUP($S$1118,'TAR FIN'!$A$1:$O$92,15,0))</f>
        <v>0</v>
      </c>
      <c r="W1118" s="64">
        <f>IF(ISERROR(VLOOKUP($T$1118,'TAR FIN'!$A$1:$O$92,15,0)),0,VLOOKUP($T$1118,'TAR FIN'!$A$1:$O$92,15,0))*(1-0.06)</f>
        <v>292.60319999999996</v>
      </c>
      <c r="X1118" s="64">
        <f>IF(ISERROR(VLOOKUP($U$1118,'TAR FIN'!$A$1:$O$92,15,0)),0,VLOOKUP($U$1118,'TAR FIN'!$A$1:$O$92,15,0))*(1-0.06)</f>
        <v>252.75659999999996</v>
      </c>
      <c r="Y1118" s="64"/>
      <c r="Z1118" s="64">
        <f ca="1">('TUSD BE'!$AM$48+'TUSD BF'!$AM$48+'TUSD CVA'!$AM$48)*1*(1-0.03)</f>
        <v>386.98535856013081</v>
      </c>
      <c r="AA1118" s="64">
        <f>('TE BE'!$AB$39+'TE BF'!$AB$39+'TE CVA'!$AB$39)*1*(1-0.03)</f>
        <v>326.09024399030028</v>
      </c>
      <c r="AB1118" s="4">
        <f>$K$1118*$V$1118</f>
        <v>0</v>
      </c>
      <c r="AC1118" s="4">
        <f>$M$1118*$W$1118</f>
        <v>241437.14143199997</v>
      </c>
      <c r="AD1118" s="4">
        <f>$O$1118*$X$1118</f>
        <v>208558.31714099998</v>
      </c>
      <c r="AE1118" s="4">
        <f>$K$1118*$Y$1118</f>
        <v>0</v>
      </c>
      <c r="AF1118" s="4">
        <f ca="1">$M$1118*$Z$1118</f>
        <v>319315.16383551352</v>
      </c>
      <c r="AG1118" s="4">
        <f>$O$1118*$AA$1118</f>
        <v>269068.47347493644</v>
      </c>
    </row>
    <row r="1119" spans="1:33" ht="11.25" customHeight="1" x14ac:dyDescent="0.25">
      <c r="A1119" s="3" t="s">
        <v>21</v>
      </c>
      <c r="B1119" s="3" t="s">
        <v>37</v>
      </c>
      <c r="C1119" s="3" t="s">
        <v>23</v>
      </c>
      <c r="D1119" s="3" t="s">
        <v>49</v>
      </c>
      <c r="E1119" s="3" t="s">
        <v>50</v>
      </c>
      <c r="F1119" s="3" t="s">
        <v>25</v>
      </c>
      <c r="G1119" s="3" t="s">
        <v>25</v>
      </c>
      <c r="H1119" s="3" t="s">
        <v>25</v>
      </c>
      <c r="I1119" s="6">
        <v>44652</v>
      </c>
      <c r="J1119" s="4">
        <v>0</v>
      </c>
      <c r="K1119" s="64">
        <v>0</v>
      </c>
      <c r="L1119" s="4">
        <v>825.13499999999999</v>
      </c>
      <c r="M1119" s="64">
        <v>825.13499999999999</v>
      </c>
      <c r="N1119" s="4">
        <v>825.13499999999999</v>
      </c>
      <c r="O1119" s="64">
        <v>825.13499999999999</v>
      </c>
      <c r="P1119" s="4">
        <v>288</v>
      </c>
      <c r="Q1119" s="3" t="s">
        <v>26</v>
      </c>
      <c r="R1119" s="3">
        <v>0</v>
      </c>
      <c r="S1119" s="4">
        <v>0</v>
      </c>
      <c r="T1119" s="4">
        <v>33</v>
      </c>
      <c r="U1119" s="4">
        <v>87</v>
      </c>
      <c r="V1119" s="64">
        <f>IF(ISERROR(VLOOKUP($S$1119,'TAR FIN'!$A$1:$O$92,15,0)),0,VLOOKUP($S$1119,'TAR FIN'!$A$1:$O$92,15,0))</f>
        <v>0</v>
      </c>
      <c r="W1119" s="64">
        <f>IF(ISERROR(VLOOKUP($T$1119,'TAR FIN'!$A$1:$O$92,15,0)),0,VLOOKUP($T$1119,'TAR FIN'!$A$1:$O$92,15,0))*(1-0.06)</f>
        <v>292.60319999999996</v>
      </c>
      <c r="X1119" s="64">
        <f>IF(ISERROR(VLOOKUP($U$1119,'TAR FIN'!$A$1:$O$92,15,0)),0,VLOOKUP($U$1119,'TAR FIN'!$A$1:$O$92,15,0))*(1-0.06)</f>
        <v>252.75659999999996</v>
      </c>
      <c r="Y1119" s="64"/>
      <c r="Z1119" s="64">
        <f ca="1">('TUSD BE'!$AM$48+'TUSD BF'!$AM$48+'TUSD CVA'!$AM$48)*1*(1-0.03)</f>
        <v>386.98535856013081</v>
      </c>
      <c r="AA1119" s="64">
        <f>('TE BE'!$AB$39+'TE BF'!$AB$39+'TE CVA'!$AB$39)*1*(1-0.03)</f>
        <v>326.09024399030028</v>
      </c>
      <c r="AB1119" s="4">
        <f>$K$1119*$V$1119</f>
        <v>0</v>
      </c>
      <c r="AC1119" s="4">
        <f>$M$1119*$W$1119</f>
        <v>241437.14143199997</v>
      </c>
      <c r="AD1119" s="4">
        <f>$O$1119*$X$1119</f>
        <v>208558.31714099998</v>
      </c>
      <c r="AE1119" s="4">
        <f>$K$1119*$Y$1119</f>
        <v>0</v>
      </c>
      <c r="AF1119" s="4">
        <f ca="1">$M$1119*$Z$1119</f>
        <v>319315.16383551352</v>
      </c>
      <c r="AG1119" s="4">
        <f>$O$1119*$AA$1119</f>
        <v>269068.47347493644</v>
      </c>
    </row>
    <row r="1120" spans="1:33" ht="11.25" customHeight="1" x14ac:dyDescent="0.25">
      <c r="A1120" s="3" t="s">
        <v>21</v>
      </c>
      <c r="B1120" s="3" t="s">
        <v>37</v>
      </c>
      <c r="C1120" s="3" t="s">
        <v>23</v>
      </c>
      <c r="D1120" s="3" t="s">
        <v>49</v>
      </c>
      <c r="E1120" s="3" t="s">
        <v>50</v>
      </c>
      <c r="F1120" s="3" t="s">
        <v>25</v>
      </c>
      <c r="G1120" s="3" t="s">
        <v>25</v>
      </c>
      <c r="H1120" s="3" t="s">
        <v>25</v>
      </c>
      <c r="I1120" s="6">
        <v>44682</v>
      </c>
      <c r="J1120" s="4">
        <v>0</v>
      </c>
      <c r="K1120" s="64">
        <v>0</v>
      </c>
      <c r="L1120" s="4">
        <v>801.51499999999999</v>
      </c>
      <c r="M1120" s="64">
        <v>801.51499999999999</v>
      </c>
      <c r="N1120" s="4">
        <v>801.51499999999999</v>
      </c>
      <c r="O1120" s="64">
        <v>801.51499999999999</v>
      </c>
      <c r="P1120" s="4">
        <v>288</v>
      </c>
      <c r="Q1120" s="3" t="s">
        <v>26</v>
      </c>
      <c r="R1120" s="3">
        <v>0</v>
      </c>
      <c r="S1120" s="4">
        <v>0</v>
      </c>
      <c r="T1120" s="4">
        <v>33</v>
      </c>
      <c r="U1120" s="4">
        <v>87</v>
      </c>
      <c r="V1120" s="64">
        <f>IF(ISERROR(VLOOKUP($S$1120,'TAR FIN'!$A$1:$O$92,15,0)),0,VLOOKUP($S$1120,'TAR FIN'!$A$1:$O$92,15,0))</f>
        <v>0</v>
      </c>
      <c r="W1120" s="64">
        <f>IF(ISERROR(VLOOKUP($T$1120,'TAR FIN'!$A$1:$O$92,15,0)),0,VLOOKUP($T$1120,'TAR FIN'!$A$1:$O$92,15,0))*(1-0.06)</f>
        <v>292.60319999999996</v>
      </c>
      <c r="X1120" s="64">
        <f>IF(ISERROR(VLOOKUP($U$1120,'TAR FIN'!$A$1:$O$92,15,0)),0,VLOOKUP($U$1120,'TAR FIN'!$A$1:$O$92,15,0))*(1-0.06)</f>
        <v>252.75659999999996</v>
      </c>
      <c r="Y1120" s="64"/>
      <c r="Z1120" s="64">
        <f ca="1">('TUSD BE'!$AM$48+'TUSD BF'!$AM$48+'TUSD CVA'!$AM$48)*1*(1-0.03)</f>
        <v>386.98535856013081</v>
      </c>
      <c r="AA1120" s="64">
        <f>('TE BE'!$AB$39+'TE BF'!$AB$39+'TE CVA'!$AB$39)*1*(1-0.03)</f>
        <v>326.09024399030028</v>
      </c>
      <c r="AB1120" s="4">
        <f>$K$1120*$V$1120</f>
        <v>0</v>
      </c>
      <c r="AC1120" s="4">
        <f>$M$1120*$W$1120</f>
        <v>234525.85384799997</v>
      </c>
      <c r="AD1120" s="4">
        <f>$O$1120*$X$1120</f>
        <v>202588.20624899998</v>
      </c>
      <c r="AE1120" s="4">
        <f>$K$1120*$Y$1120</f>
        <v>0</v>
      </c>
      <c r="AF1120" s="4">
        <f ca="1">$M$1120*$Z$1120</f>
        <v>310174.56966632325</v>
      </c>
      <c r="AG1120" s="4">
        <f>$O$1120*$AA$1120</f>
        <v>261366.22191188551</v>
      </c>
    </row>
    <row r="1121" spans="1:33" ht="11.25" customHeight="1" x14ac:dyDescent="0.25">
      <c r="A1121" s="3" t="s">
        <v>27</v>
      </c>
      <c r="B1121" s="3" t="s">
        <v>37</v>
      </c>
      <c r="C1121" s="3" t="s">
        <v>23</v>
      </c>
      <c r="D1121" s="3" t="s">
        <v>49</v>
      </c>
      <c r="E1121" s="3" t="s">
        <v>50</v>
      </c>
      <c r="F1121" s="3" t="s">
        <v>25</v>
      </c>
      <c r="G1121" s="3" t="s">
        <v>25</v>
      </c>
      <c r="H1121" s="3" t="s">
        <v>25</v>
      </c>
      <c r="I1121" s="6">
        <v>44682</v>
      </c>
      <c r="J1121" s="4">
        <v>0</v>
      </c>
      <c r="K1121" s="64">
        <v>0</v>
      </c>
      <c r="L1121" s="4">
        <v>69.284000000000006</v>
      </c>
      <c r="M1121" s="64">
        <v>69.284000000000006</v>
      </c>
      <c r="N1121" s="4">
        <v>69.284000000000006</v>
      </c>
      <c r="O1121" s="64">
        <v>69.284000000000006</v>
      </c>
      <c r="P1121" s="4">
        <v>16</v>
      </c>
      <c r="Q1121" s="3" t="s">
        <v>26</v>
      </c>
      <c r="R1121" s="3">
        <v>0</v>
      </c>
      <c r="S1121" s="4">
        <v>0</v>
      </c>
      <c r="T1121" s="4">
        <v>33</v>
      </c>
      <c r="U1121" s="4">
        <v>87</v>
      </c>
      <c r="V1121" s="64">
        <f>IF(ISERROR(VLOOKUP($S$1121,'TAR FIN'!$A$1:$O$92,15,0)),0,VLOOKUP($S$1121,'TAR FIN'!$A$1:$O$92,15,0))</f>
        <v>0</v>
      </c>
      <c r="W1121" s="64">
        <f>IF(ISERROR(VLOOKUP($T$1121,'TAR FIN'!$A$1:$O$92,15,0)),0,VLOOKUP($T$1121,'TAR FIN'!$A$1:$O$92,15,0))*(1-0.06)</f>
        <v>292.60319999999996</v>
      </c>
      <c r="X1121" s="64">
        <f>IF(ISERROR(VLOOKUP($U$1121,'TAR FIN'!$A$1:$O$92,15,0)),0,VLOOKUP($U$1121,'TAR FIN'!$A$1:$O$92,15,0))*(1-0.06)</f>
        <v>252.75659999999996</v>
      </c>
      <c r="Y1121" s="64"/>
      <c r="Z1121" s="64">
        <f ca="1">('TUSD BE'!$AM$48+'TUSD BF'!$AM$48+'TUSD CVA'!$AM$48)*1*(1-0.03)</f>
        <v>386.98535856013081</v>
      </c>
      <c r="AA1121" s="64">
        <f>('TE BE'!$AB$39+'TE BF'!$AB$39+'TE CVA'!$AB$39)*1*(1-0.03)</f>
        <v>326.09024399030028</v>
      </c>
      <c r="AB1121" s="4">
        <f>$K$1121*$V$1121</f>
        <v>0</v>
      </c>
      <c r="AC1121" s="4">
        <f>$M$1121*$W$1121</f>
        <v>20272.7201088</v>
      </c>
      <c r="AD1121" s="4">
        <f>$O$1121*$X$1121</f>
        <v>17511.988274399999</v>
      </c>
      <c r="AE1121" s="4">
        <f>$K$1121*$Y$1121</f>
        <v>0</v>
      </c>
      <c r="AF1121" s="4">
        <f ca="1">$M$1121*$Z$1121</f>
        <v>26811.893582480105</v>
      </c>
      <c r="AG1121" s="4">
        <f>$O$1121*$AA$1121</f>
        <v>22592.836464623968</v>
      </c>
    </row>
    <row r="1122" spans="1:33" ht="11.25" customHeight="1" x14ac:dyDescent="0.25">
      <c r="A1122" s="3" t="s">
        <v>21</v>
      </c>
      <c r="B1122" s="3" t="s">
        <v>37</v>
      </c>
      <c r="C1122" s="3" t="s">
        <v>23</v>
      </c>
      <c r="D1122" s="3" t="s">
        <v>49</v>
      </c>
      <c r="E1122" s="3" t="s">
        <v>50</v>
      </c>
      <c r="F1122" s="3" t="s">
        <v>25</v>
      </c>
      <c r="G1122" s="3" t="s">
        <v>25</v>
      </c>
      <c r="H1122" s="3" t="s">
        <v>25</v>
      </c>
      <c r="I1122" s="6">
        <v>44713</v>
      </c>
      <c r="J1122" s="4">
        <v>0</v>
      </c>
      <c r="K1122" s="64">
        <v>0</v>
      </c>
      <c r="L1122" s="4">
        <v>794.80899999999997</v>
      </c>
      <c r="M1122" s="64">
        <v>794.80899999999997</v>
      </c>
      <c r="N1122" s="4">
        <v>794.80899999999997</v>
      </c>
      <c r="O1122" s="64">
        <v>794.80899999999997</v>
      </c>
      <c r="P1122" s="4">
        <v>288</v>
      </c>
      <c r="Q1122" s="3" t="s">
        <v>26</v>
      </c>
      <c r="R1122" s="3">
        <v>0</v>
      </c>
      <c r="S1122" s="4">
        <v>0</v>
      </c>
      <c r="T1122" s="4">
        <v>33</v>
      </c>
      <c r="U1122" s="4">
        <v>87</v>
      </c>
      <c r="V1122" s="64">
        <f>IF(ISERROR(VLOOKUP($S$1122,'TAR FIN'!$A$1:$O$92,15,0)),0,VLOOKUP($S$1122,'TAR FIN'!$A$1:$O$92,15,0))</f>
        <v>0</v>
      </c>
      <c r="W1122" s="64">
        <f>IF(ISERROR(VLOOKUP($T$1122,'TAR FIN'!$A$1:$O$92,15,0)),0,VLOOKUP($T$1122,'TAR FIN'!$A$1:$O$92,15,0))*(1-0.06)</f>
        <v>292.60319999999996</v>
      </c>
      <c r="X1122" s="64">
        <f>IF(ISERROR(VLOOKUP($U$1122,'TAR FIN'!$A$1:$O$92,15,0)),0,VLOOKUP($U$1122,'TAR FIN'!$A$1:$O$92,15,0))*(1-0.06)</f>
        <v>252.75659999999996</v>
      </c>
      <c r="Y1122" s="64"/>
      <c r="Z1122" s="64">
        <f ca="1">('TUSD BE'!$AM$48+'TUSD BF'!$AM$48+'TUSD CVA'!$AM$48)*1*(1-0.03)</f>
        <v>386.98535856013081</v>
      </c>
      <c r="AA1122" s="64">
        <f>('TE BE'!$AB$39+'TE BF'!$AB$39+'TE CVA'!$AB$39)*1*(1-0.03)</f>
        <v>326.09024399030028</v>
      </c>
      <c r="AB1122" s="4">
        <f>$K$1122*$V$1122</f>
        <v>0</v>
      </c>
      <c r="AC1122" s="4">
        <f>$M$1122*$W$1122</f>
        <v>232563.65678879997</v>
      </c>
      <c r="AD1122" s="4">
        <f>$O$1122*$X$1122</f>
        <v>200893.22048939997</v>
      </c>
      <c r="AE1122" s="4">
        <f>$K$1122*$Y$1122</f>
        <v>0</v>
      </c>
      <c r="AF1122" s="4">
        <f ca="1">$M$1122*$Z$1122</f>
        <v>307579.44585181901</v>
      </c>
      <c r="AG1122" s="4">
        <f>$O$1122*$AA$1122</f>
        <v>259179.46073568656</v>
      </c>
    </row>
    <row r="1123" spans="1:33" ht="11.25" customHeight="1" x14ac:dyDescent="0.25">
      <c r="A1123" s="3" t="s">
        <v>27</v>
      </c>
      <c r="B1123" s="3" t="s">
        <v>37</v>
      </c>
      <c r="C1123" s="3" t="s">
        <v>23</v>
      </c>
      <c r="D1123" s="3" t="s">
        <v>49</v>
      </c>
      <c r="E1123" s="3" t="s">
        <v>50</v>
      </c>
      <c r="F1123" s="3" t="s">
        <v>25</v>
      </c>
      <c r="G1123" s="3" t="s">
        <v>25</v>
      </c>
      <c r="H1123" s="3" t="s">
        <v>25</v>
      </c>
      <c r="I1123" s="6">
        <v>44713</v>
      </c>
      <c r="J1123" s="4">
        <v>0</v>
      </c>
      <c r="K1123" s="64">
        <v>0</v>
      </c>
      <c r="L1123" s="4">
        <v>-4.0949999999999998</v>
      </c>
      <c r="M1123" s="64">
        <v>-4.0949999999999998</v>
      </c>
      <c r="N1123" s="4">
        <v>-4.0949999999999998</v>
      </c>
      <c r="O1123" s="64">
        <v>-4.0949999999999998</v>
      </c>
      <c r="P1123" s="4">
        <v>1</v>
      </c>
      <c r="Q1123" s="3" t="s">
        <v>26</v>
      </c>
      <c r="R1123" s="3">
        <v>0</v>
      </c>
      <c r="S1123" s="4">
        <v>0</v>
      </c>
      <c r="T1123" s="4">
        <v>33</v>
      </c>
      <c r="U1123" s="4">
        <v>87</v>
      </c>
      <c r="V1123" s="64">
        <f>IF(ISERROR(VLOOKUP($S$1123,'TAR FIN'!$A$1:$O$92,15,0)),0,VLOOKUP($S$1123,'TAR FIN'!$A$1:$O$92,15,0))</f>
        <v>0</v>
      </c>
      <c r="W1123" s="64">
        <f>IF(ISERROR(VLOOKUP($T$1123,'TAR FIN'!$A$1:$O$92,15,0)),0,VLOOKUP($T$1123,'TAR FIN'!$A$1:$O$92,15,0))*(1-0.06)</f>
        <v>292.60319999999996</v>
      </c>
      <c r="X1123" s="64">
        <f>IF(ISERROR(VLOOKUP($U$1123,'TAR FIN'!$A$1:$O$92,15,0)),0,VLOOKUP($U$1123,'TAR FIN'!$A$1:$O$92,15,0))*(1-0.06)</f>
        <v>252.75659999999996</v>
      </c>
      <c r="Y1123" s="64"/>
      <c r="Z1123" s="64">
        <f ca="1">('TUSD BE'!$AM$48+'TUSD BF'!$AM$48+'TUSD CVA'!$AM$48)*1*(1-0.03)</f>
        <v>386.98535856013081</v>
      </c>
      <c r="AA1123" s="64">
        <f>('TE BE'!$AB$39+'TE BF'!$AB$39+'TE CVA'!$AB$39)*1*(1-0.03)</f>
        <v>326.09024399030028</v>
      </c>
      <c r="AB1123" s="4">
        <f>$K$1123*$V$1123</f>
        <v>0</v>
      </c>
      <c r="AC1123" s="4">
        <f>$M$1123*$W$1123</f>
        <v>-1198.2101039999998</v>
      </c>
      <c r="AD1123" s="4">
        <f>$O$1123*$X$1123</f>
        <v>-1035.0382769999999</v>
      </c>
      <c r="AE1123" s="4">
        <f>$K$1123*$Y$1123</f>
        <v>0</v>
      </c>
      <c r="AF1123" s="4">
        <f ca="1">$M$1123*$Z$1123</f>
        <v>-1584.7050433037355</v>
      </c>
      <c r="AG1123" s="4">
        <f>$O$1123*$AA$1123</f>
        <v>-1335.3395491402796</v>
      </c>
    </row>
    <row r="1124" spans="1:33" ht="11.25" customHeight="1" x14ac:dyDescent="0.25">
      <c r="A1124" s="3" t="s">
        <v>21</v>
      </c>
      <c r="B1124" s="3" t="s">
        <v>37</v>
      </c>
      <c r="C1124" s="3" t="s">
        <v>23</v>
      </c>
      <c r="D1124" s="3" t="s">
        <v>49</v>
      </c>
      <c r="E1124" s="3" t="s">
        <v>50</v>
      </c>
      <c r="F1124" s="3" t="s">
        <v>25</v>
      </c>
      <c r="G1124" s="3" t="s">
        <v>25</v>
      </c>
      <c r="H1124" s="3" t="s">
        <v>25</v>
      </c>
      <c r="I1124" s="6">
        <v>44743</v>
      </c>
      <c r="J1124" s="4">
        <v>0</v>
      </c>
      <c r="K1124" s="64">
        <v>0</v>
      </c>
      <c r="L1124" s="4">
        <v>772.72500000000002</v>
      </c>
      <c r="M1124" s="64">
        <v>772.72500000000002</v>
      </c>
      <c r="N1124" s="4">
        <v>772.72500000000002</v>
      </c>
      <c r="O1124" s="64">
        <v>772.72500000000002</v>
      </c>
      <c r="P1124" s="4">
        <v>293</v>
      </c>
      <c r="Q1124" s="3" t="s">
        <v>26</v>
      </c>
      <c r="R1124" s="3">
        <v>0</v>
      </c>
      <c r="S1124" s="4">
        <v>0</v>
      </c>
      <c r="T1124" s="4">
        <v>33</v>
      </c>
      <c r="U1124" s="4">
        <v>87</v>
      </c>
      <c r="V1124" s="64">
        <f>IF(ISERROR(VLOOKUP($S$1124,'TAR FIN'!$A$1:$O$92,15,0)),0,VLOOKUP($S$1124,'TAR FIN'!$A$1:$O$92,15,0))</f>
        <v>0</v>
      </c>
      <c r="W1124" s="64">
        <f>IF(ISERROR(VLOOKUP($T$1124,'TAR FIN'!$A$1:$O$92,15,0)),0,VLOOKUP($T$1124,'TAR FIN'!$A$1:$O$92,15,0))*(1-0.06)</f>
        <v>292.60319999999996</v>
      </c>
      <c r="X1124" s="64">
        <f>IF(ISERROR(VLOOKUP($U$1124,'TAR FIN'!$A$1:$O$92,15,0)),0,VLOOKUP($U$1124,'TAR FIN'!$A$1:$O$92,15,0))*(1-0.06)</f>
        <v>252.75659999999996</v>
      </c>
      <c r="Y1124" s="64"/>
      <c r="Z1124" s="64">
        <f ca="1">('TUSD BE'!$AM$48+'TUSD BF'!$AM$48+'TUSD CVA'!$AM$48)*1*(1-0.03)</f>
        <v>386.98535856013081</v>
      </c>
      <c r="AA1124" s="64">
        <f>('TE BE'!$AB$39+'TE BF'!$AB$39+'TE CVA'!$AB$39)*1*(1-0.03)</f>
        <v>326.09024399030028</v>
      </c>
      <c r="AB1124" s="4">
        <f>$K$1124*$V$1124</f>
        <v>0</v>
      </c>
      <c r="AC1124" s="4">
        <f>$M$1124*$W$1124</f>
        <v>226101.80771999998</v>
      </c>
      <c r="AD1124" s="4">
        <f>$O$1124*$X$1124</f>
        <v>195311.34373499997</v>
      </c>
      <c r="AE1124" s="4">
        <f>$K$1124*$Y$1124</f>
        <v>0</v>
      </c>
      <c r="AF1124" s="4">
        <f ca="1">$M$1124*$Z$1124</f>
        <v>299033.26119337708</v>
      </c>
      <c r="AG1124" s="4">
        <f>$O$1124*$AA$1124</f>
        <v>251978.08378740479</v>
      </c>
    </row>
    <row r="1125" spans="1:33" ht="11.25" customHeight="1" x14ac:dyDescent="0.25">
      <c r="A1125" s="3" t="s">
        <v>27</v>
      </c>
      <c r="B1125" s="3" t="s">
        <v>37</v>
      </c>
      <c r="C1125" s="3" t="s">
        <v>23</v>
      </c>
      <c r="D1125" s="3" t="s">
        <v>49</v>
      </c>
      <c r="E1125" s="3" t="s">
        <v>50</v>
      </c>
      <c r="F1125" s="3" t="s">
        <v>25</v>
      </c>
      <c r="G1125" s="3" t="s">
        <v>25</v>
      </c>
      <c r="H1125" s="3" t="s">
        <v>25</v>
      </c>
      <c r="I1125" s="6">
        <v>44743</v>
      </c>
      <c r="J1125" s="4">
        <v>0</v>
      </c>
      <c r="K1125" s="64">
        <v>0</v>
      </c>
      <c r="L1125" s="4">
        <v>4.7789999999999999</v>
      </c>
      <c r="M1125" s="64">
        <v>4.7789999999999999</v>
      </c>
      <c r="N1125" s="4">
        <v>4.7789999999999999</v>
      </c>
      <c r="O1125" s="64">
        <v>4.7789999999999999</v>
      </c>
      <c r="P1125" s="4">
        <v>3</v>
      </c>
      <c r="Q1125" s="3" t="s">
        <v>26</v>
      </c>
      <c r="R1125" s="3">
        <v>0</v>
      </c>
      <c r="S1125" s="4">
        <v>0</v>
      </c>
      <c r="T1125" s="4">
        <v>33</v>
      </c>
      <c r="U1125" s="4">
        <v>87</v>
      </c>
      <c r="V1125" s="64">
        <f>IF(ISERROR(VLOOKUP($S$1125,'TAR FIN'!$A$1:$O$92,15,0)),0,VLOOKUP($S$1125,'TAR FIN'!$A$1:$O$92,15,0))</f>
        <v>0</v>
      </c>
      <c r="W1125" s="64">
        <f>IF(ISERROR(VLOOKUP($T$1125,'TAR FIN'!$A$1:$O$92,15,0)),0,VLOOKUP($T$1125,'TAR FIN'!$A$1:$O$92,15,0))*(1-0.06)</f>
        <v>292.60319999999996</v>
      </c>
      <c r="X1125" s="64">
        <f>IF(ISERROR(VLOOKUP($U$1125,'TAR FIN'!$A$1:$O$92,15,0)),0,VLOOKUP($U$1125,'TAR FIN'!$A$1:$O$92,15,0))*(1-0.06)</f>
        <v>252.75659999999996</v>
      </c>
      <c r="Y1125" s="64"/>
      <c r="Z1125" s="64">
        <f ca="1">('TUSD BE'!$AM$48+'TUSD BF'!$AM$48+'TUSD CVA'!$AM$48)*1*(1-0.03)</f>
        <v>386.98535856013081</v>
      </c>
      <c r="AA1125" s="64">
        <f>('TE BE'!$AB$39+'TE BF'!$AB$39+'TE CVA'!$AB$39)*1*(1-0.03)</f>
        <v>326.09024399030028</v>
      </c>
      <c r="AB1125" s="4">
        <f>$K$1125*$V$1125</f>
        <v>0</v>
      </c>
      <c r="AC1125" s="4">
        <f>$M$1125*$W$1125</f>
        <v>1398.3506927999997</v>
      </c>
      <c r="AD1125" s="4">
        <f>$O$1125*$X$1125</f>
        <v>1207.9237913999998</v>
      </c>
      <c r="AE1125" s="4">
        <f>$K$1125*$Y$1125</f>
        <v>0</v>
      </c>
      <c r="AF1125" s="4">
        <f ca="1">$M$1125*$Z$1125</f>
        <v>1849.4030285588651</v>
      </c>
      <c r="AG1125" s="4">
        <f>$O$1125*$AA$1125</f>
        <v>1558.385276029645</v>
      </c>
    </row>
    <row r="1126" spans="1:33" ht="11.25" customHeight="1" x14ac:dyDescent="0.25">
      <c r="A1126" s="3" t="s">
        <v>21</v>
      </c>
      <c r="B1126" s="3" t="s">
        <v>37</v>
      </c>
      <c r="C1126" s="3" t="s">
        <v>23</v>
      </c>
      <c r="D1126" s="3" t="s">
        <v>49</v>
      </c>
      <c r="E1126" s="3" t="s">
        <v>50</v>
      </c>
      <c r="F1126" s="3" t="s">
        <v>25</v>
      </c>
      <c r="G1126" s="3" t="s">
        <v>25</v>
      </c>
      <c r="H1126" s="3" t="s">
        <v>25</v>
      </c>
      <c r="I1126" s="6">
        <v>44774</v>
      </c>
      <c r="J1126" s="4">
        <v>0</v>
      </c>
      <c r="K1126" s="64">
        <v>0</v>
      </c>
      <c r="L1126" s="4">
        <v>860.15499999999997</v>
      </c>
      <c r="M1126" s="64">
        <v>860.15499999999997</v>
      </c>
      <c r="N1126" s="4">
        <v>860.15499999999997</v>
      </c>
      <c r="O1126" s="64">
        <v>860.15499999999997</v>
      </c>
      <c r="P1126" s="4">
        <v>297</v>
      </c>
      <c r="Q1126" s="3" t="s">
        <v>26</v>
      </c>
      <c r="R1126" s="3">
        <v>0</v>
      </c>
      <c r="S1126" s="4">
        <v>0</v>
      </c>
      <c r="T1126" s="4">
        <v>33</v>
      </c>
      <c r="U1126" s="4">
        <v>87</v>
      </c>
      <c r="V1126" s="64">
        <f>IF(ISERROR(VLOOKUP($S$1126,'TAR FIN'!$A$1:$O$92,15,0)),0,VLOOKUP($S$1126,'TAR FIN'!$A$1:$O$92,15,0))</f>
        <v>0</v>
      </c>
      <c r="W1126" s="64">
        <f>IF(ISERROR(VLOOKUP($T$1126,'TAR FIN'!$A$1:$O$92,15,0)),0,VLOOKUP($T$1126,'TAR FIN'!$A$1:$O$92,15,0))*(1-0.06)</f>
        <v>292.60319999999996</v>
      </c>
      <c r="X1126" s="64">
        <f>IF(ISERROR(VLOOKUP($U$1126,'TAR FIN'!$A$1:$O$92,15,0)),0,VLOOKUP($U$1126,'TAR FIN'!$A$1:$O$92,15,0))*(1-0.06)</f>
        <v>252.75659999999996</v>
      </c>
      <c r="Y1126" s="64"/>
      <c r="Z1126" s="64">
        <f ca="1">('TUSD BE'!$AM$48+'TUSD BF'!$AM$48+'TUSD CVA'!$AM$48)*1*(1-0.03)</f>
        <v>386.98535856013081</v>
      </c>
      <c r="AA1126" s="64">
        <f>('TE BE'!$AB$39+'TE BF'!$AB$39+'TE CVA'!$AB$39)*1*(1-0.03)</f>
        <v>326.09024399030028</v>
      </c>
      <c r="AB1126" s="4">
        <f>$K$1126*$V$1126</f>
        <v>0</v>
      </c>
      <c r="AC1126" s="4">
        <f>$M$1126*$W$1126</f>
        <v>251684.10549599995</v>
      </c>
      <c r="AD1126" s="4">
        <f>$O$1126*$X$1126</f>
        <v>217409.85327299996</v>
      </c>
      <c r="AE1126" s="4">
        <f>$K$1126*$Y$1126</f>
        <v>0</v>
      </c>
      <c r="AF1126" s="4">
        <f ca="1">$M$1126*$Z$1126</f>
        <v>332867.3910922893</v>
      </c>
      <c r="AG1126" s="4">
        <f>$O$1126*$AA$1126</f>
        <v>280488.15381947672</v>
      </c>
    </row>
    <row r="1127" spans="1:33" ht="11.25" customHeight="1" x14ac:dyDescent="0.25">
      <c r="A1127" s="3" t="s">
        <v>27</v>
      </c>
      <c r="B1127" s="3" t="s">
        <v>37</v>
      </c>
      <c r="C1127" s="3" t="s">
        <v>23</v>
      </c>
      <c r="D1127" s="3" t="s">
        <v>49</v>
      </c>
      <c r="E1127" s="3" t="s">
        <v>50</v>
      </c>
      <c r="F1127" s="3" t="s">
        <v>25</v>
      </c>
      <c r="G1127" s="3" t="s">
        <v>25</v>
      </c>
      <c r="H1127" s="3" t="s">
        <v>25</v>
      </c>
      <c r="I1127" s="6">
        <v>44774</v>
      </c>
      <c r="J1127" s="4">
        <v>0</v>
      </c>
      <c r="K1127" s="64">
        <v>0</v>
      </c>
      <c r="L1127" s="4">
        <v>4.7990000000000004</v>
      </c>
      <c r="M1127" s="64">
        <v>4.7990000000000004</v>
      </c>
      <c r="N1127" s="4">
        <v>4.7990000000000004</v>
      </c>
      <c r="O1127" s="64">
        <v>4.7990000000000004</v>
      </c>
      <c r="P1127" s="4">
        <v>3</v>
      </c>
      <c r="Q1127" s="3" t="s">
        <v>26</v>
      </c>
      <c r="R1127" s="3">
        <v>0</v>
      </c>
      <c r="S1127" s="4">
        <v>0</v>
      </c>
      <c r="T1127" s="4">
        <v>33</v>
      </c>
      <c r="U1127" s="4">
        <v>87</v>
      </c>
      <c r="V1127" s="64">
        <f>IF(ISERROR(VLOOKUP($S$1127,'TAR FIN'!$A$1:$O$92,15,0)),0,VLOOKUP($S$1127,'TAR FIN'!$A$1:$O$92,15,0))</f>
        <v>0</v>
      </c>
      <c r="W1127" s="64">
        <f>IF(ISERROR(VLOOKUP($T$1127,'TAR FIN'!$A$1:$O$92,15,0)),0,VLOOKUP($T$1127,'TAR FIN'!$A$1:$O$92,15,0))*(1-0.06)</f>
        <v>292.60319999999996</v>
      </c>
      <c r="X1127" s="64">
        <f>IF(ISERROR(VLOOKUP($U$1127,'TAR FIN'!$A$1:$O$92,15,0)),0,VLOOKUP($U$1127,'TAR FIN'!$A$1:$O$92,15,0))*(1-0.06)</f>
        <v>252.75659999999996</v>
      </c>
      <c r="Y1127" s="64"/>
      <c r="Z1127" s="64">
        <f ca="1">('TUSD BE'!$AM$48+'TUSD BF'!$AM$48+'TUSD CVA'!$AM$48)*1*(1-0.03)</f>
        <v>386.98535856013081</v>
      </c>
      <c r="AA1127" s="64">
        <f>('TE BE'!$AB$39+'TE BF'!$AB$39+'TE CVA'!$AB$39)*1*(1-0.03)</f>
        <v>326.09024399030028</v>
      </c>
      <c r="AB1127" s="4">
        <f>$K$1127*$V$1127</f>
        <v>0</v>
      </c>
      <c r="AC1127" s="4">
        <f>$M$1127*$W$1127</f>
        <v>1404.2027567999999</v>
      </c>
      <c r="AD1127" s="4">
        <f>$O$1127*$X$1127</f>
        <v>1212.9789234</v>
      </c>
      <c r="AE1127" s="4">
        <f>$K$1127*$Y$1127</f>
        <v>0</v>
      </c>
      <c r="AF1127" s="4">
        <f ca="1">$M$1127*$Z$1127</f>
        <v>1857.1427357300679</v>
      </c>
      <c r="AG1127" s="4">
        <f>$O$1127*$AA$1127</f>
        <v>1564.9070809094512</v>
      </c>
    </row>
    <row r="1128" spans="1:33" ht="11.25" customHeight="1" x14ac:dyDescent="0.25">
      <c r="A1128" s="3" t="s">
        <v>21</v>
      </c>
      <c r="B1128" s="3" t="s">
        <v>37</v>
      </c>
      <c r="C1128" s="3" t="s">
        <v>23</v>
      </c>
      <c r="D1128" s="3" t="s">
        <v>49</v>
      </c>
      <c r="E1128" s="3" t="s">
        <v>50</v>
      </c>
      <c r="F1128" s="3" t="s">
        <v>25</v>
      </c>
      <c r="G1128" s="3" t="s">
        <v>25</v>
      </c>
      <c r="H1128" s="3" t="s">
        <v>25</v>
      </c>
      <c r="I1128" s="6">
        <v>44805</v>
      </c>
      <c r="J1128" s="4">
        <v>0</v>
      </c>
      <c r="K1128" s="64">
        <v>0</v>
      </c>
      <c r="L1128" s="4">
        <v>807.41300000000001</v>
      </c>
      <c r="M1128" s="64">
        <v>807.41300000000001</v>
      </c>
      <c r="N1128" s="4">
        <v>807.41300000000001</v>
      </c>
      <c r="O1128" s="64">
        <v>807.41300000000001</v>
      </c>
      <c r="P1128" s="4">
        <v>300</v>
      </c>
      <c r="Q1128" s="3" t="s">
        <v>26</v>
      </c>
      <c r="R1128" s="3">
        <v>0</v>
      </c>
      <c r="S1128" s="4">
        <v>0</v>
      </c>
      <c r="T1128" s="4">
        <v>33</v>
      </c>
      <c r="U1128" s="4">
        <v>87</v>
      </c>
      <c r="V1128" s="64">
        <f>IF(ISERROR(VLOOKUP($S$1128,'TAR FIN'!$A$1:$O$92,15,0)),0,VLOOKUP($S$1128,'TAR FIN'!$A$1:$O$92,15,0))</f>
        <v>0</v>
      </c>
      <c r="W1128" s="64">
        <f>IF(ISERROR(VLOOKUP($T$1128,'TAR FIN'!$A$1:$O$92,15,0)),0,VLOOKUP($T$1128,'TAR FIN'!$A$1:$O$92,15,0))*(1-0.06)</f>
        <v>292.60319999999996</v>
      </c>
      <c r="X1128" s="64">
        <f>IF(ISERROR(VLOOKUP($U$1128,'TAR FIN'!$A$1:$O$92,15,0)),0,VLOOKUP($U$1128,'TAR FIN'!$A$1:$O$92,15,0))*(1-0.06)</f>
        <v>252.75659999999996</v>
      </c>
      <c r="Y1128" s="64"/>
      <c r="Z1128" s="64">
        <f ca="1">('TUSD BE'!$AM$48+'TUSD BF'!$AM$48+'TUSD CVA'!$AM$48)*1*(1-0.03)</f>
        <v>386.98535856013081</v>
      </c>
      <c r="AA1128" s="64">
        <f>('TE BE'!$AB$39+'TE BF'!$AB$39+'TE CVA'!$AB$39)*1*(1-0.03)</f>
        <v>326.09024399030028</v>
      </c>
      <c r="AB1128" s="4">
        <f>$K$1128*$V$1128</f>
        <v>0</v>
      </c>
      <c r="AC1128" s="4">
        <f>$M$1128*$W$1128</f>
        <v>236251.62752159996</v>
      </c>
      <c r="AD1128" s="4">
        <f>$O$1128*$X$1128</f>
        <v>204078.96467579997</v>
      </c>
      <c r="AE1128" s="4">
        <f>$K$1128*$Y$1128</f>
        <v>0</v>
      </c>
      <c r="AF1128" s="4">
        <f ca="1">$M$1128*$Z$1128</f>
        <v>312457.00931111089</v>
      </c>
      <c r="AG1128" s="4">
        <f>$O$1128*$AA$1128</f>
        <v>263289.50217094034</v>
      </c>
    </row>
    <row r="1129" spans="1:33" ht="11.25" customHeight="1" x14ac:dyDescent="0.25">
      <c r="A1129" s="3" t="s">
        <v>27</v>
      </c>
      <c r="B1129" s="3" t="s">
        <v>37</v>
      </c>
      <c r="C1129" s="3" t="s">
        <v>23</v>
      </c>
      <c r="D1129" s="3" t="s">
        <v>49</v>
      </c>
      <c r="E1129" s="3" t="s">
        <v>50</v>
      </c>
      <c r="F1129" s="3" t="s">
        <v>25</v>
      </c>
      <c r="G1129" s="3" t="s">
        <v>25</v>
      </c>
      <c r="H1129" s="3" t="s">
        <v>25</v>
      </c>
      <c r="I1129" s="6">
        <v>44805</v>
      </c>
      <c r="J1129" s="4">
        <v>0</v>
      </c>
      <c r="K1129" s="64">
        <v>0</v>
      </c>
      <c r="L1129" s="4">
        <v>0.92600000000000005</v>
      </c>
      <c r="M1129" s="64">
        <v>0.92600000000000005</v>
      </c>
      <c r="N1129" s="4">
        <v>0.92600000000000005</v>
      </c>
      <c r="O1129" s="64">
        <v>0.92600000000000005</v>
      </c>
      <c r="P1129" s="4">
        <v>1</v>
      </c>
      <c r="Q1129" s="3" t="s">
        <v>26</v>
      </c>
      <c r="R1129" s="3">
        <v>0</v>
      </c>
      <c r="S1129" s="4">
        <v>0</v>
      </c>
      <c r="T1129" s="4">
        <v>33</v>
      </c>
      <c r="U1129" s="4">
        <v>87</v>
      </c>
      <c r="V1129" s="64">
        <f>IF(ISERROR(VLOOKUP($S$1129,'TAR FIN'!$A$1:$O$92,15,0)),0,VLOOKUP($S$1129,'TAR FIN'!$A$1:$O$92,15,0))</f>
        <v>0</v>
      </c>
      <c r="W1129" s="64">
        <f>IF(ISERROR(VLOOKUP($T$1129,'TAR FIN'!$A$1:$O$92,15,0)),0,VLOOKUP($T$1129,'TAR FIN'!$A$1:$O$92,15,0))*(1-0.06)</f>
        <v>292.60319999999996</v>
      </c>
      <c r="X1129" s="64">
        <f>IF(ISERROR(VLOOKUP($U$1129,'TAR FIN'!$A$1:$O$92,15,0)),0,VLOOKUP($U$1129,'TAR FIN'!$A$1:$O$92,15,0))*(1-0.06)</f>
        <v>252.75659999999996</v>
      </c>
      <c r="Y1129" s="64"/>
      <c r="Z1129" s="64">
        <f ca="1">('TUSD BE'!$AM$48+'TUSD BF'!$AM$48+'TUSD CVA'!$AM$48)*1*(1-0.03)</f>
        <v>386.98535856013081</v>
      </c>
      <c r="AA1129" s="64">
        <f>('TE BE'!$AB$39+'TE BF'!$AB$39+'TE CVA'!$AB$39)*1*(1-0.03)</f>
        <v>326.09024399030028</v>
      </c>
      <c r="AB1129" s="4">
        <f>$K$1129*$V$1129</f>
        <v>0</v>
      </c>
      <c r="AC1129" s="4">
        <f>$M$1129*$W$1129</f>
        <v>270.95056319999998</v>
      </c>
      <c r="AD1129" s="4">
        <f>$O$1129*$X$1129</f>
        <v>234.05261159999998</v>
      </c>
      <c r="AE1129" s="4">
        <f>$K$1129*$Y$1129</f>
        <v>0</v>
      </c>
      <c r="AF1129" s="4">
        <f ca="1">$M$1129*$Z$1129</f>
        <v>358.34844202668114</v>
      </c>
      <c r="AG1129" s="4">
        <f>$O$1129*$AA$1129</f>
        <v>301.95956593501808</v>
      </c>
    </row>
    <row r="1130" spans="1:33" ht="11.25" customHeight="1" x14ac:dyDescent="0.25">
      <c r="A1130" s="3" t="s">
        <v>55</v>
      </c>
      <c r="B1130" s="3" t="s">
        <v>37</v>
      </c>
      <c r="C1130" s="3" t="s">
        <v>23</v>
      </c>
      <c r="D1130" s="3" t="s">
        <v>49</v>
      </c>
      <c r="E1130" s="3" t="s">
        <v>50</v>
      </c>
      <c r="F1130" s="3" t="s">
        <v>25</v>
      </c>
      <c r="G1130" s="3" t="s">
        <v>25</v>
      </c>
      <c r="H1130" s="3" t="s">
        <v>25</v>
      </c>
      <c r="I1130" s="6">
        <v>44835</v>
      </c>
      <c r="J1130" s="4">
        <v>0</v>
      </c>
      <c r="K1130" s="64">
        <v>0</v>
      </c>
      <c r="L1130" s="4">
        <v>807.41300000000001</v>
      </c>
      <c r="M1130" s="64">
        <v>807.41300000000001</v>
      </c>
      <c r="N1130" s="4">
        <v>807.41300000000001</v>
      </c>
      <c r="O1130" s="64">
        <v>807.41300000000001</v>
      </c>
      <c r="P1130" s="4">
        <v>300</v>
      </c>
      <c r="Q1130" s="3" t="s">
        <v>26</v>
      </c>
      <c r="R1130" s="3">
        <v>0</v>
      </c>
      <c r="S1130" s="4">
        <v>0</v>
      </c>
      <c r="T1130" s="4">
        <v>33</v>
      </c>
      <c r="U1130" s="4">
        <v>87</v>
      </c>
      <c r="V1130" s="64">
        <f>IF(ISERROR(VLOOKUP($S$1130,'TAR FIN'!$A$1:$O$92,15,0)),0,VLOOKUP($S$1130,'TAR FIN'!$A$1:$O$92,15,0))</f>
        <v>0</v>
      </c>
      <c r="W1130" s="64">
        <f>IF(ISERROR(VLOOKUP($T$1130,'TAR FIN'!$A$1:$O$92,15,0)),0,VLOOKUP($T$1130,'TAR FIN'!$A$1:$O$92,15,0))*(1-0.06)</f>
        <v>292.60319999999996</v>
      </c>
      <c r="X1130" s="64">
        <f>IF(ISERROR(VLOOKUP($U$1130,'TAR FIN'!$A$1:$O$92,15,0)),0,VLOOKUP($U$1130,'TAR FIN'!$A$1:$O$92,15,0))*(1-0.06)</f>
        <v>252.75659999999996</v>
      </c>
      <c r="Y1130" s="64"/>
      <c r="Z1130" s="64">
        <f ca="1">('TUSD BE'!$AM$48+'TUSD BF'!$AM$48+'TUSD CVA'!$AM$48)*1*(1-0.03)</f>
        <v>386.98535856013081</v>
      </c>
      <c r="AA1130" s="64">
        <f>('TE BE'!$AB$39+'TE BF'!$AB$39+'TE CVA'!$AB$39)*1*(1-0.03)</f>
        <v>326.09024399030028</v>
      </c>
      <c r="AB1130" s="4">
        <f>$K$1130*$V$1130</f>
        <v>0</v>
      </c>
      <c r="AC1130" s="4">
        <f>$M$1130*$W$1130</f>
        <v>236251.62752159996</v>
      </c>
      <c r="AD1130" s="4">
        <f>$O$1130*$X$1130</f>
        <v>204078.96467579997</v>
      </c>
      <c r="AE1130" s="4">
        <f>$K$1130*$Y$1130</f>
        <v>0</v>
      </c>
      <c r="AF1130" s="4">
        <f ca="1">$M$1130*$Z$1130</f>
        <v>312457.00931111089</v>
      </c>
      <c r="AG1130" s="4">
        <f>$O$1130*$AA$1130</f>
        <v>263289.50217094034</v>
      </c>
    </row>
    <row r="1131" spans="1:33" ht="11.25" customHeight="1" x14ac:dyDescent="0.25">
      <c r="A1131" s="3" t="s">
        <v>55</v>
      </c>
      <c r="B1131" s="3" t="s">
        <v>37</v>
      </c>
      <c r="C1131" s="3" t="s">
        <v>23</v>
      </c>
      <c r="D1131" s="3" t="s">
        <v>49</v>
      </c>
      <c r="E1131" s="3" t="s">
        <v>50</v>
      </c>
      <c r="F1131" s="3" t="s">
        <v>25</v>
      </c>
      <c r="G1131" s="3" t="s">
        <v>25</v>
      </c>
      <c r="H1131" s="3" t="s">
        <v>25</v>
      </c>
      <c r="I1131" s="6">
        <v>44835</v>
      </c>
      <c r="J1131" s="4">
        <v>0</v>
      </c>
      <c r="K1131" s="64">
        <v>0</v>
      </c>
      <c r="L1131" s="4">
        <v>0.92600000000000005</v>
      </c>
      <c r="M1131" s="64">
        <v>0.92600000000000005</v>
      </c>
      <c r="N1131" s="4">
        <v>0.92600000000000005</v>
      </c>
      <c r="O1131" s="64">
        <v>0.92600000000000005</v>
      </c>
      <c r="P1131" s="4">
        <v>1</v>
      </c>
      <c r="Q1131" s="3" t="s">
        <v>26</v>
      </c>
      <c r="R1131" s="3">
        <v>0</v>
      </c>
      <c r="S1131" s="4">
        <v>0</v>
      </c>
      <c r="T1131" s="4">
        <v>33</v>
      </c>
      <c r="U1131" s="4">
        <v>87</v>
      </c>
      <c r="V1131" s="64">
        <f>IF(ISERROR(VLOOKUP($S$1131,'TAR FIN'!$A$1:$O$92,15,0)),0,VLOOKUP($S$1131,'TAR FIN'!$A$1:$O$92,15,0))</f>
        <v>0</v>
      </c>
      <c r="W1131" s="64">
        <f>IF(ISERROR(VLOOKUP($T$1131,'TAR FIN'!$A$1:$O$92,15,0)),0,VLOOKUP($T$1131,'TAR FIN'!$A$1:$O$92,15,0))*(1-0.06)</f>
        <v>292.60319999999996</v>
      </c>
      <c r="X1131" s="64">
        <f>IF(ISERROR(VLOOKUP($U$1131,'TAR FIN'!$A$1:$O$92,15,0)),0,VLOOKUP($U$1131,'TAR FIN'!$A$1:$O$92,15,0))*(1-0.06)</f>
        <v>252.75659999999996</v>
      </c>
      <c r="Y1131" s="64"/>
      <c r="Z1131" s="64">
        <f ca="1">('TUSD BE'!$AM$48+'TUSD BF'!$AM$48+'TUSD CVA'!$AM$48)*1*(1-0.03)</f>
        <v>386.98535856013081</v>
      </c>
      <c r="AA1131" s="64">
        <f>('TE BE'!$AB$39+'TE BF'!$AB$39+'TE CVA'!$AB$39)*1*(1-0.03)</f>
        <v>326.09024399030028</v>
      </c>
      <c r="AB1131" s="4">
        <f>$K$1131*$V$1131</f>
        <v>0</v>
      </c>
      <c r="AC1131" s="4">
        <f>$M$1131*$W$1131</f>
        <v>270.95056319999998</v>
      </c>
      <c r="AD1131" s="4">
        <f>$O$1131*$X$1131</f>
        <v>234.05261159999998</v>
      </c>
      <c r="AE1131" s="4">
        <f>$K$1131*$Y$1131</f>
        <v>0</v>
      </c>
      <c r="AF1131" s="4">
        <f ca="1">$M$1131*$Z$1131</f>
        <v>358.34844202668114</v>
      </c>
      <c r="AG1131" s="4">
        <f>$O$1131*$AA$1131</f>
        <v>301.95956593501808</v>
      </c>
    </row>
    <row r="1132" spans="1:33" ht="11.25" customHeight="1" x14ac:dyDescent="0.25">
      <c r="A1132" s="3" t="s">
        <v>21</v>
      </c>
      <c r="B1132" s="3" t="s">
        <v>46</v>
      </c>
      <c r="C1132" s="3" t="s">
        <v>23</v>
      </c>
      <c r="D1132" s="3" t="s">
        <v>47</v>
      </c>
      <c r="E1132" s="3" t="s">
        <v>48</v>
      </c>
      <c r="F1132" s="3" t="s">
        <v>25</v>
      </c>
      <c r="G1132" s="3" t="s">
        <v>25</v>
      </c>
      <c r="H1132" s="3" t="s">
        <v>25</v>
      </c>
      <c r="I1132" s="6">
        <v>44501</v>
      </c>
      <c r="J1132" s="4">
        <v>0</v>
      </c>
      <c r="K1132" s="4">
        <v>0</v>
      </c>
      <c r="L1132" s="4">
        <v>3233.0050000000001</v>
      </c>
      <c r="M1132" s="4">
        <v>3233.0050000000001</v>
      </c>
      <c r="N1132" s="4">
        <v>3233.0050000000001</v>
      </c>
      <c r="O1132" s="4">
        <v>3233.0050000000001</v>
      </c>
      <c r="P1132" s="4">
        <v>76</v>
      </c>
      <c r="Q1132" s="3" t="s">
        <v>26</v>
      </c>
      <c r="R1132" s="3">
        <v>0</v>
      </c>
      <c r="S1132" s="4">
        <v>0</v>
      </c>
      <c r="T1132" s="4">
        <v>58</v>
      </c>
      <c r="U1132" s="4">
        <v>86</v>
      </c>
      <c r="V1132" s="4">
        <f>IF(ISERROR(VLOOKUP($S$1132,'TAR FIN'!$A$1:$O$92,15,0)),0,VLOOKUP($S$1132,'TAR FIN'!$A$1:$O$92,15,0))</f>
        <v>0</v>
      </c>
      <c r="W1132" s="4">
        <f>IF(ISERROR(VLOOKUP($T$1132,'TAR FIN'!$A$1:$O$92,15,0)),0,VLOOKUP($T$1132,'TAR FIN'!$A$1:$O$92,15,0))</f>
        <v>171.21</v>
      </c>
      <c r="X1132" s="4">
        <f>IF(ISERROR(VLOOKUP($U$1132,'TAR FIN'!$A$1:$O$92,15,0)),0,VLOOKUP($U$1132,'TAR FIN'!$A$1:$O$92,15,0))</f>
        <v>147.88999999999999</v>
      </c>
      <c r="Y1132" s="4"/>
      <c r="Z1132" s="4">
        <f ca="1">('TUSD BE'!$AM$50+'TUSD BF'!$AM$50+'TUSD CVA'!$AM$50)*1</f>
        <v>219.42468784337316</v>
      </c>
      <c r="AA1132" s="4">
        <f>('TE BE'!$AB$41+'TE BF'!$AB$41+'TE CVA'!$AB$41)*1</f>
        <v>184.89653009759297</v>
      </c>
      <c r="AB1132" s="4">
        <f>$K$1132*$V$1132</f>
        <v>0</v>
      </c>
      <c r="AC1132" s="4">
        <f>$M$1132*$W$1132</f>
        <v>553522.78605</v>
      </c>
      <c r="AD1132" s="4">
        <f>$O$1132*$X$1132</f>
        <v>478129.10944999999</v>
      </c>
      <c r="AE1132" s="4">
        <f>$K$1132*$Y$1132</f>
        <v>0</v>
      </c>
      <c r="AF1132" s="4">
        <f ca="1">$M$1132*$Z$1132</f>
        <v>709401.11292106472</v>
      </c>
      <c r="AG1132" s="4">
        <f>$O$1132*$AA$1132</f>
        <v>597771.40628816863</v>
      </c>
    </row>
    <row r="1133" spans="1:33" ht="11.25" customHeight="1" x14ac:dyDescent="0.25">
      <c r="A1133" s="3" t="s">
        <v>28</v>
      </c>
      <c r="B1133" s="3" t="s">
        <v>46</v>
      </c>
      <c r="C1133" s="3" t="s">
        <v>23</v>
      </c>
      <c r="D1133" s="3" t="s">
        <v>47</v>
      </c>
      <c r="E1133" s="3" t="s">
        <v>48</v>
      </c>
      <c r="F1133" s="3" t="s">
        <v>25</v>
      </c>
      <c r="G1133" s="3" t="s">
        <v>25</v>
      </c>
      <c r="H1133" s="3" t="s">
        <v>25</v>
      </c>
      <c r="I1133" s="6">
        <v>44501</v>
      </c>
      <c r="J1133" s="4">
        <v>0</v>
      </c>
      <c r="K1133" s="4">
        <v>0</v>
      </c>
      <c r="L1133" s="4">
        <v>280.19799999999998</v>
      </c>
      <c r="M1133" s="4">
        <v>280.19799999999998</v>
      </c>
      <c r="N1133" s="4">
        <v>280.19799999999998</v>
      </c>
      <c r="O1133" s="4">
        <v>280.19799999999998</v>
      </c>
      <c r="P1133" s="4">
        <v>92</v>
      </c>
      <c r="Q1133" s="3" t="s">
        <v>26</v>
      </c>
      <c r="R1133" s="3">
        <v>0</v>
      </c>
      <c r="S1133" s="4">
        <v>0</v>
      </c>
      <c r="T1133" s="4">
        <v>58</v>
      </c>
      <c r="U1133" s="4">
        <v>86</v>
      </c>
      <c r="V1133" s="4">
        <f>IF(ISERROR(VLOOKUP($S$1133,'TAR FIN'!$A$1:$O$92,15,0)),0,VLOOKUP($S$1133,'TAR FIN'!$A$1:$O$92,15,0))</f>
        <v>0</v>
      </c>
      <c r="W1133" s="4">
        <f>IF(ISERROR(VLOOKUP($T$1133,'TAR FIN'!$A$1:$O$92,15,0)),0,VLOOKUP($T$1133,'TAR FIN'!$A$1:$O$92,15,0))</f>
        <v>171.21</v>
      </c>
      <c r="X1133" s="4">
        <f>IF(ISERROR(VLOOKUP($U$1133,'TAR FIN'!$A$1:$O$92,15,0)),0,VLOOKUP($U$1133,'TAR FIN'!$A$1:$O$92,15,0))</f>
        <v>147.88999999999999</v>
      </c>
      <c r="Y1133" s="4"/>
      <c r="Z1133" s="4">
        <f ca="1">('TUSD BE'!$AM$50+'TUSD BF'!$AM$50+'TUSD CVA'!$AM$50)*1</f>
        <v>219.42468784337316</v>
      </c>
      <c r="AA1133" s="4">
        <f>('TE BE'!$AB$41+'TE BF'!$AB$41+'TE CVA'!$AB$41)*1</f>
        <v>184.89653009759297</v>
      </c>
      <c r="AB1133" s="4">
        <f>$K$1133*$V$1133</f>
        <v>0</v>
      </c>
      <c r="AC1133" s="4">
        <f>$M$1133*$W$1133</f>
        <v>47972.69958</v>
      </c>
      <c r="AD1133" s="4">
        <f>$O$1133*$X$1133</f>
        <v>41438.482219999991</v>
      </c>
      <c r="AE1133" s="4">
        <f>$K$1133*$Y$1133</f>
        <v>0</v>
      </c>
      <c r="AF1133" s="4">
        <f ca="1">$M$1133*$Z$1133</f>
        <v>61482.358684337472</v>
      </c>
      <c r="AG1133" s="4">
        <f>$O$1133*$AA$1133</f>
        <v>51807.637940285349</v>
      </c>
    </row>
    <row r="1134" spans="1:33" ht="11.25" customHeight="1" x14ac:dyDescent="0.25">
      <c r="A1134" s="3" t="s">
        <v>21</v>
      </c>
      <c r="B1134" s="3" t="s">
        <v>46</v>
      </c>
      <c r="C1134" s="3" t="s">
        <v>23</v>
      </c>
      <c r="D1134" s="3" t="s">
        <v>47</v>
      </c>
      <c r="E1134" s="3" t="s">
        <v>48</v>
      </c>
      <c r="F1134" s="3" t="s">
        <v>25</v>
      </c>
      <c r="G1134" s="3" t="s">
        <v>25</v>
      </c>
      <c r="H1134" s="3" t="s">
        <v>25</v>
      </c>
      <c r="I1134" s="6">
        <v>44531</v>
      </c>
      <c r="J1134" s="4">
        <v>0</v>
      </c>
      <c r="K1134" s="4">
        <v>0</v>
      </c>
      <c r="L1134" s="4">
        <v>3371.1030000000001</v>
      </c>
      <c r="M1134" s="4">
        <v>3371.1030000000001</v>
      </c>
      <c r="N1134" s="4">
        <v>3371.1030000000001</v>
      </c>
      <c r="O1134" s="4">
        <v>3371.1030000000001</v>
      </c>
      <c r="P1134" s="4">
        <v>76</v>
      </c>
      <c r="Q1134" s="3" t="s">
        <v>26</v>
      </c>
      <c r="R1134" s="3">
        <v>0</v>
      </c>
      <c r="S1134" s="4">
        <v>0</v>
      </c>
      <c r="T1134" s="4">
        <v>58</v>
      </c>
      <c r="U1134" s="4">
        <v>86</v>
      </c>
      <c r="V1134" s="4">
        <f>IF(ISERROR(VLOOKUP($S$1134,'TAR FIN'!$A$1:$O$92,15,0)),0,VLOOKUP($S$1134,'TAR FIN'!$A$1:$O$92,15,0))</f>
        <v>0</v>
      </c>
      <c r="W1134" s="4">
        <f>IF(ISERROR(VLOOKUP($T$1134,'TAR FIN'!$A$1:$O$92,15,0)),0,VLOOKUP($T$1134,'TAR FIN'!$A$1:$O$92,15,0))</f>
        <v>171.21</v>
      </c>
      <c r="X1134" s="4">
        <f>IF(ISERROR(VLOOKUP($U$1134,'TAR FIN'!$A$1:$O$92,15,0)),0,VLOOKUP($U$1134,'TAR FIN'!$A$1:$O$92,15,0))</f>
        <v>147.88999999999999</v>
      </c>
      <c r="Y1134" s="4"/>
      <c r="Z1134" s="4">
        <f ca="1">('TUSD BE'!$AM$50+'TUSD BF'!$AM$50+'TUSD CVA'!$AM$50)*1</f>
        <v>219.42468784337316</v>
      </c>
      <c r="AA1134" s="4">
        <f>('TE BE'!$AB$41+'TE BF'!$AB$41+'TE CVA'!$AB$41)*1</f>
        <v>184.89653009759297</v>
      </c>
      <c r="AB1134" s="4">
        <f>$K$1134*$V$1134</f>
        <v>0</v>
      </c>
      <c r="AC1134" s="4">
        <f>$M$1134*$W$1134</f>
        <v>577166.54463000002</v>
      </c>
      <c r="AD1134" s="4">
        <f>$O$1134*$X$1134</f>
        <v>498552.42266999994</v>
      </c>
      <c r="AE1134" s="4">
        <f>$K$1134*$Y$1134</f>
        <v>0</v>
      </c>
      <c r="AF1134" s="4">
        <f ca="1">$M$1134*$Z$1134</f>
        <v>739703.22346285882</v>
      </c>
      <c r="AG1134" s="4">
        <f>$O$1134*$AA$1134</f>
        <v>623305.24730158597</v>
      </c>
    </row>
    <row r="1135" spans="1:33" ht="11.25" customHeight="1" x14ac:dyDescent="0.25">
      <c r="A1135" s="3" t="s">
        <v>28</v>
      </c>
      <c r="B1135" s="3" t="s">
        <v>46</v>
      </c>
      <c r="C1135" s="3" t="s">
        <v>23</v>
      </c>
      <c r="D1135" s="3" t="s">
        <v>47</v>
      </c>
      <c r="E1135" s="3" t="s">
        <v>48</v>
      </c>
      <c r="F1135" s="3" t="s">
        <v>25</v>
      </c>
      <c r="G1135" s="3" t="s">
        <v>25</v>
      </c>
      <c r="H1135" s="3" t="s">
        <v>25</v>
      </c>
      <c r="I1135" s="6">
        <v>44531</v>
      </c>
      <c r="J1135" s="4">
        <v>0</v>
      </c>
      <c r="K1135" s="4">
        <v>0</v>
      </c>
      <c r="L1135" s="4">
        <v>291.54000000000002</v>
      </c>
      <c r="M1135" s="4">
        <v>291.54000000000002</v>
      </c>
      <c r="N1135" s="4">
        <v>291.54000000000002</v>
      </c>
      <c r="O1135" s="4">
        <v>291.54000000000002</v>
      </c>
      <c r="P1135" s="4">
        <v>92</v>
      </c>
      <c r="Q1135" s="3" t="s">
        <v>26</v>
      </c>
      <c r="R1135" s="3">
        <v>0</v>
      </c>
      <c r="S1135" s="4">
        <v>0</v>
      </c>
      <c r="T1135" s="4">
        <v>58</v>
      </c>
      <c r="U1135" s="4">
        <v>86</v>
      </c>
      <c r="V1135" s="4">
        <f>IF(ISERROR(VLOOKUP($S$1135,'TAR FIN'!$A$1:$O$92,15,0)),0,VLOOKUP($S$1135,'TAR FIN'!$A$1:$O$92,15,0))</f>
        <v>0</v>
      </c>
      <c r="W1135" s="4">
        <f>IF(ISERROR(VLOOKUP($T$1135,'TAR FIN'!$A$1:$O$92,15,0)),0,VLOOKUP($T$1135,'TAR FIN'!$A$1:$O$92,15,0))</f>
        <v>171.21</v>
      </c>
      <c r="X1135" s="4">
        <f>IF(ISERROR(VLOOKUP($U$1135,'TAR FIN'!$A$1:$O$92,15,0)),0,VLOOKUP($U$1135,'TAR FIN'!$A$1:$O$92,15,0))</f>
        <v>147.88999999999999</v>
      </c>
      <c r="Y1135" s="4"/>
      <c r="Z1135" s="4">
        <f ca="1">('TUSD BE'!$AM$50+'TUSD BF'!$AM$50+'TUSD CVA'!$AM$50)*1</f>
        <v>219.42468784337316</v>
      </c>
      <c r="AA1135" s="4">
        <f>('TE BE'!$AB$41+'TE BF'!$AB$41+'TE CVA'!$AB$41)*1</f>
        <v>184.89653009759297</v>
      </c>
      <c r="AB1135" s="4">
        <f>$K$1135*$V$1135</f>
        <v>0</v>
      </c>
      <c r="AC1135" s="4">
        <f>$M$1135*$W$1135</f>
        <v>49914.563400000006</v>
      </c>
      <c r="AD1135" s="4">
        <f>$O$1135*$X$1135</f>
        <v>43115.850599999998</v>
      </c>
      <c r="AE1135" s="4">
        <f>$K$1135*$Y$1135</f>
        <v>0</v>
      </c>
      <c r="AF1135" s="4">
        <f ca="1">$M$1135*$Z$1135</f>
        <v>63971.073493857017</v>
      </c>
      <c r="AG1135" s="4">
        <f>$O$1135*$AA$1135</f>
        <v>53904.734384652256</v>
      </c>
    </row>
    <row r="1136" spans="1:33" ht="11.25" customHeight="1" x14ac:dyDescent="0.25">
      <c r="A1136" s="3" t="s">
        <v>21</v>
      </c>
      <c r="B1136" s="3" t="s">
        <v>46</v>
      </c>
      <c r="C1136" s="3" t="s">
        <v>23</v>
      </c>
      <c r="D1136" s="3" t="s">
        <v>47</v>
      </c>
      <c r="E1136" s="3" t="s">
        <v>48</v>
      </c>
      <c r="F1136" s="3" t="s">
        <v>25</v>
      </c>
      <c r="G1136" s="3" t="s">
        <v>25</v>
      </c>
      <c r="H1136" s="3" t="s">
        <v>25</v>
      </c>
      <c r="I1136" s="6">
        <v>44562</v>
      </c>
      <c r="J1136" s="4">
        <v>0</v>
      </c>
      <c r="K1136" s="4">
        <v>0</v>
      </c>
      <c r="L1136" s="4">
        <v>3335.0120000000002</v>
      </c>
      <c r="M1136" s="4">
        <v>3335.0120000000002</v>
      </c>
      <c r="N1136" s="4">
        <v>3335.0120000000002</v>
      </c>
      <c r="O1136" s="4">
        <v>3335.0120000000002</v>
      </c>
      <c r="P1136" s="4">
        <v>76</v>
      </c>
      <c r="Q1136" s="3" t="s">
        <v>26</v>
      </c>
      <c r="R1136" s="3">
        <v>0</v>
      </c>
      <c r="S1136" s="4">
        <v>0</v>
      </c>
      <c r="T1136" s="4">
        <v>58</v>
      </c>
      <c r="U1136" s="4">
        <v>86</v>
      </c>
      <c r="V1136" s="4">
        <f>IF(ISERROR(VLOOKUP($S$1136,'TAR FIN'!$A$1:$O$92,15,0)),0,VLOOKUP($S$1136,'TAR FIN'!$A$1:$O$92,15,0))</f>
        <v>0</v>
      </c>
      <c r="W1136" s="4">
        <f>IF(ISERROR(VLOOKUP($T$1136,'TAR FIN'!$A$1:$O$92,15,0)),0,VLOOKUP($T$1136,'TAR FIN'!$A$1:$O$92,15,0))</f>
        <v>171.21</v>
      </c>
      <c r="X1136" s="4">
        <f>IF(ISERROR(VLOOKUP($U$1136,'TAR FIN'!$A$1:$O$92,15,0)),0,VLOOKUP($U$1136,'TAR FIN'!$A$1:$O$92,15,0))</f>
        <v>147.88999999999999</v>
      </c>
      <c r="Y1136" s="4"/>
      <c r="Z1136" s="4">
        <f ca="1">('TUSD BE'!$AM$50+'TUSD BF'!$AM$50+'TUSD CVA'!$AM$50)*1</f>
        <v>219.42468784337316</v>
      </c>
      <c r="AA1136" s="4">
        <f>('TE BE'!$AB$41+'TE BF'!$AB$41+'TE CVA'!$AB$41)*1</f>
        <v>184.89653009759297</v>
      </c>
      <c r="AB1136" s="4">
        <f>$K$1136*$V$1136</f>
        <v>0</v>
      </c>
      <c r="AC1136" s="4">
        <f>$M$1136*$W$1136</f>
        <v>570987.4045200001</v>
      </c>
      <c r="AD1136" s="4">
        <f>$O$1136*$X$1136</f>
        <v>493214.92468</v>
      </c>
      <c r="AE1136" s="4">
        <f>$K$1136*$Y$1136</f>
        <v>0</v>
      </c>
      <c r="AF1136" s="4">
        <f ca="1">$M$1136*$Z$1136</f>
        <v>731783.96705390362</v>
      </c>
      <c r="AG1136" s="4">
        <f>$O$1136*$AA$1136</f>
        <v>616632.14663383376</v>
      </c>
    </row>
    <row r="1137" spans="1:33" ht="11.25" customHeight="1" x14ac:dyDescent="0.25">
      <c r="A1137" s="3" t="s">
        <v>28</v>
      </c>
      <c r="B1137" s="3" t="s">
        <v>46</v>
      </c>
      <c r="C1137" s="3" t="s">
        <v>23</v>
      </c>
      <c r="D1137" s="3" t="s">
        <v>47</v>
      </c>
      <c r="E1137" s="3" t="s">
        <v>48</v>
      </c>
      <c r="F1137" s="3" t="s">
        <v>25</v>
      </c>
      <c r="G1137" s="3" t="s">
        <v>25</v>
      </c>
      <c r="H1137" s="3" t="s">
        <v>25</v>
      </c>
      <c r="I1137" s="6">
        <v>44562</v>
      </c>
      <c r="J1137" s="4">
        <v>0</v>
      </c>
      <c r="K1137" s="4">
        <v>0</v>
      </c>
      <c r="L1137" s="4">
        <v>273.601</v>
      </c>
      <c r="M1137" s="4">
        <v>273.601</v>
      </c>
      <c r="N1137" s="4">
        <v>273.601</v>
      </c>
      <c r="O1137" s="4">
        <v>273.601</v>
      </c>
      <c r="P1137" s="4">
        <v>92</v>
      </c>
      <c r="Q1137" s="3" t="s">
        <v>26</v>
      </c>
      <c r="R1137" s="3">
        <v>0</v>
      </c>
      <c r="S1137" s="4">
        <v>0</v>
      </c>
      <c r="T1137" s="4">
        <v>58</v>
      </c>
      <c r="U1137" s="4">
        <v>86</v>
      </c>
      <c r="V1137" s="4">
        <f>IF(ISERROR(VLOOKUP($S$1137,'TAR FIN'!$A$1:$O$92,15,0)),0,VLOOKUP($S$1137,'TAR FIN'!$A$1:$O$92,15,0))</f>
        <v>0</v>
      </c>
      <c r="W1137" s="4">
        <f>IF(ISERROR(VLOOKUP($T$1137,'TAR FIN'!$A$1:$O$92,15,0)),0,VLOOKUP($T$1137,'TAR FIN'!$A$1:$O$92,15,0))</f>
        <v>171.21</v>
      </c>
      <c r="X1137" s="4">
        <f>IF(ISERROR(VLOOKUP($U$1137,'TAR FIN'!$A$1:$O$92,15,0)),0,VLOOKUP($U$1137,'TAR FIN'!$A$1:$O$92,15,0))</f>
        <v>147.88999999999999</v>
      </c>
      <c r="Y1137" s="4"/>
      <c r="Z1137" s="4">
        <f ca="1">('TUSD BE'!$AM$50+'TUSD BF'!$AM$50+'TUSD CVA'!$AM$50)*1</f>
        <v>219.42468784337316</v>
      </c>
      <c r="AA1137" s="4">
        <f>('TE BE'!$AB$41+'TE BF'!$AB$41+'TE CVA'!$AB$41)*1</f>
        <v>184.89653009759297</v>
      </c>
      <c r="AB1137" s="4">
        <f>$K$1137*$V$1137</f>
        <v>0</v>
      </c>
      <c r="AC1137" s="4">
        <f>$M$1137*$W$1137</f>
        <v>46843.227210000005</v>
      </c>
      <c r="AD1137" s="4">
        <f>$O$1137*$X$1137</f>
        <v>40462.851889999998</v>
      </c>
      <c r="AE1137" s="4">
        <f>$K$1137*$Y$1137</f>
        <v>0</v>
      </c>
      <c r="AF1137" s="4">
        <f ca="1">$M$1137*$Z$1137</f>
        <v>60034.814018634737</v>
      </c>
      <c r="AG1137" s="4">
        <f>$O$1137*$AA$1137</f>
        <v>50587.875531231533</v>
      </c>
    </row>
    <row r="1138" spans="1:33" ht="11.25" customHeight="1" x14ac:dyDescent="0.25">
      <c r="A1138" s="3" t="s">
        <v>21</v>
      </c>
      <c r="B1138" s="3" t="s">
        <v>46</v>
      </c>
      <c r="C1138" s="3" t="s">
        <v>23</v>
      </c>
      <c r="D1138" s="3" t="s">
        <v>47</v>
      </c>
      <c r="E1138" s="3" t="s">
        <v>48</v>
      </c>
      <c r="F1138" s="3" t="s">
        <v>25</v>
      </c>
      <c r="G1138" s="3" t="s">
        <v>25</v>
      </c>
      <c r="H1138" s="3" t="s">
        <v>25</v>
      </c>
      <c r="I1138" s="6">
        <v>44593</v>
      </c>
      <c r="J1138" s="4">
        <v>0</v>
      </c>
      <c r="K1138" s="4">
        <v>0</v>
      </c>
      <c r="L1138" s="4">
        <v>2936.7840000000001</v>
      </c>
      <c r="M1138" s="4">
        <v>2936.7840000000001</v>
      </c>
      <c r="N1138" s="4">
        <v>2936.7840000000001</v>
      </c>
      <c r="O1138" s="4">
        <v>2936.7840000000001</v>
      </c>
      <c r="P1138" s="4">
        <v>76</v>
      </c>
      <c r="Q1138" s="3" t="s">
        <v>26</v>
      </c>
      <c r="R1138" s="3">
        <v>0</v>
      </c>
      <c r="S1138" s="4">
        <v>0</v>
      </c>
      <c r="T1138" s="4">
        <v>58</v>
      </c>
      <c r="U1138" s="4">
        <v>86</v>
      </c>
      <c r="V1138" s="4">
        <f>IF(ISERROR(VLOOKUP($S$1138,'TAR FIN'!$A$1:$O$92,15,0)),0,VLOOKUP($S$1138,'TAR FIN'!$A$1:$O$92,15,0))</f>
        <v>0</v>
      </c>
      <c r="W1138" s="4">
        <f>IF(ISERROR(VLOOKUP($T$1138,'TAR FIN'!$A$1:$O$92,15,0)),0,VLOOKUP($T$1138,'TAR FIN'!$A$1:$O$92,15,0))</f>
        <v>171.21</v>
      </c>
      <c r="X1138" s="4">
        <f>IF(ISERROR(VLOOKUP($U$1138,'TAR FIN'!$A$1:$O$92,15,0)),0,VLOOKUP($U$1138,'TAR FIN'!$A$1:$O$92,15,0))</f>
        <v>147.88999999999999</v>
      </c>
      <c r="Y1138" s="4"/>
      <c r="Z1138" s="4">
        <f ca="1">('TUSD BE'!$AM$50+'TUSD BF'!$AM$50+'TUSD CVA'!$AM$50)*1</f>
        <v>219.42468784337316</v>
      </c>
      <c r="AA1138" s="4">
        <f>('TE BE'!$AB$41+'TE BF'!$AB$41+'TE CVA'!$AB$41)*1</f>
        <v>184.89653009759297</v>
      </c>
      <c r="AB1138" s="4">
        <f>$K$1138*$V$1138</f>
        <v>0</v>
      </c>
      <c r="AC1138" s="4">
        <f>$M$1138*$W$1138</f>
        <v>502806.78864000004</v>
      </c>
      <c r="AD1138" s="4">
        <f>$O$1138*$X$1138</f>
        <v>434320.98575999995</v>
      </c>
      <c r="AE1138" s="4">
        <f>$K$1138*$Y$1138</f>
        <v>0</v>
      </c>
      <c r="AF1138" s="4">
        <f ca="1">$M$1138*$Z$1138</f>
        <v>644402.91246341285</v>
      </c>
      <c r="AG1138" s="4">
        <f>$O$1138*$AA$1138</f>
        <v>543001.17124612955</v>
      </c>
    </row>
    <row r="1139" spans="1:33" ht="11.25" customHeight="1" x14ac:dyDescent="0.25">
      <c r="A1139" s="3" t="s">
        <v>28</v>
      </c>
      <c r="B1139" s="3" t="s">
        <v>46</v>
      </c>
      <c r="C1139" s="3" t="s">
        <v>23</v>
      </c>
      <c r="D1139" s="3" t="s">
        <v>47</v>
      </c>
      <c r="E1139" s="3" t="s">
        <v>48</v>
      </c>
      <c r="F1139" s="3" t="s">
        <v>25</v>
      </c>
      <c r="G1139" s="3" t="s">
        <v>25</v>
      </c>
      <c r="H1139" s="3" t="s">
        <v>25</v>
      </c>
      <c r="I1139" s="6">
        <v>44593</v>
      </c>
      <c r="J1139" s="4">
        <v>0</v>
      </c>
      <c r="K1139" s="4">
        <v>0</v>
      </c>
      <c r="L1139" s="4">
        <v>267.79599999999999</v>
      </c>
      <c r="M1139" s="4">
        <v>267.79599999999999</v>
      </c>
      <c r="N1139" s="4">
        <v>267.79599999999999</v>
      </c>
      <c r="O1139" s="4">
        <v>267.79599999999999</v>
      </c>
      <c r="P1139" s="4">
        <v>92</v>
      </c>
      <c r="Q1139" s="3" t="s">
        <v>26</v>
      </c>
      <c r="R1139" s="3">
        <v>0</v>
      </c>
      <c r="S1139" s="4">
        <v>0</v>
      </c>
      <c r="T1139" s="4">
        <v>58</v>
      </c>
      <c r="U1139" s="4">
        <v>86</v>
      </c>
      <c r="V1139" s="4">
        <f>IF(ISERROR(VLOOKUP($S$1139,'TAR FIN'!$A$1:$O$92,15,0)),0,VLOOKUP($S$1139,'TAR FIN'!$A$1:$O$92,15,0))</f>
        <v>0</v>
      </c>
      <c r="W1139" s="4">
        <f>IF(ISERROR(VLOOKUP($T$1139,'TAR FIN'!$A$1:$O$92,15,0)),0,VLOOKUP($T$1139,'TAR FIN'!$A$1:$O$92,15,0))</f>
        <v>171.21</v>
      </c>
      <c r="X1139" s="4">
        <f>IF(ISERROR(VLOOKUP($U$1139,'TAR FIN'!$A$1:$O$92,15,0)),0,VLOOKUP($U$1139,'TAR FIN'!$A$1:$O$92,15,0))</f>
        <v>147.88999999999999</v>
      </c>
      <c r="Y1139" s="4"/>
      <c r="Z1139" s="4">
        <f ca="1">('TUSD BE'!$AM$50+'TUSD BF'!$AM$50+'TUSD CVA'!$AM$50)*1</f>
        <v>219.42468784337316</v>
      </c>
      <c r="AA1139" s="4">
        <f>('TE BE'!$AB$41+'TE BF'!$AB$41+'TE CVA'!$AB$41)*1</f>
        <v>184.89653009759297</v>
      </c>
      <c r="AB1139" s="4">
        <f>$K$1139*$V$1139</f>
        <v>0</v>
      </c>
      <c r="AC1139" s="4">
        <f>$M$1139*$W$1139</f>
        <v>45849.353159999999</v>
      </c>
      <c r="AD1139" s="4">
        <f>$O$1139*$X$1139</f>
        <v>39604.350439999995</v>
      </c>
      <c r="AE1139" s="4">
        <f>$K$1139*$Y$1139</f>
        <v>0</v>
      </c>
      <c r="AF1139" s="4">
        <f ca="1">$M$1139*$Z$1139</f>
        <v>58761.053705703955</v>
      </c>
      <c r="AG1139" s="4">
        <f>$O$1139*$AA$1139</f>
        <v>49514.551174015003</v>
      </c>
    </row>
    <row r="1140" spans="1:33" ht="11.25" customHeight="1" x14ac:dyDescent="0.25">
      <c r="A1140" s="3" t="s">
        <v>21</v>
      </c>
      <c r="B1140" s="3" t="s">
        <v>46</v>
      </c>
      <c r="C1140" s="3" t="s">
        <v>23</v>
      </c>
      <c r="D1140" s="3" t="s">
        <v>47</v>
      </c>
      <c r="E1140" s="3" t="s">
        <v>48</v>
      </c>
      <c r="F1140" s="3" t="s">
        <v>25</v>
      </c>
      <c r="G1140" s="3" t="s">
        <v>25</v>
      </c>
      <c r="H1140" s="3" t="s">
        <v>25</v>
      </c>
      <c r="I1140" s="6">
        <v>44621</v>
      </c>
      <c r="J1140" s="4">
        <v>0</v>
      </c>
      <c r="K1140" s="4">
        <v>0</v>
      </c>
      <c r="L1140" s="4">
        <v>3251.8850000000002</v>
      </c>
      <c r="M1140" s="4">
        <v>3251.8850000000002</v>
      </c>
      <c r="N1140" s="4">
        <v>3251.8850000000002</v>
      </c>
      <c r="O1140" s="4">
        <v>3251.8850000000002</v>
      </c>
      <c r="P1140" s="4">
        <v>78</v>
      </c>
      <c r="Q1140" s="3" t="s">
        <v>26</v>
      </c>
      <c r="R1140" s="3">
        <v>0</v>
      </c>
      <c r="S1140" s="4">
        <v>0</v>
      </c>
      <c r="T1140" s="4">
        <v>58</v>
      </c>
      <c r="U1140" s="4">
        <v>86</v>
      </c>
      <c r="V1140" s="4">
        <f>IF(ISERROR(VLOOKUP($S$1140,'TAR FIN'!$A$1:$O$92,15,0)),0,VLOOKUP($S$1140,'TAR FIN'!$A$1:$O$92,15,0))</f>
        <v>0</v>
      </c>
      <c r="W1140" s="4">
        <f>IF(ISERROR(VLOOKUP($T$1140,'TAR FIN'!$A$1:$O$92,15,0)),0,VLOOKUP($T$1140,'TAR FIN'!$A$1:$O$92,15,0))</f>
        <v>171.21</v>
      </c>
      <c r="X1140" s="4">
        <f>IF(ISERROR(VLOOKUP($U$1140,'TAR FIN'!$A$1:$O$92,15,0)),0,VLOOKUP($U$1140,'TAR FIN'!$A$1:$O$92,15,0))</f>
        <v>147.88999999999999</v>
      </c>
      <c r="Y1140" s="4"/>
      <c r="Z1140" s="4">
        <f ca="1">('TUSD BE'!$AM$50+'TUSD BF'!$AM$50+'TUSD CVA'!$AM$50)*1</f>
        <v>219.42468784337316</v>
      </c>
      <c r="AA1140" s="4">
        <f>('TE BE'!$AB$41+'TE BF'!$AB$41+'TE CVA'!$AB$41)*1</f>
        <v>184.89653009759297</v>
      </c>
      <c r="AB1140" s="4">
        <f>$K$1140*$V$1140</f>
        <v>0</v>
      </c>
      <c r="AC1140" s="4">
        <f>$M$1140*$W$1140</f>
        <v>556755.23085000005</v>
      </c>
      <c r="AD1140" s="4">
        <f>$O$1140*$X$1140</f>
        <v>480921.27265</v>
      </c>
      <c r="AE1140" s="4">
        <f>$K$1140*$Y$1140</f>
        <v>0</v>
      </c>
      <c r="AF1140" s="4">
        <f ca="1">$M$1140*$Z$1140</f>
        <v>713543.85102754761</v>
      </c>
      <c r="AG1140" s="4">
        <f>$O$1140*$AA$1140</f>
        <v>601262.25277641113</v>
      </c>
    </row>
    <row r="1141" spans="1:33" ht="11.25" customHeight="1" x14ac:dyDescent="0.25">
      <c r="A1141" s="3" t="s">
        <v>28</v>
      </c>
      <c r="B1141" s="3" t="s">
        <v>46</v>
      </c>
      <c r="C1141" s="3" t="s">
        <v>23</v>
      </c>
      <c r="D1141" s="3" t="s">
        <v>47</v>
      </c>
      <c r="E1141" s="3" t="s">
        <v>48</v>
      </c>
      <c r="F1141" s="3" t="s">
        <v>25</v>
      </c>
      <c r="G1141" s="3" t="s">
        <v>25</v>
      </c>
      <c r="H1141" s="3" t="s">
        <v>25</v>
      </c>
      <c r="I1141" s="6">
        <v>44621</v>
      </c>
      <c r="J1141" s="4">
        <v>0</v>
      </c>
      <c r="K1141" s="4">
        <v>0</v>
      </c>
      <c r="L1141" s="4">
        <v>302.46800000000002</v>
      </c>
      <c r="M1141" s="4">
        <v>302.46800000000002</v>
      </c>
      <c r="N1141" s="4">
        <v>302.46800000000002</v>
      </c>
      <c r="O1141" s="4">
        <v>302.46800000000002</v>
      </c>
      <c r="P1141" s="4">
        <v>92</v>
      </c>
      <c r="Q1141" s="3" t="s">
        <v>26</v>
      </c>
      <c r="R1141" s="3">
        <v>0</v>
      </c>
      <c r="S1141" s="4">
        <v>0</v>
      </c>
      <c r="T1141" s="4">
        <v>58</v>
      </c>
      <c r="U1141" s="4">
        <v>86</v>
      </c>
      <c r="V1141" s="4">
        <f>IF(ISERROR(VLOOKUP($S$1141,'TAR FIN'!$A$1:$O$92,15,0)),0,VLOOKUP($S$1141,'TAR FIN'!$A$1:$O$92,15,0))</f>
        <v>0</v>
      </c>
      <c r="W1141" s="4">
        <f>IF(ISERROR(VLOOKUP($T$1141,'TAR FIN'!$A$1:$O$92,15,0)),0,VLOOKUP($T$1141,'TAR FIN'!$A$1:$O$92,15,0))</f>
        <v>171.21</v>
      </c>
      <c r="X1141" s="4">
        <f>IF(ISERROR(VLOOKUP($U$1141,'TAR FIN'!$A$1:$O$92,15,0)),0,VLOOKUP($U$1141,'TAR FIN'!$A$1:$O$92,15,0))</f>
        <v>147.88999999999999</v>
      </c>
      <c r="Y1141" s="4"/>
      <c r="Z1141" s="4">
        <f ca="1">('TUSD BE'!$AM$50+'TUSD BF'!$AM$50+'TUSD CVA'!$AM$50)*1</f>
        <v>219.42468784337316</v>
      </c>
      <c r="AA1141" s="4">
        <f>('TE BE'!$AB$41+'TE BF'!$AB$41+'TE CVA'!$AB$41)*1</f>
        <v>184.89653009759297</v>
      </c>
      <c r="AB1141" s="4">
        <f>$K$1141*$V$1141</f>
        <v>0</v>
      </c>
      <c r="AC1141" s="4">
        <f>$M$1141*$W$1141</f>
        <v>51785.546280000002</v>
      </c>
      <c r="AD1141" s="4">
        <f>$O$1141*$X$1141</f>
        <v>44731.99252</v>
      </c>
      <c r="AE1141" s="4">
        <f>$K$1141*$Y$1141</f>
        <v>0</v>
      </c>
      <c r="AF1141" s="4">
        <f ca="1">$M$1141*$Z$1141</f>
        <v>66368.946482609404</v>
      </c>
      <c r="AG1141" s="4">
        <f>$O$1141*$AA$1141</f>
        <v>55925.283665558753</v>
      </c>
    </row>
    <row r="1142" spans="1:33" ht="11.25" customHeight="1" x14ac:dyDescent="0.25">
      <c r="A1142" s="3" t="s">
        <v>21</v>
      </c>
      <c r="B1142" s="3" t="s">
        <v>46</v>
      </c>
      <c r="C1142" s="3" t="s">
        <v>23</v>
      </c>
      <c r="D1142" s="3" t="s">
        <v>47</v>
      </c>
      <c r="E1142" s="3" t="s">
        <v>48</v>
      </c>
      <c r="F1142" s="3" t="s">
        <v>25</v>
      </c>
      <c r="G1142" s="3" t="s">
        <v>25</v>
      </c>
      <c r="H1142" s="3" t="s">
        <v>25</v>
      </c>
      <c r="I1142" s="6">
        <v>44652</v>
      </c>
      <c r="J1142" s="4">
        <v>0</v>
      </c>
      <c r="K1142" s="4">
        <v>0</v>
      </c>
      <c r="L1142" s="4">
        <v>3251.8850000000002</v>
      </c>
      <c r="M1142" s="4">
        <v>3251.8850000000002</v>
      </c>
      <c r="N1142" s="4">
        <v>3251.8850000000002</v>
      </c>
      <c r="O1142" s="4">
        <v>3251.8850000000002</v>
      </c>
      <c r="P1142" s="4">
        <v>78</v>
      </c>
      <c r="Q1142" s="3" t="s">
        <v>26</v>
      </c>
      <c r="R1142" s="3">
        <v>0</v>
      </c>
      <c r="S1142" s="4">
        <v>0</v>
      </c>
      <c r="T1142" s="4">
        <v>58</v>
      </c>
      <c r="U1142" s="4">
        <v>86</v>
      </c>
      <c r="V1142" s="4">
        <f>IF(ISERROR(VLOOKUP($S$1142,'TAR FIN'!$A$1:$O$92,15,0)),0,VLOOKUP($S$1142,'TAR FIN'!$A$1:$O$92,15,0))</f>
        <v>0</v>
      </c>
      <c r="W1142" s="4">
        <f>IF(ISERROR(VLOOKUP($T$1142,'TAR FIN'!$A$1:$O$92,15,0)),0,VLOOKUP($T$1142,'TAR FIN'!$A$1:$O$92,15,0))</f>
        <v>171.21</v>
      </c>
      <c r="X1142" s="4">
        <f>IF(ISERROR(VLOOKUP($U$1142,'TAR FIN'!$A$1:$O$92,15,0)),0,VLOOKUP($U$1142,'TAR FIN'!$A$1:$O$92,15,0))</f>
        <v>147.88999999999999</v>
      </c>
      <c r="Y1142" s="4"/>
      <c r="Z1142" s="4">
        <f ca="1">('TUSD BE'!$AM$50+'TUSD BF'!$AM$50+'TUSD CVA'!$AM$50)*1</f>
        <v>219.42468784337316</v>
      </c>
      <c r="AA1142" s="4">
        <f>('TE BE'!$AB$41+'TE BF'!$AB$41+'TE CVA'!$AB$41)*1</f>
        <v>184.89653009759297</v>
      </c>
      <c r="AB1142" s="4">
        <f>$K$1142*$V$1142</f>
        <v>0</v>
      </c>
      <c r="AC1142" s="4">
        <f>$M$1142*$W$1142</f>
        <v>556755.23085000005</v>
      </c>
      <c r="AD1142" s="4">
        <f>$O$1142*$X$1142</f>
        <v>480921.27265</v>
      </c>
      <c r="AE1142" s="4">
        <f>$K$1142*$Y$1142</f>
        <v>0</v>
      </c>
      <c r="AF1142" s="4">
        <f ca="1">$M$1142*$Z$1142</f>
        <v>713543.85102754761</v>
      </c>
      <c r="AG1142" s="4">
        <f>$O$1142*$AA$1142</f>
        <v>601262.25277641113</v>
      </c>
    </row>
    <row r="1143" spans="1:33" ht="11.25" customHeight="1" x14ac:dyDescent="0.25">
      <c r="A1143" s="3" t="s">
        <v>28</v>
      </c>
      <c r="B1143" s="3" t="s">
        <v>46</v>
      </c>
      <c r="C1143" s="3" t="s">
        <v>23</v>
      </c>
      <c r="D1143" s="3" t="s">
        <v>47</v>
      </c>
      <c r="E1143" s="3" t="s">
        <v>48</v>
      </c>
      <c r="F1143" s="3" t="s">
        <v>25</v>
      </c>
      <c r="G1143" s="3" t="s">
        <v>25</v>
      </c>
      <c r="H1143" s="3" t="s">
        <v>25</v>
      </c>
      <c r="I1143" s="6">
        <v>44652</v>
      </c>
      <c r="J1143" s="4">
        <v>0</v>
      </c>
      <c r="K1143" s="4">
        <v>0</v>
      </c>
      <c r="L1143" s="4">
        <v>302.46800000000002</v>
      </c>
      <c r="M1143" s="4">
        <v>302.46800000000002</v>
      </c>
      <c r="N1143" s="4">
        <v>302.46800000000002</v>
      </c>
      <c r="O1143" s="4">
        <v>302.46800000000002</v>
      </c>
      <c r="P1143" s="4">
        <v>92</v>
      </c>
      <c r="Q1143" s="3" t="s">
        <v>26</v>
      </c>
      <c r="R1143" s="3">
        <v>0</v>
      </c>
      <c r="S1143" s="4">
        <v>0</v>
      </c>
      <c r="T1143" s="4">
        <v>58</v>
      </c>
      <c r="U1143" s="4">
        <v>86</v>
      </c>
      <c r="V1143" s="4">
        <f>IF(ISERROR(VLOOKUP($S$1143,'TAR FIN'!$A$1:$O$92,15,0)),0,VLOOKUP($S$1143,'TAR FIN'!$A$1:$O$92,15,0))</f>
        <v>0</v>
      </c>
      <c r="W1143" s="4">
        <f>IF(ISERROR(VLOOKUP($T$1143,'TAR FIN'!$A$1:$O$92,15,0)),0,VLOOKUP($T$1143,'TAR FIN'!$A$1:$O$92,15,0))</f>
        <v>171.21</v>
      </c>
      <c r="X1143" s="4">
        <f>IF(ISERROR(VLOOKUP($U$1143,'TAR FIN'!$A$1:$O$92,15,0)),0,VLOOKUP($U$1143,'TAR FIN'!$A$1:$O$92,15,0))</f>
        <v>147.88999999999999</v>
      </c>
      <c r="Y1143" s="4"/>
      <c r="Z1143" s="4">
        <f ca="1">('TUSD BE'!$AM$50+'TUSD BF'!$AM$50+'TUSD CVA'!$AM$50)*1</f>
        <v>219.42468784337316</v>
      </c>
      <c r="AA1143" s="4">
        <f>('TE BE'!$AB$41+'TE BF'!$AB$41+'TE CVA'!$AB$41)*1</f>
        <v>184.89653009759297</v>
      </c>
      <c r="AB1143" s="4">
        <f>$K$1143*$V$1143</f>
        <v>0</v>
      </c>
      <c r="AC1143" s="4">
        <f>$M$1143*$W$1143</f>
        <v>51785.546280000002</v>
      </c>
      <c r="AD1143" s="4">
        <f>$O$1143*$X$1143</f>
        <v>44731.99252</v>
      </c>
      <c r="AE1143" s="4">
        <f>$K$1143*$Y$1143</f>
        <v>0</v>
      </c>
      <c r="AF1143" s="4">
        <f ca="1">$M$1143*$Z$1143</f>
        <v>66368.946482609404</v>
      </c>
      <c r="AG1143" s="4">
        <f>$O$1143*$AA$1143</f>
        <v>55925.283665558753</v>
      </c>
    </row>
    <row r="1144" spans="1:33" ht="11.25" customHeight="1" x14ac:dyDescent="0.25">
      <c r="A1144" s="3" t="s">
        <v>21</v>
      </c>
      <c r="B1144" s="3" t="s">
        <v>46</v>
      </c>
      <c r="C1144" s="3" t="s">
        <v>23</v>
      </c>
      <c r="D1144" s="3" t="s">
        <v>47</v>
      </c>
      <c r="E1144" s="3" t="s">
        <v>48</v>
      </c>
      <c r="F1144" s="3" t="s">
        <v>25</v>
      </c>
      <c r="G1144" s="3" t="s">
        <v>25</v>
      </c>
      <c r="H1144" s="3" t="s">
        <v>25</v>
      </c>
      <c r="I1144" s="6">
        <v>44682</v>
      </c>
      <c r="J1144" s="4">
        <v>0</v>
      </c>
      <c r="K1144" s="4">
        <v>0</v>
      </c>
      <c r="L1144" s="4">
        <v>3242.1950000000002</v>
      </c>
      <c r="M1144" s="4">
        <v>3242.1950000000002</v>
      </c>
      <c r="N1144" s="4">
        <v>3242.1950000000002</v>
      </c>
      <c r="O1144" s="4">
        <v>3242.1950000000002</v>
      </c>
      <c r="P1144" s="4">
        <v>78</v>
      </c>
      <c r="Q1144" s="3" t="s">
        <v>26</v>
      </c>
      <c r="R1144" s="3">
        <v>0</v>
      </c>
      <c r="S1144" s="4">
        <v>0</v>
      </c>
      <c r="T1144" s="4">
        <v>58</v>
      </c>
      <c r="U1144" s="4">
        <v>86</v>
      </c>
      <c r="V1144" s="4">
        <f>IF(ISERROR(VLOOKUP($S$1144,'TAR FIN'!$A$1:$O$92,15,0)),0,VLOOKUP($S$1144,'TAR FIN'!$A$1:$O$92,15,0))</f>
        <v>0</v>
      </c>
      <c r="W1144" s="4">
        <f>IF(ISERROR(VLOOKUP($T$1144,'TAR FIN'!$A$1:$O$92,15,0)),0,VLOOKUP($T$1144,'TAR FIN'!$A$1:$O$92,15,0))</f>
        <v>171.21</v>
      </c>
      <c r="X1144" s="4">
        <f>IF(ISERROR(VLOOKUP($U$1144,'TAR FIN'!$A$1:$O$92,15,0)),0,VLOOKUP($U$1144,'TAR FIN'!$A$1:$O$92,15,0))</f>
        <v>147.88999999999999</v>
      </c>
      <c r="Y1144" s="4"/>
      <c r="Z1144" s="4">
        <f ca="1">('TUSD BE'!$AM$50+'TUSD BF'!$AM$50+'TUSD CVA'!$AM$50)*1</f>
        <v>219.42468784337316</v>
      </c>
      <c r="AA1144" s="4">
        <f>('TE BE'!$AB$41+'TE BF'!$AB$41+'TE CVA'!$AB$41)*1</f>
        <v>184.89653009759297</v>
      </c>
      <c r="AB1144" s="4">
        <f>$K$1144*$V$1144</f>
        <v>0</v>
      </c>
      <c r="AC1144" s="4">
        <f>$M$1144*$W$1144</f>
        <v>555096.20595000009</v>
      </c>
      <c r="AD1144" s="4">
        <f>$O$1144*$X$1144</f>
        <v>479488.21854999999</v>
      </c>
      <c r="AE1144" s="4">
        <f>$K$1144*$Y$1144</f>
        <v>0</v>
      </c>
      <c r="AF1144" s="4">
        <f ca="1">$M$1144*$Z$1144</f>
        <v>711417.62580234534</v>
      </c>
      <c r="AG1144" s="4">
        <f>$O$1144*$AA$1144</f>
        <v>599470.60539976542</v>
      </c>
    </row>
    <row r="1145" spans="1:33" ht="11.25" customHeight="1" x14ac:dyDescent="0.25">
      <c r="A1145" s="3" t="s">
        <v>28</v>
      </c>
      <c r="B1145" s="3" t="s">
        <v>46</v>
      </c>
      <c r="C1145" s="3" t="s">
        <v>23</v>
      </c>
      <c r="D1145" s="3" t="s">
        <v>47</v>
      </c>
      <c r="E1145" s="3" t="s">
        <v>48</v>
      </c>
      <c r="F1145" s="3" t="s">
        <v>25</v>
      </c>
      <c r="G1145" s="3" t="s">
        <v>25</v>
      </c>
      <c r="H1145" s="3" t="s">
        <v>25</v>
      </c>
      <c r="I1145" s="6">
        <v>44682</v>
      </c>
      <c r="J1145" s="4">
        <v>0</v>
      </c>
      <c r="K1145" s="4">
        <v>0</v>
      </c>
      <c r="L1145" s="4">
        <v>1157.3</v>
      </c>
      <c r="M1145" s="4">
        <v>1157.3</v>
      </c>
      <c r="N1145" s="4">
        <v>1157.3</v>
      </c>
      <c r="O1145" s="4">
        <v>1157.3</v>
      </c>
      <c r="P1145" s="4">
        <v>368</v>
      </c>
      <c r="Q1145" s="3" t="s">
        <v>26</v>
      </c>
      <c r="R1145" s="3">
        <v>0</v>
      </c>
      <c r="S1145" s="4">
        <v>0</v>
      </c>
      <c r="T1145" s="4">
        <v>58</v>
      </c>
      <c r="U1145" s="4">
        <v>86</v>
      </c>
      <c r="V1145" s="4">
        <f>IF(ISERROR(VLOOKUP($S$1145,'TAR FIN'!$A$1:$O$92,15,0)),0,VLOOKUP($S$1145,'TAR FIN'!$A$1:$O$92,15,0))</f>
        <v>0</v>
      </c>
      <c r="W1145" s="4">
        <f>IF(ISERROR(VLOOKUP($T$1145,'TAR FIN'!$A$1:$O$92,15,0)),0,VLOOKUP($T$1145,'TAR FIN'!$A$1:$O$92,15,0))</f>
        <v>171.21</v>
      </c>
      <c r="X1145" s="4">
        <f>IF(ISERROR(VLOOKUP($U$1145,'TAR FIN'!$A$1:$O$92,15,0)),0,VLOOKUP($U$1145,'TAR FIN'!$A$1:$O$92,15,0))</f>
        <v>147.88999999999999</v>
      </c>
      <c r="Y1145" s="4"/>
      <c r="Z1145" s="4">
        <f ca="1">('TUSD BE'!$AM$50+'TUSD BF'!$AM$50+'TUSD CVA'!$AM$50)*1</f>
        <v>219.42468784337316</v>
      </c>
      <c r="AA1145" s="4">
        <f>('TE BE'!$AB$41+'TE BF'!$AB$41+'TE CVA'!$AB$41)*1</f>
        <v>184.89653009759297</v>
      </c>
      <c r="AB1145" s="4">
        <f>$K$1145*$V$1145</f>
        <v>0</v>
      </c>
      <c r="AC1145" s="4">
        <f>$M$1145*$W$1145</f>
        <v>198141.33300000001</v>
      </c>
      <c r="AD1145" s="4">
        <f>$O$1145*$X$1145</f>
        <v>171153.09699999998</v>
      </c>
      <c r="AE1145" s="4">
        <f>$K$1145*$Y$1145</f>
        <v>0</v>
      </c>
      <c r="AF1145" s="4">
        <f ca="1">$M$1145*$Z$1145</f>
        <v>253940.19124113576</v>
      </c>
      <c r="AG1145" s="4">
        <f>$O$1145*$AA$1145</f>
        <v>213980.75428194433</v>
      </c>
    </row>
    <row r="1146" spans="1:33" ht="11.25" customHeight="1" x14ac:dyDescent="0.25">
      <c r="A1146" s="3" t="s">
        <v>21</v>
      </c>
      <c r="B1146" s="3" t="s">
        <v>46</v>
      </c>
      <c r="C1146" s="3" t="s">
        <v>23</v>
      </c>
      <c r="D1146" s="3" t="s">
        <v>47</v>
      </c>
      <c r="E1146" s="3" t="s">
        <v>48</v>
      </c>
      <c r="F1146" s="3" t="s">
        <v>25</v>
      </c>
      <c r="G1146" s="3" t="s">
        <v>25</v>
      </c>
      <c r="H1146" s="3" t="s">
        <v>25</v>
      </c>
      <c r="I1146" s="6">
        <v>44713</v>
      </c>
      <c r="J1146" s="4">
        <v>0</v>
      </c>
      <c r="K1146" s="4">
        <v>0</v>
      </c>
      <c r="L1146" s="4">
        <v>3145.337</v>
      </c>
      <c r="M1146" s="4">
        <v>3145.337</v>
      </c>
      <c r="N1146" s="4">
        <v>3145.337</v>
      </c>
      <c r="O1146" s="4">
        <v>3145.337</v>
      </c>
      <c r="P1146" s="4">
        <v>77</v>
      </c>
      <c r="Q1146" s="3" t="s">
        <v>26</v>
      </c>
      <c r="R1146" s="3">
        <v>0</v>
      </c>
      <c r="S1146" s="4">
        <v>0</v>
      </c>
      <c r="T1146" s="4">
        <v>58</v>
      </c>
      <c r="U1146" s="4">
        <v>86</v>
      </c>
      <c r="V1146" s="4">
        <f>IF(ISERROR(VLOOKUP($S$1146,'TAR FIN'!$A$1:$O$92,15,0)),0,VLOOKUP($S$1146,'TAR FIN'!$A$1:$O$92,15,0))</f>
        <v>0</v>
      </c>
      <c r="W1146" s="4">
        <f>IF(ISERROR(VLOOKUP($T$1146,'TAR FIN'!$A$1:$O$92,15,0)),0,VLOOKUP($T$1146,'TAR FIN'!$A$1:$O$92,15,0))</f>
        <v>171.21</v>
      </c>
      <c r="X1146" s="4">
        <f>IF(ISERROR(VLOOKUP($U$1146,'TAR FIN'!$A$1:$O$92,15,0)),0,VLOOKUP($U$1146,'TAR FIN'!$A$1:$O$92,15,0))</f>
        <v>147.88999999999999</v>
      </c>
      <c r="Y1146" s="4"/>
      <c r="Z1146" s="4">
        <f ca="1">('TUSD BE'!$AM$50+'TUSD BF'!$AM$50+'TUSD CVA'!$AM$50)*1</f>
        <v>219.42468784337316</v>
      </c>
      <c r="AA1146" s="4">
        <f>('TE BE'!$AB$41+'TE BF'!$AB$41+'TE CVA'!$AB$41)*1</f>
        <v>184.89653009759297</v>
      </c>
      <c r="AB1146" s="4">
        <f>$K$1146*$V$1146</f>
        <v>0</v>
      </c>
      <c r="AC1146" s="4">
        <f>$M$1146*$W$1146</f>
        <v>538513.14777000004</v>
      </c>
      <c r="AD1146" s="4">
        <f>$O$1146*$X$1146</f>
        <v>465163.88892999996</v>
      </c>
      <c r="AE1146" s="4">
        <f>$K$1146*$Y$1146</f>
        <v>0</v>
      </c>
      <c r="AF1146" s="4">
        <f ca="1">$M$1146*$Z$1146</f>
        <v>690164.58938721183</v>
      </c>
      <c r="AG1146" s="4">
        <f>$O$1146*$AA$1146</f>
        <v>581561.89728757273</v>
      </c>
    </row>
    <row r="1147" spans="1:33" ht="11.25" customHeight="1" x14ac:dyDescent="0.25">
      <c r="A1147" s="3" t="s">
        <v>27</v>
      </c>
      <c r="B1147" s="3" t="s">
        <v>46</v>
      </c>
      <c r="C1147" s="3" t="s">
        <v>23</v>
      </c>
      <c r="D1147" s="3" t="s">
        <v>47</v>
      </c>
      <c r="E1147" s="3" t="s">
        <v>48</v>
      </c>
      <c r="F1147" s="3" t="s">
        <v>25</v>
      </c>
      <c r="G1147" s="3" t="s">
        <v>25</v>
      </c>
      <c r="H1147" s="3" t="s">
        <v>25</v>
      </c>
      <c r="I1147" s="6">
        <v>44713</v>
      </c>
      <c r="J1147" s="4">
        <v>0</v>
      </c>
      <c r="K1147" s="4">
        <v>0</v>
      </c>
      <c r="L1147" s="4">
        <v>-411.89499999999998</v>
      </c>
      <c r="M1147" s="4">
        <v>-411.89499999999998</v>
      </c>
      <c r="N1147" s="4">
        <v>-411.89499999999998</v>
      </c>
      <c r="O1147" s="4">
        <v>-411.89499999999998</v>
      </c>
      <c r="P1147" s="4">
        <v>0</v>
      </c>
      <c r="Q1147" s="3" t="s">
        <v>26</v>
      </c>
      <c r="R1147" s="3">
        <v>0</v>
      </c>
      <c r="S1147" s="4">
        <v>0</v>
      </c>
      <c r="T1147" s="4">
        <v>58</v>
      </c>
      <c r="U1147" s="4">
        <v>86</v>
      </c>
      <c r="V1147" s="4">
        <f>IF(ISERROR(VLOOKUP($S$1147,'TAR FIN'!$A$1:$O$92,15,0)),0,VLOOKUP($S$1147,'TAR FIN'!$A$1:$O$92,15,0))</f>
        <v>0</v>
      </c>
      <c r="W1147" s="4">
        <f>IF(ISERROR(VLOOKUP($T$1147,'TAR FIN'!$A$1:$O$92,15,0)),0,VLOOKUP($T$1147,'TAR FIN'!$A$1:$O$92,15,0))</f>
        <v>171.21</v>
      </c>
      <c r="X1147" s="4">
        <f>IF(ISERROR(VLOOKUP($U$1147,'TAR FIN'!$A$1:$O$92,15,0)),0,VLOOKUP($U$1147,'TAR FIN'!$A$1:$O$92,15,0))</f>
        <v>147.88999999999999</v>
      </c>
      <c r="Y1147" s="4"/>
      <c r="Z1147" s="4">
        <f ca="1">('TUSD BE'!$AM$50+'TUSD BF'!$AM$50+'TUSD CVA'!$AM$50)*1</f>
        <v>219.42468784337316</v>
      </c>
      <c r="AA1147" s="4">
        <f>('TE BE'!$AB$41+'TE BF'!$AB$41+'TE CVA'!$AB$41)*1</f>
        <v>184.89653009759297</v>
      </c>
      <c r="AB1147" s="4">
        <f>$K$1147*$V$1147</f>
        <v>0</v>
      </c>
      <c r="AC1147" s="4">
        <f>$M$1147*$W$1147</f>
        <v>-70520.542950000003</v>
      </c>
      <c r="AD1147" s="4">
        <f>$O$1147*$X$1147</f>
        <v>-60915.151549999995</v>
      </c>
      <c r="AE1147" s="4">
        <f>$K$1147*$Y$1147</f>
        <v>0</v>
      </c>
      <c r="AF1147" s="4">
        <f ca="1">$M$1147*$Z$1147</f>
        <v>-90379.931799246187</v>
      </c>
      <c r="AG1147" s="4">
        <f>$O$1147*$AA$1147</f>
        <v>-76157.956264548047</v>
      </c>
    </row>
    <row r="1148" spans="1:33" ht="11.25" customHeight="1" x14ac:dyDescent="0.25">
      <c r="A1148" s="3" t="s">
        <v>28</v>
      </c>
      <c r="B1148" s="3" t="s">
        <v>46</v>
      </c>
      <c r="C1148" s="3" t="s">
        <v>23</v>
      </c>
      <c r="D1148" s="3" t="s">
        <v>47</v>
      </c>
      <c r="E1148" s="3" t="s">
        <v>48</v>
      </c>
      <c r="F1148" s="3" t="s">
        <v>25</v>
      </c>
      <c r="G1148" s="3" t="s">
        <v>25</v>
      </c>
      <c r="H1148" s="3" t="s">
        <v>25</v>
      </c>
      <c r="I1148" s="6">
        <v>44713</v>
      </c>
      <c r="J1148" s="4">
        <v>0</v>
      </c>
      <c r="K1148" s="4">
        <v>0</v>
      </c>
      <c r="L1148" s="4">
        <v>292.27800000000002</v>
      </c>
      <c r="M1148" s="4">
        <v>292.27800000000002</v>
      </c>
      <c r="N1148" s="4">
        <v>292.27800000000002</v>
      </c>
      <c r="O1148" s="4">
        <v>292.27800000000002</v>
      </c>
      <c r="P1148" s="4">
        <v>90</v>
      </c>
      <c r="Q1148" s="3" t="s">
        <v>26</v>
      </c>
      <c r="R1148" s="3">
        <v>0</v>
      </c>
      <c r="S1148" s="4">
        <v>0</v>
      </c>
      <c r="T1148" s="4">
        <v>58</v>
      </c>
      <c r="U1148" s="4">
        <v>86</v>
      </c>
      <c r="V1148" s="4">
        <f>IF(ISERROR(VLOOKUP($S$1148,'TAR FIN'!$A$1:$O$92,15,0)),0,VLOOKUP($S$1148,'TAR FIN'!$A$1:$O$92,15,0))</f>
        <v>0</v>
      </c>
      <c r="W1148" s="4">
        <f>IF(ISERROR(VLOOKUP($T$1148,'TAR FIN'!$A$1:$O$92,15,0)),0,VLOOKUP($T$1148,'TAR FIN'!$A$1:$O$92,15,0))</f>
        <v>171.21</v>
      </c>
      <c r="X1148" s="4">
        <f>IF(ISERROR(VLOOKUP($U$1148,'TAR FIN'!$A$1:$O$92,15,0)),0,VLOOKUP($U$1148,'TAR FIN'!$A$1:$O$92,15,0))</f>
        <v>147.88999999999999</v>
      </c>
      <c r="Y1148" s="4"/>
      <c r="Z1148" s="4">
        <f ca="1">('TUSD BE'!$AM$50+'TUSD BF'!$AM$50+'TUSD CVA'!$AM$50)*1</f>
        <v>219.42468784337316</v>
      </c>
      <c r="AA1148" s="4">
        <f>('TE BE'!$AB$41+'TE BF'!$AB$41+'TE CVA'!$AB$41)*1</f>
        <v>184.89653009759297</v>
      </c>
      <c r="AB1148" s="4">
        <f>$K$1148*$V$1148</f>
        <v>0</v>
      </c>
      <c r="AC1148" s="4">
        <f>$M$1148*$W$1148</f>
        <v>50040.916380000002</v>
      </c>
      <c r="AD1148" s="4">
        <f>$O$1148*$X$1148</f>
        <v>43224.993419999999</v>
      </c>
      <c r="AE1148" s="4">
        <f>$K$1148*$Y$1148</f>
        <v>0</v>
      </c>
      <c r="AF1148" s="4">
        <f ca="1">$M$1148*$Z$1148</f>
        <v>64133.008913485428</v>
      </c>
      <c r="AG1148" s="4">
        <f>$O$1148*$AA$1148</f>
        <v>54041.188023864284</v>
      </c>
    </row>
    <row r="1149" spans="1:33" ht="11.25" customHeight="1" x14ac:dyDescent="0.25">
      <c r="A1149" s="3" t="s">
        <v>21</v>
      </c>
      <c r="B1149" s="3" t="s">
        <v>46</v>
      </c>
      <c r="C1149" s="3" t="s">
        <v>23</v>
      </c>
      <c r="D1149" s="3" t="s">
        <v>47</v>
      </c>
      <c r="E1149" s="3" t="s">
        <v>48</v>
      </c>
      <c r="F1149" s="3" t="s">
        <v>25</v>
      </c>
      <c r="G1149" s="3" t="s">
        <v>25</v>
      </c>
      <c r="H1149" s="3" t="s">
        <v>25</v>
      </c>
      <c r="I1149" s="6">
        <v>44743</v>
      </c>
      <c r="J1149" s="4">
        <v>0</v>
      </c>
      <c r="K1149" s="4">
        <v>0</v>
      </c>
      <c r="L1149" s="4">
        <v>3269.2910000000002</v>
      </c>
      <c r="M1149" s="4">
        <v>3269.2910000000002</v>
      </c>
      <c r="N1149" s="4">
        <v>3269.2910000000002</v>
      </c>
      <c r="O1149" s="4">
        <v>3269.2910000000002</v>
      </c>
      <c r="P1149" s="4">
        <v>78</v>
      </c>
      <c r="Q1149" s="3" t="s">
        <v>26</v>
      </c>
      <c r="R1149" s="3">
        <v>0</v>
      </c>
      <c r="S1149" s="4">
        <v>0</v>
      </c>
      <c r="T1149" s="4">
        <v>58</v>
      </c>
      <c r="U1149" s="4">
        <v>86</v>
      </c>
      <c r="V1149" s="4">
        <f>IF(ISERROR(VLOOKUP($S$1149,'TAR FIN'!$A$1:$O$92,15,0)),0,VLOOKUP($S$1149,'TAR FIN'!$A$1:$O$92,15,0))</f>
        <v>0</v>
      </c>
      <c r="W1149" s="4">
        <f>IF(ISERROR(VLOOKUP($T$1149,'TAR FIN'!$A$1:$O$92,15,0)),0,VLOOKUP($T$1149,'TAR FIN'!$A$1:$O$92,15,0))</f>
        <v>171.21</v>
      </c>
      <c r="X1149" s="4">
        <f>IF(ISERROR(VLOOKUP($U$1149,'TAR FIN'!$A$1:$O$92,15,0)),0,VLOOKUP($U$1149,'TAR FIN'!$A$1:$O$92,15,0))</f>
        <v>147.88999999999999</v>
      </c>
      <c r="Y1149" s="4"/>
      <c r="Z1149" s="4">
        <f ca="1">('TUSD BE'!$AM$50+'TUSD BF'!$AM$50+'TUSD CVA'!$AM$50)*1</f>
        <v>219.42468784337316</v>
      </c>
      <c r="AA1149" s="4">
        <f>('TE BE'!$AB$41+'TE BF'!$AB$41+'TE CVA'!$AB$41)*1</f>
        <v>184.89653009759297</v>
      </c>
      <c r="AB1149" s="4">
        <f>$K$1149*$V$1149</f>
        <v>0</v>
      </c>
      <c r="AC1149" s="4">
        <f>$M$1149*$W$1149</f>
        <v>559735.31211000006</v>
      </c>
      <c r="AD1149" s="4">
        <f>$O$1149*$X$1149</f>
        <v>483495.44598999998</v>
      </c>
      <c r="AE1149" s="4">
        <f>$K$1149*$Y$1149</f>
        <v>0</v>
      </c>
      <c r="AF1149" s="4">
        <f ca="1">$M$1149*$Z$1149</f>
        <v>717363.1571441493</v>
      </c>
      <c r="AG1149" s="4">
        <f>$O$1149*$AA$1149</f>
        <v>604480.56177928986</v>
      </c>
    </row>
    <row r="1150" spans="1:33" ht="11.25" customHeight="1" x14ac:dyDescent="0.25">
      <c r="A1150" s="3" t="s">
        <v>28</v>
      </c>
      <c r="B1150" s="3" t="s">
        <v>46</v>
      </c>
      <c r="C1150" s="3" t="s">
        <v>23</v>
      </c>
      <c r="D1150" s="3" t="s">
        <v>47</v>
      </c>
      <c r="E1150" s="3" t="s">
        <v>48</v>
      </c>
      <c r="F1150" s="3" t="s">
        <v>25</v>
      </c>
      <c r="G1150" s="3" t="s">
        <v>25</v>
      </c>
      <c r="H1150" s="3" t="s">
        <v>25</v>
      </c>
      <c r="I1150" s="6">
        <v>44743</v>
      </c>
      <c r="J1150" s="4">
        <v>0</v>
      </c>
      <c r="K1150" s="4">
        <v>0</v>
      </c>
      <c r="L1150" s="4">
        <v>272.54899999999998</v>
      </c>
      <c r="M1150" s="4">
        <v>272.54899999999998</v>
      </c>
      <c r="N1150" s="4">
        <v>272.54899999999998</v>
      </c>
      <c r="O1150" s="4">
        <v>272.54899999999998</v>
      </c>
      <c r="P1150" s="4">
        <v>91</v>
      </c>
      <c r="Q1150" s="3" t="s">
        <v>26</v>
      </c>
      <c r="R1150" s="3">
        <v>0</v>
      </c>
      <c r="S1150" s="4">
        <v>0</v>
      </c>
      <c r="T1150" s="4">
        <v>58</v>
      </c>
      <c r="U1150" s="4">
        <v>86</v>
      </c>
      <c r="V1150" s="4">
        <f>IF(ISERROR(VLOOKUP($S$1150,'TAR FIN'!$A$1:$O$92,15,0)),0,VLOOKUP($S$1150,'TAR FIN'!$A$1:$O$92,15,0))</f>
        <v>0</v>
      </c>
      <c r="W1150" s="4">
        <f>IF(ISERROR(VLOOKUP($T$1150,'TAR FIN'!$A$1:$O$92,15,0)),0,VLOOKUP($T$1150,'TAR FIN'!$A$1:$O$92,15,0))</f>
        <v>171.21</v>
      </c>
      <c r="X1150" s="4">
        <f>IF(ISERROR(VLOOKUP($U$1150,'TAR FIN'!$A$1:$O$92,15,0)),0,VLOOKUP($U$1150,'TAR FIN'!$A$1:$O$92,15,0))</f>
        <v>147.88999999999999</v>
      </c>
      <c r="Y1150" s="4"/>
      <c r="Z1150" s="4">
        <f ca="1">('TUSD BE'!$AM$50+'TUSD BF'!$AM$50+'TUSD CVA'!$AM$50)*1</f>
        <v>219.42468784337316</v>
      </c>
      <c r="AA1150" s="4">
        <f>('TE BE'!$AB$41+'TE BF'!$AB$41+'TE CVA'!$AB$41)*1</f>
        <v>184.89653009759297</v>
      </c>
      <c r="AB1150" s="4">
        <f>$K$1150*$V$1150</f>
        <v>0</v>
      </c>
      <c r="AC1150" s="4">
        <f>$M$1150*$W$1150</f>
        <v>46663.114289999998</v>
      </c>
      <c r="AD1150" s="4">
        <f>$O$1150*$X$1150</f>
        <v>40307.271609999996</v>
      </c>
      <c r="AE1150" s="4">
        <f>$K$1150*$Y$1150</f>
        <v>0</v>
      </c>
      <c r="AF1150" s="4">
        <f ca="1">$M$1150*$Z$1150</f>
        <v>59803.979247023504</v>
      </c>
      <c r="AG1150" s="4">
        <f>$O$1150*$AA$1150</f>
        <v>50393.364381568863</v>
      </c>
    </row>
    <row r="1151" spans="1:33" ht="11.25" customHeight="1" x14ac:dyDescent="0.25">
      <c r="A1151" s="3" t="s">
        <v>21</v>
      </c>
      <c r="B1151" s="3" t="s">
        <v>46</v>
      </c>
      <c r="C1151" s="3" t="s">
        <v>23</v>
      </c>
      <c r="D1151" s="3" t="s">
        <v>47</v>
      </c>
      <c r="E1151" s="3" t="s">
        <v>48</v>
      </c>
      <c r="F1151" s="3" t="s">
        <v>25</v>
      </c>
      <c r="G1151" s="3" t="s">
        <v>25</v>
      </c>
      <c r="H1151" s="3" t="s">
        <v>25</v>
      </c>
      <c r="I1151" s="6">
        <v>44774</v>
      </c>
      <c r="J1151" s="4">
        <v>0</v>
      </c>
      <c r="K1151" s="4">
        <v>0</v>
      </c>
      <c r="L1151" s="4">
        <v>3249.4989999999998</v>
      </c>
      <c r="M1151" s="4">
        <v>3249.4989999999998</v>
      </c>
      <c r="N1151" s="4">
        <v>3249.4989999999998</v>
      </c>
      <c r="O1151" s="4">
        <v>3249.4989999999998</v>
      </c>
      <c r="P1151" s="4">
        <v>78</v>
      </c>
      <c r="Q1151" s="3" t="s">
        <v>26</v>
      </c>
      <c r="R1151" s="3">
        <v>0</v>
      </c>
      <c r="S1151" s="4">
        <v>0</v>
      </c>
      <c r="T1151" s="4">
        <v>58</v>
      </c>
      <c r="U1151" s="4">
        <v>86</v>
      </c>
      <c r="V1151" s="4">
        <f>IF(ISERROR(VLOOKUP($S$1151,'TAR FIN'!$A$1:$O$92,15,0)),0,VLOOKUP($S$1151,'TAR FIN'!$A$1:$O$92,15,0))</f>
        <v>0</v>
      </c>
      <c r="W1151" s="4">
        <f>IF(ISERROR(VLOOKUP($T$1151,'TAR FIN'!$A$1:$O$92,15,0)),0,VLOOKUP($T$1151,'TAR FIN'!$A$1:$O$92,15,0))</f>
        <v>171.21</v>
      </c>
      <c r="X1151" s="4">
        <f>IF(ISERROR(VLOOKUP($U$1151,'TAR FIN'!$A$1:$O$92,15,0)),0,VLOOKUP($U$1151,'TAR FIN'!$A$1:$O$92,15,0))</f>
        <v>147.88999999999999</v>
      </c>
      <c r="Y1151" s="4"/>
      <c r="Z1151" s="4">
        <f ca="1">('TUSD BE'!$AM$50+'TUSD BF'!$AM$50+'TUSD CVA'!$AM$50)*1</f>
        <v>219.42468784337316</v>
      </c>
      <c r="AA1151" s="4">
        <f>('TE BE'!$AB$41+'TE BF'!$AB$41+'TE CVA'!$AB$41)*1</f>
        <v>184.89653009759297</v>
      </c>
      <c r="AB1151" s="4">
        <f>$K$1151*$V$1151</f>
        <v>0</v>
      </c>
      <c r="AC1151" s="4">
        <f>$M$1151*$W$1151</f>
        <v>556346.72378999996</v>
      </c>
      <c r="AD1151" s="4">
        <f>$O$1151*$X$1151</f>
        <v>480568.40710999991</v>
      </c>
      <c r="AE1151" s="4">
        <f>$K$1151*$Y$1151</f>
        <v>0</v>
      </c>
      <c r="AF1151" s="4">
        <f ca="1">$M$1151*$Z$1151</f>
        <v>713020.30372235319</v>
      </c>
      <c r="AG1151" s="4">
        <f>$O$1151*$AA$1151</f>
        <v>600821.08965559828</v>
      </c>
    </row>
    <row r="1152" spans="1:33" ht="11.25" customHeight="1" x14ac:dyDescent="0.25">
      <c r="A1152" s="3" t="s">
        <v>28</v>
      </c>
      <c r="B1152" s="3" t="s">
        <v>46</v>
      </c>
      <c r="C1152" s="3" t="s">
        <v>23</v>
      </c>
      <c r="D1152" s="3" t="s">
        <v>47</v>
      </c>
      <c r="E1152" s="3" t="s">
        <v>48</v>
      </c>
      <c r="F1152" s="3" t="s">
        <v>25</v>
      </c>
      <c r="G1152" s="3" t="s">
        <v>25</v>
      </c>
      <c r="H1152" s="3" t="s">
        <v>25</v>
      </c>
      <c r="I1152" s="6">
        <v>44774</v>
      </c>
      <c r="J1152" s="4">
        <v>0</v>
      </c>
      <c r="K1152" s="4">
        <v>0</v>
      </c>
      <c r="L1152" s="4">
        <v>312.15699999999998</v>
      </c>
      <c r="M1152" s="4">
        <v>312.15699999999998</v>
      </c>
      <c r="N1152" s="4">
        <v>312.15699999999998</v>
      </c>
      <c r="O1152" s="4">
        <v>312.15699999999998</v>
      </c>
      <c r="P1152" s="4">
        <v>91</v>
      </c>
      <c r="Q1152" s="3" t="s">
        <v>26</v>
      </c>
      <c r="R1152" s="3">
        <v>0</v>
      </c>
      <c r="S1152" s="4">
        <v>0</v>
      </c>
      <c r="T1152" s="4">
        <v>58</v>
      </c>
      <c r="U1152" s="4">
        <v>86</v>
      </c>
      <c r="V1152" s="4">
        <f>IF(ISERROR(VLOOKUP($S$1152,'TAR FIN'!$A$1:$O$92,15,0)),0,VLOOKUP($S$1152,'TAR FIN'!$A$1:$O$92,15,0))</f>
        <v>0</v>
      </c>
      <c r="W1152" s="4">
        <f>IF(ISERROR(VLOOKUP($T$1152,'TAR FIN'!$A$1:$O$92,15,0)),0,VLOOKUP($T$1152,'TAR FIN'!$A$1:$O$92,15,0))</f>
        <v>171.21</v>
      </c>
      <c r="X1152" s="4">
        <f>IF(ISERROR(VLOOKUP($U$1152,'TAR FIN'!$A$1:$O$92,15,0)),0,VLOOKUP($U$1152,'TAR FIN'!$A$1:$O$92,15,0))</f>
        <v>147.88999999999999</v>
      </c>
      <c r="Y1152" s="4"/>
      <c r="Z1152" s="4">
        <f ca="1">('TUSD BE'!$AM$50+'TUSD BF'!$AM$50+'TUSD CVA'!$AM$50)*1</f>
        <v>219.42468784337316</v>
      </c>
      <c r="AA1152" s="4">
        <f>('TE BE'!$AB$41+'TE BF'!$AB$41+'TE CVA'!$AB$41)*1</f>
        <v>184.89653009759297</v>
      </c>
      <c r="AB1152" s="4">
        <f>$K$1152*$V$1152</f>
        <v>0</v>
      </c>
      <c r="AC1152" s="4">
        <f>$M$1152*$W$1152</f>
        <v>53444.399969999999</v>
      </c>
      <c r="AD1152" s="4">
        <f>$O$1152*$X$1152</f>
        <v>46164.898729999994</v>
      </c>
      <c r="AE1152" s="4">
        <f>$K$1152*$Y$1152</f>
        <v>0</v>
      </c>
      <c r="AF1152" s="4">
        <f ca="1">$M$1152*$Z$1152</f>
        <v>68494.952283123828</v>
      </c>
      <c r="AG1152" s="4">
        <f>$O$1152*$AA$1152</f>
        <v>57716.746145674326</v>
      </c>
    </row>
    <row r="1153" spans="1:33" ht="11.25" customHeight="1" x14ac:dyDescent="0.25">
      <c r="A1153" s="3" t="s">
        <v>21</v>
      </c>
      <c r="B1153" s="3" t="s">
        <v>46</v>
      </c>
      <c r="C1153" s="3" t="s">
        <v>23</v>
      </c>
      <c r="D1153" s="3" t="s">
        <v>47</v>
      </c>
      <c r="E1153" s="3" t="s">
        <v>48</v>
      </c>
      <c r="F1153" s="3" t="s">
        <v>25</v>
      </c>
      <c r="G1153" s="3" t="s">
        <v>25</v>
      </c>
      <c r="H1153" s="3" t="s">
        <v>25</v>
      </c>
      <c r="I1153" s="6">
        <v>44805</v>
      </c>
      <c r="J1153" s="4">
        <v>0</v>
      </c>
      <c r="K1153" s="4">
        <v>0</v>
      </c>
      <c r="L1153" s="4">
        <v>3150.6469999999999</v>
      </c>
      <c r="M1153" s="4">
        <v>3150.6469999999999</v>
      </c>
      <c r="N1153" s="4">
        <v>3150.6469999999999</v>
      </c>
      <c r="O1153" s="4">
        <v>3150.6469999999999</v>
      </c>
      <c r="P1153" s="4">
        <v>78</v>
      </c>
      <c r="Q1153" s="3" t="s">
        <v>26</v>
      </c>
      <c r="R1153" s="3">
        <v>0</v>
      </c>
      <c r="S1153" s="4">
        <v>0</v>
      </c>
      <c r="T1153" s="4">
        <v>58</v>
      </c>
      <c r="U1153" s="4">
        <v>86</v>
      </c>
      <c r="V1153" s="4">
        <f>IF(ISERROR(VLOOKUP($S$1153,'TAR FIN'!$A$1:$O$92,15,0)),0,VLOOKUP($S$1153,'TAR FIN'!$A$1:$O$92,15,0))</f>
        <v>0</v>
      </c>
      <c r="W1153" s="4">
        <f>IF(ISERROR(VLOOKUP($T$1153,'TAR FIN'!$A$1:$O$92,15,0)),0,VLOOKUP($T$1153,'TAR FIN'!$A$1:$O$92,15,0))</f>
        <v>171.21</v>
      </c>
      <c r="X1153" s="4">
        <f>IF(ISERROR(VLOOKUP($U$1153,'TAR FIN'!$A$1:$O$92,15,0)),0,VLOOKUP($U$1153,'TAR FIN'!$A$1:$O$92,15,0))</f>
        <v>147.88999999999999</v>
      </c>
      <c r="Y1153" s="4"/>
      <c r="Z1153" s="4">
        <f ca="1">('TUSD BE'!$AM$50+'TUSD BF'!$AM$50+'TUSD CVA'!$AM$50)*1</f>
        <v>219.42468784337316</v>
      </c>
      <c r="AA1153" s="4">
        <f>('TE BE'!$AB$41+'TE BF'!$AB$41+'TE CVA'!$AB$41)*1</f>
        <v>184.89653009759297</v>
      </c>
      <c r="AB1153" s="4">
        <f>$K$1153*$V$1153</f>
        <v>0</v>
      </c>
      <c r="AC1153" s="4">
        <f>$M$1153*$W$1153</f>
        <v>539422.27286999999</v>
      </c>
      <c r="AD1153" s="4">
        <f>$O$1153*$X$1153</f>
        <v>465949.18482999993</v>
      </c>
      <c r="AE1153" s="4">
        <f>$K$1153*$Y$1153</f>
        <v>0</v>
      </c>
      <c r="AF1153" s="4">
        <f ca="1">$M$1153*$Z$1153</f>
        <v>691329.73447966017</v>
      </c>
      <c r="AG1153" s="4">
        <f>$O$1153*$AA$1153</f>
        <v>582543.69786239101</v>
      </c>
    </row>
    <row r="1154" spans="1:33" ht="11.25" customHeight="1" x14ac:dyDescent="0.25">
      <c r="A1154" s="3" t="s">
        <v>28</v>
      </c>
      <c r="B1154" s="3" t="s">
        <v>46</v>
      </c>
      <c r="C1154" s="3" t="s">
        <v>23</v>
      </c>
      <c r="D1154" s="3" t="s">
        <v>47</v>
      </c>
      <c r="E1154" s="3" t="s">
        <v>48</v>
      </c>
      <c r="F1154" s="3" t="s">
        <v>25</v>
      </c>
      <c r="G1154" s="3" t="s">
        <v>25</v>
      </c>
      <c r="H1154" s="3" t="s">
        <v>25</v>
      </c>
      <c r="I1154" s="6">
        <v>44805</v>
      </c>
      <c r="J1154" s="4">
        <v>0</v>
      </c>
      <c r="K1154" s="4">
        <v>0</v>
      </c>
      <c r="L1154" s="4">
        <v>284.16000000000003</v>
      </c>
      <c r="M1154" s="4">
        <v>284.16000000000003</v>
      </c>
      <c r="N1154" s="4">
        <v>284.16000000000003</v>
      </c>
      <c r="O1154" s="4">
        <v>284.16000000000003</v>
      </c>
      <c r="P1154" s="4">
        <v>91</v>
      </c>
      <c r="Q1154" s="3" t="s">
        <v>26</v>
      </c>
      <c r="R1154" s="3">
        <v>0</v>
      </c>
      <c r="S1154" s="4">
        <v>0</v>
      </c>
      <c r="T1154" s="4">
        <v>58</v>
      </c>
      <c r="U1154" s="4">
        <v>86</v>
      </c>
      <c r="V1154" s="4">
        <f>IF(ISERROR(VLOOKUP($S$1154,'TAR FIN'!$A$1:$O$92,15,0)),0,VLOOKUP($S$1154,'TAR FIN'!$A$1:$O$92,15,0))</f>
        <v>0</v>
      </c>
      <c r="W1154" s="4">
        <f>IF(ISERROR(VLOOKUP($T$1154,'TAR FIN'!$A$1:$O$92,15,0)),0,VLOOKUP($T$1154,'TAR FIN'!$A$1:$O$92,15,0))</f>
        <v>171.21</v>
      </c>
      <c r="X1154" s="4">
        <f>IF(ISERROR(VLOOKUP($U$1154,'TAR FIN'!$A$1:$O$92,15,0)),0,VLOOKUP($U$1154,'TAR FIN'!$A$1:$O$92,15,0))</f>
        <v>147.88999999999999</v>
      </c>
      <c r="Y1154" s="4"/>
      <c r="Z1154" s="4">
        <f ca="1">('TUSD BE'!$AM$50+'TUSD BF'!$AM$50+'TUSD CVA'!$AM$50)*1</f>
        <v>219.42468784337316</v>
      </c>
      <c r="AA1154" s="4">
        <f>('TE BE'!$AB$41+'TE BF'!$AB$41+'TE CVA'!$AB$41)*1</f>
        <v>184.89653009759297</v>
      </c>
      <c r="AB1154" s="4">
        <f>$K$1154*$V$1154</f>
        <v>0</v>
      </c>
      <c r="AC1154" s="4">
        <f>$M$1154*$W$1154</f>
        <v>48651.03360000001</v>
      </c>
      <c r="AD1154" s="4">
        <f>$O$1154*$X$1154</f>
        <v>42024.422400000003</v>
      </c>
      <c r="AE1154" s="4">
        <f>$K$1154*$Y$1154</f>
        <v>0</v>
      </c>
      <c r="AF1154" s="4">
        <f ca="1">$M$1154*$Z$1154</f>
        <v>62351.719297572927</v>
      </c>
      <c r="AG1154" s="4">
        <f>$O$1154*$AA$1154</f>
        <v>52540.197992532027</v>
      </c>
    </row>
    <row r="1155" spans="1:33" ht="11.25" customHeight="1" x14ac:dyDescent="0.25">
      <c r="A1155" s="3" t="s">
        <v>55</v>
      </c>
      <c r="B1155" s="3" t="s">
        <v>46</v>
      </c>
      <c r="C1155" s="3" t="s">
        <v>23</v>
      </c>
      <c r="D1155" s="3" t="s">
        <v>47</v>
      </c>
      <c r="E1155" s="3" t="s">
        <v>48</v>
      </c>
      <c r="F1155" s="3" t="s">
        <v>25</v>
      </c>
      <c r="G1155" s="3" t="s">
        <v>25</v>
      </c>
      <c r="H1155" s="3" t="s">
        <v>25</v>
      </c>
      <c r="I1155" s="6">
        <v>44835</v>
      </c>
      <c r="J1155" s="4">
        <v>0</v>
      </c>
      <c r="K1155" s="4">
        <v>0</v>
      </c>
      <c r="L1155" s="4">
        <v>3150.6469999999999</v>
      </c>
      <c r="M1155" s="4">
        <v>3150.6469999999999</v>
      </c>
      <c r="N1155" s="4">
        <v>3150.6469999999999</v>
      </c>
      <c r="O1155" s="4">
        <v>3150.6469999999999</v>
      </c>
      <c r="P1155" s="4">
        <v>78</v>
      </c>
      <c r="Q1155" s="3" t="s">
        <v>26</v>
      </c>
      <c r="R1155" s="3">
        <v>0</v>
      </c>
      <c r="S1155" s="4">
        <v>0</v>
      </c>
      <c r="T1155" s="4">
        <v>58</v>
      </c>
      <c r="U1155" s="4">
        <v>86</v>
      </c>
      <c r="V1155" s="4">
        <f>IF(ISERROR(VLOOKUP($S$1155,'TAR FIN'!$A$1:$O$92,15,0)),0,VLOOKUP($S$1155,'TAR FIN'!$A$1:$O$92,15,0))</f>
        <v>0</v>
      </c>
      <c r="W1155" s="4">
        <f>IF(ISERROR(VLOOKUP($T$1155,'TAR FIN'!$A$1:$O$92,15,0)),0,VLOOKUP($T$1155,'TAR FIN'!$A$1:$O$92,15,0))</f>
        <v>171.21</v>
      </c>
      <c r="X1155" s="4">
        <f>IF(ISERROR(VLOOKUP($U$1155,'TAR FIN'!$A$1:$O$92,15,0)),0,VLOOKUP($U$1155,'TAR FIN'!$A$1:$O$92,15,0))</f>
        <v>147.88999999999999</v>
      </c>
      <c r="Y1155" s="4"/>
      <c r="Z1155" s="4">
        <f ca="1">('TUSD BE'!$AM$50+'TUSD BF'!$AM$50+'TUSD CVA'!$AM$50)*1</f>
        <v>219.42468784337316</v>
      </c>
      <c r="AA1155" s="4">
        <f>('TE BE'!$AB$41+'TE BF'!$AB$41+'TE CVA'!$AB$41)*1</f>
        <v>184.89653009759297</v>
      </c>
      <c r="AB1155" s="4">
        <f>$K$1155*$V$1155</f>
        <v>0</v>
      </c>
      <c r="AC1155" s="4">
        <f>$M$1155*$W$1155</f>
        <v>539422.27286999999</v>
      </c>
      <c r="AD1155" s="4">
        <f>$O$1155*$X$1155</f>
        <v>465949.18482999993</v>
      </c>
      <c r="AE1155" s="4">
        <f>$K$1155*$Y$1155</f>
        <v>0</v>
      </c>
      <c r="AF1155" s="4">
        <f ca="1">$M$1155*$Z$1155</f>
        <v>691329.73447966017</v>
      </c>
      <c r="AG1155" s="4">
        <f>$O$1155*$AA$1155</f>
        <v>582543.69786239101</v>
      </c>
    </row>
    <row r="1156" spans="1:33" ht="11.25" customHeight="1" x14ac:dyDescent="0.25">
      <c r="A1156" s="3" t="s">
        <v>55</v>
      </c>
      <c r="B1156" s="3" t="s">
        <v>46</v>
      </c>
      <c r="C1156" s="3" t="s">
        <v>23</v>
      </c>
      <c r="D1156" s="3" t="s">
        <v>47</v>
      </c>
      <c r="E1156" s="3" t="s">
        <v>48</v>
      </c>
      <c r="F1156" s="3" t="s">
        <v>25</v>
      </c>
      <c r="G1156" s="3" t="s">
        <v>25</v>
      </c>
      <c r="H1156" s="3" t="s">
        <v>25</v>
      </c>
      <c r="I1156" s="6">
        <v>44835</v>
      </c>
      <c r="J1156" s="4">
        <v>0</v>
      </c>
      <c r="K1156" s="4">
        <v>0</v>
      </c>
      <c r="L1156" s="4">
        <v>284.16000000000003</v>
      </c>
      <c r="M1156" s="4">
        <v>284.16000000000003</v>
      </c>
      <c r="N1156" s="4">
        <v>284.16000000000003</v>
      </c>
      <c r="O1156" s="4">
        <v>284.16000000000003</v>
      </c>
      <c r="P1156" s="4">
        <v>91</v>
      </c>
      <c r="Q1156" s="3" t="s">
        <v>26</v>
      </c>
      <c r="R1156" s="3">
        <v>0</v>
      </c>
      <c r="S1156" s="4">
        <v>0</v>
      </c>
      <c r="T1156" s="4">
        <v>58</v>
      </c>
      <c r="U1156" s="4">
        <v>86</v>
      </c>
      <c r="V1156" s="4">
        <f>IF(ISERROR(VLOOKUP($S$1156,'TAR FIN'!$A$1:$O$92,15,0)),0,VLOOKUP($S$1156,'TAR FIN'!$A$1:$O$92,15,0))</f>
        <v>0</v>
      </c>
      <c r="W1156" s="4">
        <f>IF(ISERROR(VLOOKUP($T$1156,'TAR FIN'!$A$1:$O$92,15,0)),0,VLOOKUP($T$1156,'TAR FIN'!$A$1:$O$92,15,0))</f>
        <v>171.21</v>
      </c>
      <c r="X1156" s="4">
        <f>IF(ISERROR(VLOOKUP($U$1156,'TAR FIN'!$A$1:$O$92,15,0)),0,VLOOKUP($U$1156,'TAR FIN'!$A$1:$O$92,15,0))</f>
        <v>147.88999999999999</v>
      </c>
      <c r="Y1156" s="4"/>
      <c r="Z1156" s="4">
        <f ca="1">('TUSD BE'!$AM$50+'TUSD BF'!$AM$50+'TUSD CVA'!$AM$50)*1</f>
        <v>219.42468784337316</v>
      </c>
      <c r="AA1156" s="4">
        <f>('TE BE'!$AB$41+'TE BF'!$AB$41+'TE CVA'!$AB$41)*1</f>
        <v>184.89653009759297</v>
      </c>
      <c r="AB1156" s="4">
        <f>$K$1156*$V$1156</f>
        <v>0</v>
      </c>
      <c r="AC1156" s="4">
        <f>$M$1156*$W$1156</f>
        <v>48651.03360000001</v>
      </c>
      <c r="AD1156" s="4">
        <f>$O$1156*$X$1156</f>
        <v>42024.422400000003</v>
      </c>
      <c r="AE1156" s="4">
        <f>$K$1156*$Y$1156</f>
        <v>0</v>
      </c>
      <c r="AF1156" s="4">
        <f ca="1">$M$1156*$Z$1156</f>
        <v>62351.719297572927</v>
      </c>
      <c r="AG1156" s="4">
        <f>$O$1156*$AA$1156</f>
        <v>52540.197992532027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AC92B-C23C-43A3-B313-1F4461163125}">
  <dimension ref="A1:AJ1157"/>
  <sheetViews>
    <sheetView showGridLines="0" tabSelected="1" workbookViewId="0">
      <selection activeCell="A2" sqref="A2"/>
    </sheetView>
  </sheetViews>
  <sheetFormatPr defaultRowHeight="11.25" customHeight="1" x14ac:dyDescent="0.25"/>
  <cols>
    <col min="1" max="1" width="23.710937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2.8554687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5" width="10" style="3" bestFit="1" customWidth="1"/>
    <col min="36" max="36" width="10.85546875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703</v>
      </c>
      <c r="W1" s="1" t="s">
        <v>704</v>
      </c>
      <c r="X1" s="1" t="s">
        <v>705</v>
      </c>
      <c r="Y1" s="1" t="s">
        <v>706</v>
      </c>
      <c r="Z1" s="1" t="s">
        <v>707</v>
      </c>
      <c r="AA1" s="1" t="s">
        <v>708</v>
      </c>
      <c r="AB1" s="1" t="s">
        <v>746</v>
      </c>
      <c r="AC1" s="1" t="s">
        <v>747</v>
      </c>
      <c r="AD1" s="1" t="s">
        <v>748</v>
      </c>
      <c r="AE1" s="1" t="s">
        <v>749</v>
      </c>
      <c r="AF1" s="1" t="s">
        <v>750</v>
      </c>
      <c r="AH1" s="57" t="s">
        <v>750</v>
      </c>
      <c r="AI1" s="57" t="s">
        <v>755</v>
      </c>
      <c r="AJ1" s="57" t="s">
        <v>756</v>
      </c>
    </row>
    <row r="2" spans="1:36" ht="11.25" customHeight="1" x14ac:dyDescent="0.25">
      <c r="A2" s="3" t="s">
        <v>21</v>
      </c>
      <c r="B2" s="3" t="s">
        <v>39</v>
      </c>
      <c r="C2" s="3" t="s">
        <v>40</v>
      </c>
      <c r="D2" s="3" t="s">
        <v>49</v>
      </c>
      <c r="E2" s="3" t="s">
        <v>50</v>
      </c>
      <c r="F2" s="3" t="s">
        <v>25</v>
      </c>
      <c r="G2" s="3" t="s">
        <v>25</v>
      </c>
      <c r="H2" s="3" t="s">
        <v>35</v>
      </c>
      <c r="I2" s="6">
        <v>44501</v>
      </c>
      <c r="J2" s="4">
        <v>2202</v>
      </c>
      <c r="K2" s="63">
        <v>2202</v>
      </c>
      <c r="L2" s="4">
        <v>1090.395</v>
      </c>
      <c r="M2" s="64">
        <v>1090.395</v>
      </c>
      <c r="N2" s="4">
        <v>1090.395</v>
      </c>
      <c r="O2" s="64">
        <v>1090.395</v>
      </c>
      <c r="P2" s="4">
        <v>0</v>
      </c>
      <c r="Q2" s="3" t="s">
        <v>26</v>
      </c>
      <c r="R2" s="3">
        <v>0</v>
      </c>
      <c r="S2" s="3">
        <v>27</v>
      </c>
      <c r="T2" s="3">
        <v>23</v>
      </c>
      <c r="U2" s="3">
        <v>59</v>
      </c>
      <c r="V2" s="64">
        <f>IF(ISERROR(VLOOKUP($S$2,'TAR FIN'!$A$1:$O$92,15,0)),0,VLOOKUP($S$2,'TAR FIN'!$A$1:$O$92,15,0))*(1-0.06)</f>
        <v>13.7616</v>
      </c>
      <c r="W2" s="64">
        <f>IF(ISERROR(VLOOKUP($T$2,'TAR FIN'!$A$1:$O$92,15,0)),0,VLOOKUP($T$2,'TAR FIN'!$A$1:$O$92,15,0))*(1-0.06)</f>
        <v>82.466200000000001</v>
      </c>
      <c r="X2" s="64">
        <f>IF(ISERROR(VLOOKUP($U$2,'TAR FIN'!$A$1:$O$92,15,0)),0,VLOOKUP($U$2,'TAR FIN'!$A$1:$O$92,15,0))*(1-0.06)</f>
        <v>238.666</v>
      </c>
      <c r="Y2" s="64">
        <f ca="1">('TUSD BE'!$AM$6+'TUSD BF'!$AM$6+'TUSD CVA'!$AM$6)*1*(1-0.03)</f>
        <v>18.453742481980488</v>
      </c>
      <c r="Z2" s="64">
        <f ca="1">('TUSD BE'!$AM$7+'TUSD BF'!$AM$7+'TUSD CVA'!$AM$7)*1*(1-0.03)</f>
        <v>106.15870582034525</v>
      </c>
      <c r="AA2" s="64">
        <f>('TE BE'!$AB$6+'TE BF'!$AB$6+'TE CVA'!$AB$6)*1*(1-0.03)</f>
        <v>307.86582774956895</v>
      </c>
      <c r="AB2" s="64">
        <f>(SUBSIDIO!$J$2*SUBSIDIO!$V$2)*(0.06)/(1-0.06)</f>
        <v>1934.2367999999999</v>
      </c>
      <c r="AC2" s="64">
        <f>((SUBSIDIO!$L$2*SUBSIDIO!$W$2)+(SUBSIDIO!$N$2*SUBSIDIO!$X$2))*(0.06)/(1-0.06)</f>
        <v>22350.698630999999</v>
      </c>
      <c r="AD2" s="64">
        <f ca="1">(SUBSIDIO!$J$2*SUBSIDIO!$Y$2)*(0.03)/(1-0.03)</f>
        <v>1256.7569364532278</v>
      </c>
      <c r="AE2" s="64">
        <f ca="1">((SUBSIDIO!$L$2*SUBSIDIO!$Z$2)+(SUBSIDIO!$N$2*SUBSIDIO!$AA$2))*(0.03)/(1-0.03)</f>
        <v>13962.379833462885</v>
      </c>
      <c r="AF2" s="3" t="s">
        <v>751</v>
      </c>
      <c r="AH2" s="58" t="s">
        <v>757</v>
      </c>
      <c r="AI2" s="59">
        <f t="shared" ref="AI2:AI9" si="0">SUMIF($AF$2:$AF$1157,AH2,$AB$2:$AB$1157)+SUMIF($AF$2:$AF$1157,AH2,$AC$2:$AC$1157)</f>
        <v>0</v>
      </c>
      <c r="AJ2" s="59">
        <f t="shared" ref="AJ2:AJ9" si="1">SUMIF($AF$2:$AF$1157,AH2,$AD$2:$AD$1157)+SUMIF($AF$2:$AF$1157,AH2,$AE$2:$AE$1157)</f>
        <v>0</v>
      </c>
    </row>
    <row r="3" spans="1:36" ht="11.25" customHeight="1" x14ac:dyDescent="0.25">
      <c r="A3" s="3" t="s">
        <v>21</v>
      </c>
      <c r="B3" s="3" t="s">
        <v>39</v>
      </c>
      <c r="C3" s="3" t="s">
        <v>40</v>
      </c>
      <c r="D3" s="3" t="s">
        <v>49</v>
      </c>
      <c r="E3" s="3" t="s">
        <v>50</v>
      </c>
      <c r="F3" s="3" t="s">
        <v>25</v>
      </c>
      <c r="G3" s="3" t="s">
        <v>25</v>
      </c>
      <c r="H3" s="3" t="s">
        <v>35</v>
      </c>
      <c r="I3" s="6">
        <v>44531</v>
      </c>
      <c r="J3" s="4">
        <v>2253</v>
      </c>
      <c r="K3" s="63">
        <v>2253</v>
      </c>
      <c r="L3" s="4">
        <v>1100.5360000000001</v>
      </c>
      <c r="M3" s="64">
        <v>1100.5360000000001</v>
      </c>
      <c r="N3" s="4">
        <v>1100.5360000000001</v>
      </c>
      <c r="O3" s="64">
        <v>1100.5360000000001</v>
      </c>
      <c r="P3" s="4">
        <v>0</v>
      </c>
      <c r="Q3" s="3" t="s">
        <v>26</v>
      </c>
      <c r="R3" s="3">
        <v>0</v>
      </c>
      <c r="S3" s="3">
        <v>27</v>
      </c>
      <c r="T3" s="3">
        <v>23</v>
      </c>
      <c r="U3" s="3">
        <v>59</v>
      </c>
      <c r="V3" s="64">
        <f>IF(ISERROR(VLOOKUP($S$3,'TAR FIN'!$A$1:$O$92,15,0)),0,VLOOKUP($S$3,'TAR FIN'!$A$1:$O$92,15,0))*(1-0.06)</f>
        <v>13.7616</v>
      </c>
      <c r="W3" s="64">
        <f>IF(ISERROR(VLOOKUP($T$3,'TAR FIN'!$A$1:$O$92,15,0)),0,VLOOKUP($T$3,'TAR FIN'!$A$1:$O$92,15,0))*(1-0.06)</f>
        <v>82.466200000000001</v>
      </c>
      <c r="X3" s="64">
        <f>IF(ISERROR(VLOOKUP($U$3,'TAR FIN'!$A$1:$O$92,15,0)),0,VLOOKUP($U$3,'TAR FIN'!$A$1:$O$92,15,0))*(1-0.06)</f>
        <v>238.666</v>
      </c>
      <c r="Y3" s="64">
        <f ca="1">('TUSD BE'!$AM$6+'TUSD BF'!$AM$6+'TUSD CVA'!$AM$6)*1*(1-0.03)</f>
        <v>18.453742481980488</v>
      </c>
      <c r="Z3" s="64">
        <f ca="1">('TUSD BE'!$AM$7+'TUSD BF'!$AM$7+'TUSD CVA'!$AM$7)*1*(1-0.03)</f>
        <v>106.15870582034525</v>
      </c>
      <c r="AA3" s="64">
        <f>('TE BE'!$AB$6+'TE BF'!$AB$6+'TE CVA'!$AB$6)*1*(1-0.03)</f>
        <v>307.86582774956895</v>
      </c>
      <c r="AB3" s="64">
        <f>(SUBSIDIO!$J$3*SUBSIDIO!$V$3)*(0.06)/(1-0.06)</f>
        <v>1979.0352</v>
      </c>
      <c r="AC3" s="64">
        <f>((SUBSIDIO!$L$3*SUBSIDIO!$W$3)+(SUBSIDIO!$N$3*SUBSIDIO!$X$3))*(0.06)/(1-0.06)</f>
        <v>22558.566820799999</v>
      </c>
      <c r="AD3" s="64">
        <f ca="1">(SUBSIDIO!$J$3*SUBSIDIO!$Y$3)*(0.03)/(1-0.03)</f>
        <v>1285.8643859351146</v>
      </c>
      <c r="AE3" s="64">
        <f ca="1">((SUBSIDIO!$L$3*SUBSIDIO!$Z$3)+(SUBSIDIO!$N$3*SUBSIDIO!$AA$3))*(0.03)/(1-0.03)</f>
        <v>14092.234146708222</v>
      </c>
      <c r="AF3" s="3" t="s">
        <v>751</v>
      </c>
      <c r="AH3" s="58" t="s">
        <v>758</v>
      </c>
      <c r="AI3" s="59">
        <f t="shared" si="0"/>
        <v>0</v>
      </c>
      <c r="AJ3" s="59">
        <f t="shared" si="1"/>
        <v>0</v>
      </c>
    </row>
    <row r="4" spans="1:36" ht="11.25" customHeight="1" x14ac:dyDescent="0.25">
      <c r="A4" s="3" t="s">
        <v>21</v>
      </c>
      <c r="B4" s="3" t="s">
        <v>39</v>
      </c>
      <c r="C4" s="3" t="s">
        <v>40</v>
      </c>
      <c r="D4" s="3" t="s">
        <v>49</v>
      </c>
      <c r="E4" s="3" t="s">
        <v>50</v>
      </c>
      <c r="F4" s="3" t="s">
        <v>25</v>
      </c>
      <c r="G4" s="3" t="s">
        <v>25</v>
      </c>
      <c r="H4" s="3" t="s">
        <v>35</v>
      </c>
      <c r="I4" s="6">
        <v>44562</v>
      </c>
      <c r="J4" s="4">
        <v>2175</v>
      </c>
      <c r="K4" s="63">
        <v>2175</v>
      </c>
      <c r="L4" s="4">
        <v>1078.173</v>
      </c>
      <c r="M4" s="64">
        <v>1078.173</v>
      </c>
      <c r="N4" s="4">
        <v>1078.173</v>
      </c>
      <c r="O4" s="64">
        <v>1078.173</v>
      </c>
      <c r="P4" s="4">
        <v>0</v>
      </c>
      <c r="Q4" s="3" t="s">
        <v>26</v>
      </c>
      <c r="R4" s="3">
        <v>0</v>
      </c>
      <c r="S4" s="3">
        <v>27</v>
      </c>
      <c r="T4" s="3">
        <v>23</v>
      </c>
      <c r="U4" s="3">
        <v>59</v>
      </c>
      <c r="V4" s="64">
        <f>IF(ISERROR(VLOOKUP($S$4,'TAR FIN'!$A$1:$O$92,15,0)),0,VLOOKUP($S$4,'TAR FIN'!$A$1:$O$92,15,0))*(1-0.06)</f>
        <v>13.7616</v>
      </c>
      <c r="W4" s="64">
        <f>IF(ISERROR(VLOOKUP($T$4,'TAR FIN'!$A$1:$O$92,15,0)),0,VLOOKUP($T$4,'TAR FIN'!$A$1:$O$92,15,0))*(1-0.06)</f>
        <v>82.466200000000001</v>
      </c>
      <c r="X4" s="64">
        <f>IF(ISERROR(VLOOKUP($U$4,'TAR FIN'!$A$1:$O$92,15,0)),0,VLOOKUP($U$4,'TAR FIN'!$A$1:$O$92,15,0))*(1-0.06)</f>
        <v>238.666</v>
      </c>
      <c r="Y4" s="64">
        <f ca="1">('TUSD BE'!$AM$6+'TUSD BF'!$AM$6+'TUSD CVA'!$AM$6)*1*(1-0.03)</f>
        <v>18.453742481980488</v>
      </c>
      <c r="Z4" s="64">
        <f ca="1">('TUSD BE'!$AM$7+'TUSD BF'!$AM$7+'TUSD CVA'!$AM$7)*1*(1-0.03)</f>
        <v>106.15870582034525</v>
      </c>
      <c r="AA4" s="64">
        <f>('TE BE'!$AB$6+'TE BF'!$AB$6+'TE CVA'!$AB$6)*1*(1-0.03)</f>
        <v>307.86582774956895</v>
      </c>
      <c r="AB4" s="64">
        <f>(SUBSIDIO!$J$4*SUBSIDIO!$V$4)*(0.06)/(1-0.06)</f>
        <v>1910.52</v>
      </c>
      <c r="AC4" s="64">
        <f>((SUBSIDIO!$L$4*SUBSIDIO!$W$4)+(SUBSIDIO!$N$4*SUBSIDIO!$X$4))*(0.06)/(1-0.06)</f>
        <v>22100.174519400003</v>
      </c>
      <c r="AD4" s="64">
        <f ca="1">(SUBSIDIO!$J$4*SUBSIDIO!$Y$4)*(0.03)/(1-0.03)</f>
        <v>1241.3471102569351</v>
      </c>
      <c r="AE4" s="64">
        <f ca="1">((SUBSIDIO!$L$4*SUBSIDIO!$Z$4)+(SUBSIDIO!$N$4*SUBSIDIO!$AA$4))*(0.03)/(1-0.03)</f>
        <v>13805.878559773457</v>
      </c>
      <c r="AF4" s="3" t="s">
        <v>751</v>
      </c>
      <c r="AH4" s="58" t="s">
        <v>759</v>
      </c>
      <c r="AI4" s="59">
        <f t="shared" si="0"/>
        <v>0</v>
      </c>
      <c r="AJ4" s="59">
        <f t="shared" si="1"/>
        <v>0</v>
      </c>
    </row>
    <row r="5" spans="1:36" ht="11.25" customHeight="1" x14ac:dyDescent="0.25">
      <c r="A5" s="3" t="s">
        <v>21</v>
      </c>
      <c r="B5" s="3" t="s">
        <v>39</v>
      </c>
      <c r="C5" s="3" t="s">
        <v>40</v>
      </c>
      <c r="D5" s="3" t="s">
        <v>49</v>
      </c>
      <c r="E5" s="3" t="s">
        <v>50</v>
      </c>
      <c r="F5" s="3" t="s">
        <v>25</v>
      </c>
      <c r="G5" s="3" t="s">
        <v>25</v>
      </c>
      <c r="H5" s="3" t="s">
        <v>35</v>
      </c>
      <c r="I5" s="6">
        <v>44593</v>
      </c>
      <c r="J5" s="4">
        <v>2198</v>
      </c>
      <c r="K5" s="63">
        <v>2198</v>
      </c>
      <c r="L5" s="4">
        <v>1021.213</v>
      </c>
      <c r="M5" s="64">
        <v>1021.213</v>
      </c>
      <c r="N5" s="4">
        <v>1021.213</v>
      </c>
      <c r="O5" s="64">
        <v>1021.213</v>
      </c>
      <c r="P5" s="4">
        <v>0</v>
      </c>
      <c r="Q5" s="3" t="s">
        <v>26</v>
      </c>
      <c r="R5" s="3">
        <v>0</v>
      </c>
      <c r="S5" s="3">
        <v>27</v>
      </c>
      <c r="T5" s="3">
        <v>23</v>
      </c>
      <c r="U5" s="3">
        <v>59</v>
      </c>
      <c r="V5" s="64">
        <f>IF(ISERROR(VLOOKUP($S$5,'TAR FIN'!$A$1:$O$92,15,0)),0,VLOOKUP($S$5,'TAR FIN'!$A$1:$O$92,15,0))*(1-0.06)</f>
        <v>13.7616</v>
      </c>
      <c r="W5" s="64">
        <f>IF(ISERROR(VLOOKUP($T$5,'TAR FIN'!$A$1:$O$92,15,0)),0,VLOOKUP($T$5,'TAR FIN'!$A$1:$O$92,15,0))*(1-0.06)</f>
        <v>82.466200000000001</v>
      </c>
      <c r="X5" s="64">
        <f>IF(ISERROR(VLOOKUP($U$5,'TAR FIN'!$A$1:$O$92,15,0)),0,VLOOKUP($U$5,'TAR FIN'!$A$1:$O$92,15,0))*(1-0.06)</f>
        <v>238.666</v>
      </c>
      <c r="Y5" s="64">
        <f ca="1">('TUSD BE'!$AM$6+'TUSD BF'!$AM$6+'TUSD CVA'!$AM$6)*1*(1-0.03)</f>
        <v>18.453742481980488</v>
      </c>
      <c r="Z5" s="64">
        <f ca="1">('TUSD BE'!$AM$7+'TUSD BF'!$AM$7+'TUSD CVA'!$AM$7)*1*(1-0.03)</f>
        <v>106.15870582034525</v>
      </c>
      <c r="AA5" s="64">
        <f>('TE BE'!$AB$6+'TE BF'!$AB$6+'TE CVA'!$AB$6)*1*(1-0.03)</f>
        <v>307.86582774956895</v>
      </c>
      <c r="AB5" s="64">
        <f>(SUBSIDIO!$J$5*SUBSIDIO!$V$5)*(0.06)/(1-0.06)</f>
        <v>1930.7231999999999</v>
      </c>
      <c r="AC5" s="64">
        <f>((SUBSIDIO!$L$5*SUBSIDIO!$W$5)+(SUBSIDIO!$N$5*SUBSIDIO!$X$5))*(0.06)/(1-0.06)</f>
        <v>20932.619831399999</v>
      </c>
      <c r="AD5" s="64">
        <f ca="1">(SUBSIDIO!$J$5*SUBSIDIO!$Y$5)*(0.03)/(1-0.03)</f>
        <v>1254.4739992389623</v>
      </c>
      <c r="AE5" s="64">
        <f ca="1">((SUBSIDIO!$L$5*SUBSIDIO!$Z$5)+(SUBSIDIO!$N$5*SUBSIDIO!$AA$5))*(0.03)/(1-0.03)</f>
        <v>13076.512453624724</v>
      </c>
      <c r="AF5" s="3" t="s">
        <v>751</v>
      </c>
      <c r="AH5" s="58" t="s">
        <v>751</v>
      </c>
      <c r="AI5" s="59">
        <f t="shared" si="0"/>
        <v>1039569.5191439996</v>
      </c>
      <c r="AJ5" s="59">
        <f t="shared" ca="1" si="1"/>
        <v>656969.05111618491</v>
      </c>
    </row>
    <row r="6" spans="1:36" ht="11.25" customHeight="1" x14ac:dyDescent="0.25">
      <c r="A6" s="3" t="s">
        <v>21</v>
      </c>
      <c r="B6" s="3" t="s">
        <v>39</v>
      </c>
      <c r="C6" s="3" t="s">
        <v>40</v>
      </c>
      <c r="D6" s="3" t="s">
        <v>49</v>
      </c>
      <c r="E6" s="3" t="s">
        <v>50</v>
      </c>
      <c r="F6" s="3" t="s">
        <v>25</v>
      </c>
      <c r="G6" s="3" t="s">
        <v>25</v>
      </c>
      <c r="H6" s="3" t="s">
        <v>35</v>
      </c>
      <c r="I6" s="6">
        <v>44621</v>
      </c>
      <c r="J6" s="4">
        <v>2223</v>
      </c>
      <c r="K6" s="63">
        <v>2223</v>
      </c>
      <c r="L6" s="4">
        <v>1125.261</v>
      </c>
      <c r="M6" s="64">
        <v>1125.261</v>
      </c>
      <c r="N6" s="4">
        <v>1125.261</v>
      </c>
      <c r="O6" s="64">
        <v>1125.261</v>
      </c>
      <c r="P6" s="4">
        <v>0</v>
      </c>
      <c r="Q6" s="3" t="s">
        <v>26</v>
      </c>
      <c r="R6" s="3">
        <v>0</v>
      </c>
      <c r="S6" s="3">
        <v>27</v>
      </c>
      <c r="T6" s="3">
        <v>23</v>
      </c>
      <c r="U6" s="3">
        <v>59</v>
      </c>
      <c r="V6" s="64">
        <f>IF(ISERROR(VLOOKUP($S$6,'TAR FIN'!$A$1:$O$92,15,0)),0,VLOOKUP($S$6,'TAR FIN'!$A$1:$O$92,15,0))*(1-0.06)</f>
        <v>13.7616</v>
      </c>
      <c r="W6" s="64">
        <f>IF(ISERROR(VLOOKUP($T$6,'TAR FIN'!$A$1:$O$92,15,0)),0,VLOOKUP($T$6,'TAR FIN'!$A$1:$O$92,15,0))*(1-0.06)</f>
        <v>82.466200000000001</v>
      </c>
      <c r="X6" s="64">
        <f>IF(ISERROR(VLOOKUP($U$6,'TAR FIN'!$A$1:$O$92,15,0)),0,VLOOKUP($U$6,'TAR FIN'!$A$1:$O$92,15,0))*(1-0.06)</f>
        <v>238.666</v>
      </c>
      <c r="Y6" s="64">
        <f ca="1">('TUSD BE'!$AM$6+'TUSD BF'!$AM$6+'TUSD CVA'!$AM$6)*1*(1-0.03)</f>
        <v>18.453742481980488</v>
      </c>
      <c r="Z6" s="64">
        <f ca="1">('TUSD BE'!$AM$7+'TUSD BF'!$AM$7+'TUSD CVA'!$AM$7)*1*(1-0.03)</f>
        <v>106.15870582034525</v>
      </c>
      <c r="AA6" s="64">
        <f>('TE BE'!$AB$6+'TE BF'!$AB$6+'TE CVA'!$AB$6)*1*(1-0.03)</f>
        <v>307.86582774956895</v>
      </c>
      <c r="AB6" s="64">
        <f>(SUBSIDIO!$J$6*SUBSIDIO!$V$6)*(0.06)/(1-0.06)</f>
        <v>1952.6831999999999</v>
      </c>
      <c r="AC6" s="64">
        <f>((SUBSIDIO!$L$6*SUBSIDIO!$W$6)+(SUBSIDIO!$N$6*SUBSIDIO!$X$6))*(0.06)/(1-0.06)</f>
        <v>23065.374925799999</v>
      </c>
      <c r="AD6" s="64">
        <f ca="1">(SUBSIDIO!$J$6*SUBSIDIO!$Y$6)*(0.03)/(1-0.03)</f>
        <v>1268.7423568281224</v>
      </c>
      <c r="AE6" s="64">
        <f ca="1">((SUBSIDIO!$L$6*SUBSIDIO!$Z$6)+(SUBSIDIO!$N$6*SUBSIDIO!$AA$6))*(0.03)/(1-0.03)</f>
        <v>14408.834866064388</v>
      </c>
      <c r="AF6" s="3" t="s">
        <v>751</v>
      </c>
      <c r="AH6" s="58" t="s">
        <v>752</v>
      </c>
      <c r="AI6" s="59">
        <f t="shared" si="0"/>
        <v>3908922.1789359548</v>
      </c>
      <c r="AJ6" s="59">
        <f t="shared" ca="1" si="1"/>
        <v>2476662.1189582711</v>
      </c>
    </row>
    <row r="7" spans="1:36" ht="11.25" customHeight="1" x14ac:dyDescent="0.25">
      <c r="A7" s="3" t="s">
        <v>21</v>
      </c>
      <c r="B7" s="3" t="s">
        <v>39</v>
      </c>
      <c r="C7" s="3" t="s">
        <v>40</v>
      </c>
      <c r="D7" s="3" t="s">
        <v>49</v>
      </c>
      <c r="E7" s="3" t="s">
        <v>50</v>
      </c>
      <c r="F7" s="3" t="s">
        <v>25</v>
      </c>
      <c r="G7" s="3" t="s">
        <v>25</v>
      </c>
      <c r="H7" s="3" t="s">
        <v>35</v>
      </c>
      <c r="I7" s="6">
        <v>44652</v>
      </c>
      <c r="J7" s="4">
        <v>2223</v>
      </c>
      <c r="K7" s="63">
        <v>2223</v>
      </c>
      <c r="L7" s="4">
        <v>1125.261</v>
      </c>
      <c r="M7" s="64">
        <v>1125.261</v>
      </c>
      <c r="N7" s="4">
        <v>1125.261</v>
      </c>
      <c r="O7" s="64">
        <v>1125.261</v>
      </c>
      <c r="P7" s="4">
        <v>0</v>
      </c>
      <c r="Q7" s="3" t="s">
        <v>26</v>
      </c>
      <c r="R7" s="3">
        <v>0</v>
      </c>
      <c r="S7" s="3">
        <v>27</v>
      </c>
      <c r="T7" s="3">
        <v>23</v>
      </c>
      <c r="U7" s="3">
        <v>59</v>
      </c>
      <c r="V7" s="64">
        <f>IF(ISERROR(VLOOKUP($S$7,'TAR FIN'!$A$1:$O$92,15,0)),0,VLOOKUP($S$7,'TAR FIN'!$A$1:$O$92,15,0))*(1-0.06)</f>
        <v>13.7616</v>
      </c>
      <c r="W7" s="64">
        <f>IF(ISERROR(VLOOKUP($T$7,'TAR FIN'!$A$1:$O$92,15,0)),0,VLOOKUP($T$7,'TAR FIN'!$A$1:$O$92,15,0))*(1-0.06)</f>
        <v>82.466200000000001</v>
      </c>
      <c r="X7" s="64">
        <f>IF(ISERROR(VLOOKUP($U$7,'TAR FIN'!$A$1:$O$92,15,0)),0,VLOOKUP($U$7,'TAR FIN'!$A$1:$O$92,15,0))*(1-0.06)</f>
        <v>238.666</v>
      </c>
      <c r="Y7" s="64">
        <f ca="1">('TUSD BE'!$AM$6+'TUSD BF'!$AM$6+'TUSD CVA'!$AM$6)*1*(1-0.03)</f>
        <v>18.453742481980488</v>
      </c>
      <c r="Z7" s="64">
        <f ca="1">('TUSD BE'!$AM$7+'TUSD BF'!$AM$7+'TUSD CVA'!$AM$7)*1*(1-0.03)</f>
        <v>106.15870582034525</v>
      </c>
      <c r="AA7" s="64">
        <f>('TE BE'!$AB$6+'TE BF'!$AB$6+'TE CVA'!$AB$6)*1*(1-0.03)</f>
        <v>307.86582774956895</v>
      </c>
      <c r="AB7" s="64">
        <f>(SUBSIDIO!$J$7*SUBSIDIO!$V$7)*(0.06)/(1-0.06)</f>
        <v>1952.6831999999999</v>
      </c>
      <c r="AC7" s="64">
        <f>((SUBSIDIO!$L$7*SUBSIDIO!$W$7)+(SUBSIDIO!$N$7*SUBSIDIO!$X$7))*(0.06)/(1-0.06)</f>
        <v>23065.374925799999</v>
      </c>
      <c r="AD7" s="64">
        <f ca="1">(SUBSIDIO!$J$7*SUBSIDIO!$Y$7)*(0.03)/(1-0.03)</f>
        <v>1268.7423568281224</v>
      </c>
      <c r="AE7" s="64">
        <f ca="1">((SUBSIDIO!$L$7*SUBSIDIO!$Z$7)+(SUBSIDIO!$N$7*SUBSIDIO!$AA$7))*(0.03)/(1-0.03)</f>
        <v>14408.834866064388</v>
      </c>
      <c r="AF7" s="3" t="s">
        <v>751</v>
      </c>
      <c r="AH7" s="58" t="s">
        <v>753</v>
      </c>
      <c r="AI7" s="59">
        <f t="shared" si="0"/>
        <v>682924.7883506997</v>
      </c>
      <c r="AJ7" s="59">
        <f t="shared" ca="1" si="1"/>
        <v>846326.08242409979</v>
      </c>
    </row>
    <row r="8" spans="1:36" ht="11.25" customHeight="1" x14ac:dyDescent="0.25">
      <c r="A8" s="3" t="s">
        <v>21</v>
      </c>
      <c r="B8" s="3" t="s">
        <v>39</v>
      </c>
      <c r="C8" s="3" t="s">
        <v>40</v>
      </c>
      <c r="D8" s="3" t="s">
        <v>49</v>
      </c>
      <c r="E8" s="3" t="s">
        <v>50</v>
      </c>
      <c r="F8" s="3" t="s">
        <v>25</v>
      </c>
      <c r="G8" s="3" t="s">
        <v>25</v>
      </c>
      <c r="H8" s="3" t="s">
        <v>35</v>
      </c>
      <c r="I8" s="6">
        <v>44682</v>
      </c>
      <c r="J8" s="4">
        <v>2164</v>
      </c>
      <c r="K8" s="63">
        <v>2164</v>
      </c>
      <c r="L8" s="4">
        <v>1054.4939999999999</v>
      </c>
      <c r="M8" s="64">
        <v>1054.4939999999999</v>
      </c>
      <c r="N8" s="4">
        <v>1054.4939999999999</v>
      </c>
      <c r="O8" s="64">
        <v>1054.4939999999999</v>
      </c>
      <c r="P8" s="4">
        <v>0</v>
      </c>
      <c r="Q8" s="3" t="s">
        <v>26</v>
      </c>
      <c r="R8" s="3">
        <v>0</v>
      </c>
      <c r="S8" s="3">
        <v>27</v>
      </c>
      <c r="T8" s="3">
        <v>23</v>
      </c>
      <c r="U8" s="3">
        <v>59</v>
      </c>
      <c r="V8" s="64">
        <f>IF(ISERROR(VLOOKUP($S$8,'TAR FIN'!$A$1:$O$92,15,0)),0,VLOOKUP($S$8,'TAR FIN'!$A$1:$O$92,15,0))*(1-0.06)</f>
        <v>13.7616</v>
      </c>
      <c r="W8" s="64">
        <f>IF(ISERROR(VLOOKUP($T$8,'TAR FIN'!$A$1:$O$92,15,0)),0,VLOOKUP($T$8,'TAR FIN'!$A$1:$O$92,15,0))*(1-0.06)</f>
        <v>82.466200000000001</v>
      </c>
      <c r="X8" s="64">
        <f>IF(ISERROR(VLOOKUP($U$8,'TAR FIN'!$A$1:$O$92,15,0)),0,VLOOKUP($U$8,'TAR FIN'!$A$1:$O$92,15,0))*(1-0.06)</f>
        <v>238.666</v>
      </c>
      <c r="Y8" s="64">
        <f ca="1">('TUSD BE'!$AM$6+'TUSD BF'!$AM$6+'TUSD CVA'!$AM$6)*1*(1-0.03)</f>
        <v>18.453742481980488</v>
      </c>
      <c r="Z8" s="64">
        <f ca="1">('TUSD BE'!$AM$7+'TUSD BF'!$AM$7+'TUSD CVA'!$AM$7)*1*(1-0.03)</f>
        <v>106.15870582034525</v>
      </c>
      <c r="AA8" s="64">
        <f>('TE BE'!$AB$6+'TE BF'!$AB$6+'TE CVA'!$AB$6)*1*(1-0.03)</f>
        <v>307.86582774956895</v>
      </c>
      <c r="AB8" s="64">
        <f>(SUBSIDIO!$J$8*SUBSIDIO!$V$8)*(0.06)/(1-0.06)</f>
        <v>1900.8576</v>
      </c>
      <c r="AC8" s="64">
        <f>((SUBSIDIO!$L$8*SUBSIDIO!$W$8)+(SUBSIDIO!$N$8*SUBSIDIO!$X$8))*(0.06)/(1-0.06)</f>
        <v>21614.807113199997</v>
      </c>
      <c r="AD8" s="64">
        <f ca="1">(SUBSIDIO!$J$8*SUBSIDIO!$Y$8)*(0.03)/(1-0.03)</f>
        <v>1235.0690329177044</v>
      </c>
      <c r="AE8" s="64">
        <f ca="1">((SUBSIDIO!$L$8*SUBSIDIO!$Z$8)+(SUBSIDIO!$N$8*SUBSIDIO!$AA$8))*(0.03)/(1-0.03)</f>
        <v>13502.671747492981</v>
      </c>
      <c r="AF8" s="3" t="s">
        <v>751</v>
      </c>
      <c r="AH8" s="58" t="s">
        <v>754</v>
      </c>
      <c r="AI8" s="59">
        <f t="shared" si="0"/>
        <v>9658829.2074500024</v>
      </c>
      <c r="AJ8" s="59">
        <f t="shared" ca="1" si="1"/>
        <v>12132006.60129842</v>
      </c>
    </row>
    <row r="9" spans="1:36" ht="11.25" customHeight="1" x14ac:dyDescent="0.25">
      <c r="A9" s="3" t="s">
        <v>21</v>
      </c>
      <c r="B9" s="3" t="s">
        <v>39</v>
      </c>
      <c r="C9" s="3" t="s">
        <v>40</v>
      </c>
      <c r="D9" s="3" t="s">
        <v>49</v>
      </c>
      <c r="E9" s="3" t="s">
        <v>50</v>
      </c>
      <c r="F9" s="3" t="s">
        <v>25</v>
      </c>
      <c r="G9" s="3" t="s">
        <v>25</v>
      </c>
      <c r="H9" s="3" t="s">
        <v>35</v>
      </c>
      <c r="I9" s="6">
        <v>44713</v>
      </c>
      <c r="J9" s="4">
        <v>2162</v>
      </c>
      <c r="K9" s="63">
        <v>2162</v>
      </c>
      <c r="L9" s="4">
        <v>1015.821</v>
      </c>
      <c r="M9" s="64">
        <v>1015.821</v>
      </c>
      <c r="N9" s="4">
        <v>1015.821</v>
      </c>
      <c r="O9" s="64">
        <v>1015.821</v>
      </c>
      <c r="P9" s="4">
        <v>0</v>
      </c>
      <c r="Q9" s="3" t="s">
        <v>26</v>
      </c>
      <c r="R9" s="3">
        <v>0</v>
      </c>
      <c r="S9" s="3">
        <v>27</v>
      </c>
      <c r="T9" s="3">
        <v>23</v>
      </c>
      <c r="U9" s="3">
        <v>59</v>
      </c>
      <c r="V9" s="64">
        <f>IF(ISERROR(VLOOKUP($S$9,'TAR FIN'!$A$1:$O$92,15,0)),0,VLOOKUP($S$9,'TAR FIN'!$A$1:$O$92,15,0))*(1-0.06)</f>
        <v>13.7616</v>
      </c>
      <c r="W9" s="64">
        <f>IF(ISERROR(VLOOKUP($T$9,'TAR FIN'!$A$1:$O$92,15,0)),0,VLOOKUP($T$9,'TAR FIN'!$A$1:$O$92,15,0))*(1-0.06)</f>
        <v>82.466200000000001</v>
      </c>
      <c r="X9" s="64">
        <f>IF(ISERROR(VLOOKUP($U$9,'TAR FIN'!$A$1:$O$92,15,0)),0,VLOOKUP($U$9,'TAR FIN'!$A$1:$O$92,15,0))*(1-0.06)</f>
        <v>238.666</v>
      </c>
      <c r="Y9" s="64">
        <f ca="1">('TUSD BE'!$AM$6+'TUSD BF'!$AM$6+'TUSD CVA'!$AM$6)*1*(1-0.03)</f>
        <v>18.453742481980488</v>
      </c>
      <c r="Z9" s="64">
        <f ca="1">('TUSD BE'!$AM$7+'TUSD BF'!$AM$7+'TUSD CVA'!$AM$7)*1*(1-0.03)</f>
        <v>106.15870582034525</v>
      </c>
      <c r="AA9" s="64">
        <f>('TE BE'!$AB$6+'TE BF'!$AB$6+'TE CVA'!$AB$6)*1*(1-0.03)</f>
        <v>307.86582774956895</v>
      </c>
      <c r="AB9" s="64">
        <f>(SUBSIDIO!$J$9*SUBSIDIO!$V$9)*(0.06)/(1-0.06)</f>
        <v>1899.1007999999999</v>
      </c>
      <c r="AC9" s="64">
        <f>((SUBSIDIO!$L$9*SUBSIDIO!$W$9)+(SUBSIDIO!$N$9*SUBSIDIO!$X$9))*(0.06)/(1-0.06)</f>
        <v>20822.095693799998</v>
      </c>
      <c r="AD9" s="64">
        <f ca="1">(SUBSIDIO!$J$9*SUBSIDIO!$Y$9)*(0.03)/(1-0.03)</f>
        <v>1233.9275643105716</v>
      </c>
      <c r="AE9" s="64">
        <f ca="1">((SUBSIDIO!$L$9*SUBSIDIO!$Z$9)+(SUBSIDIO!$N$9*SUBSIDIO!$AA$9))*(0.03)/(1-0.03)</f>
        <v>13007.468527284242</v>
      </c>
      <c r="AF9" s="3" t="s">
        <v>751</v>
      </c>
      <c r="AH9" s="58" t="s">
        <v>760</v>
      </c>
      <c r="AI9" s="59">
        <f t="shared" si="0"/>
        <v>0</v>
      </c>
      <c r="AJ9" s="59">
        <f t="shared" si="1"/>
        <v>0</v>
      </c>
    </row>
    <row r="10" spans="1:36" ht="11.25" customHeight="1" x14ac:dyDescent="0.25">
      <c r="A10" s="3" t="s">
        <v>21</v>
      </c>
      <c r="B10" s="3" t="s">
        <v>39</v>
      </c>
      <c r="C10" s="3" t="s">
        <v>40</v>
      </c>
      <c r="D10" s="3" t="s">
        <v>49</v>
      </c>
      <c r="E10" s="3" t="s">
        <v>50</v>
      </c>
      <c r="F10" s="3" t="s">
        <v>25</v>
      </c>
      <c r="G10" s="3" t="s">
        <v>25</v>
      </c>
      <c r="H10" s="3" t="s">
        <v>35</v>
      </c>
      <c r="I10" s="6">
        <v>44743</v>
      </c>
      <c r="J10" s="4">
        <v>2199</v>
      </c>
      <c r="K10" s="63">
        <v>2199</v>
      </c>
      <c r="L10" s="4">
        <v>998.71199999999999</v>
      </c>
      <c r="M10" s="64">
        <v>998.71199999999999</v>
      </c>
      <c r="N10" s="4">
        <v>998.71199999999999</v>
      </c>
      <c r="O10" s="64">
        <v>998.71199999999999</v>
      </c>
      <c r="P10" s="4">
        <v>0</v>
      </c>
      <c r="Q10" s="3" t="s">
        <v>26</v>
      </c>
      <c r="R10" s="3">
        <v>0</v>
      </c>
      <c r="S10" s="3">
        <v>27</v>
      </c>
      <c r="T10" s="3">
        <v>23</v>
      </c>
      <c r="U10" s="3">
        <v>59</v>
      </c>
      <c r="V10" s="64">
        <f>IF(ISERROR(VLOOKUP($S$10,'TAR FIN'!$A$1:$O$92,15,0)),0,VLOOKUP($S$10,'TAR FIN'!$A$1:$O$92,15,0))*(1-0.06)</f>
        <v>13.7616</v>
      </c>
      <c r="W10" s="64">
        <f>IF(ISERROR(VLOOKUP($T$10,'TAR FIN'!$A$1:$O$92,15,0)),0,VLOOKUP($T$10,'TAR FIN'!$A$1:$O$92,15,0))*(1-0.06)</f>
        <v>82.466200000000001</v>
      </c>
      <c r="X10" s="64">
        <f>IF(ISERROR(VLOOKUP($U$10,'TAR FIN'!$A$1:$O$92,15,0)),0,VLOOKUP($U$10,'TAR FIN'!$A$1:$O$92,15,0))*(1-0.06)</f>
        <v>238.666</v>
      </c>
      <c r="Y10" s="64">
        <f ca="1">('TUSD BE'!$AM$6+'TUSD BF'!$AM$6+'TUSD CVA'!$AM$6)*1*(1-0.03)</f>
        <v>18.453742481980488</v>
      </c>
      <c r="Z10" s="64">
        <f ca="1">('TUSD BE'!$AM$7+'TUSD BF'!$AM$7+'TUSD CVA'!$AM$7)*1*(1-0.03)</f>
        <v>106.15870582034525</v>
      </c>
      <c r="AA10" s="64">
        <f>('TE BE'!$AB$6+'TE BF'!$AB$6+'TE CVA'!$AB$6)*1*(1-0.03)</f>
        <v>307.86582774956895</v>
      </c>
      <c r="AB10" s="64">
        <f>(SUBSIDIO!$J$10*SUBSIDIO!$V$10)*(0.06)/(1-0.06)</f>
        <v>1931.6016</v>
      </c>
      <c r="AC10" s="64">
        <f>((SUBSIDIO!$L$10*SUBSIDIO!$W$10)+(SUBSIDIO!$N$10*SUBSIDIO!$X$10))*(0.06)/(1-0.06)</f>
        <v>20471.3988336</v>
      </c>
      <c r="AD10" s="64">
        <f ca="1">(SUBSIDIO!$J$10*SUBSIDIO!$Y$10)*(0.03)/(1-0.03)</f>
        <v>1255.0447335425285</v>
      </c>
      <c r="AE10" s="64">
        <f ca="1">((SUBSIDIO!$L$10*SUBSIDIO!$Z$10)+(SUBSIDIO!$N$10*SUBSIDIO!$AA$10))*(0.03)/(1-0.03)</f>
        <v>12788.38979290751</v>
      </c>
      <c r="AF10" s="3" t="s">
        <v>751</v>
      </c>
    </row>
    <row r="11" spans="1:36" ht="11.25" customHeight="1" x14ac:dyDescent="0.25">
      <c r="A11" s="3" t="s">
        <v>21</v>
      </c>
      <c r="B11" s="3" t="s">
        <v>39</v>
      </c>
      <c r="C11" s="3" t="s">
        <v>40</v>
      </c>
      <c r="D11" s="3" t="s">
        <v>49</v>
      </c>
      <c r="E11" s="3" t="s">
        <v>50</v>
      </c>
      <c r="F11" s="3" t="s">
        <v>25</v>
      </c>
      <c r="G11" s="3" t="s">
        <v>25</v>
      </c>
      <c r="H11" s="3" t="s">
        <v>35</v>
      </c>
      <c r="I11" s="6">
        <v>44774</v>
      </c>
      <c r="J11" s="4">
        <v>2176</v>
      </c>
      <c r="K11" s="63">
        <v>2176</v>
      </c>
      <c r="L11" s="4">
        <v>1021.486</v>
      </c>
      <c r="M11" s="64">
        <v>1021.486</v>
      </c>
      <c r="N11" s="4">
        <v>1021.486</v>
      </c>
      <c r="O11" s="64">
        <v>1021.486</v>
      </c>
      <c r="P11" s="4">
        <v>0</v>
      </c>
      <c r="Q11" s="3" t="s">
        <v>26</v>
      </c>
      <c r="R11" s="3">
        <v>0</v>
      </c>
      <c r="S11" s="3">
        <v>27</v>
      </c>
      <c r="T11" s="3">
        <v>23</v>
      </c>
      <c r="U11" s="3">
        <v>59</v>
      </c>
      <c r="V11" s="64">
        <f>IF(ISERROR(VLOOKUP($S$11,'TAR FIN'!$A$1:$O$92,15,0)),0,VLOOKUP($S$11,'TAR FIN'!$A$1:$O$92,15,0))*(1-0.06)</f>
        <v>13.7616</v>
      </c>
      <c r="W11" s="64">
        <f>IF(ISERROR(VLOOKUP($T$11,'TAR FIN'!$A$1:$O$92,15,0)),0,VLOOKUP($T$11,'TAR FIN'!$A$1:$O$92,15,0))*(1-0.06)</f>
        <v>82.466200000000001</v>
      </c>
      <c r="X11" s="64">
        <f>IF(ISERROR(VLOOKUP($U$11,'TAR FIN'!$A$1:$O$92,15,0)),0,VLOOKUP($U$11,'TAR FIN'!$A$1:$O$92,15,0))*(1-0.06)</f>
        <v>238.666</v>
      </c>
      <c r="Y11" s="64">
        <f ca="1">('TUSD BE'!$AM$6+'TUSD BF'!$AM$6+'TUSD CVA'!$AM$6)*1*(1-0.03)</f>
        <v>18.453742481980488</v>
      </c>
      <c r="Z11" s="64">
        <f ca="1">('TUSD BE'!$AM$7+'TUSD BF'!$AM$7+'TUSD CVA'!$AM$7)*1*(1-0.03)</f>
        <v>106.15870582034525</v>
      </c>
      <c r="AA11" s="64">
        <f>('TE BE'!$AB$6+'TE BF'!$AB$6+'TE CVA'!$AB$6)*1*(1-0.03)</f>
        <v>307.86582774956895</v>
      </c>
      <c r="AB11" s="64">
        <f>(SUBSIDIO!$J$11*SUBSIDIO!$V$11)*(0.06)/(1-0.06)</f>
        <v>1911.3983999999998</v>
      </c>
      <c r="AC11" s="64">
        <f>((SUBSIDIO!$L$11*SUBSIDIO!$W$11)+(SUBSIDIO!$N$11*SUBSIDIO!$X$11))*(0.06)/(1-0.06)</f>
        <v>20938.215730799999</v>
      </c>
      <c r="AD11" s="64">
        <f ca="1">(SUBSIDIO!$J$11*SUBSIDIO!$Y$11)*(0.03)/(1-0.03)</f>
        <v>1241.9178445605014</v>
      </c>
      <c r="AE11" s="64">
        <f ca="1">((SUBSIDIO!$L$11*SUBSIDIO!$Z$11)+(SUBSIDIO!$N$11*SUBSIDIO!$AA$11))*(0.03)/(1-0.03)</f>
        <v>13080.008186542185</v>
      </c>
      <c r="AF11" s="3" t="s">
        <v>751</v>
      </c>
    </row>
    <row r="12" spans="1:36" ht="11.25" customHeight="1" x14ac:dyDescent="0.25">
      <c r="A12" s="3" t="s">
        <v>21</v>
      </c>
      <c r="B12" s="3" t="s">
        <v>39</v>
      </c>
      <c r="C12" s="3" t="s">
        <v>40</v>
      </c>
      <c r="D12" s="3" t="s">
        <v>49</v>
      </c>
      <c r="E12" s="3" t="s">
        <v>50</v>
      </c>
      <c r="F12" s="3" t="s">
        <v>25</v>
      </c>
      <c r="G12" s="3" t="s">
        <v>25</v>
      </c>
      <c r="H12" s="3" t="s">
        <v>35</v>
      </c>
      <c r="I12" s="6">
        <v>44805</v>
      </c>
      <c r="J12" s="4">
        <v>2196</v>
      </c>
      <c r="K12" s="63">
        <v>2196</v>
      </c>
      <c r="L12" s="4">
        <v>1073.4110000000001</v>
      </c>
      <c r="M12" s="64">
        <v>1073.4110000000001</v>
      </c>
      <c r="N12" s="4">
        <v>1073.4110000000001</v>
      </c>
      <c r="O12" s="64">
        <v>1073.4110000000001</v>
      </c>
      <c r="P12" s="4">
        <v>0</v>
      </c>
      <c r="Q12" s="3" t="s">
        <v>26</v>
      </c>
      <c r="R12" s="3">
        <v>0</v>
      </c>
      <c r="S12" s="3">
        <v>27</v>
      </c>
      <c r="T12" s="3">
        <v>23</v>
      </c>
      <c r="U12" s="3">
        <v>59</v>
      </c>
      <c r="V12" s="64">
        <f>IF(ISERROR(VLOOKUP($S$12,'TAR FIN'!$A$1:$O$92,15,0)),0,VLOOKUP($S$12,'TAR FIN'!$A$1:$O$92,15,0))*(1-0.06)</f>
        <v>13.7616</v>
      </c>
      <c r="W12" s="64">
        <f>IF(ISERROR(VLOOKUP($T$12,'TAR FIN'!$A$1:$O$92,15,0)),0,VLOOKUP($T$12,'TAR FIN'!$A$1:$O$92,15,0))*(1-0.06)</f>
        <v>82.466200000000001</v>
      </c>
      <c r="X12" s="64">
        <f>IF(ISERROR(VLOOKUP($U$12,'TAR FIN'!$A$1:$O$92,15,0)),0,VLOOKUP($U$12,'TAR FIN'!$A$1:$O$92,15,0))*(1-0.06)</f>
        <v>238.666</v>
      </c>
      <c r="Y12" s="64">
        <f ca="1">('TUSD BE'!$AM$6+'TUSD BF'!$AM$6+'TUSD CVA'!$AM$6)*1*(1-0.03)</f>
        <v>18.453742481980488</v>
      </c>
      <c r="Z12" s="64">
        <f ca="1">('TUSD BE'!$AM$7+'TUSD BF'!$AM$7+'TUSD CVA'!$AM$7)*1*(1-0.03)</f>
        <v>106.15870582034525</v>
      </c>
      <c r="AA12" s="64">
        <f>('TE BE'!$AB$6+'TE BF'!$AB$6+'TE CVA'!$AB$6)*1*(1-0.03)</f>
        <v>307.86582774956895</v>
      </c>
      <c r="AB12" s="64">
        <f>(SUBSIDIO!$J$12*SUBSIDIO!$V$12)*(0.06)/(1-0.06)</f>
        <v>1928.9663999999998</v>
      </c>
      <c r="AC12" s="64">
        <f>((SUBSIDIO!$L$12*SUBSIDIO!$W$12)+(SUBSIDIO!$N$12*SUBSIDIO!$X$12))*(0.06)/(1-0.06)</f>
        <v>22002.563995799999</v>
      </c>
      <c r="AD12" s="64">
        <f ca="1">(SUBSIDIO!$J$12*SUBSIDIO!$Y$12)*(0.03)/(1-0.03)</f>
        <v>1253.3325306318295</v>
      </c>
      <c r="AE12" s="64">
        <f ca="1">((SUBSIDIO!$L$12*SUBSIDIO!$Z$12)+(SUBSIDIO!$N$12*SUBSIDIO!$AA$12))*(0.03)/(1-0.03)</f>
        <v>13744.901709396347</v>
      </c>
      <c r="AF12" s="3" t="s">
        <v>751</v>
      </c>
    </row>
    <row r="13" spans="1:36" ht="11.25" customHeight="1" x14ac:dyDescent="0.25">
      <c r="A13" s="3" t="s">
        <v>55</v>
      </c>
      <c r="B13" s="3" t="s">
        <v>39</v>
      </c>
      <c r="C13" s="3" t="s">
        <v>40</v>
      </c>
      <c r="D13" s="3" t="s">
        <v>49</v>
      </c>
      <c r="E13" s="3" t="s">
        <v>50</v>
      </c>
      <c r="F13" s="3" t="s">
        <v>25</v>
      </c>
      <c r="G13" s="3" t="s">
        <v>25</v>
      </c>
      <c r="H13" s="3" t="s">
        <v>35</v>
      </c>
      <c r="I13" s="6">
        <v>44835</v>
      </c>
      <c r="J13" s="4">
        <v>2196</v>
      </c>
      <c r="K13" s="63">
        <v>2196</v>
      </c>
      <c r="L13" s="4">
        <v>1073.4110000000001</v>
      </c>
      <c r="M13" s="64">
        <v>1073.4110000000001</v>
      </c>
      <c r="N13" s="4">
        <v>1073.4110000000001</v>
      </c>
      <c r="O13" s="64">
        <v>1073.4110000000001</v>
      </c>
      <c r="P13" s="4">
        <v>0</v>
      </c>
      <c r="Q13" s="3" t="s">
        <v>26</v>
      </c>
      <c r="R13" s="3">
        <v>0</v>
      </c>
      <c r="S13" s="3">
        <v>27</v>
      </c>
      <c r="T13" s="3">
        <v>23</v>
      </c>
      <c r="U13" s="3">
        <v>59</v>
      </c>
      <c r="V13" s="64">
        <f>IF(ISERROR(VLOOKUP($S$13,'TAR FIN'!$A$1:$O$92,15,0)),0,VLOOKUP($S$13,'TAR FIN'!$A$1:$O$92,15,0))*(1-0.06)</f>
        <v>13.7616</v>
      </c>
      <c r="W13" s="64">
        <f>IF(ISERROR(VLOOKUP($T$13,'TAR FIN'!$A$1:$O$92,15,0)),0,VLOOKUP($T$13,'TAR FIN'!$A$1:$O$92,15,0))*(1-0.06)</f>
        <v>82.466200000000001</v>
      </c>
      <c r="X13" s="64">
        <f>IF(ISERROR(VLOOKUP($U$13,'TAR FIN'!$A$1:$O$92,15,0)),0,VLOOKUP($U$13,'TAR FIN'!$A$1:$O$92,15,0))*(1-0.06)</f>
        <v>238.666</v>
      </c>
      <c r="Y13" s="64">
        <f ca="1">('TUSD BE'!$AM$6+'TUSD BF'!$AM$6+'TUSD CVA'!$AM$6)*1*(1-0.03)</f>
        <v>18.453742481980488</v>
      </c>
      <c r="Z13" s="64">
        <f ca="1">('TUSD BE'!$AM$7+'TUSD BF'!$AM$7+'TUSD CVA'!$AM$7)*1*(1-0.03)</f>
        <v>106.15870582034525</v>
      </c>
      <c r="AA13" s="64">
        <f>('TE BE'!$AB$6+'TE BF'!$AB$6+'TE CVA'!$AB$6)*1*(1-0.03)</f>
        <v>307.86582774956895</v>
      </c>
      <c r="AB13" s="64">
        <f>(SUBSIDIO!$J$13*SUBSIDIO!$V$13)*(0.06)/(1-0.06)</f>
        <v>1928.9663999999998</v>
      </c>
      <c r="AC13" s="64">
        <f>((SUBSIDIO!$L$13*SUBSIDIO!$W$13)+(SUBSIDIO!$N$13*SUBSIDIO!$X$13))*(0.06)/(1-0.06)</f>
        <v>22002.563995799999</v>
      </c>
      <c r="AD13" s="64">
        <f ca="1">(SUBSIDIO!$J$13*SUBSIDIO!$Y$13)*(0.03)/(1-0.03)</f>
        <v>1253.3325306318295</v>
      </c>
      <c r="AE13" s="64">
        <f ca="1">((SUBSIDIO!$L$13*SUBSIDIO!$Z$13)+(SUBSIDIO!$N$13*SUBSIDIO!$AA$13))*(0.03)/(1-0.03)</f>
        <v>13744.901709396347</v>
      </c>
      <c r="AF13" s="3" t="s">
        <v>751</v>
      </c>
    </row>
    <row r="14" spans="1:36" ht="11.25" customHeight="1" x14ac:dyDescent="0.25">
      <c r="A14" s="3" t="s">
        <v>21</v>
      </c>
      <c r="B14" s="3" t="s">
        <v>39</v>
      </c>
      <c r="C14" s="3" t="s">
        <v>40</v>
      </c>
      <c r="D14" s="3" t="s">
        <v>49</v>
      </c>
      <c r="E14" s="3" t="s">
        <v>50</v>
      </c>
      <c r="F14" s="3" t="s">
        <v>25</v>
      </c>
      <c r="G14" s="3" t="s">
        <v>25</v>
      </c>
      <c r="H14" s="3" t="s">
        <v>34</v>
      </c>
      <c r="I14" s="6">
        <v>44501</v>
      </c>
      <c r="J14" s="4">
        <v>2125</v>
      </c>
      <c r="K14" s="63">
        <v>2125</v>
      </c>
      <c r="L14" s="4">
        <v>102.19199999999999</v>
      </c>
      <c r="M14" s="64">
        <v>102.19199999999999</v>
      </c>
      <c r="N14" s="4">
        <v>102.19199999999999</v>
      </c>
      <c r="O14" s="64">
        <v>102.19199999999999</v>
      </c>
      <c r="P14" s="4">
        <v>0</v>
      </c>
      <c r="Q14" s="3" t="s">
        <v>26</v>
      </c>
      <c r="R14" s="3">
        <v>0</v>
      </c>
      <c r="S14" s="3">
        <v>34</v>
      </c>
      <c r="T14" s="3">
        <v>23</v>
      </c>
      <c r="U14" s="3">
        <v>71</v>
      </c>
      <c r="V14" s="64">
        <f>IF(ISERROR(VLOOKUP($S$14,'TAR FIN'!$A$1:$O$92,15,0)),0,VLOOKUP($S$14,'TAR FIN'!$A$1:$O$92,15,0))*(1-0.06)</f>
        <v>41.36</v>
      </c>
      <c r="W14" s="64">
        <f>IF(ISERROR(VLOOKUP($T$14,'TAR FIN'!$A$1:$O$92,15,0)),0,VLOOKUP($T$14,'TAR FIN'!$A$1:$O$92,15,0))*(1-0.06)</f>
        <v>82.466200000000001</v>
      </c>
      <c r="X14" s="64">
        <f>IF(ISERROR(VLOOKUP($U$14,'TAR FIN'!$A$1:$O$92,15,0)),0,VLOOKUP($U$14,'TAR FIN'!$A$1:$O$92,15,0))*(1-0.06)</f>
        <v>407.74379999999996</v>
      </c>
      <c r="Y14" s="64">
        <f ca="1">('TUSD BE'!$AM$5+'TUSD BF'!$AM$5+'TUSD CVA'!$AM$5)*1*(1-0.03)</f>
        <v>55.37851612922929</v>
      </c>
      <c r="Z14" s="64">
        <f ca="1">('TUSD BE'!$AM$7+'TUSD BF'!$AM$7+'TUSD CVA'!$AM$7)*1*(1-0.03)</f>
        <v>106.15870582034525</v>
      </c>
      <c r="AA14" s="64">
        <f>('TE BE'!$AB$5+'TE BF'!$AB$5+'TE CVA'!$AB$5)*1*(1-0.03)</f>
        <v>526.5588226383453</v>
      </c>
      <c r="AB14" s="64">
        <f>(SUBSIDIO!$J$14*SUBSIDIO!$V$14)*(0.06)/(1-0.06)</f>
        <v>5610</v>
      </c>
      <c r="AC14" s="64">
        <f>((SUBSIDIO!$L$14*SUBSIDIO!$W$14)+(SUBSIDIO!$N$14*SUBSIDIO!$X$14))*(0.06)/(1-0.06)</f>
        <v>3197.5876799999996</v>
      </c>
      <c r="AD14" s="64">
        <f ca="1">(SUBSIDIO!$J$14*SUBSIDIO!$Y$14)*(0.03)/(1-0.03)</f>
        <v>3639.5674260189353</v>
      </c>
      <c r="AE14" s="64">
        <f ca="1">((SUBSIDIO!$L$14*SUBSIDIO!$Z$14)+(SUBSIDIO!$N$14*SUBSIDIO!$AA$14))*(0.03)/(1-0.03)</f>
        <v>1999.7526701520774</v>
      </c>
      <c r="AF14" s="3" t="s">
        <v>751</v>
      </c>
    </row>
    <row r="15" spans="1:36" ht="11.25" customHeight="1" x14ac:dyDescent="0.25">
      <c r="A15" s="3" t="s">
        <v>21</v>
      </c>
      <c r="B15" s="3" t="s">
        <v>39</v>
      </c>
      <c r="C15" s="3" t="s">
        <v>40</v>
      </c>
      <c r="D15" s="3" t="s">
        <v>49</v>
      </c>
      <c r="E15" s="3" t="s">
        <v>50</v>
      </c>
      <c r="F15" s="3" t="s">
        <v>25</v>
      </c>
      <c r="G15" s="3" t="s">
        <v>25</v>
      </c>
      <c r="H15" s="3" t="s">
        <v>34</v>
      </c>
      <c r="I15" s="6">
        <v>44531</v>
      </c>
      <c r="J15" s="4">
        <v>2097</v>
      </c>
      <c r="K15" s="63">
        <v>2097</v>
      </c>
      <c r="L15" s="4">
        <v>114.267</v>
      </c>
      <c r="M15" s="64">
        <v>114.267</v>
      </c>
      <c r="N15" s="4">
        <v>114.267</v>
      </c>
      <c r="O15" s="64">
        <v>114.267</v>
      </c>
      <c r="P15" s="4">
        <v>0</v>
      </c>
      <c r="Q15" s="3" t="s">
        <v>26</v>
      </c>
      <c r="R15" s="3">
        <v>0</v>
      </c>
      <c r="S15" s="3">
        <v>34</v>
      </c>
      <c r="T15" s="3">
        <v>23</v>
      </c>
      <c r="U15" s="3">
        <v>71</v>
      </c>
      <c r="V15" s="64">
        <f>IF(ISERROR(VLOOKUP($S$15,'TAR FIN'!$A$1:$O$92,15,0)),0,VLOOKUP($S$15,'TAR FIN'!$A$1:$O$92,15,0))*(1-0.06)</f>
        <v>41.36</v>
      </c>
      <c r="W15" s="64">
        <f>IF(ISERROR(VLOOKUP($T$15,'TAR FIN'!$A$1:$O$92,15,0)),0,VLOOKUP($T$15,'TAR FIN'!$A$1:$O$92,15,0))*(1-0.06)</f>
        <v>82.466200000000001</v>
      </c>
      <c r="X15" s="64">
        <f>IF(ISERROR(VLOOKUP($U$15,'TAR FIN'!$A$1:$O$92,15,0)),0,VLOOKUP($U$15,'TAR FIN'!$A$1:$O$92,15,0))*(1-0.06)</f>
        <v>407.74379999999996</v>
      </c>
      <c r="Y15" s="64">
        <f ca="1">('TUSD BE'!$AM$5+'TUSD BF'!$AM$5+'TUSD CVA'!$AM$5)*1*(1-0.03)</f>
        <v>55.37851612922929</v>
      </c>
      <c r="Z15" s="64">
        <f ca="1">('TUSD BE'!$AM$7+'TUSD BF'!$AM$7+'TUSD CVA'!$AM$7)*1*(1-0.03)</f>
        <v>106.15870582034525</v>
      </c>
      <c r="AA15" s="64">
        <f>('TE BE'!$AB$5+'TE BF'!$AB$5+'TE CVA'!$AB$5)*1*(1-0.03)</f>
        <v>526.5588226383453</v>
      </c>
      <c r="AB15" s="64">
        <f>(SUBSIDIO!$J$15*SUBSIDIO!$V$15)*(0.06)/(1-0.06)</f>
        <v>5536.08</v>
      </c>
      <c r="AC15" s="64">
        <f>((SUBSIDIO!$L$15*SUBSIDIO!$W$15)+(SUBSIDIO!$N$15*SUBSIDIO!$X$15))*(0.06)/(1-0.06)</f>
        <v>3575.4144299999998</v>
      </c>
      <c r="AD15" s="64">
        <f ca="1">(SUBSIDIO!$J$15*SUBSIDIO!$Y$15)*(0.03)/(1-0.03)</f>
        <v>3591.6107728760976</v>
      </c>
      <c r="AE15" s="64">
        <f ca="1">((SUBSIDIO!$L$15*SUBSIDIO!$Z$15)+(SUBSIDIO!$N$15*SUBSIDIO!$AA$15))*(0.03)/(1-0.03)</f>
        <v>2236.0433141563667</v>
      </c>
      <c r="AF15" s="3" t="s">
        <v>751</v>
      </c>
    </row>
    <row r="16" spans="1:36" ht="11.25" customHeight="1" x14ac:dyDescent="0.25">
      <c r="A16" s="3" t="s">
        <v>21</v>
      </c>
      <c r="B16" s="3" t="s">
        <v>39</v>
      </c>
      <c r="C16" s="3" t="s">
        <v>40</v>
      </c>
      <c r="D16" s="3" t="s">
        <v>49</v>
      </c>
      <c r="E16" s="3" t="s">
        <v>50</v>
      </c>
      <c r="F16" s="3" t="s">
        <v>25</v>
      </c>
      <c r="G16" s="3" t="s">
        <v>25</v>
      </c>
      <c r="H16" s="3" t="s">
        <v>34</v>
      </c>
      <c r="I16" s="6">
        <v>44562</v>
      </c>
      <c r="J16" s="4">
        <v>2096</v>
      </c>
      <c r="K16" s="63">
        <v>2096</v>
      </c>
      <c r="L16" s="4">
        <v>105.336</v>
      </c>
      <c r="M16" s="64">
        <v>105.336</v>
      </c>
      <c r="N16" s="4">
        <v>105.336</v>
      </c>
      <c r="O16" s="64">
        <v>105.336</v>
      </c>
      <c r="P16" s="4">
        <v>0</v>
      </c>
      <c r="Q16" s="3" t="s">
        <v>26</v>
      </c>
      <c r="R16" s="3">
        <v>0</v>
      </c>
      <c r="S16" s="3">
        <v>34</v>
      </c>
      <c r="T16" s="3">
        <v>23</v>
      </c>
      <c r="U16" s="3">
        <v>71</v>
      </c>
      <c r="V16" s="64">
        <f>IF(ISERROR(VLOOKUP($S$16,'TAR FIN'!$A$1:$O$92,15,0)),0,VLOOKUP($S$16,'TAR FIN'!$A$1:$O$92,15,0))*(1-0.06)</f>
        <v>41.36</v>
      </c>
      <c r="W16" s="64">
        <f>IF(ISERROR(VLOOKUP($T$16,'TAR FIN'!$A$1:$O$92,15,0)),0,VLOOKUP($T$16,'TAR FIN'!$A$1:$O$92,15,0))*(1-0.06)</f>
        <v>82.466200000000001</v>
      </c>
      <c r="X16" s="64">
        <f>IF(ISERROR(VLOOKUP($U$16,'TAR FIN'!$A$1:$O$92,15,0)),0,VLOOKUP($U$16,'TAR FIN'!$A$1:$O$92,15,0))*(1-0.06)</f>
        <v>407.74379999999996</v>
      </c>
      <c r="Y16" s="64">
        <f ca="1">('TUSD BE'!$AM$5+'TUSD BF'!$AM$5+'TUSD CVA'!$AM$5)*1*(1-0.03)</f>
        <v>55.37851612922929</v>
      </c>
      <c r="Z16" s="64">
        <f ca="1">('TUSD BE'!$AM$7+'TUSD BF'!$AM$7+'TUSD CVA'!$AM$7)*1*(1-0.03)</f>
        <v>106.15870582034525</v>
      </c>
      <c r="AA16" s="64">
        <f>('TE BE'!$AB$5+'TE BF'!$AB$5+'TE CVA'!$AB$5)*1*(1-0.03)</f>
        <v>526.5588226383453</v>
      </c>
      <c r="AB16" s="64">
        <f>(SUBSIDIO!$J$16*SUBSIDIO!$V$16)*(0.06)/(1-0.06)</f>
        <v>5533.44</v>
      </c>
      <c r="AC16" s="64">
        <f>((SUBSIDIO!$L$16*SUBSIDIO!$W$16)+(SUBSIDIO!$N$16*SUBSIDIO!$X$16))*(0.06)/(1-0.06)</f>
        <v>3295.9634399999995</v>
      </c>
      <c r="AD16" s="64">
        <f ca="1">(SUBSIDIO!$J$16*SUBSIDIO!$Y$16)*(0.03)/(1-0.03)</f>
        <v>3589.8980352638532</v>
      </c>
      <c r="AE16" s="64">
        <f ca="1">((SUBSIDIO!$L$16*SUBSIDIO!$Z$16)+(SUBSIDIO!$N$16*SUBSIDIO!$AA$16))*(0.03)/(1-0.03)</f>
        <v>2061.2762962182874</v>
      </c>
      <c r="AF16" s="3" t="s">
        <v>751</v>
      </c>
    </row>
    <row r="17" spans="1:32" ht="11.25" customHeight="1" x14ac:dyDescent="0.25">
      <c r="A17" s="3" t="s">
        <v>21</v>
      </c>
      <c r="B17" s="3" t="s">
        <v>39</v>
      </c>
      <c r="C17" s="3" t="s">
        <v>40</v>
      </c>
      <c r="D17" s="3" t="s">
        <v>49</v>
      </c>
      <c r="E17" s="3" t="s">
        <v>50</v>
      </c>
      <c r="F17" s="3" t="s">
        <v>25</v>
      </c>
      <c r="G17" s="3" t="s">
        <v>25</v>
      </c>
      <c r="H17" s="3" t="s">
        <v>34</v>
      </c>
      <c r="I17" s="6">
        <v>44593</v>
      </c>
      <c r="J17" s="4">
        <v>2122</v>
      </c>
      <c r="K17" s="63">
        <v>2122</v>
      </c>
      <c r="L17" s="4">
        <v>102.905</v>
      </c>
      <c r="M17" s="64">
        <v>102.905</v>
      </c>
      <c r="N17" s="4">
        <v>102.905</v>
      </c>
      <c r="O17" s="64">
        <v>102.905</v>
      </c>
      <c r="P17" s="4">
        <v>0</v>
      </c>
      <c r="Q17" s="3" t="s">
        <v>26</v>
      </c>
      <c r="R17" s="3">
        <v>0</v>
      </c>
      <c r="S17" s="3">
        <v>34</v>
      </c>
      <c r="T17" s="3">
        <v>23</v>
      </c>
      <c r="U17" s="3">
        <v>71</v>
      </c>
      <c r="V17" s="64">
        <f>IF(ISERROR(VLOOKUP($S$17,'TAR FIN'!$A$1:$O$92,15,0)),0,VLOOKUP($S$17,'TAR FIN'!$A$1:$O$92,15,0))*(1-0.06)</f>
        <v>41.36</v>
      </c>
      <c r="W17" s="64">
        <f>IF(ISERROR(VLOOKUP($T$17,'TAR FIN'!$A$1:$O$92,15,0)),0,VLOOKUP($T$17,'TAR FIN'!$A$1:$O$92,15,0))*(1-0.06)</f>
        <v>82.466200000000001</v>
      </c>
      <c r="X17" s="64">
        <f>IF(ISERROR(VLOOKUP($U$17,'TAR FIN'!$A$1:$O$92,15,0)),0,VLOOKUP($U$17,'TAR FIN'!$A$1:$O$92,15,0))*(1-0.06)</f>
        <v>407.74379999999996</v>
      </c>
      <c r="Y17" s="64">
        <f ca="1">('TUSD BE'!$AM$5+'TUSD BF'!$AM$5+'TUSD CVA'!$AM$5)*1*(1-0.03)</f>
        <v>55.37851612922929</v>
      </c>
      <c r="Z17" s="64">
        <f ca="1">('TUSD BE'!$AM$7+'TUSD BF'!$AM$7+'TUSD CVA'!$AM$7)*1*(1-0.03)</f>
        <v>106.15870582034525</v>
      </c>
      <c r="AA17" s="64">
        <f>('TE BE'!$AB$5+'TE BF'!$AB$5+'TE CVA'!$AB$5)*1*(1-0.03)</f>
        <v>526.5588226383453</v>
      </c>
      <c r="AB17" s="64">
        <f>(SUBSIDIO!$J$17*SUBSIDIO!$V$17)*(0.06)/(1-0.06)</f>
        <v>5602.08</v>
      </c>
      <c r="AC17" s="64">
        <f>((SUBSIDIO!$L$17*SUBSIDIO!$W$17)+(SUBSIDIO!$N$17*SUBSIDIO!$X$17))*(0.06)/(1-0.06)</f>
        <v>3219.8974499999999</v>
      </c>
      <c r="AD17" s="64">
        <f ca="1">(SUBSIDIO!$J$17*SUBSIDIO!$Y$17)*(0.03)/(1-0.03)</f>
        <v>3634.4292131822026</v>
      </c>
      <c r="AE17" s="64">
        <f ca="1">((SUBSIDIO!$L$17*SUBSIDIO!$Z$17)+(SUBSIDIO!$N$17*SUBSIDIO!$AA$17))*(0.03)/(1-0.03)</f>
        <v>2013.7050700837594</v>
      </c>
      <c r="AF17" s="3" t="s">
        <v>751</v>
      </c>
    </row>
    <row r="18" spans="1:32" ht="11.25" customHeight="1" x14ac:dyDescent="0.25">
      <c r="A18" s="3" t="s">
        <v>21</v>
      </c>
      <c r="B18" s="3" t="s">
        <v>39</v>
      </c>
      <c r="C18" s="3" t="s">
        <v>40</v>
      </c>
      <c r="D18" s="3" t="s">
        <v>49</v>
      </c>
      <c r="E18" s="3" t="s">
        <v>50</v>
      </c>
      <c r="F18" s="3" t="s">
        <v>25</v>
      </c>
      <c r="G18" s="3" t="s">
        <v>25</v>
      </c>
      <c r="H18" s="3" t="s">
        <v>34</v>
      </c>
      <c r="I18" s="6">
        <v>44621</v>
      </c>
      <c r="J18" s="4">
        <v>2159</v>
      </c>
      <c r="K18" s="63">
        <v>2159</v>
      </c>
      <c r="L18" s="4">
        <v>112.5</v>
      </c>
      <c r="M18" s="64">
        <v>112.5</v>
      </c>
      <c r="N18" s="4">
        <v>112.5</v>
      </c>
      <c r="O18" s="64">
        <v>112.5</v>
      </c>
      <c r="P18" s="4">
        <v>0</v>
      </c>
      <c r="Q18" s="3" t="s">
        <v>26</v>
      </c>
      <c r="R18" s="3">
        <v>0</v>
      </c>
      <c r="S18" s="3">
        <v>34</v>
      </c>
      <c r="T18" s="3">
        <v>23</v>
      </c>
      <c r="U18" s="3">
        <v>71</v>
      </c>
      <c r="V18" s="64">
        <f>IF(ISERROR(VLOOKUP($S$18,'TAR FIN'!$A$1:$O$92,15,0)),0,VLOOKUP($S$18,'TAR FIN'!$A$1:$O$92,15,0))*(1-0.06)</f>
        <v>41.36</v>
      </c>
      <c r="W18" s="64">
        <f>IF(ISERROR(VLOOKUP($T$18,'TAR FIN'!$A$1:$O$92,15,0)),0,VLOOKUP($T$18,'TAR FIN'!$A$1:$O$92,15,0))*(1-0.06)</f>
        <v>82.466200000000001</v>
      </c>
      <c r="X18" s="64">
        <f>IF(ISERROR(VLOOKUP($U$18,'TAR FIN'!$A$1:$O$92,15,0)),0,VLOOKUP($U$18,'TAR FIN'!$A$1:$O$92,15,0))*(1-0.06)</f>
        <v>407.74379999999996</v>
      </c>
      <c r="Y18" s="64">
        <f ca="1">('TUSD BE'!$AM$5+'TUSD BF'!$AM$5+'TUSD CVA'!$AM$5)*1*(1-0.03)</f>
        <v>55.37851612922929</v>
      </c>
      <c r="Z18" s="64">
        <f ca="1">('TUSD BE'!$AM$7+'TUSD BF'!$AM$7+'TUSD CVA'!$AM$7)*1*(1-0.03)</f>
        <v>106.15870582034525</v>
      </c>
      <c r="AA18" s="64">
        <f>('TE BE'!$AB$5+'TE BF'!$AB$5+'TE CVA'!$AB$5)*1*(1-0.03)</f>
        <v>526.5588226383453</v>
      </c>
      <c r="AB18" s="64">
        <f>(SUBSIDIO!$J$18*SUBSIDIO!$V$18)*(0.06)/(1-0.06)</f>
        <v>5699.76</v>
      </c>
      <c r="AC18" s="64">
        <f>((SUBSIDIO!$L$18*SUBSIDIO!$W$18)+(SUBSIDIO!$N$18*SUBSIDIO!$X$18))*(0.06)/(1-0.06)</f>
        <v>3520.125</v>
      </c>
      <c r="AD18" s="64">
        <f ca="1">(SUBSIDIO!$J$18*SUBSIDIO!$Y$18)*(0.03)/(1-0.03)</f>
        <v>3697.8005048352384</v>
      </c>
      <c r="AE18" s="64">
        <f ca="1">((SUBSIDIO!$L$18*SUBSIDIO!$Z$18)+(SUBSIDIO!$N$18*SUBSIDIO!$AA$18))*(0.03)/(1-0.03)</f>
        <v>2201.4656273691548</v>
      </c>
      <c r="AF18" s="3" t="s">
        <v>751</v>
      </c>
    </row>
    <row r="19" spans="1:32" ht="11.25" customHeight="1" x14ac:dyDescent="0.25">
      <c r="A19" s="3" t="s">
        <v>21</v>
      </c>
      <c r="B19" s="3" t="s">
        <v>39</v>
      </c>
      <c r="C19" s="3" t="s">
        <v>40</v>
      </c>
      <c r="D19" s="3" t="s">
        <v>49</v>
      </c>
      <c r="E19" s="3" t="s">
        <v>50</v>
      </c>
      <c r="F19" s="3" t="s">
        <v>25</v>
      </c>
      <c r="G19" s="3" t="s">
        <v>25</v>
      </c>
      <c r="H19" s="3" t="s">
        <v>34</v>
      </c>
      <c r="I19" s="6">
        <v>44652</v>
      </c>
      <c r="J19" s="4">
        <v>2159</v>
      </c>
      <c r="K19" s="63">
        <v>2159</v>
      </c>
      <c r="L19" s="4">
        <v>112.5</v>
      </c>
      <c r="M19" s="64">
        <v>112.5</v>
      </c>
      <c r="N19" s="4">
        <v>112.5</v>
      </c>
      <c r="O19" s="64">
        <v>112.5</v>
      </c>
      <c r="P19" s="4">
        <v>0</v>
      </c>
      <c r="Q19" s="3" t="s">
        <v>26</v>
      </c>
      <c r="R19" s="3">
        <v>0</v>
      </c>
      <c r="S19" s="3">
        <v>34</v>
      </c>
      <c r="T19" s="3">
        <v>23</v>
      </c>
      <c r="U19" s="3">
        <v>71</v>
      </c>
      <c r="V19" s="64">
        <f>IF(ISERROR(VLOOKUP($S$19,'TAR FIN'!$A$1:$O$92,15,0)),0,VLOOKUP($S$19,'TAR FIN'!$A$1:$O$92,15,0))*(1-0.06)</f>
        <v>41.36</v>
      </c>
      <c r="W19" s="64">
        <f>IF(ISERROR(VLOOKUP($T$19,'TAR FIN'!$A$1:$O$92,15,0)),0,VLOOKUP($T$19,'TAR FIN'!$A$1:$O$92,15,0))*(1-0.06)</f>
        <v>82.466200000000001</v>
      </c>
      <c r="X19" s="64">
        <f>IF(ISERROR(VLOOKUP($U$19,'TAR FIN'!$A$1:$O$92,15,0)),0,VLOOKUP($U$19,'TAR FIN'!$A$1:$O$92,15,0))*(1-0.06)</f>
        <v>407.74379999999996</v>
      </c>
      <c r="Y19" s="64">
        <f ca="1">('TUSD BE'!$AM$5+'TUSD BF'!$AM$5+'TUSD CVA'!$AM$5)*1*(1-0.03)</f>
        <v>55.37851612922929</v>
      </c>
      <c r="Z19" s="64">
        <f ca="1">('TUSD BE'!$AM$7+'TUSD BF'!$AM$7+'TUSD CVA'!$AM$7)*1*(1-0.03)</f>
        <v>106.15870582034525</v>
      </c>
      <c r="AA19" s="64">
        <f>('TE BE'!$AB$5+'TE BF'!$AB$5+'TE CVA'!$AB$5)*1*(1-0.03)</f>
        <v>526.5588226383453</v>
      </c>
      <c r="AB19" s="64">
        <f>(SUBSIDIO!$J$19*SUBSIDIO!$V$19)*(0.06)/(1-0.06)</f>
        <v>5699.76</v>
      </c>
      <c r="AC19" s="64">
        <f>((SUBSIDIO!$L$19*SUBSIDIO!$W$19)+(SUBSIDIO!$N$19*SUBSIDIO!$X$19))*(0.06)/(1-0.06)</f>
        <v>3520.125</v>
      </c>
      <c r="AD19" s="64">
        <f ca="1">(SUBSIDIO!$J$19*SUBSIDIO!$Y$19)*(0.03)/(1-0.03)</f>
        <v>3697.8005048352384</v>
      </c>
      <c r="AE19" s="64">
        <f ca="1">((SUBSIDIO!$L$19*SUBSIDIO!$Z$19)+(SUBSIDIO!$N$19*SUBSIDIO!$AA$19))*(0.03)/(1-0.03)</f>
        <v>2201.4656273691548</v>
      </c>
      <c r="AF19" s="3" t="s">
        <v>751</v>
      </c>
    </row>
    <row r="20" spans="1:32" ht="11.25" customHeight="1" x14ac:dyDescent="0.25">
      <c r="A20" s="3" t="s">
        <v>21</v>
      </c>
      <c r="B20" s="3" t="s">
        <v>39</v>
      </c>
      <c r="C20" s="3" t="s">
        <v>40</v>
      </c>
      <c r="D20" s="3" t="s">
        <v>49</v>
      </c>
      <c r="E20" s="3" t="s">
        <v>50</v>
      </c>
      <c r="F20" s="3" t="s">
        <v>25</v>
      </c>
      <c r="G20" s="3" t="s">
        <v>25</v>
      </c>
      <c r="H20" s="3" t="s">
        <v>34</v>
      </c>
      <c r="I20" s="6">
        <v>44682</v>
      </c>
      <c r="J20" s="4">
        <v>2087</v>
      </c>
      <c r="K20" s="63">
        <v>2087</v>
      </c>
      <c r="L20" s="4">
        <v>106.291</v>
      </c>
      <c r="M20" s="64">
        <v>106.291</v>
      </c>
      <c r="N20" s="4">
        <v>106.291</v>
      </c>
      <c r="O20" s="64">
        <v>106.291</v>
      </c>
      <c r="P20" s="4">
        <v>0</v>
      </c>
      <c r="Q20" s="3" t="s">
        <v>26</v>
      </c>
      <c r="R20" s="3">
        <v>0</v>
      </c>
      <c r="S20" s="3">
        <v>34</v>
      </c>
      <c r="T20" s="3">
        <v>23</v>
      </c>
      <c r="U20" s="3">
        <v>71</v>
      </c>
      <c r="V20" s="64">
        <f>IF(ISERROR(VLOOKUP($S$20,'TAR FIN'!$A$1:$O$92,15,0)),0,VLOOKUP($S$20,'TAR FIN'!$A$1:$O$92,15,0))*(1-0.06)</f>
        <v>41.36</v>
      </c>
      <c r="W20" s="64">
        <f>IF(ISERROR(VLOOKUP($T$20,'TAR FIN'!$A$1:$O$92,15,0)),0,VLOOKUP($T$20,'TAR FIN'!$A$1:$O$92,15,0))*(1-0.06)</f>
        <v>82.466200000000001</v>
      </c>
      <c r="X20" s="64">
        <f>IF(ISERROR(VLOOKUP($U$20,'TAR FIN'!$A$1:$O$92,15,0)),0,VLOOKUP($U$20,'TAR FIN'!$A$1:$O$92,15,0))*(1-0.06)</f>
        <v>407.74379999999996</v>
      </c>
      <c r="Y20" s="64">
        <f ca="1">('TUSD BE'!$AM$5+'TUSD BF'!$AM$5+'TUSD CVA'!$AM$5)*1*(1-0.03)</f>
        <v>55.37851612922929</v>
      </c>
      <c r="Z20" s="64">
        <f ca="1">('TUSD BE'!$AM$7+'TUSD BF'!$AM$7+'TUSD CVA'!$AM$7)*1*(1-0.03)</f>
        <v>106.15870582034525</v>
      </c>
      <c r="AA20" s="64">
        <f>('TE BE'!$AB$5+'TE BF'!$AB$5+'TE CVA'!$AB$5)*1*(1-0.03)</f>
        <v>526.5588226383453</v>
      </c>
      <c r="AB20" s="64">
        <f>(SUBSIDIO!$J$20*SUBSIDIO!$V$20)*(0.06)/(1-0.06)</f>
        <v>5509.68</v>
      </c>
      <c r="AC20" s="64">
        <f>((SUBSIDIO!$L$20*SUBSIDIO!$W$20)+(SUBSIDIO!$N$20*SUBSIDIO!$X$20))*(0.06)/(1-0.06)</f>
        <v>3325.8453899999995</v>
      </c>
      <c r="AD20" s="64">
        <f ca="1">(SUBSIDIO!$J$20*SUBSIDIO!$Y$20)*(0.03)/(1-0.03)</f>
        <v>3574.4833967536556</v>
      </c>
      <c r="AE20" s="64">
        <f ca="1">((SUBSIDIO!$L$20*SUBSIDIO!$Z$20)+(SUBSIDIO!$N$20*SUBSIDIO!$AA$20))*(0.03)/(1-0.03)</f>
        <v>2079.9642933217319</v>
      </c>
      <c r="AF20" s="3" t="s">
        <v>751</v>
      </c>
    </row>
    <row r="21" spans="1:32" ht="11.25" customHeight="1" x14ac:dyDescent="0.25">
      <c r="A21" s="3" t="s">
        <v>21</v>
      </c>
      <c r="B21" s="3" t="s">
        <v>39</v>
      </c>
      <c r="C21" s="3" t="s">
        <v>40</v>
      </c>
      <c r="D21" s="3" t="s">
        <v>49</v>
      </c>
      <c r="E21" s="3" t="s">
        <v>50</v>
      </c>
      <c r="F21" s="3" t="s">
        <v>25</v>
      </c>
      <c r="G21" s="3" t="s">
        <v>25</v>
      </c>
      <c r="H21" s="3" t="s">
        <v>34</v>
      </c>
      <c r="I21" s="6">
        <v>44713</v>
      </c>
      <c r="J21" s="4">
        <v>2100</v>
      </c>
      <c r="K21" s="63">
        <v>2100</v>
      </c>
      <c r="L21" s="4">
        <v>97.468999999999994</v>
      </c>
      <c r="M21" s="64">
        <v>97.468999999999994</v>
      </c>
      <c r="N21" s="4">
        <v>97.468999999999994</v>
      </c>
      <c r="O21" s="64">
        <v>97.468999999999994</v>
      </c>
      <c r="P21" s="4">
        <v>0</v>
      </c>
      <c r="Q21" s="3" t="s">
        <v>26</v>
      </c>
      <c r="R21" s="3">
        <v>0</v>
      </c>
      <c r="S21" s="3">
        <v>34</v>
      </c>
      <c r="T21" s="3">
        <v>23</v>
      </c>
      <c r="U21" s="3">
        <v>71</v>
      </c>
      <c r="V21" s="64">
        <f>IF(ISERROR(VLOOKUP($S$21,'TAR FIN'!$A$1:$O$92,15,0)),0,VLOOKUP($S$21,'TAR FIN'!$A$1:$O$92,15,0))*(1-0.06)</f>
        <v>41.36</v>
      </c>
      <c r="W21" s="64">
        <f>IF(ISERROR(VLOOKUP($T$21,'TAR FIN'!$A$1:$O$92,15,0)),0,VLOOKUP($T$21,'TAR FIN'!$A$1:$O$92,15,0))*(1-0.06)</f>
        <v>82.466200000000001</v>
      </c>
      <c r="X21" s="64">
        <f>IF(ISERROR(VLOOKUP($U$21,'TAR FIN'!$A$1:$O$92,15,0)),0,VLOOKUP($U$21,'TAR FIN'!$A$1:$O$92,15,0))*(1-0.06)</f>
        <v>407.74379999999996</v>
      </c>
      <c r="Y21" s="64">
        <f ca="1">('TUSD BE'!$AM$5+'TUSD BF'!$AM$5+'TUSD CVA'!$AM$5)*1*(1-0.03)</f>
        <v>55.37851612922929</v>
      </c>
      <c r="Z21" s="64">
        <f ca="1">('TUSD BE'!$AM$7+'TUSD BF'!$AM$7+'TUSD CVA'!$AM$7)*1*(1-0.03)</f>
        <v>106.15870582034525</v>
      </c>
      <c r="AA21" s="64">
        <f>('TE BE'!$AB$5+'TE BF'!$AB$5+'TE CVA'!$AB$5)*1*(1-0.03)</f>
        <v>526.5588226383453</v>
      </c>
      <c r="AB21" s="64">
        <f>(SUBSIDIO!$J$21*SUBSIDIO!$V$21)*(0.06)/(1-0.06)</f>
        <v>5544</v>
      </c>
      <c r="AC21" s="64">
        <f>((SUBSIDIO!$L$21*SUBSIDIO!$W$21)+(SUBSIDIO!$N$21*SUBSIDIO!$X$21))*(0.06)/(1-0.06)</f>
        <v>3049.8050099999996</v>
      </c>
      <c r="AD21" s="64">
        <f ca="1">(SUBSIDIO!$J$21*SUBSIDIO!$Y$21)*(0.03)/(1-0.03)</f>
        <v>3596.7489857128303</v>
      </c>
      <c r="AE21" s="64">
        <f ca="1">((SUBSIDIO!$L$21*SUBSIDIO!$Z$21)+(SUBSIDIO!$N$21*SUBSIDIO!$AA$21))*(0.03)/(1-0.03)</f>
        <v>1907.3302509692815</v>
      </c>
      <c r="AF21" s="3" t="s">
        <v>751</v>
      </c>
    </row>
    <row r="22" spans="1:32" ht="11.25" customHeight="1" x14ac:dyDescent="0.25">
      <c r="A22" s="3" t="s">
        <v>21</v>
      </c>
      <c r="B22" s="3" t="s">
        <v>39</v>
      </c>
      <c r="C22" s="3" t="s">
        <v>40</v>
      </c>
      <c r="D22" s="3" t="s">
        <v>49</v>
      </c>
      <c r="E22" s="3" t="s">
        <v>50</v>
      </c>
      <c r="F22" s="3" t="s">
        <v>25</v>
      </c>
      <c r="G22" s="3" t="s">
        <v>25</v>
      </c>
      <c r="H22" s="3" t="s">
        <v>34</v>
      </c>
      <c r="I22" s="6">
        <v>44743</v>
      </c>
      <c r="J22" s="4">
        <v>2110</v>
      </c>
      <c r="K22" s="63">
        <v>2110</v>
      </c>
      <c r="L22" s="4">
        <v>93.695999999999998</v>
      </c>
      <c r="M22" s="64">
        <v>93.695999999999998</v>
      </c>
      <c r="N22" s="4">
        <v>93.695999999999998</v>
      </c>
      <c r="O22" s="64">
        <v>93.695999999999998</v>
      </c>
      <c r="P22" s="4">
        <v>0</v>
      </c>
      <c r="Q22" s="3" t="s">
        <v>26</v>
      </c>
      <c r="R22" s="3">
        <v>0</v>
      </c>
      <c r="S22" s="3">
        <v>34</v>
      </c>
      <c r="T22" s="3">
        <v>23</v>
      </c>
      <c r="U22" s="3">
        <v>71</v>
      </c>
      <c r="V22" s="64">
        <f>IF(ISERROR(VLOOKUP($S$22,'TAR FIN'!$A$1:$O$92,15,0)),0,VLOOKUP($S$22,'TAR FIN'!$A$1:$O$92,15,0))*(1-0.06)</f>
        <v>41.36</v>
      </c>
      <c r="W22" s="64">
        <f>IF(ISERROR(VLOOKUP($T$22,'TAR FIN'!$A$1:$O$92,15,0)),0,VLOOKUP($T$22,'TAR FIN'!$A$1:$O$92,15,0))*(1-0.06)</f>
        <v>82.466200000000001</v>
      </c>
      <c r="X22" s="64">
        <f>IF(ISERROR(VLOOKUP($U$22,'TAR FIN'!$A$1:$O$92,15,0)),0,VLOOKUP($U$22,'TAR FIN'!$A$1:$O$92,15,0))*(1-0.06)</f>
        <v>407.74379999999996</v>
      </c>
      <c r="Y22" s="64">
        <f ca="1">('TUSD BE'!$AM$5+'TUSD BF'!$AM$5+'TUSD CVA'!$AM$5)*1*(1-0.03)</f>
        <v>55.37851612922929</v>
      </c>
      <c r="Z22" s="64">
        <f ca="1">('TUSD BE'!$AM$7+'TUSD BF'!$AM$7+'TUSD CVA'!$AM$7)*1*(1-0.03)</f>
        <v>106.15870582034525</v>
      </c>
      <c r="AA22" s="64">
        <f>('TE BE'!$AB$5+'TE BF'!$AB$5+'TE CVA'!$AB$5)*1*(1-0.03)</f>
        <v>526.5588226383453</v>
      </c>
      <c r="AB22" s="64">
        <f>(SUBSIDIO!$J$22*SUBSIDIO!$V$22)*(0.06)/(1-0.06)</f>
        <v>5570.4000000000005</v>
      </c>
      <c r="AC22" s="64">
        <f>((SUBSIDIO!$L$22*SUBSIDIO!$W$22)+(SUBSIDIO!$N$22*SUBSIDIO!$X$22))*(0.06)/(1-0.06)</f>
        <v>2931.74784</v>
      </c>
      <c r="AD22" s="64">
        <f ca="1">(SUBSIDIO!$J$22*SUBSIDIO!$Y$22)*(0.03)/(1-0.03)</f>
        <v>3613.8763618352723</v>
      </c>
      <c r="AE22" s="64">
        <f ca="1">((SUBSIDIO!$L$22*SUBSIDIO!$Z$22)+(SUBSIDIO!$N$22*SUBSIDIO!$AA$22))*(0.03)/(1-0.03)</f>
        <v>1833.4979859731588</v>
      </c>
      <c r="AF22" s="3" t="s">
        <v>751</v>
      </c>
    </row>
    <row r="23" spans="1:32" ht="11.25" customHeight="1" x14ac:dyDescent="0.25">
      <c r="A23" s="3" t="s">
        <v>21</v>
      </c>
      <c r="B23" s="3" t="s">
        <v>39</v>
      </c>
      <c r="C23" s="3" t="s">
        <v>40</v>
      </c>
      <c r="D23" s="3" t="s">
        <v>49</v>
      </c>
      <c r="E23" s="3" t="s">
        <v>50</v>
      </c>
      <c r="F23" s="3" t="s">
        <v>25</v>
      </c>
      <c r="G23" s="3" t="s">
        <v>25</v>
      </c>
      <c r="H23" s="3" t="s">
        <v>34</v>
      </c>
      <c r="I23" s="6">
        <v>44774</v>
      </c>
      <c r="J23" s="4">
        <v>2101</v>
      </c>
      <c r="K23" s="63">
        <v>2101</v>
      </c>
      <c r="L23" s="4">
        <v>105.64</v>
      </c>
      <c r="M23" s="64">
        <v>105.64</v>
      </c>
      <c r="N23" s="4">
        <v>105.64</v>
      </c>
      <c r="O23" s="64">
        <v>105.64</v>
      </c>
      <c r="P23" s="4">
        <v>0</v>
      </c>
      <c r="Q23" s="3" t="s">
        <v>26</v>
      </c>
      <c r="R23" s="3">
        <v>0</v>
      </c>
      <c r="S23" s="3">
        <v>34</v>
      </c>
      <c r="T23" s="3">
        <v>23</v>
      </c>
      <c r="U23" s="3">
        <v>71</v>
      </c>
      <c r="V23" s="64">
        <f>IF(ISERROR(VLOOKUP($S$23,'TAR FIN'!$A$1:$O$92,15,0)),0,VLOOKUP($S$23,'TAR FIN'!$A$1:$O$92,15,0))*(1-0.06)</f>
        <v>41.36</v>
      </c>
      <c r="W23" s="64">
        <f>IF(ISERROR(VLOOKUP($T$23,'TAR FIN'!$A$1:$O$92,15,0)),0,VLOOKUP($T$23,'TAR FIN'!$A$1:$O$92,15,0))*(1-0.06)</f>
        <v>82.466200000000001</v>
      </c>
      <c r="X23" s="64">
        <f>IF(ISERROR(VLOOKUP($U$23,'TAR FIN'!$A$1:$O$92,15,0)),0,VLOOKUP($U$23,'TAR FIN'!$A$1:$O$92,15,0))*(1-0.06)</f>
        <v>407.74379999999996</v>
      </c>
      <c r="Y23" s="64">
        <f ca="1">('TUSD BE'!$AM$5+'TUSD BF'!$AM$5+'TUSD CVA'!$AM$5)*1*(1-0.03)</f>
        <v>55.37851612922929</v>
      </c>
      <c r="Z23" s="64">
        <f ca="1">('TUSD BE'!$AM$7+'TUSD BF'!$AM$7+'TUSD CVA'!$AM$7)*1*(1-0.03)</f>
        <v>106.15870582034525</v>
      </c>
      <c r="AA23" s="64">
        <f>('TE BE'!$AB$5+'TE BF'!$AB$5+'TE CVA'!$AB$5)*1*(1-0.03)</f>
        <v>526.5588226383453</v>
      </c>
      <c r="AB23" s="64">
        <f>(SUBSIDIO!$J$23*SUBSIDIO!$V$23)*(0.06)/(1-0.06)</f>
        <v>5546.64</v>
      </c>
      <c r="AC23" s="64">
        <f>((SUBSIDIO!$L$23*SUBSIDIO!$W$23)+(SUBSIDIO!$N$23*SUBSIDIO!$X$23))*(0.06)/(1-0.06)</f>
        <v>3305.4755999999998</v>
      </c>
      <c r="AD23" s="64">
        <f ca="1">(SUBSIDIO!$J$23*SUBSIDIO!$Y$23)*(0.03)/(1-0.03)</f>
        <v>3598.4617233250742</v>
      </c>
      <c r="AE23" s="64">
        <f ca="1">((SUBSIDIO!$L$23*SUBSIDIO!$Z$23)+(SUBSIDIO!$N$23*SUBSIDIO!$AA$23))*(0.03)/(1-0.03)</f>
        <v>2067.2251455580226</v>
      </c>
      <c r="AF23" s="3" t="s">
        <v>751</v>
      </c>
    </row>
    <row r="24" spans="1:32" ht="11.25" customHeight="1" x14ac:dyDescent="0.25">
      <c r="A24" s="3" t="s">
        <v>21</v>
      </c>
      <c r="B24" s="3" t="s">
        <v>39</v>
      </c>
      <c r="C24" s="3" t="s">
        <v>40</v>
      </c>
      <c r="D24" s="3" t="s">
        <v>49</v>
      </c>
      <c r="E24" s="3" t="s">
        <v>50</v>
      </c>
      <c r="F24" s="3" t="s">
        <v>25</v>
      </c>
      <c r="G24" s="3" t="s">
        <v>25</v>
      </c>
      <c r="H24" s="3" t="s">
        <v>34</v>
      </c>
      <c r="I24" s="6">
        <v>44805</v>
      </c>
      <c r="J24" s="4">
        <v>2131</v>
      </c>
      <c r="K24" s="63">
        <v>2131</v>
      </c>
      <c r="L24" s="4">
        <v>106.55</v>
      </c>
      <c r="M24" s="64">
        <v>106.55</v>
      </c>
      <c r="N24" s="4">
        <v>106.55</v>
      </c>
      <c r="O24" s="64">
        <v>106.55</v>
      </c>
      <c r="P24" s="4">
        <v>0</v>
      </c>
      <c r="Q24" s="3" t="s">
        <v>26</v>
      </c>
      <c r="R24" s="3">
        <v>0</v>
      </c>
      <c r="S24" s="3">
        <v>34</v>
      </c>
      <c r="T24" s="3">
        <v>23</v>
      </c>
      <c r="U24" s="3">
        <v>71</v>
      </c>
      <c r="V24" s="64">
        <f>IF(ISERROR(VLOOKUP($S$24,'TAR FIN'!$A$1:$O$92,15,0)),0,VLOOKUP($S$24,'TAR FIN'!$A$1:$O$92,15,0))*(1-0.06)</f>
        <v>41.36</v>
      </c>
      <c r="W24" s="64">
        <f>IF(ISERROR(VLOOKUP($T$24,'TAR FIN'!$A$1:$O$92,15,0)),0,VLOOKUP($T$24,'TAR FIN'!$A$1:$O$92,15,0))*(1-0.06)</f>
        <v>82.466200000000001</v>
      </c>
      <c r="X24" s="64">
        <f>IF(ISERROR(VLOOKUP($U$24,'TAR FIN'!$A$1:$O$92,15,0)),0,VLOOKUP($U$24,'TAR FIN'!$A$1:$O$92,15,0))*(1-0.06)</f>
        <v>407.74379999999996</v>
      </c>
      <c r="Y24" s="64">
        <f ca="1">('TUSD BE'!$AM$5+'TUSD BF'!$AM$5+'TUSD CVA'!$AM$5)*1*(1-0.03)</f>
        <v>55.37851612922929</v>
      </c>
      <c r="Z24" s="64">
        <f ca="1">('TUSD BE'!$AM$7+'TUSD BF'!$AM$7+'TUSD CVA'!$AM$7)*1*(1-0.03)</f>
        <v>106.15870582034525</v>
      </c>
      <c r="AA24" s="64">
        <f>('TE BE'!$AB$5+'TE BF'!$AB$5+'TE CVA'!$AB$5)*1*(1-0.03)</f>
        <v>526.5588226383453</v>
      </c>
      <c r="AB24" s="64">
        <f>(SUBSIDIO!$J$24*SUBSIDIO!$V$24)*(0.06)/(1-0.06)</f>
        <v>5625.84</v>
      </c>
      <c r="AC24" s="64">
        <f>((SUBSIDIO!$L$24*SUBSIDIO!$W$24)+(SUBSIDIO!$N$24*SUBSIDIO!$X$24))*(0.06)/(1-0.06)</f>
        <v>3333.9494999999997</v>
      </c>
      <c r="AD24" s="64">
        <f ca="1">(SUBSIDIO!$J$24*SUBSIDIO!$Y$24)*(0.03)/(1-0.03)</f>
        <v>3649.8438516924002</v>
      </c>
      <c r="AE24" s="64">
        <f ca="1">((SUBSIDIO!$L$24*SUBSIDIO!$Z$24)+(SUBSIDIO!$N$24*SUBSIDIO!$AA$24))*(0.03)/(1-0.03)</f>
        <v>2085.0325564105201</v>
      </c>
      <c r="AF24" s="3" t="s">
        <v>751</v>
      </c>
    </row>
    <row r="25" spans="1:32" ht="11.25" customHeight="1" x14ac:dyDescent="0.25">
      <c r="A25" s="3" t="s">
        <v>55</v>
      </c>
      <c r="B25" s="3" t="s">
        <v>39</v>
      </c>
      <c r="C25" s="3" t="s">
        <v>40</v>
      </c>
      <c r="D25" s="3" t="s">
        <v>49</v>
      </c>
      <c r="E25" s="3" t="s">
        <v>50</v>
      </c>
      <c r="F25" s="3" t="s">
        <v>25</v>
      </c>
      <c r="G25" s="3" t="s">
        <v>25</v>
      </c>
      <c r="H25" s="3" t="s">
        <v>34</v>
      </c>
      <c r="I25" s="6">
        <v>44835</v>
      </c>
      <c r="J25" s="4">
        <v>2131</v>
      </c>
      <c r="K25" s="63">
        <v>2131</v>
      </c>
      <c r="L25" s="4">
        <v>106.55</v>
      </c>
      <c r="M25" s="64">
        <v>106.55</v>
      </c>
      <c r="N25" s="4">
        <v>106.55</v>
      </c>
      <c r="O25" s="64">
        <v>106.55</v>
      </c>
      <c r="P25" s="4">
        <v>0</v>
      </c>
      <c r="Q25" s="3" t="s">
        <v>26</v>
      </c>
      <c r="R25" s="3">
        <v>0</v>
      </c>
      <c r="S25" s="3">
        <v>34</v>
      </c>
      <c r="T25" s="3">
        <v>23</v>
      </c>
      <c r="U25" s="3">
        <v>71</v>
      </c>
      <c r="V25" s="64">
        <f>IF(ISERROR(VLOOKUP($S$25,'TAR FIN'!$A$1:$O$92,15,0)),0,VLOOKUP($S$25,'TAR FIN'!$A$1:$O$92,15,0))*(1-0.06)</f>
        <v>41.36</v>
      </c>
      <c r="W25" s="64">
        <f>IF(ISERROR(VLOOKUP($T$25,'TAR FIN'!$A$1:$O$92,15,0)),0,VLOOKUP($T$25,'TAR FIN'!$A$1:$O$92,15,0))*(1-0.06)</f>
        <v>82.466200000000001</v>
      </c>
      <c r="X25" s="64">
        <f>IF(ISERROR(VLOOKUP($U$25,'TAR FIN'!$A$1:$O$92,15,0)),0,VLOOKUP($U$25,'TAR FIN'!$A$1:$O$92,15,0))*(1-0.06)</f>
        <v>407.74379999999996</v>
      </c>
      <c r="Y25" s="64">
        <f ca="1">('TUSD BE'!$AM$5+'TUSD BF'!$AM$5+'TUSD CVA'!$AM$5)*1*(1-0.03)</f>
        <v>55.37851612922929</v>
      </c>
      <c r="Z25" s="64">
        <f ca="1">('TUSD BE'!$AM$7+'TUSD BF'!$AM$7+'TUSD CVA'!$AM$7)*1*(1-0.03)</f>
        <v>106.15870582034525</v>
      </c>
      <c r="AA25" s="64">
        <f>('TE BE'!$AB$5+'TE BF'!$AB$5+'TE CVA'!$AB$5)*1*(1-0.03)</f>
        <v>526.5588226383453</v>
      </c>
      <c r="AB25" s="64">
        <f>(SUBSIDIO!$J$25*SUBSIDIO!$V$25)*(0.06)/(1-0.06)</f>
        <v>5625.84</v>
      </c>
      <c r="AC25" s="64">
        <f>((SUBSIDIO!$L$25*SUBSIDIO!$W$25)+(SUBSIDIO!$N$25*SUBSIDIO!$X$25))*(0.06)/(1-0.06)</f>
        <v>3333.9494999999997</v>
      </c>
      <c r="AD25" s="64">
        <f ca="1">(SUBSIDIO!$J$25*SUBSIDIO!$Y$25)*(0.03)/(1-0.03)</f>
        <v>3649.8438516924002</v>
      </c>
      <c r="AE25" s="64">
        <f ca="1">((SUBSIDIO!$L$25*SUBSIDIO!$Z$25)+(SUBSIDIO!$N$25*SUBSIDIO!$AA$25))*(0.03)/(1-0.03)</f>
        <v>2085.0325564105201</v>
      </c>
      <c r="AF25" s="3" t="s">
        <v>751</v>
      </c>
    </row>
    <row r="26" spans="1:32" ht="11.25" customHeight="1" x14ac:dyDescent="0.25">
      <c r="A26" s="3" t="s">
        <v>21</v>
      </c>
      <c r="B26" s="3" t="s">
        <v>39</v>
      </c>
      <c r="C26" s="3" t="s">
        <v>41</v>
      </c>
      <c r="D26" s="3" t="s">
        <v>44</v>
      </c>
      <c r="E26" s="3" t="s">
        <v>52</v>
      </c>
      <c r="F26" s="3" t="s">
        <v>54</v>
      </c>
      <c r="G26" s="3" t="s">
        <v>25</v>
      </c>
      <c r="H26" s="3" t="s">
        <v>35</v>
      </c>
      <c r="I26" s="6">
        <v>44501</v>
      </c>
      <c r="J26" s="4">
        <v>0</v>
      </c>
      <c r="K26" s="4">
        <v>0</v>
      </c>
      <c r="L26" s="4">
        <v>223.65299999999999</v>
      </c>
      <c r="M26" s="4">
        <v>44.730600000000003</v>
      </c>
      <c r="N26" s="4">
        <v>223.65299999999999</v>
      </c>
      <c r="O26" s="4">
        <v>44.730600000000003</v>
      </c>
      <c r="P26" s="4">
        <v>0</v>
      </c>
      <c r="Q26" s="3" t="s">
        <v>26</v>
      </c>
      <c r="R26" s="3">
        <v>0</v>
      </c>
      <c r="S26" s="3">
        <v>0</v>
      </c>
      <c r="T26" s="3">
        <v>31</v>
      </c>
      <c r="U26" s="3">
        <v>59</v>
      </c>
      <c r="V26" s="4">
        <f>IF(ISERROR(VLOOKUP($S$26,'TAR FIN'!$A$1:$O$92,15,0)),0,VLOOKUP($S$26,'TAR FIN'!$A$1:$O$92,15,0))</f>
        <v>0</v>
      </c>
      <c r="W26" s="4">
        <f>IF(ISERROR(VLOOKUP($T$26,'TAR FIN'!$A$1:$O$92,15,0)),0,VLOOKUP($T$26,'TAR FIN'!$A$1:$O$92,15,0))</f>
        <v>87.73</v>
      </c>
      <c r="X26" s="4">
        <f>IF(ISERROR(VLOOKUP($U$26,'TAR FIN'!$A$1:$O$92,15,0)),0,VLOOKUP($U$26,'TAR FIN'!$A$1:$O$92,15,0))</f>
        <v>253.9</v>
      </c>
      <c r="Y26" s="4"/>
      <c r="Z26" s="4">
        <f ca="1">('TUSD BE'!$AM$12+'TUSD BF'!$AM$12+'TUSD CVA'!$AM$12)*1</f>
        <v>109.44196476324252</v>
      </c>
      <c r="AA26" s="4">
        <f>('TE BE'!$AB$6+'TE BF'!$AB$6+'TE CVA'!$AB$6)*1</f>
        <v>317.3874512882154</v>
      </c>
      <c r="AB26" s="4">
        <f t="shared" ref="AB26:AB39" si="2">(J26-K26)*V26</f>
        <v>0</v>
      </c>
      <c r="AC26" s="4">
        <f t="shared" ref="AC26:AC33" si="3">(L26-M26)*W26+(N26-O26)*X26</f>
        <v>61125.259511999997</v>
      </c>
      <c r="AD26" s="4">
        <f t="shared" ref="AD26:AD39" si="4">(J26-K26)*Y26</f>
        <v>0</v>
      </c>
      <c r="AE26" s="4">
        <f t="shared" ref="AE26:AE33" ca="1" si="5">(L26-M26)*Z26+(N26-O26)*AA26</f>
        <v>76369.343510525374</v>
      </c>
      <c r="AF26" s="3" t="s">
        <v>753</v>
      </c>
    </row>
    <row r="27" spans="1:32" ht="11.25" customHeight="1" x14ac:dyDescent="0.25">
      <c r="A27" s="3" t="s">
        <v>21</v>
      </c>
      <c r="B27" s="3" t="s">
        <v>39</v>
      </c>
      <c r="C27" s="3" t="s">
        <v>41</v>
      </c>
      <c r="D27" s="3" t="s">
        <v>44</v>
      </c>
      <c r="E27" s="3" t="s">
        <v>52</v>
      </c>
      <c r="F27" s="3" t="s">
        <v>54</v>
      </c>
      <c r="G27" s="3" t="s">
        <v>25</v>
      </c>
      <c r="H27" s="3" t="s">
        <v>35</v>
      </c>
      <c r="I27" s="6">
        <v>44531</v>
      </c>
      <c r="J27" s="4">
        <v>0</v>
      </c>
      <c r="K27" s="4">
        <v>0</v>
      </c>
      <c r="L27" s="4">
        <v>319.72300000000001</v>
      </c>
      <c r="M27" s="4">
        <v>63.944600000000001</v>
      </c>
      <c r="N27" s="4">
        <v>319.72300000000001</v>
      </c>
      <c r="O27" s="4">
        <v>63.944600000000001</v>
      </c>
      <c r="P27" s="4">
        <v>0</v>
      </c>
      <c r="Q27" s="3" t="s">
        <v>26</v>
      </c>
      <c r="R27" s="3">
        <v>0</v>
      </c>
      <c r="S27" s="3">
        <v>0</v>
      </c>
      <c r="T27" s="3">
        <v>31</v>
      </c>
      <c r="U27" s="3">
        <v>59</v>
      </c>
      <c r="V27" s="4">
        <f>IF(ISERROR(VLOOKUP($S$27,'TAR FIN'!$A$1:$O$92,15,0)),0,VLOOKUP($S$27,'TAR FIN'!$A$1:$O$92,15,0))</f>
        <v>0</v>
      </c>
      <c r="W27" s="4">
        <f>IF(ISERROR(VLOOKUP($T$27,'TAR FIN'!$A$1:$O$92,15,0)),0,VLOOKUP($T$27,'TAR FIN'!$A$1:$O$92,15,0))</f>
        <v>87.73</v>
      </c>
      <c r="X27" s="4">
        <f>IF(ISERROR(VLOOKUP($U$27,'TAR FIN'!$A$1:$O$92,15,0)),0,VLOOKUP($U$27,'TAR FIN'!$A$1:$O$92,15,0))</f>
        <v>253.9</v>
      </c>
      <c r="Y27" s="4"/>
      <c r="Z27" s="4">
        <f ca="1">('TUSD BE'!$AM$12+'TUSD BF'!$AM$12+'TUSD CVA'!$AM$12)*1</f>
        <v>109.44196476324252</v>
      </c>
      <c r="AA27" s="4">
        <f>('TE BE'!$AB$6+'TE BF'!$AB$6+'TE CVA'!$AB$6)*1</f>
        <v>317.3874512882154</v>
      </c>
      <c r="AB27" s="4">
        <f t="shared" si="2"/>
        <v>0</v>
      </c>
      <c r="AC27" s="4">
        <f t="shared" si="3"/>
        <v>87381.574791999999</v>
      </c>
      <c r="AD27" s="4">
        <f t="shared" si="4"/>
        <v>0</v>
      </c>
      <c r="AE27" s="4">
        <f t="shared" ca="1" si="5"/>
        <v>109173.74511057623</v>
      </c>
      <c r="AF27" s="3" t="s">
        <v>753</v>
      </c>
    </row>
    <row r="28" spans="1:32" ht="11.25" customHeight="1" x14ac:dyDescent="0.25">
      <c r="A28" s="3" t="s">
        <v>21</v>
      </c>
      <c r="B28" s="3" t="s">
        <v>39</v>
      </c>
      <c r="C28" s="3" t="s">
        <v>41</v>
      </c>
      <c r="D28" s="3" t="s">
        <v>44</v>
      </c>
      <c r="E28" s="3" t="s">
        <v>52</v>
      </c>
      <c r="F28" s="3" t="s">
        <v>54</v>
      </c>
      <c r="G28" s="3" t="s">
        <v>25</v>
      </c>
      <c r="H28" s="3" t="s">
        <v>35</v>
      </c>
      <c r="I28" s="6">
        <v>44562</v>
      </c>
      <c r="J28" s="4">
        <v>0</v>
      </c>
      <c r="K28" s="4">
        <v>0</v>
      </c>
      <c r="L28" s="4">
        <v>375.005</v>
      </c>
      <c r="M28" s="4">
        <v>75.001000000000005</v>
      </c>
      <c r="N28" s="4">
        <v>375.005</v>
      </c>
      <c r="O28" s="4">
        <v>75.001000000000005</v>
      </c>
      <c r="P28" s="4">
        <v>0</v>
      </c>
      <c r="Q28" s="3" t="s">
        <v>26</v>
      </c>
      <c r="R28" s="3">
        <v>0</v>
      </c>
      <c r="S28" s="3">
        <v>0</v>
      </c>
      <c r="T28" s="3">
        <v>31</v>
      </c>
      <c r="U28" s="3">
        <v>59</v>
      </c>
      <c r="V28" s="4">
        <f>IF(ISERROR(VLOOKUP($S$28,'TAR FIN'!$A$1:$O$92,15,0)),0,VLOOKUP($S$28,'TAR FIN'!$A$1:$O$92,15,0))</f>
        <v>0</v>
      </c>
      <c r="W28" s="4">
        <f>IF(ISERROR(VLOOKUP($T$28,'TAR FIN'!$A$1:$O$92,15,0)),0,VLOOKUP($T$28,'TAR FIN'!$A$1:$O$92,15,0))</f>
        <v>87.73</v>
      </c>
      <c r="X28" s="4">
        <f>IF(ISERROR(VLOOKUP($U$28,'TAR FIN'!$A$1:$O$92,15,0)),0,VLOOKUP($U$28,'TAR FIN'!$A$1:$O$92,15,0))</f>
        <v>253.9</v>
      </c>
      <c r="Y28" s="4"/>
      <c r="Z28" s="4">
        <f ca="1">('TUSD BE'!$AM$12+'TUSD BF'!$AM$12+'TUSD CVA'!$AM$12)*1</f>
        <v>109.44196476324252</v>
      </c>
      <c r="AA28" s="4">
        <f>('TE BE'!$AB$6+'TE BF'!$AB$6+'TE CVA'!$AB$6)*1</f>
        <v>317.3874512882154</v>
      </c>
      <c r="AB28" s="4">
        <f t="shared" si="2"/>
        <v>0</v>
      </c>
      <c r="AC28" s="4">
        <f t="shared" si="3"/>
        <v>102490.36652000001</v>
      </c>
      <c r="AD28" s="4">
        <f t="shared" si="4"/>
        <v>0</v>
      </c>
      <c r="AE28" s="4">
        <f t="shared" ca="1" si="5"/>
        <v>128050.53213310159</v>
      </c>
      <c r="AF28" s="3" t="s">
        <v>753</v>
      </c>
    </row>
    <row r="29" spans="1:32" ht="11.25" customHeight="1" x14ac:dyDescent="0.25">
      <c r="A29" s="3" t="s">
        <v>21</v>
      </c>
      <c r="B29" s="3" t="s">
        <v>39</v>
      </c>
      <c r="C29" s="3" t="s">
        <v>41</v>
      </c>
      <c r="D29" s="3" t="s">
        <v>44</v>
      </c>
      <c r="E29" s="3" t="s">
        <v>52</v>
      </c>
      <c r="F29" s="3" t="s">
        <v>54</v>
      </c>
      <c r="G29" s="3" t="s">
        <v>25</v>
      </c>
      <c r="H29" s="3" t="s">
        <v>35</v>
      </c>
      <c r="I29" s="6">
        <v>44593</v>
      </c>
      <c r="J29" s="4">
        <v>0</v>
      </c>
      <c r="K29" s="4">
        <v>0</v>
      </c>
      <c r="L29" s="4">
        <v>331.98099999999999</v>
      </c>
      <c r="M29" s="4">
        <v>66.396199999999993</v>
      </c>
      <c r="N29" s="4">
        <v>331.98099999999999</v>
      </c>
      <c r="O29" s="4">
        <v>66.396199999999993</v>
      </c>
      <c r="P29" s="4">
        <v>0</v>
      </c>
      <c r="Q29" s="3" t="s">
        <v>26</v>
      </c>
      <c r="R29" s="3">
        <v>0</v>
      </c>
      <c r="S29" s="3">
        <v>0</v>
      </c>
      <c r="T29" s="3">
        <v>31</v>
      </c>
      <c r="U29" s="3">
        <v>59</v>
      </c>
      <c r="V29" s="4">
        <f>IF(ISERROR(VLOOKUP($S$29,'TAR FIN'!$A$1:$O$92,15,0)),0,VLOOKUP($S$29,'TAR FIN'!$A$1:$O$92,15,0))</f>
        <v>0</v>
      </c>
      <c r="W29" s="4">
        <f>IF(ISERROR(VLOOKUP($T$29,'TAR FIN'!$A$1:$O$92,15,0)),0,VLOOKUP($T$29,'TAR FIN'!$A$1:$O$92,15,0))</f>
        <v>87.73</v>
      </c>
      <c r="X29" s="4">
        <f>IF(ISERROR(VLOOKUP($U$29,'TAR FIN'!$A$1:$O$92,15,0)),0,VLOOKUP($U$29,'TAR FIN'!$A$1:$O$92,15,0))</f>
        <v>253.9</v>
      </c>
      <c r="Y29" s="4"/>
      <c r="Z29" s="4">
        <f ca="1">('TUSD BE'!$AM$12+'TUSD BF'!$AM$12+'TUSD CVA'!$AM$12)*1</f>
        <v>109.44196476324252</v>
      </c>
      <c r="AA29" s="4">
        <f>('TE BE'!$AB$6+'TE BF'!$AB$6+'TE CVA'!$AB$6)*1</f>
        <v>317.3874512882154</v>
      </c>
      <c r="AB29" s="4">
        <f t="shared" si="2"/>
        <v>0</v>
      </c>
      <c r="AC29" s="4">
        <f t="shared" si="3"/>
        <v>90731.735223999989</v>
      </c>
      <c r="AD29" s="4">
        <f t="shared" si="4"/>
        <v>0</v>
      </c>
      <c r="AE29" s="4">
        <f t="shared" ca="1" si="5"/>
        <v>113359.40509614324</v>
      </c>
      <c r="AF29" s="3" t="s">
        <v>753</v>
      </c>
    </row>
    <row r="30" spans="1:32" ht="11.25" customHeight="1" x14ac:dyDescent="0.25">
      <c r="A30" s="3" t="s">
        <v>27</v>
      </c>
      <c r="B30" s="3" t="s">
        <v>39</v>
      </c>
      <c r="C30" s="3" t="s">
        <v>41</v>
      </c>
      <c r="D30" s="3" t="s">
        <v>44</v>
      </c>
      <c r="E30" s="3" t="s">
        <v>52</v>
      </c>
      <c r="F30" s="3" t="s">
        <v>54</v>
      </c>
      <c r="G30" s="3" t="s">
        <v>25</v>
      </c>
      <c r="H30" s="3" t="s">
        <v>35</v>
      </c>
      <c r="I30" s="6">
        <v>44593</v>
      </c>
      <c r="J30" s="4">
        <v>0</v>
      </c>
      <c r="K30" s="4">
        <v>0</v>
      </c>
      <c r="L30" s="4">
        <v>-36.448999999999998</v>
      </c>
      <c r="M30" s="4">
        <v>-7.2897999999999996</v>
      </c>
      <c r="N30" s="4">
        <v>-36.448999999999998</v>
      </c>
      <c r="O30" s="4">
        <v>-7.2897999999999996</v>
      </c>
      <c r="P30" s="4">
        <v>0</v>
      </c>
      <c r="Q30" s="3" t="s">
        <v>26</v>
      </c>
      <c r="R30" s="3">
        <v>0</v>
      </c>
      <c r="S30" s="3">
        <v>0</v>
      </c>
      <c r="T30" s="3">
        <v>31</v>
      </c>
      <c r="U30" s="3">
        <v>59</v>
      </c>
      <c r="V30" s="4">
        <f>IF(ISERROR(VLOOKUP($S$30,'TAR FIN'!$A$1:$O$92,15,0)),0,VLOOKUP($S$30,'TAR FIN'!$A$1:$O$92,15,0))</f>
        <v>0</v>
      </c>
      <c r="W30" s="4">
        <f>IF(ISERROR(VLOOKUP($T$30,'TAR FIN'!$A$1:$O$92,15,0)),0,VLOOKUP($T$30,'TAR FIN'!$A$1:$O$92,15,0))</f>
        <v>87.73</v>
      </c>
      <c r="X30" s="4">
        <f>IF(ISERROR(VLOOKUP($U$30,'TAR FIN'!$A$1:$O$92,15,0)),0,VLOOKUP($U$30,'TAR FIN'!$A$1:$O$92,15,0))</f>
        <v>253.9</v>
      </c>
      <c r="Y30" s="4"/>
      <c r="Z30" s="4">
        <f ca="1">('TUSD BE'!$AM$12+'TUSD BF'!$AM$12+'TUSD CVA'!$AM$12)*1</f>
        <v>109.44196476324252</v>
      </c>
      <c r="AA30" s="4">
        <f>('TE BE'!$AB$6+'TE BF'!$AB$6+'TE CVA'!$AB$6)*1</f>
        <v>317.3874512882154</v>
      </c>
      <c r="AB30" s="4">
        <f t="shared" si="2"/>
        <v>0</v>
      </c>
      <c r="AC30" s="4">
        <f t="shared" si="3"/>
        <v>-9961.6574959999998</v>
      </c>
      <c r="AD30" s="4">
        <f t="shared" si="4"/>
        <v>0</v>
      </c>
      <c r="AE30" s="4">
        <f t="shared" ca="1" si="5"/>
        <v>-12446.00430852767</v>
      </c>
      <c r="AF30" s="3" t="s">
        <v>753</v>
      </c>
    </row>
    <row r="31" spans="1:32" ht="11.25" customHeight="1" x14ac:dyDescent="0.25">
      <c r="A31" s="3" t="s">
        <v>21</v>
      </c>
      <c r="B31" s="3" t="s">
        <v>39</v>
      </c>
      <c r="C31" s="3" t="s">
        <v>41</v>
      </c>
      <c r="D31" s="3" t="s">
        <v>44</v>
      </c>
      <c r="E31" s="3" t="s">
        <v>52</v>
      </c>
      <c r="F31" s="3" t="s">
        <v>54</v>
      </c>
      <c r="G31" s="3" t="s">
        <v>25</v>
      </c>
      <c r="H31" s="3" t="s">
        <v>35</v>
      </c>
      <c r="I31" s="6">
        <v>44621</v>
      </c>
      <c r="J31" s="4">
        <v>0</v>
      </c>
      <c r="K31" s="4">
        <v>0</v>
      </c>
      <c r="L31" s="4">
        <v>72.680999999999997</v>
      </c>
      <c r="M31" s="4">
        <v>14.536199999999999</v>
      </c>
      <c r="N31" s="4">
        <v>72.680999999999997</v>
      </c>
      <c r="O31" s="4">
        <v>14.536199999999999</v>
      </c>
      <c r="P31" s="4">
        <v>0</v>
      </c>
      <c r="Q31" s="3" t="s">
        <v>26</v>
      </c>
      <c r="R31" s="3">
        <v>0</v>
      </c>
      <c r="S31" s="3">
        <v>0</v>
      </c>
      <c r="T31" s="3">
        <v>31</v>
      </c>
      <c r="U31" s="3">
        <v>59</v>
      </c>
      <c r="V31" s="4">
        <f>IF(ISERROR(VLOOKUP($S$31,'TAR FIN'!$A$1:$O$92,15,0)),0,VLOOKUP($S$31,'TAR FIN'!$A$1:$O$92,15,0))</f>
        <v>0</v>
      </c>
      <c r="W31" s="4">
        <f>IF(ISERROR(VLOOKUP($T$31,'TAR FIN'!$A$1:$O$92,15,0)),0,VLOOKUP($T$31,'TAR FIN'!$A$1:$O$92,15,0))</f>
        <v>87.73</v>
      </c>
      <c r="X31" s="4">
        <f>IF(ISERROR(VLOOKUP($U$31,'TAR FIN'!$A$1:$O$92,15,0)),0,VLOOKUP($U$31,'TAR FIN'!$A$1:$O$92,15,0))</f>
        <v>253.9</v>
      </c>
      <c r="Y31" s="4"/>
      <c r="Z31" s="4">
        <f ca="1">('TUSD BE'!$AM$12+'TUSD BF'!$AM$12+'TUSD CVA'!$AM$12)*1</f>
        <v>109.44196476324252</v>
      </c>
      <c r="AA31" s="4">
        <f>('TE BE'!$AB$6+'TE BF'!$AB$6+'TE CVA'!$AB$6)*1</f>
        <v>317.3874512882154</v>
      </c>
      <c r="AB31" s="4">
        <f t="shared" si="2"/>
        <v>0</v>
      </c>
      <c r="AC31" s="4">
        <f t="shared" si="3"/>
        <v>19864.008023999999</v>
      </c>
      <c r="AD31" s="4">
        <f t="shared" si="4"/>
        <v>0</v>
      </c>
      <c r="AE31" s="4">
        <f t="shared" ca="1" si="5"/>
        <v>24817.911030428812</v>
      </c>
      <c r="AF31" s="3" t="s">
        <v>753</v>
      </c>
    </row>
    <row r="32" spans="1:32" ht="11.25" customHeight="1" x14ac:dyDescent="0.25">
      <c r="A32" s="3" t="s">
        <v>21</v>
      </c>
      <c r="B32" s="3" t="s">
        <v>39</v>
      </c>
      <c r="C32" s="3" t="s">
        <v>41</v>
      </c>
      <c r="D32" s="3" t="s">
        <v>44</v>
      </c>
      <c r="E32" s="3" t="s">
        <v>52</v>
      </c>
      <c r="F32" s="3" t="s">
        <v>54</v>
      </c>
      <c r="G32" s="3" t="s">
        <v>25</v>
      </c>
      <c r="H32" s="3" t="s">
        <v>35</v>
      </c>
      <c r="I32" s="6">
        <v>44652</v>
      </c>
      <c r="J32" s="4">
        <v>0</v>
      </c>
      <c r="K32" s="4">
        <v>0</v>
      </c>
      <c r="L32" s="4">
        <v>72.680999999999997</v>
      </c>
      <c r="M32" s="4">
        <v>14.536199999999999</v>
      </c>
      <c r="N32" s="4">
        <v>72.680999999999997</v>
      </c>
      <c r="O32" s="4">
        <v>14.536199999999999</v>
      </c>
      <c r="P32" s="4">
        <v>0</v>
      </c>
      <c r="Q32" s="3" t="s">
        <v>26</v>
      </c>
      <c r="R32" s="3">
        <v>0</v>
      </c>
      <c r="S32" s="3">
        <v>0</v>
      </c>
      <c r="T32" s="3">
        <v>31</v>
      </c>
      <c r="U32" s="3">
        <v>59</v>
      </c>
      <c r="V32" s="4">
        <f>IF(ISERROR(VLOOKUP($S$32,'TAR FIN'!$A$1:$O$92,15,0)),0,VLOOKUP($S$32,'TAR FIN'!$A$1:$O$92,15,0))</f>
        <v>0</v>
      </c>
      <c r="W32" s="4">
        <f>IF(ISERROR(VLOOKUP($T$32,'TAR FIN'!$A$1:$O$92,15,0)),0,VLOOKUP($T$32,'TAR FIN'!$A$1:$O$92,15,0))</f>
        <v>87.73</v>
      </c>
      <c r="X32" s="4">
        <f>IF(ISERROR(VLOOKUP($U$32,'TAR FIN'!$A$1:$O$92,15,0)),0,VLOOKUP($U$32,'TAR FIN'!$A$1:$O$92,15,0))</f>
        <v>253.9</v>
      </c>
      <c r="Y32" s="4"/>
      <c r="Z32" s="4">
        <f ca="1">('TUSD BE'!$AM$12+'TUSD BF'!$AM$12+'TUSD CVA'!$AM$12)*1</f>
        <v>109.44196476324252</v>
      </c>
      <c r="AA32" s="4">
        <f>('TE BE'!$AB$6+'TE BF'!$AB$6+'TE CVA'!$AB$6)*1</f>
        <v>317.3874512882154</v>
      </c>
      <c r="AB32" s="4">
        <f t="shared" si="2"/>
        <v>0</v>
      </c>
      <c r="AC32" s="4">
        <f t="shared" si="3"/>
        <v>19864.008023999999</v>
      </c>
      <c r="AD32" s="4">
        <f t="shared" si="4"/>
        <v>0</v>
      </c>
      <c r="AE32" s="4">
        <f t="shared" ca="1" si="5"/>
        <v>24817.911030428812</v>
      </c>
      <c r="AF32" s="3" t="s">
        <v>753</v>
      </c>
    </row>
    <row r="33" spans="1:32" ht="11.25" customHeight="1" x14ac:dyDescent="0.25">
      <c r="A33" s="3" t="s">
        <v>21</v>
      </c>
      <c r="B33" s="3" t="s">
        <v>39</v>
      </c>
      <c r="C33" s="3" t="s">
        <v>41</v>
      </c>
      <c r="D33" s="3" t="s">
        <v>44</v>
      </c>
      <c r="E33" s="3" t="s">
        <v>52</v>
      </c>
      <c r="F33" s="3" t="s">
        <v>54</v>
      </c>
      <c r="G33" s="3" t="s">
        <v>25</v>
      </c>
      <c r="H33" s="3" t="s">
        <v>35</v>
      </c>
      <c r="I33" s="6">
        <v>44682</v>
      </c>
      <c r="J33" s="4">
        <v>0</v>
      </c>
      <c r="K33" s="4">
        <v>0</v>
      </c>
      <c r="L33" s="4">
        <v>13.135999999999999</v>
      </c>
      <c r="M33" s="4">
        <v>2.6272000000000002</v>
      </c>
      <c r="N33" s="4">
        <v>13.135999999999999</v>
      </c>
      <c r="O33" s="4">
        <v>2.6272000000000002</v>
      </c>
      <c r="P33" s="4">
        <v>0</v>
      </c>
      <c r="Q33" s="3" t="s">
        <v>26</v>
      </c>
      <c r="R33" s="3">
        <v>0</v>
      </c>
      <c r="S33" s="3">
        <v>0</v>
      </c>
      <c r="T33" s="3">
        <v>31</v>
      </c>
      <c r="U33" s="3">
        <v>59</v>
      </c>
      <c r="V33" s="4">
        <f>IF(ISERROR(VLOOKUP($S$33,'TAR FIN'!$A$1:$O$92,15,0)),0,VLOOKUP($S$33,'TAR FIN'!$A$1:$O$92,15,0))</f>
        <v>0</v>
      </c>
      <c r="W33" s="4">
        <f>IF(ISERROR(VLOOKUP($T$33,'TAR FIN'!$A$1:$O$92,15,0)),0,VLOOKUP($T$33,'TAR FIN'!$A$1:$O$92,15,0))</f>
        <v>87.73</v>
      </c>
      <c r="X33" s="4">
        <f>IF(ISERROR(VLOOKUP($U$33,'TAR FIN'!$A$1:$O$92,15,0)),0,VLOOKUP($U$33,'TAR FIN'!$A$1:$O$92,15,0))</f>
        <v>253.9</v>
      </c>
      <c r="Y33" s="4"/>
      <c r="Z33" s="4">
        <f ca="1">('TUSD BE'!$AM$12+'TUSD BF'!$AM$12+'TUSD CVA'!$AM$12)*1</f>
        <v>109.44196476324252</v>
      </c>
      <c r="AA33" s="4">
        <f>('TE BE'!$AB$6+'TE BF'!$AB$6+'TE CVA'!$AB$6)*1</f>
        <v>317.3874512882154</v>
      </c>
      <c r="AB33" s="4">
        <f t="shared" si="2"/>
        <v>0</v>
      </c>
      <c r="AC33" s="4">
        <f t="shared" si="3"/>
        <v>3590.1213439999997</v>
      </c>
      <c r="AD33" s="4">
        <f t="shared" si="4"/>
        <v>0</v>
      </c>
      <c r="AE33" s="4">
        <f t="shared" ca="1" si="5"/>
        <v>4485.46496740156</v>
      </c>
      <c r="AF33" s="3" t="s">
        <v>753</v>
      </c>
    </row>
    <row r="34" spans="1:32" ht="11.25" customHeight="1" x14ac:dyDescent="0.25">
      <c r="A34" s="3" t="s">
        <v>27</v>
      </c>
      <c r="B34" s="3" t="s">
        <v>39</v>
      </c>
      <c r="C34" s="3" t="s">
        <v>41</v>
      </c>
      <c r="D34" s="3" t="s">
        <v>44</v>
      </c>
      <c r="E34" s="3" t="s">
        <v>52</v>
      </c>
      <c r="F34" s="3" t="s">
        <v>54</v>
      </c>
      <c r="G34" s="3" t="s">
        <v>25</v>
      </c>
      <c r="H34" s="3" t="s">
        <v>35</v>
      </c>
      <c r="I34" s="6">
        <v>44682</v>
      </c>
      <c r="J34" s="4">
        <v>0</v>
      </c>
      <c r="K34" s="4">
        <v>0</v>
      </c>
      <c r="L34" s="4">
        <v>20.076000000000001</v>
      </c>
      <c r="M34" s="4">
        <v>4.0152000000000001</v>
      </c>
      <c r="N34" s="4">
        <v>20.076000000000001</v>
      </c>
      <c r="O34" s="4">
        <v>4.0152000000000001</v>
      </c>
      <c r="P34" s="4">
        <v>0</v>
      </c>
      <c r="Q34" s="3" t="s">
        <v>26</v>
      </c>
      <c r="R34" s="3">
        <v>0</v>
      </c>
      <c r="S34" s="3">
        <v>0</v>
      </c>
      <c r="T34" s="3">
        <v>31</v>
      </c>
      <c r="U34" s="3">
        <v>59</v>
      </c>
      <c r="V34" s="4">
        <f>IF(ISERROR(VLOOKUP($S$34,'TAR FIN'!$A$1:$O$92,15,0)),0,VLOOKUP($S$34,'TAR FIN'!$A$1:$O$92,15,0))</f>
        <v>0</v>
      </c>
      <c r="W34" s="4">
        <f>IF(ISERROR(VLOOKUP($T$34,'TAR FIN'!$A$1:$O$92,15,0)),0,VLOOKUP($T$34,'TAR FIN'!$A$1:$O$92,15,0))</f>
        <v>87.73</v>
      </c>
      <c r="X34" s="4">
        <f>IF(ISERROR(VLOOKUP($U$34,'TAR FIN'!$A$1:$O$92,15,0)),0,VLOOKUP($U$34,'TAR FIN'!$A$1:$O$92,15,0))</f>
        <v>253.9</v>
      </c>
      <c r="Y34" s="4"/>
      <c r="Z34" s="4">
        <f ca="1">('TUSD BE'!$AM$12+'TUSD BF'!$AM$12+'TUSD CVA'!$AM$12)*1</f>
        <v>109.44196476324252</v>
      </c>
      <c r="AA34" s="4">
        <f>('TE BE'!$AB$6+'TE BF'!$AB$6+'TE CVA'!$AB$6)*1</f>
        <v>317.3874512882154</v>
      </c>
      <c r="AB34" s="4">
        <f t="shared" si="2"/>
        <v>0</v>
      </c>
      <c r="AC34" s="4">
        <f t="shared" ref="AC34:AC39" si="6">(L34-M34)*W34+(N34-O34)*X34</f>
        <v>5486.8511040000003</v>
      </c>
      <c r="AD34" s="4">
        <f t="shared" si="4"/>
        <v>0</v>
      </c>
      <c r="AE34" s="4">
        <f t="shared" ref="AE34:AE39" ca="1" si="7">(L34-M34)*Z34+(N34-O34)*AA34</f>
        <v>6855.2218853192553</v>
      </c>
      <c r="AF34" s="3" t="s">
        <v>753</v>
      </c>
    </row>
    <row r="35" spans="1:32" ht="11.25" customHeight="1" x14ac:dyDescent="0.25">
      <c r="A35" s="3" t="s">
        <v>21</v>
      </c>
      <c r="B35" s="3" t="s">
        <v>39</v>
      </c>
      <c r="C35" s="3" t="s">
        <v>41</v>
      </c>
      <c r="D35" s="3" t="s">
        <v>44</v>
      </c>
      <c r="E35" s="3" t="s">
        <v>52</v>
      </c>
      <c r="F35" s="3" t="s">
        <v>54</v>
      </c>
      <c r="G35" s="3" t="s">
        <v>25</v>
      </c>
      <c r="H35" s="3" t="s">
        <v>35</v>
      </c>
      <c r="I35" s="6">
        <v>44713</v>
      </c>
      <c r="J35" s="4">
        <v>0</v>
      </c>
      <c r="K35" s="4">
        <v>0</v>
      </c>
      <c r="L35" s="4">
        <v>7.2789999999999999</v>
      </c>
      <c r="M35" s="4">
        <v>1.4558</v>
      </c>
      <c r="N35" s="4">
        <v>7.2789999999999999</v>
      </c>
      <c r="O35" s="4">
        <v>1.4558</v>
      </c>
      <c r="P35" s="4">
        <v>0</v>
      </c>
      <c r="Q35" s="3" t="s">
        <v>26</v>
      </c>
      <c r="R35" s="3">
        <v>0</v>
      </c>
      <c r="S35" s="3">
        <v>0</v>
      </c>
      <c r="T35" s="3">
        <v>31</v>
      </c>
      <c r="U35" s="3">
        <v>59</v>
      </c>
      <c r="V35" s="4">
        <f>IF(ISERROR(VLOOKUP($S$35,'TAR FIN'!$A$1:$O$92,15,0)),0,VLOOKUP($S$35,'TAR FIN'!$A$1:$O$92,15,0))</f>
        <v>0</v>
      </c>
      <c r="W35" s="4">
        <f>IF(ISERROR(VLOOKUP($T$35,'TAR FIN'!$A$1:$O$92,15,0)),0,VLOOKUP($T$35,'TAR FIN'!$A$1:$O$92,15,0))</f>
        <v>87.73</v>
      </c>
      <c r="X35" s="4">
        <f>IF(ISERROR(VLOOKUP($U$35,'TAR FIN'!$A$1:$O$92,15,0)),0,VLOOKUP($U$35,'TAR FIN'!$A$1:$O$92,15,0))</f>
        <v>253.9</v>
      </c>
      <c r="Y35" s="4"/>
      <c r="Z35" s="4">
        <f ca="1">('TUSD BE'!$AM$12+'TUSD BF'!$AM$12+'TUSD CVA'!$AM$12)*1</f>
        <v>109.44196476324252</v>
      </c>
      <c r="AA35" s="4">
        <f>('TE BE'!$AB$6+'TE BF'!$AB$6+'TE CVA'!$AB$6)*1</f>
        <v>317.3874512882154</v>
      </c>
      <c r="AB35" s="4">
        <f t="shared" si="2"/>
        <v>0</v>
      </c>
      <c r="AC35" s="4">
        <f t="shared" si="6"/>
        <v>1989.3798159999999</v>
      </c>
      <c r="AD35" s="4">
        <f t="shared" si="4"/>
        <v>0</v>
      </c>
      <c r="AE35" s="4">
        <f t="shared" ca="1" si="7"/>
        <v>2485.5130555508495</v>
      </c>
      <c r="AF35" s="3" t="s">
        <v>753</v>
      </c>
    </row>
    <row r="36" spans="1:32" ht="11.25" customHeight="1" x14ac:dyDescent="0.25">
      <c r="A36" s="3" t="s">
        <v>21</v>
      </c>
      <c r="B36" s="3" t="s">
        <v>39</v>
      </c>
      <c r="C36" s="3" t="s">
        <v>41</v>
      </c>
      <c r="D36" s="3" t="s">
        <v>44</v>
      </c>
      <c r="E36" s="3" t="s">
        <v>52</v>
      </c>
      <c r="F36" s="3" t="s">
        <v>54</v>
      </c>
      <c r="G36" s="3" t="s">
        <v>25</v>
      </c>
      <c r="H36" s="3" t="s">
        <v>35</v>
      </c>
      <c r="I36" s="6">
        <v>44743</v>
      </c>
      <c r="J36" s="4">
        <v>0</v>
      </c>
      <c r="K36" s="4">
        <v>0</v>
      </c>
      <c r="L36" s="4">
        <v>6.7130000000000001</v>
      </c>
      <c r="M36" s="4">
        <v>1.3426</v>
      </c>
      <c r="N36" s="4">
        <v>6.7130000000000001</v>
      </c>
      <c r="O36" s="4">
        <v>1.3426</v>
      </c>
      <c r="P36" s="4">
        <v>0</v>
      </c>
      <c r="Q36" s="3" t="s">
        <v>26</v>
      </c>
      <c r="R36" s="3">
        <v>0</v>
      </c>
      <c r="S36" s="3">
        <v>0</v>
      </c>
      <c r="T36" s="3">
        <v>31</v>
      </c>
      <c r="U36" s="3">
        <v>59</v>
      </c>
      <c r="V36" s="4">
        <f>IF(ISERROR(VLOOKUP($S$36,'TAR FIN'!$A$1:$O$92,15,0)),0,VLOOKUP($S$36,'TAR FIN'!$A$1:$O$92,15,0))</f>
        <v>0</v>
      </c>
      <c r="W36" s="4">
        <f>IF(ISERROR(VLOOKUP($T$36,'TAR FIN'!$A$1:$O$92,15,0)),0,VLOOKUP($T$36,'TAR FIN'!$A$1:$O$92,15,0))</f>
        <v>87.73</v>
      </c>
      <c r="X36" s="4">
        <f>IF(ISERROR(VLOOKUP($U$36,'TAR FIN'!$A$1:$O$92,15,0)),0,VLOOKUP($U$36,'TAR FIN'!$A$1:$O$92,15,0))</f>
        <v>253.9</v>
      </c>
      <c r="Y36" s="4"/>
      <c r="Z36" s="4">
        <f ca="1">('TUSD BE'!$AM$12+'TUSD BF'!$AM$12+'TUSD CVA'!$AM$12)*1</f>
        <v>109.44196476324252</v>
      </c>
      <c r="AA36" s="4">
        <f>('TE BE'!$AB$6+'TE BF'!$AB$6+'TE CVA'!$AB$6)*1</f>
        <v>317.3874512882154</v>
      </c>
      <c r="AB36" s="4">
        <f t="shared" si="2"/>
        <v>0</v>
      </c>
      <c r="AC36" s="4">
        <f t="shared" si="6"/>
        <v>1834.689752</v>
      </c>
      <c r="AD36" s="4">
        <f t="shared" si="4"/>
        <v>0</v>
      </c>
      <c r="AE36" s="4">
        <f t="shared" ca="1" si="7"/>
        <v>2292.2446959627496</v>
      </c>
      <c r="AF36" s="3" t="s">
        <v>753</v>
      </c>
    </row>
    <row r="37" spans="1:32" ht="11.25" customHeight="1" x14ac:dyDescent="0.25">
      <c r="A37" s="3" t="s">
        <v>21</v>
      </c>
      <c r="B37" s="3" t="s">
        <v>39</v>
      </c>
      <c r="C37" s="3" t="s">
        <v>41</v>
      </c>
      <c r="D37" s="3" t="s">
        <v>44</v>
      </c>
      <c r="E37" s="3" t="s">
        <v>52</v>
      </c>
      <c r="F37" s="3" t="s">
        <v>54</v>
      </c>
      <c r="G37" s="3" t="s">
        <v>25</v>
      </c>
      <c r="H37" s="3" t="s">
        <v>35</v>
      </c>
      <c r="I37" s="6">
        <v>44774</v>
      </c>
      <c r="J37" s="4">
        <v>0</v>
      </c>
      <c r="K37" s="4">
        <v>0</v>
      </c>
      <c r="L37" s="4">
        <v>41.603000000000002</v>
      </c>
      <c r="M37" s="4">
        <v>8.3206000000000007</v>
      </c>
      <c r="N37" s="4">
        <v>41.603000000000002</v>
      </c>
      <c r="O37" s="4">
        <v>8.3206000000000007</v>
      </c>
      <c r="P37" s="4">
        <v>0</v>
      </c>
      <c r="Q37" s="3" t="s">
        <v>26</v>
      </c>
      <c r="R37" s="3">
        <v>0</v>
      </c>
      <c r="S37" s="3">
        <v>0</v>
      </c>
      <c r="T37" s="3">
        <v>31</v>
      </c>
      <c r="U37" s="3">
        <v>59</v>
      </c>
      <c r="V37" s="4">
        <f>IF(ISERROR(VLOOKUP($S$37,'TAR FIN'!$A$1:$O$92,15,0)),0,VLOOKUP($S$37,'TAR FIN'!$A$1:$O$92,15,0))</f>
        <v>0</v>
      </c>
      <c r="W37" s="4">
        <f>IF(ISERROR(VLOOKUP($T$37,'TAR FIN'!$A$1:$O$92,15,0)),0,VLOOKUP($T$37,'TAR FIN'!$A$1:$O$92,15,0))</f>
        <v>87.73</v>
      </c>
      <c r="X37" s="4">
        <f>IF(ISERROR(VLOOKUP($U$37,'TAR FIN'!$A$1:$O$92,15,0)),0,VLOOKUP($U$37,'TAR FIN'!$A$1:$O$92,15,0))</f>
        <v>253.9</v>
      </c>
      <c r="Y37" s="4"/>
      <c r="Z37" s="4">
        <f ca="1">('TUSD BE'!$AM$12+'TUSD BF'!$AM$12+'TUSD CVA'!$AM$12)*1</f>
        <v>109.44196476324252</v>
      </c>
      <c r="AA37" s="4">
        <f>('TE BE'!$AB$6+'TE BF'!$AB$6+'TE CVA'!$AB$6)*1</f>
        <v>317.3874512882154</v>
      </c>
      <c r="AB37" s="4">
        <f t="shared" si="2"/>
        <v>0</v>
      </c>
      <c r="AC37" s="4">
        <f t="shared" si="6"/>
        <v>11370.266312000002</v>
      </c>
      <c r="AD37" s="4">
        <f t="shared" si="4"/>
        <v>0</v>
      </c>
      <c r="AE37" s="4">
        <f t="shared" ca="1" si="7"/>
        <v>14205.907356791045</v>
      </c>
      <c r="AF37" s="3" t="s">
        <v>753</v>
      </c>
    </row>
    <row r="38" spans="1:32" ht="11.25" customHeight="1" x14ac:dyDescent="0.25">
      <c r="A38" s="3" t="s">
        <v>21</v>
      </c>
      <c r="B38" s="3" t="s">
        <v>39</v>
      </c>
      <c r="C38" s="3" t="s">
        <v>41</v>
      </c>
      <c r="D38" s="3" t="s">
        <v>44</v>
      </c>
      <c r="E38" s="3" t="s">
        <v>52</v>
      </c>
      <c r="F38" s="3" t="s">
        <v>54</v>
      </c>
      <c r="G38" s="3" t="s">
        <v>25</v>
      </c>
      <c r="H38" s="3" t="s">
        <v>35</v>
      </c>
      <c r="I38" s="6">
        <v>44805</v>
      </c>
      <c r="J38" s="4">
        <v>0</v>
      </c>
      <c r="K38" s="4">
        <v>0</v>
      </c>
      <c r="L38" s="4">
        <v>101.09099999999999</v>
      </c>
      <c r="M38" s="4">
        <v>20.2182</v>
      </c>
      <c r="N38" s="4">
        <v>101.09099999999999</v>
      </c>
      <c r="O38" s="4">
        <v>20.2182</v>
      </c>
      <c r="P38" s="4">
        <v>0</v>
      </c>
      <c r="Q38" s="3" t="s">
        <v>26</v>
      </c>
      <c r="R38" s="3">
        <v>0</v>
      </c>
      <c r="S38" s="3">
        <v>0</v>
      </c>
      <c r="T38" s="3">
        <v>31</v>
      </c>
      <c r="U38" s="3">
        <v>59</v>
      </c>
      <c r="V38" s="4">
        <f>IF(ISERROR(VLOOKUP($S$38,'TAR FIN'!$A$1:$O$92,15,0)),0,VLOOKUP($S$38,'TAR FIN'!$A$1:$O$92,15,0))</f>
        <v>0</v>
      </c>
      <c r="W38" s="4">
        <f>IF(ISERROR(VLOOKUP($T$38,'TAR FIN'!$A$1:$O$92,15,0)),0,VLOOKUP($T$38,'TAR FIN'!$A$1:$O$92,15,0))</f>
        <v>87.73</v>
      </c>
      <c r="X38" s="4">
        <f>IF(ISERROR(VLOOKUP($U$38,'TAR FIN'!$A$1:$O$92,15,0)),0,VLOOKUP($U$38,'TAR FIN'!$A$1:$O$92,15,0))</f>
        <v>253.9</v>
      </c>
      <c r="Y38" s="4"/>
      <c r="Z38" s="4">
        <f ca="1">('TUSD BE'!$AM$12+'TUSD BF'!$AM$12+'TUSD CVA'!$AM$12)*1</f>
        <v>109.44196476324252</v>
      </c>
      <c r="AA38" s="4">
        <f>('TE BE'!$AB$6+'TE BF'!$AB$6+'TE CVA'!$AB$6)*1</f>
        <v>317.3874512882154</v>
      </c>
      <c r="AB38" s="4">
        <f t="shared" si="2"/>
        <v>0</v>
      </c>
      <c r="AC38" s="4">
        <f t="shared" si="6"/>
        <v>27628.574664</v>
      </c>
      <c r="AD38" s="4">
        <f t="shared" si="4"/>
        <v>0</v>
      </c>
      <c r="AE38" s="4">
        <f t="shared" ca="1" si="7"/>
        <v>34518.889998446342</v>
      </c>
      <c r="AF38" s="3" t="s">
        <v>753</v>
      </c>
    </row>
    <row r="39" spans="1:32" ht="11.25" customHeight="1" x14ac:dyDescent="0.25">
      <c r="A39" s="3" t="s">
        <v>55</v>
      </c>
      <c r="B39" s="3" t="s">
        <v>39</v>
      </c>
      <c r="C39" s="3" t="s">
        <v>41</v>
      </c>
      <c r="D39" s="3" t="s">
        <v>44</v>
      </c>
      <c r="E39" s="3" t="s">
        <v>52</v>
      </c>
      <c r="F39" s="3" t="s">
        <v>54</v>
      </c>
      <c r="G39" s="3" t="s">
        <v>25</v>
      </c>
      <c r="H39" s="3" t="s">
        <v>35</v>
      </c>
      <c r="I39" s="6">
        <v>44835</v>
      </c>
      <c r="J39" s="4">
        <v>0</v>
      </c>
      <c r="K39" s="4">
        <v>0</v>
      </c>
      <c r="L39" s="4">
        <v>101.09099999999999</v>
      </c>
      <c r="M39" s="4">
        <v>20.2182</v>
      </c>
      <c r="N39" s="4">
        <v>101.09099999999999</v>
      </c>
      <c r="O39" s="4">
        <v>20.2182</v>
      </c>
      <c r="P39" s="4">
        <v>0</v>
      </c>
      <c r="Q39" s="3" t="s">
        <v>26</v>
      </c>
      <c r="R39" s="3">
        <v>0</v>
      </c>
      <c r="S39" s="3">
        <v>0</v>
      </c>
      <c r="T39" s="3">
        <v>31</v>
      </c>
      <c r="U39" s="3">
        <v>59</v>
      </c>
      <c r="V39" s="4">
        <f>IF(ISERROR(VLOOKUP($S$39,'TAR FIN'!$A$1:$O$92,15,0)),0,VLOOKUP($S$39,'TAR FIN'!$A$1:$O$92,15,0))</f>
        <v>0</v>
      </c>
      <c r="W39" s="4">
        <f>IF(ISERROR(VLOOKUP($T$39,'TAR FIN'!$A$1:$O$92,15,0)),0,VLOOKUP($T$39,'TAR FIN'!$A$1:$O$92,15,0))</f>
        <v>87.73</v>
      </c>
      <c r="X39" s="4">
        <f>IF(ISERROR(VLOOKUP($U$39,'TAR FIN'!$A$1:$O$92,15,0)),0,VLOOKUP($U$39,'TAR FIN'!$A$1:$O$92,15,0))</f>
        <v>253.9</v>
      </c>
      <c r="Y39" s="4"/>
      <c r="Z39" s="4">
        <f ca="1">('TUSD BE'!$AM$12+'TUSD BF'!$AM$12+'TUSD CVA'!$AM$12)*1</f>
        <v>109.44196476324252</v>
      </c>
      <c r="AA39" s="4">
        <f>('TE BE'!$AB$6+'TE BF'!$AB$6+'TE CVA'!$AB$6)*1</f>
        <v>317.3874512882154</v>
      </c>
      <c r="AB39" s="4">
        <f t="shared" si="2"/>
        <v>0</v>
      </c>
      <c r="AC39" s="4">
        <f t="shared" si="6"/>
        <v>27628.574664</v>
      </c>
      <c r="AD39" s="4">
        <f t="shared" si="4"/>
        <v>0</v>
      </c>
      <c r="AE39" s="4">
        <f t="shared" ca="1" si="7"/>
        <v>34518.889998446342</v>
      </c>
      <c r="AF39" s="3" t="s">
        <v>753</v>
      </c>
    </row>
    <row r="40" spans="1:32" ht="11.25" customHeight="1" x14ac:dyDescent="0.25">
      <c r="A40" s="3" t="s">
        <v>21</v>
      </c>
      <c r="B40" s="3" t="s">
        <v>39</v>
      </c>
      <c r="C40" s="3" t="s">
        <v>41</v>
      </c>
      <c r="D40" s="3" t="s">
        <v>44</v>
      </c>
      <c r="E40" s="3" t="s">
        <v>52</v>
      </c>
      <c r="F40" s="3" t="s">
        <v>25</v>
      </c>
      <c r="G40" s="3" t="s">
        <v>25</v>
      </c>
      <c r="H40" s="3" t="s">
        <v>35</v>
      </c>
      <c r="I40" s="6">
        <v>44501</v>
      </c>
      <c r="J40" s="4">
        <v>0</v>
      </c>
      <c r="K40" s="64">
        <v>0</v>
      </c>
      <c r="L40" s="4">
        <v>374.07400000000001</v>
      </c>
      <c r="M40" s="64">
        <v>374.07400000000001</v>
      </c>
      <c r="N40" s="4">
        <v>374.07400000000001</v>
      </c>
      <c r="O40" s="64">
        <v>374.07400000000001</v>
      </c>
      <c r="P40" s="4">
        <v>0</v>
      </c>
      <c r="Q40" s="3" t="s">
        <v>26</v>
      </c>
      <c r="R40" s="3">
        <v>0</v>
      </c>
      <c r="S40" s="3">
        <v>0</v>
      </c>
      <c r="T40" s="3">
        <v>31</v>
      </c>
      <c r="U40" s="3">
        <v>59</v>
      </c>
      <c r="V40" s="64">
        <f>IF(ISERROR(VLOOKUP($S$40,'TAR FIN'!$A$1:$O$92,15,0)),0,VLOOKUP($S$40,'TAR FIN'!$A$1:$O$92,15,0))</f>
        <v>0</v>
      </c>
      <c r="W40" s="64">
        <f>IF(ISERROR(VLOOKUP($T$40,'TAR FIN'!$A$1:$O$92,15,0)),0,VLOOKUP($T$40,'TAR FIN'!$A$1:$O$92,15,0))*(1-0.04)</f>
        <v>84.220799999999997</v>
      </c>
      <c r="X40" s="64">
        <f>IF(ISERROR(VLOOKUP($U$40,'TAR FIN'!$A$1:$O$92,15,0)),0,VLOOKUP($U$40,'TAR FIN'!$A$1:$O$92,15,0))*(1-0.04)</f>
        <v>243.744</v>
      </c>
      <c r="Y40" s="64"/>
      <c r="Z40" s="64">
        <f ca="1">('TUSD BE'!$AM$12+'TUSD BF'!$AM$12+'TUSD CVA'!$AM$12)*1*(1-0.02)</f>
        <v>107.25312546797767</v>
      </c>
      <c r="AA40" s="64">
        <f>('TE BE'!$AB$6+'TE BF'!$AB$6+'TE CVA'!$AB$6)*1*(1-0.02)</f>
        <v>311.0397022624511</v>
      </c>
      <c r="AB40" s="64">
        <f>(SUBSIDIO!$J$40*SUBSIDIO!$V$40)*(0.04)/(1-0.04)</f>
        <v>0</v>
      </c>
      <c r="AC40" s="64">
        <f>((SUBSIDIO!$L$40*SUBSIDIO!$W$40)+(SUBSIDIO!$N$40*SUBSIDIO!$X$40))*(0.04)/(1-0.04)</f>
        <v>5111.7960248000009</v>
      </c>
      <c r="AD40" s="64">
        <f>(SUBSIDIO!$J$40*SUBSIDIO!$Y$40)*(0.02)/(1-0.02)</f>
        <v>0</v>
      </c>
      <c r="AE40" s="64">
        <f ca="1">((SUBSIDIO!$L$40*SUBSIDIO!$Z$40)+(SUBSIDIO!$N$40*SUBSIDIO!$AA$40))*(0.02)/(1-0.02)</f>
        <v>3193.3157396006618</v>
      </c>
      <c r="AF40" s="3" t="s">
        <v>752</v>
      </c>
    </row>
    <row r="41" spans="1:32" ht="11.25" customHeight="1" x14ac:dyDescent="0.25">
      <c r="A41" s="3" t="s">
        <v>21</v>
      </c>
      <c r="B41" s="3" t="s">
        <v>39</v>
      </c>
      <c r="C41" s="3" t="s">
        <v>41</v>
      </c>
      <c r="D41" s="3" t="s">
        <v>44</v>
      </c>
      <c r="E41" s="3" t="s">
        <v>52</v>
      </c>
      <c r="F41" s="3" t="s">
        <v>25</v>
      </c>
      <c r="G41" s="3" t="s">
        <v>25</v>
      </c>
      <c r="H41" s="3" t="s">
        <v>35</v>
      </c>
      <c r="I41" s="6">
        <v>44531</v>
      </c>
      <c r="J41" s="4">
        <v>0</v>
      </c>
      <c r="K41" s="64">
        <v>0</v>
      </c>
      <c r="L41" s="4">
        <v>522.27499999999998</v>
      </c>
      <c r="M41" s="64">
        <v>522.27499999999998</v>
      </c>
      <c r="N41" s="4">
        <v>522.27499999999998</v>
      </c>
      <c r="O41" s="64">
        <v>522.27499999999998</v>
      </c>
      <c r="P41" s="4">
        <v>0</v>
      </c>
      <c r="Q41" s="3" t="s">
        <v>26</v>
      </c>
      <c r="R41" s="3">
        <v>0</v>
      </c>
      <c r="S41" s="3">
        <v>0</v>
      </c>
      <c r="T41" s="3">
        <v>31</v>
      </c>
      <c r="U41" s="3">
        <v>59</v>
      </c>
      <c r="V41" s="64">
        <f>IF(ISERROR(VLOOKUP($S$41,'TAR FIN'!$A$1:$O$92,15,0)),0,VLOOKUP($S$41,'TAR FIN'!$A$1:$O$92,15,0))</f>
        <v>0</v>
      </c>
      <c r="W41" s="64">
        <f>IF(ISERROR(VLOOKUP($T$41,'TAR FIN'!$A$1:$O$92,15,0)),0,VLOOKUP($T$41,'TAR FIN'!$A$1:$O$92,15,0))*(1-0.04)</f>
        <v>84.220799999999997</v>
      </c>
      <c r="X41" s="64">
        <f>IF(ISERROR(VLOOKUP($U$41,'TAR FIN'!$A$1:$O$92,15,0)),0,VLOOKUP($U$41,'TAR FIN'!$A$1:$O$92,15,0))*(1-0.04)</f>
        <v>243.744</v>
      </c>
      <c r="Y41" s="64"/>
      <c r="Z41" s="64">
        <f ca="1">('TUSD BE'!$AM$12+'TUSD BF'!$AM$12+'TUSD CVA'!$AM$12)*1*(1-0.02)</f>
        <v>107.25312546797767</v>
      </c>
      <c r="AA41" s="64">
        <f>('TE BE'!$AB$6+'TE BF'!$AB$6+'TE CVA'!$AB$6)*1*(1-0.02)</f>
        <v>311.0397022624511</v>
      </c>
      <c r="AB41" s="64">
        <f>(SUBSIDIO!$J$41*SUBSIDIO!$V$41)*(0.04)/(1-0.04)</f>
        <v>0</v>
      </c>
      <c r="AC41" s="64">
        <f>((SUBSIDIO!$L$41*SUBSIDIO!$W$41)+(SUBSIDIO!$N$41*SUBSIDIO!$X$41))*(0.04)/(1-0.04)</f>
        <v>7136.99233</v>
      </c>
      <c r="AD41" s="64">
        <f>(SUBSIDIO!$J$41*SUBSIDIO!$Y$41)*(0.02)/(1-0.02)</f>
        <v>0</v>
      </c>
      <c r="AE41" s="64">
        <f ca="1">((SUBSIDIO!$L$41*SUBSIDIO!$Z$41)+(SUBSIDIO!$N$41*SUBSIDIO!$AA$41))*(0.02)/(1-0.02)</f>
        <v>4458.4466653655036</v>
      </c>
      <c r="AF41" s="3" t="s">
        <v>752</v>
      </c>
    </row>
    <row r="42" spans="1:32" ht="11.25" customHeight="1" x14ac:dyDescent="0.25">
      <c r="A42" s="3" t="s">
        <v>21</v>
      </c>
      <c r="B42" s="3" t="s">
        <v>39</v>
      </c>
      <c r="C42" s="3" t="s">
        <v>41</v>
      </c>
      <c r="D42" s="3" t="s">
        <v>44</v>
      </c>
      <c r="E42" s="3" t="s">
        <v>52</v>
      </c>
      <c r="F42" s="3" t="s">
        <v>25</v>
      </c>
      <c r="G42" s="3" t="s">
        <v>25</v>
      </c>
      <c r="H42" s="3" t="s">
        <v>35</v>
      </c>
      <c r="I42" s="6">
        <v>44562</v>
      </c>
      <c r="J42" s="4">
        <v>0</v>
      </c>
      <c r="K42" s="64">
        <v>0</v>
      </c>
      <c r="L42" s="4">
        <v>533.25800000000004</v>
      </c>
      <c r="M42" s="64">
        <v>533.25800000000004</v>
      </c>
      <c r="N42" s="4">
        <v>533.25800000000004</v>
      </c>
      <c r="O42" s="64">
        <v>533.25800000000004</v>
      </c>
      <c r="P42" s="4">
        <v>0</v>
      </c>
      <c r="Q42" s="3" t="s">
        <v>26</v>
      </c>
      <c r="R42" s="3">
        <v>0</v>
      </c>
      <c r="S42" s="3">
        <v>0</v>
      </c>
      <c r="T42" s="3">
        <v>31</v>
      </c>
      <c r="U42" s="3">
        <v>59</v>
      </c>
      <c r="V42" s="64">
        <f>IF(ISERROR(VLOOKUP($S$42,'TAR FIN'!$A$1:$O$92,15,0)),0,VLOOKUP($S$42,'TAR FIN'!$A$1:$O$92,15,0))</f>
        <v>0</v>
      </c>
      <c r="W42" s="64">
        <f>IF(ISERROR(VLOOKUP($T$42,'TAR FIN'!$A$1:$O$92,15,0)),0,VLOOKUP($T$42,'TAR FIN'!$A$1:$O$92,15,0))*(1-0.04)</f>
        <v>84.220799999999997</v>
      </c>
      <c r="X42" s="64">
        <f>IF(ISERROR(VLOOKUP($U$42,'TAR FIN'!$A$1:$O$92,15,0)),0,VLOOKUP($U$42,'TAR FIN'!$A$1:$O$92,15,0))*(1-0.04)</f>
        <v>243.744</v>
      </c>
      <c r="Y42" s="64"/>
      <c r="Z42" s="64">
        <f ca="1">('TUSD BE'!$AM$12+'TUSD BF'!$AM$12+'TUSD CVA'!$AM$12)*1*(1-0.02)</f>
        <v>107.25312546797767</v>
      </c>
      <c r="AA42" s="64">
        <f>('TE BE'!$AB$6+'TE BF'!$AB$6+'TE CVA'!$AB$6)*1*(1-0.02)</f>
        <v>311.0397022624511</v>
      </c>
      <c r="AB42" s="64">
        <f>(SUBSIDIO!$J$42*SUBSIDIO!$V$42)*(0.04)/(1-0.04)</f>
        <v>0</v>
      </c>
      <c r="AC42" s="64">
        <f>((SUBSIDIO!$L$42*SUBSIDIO!$W$42)+(SUBSIDIO!$N$42*SUBSIDIO!$X$42))*(0.04)/(1-0.04)</f>
        <v>7287.0772216000005</v>
      </c>
      <c r="AD42" s="64">
        <f>(SUBSIDIO!$J$42*SUBSIDIO!$Y$42)*(0.02)/(1-0.02)</f>
        <v>0</v>
      </c>
      <c r="AE42" s="64">
        <f ca="1">((SUBSIDIO!$L$42*SUBSIDIO!$Z$42)+(SUBSIDIO!$N$42*SUBSIDIO!$AA$42))*(0.02)/(1-0.02)</f>
        <v>4552.2040148953674</v>
      </c>
      <c r="AF42" s="3" t="s">
        <v>752</v>
      </c>
    </row>
    <row r="43" spans="1:32" ht="11.25" customHeight="1" x14ac:dyDescent="0.25">
      <c r="A43" s="3" t="s">
        <v>21</v>
      </c>
      <c r="B43" s="3" t="s">
        <v>39</v>
      </c>
      <c r="C43" s="3" t="s">
        <v>41</v>
      </c>
      <c r="D43" s="3" t="s">
        <v>44</v>
      </c>
      <c r="E43" s="3" t="s">
        <v>52</v>
      </c>
      <c r="F43" s="3" t="s">
        <v>25</v>
      </c>
      <c r="G43" s="3" t="s">
        <v>25</v>
      </c>
      <c r="H43" s="3" t="s">
        <v>35</v>
      </c>
      <c r="I43" s="6">
        <v>44593</v>
      </c>
      <c r="J43" s="4">
        <v>0</v>
      </c>
      <c r="K43" s="64">
        <v>0</v>
      </c>
      <c r="L43" s="4">
        <v>513.38699999999994</v>
      </c>
      <c r="M43" s="64">
        <v>513.38699999999994</v>
      </c>
      <c r="N43" s="4">
        <v>513.38699999999994</v>
      </c>
      <c r="O43" s="64">
        <v>513.38699999999994</v>
      </c>
      <c r="P43" s="4">
        <v>0</v>
      </c>
      <c r="Q43" s="3" t="s">
        <v>26</v>
      </c>
      <c r="R43" s="3">
        <v>0</v>
      </c>
      <c r="S43" s="3">
        <v>0</v>
      </c>
      <c r="T43" s="3">
        <v>31</v>
      </c>
      <c r="U43" s="3">
        <v>59</v>
      </c>
      <c r="V43" s="64">
        <f>IF(ISERROR(VLOOKUP($S$43,'TAR FIN'!$A$1:$O$92,15,0)),0,VLOOKUP($S$43,'TAR FIN'!$A$1:$O$92,15,0))</f>
        <v>0</v>
      </c>
      <c r="W43" s="64">
        <f>IF(ISERROR(VLOOKUP($T$43,'TAR FIN'!$A$1:$O$92,15,0)),0,VLOOKUP($T$43,'TAR FIN'!$A$1:$O$92,15,0))*(1-0.04)</f>
        <v>84.220799999999997</v>
      </c>
      <c r="X43" s="64">
        <f>IF(ISERROR(VLOOKUP($U$43,'TAR FIN'!$A$1:$O$92,15,0)),0,VLOOKUP($U$43,'TAR FIN'!$A$1:$O$92,15,0))*(1-0.04)</f>
        <v>243.744</v>
      </c>
      <c r="Y43" s="64"/>
      <c r="Z43" s="64">
        <f ca="1">('TUSD BE'!$AM$12+'TUSD BF'!$AM$12+'TUSD CVA'!$AM$12)*1*(1-0.02)</f>
        <v>107.25312546797767</v>
      </c>
      <c r="AA43" s="64">
        <f>('TE BE'!$AB$6+'TE BF'!$AB$6+'TE CVA'!$AB$6)*1*(1-0.02)</f>
        <v>311.0397022624511</v>
      </c>
      <c r="AB43" s="64">
        <f>(SUBSIDIO!$J$43*SUBSIDIO!$V$43)*(0.04)/(1-0.04)</f>
        <v>0</v>
      </c>
      <c r="AC43" s="64">
        <f>((SUBSIDIO!$L$43*SUBSIDIO!$W$43)+(SUBSIDIO!$N$43*SUBSIDIO!$X$43))*(0.04)/(1-0.04)</f>
        <v>7015.5360323999994</v>
      </c>
      <c r="AD43" s="64">
        <f>(SUBSIDIO!$J$43*SUBSIDIO!$Y$43)*(0.02)/(1-0.02)</f>
        <v>0</v>
      </c>
      <c r="AE43" s="64">
        <f ca="1">((SUBSIDIO!$L$43*SUBSIDIO!$Z$43)+(SUBSIDIO!$N$43*SUBSIDIO!$AA$43))*(0.02)/(1-0.02)</f>
        <v>4382.5734683681967</v>
      </c>
      <c r="AF43" s="3" t="s">
        <v>752</v>
      </c>
    </row>
    <row r="44" spans="1:32" ht="11.25" customHeight="1" x14ac:dyDescent="0.25">
      <c r="A44" s="3" t="s">
        <v>27</v>
      </c>
      <c r="B44" s="3" t="s">
        <v>39</v>
      </c>
      <c r="C44" s="3" t="s">
        <v>41</v>
      </c>
      <c r="D44" s="3" t="s">
        <v>44</v>
      </c>
      <c r="E44" s="3" t="s">
        <v>52</v>
      </c>
      <c r="F44" s="3" t="s">
        <v>25</v>
      </c>
      <c r="G44" s="3" t="s">
        <v>25</v>
      </c>
      <c r="H44" s="3" t="s">
        <v>35</v>
      </c>
      <c r="I44" s="6">
        <v>44593</v>
      </c>
      <c r="J44" s="4">
        <v>0</v>
      </c>
      <c r="K44" s="64">
        <v>0</v>
      </c>
      <c r="L44" s="4">
        <v>-49.314</v>
      </c>
      <c r="M44" s="64">
        <v>-49.314</v>
      </c>
      <c r="N44" s="4">
        <v>-49.314</v>
      </c>
      <c r="O44" s="64">
        <v>-49.314</v>
      </c>
      <c r="P44" s="4">
        <v>0</v>
      </c>
      <c r="Q44" s="3" t="s">
        <v>26</v>
      </c>
      <c r="R44" s="3">
        <v>0</v>
      </c>
      <c r="S44" s="3">
        <v>0</v>
      </c>
      <c r="T44" s="3">
        <v>31</v>
      </c>
      <c r="U44" s="3">
        <v>59</v>
      </c>
      <c r="V44" s="64">
        <f>IF(ISERROR(VLOOKUP($S$44,'TAR FIN'!$A$1:$O$92,15,0)),0,VLOOKUP($S$44,'TAR FIN'!$A$1:$O$92,15,0))</f>
        <v>0</v>
      </c>
      <c r="W44" s="64">
        <f>IF(ISERROR(VLOOKUP($T$44,'TAR FIN'!$A$1:$O$92,15,0)),0,VLOOKUP($T$44,'TAR FIN'!$A$1:$O$92,15,0))*(1-0.04)</f>
        <v>84.220799999999997</v>
      </c>
      <c r="X44" s="64">
        <f>IF(ISERROR(VLOOKUP($U$44,'TAR FIN'!$A$1:$O$92,15,0)),0,VLOOKUP($U$44,'TAR FIN'!$A$1:$O$92,15,0))*(1-0.04)</f>
        <v>243.744</v>
      </c>
      <c r="Y44" s="64"/>
      <c r="Z44" s="64">
        <f ca="1">('TUSD BE'!$AM$12+'TUSD BF'!$AM$12+'TUSD CVA'!$AM$12)*1*(1-0.02)</f>
        <v>107.25312546797767</v>
      </c>
      <c r="AA44" s="64">
        <f>('TE BE'!$AB$6+'TE BF'!$AB$6+'TE CVA'!$AB$6)*1*(1-0.02)</f>
        <v>311.0397022624511</v>
      </c>
      <c r="AB44" s="64">
        <f>(SUBSIDIO!$J$44*SUBSIDIO!$V$44)*(0.04)/(1-0.04)</f>
        <v>0</v>
      </c>
      <c r="AC44" s="64">
        <f>((SUBSIDIO!$L$44*SUBSIDIO!$W$44)+(SUBSIDIO!$N$44*SUBSIDIO!$X$44))*(0.04)/(1-0.04)</f>
        <v>-673.88567279999995</v>
      </c>
      <c r="AD44" s="64">
        <f>(SUBSIDIO!$J$44*SUBSIDIO!$Y$44)*(0.02)/(1-0.02)</f>
        <v>0</v>
      </c>
      <c r="AE44" s="64">
        <f ca="1">((SUBSIDIO!$L$44*SUBSIDIO!$Z$44)+(SUBSIDIO!$N$44*SUBSIDIO!$AA$44))*(0.02)/(1-0.02)</f>
        <v>-420.97331646323192</v>
      </c>
      <c r="AF44" s="3" t="s">
        <v>752</v>
      </c>
    </row>
    <row r="45" spans="1:32" ht="11.25" customHeight="1" x14ac:dyDescent="0.25">
      <c r="A45" s="3" t="s">
        <v>21</v>
      </c>
      <c r="B45" s="3" t="s">
        <v>39</v>
      </c>
      <c r="C45" s="3" t="s">
        <v>41</v>
      </c>
      <c r="D45" s="3" t="s">
        <v>44</v>
      </c>
      <c r="E45" s="3" t="s">
        <v>52</v>
      </c>
      <c r="F45" s="3" t="s">
        <v>25</v>
      </c>
      <c r="G45" s="3" t="s">
        <v>25</v>
      </c>
      <c r="H45" s="3" t="s">
        <v>35</v>
      </c>
      <c r="I45" s="6">
        <v>44621</v>
      </c>
      <c r="J45" s="4">
        <v>0</v>
      </c>
      <c r="K45" s="64">
        <v>0</v>
      </c>
      <c r="L45" s="4">
        <v>113.63500000000001</v>
      </c>
      <c r="M45" s="64">
        <v>113.63500000000001</v>
      </c>
      <c r="N45" s="4">
        <v>113.63500000000001</v>
      </c>
      <c r="O45" s="64">
        <v>113.63500000000001</v>
      </c>
      <c r="P45" s="4">
        <v>0</v>
      </c>
      <c r="Q45" s="3" t="s">
        <v>26</v>
      </c>
      <c r="R45" s="3">
        <v>0</v>
      </c>
      <c r="S45" s="3">
        <v>0</v>
      </c>
      <c r="T45" s="3">
        <v>31</v>
      </c>
      <c r="U45" s="3">
        <v>59</v>
      </c>
      <c r="V45" s="64">
        <f>IF(ISERROR(VLOOKUP($S$45,'TAR FIN'!$A$1:$O$92,15,0)),0,VLOOKUP($S$45,'TAR FIN'!$A$1:$O$92,15,0))</f>
        <v>0</v>
      </c>
      <c r="W45" s="64">
        <f>IF(ISERROR(VLOOKUP($T$45,'TAR FIN'!$A$1:$O$92,15,0)),0,VLOOKUP($T$45,'TAR FIN'!$A$1:$O$92,15,0))*(1-0.04)</f>
        <v>84.220799999999997</v>
      </c>
      <c r="X45" s="64">
        <f>IF(ISERROR(VLOOKUP($U$45,'TAR FIN'!$A$1:$O$92,15,0)),0,VLOOKUP($U$45,'TAR FIN'!$A$1:$O$92,15,0))*(1-0.04)</f>
        <v>243.744</v>
      </c>
      <c r="Y45" s="64"/>
      <c r="Z45" s="64">
        <f ca="1">('TUSD BE'!$AM$12+'TUSD BF'!$AM$12+'TUSD CVA'!$AM$12)*1*(1-0.02)</f>
        <v>107.25312546797767</v>
      </c>
      <c r="AA45" s="64">
        <f>('TE BE'!$AB$6+'TE BF'!$AB$6+'TE CVA'!$AB$6)*1*(1-0.02)</f>
        <v>311.0397022624511</v>
      </c>
      <c r="AB45" s="64">
        <f>(SUBSIDIO!$J$45*SUBSIDIO!$V$45)*(0.04)/(1-0.04)</f>
        <v>0</v>
      </c>
      <c r="AC45" s="64">
        <f>((SUBSIDIO!$L$45*SUBSIDIO!$W$45)+(SUBSIDIO!$N$45*SUBSIDIO!$X$45))*(0.04)/(1-0.04)</f>
        <v>1552.8450020000002</v>
      </c>
      <c r="AD45" s="64">
        <f>(SUBSIDIO!$J$45*SUBSIDIO!$Y$45)*(0.02)/(1-0.02)</f>
        <v>0</v>
      </c>
      <c r="AE45" s="64">
        <f ca="1">((SUBSIDIO!$L$45*SUBSIDIO!$Z$45)+(SUBSIDIO!$N$45*SUBSIDIO!$AA$45))*(0.02)/(1-0.02)</f>
        <v>970.05521386014857</v>
      </c>
      <c r="AF45" s="3" t="s">
        <v>752</v>
      </c>
    </row>
    <row r="46" spans="1:32" ht="11.25" customHeight="1" x14ac:dyDescent="0.25">
      <c r="A46" s="3" t="s">
        <v>27</v>
      </c>
      <c r="B46" s="3" t="s">
        <v>39</v>
      </c>
      <c r="C46" s="3" t="s">
        <v>41</v>
      </c>
      <c r="D46" s="3" t="s">
        <v>44</v>
      </c>
      <c r="E46" s="3" t="s">
        <v>52</v>
      </c>
      <c r="F46" s="3" t="s">
        <v>25</v>
      </c>
      <c r="G46" s="3" t="s">
        <v>25</v>
      </c>
      <c r="H46" s="3" t="s">
        <v>35</v>
      </c>
      <c r="I46" s="6">
        <v>44621</v>
      </c>
      <c r="J46" s="4">
        <v>0</v>
      </c>
      <c r="K46" s="64">
        <v>0</v>
      </c>
      <c r="L46" s="4">
        <v>83.165000000000006</v>
      </c>
      <c r="M46" s="64">
        <v>83.165000000000006</v>
      </c>
      <c r="N46" s="4">
        <v>83.165000000000006</v>
      </c>
      <c r="O46" s="64">
        <v>83.165000000000006</v>
      </c>
      <c r="P46" s="4">
        <v>0</v>
      </c>
      <c r="Q46" s="3" t="s">
        <v>26</v>
      </c>
      <c r="R46" s="3">
        <v>0</v>
      </c>
      <c r="S46" s="3">
        <v>0</v>
      </c>
      <c r="T46" s="3">
        <v>31</v>
      </c>
      <c r="U46" s="3">
        <v>59</v>
      </c>
      <c r="V46" s="64">
        <f>IF(ISERROR(VLOOKUP($S$46,'TAR FIN'!$A$1:$O$92,15,0)),0,VLOOKUP($S$46,'TAR FIN'!$A$1:$O$92,15,0))</f>
        <v>0</v>
      </c>
      <c r="W46" s="64">
        <f>IF(ISERROR(VLOOKUP($T$46,'TAR FIN'!$A$1:$O$92,15,0)),0,VLOOKUP($T$46,'TAR FIN'!$A$1:$O$92,15,0))*(1-0.04)</f>
        <v>84.220799999999997</v>
      </c>
      <c r="X46" s="64">
        <f>IF(ISERROR(VLOOKUP($U$46,'TAR FIN'!$A$1:$O$92,15,0)),0,VLOOKUP($U$46,'TAR FIN'!$A$1:$O$92,15,0))*(1-0.04)</f>
        <v>243.744</v>
      </c>
      <c r="Y46" s="64"/>
      <c r="Z46" s="64">
        <f ca="1">('TUSD BE'!$AM$12+'TUSD BF'!$AM$12+'TUSD CVA'!$AM$12)*1*(1-0.02)</f>
        <v>107.25312546797767</v>
      </c>
      <c r="AA46" s="64">
        <f>('TE BE'!$AB$6+'TE BF'!$AB$6+'TE CVA'!$AB$6)*1*(1-0.02)</f>
        <v>311.0397022624511</v>
      </c>
      <c r="AB46" s="64">
        <f>(SUBSIDIO!$J$46*SUBSIDIO!$V$46)*(0.04)/(1-0.04)</f>
        <v>0</v>
      </c>
      <c r="AC46" s="64">
        <f>((SUBSIDIO!$L$46*SUBSIDIO!$W$46)+(SUBSIDIO!$N$46*SUBSIDIO!$X$46))*(0.04)/(1-0.04)</f>
        <v>1136.4663580000001</v>
      </c>
      <c r="AD46" s="64">
        <f>(SUBSIDIO!$J$46*SUBSIDIO!$Y$46)*(0.02)/(1-0.02)</f>
        <v>0</v>
      </c>
      <c r="AE46" s="64">
        <f ca="1">((SUBSIDIO!$L$46*SUBSIDIO!$Z$46)+(SUBSIDIO!$N$46*SUBSIDIO!$AA$46))*(0.02)/(1-0.02)</f>
        <v>709.94536771839012</v>
      </c>
      <c r="AF46" s="3" t="s">
        <v>752</v>
      </c>
    </row>
    <row r="47" spans="1:32" ht="11.25" customHeight="1" x14ac:dyDescent="0.25">
      <c r="A47" s="3" t="s">
        <v>21</v>
      </c>
      <c r="B47" s="3" t="s">
        <v>39</v>
      </c>
      <c r="C47" s="3" t="s">
        <v>41</v>
      </c>
      <c r="D47" s="3" t="s">
        <v>44</v>
      </c>
      <c r="E47" s="3" t="s">
        <v>52</v>
      </c>
      <c r="F47" s="3" t="s">
        <v>25</v>
      </c>
      <c r="G47" s="3" t="s">
        <v>25</v>
      </c>
      <c r="H47" s="3" t="s">
        <v>35</v>
      </c>
      <c r="I47" s="6">
        <v>44652</v>
      </c>
      <c r="J47" s="4">
        <v>0</v>
      </c>
      <c r="K47" s="64">
        <v>0</v>
      </c>
      <c r="L47" s="4">
        <v>113.63500000000001</v>
      </c>
      <c r="M47" s="64">
        <v>113.63500000000001</v>
      </c>
      <c r="N47" s="4">
        <v>113.63500000000001</v>
      </c>
      <c r="O47" s="64">
        <v>113.63500000000001</v>
      </c>
      <c r="P47" s="4">
        <v>0</v>
      </c>
      <c r="Q47" s="3" t="s">
        <v>26</v>
      </c>
      <c r="R47" s="3">
        <v>0</v>
      </c>
      <c r="S47" s="3">
        <v>0</v>
      </c>
      <c r="T47" s="3">
        <v>31</v>
      </c>
      <c r="U47" s="3">
        <v>59</v>
      </c>
      <c r="V47" s="64">
        <f>IF(ISERROR(VLOOKUP($S$47,'TAR FIN'!$A$1:$O$92,15,0)),0,VLOOKUP($S$47,'TAR FIN'!$A$1:$O$92,15,0))</f>
        <v>0</v>
      </c>
      <c r="W47" s="64">
        <f>IF(ISERROR(VLOOKUP($T$47,'TAR FIN'!$A$1:$O$92,15,0)),0,VLOOKUP($T$47,'TAR FIN'!$A$1:$O$92,15,0))*(1-0.04)</f>
        <v>84.220799999999997</v>
      </c>
      <c r="X47" s="64">
        <f>IF(ISERROR(VLOOKUP($U$47,'TAR FIN'!$A$1:$O$92,15,0)),0,VLOOKUP($U$47,'TAR FIN'!$A$1:$O$92,15,0))*(1-0.04)</f>
        <v>243.744</v>
      </c>
      <c r="Y47" s="64"/>
      <c r="Z47" s="64">
        <f ca="1">('TUSD BE'!$AM$12+'TUSD BF'!$AM$12+'TUSD CVA'!$AM$12)*1*(1-0.02)</f>
        <v>107.25312546797767</v>
      </c>
      <c r="AA47" s="64">
        <f>('TE BE'!$AB$6+'TE BF'!$AB$6+'TE CVA'!$AB$6)*1*(1-0.02)</f>
        <v>311.0397022624511</v>
      </c>
      <c r="AB47" s="64">
        <f>(SUBSIDIO!$J$47*SUBSIDIO!$V$47)*(0.04)/(1-0.04)</f>
        <v>0</v>
      </c>
      <c r="AC47" s="64">
        <f>((SUBSIDIO!$L$47*SUBSIDIO!$W$47)+(SUBSIDIO!$N$47*SUBSIDIO!$X$47))*(0.04)/(1-0.04)</f>
        <v>1552.8450020000002</v>
      </c>
      <c r="AD47" s="64">
        <f>(SUBSIDIO!$J$47*SUBSIDIO!$Y$47)*(0.02)/(1-0.02)</f>
        <v>0</v>
      </c>
      <c r="AE47" s="64">
        <f ca="1">((SUBSIDIO!$L$47*SUBSIDIO!$Z$47)+(SUBSIDIO!$N$47*SUBSIDIO!$AA$47))*(0.02)/(1-0.02)</f>
        <v>970.05521386014857</v>
      </c>
      <c r="AF47" s="3" t="s">
        <v>752</v>
      </c>
    </row>
    <row r="48" spans="1:32" ht="11.25" customHeight="1" x14ac:dyDescent="0.25">
      <c r="A48" s="3" t="s">
        <v>27</v>
      </c>
      <c r="B48" s="3" t="s">
        <v>39</v>
      </c>
      <c r="C48" s="3" t="s">
        <v>41</v>
      </c>
      <c r="D48" s="3" t="s">
        <v>44</v>
      </c>
      <c r="E48" s="3" t="s">
        <v>52</v>
      </c>
      <c r="F48" s="3" t="s">
        <v>25</v>
      </c>
      <c r="G48" s="3" t="s">
        <v>25</v>
      </c>
      <c r="H48" s="3" t="s">
        <v>35</v>
      </c>
      <c r="I48" s="6">
        <v>44652</v>
      </c>
      <c r="J48" s="4">
        <v>0</v>
      </c>
      <c r="K48" s="64">
        <v>0</v>
      </c>
      <c r="L48" s="4">
        <v>83.165000000000006</v>
      </c>
      <c r="M48" s="64">
        <v>83.165000000000006</v>
      </c>
      <c r="N48" s="4">
        <v>83.165000000000006</v>
      </c>
      <c r="O48" s="64">
        <v>83.165000000000006</v>
      </c>
      <c r="P48" s="4">
        <v>0</v>
      </c>
      <c r="Q48" s="3" t="s">
        <v>26</v>
      </c>
      <c r="R48" s="3">
        <v>0</v>
      </c>
      <c r="S48" s="3">
        <v>0</v>
      </c>
      <c r="T48" s="3">
        <v>31</v>
      </c>
      <c r="U48" s="3">
        <v>59</v>
      </c>
      <c r="V48" s="64">
        <f>IF(ISERROR(VLOOKUP($S$48,'TAR FIN'!$A$1:$O$92,15,0)),0,VLOOKUP($S$48,'TAR FIN'!$A$1:$O$92,15,0))</f>
        <v>0</v>
      </c>
      <c r="W48" s="64">
        <f>IF(ISERROR(VLOOKUP($T$48,'TAR FIN'!$A$1:$O$92,15,0)),0,VLOOKUP($T$48,'TAR FIN'!$A$1:$O$92,15,0))*(1-0.04)</f>
        <v>84.220799999999997</v>
      </c>
      <c r="X48" s="64">
        <f>IF(ISERROR(VLOOKUP($U$48,'TAR FIN'!$A$1:$O$92,15,0)),0,VLOOKUP($U$48,'TAR FIN'!$A$1:$O$92,15,0))*(1-0.04)</f>
        <v>243.744</v>
      </c>
      <c r="Y48" s="64"/>
      <c r="Z48" s="64">
        <f ca="1">('TUSD BE'!$AM$12+'TUSD BF'!$AM$12+'TUSD CVA'!$AM$12)*1*(1-0.02)</f>
        <v>107.25312546797767</v>
      </c>
      <c r="AA48" s="64">
        <f>('TE BE'!$AB$6+'TE BF'!$AB$6+'TE CVA'!$AB$6)*1*(1-0.02)</f>
        <v>311.0397022624511</v>
      </c>
      <c r="AB48" s="64">
        <f>(SUBSIDIO!$J$48*SUBSIDIO!$V$48)*(0.04)/(1-0.04)</f>
        <v>0</v>
      </c>
      <c r="AC48" s="64">
        <f>((SUBSIDIO!$L$48*SUBSIDIO!$W$48)+(SUBSIDIO!$N$48*SUBSIDIO!$X$48))*(0.04)/(1-0.04)</f>
        <v>1136.4663580000001</v>
      </c>
      <c r="AD48" s="64">
        <f>(SUBSIDIO!$J$48*SUBSIDIO!$Y$48)*(0.02)/(1-0.02)</f>
        <v>0</v>
      </c>
      <c r="AE48" s="64">
        <f ca="1">((SUBSIDIO!$L$48*SUBSIDIO!$Z$48)+(SUBSIDIO!$N$48*SUBSIDIO!$AA$48))*(0.02)/(1-0.02)</f>
        <v>709.94536771839012</v>
      </c>
      <c r="AF48" s="3" t="s">
        <v>752</v>
      </c>
    </row>
    <row r="49" spans="1:32" ht="11.25" customHeight="1" x14ac:dyDescent="0.25">
      <c r="A49" s="3" t="s">
        <v>21</v>
      </c>
      <c r="B49" s="3" t="s">
        <v>39</v>
      </c>
      <c r="C49" s="3" t="s">
        <v>41</v>
      </c>
      <c r="D49" s="3" t="s">
        <v>44</v>
      </c>
      <c r="E49" s="3" t="s">
        <v>52</v>
      </c>
      <c r="F49" s="3" t="s">
        <v>25</v>
      </c>
      <c r="G49" s="3" t="s">
        <v>25</v>
      </c>
      <c r="H49" s="3" t="s">
        <v>35</v>
      </c>
      <c r="I49" s="6">
        <v>44682</v>
      </c>
      <c r="J49" s="4">
        <v>0</v>
      </c>
      <c r="K49" s="64">
        <v>0</v>
      </c>
      <c r="L49" s="4">
        <v>24.876999999999999</v>
      </c>
      <c r="M49" s="64">
        <v>24.876999999999999</v>
      </c>
      <c r="N49" s="4">
        <v>24.876999999999999</v>
      </c>
      <c r="O49" s="64">
        <v>24.876999999999999</v>
      </c>
      <c r="P49" s="4">
        <v>0</v>
      </c>
      <c r="Q49" s="3" t="s">
        <v>26</v>
      </c>
      <c r="R49" s="3">
        <v>0</v>
      </c>
      <c r="S49" s="3">
        <v>0</v>
      </c>
      <c r="T49" s="3">
        <v>31</v>
      </c>
      <c r="U49" s="3">
        <v>59</v>
      </c>
      <c r="V49" s="64">
        <f>IF(ISERROR(VLOOKUP($S$49,'TAR FIN'!$A$1:$O$92,15,0)),0,VLOOKUP($S$49,'TAR FIN'!$A$1:$O$92,15,0))</f>
        <v>0</v>
      </c>
      <c r="W49" s="64">
        <f>IF(ISERROR(VLOOKUP($T$49,'TAR FIN'!$A$1:$O$92,15,0)),0,VLOOKUP($T$49,'TAR FIN'!$A$1:$O$92,15,0))*(1-0.04)</f>
        <v>84.220799999999997</v>
      </c>
      <c r="X49" s="64">
        <f>IF(ISERROR(VLOOKUP($U$49,'TAR FIN'!$A$1:$O$92,15,0)),0,VLOOKUP($U$49,'TAR FIN'!$A$1:$O$92,15,0))*(1-0.04)</f>
        <v>243.744</v>
      </c>
      <c r="Y49" s="64"/>
      <c r="Z49" s="64">
        <f ca="1">('TUSD BE'!$AM$12+'TUSD BF'!$AM$12+'TUSD CVA'!$AM$12)*1*(1-0.02)</f>
        <v>107.25312546797767</v>
      </c>
      <c r="AA49" s="64">
        <f>('TE BE'!$AB$6+'TE BF'!$AB$6+'TE CVA'!$AB$6)*1*(1-0.02)</f>
        <v>311.0397022624511</v>
      </c>
      <c r="AB49" s="64">
        <f>(SUBSIDIO!$J$49*SUBSIDIO!$V$49)*(0.04)/(1-0.04)</f>
        <v>0</v>
      </c>
      <c r="AC49" s="64">
        <f>((SUBSIDIO!$L$49*SUBSIDIO!$W$49)+(SUBSIDIO!$N$49*SUBSIDIO!$X$49))*(0.04)/(1-0.04)</f>
        <v>339.94918039999999</v>
      </c>
      <c r="AD49" s="64">
        <f>(SUBSIDIO!$J$49*SUBSIDIO!$Y$49)*(0.02)/(1-0.02)</f>
        <v>0</v>
      </c>
      <c r="AE49" s="64">
        <f ca="1">((SUBSIDIO!$L$49*SUBSIDIO!$Z$49)+(SUBSIDIO!$N$49*SUBSIDIO!$AA$49))*(0.02)/(1-0.02)</f>
        <v>212.36470766224235</v>
      </c>
      <c r="AF49" s="3" t="s">
        <v>752</v>
      </c>
    </row>
    <row r="50" spans="1:32" ht="11.25" customHeight="1" x14ac:dyDescent="0.25">
      <c r="A50" s="3" t="s">
        <v>27</v>
      </c>
      <c r="B50" s="3" t="s">
        <v>39</v>
      </c>
      <c r="C50" s="3" t="s">
        <v>41</v>
      </c>
      <c r="D50" s="3" t="s">
        <v>44</v>
      </c>
      <c r="E50" s="3" t="s">
        <v>52</v>
      </c>
      <c r="F50" s="3" t="s">
        <v>25</v>
      </c>
      <c r="G50" s="3" t="s">
        <v>25</v>
      </c>
      <c r="H50" s="3" t="s">
        <v>35</v>
      </c>
      <c r="I50" s="6">
        <v>44682</v>
      </c>
      <c r="J50" s="4">
        <v>0</v>
      </c>
      <c r="K50" s="64">
        <v>0</v>
      </c>
      <c r="L50" s="4">
        <v>-270.83999999999997</v>
      </c>
      <c r="M50" s="64">
        <v>-270.83999999999997</v>
      </c>
      <c r="N50" s="4">
        <v>-270.83999999999997</v>
      </c>
      <c r="O50" s="64">
        <v>-270.83999999999997</v>
      </c>
      <c r="P50" s="4">
        <v>0</v>
      </c>
      <c r="Q50" s="3" t="s">
        <v>26</v>
      </c>
      <c r="R50" s="3">
        <v>0</v>
      </c>
      <c r="S50" s="3">
        <v>0</v>
      </c>
      <c r="T50" s="3">
        <v>31</v>
      </c>
      <c r="U50" s="3">
        <v>59</v>
      </c>
      <c r="V50" s="64">
        <f>IF(ISERROR(VLOOKUP($S$50,'TAR FIN'!$A$1:$O$92,15,0)),0,VLOOKUP($S$50,'TAR FIN'!$A$1:$O$92,15,0))</f>
        <v>0</v>
      </c>
      <c r="W50" s="64">
        <f>IF(ISERROR(VLOOKUP($T$50,'TAR FIN'!$A$1:$O$92,15,0)),0,VLOOKUP($T$50,'TAR FIN'!$A$1:$O$92,15,0))*(1-0.04)</f>
        <v>84.220799999999997</v>
      </c>
      <c r="X50" s="64">
        <f>IF(ISERROR(VLOOKUP($U$50,'TAR FIN'!$A$1:$O$92,15,0)),0,VLOOKUP($U$50,'TAR FIN'!$A$1:$O$92,15,0))*(1-0.04)</f>
        <v>243.744</v>
      </c>
      <c r="Y50" s="64"/>
      <c r="Z50" s="64">
        <f ca="1">('TUSD BE'!$AM$12+'TUSD BF'!$AM$12+'TUSD CVA'!$AM$12)*1*(1-0.02)</f>
        <v>107.25312546797767</v>
      </c>
      <c r="AA50" s="64">
        <f>('TE BE'!$AB$6+'TE BF'!$AB$6+'TE CVA'!$AB$6)*1*(1-0.02)</f>
        <v>311.0397022624511</v>
      </c>
      <c r="AB50" s="64">
        <f>(SUBSIDIO!$J$50*SUBSIDIO!$V$50)*(0.04)/(1-0.04)</f>
        <v>0</v>
      </c>
      <c r="AC50" s="64">
        <f>((SUBSIDIO!$L$50*SUBSIDIO!$W$50)+(SUBSIDIO!$N$50*SUBSIDIO!$X$50))*(0.04)/(1-0.04)</f>
        <v>-3701.0827680000002</v>
      </c>
      <c r="AD50" s="64">
        <f>(SUBSIDIO!$J$50*SUBSIDIO!$Y$50)*(0.02)/(1-0.02)</f>
        <v>0</v>
      </c>
      <c r="AE50" s="64">
        <f ca="1">((SUBSIDIO!$L$50*SUBSIDIO!$Z$50)+(SUBSIDIO!$N$50*SUBSIDIO!$AA$50))*(0.02)/(1-0.02)</f>
        <v>-2312.0495808675369</v>
      </c>
      <c r="AF50" s="3" t="s">
        <v>752</v>
      </c>
    </row>
    <row r="51" spans="1:32" ht="11.25" customHeight="1" x14ac:dyDescent="0.25">
      <c r="A51" s="3" t="s">
        <v>21</v>
      </c>
      <c r="B51" s="3" t="s">
        <v>39</v>
      </c>
      <c r="C51" s="3" t="s">
        <v>41</v>
      </c>
      <c r="D51" s="3" t="s">
        <v>44</v>
      </c>
      <c r="E51" s="3" t="s">
        <v>52</v>
      </c>
      <c r="F51" s="3" t="s">
        <v>25</v>
      </c>
      <c r="G51" s="3" t="s">
        <v>25</v>
      </c>
      <c r="H51" s="3" t="s">
        <v>35</v>
      </c>
      <c r="I51" s="6">
        <v>44713</v>
      </c>
      <c r="J51" s="4">
        <v>0</v>
      </c>
      <c r="K51" s="64">
        <v>0</v>
      </c>
      <c r="L51" s="4">
        <v>15.004</v>
      </c>
      <c r="M51" s="64">
        <v>15.004</v>
      </c>
      <c r="N51" s="4">
        <v>15.004</v>
      </c>
      <c r="O51" s="64">
        <v>15.004</v>
      </c>
      <c r="P51" s="4">
        <v>0</v>
      </c>
      <c r="Q51" s="3" t="s">
        <v>26</v>
      </c>
      <c r="R51" s="3">
        <v>0</v>
      </c>
      <c r="S51" s="3">
        <v>0</v>
      </c>
      <c r="T51" s="3">
        <v>31</v>
      </c>
      <c r="U51" s="3">
        <v>59</v>
      </c>
      <c r="V51" s="64">
        <f>IF(ISERROR(VLOOKUP($S$51,'TAR FIN'!$A$1:$O$92,15,0)),0,VLOOKUP($S$51,'TAR FIN'!$A$1:$O$92,15,0))</f>
        <v>0</v>
      </c>
      <c r="W51" s="64">
        <f>IF(ISERROR(VLOOKUP($T$51,'TAR FIN'!$A$1:$O$92,15,0)),0,VLOOKUP($T$51,'TAR FIN'!$A$1:$O$92,15,0))*(1-0.04)</f>
        <v>84.220799999999997</v>
      </c>
      <c r="X51" s="64">
        <f>IF(ISERROR(VLOOKUP($U$51,'TAR FIN'!$A$1:$O$92,15,0)),0,VLOOKUP($U$51,'TAR FIN'!$A$1:$O$92,15,0))*(1-0.04)</f>
        <v>243.744</v>
      </c>
      <c r="Y51" s="64"/>
      <c r="Z51" s="64">
        <f ca="1">('TUSD BE'!$AM$12+'TUSD BF'!$AM$12+'TUSD CVA'!$AM$12)*1*(1-0.02)</f>
        <v>107.25312546797767</v>
      </c>
      <c r="AA51" s="64">
        <f>('TE BE'!$AB$6+'TE BF'!$AB$6+'TE CVA'!$AB$6)*1*(1-0.02)</f>
        <v>311.0397022624511</v>
      </c>
      <c r="AB51" s="64">
        <f>(SUBSIDIO!$J$51*SUBSIDIO!$V$51)*(0.04)/(1-0.04)</f>
        <v>0</v>
      </c>
      <c r="AC51" s="64">
        <f>((SUBSIDIO!$L$51*SUBSIDIO!$W$51)+(SUBSIDIO!$N$51*SUBSIDIO!$X$51))*(0.04)/(1-0.04)</f>
        <v>205.0326608</v>
      </c>
      <c r="AD51" s="64">
        <f>(SUBSIDIO!$J$51*SUBSIDIO!$Y$51)*(0.02)/(1-0.02)</f>
        <v>0</v>
      </c>
      <c r="AE51" s="64">
        <f ca="1">((SUBSIDIO!$L$51*SUBSIDIO!$Z$51)+(SUBSIDIO!$N$51*SUBSIDIO!$AA$51))*(0.02)/(1-0.02)</f>
        <v>128.08297116872149</v>
      </c>
      <c r="AF51" s="3" t="s">
        <v>752</v>
      </c>
    </row>
    <row r="52" spans="1:32" ht="11.25" customHeight="1" x14ac:dyDescent="0.25">
      <c r="A52" s="3" t="s">
        <v>21</v>
      </c>
      <c r="B52" s="3" t="s">
        <v>39</v>
      </c>
      <c r="C52" s="3" t="s">
        <v>41</v>
      </c>
      <c r="D52" s="3" t="s">
        <v>44</v>
      </c>
      <c r="E52" s="3" t="s">
        <v>52</v>
      </c>
      <c r="F52" s="3" t="s">
        <v>25</v>
      </c>
      <c r="G52" s="3" t="s">
        <v>25</v>
      </c>
      <c r="H52" s="3" t="s">
        <v>35</v>
      </c>
      <c r="I52" s="6">
        <v>44743</v>
      </c>
      <c r="J52" s="4">
        <v>0</v>
      </c>
      <c r="K52" s="64">
        <v>0</v>
      </c>
      <c r="L52" s="4">
        <v>16.501000000000001</v>
      </c>
      <c r="M52" s="64">
        <v>16.501000000000001</v>
      </c>
      <c r="N52" s="4">
        <v>16.501000000000001</v>
      </c>
      <c r="O52" s="64">
        <v>16.501000000000001</v>
      </c>
      <c r="P52" s="4">
        <v>0</v>
      </c>
      <c r="Q52" s="3" t="s">
        <v>26</v>
      </c>
      <c r="R52" s="3">
        <v>0</v>
      </c>
      <c r="S52" s="3">
        <v>0</v>
      </c>
      <c r="T52" s="3">
        <v>31</v>
      </c>
      <c r="U52" s="3">
        <v>59</v>
      </c>
      <c r="V52" s="64">
        <f>IF(ISERROR(VLOOKUP($S$52,'TAR FIN'!$A$1:$O$92,15,0)),0,VLOOKUP($S$52,'TAR FIN'!$A$1:$O$92,15,0))</f>
        <v>0</v>
      </c>
      <c r="W52" s="64">
        <f>IF(ISERROR(VLOOKUP($T$52,'TAR FIN'!$A$1:$O$92,15,0)),0,VLOOKUP($T$52,'TAR FIN'!$A$1:$O$92,15,0))*(1-0.04)</f>
        <v>84.220799999999997</v>
      </c>
      <c r="X52" s="64">
        <f>IF(ISERROR(VLOOKUP($U$52,'TAR FIN'!$A$1:$O$92,15,0)),0,VLOOKUP($U$52,'TAR FIN'!$A$1:$O$92,15,0))*(1-0.04)</f>
        <v>243.744</v>
      </c>
      <c r="Y52" s="64"/>
      <c r="Z52" s="64">
        <f ca="1">('TUSD BE'!$AM$12+'TUSD BF'!$AM$12+'TUSD CVA'!$AM$12)*1*(1-0.02)</f>
        <v>107.25312546797767</v>
      </c>
      <c r="AA52" s="64">
        <f>('TE BE'!$AB$6+'TE BF'!$AB$6+'TE CVA'!$AB$6)*1*(1-0.02)</f>
        <v>311.0397022624511</v>
      </c>
      <c r="AB52" s="64">
        <f>(SUBSIDIO!$J$52*SUBSIDIO!$V$52)*(0.04)/(1-0.04)</f>
        <v>0</v>
      </c>
      <c r="AC52" s="64">
        <f>((SUBSIDIO!$L$52*SUBSIDIO!$W$52)+(SUBSIDIO!$N$52*SUBSIDIO!$X$52))*(0.04)/(1-0.04)</f>
        <v>225.48946520000001</v>
      </c>
      <c r="AD52" s="64">
        <f>(SUBSIDIO!$J$52*SUBSIDIO!$Y$52)*(0.02)/(1-0.02)</f>
        <v>0</v>
      </c>
      <c r="AE52" s="64">
        <f ca="1">((SUBSIDIO!$L$52*SUBSIDIO!$Z$52)+(SUBSIDIO!$N$52*SUBSIDIO!$AA$52))*(0.02)/(1-0.02)</f>
        <v>140.86224388530218</v>
      </c>
      <c r="AF52" s="3" t="s">
        <v>752</v>
      </c>
    </row>
    <row r="53" spans="1:32" ht="11.25" customHeight="1" x14ac:dyDescent="0.25">
      <c r="A53" s="3" t="s">
        <v>21</v>
      </c>
      <c r="B53" s="3" t="s">
        <v>39</v>
      </c>
      <c r="C53" s="3" t="s">
        <v>41</v>
      </c>
      <c r="D53" s="3" t="s">
        <v>44</v>
      </c>
      <c r="E53" s="3" t="s">
        <v>52</v>
      </c>
      <c r="F53" s="3" t="s">
        <v>25</v>
      </c>
      <c r="G53" s="3" t="s">
        <v>25</v>
      </c>
      <c r="H53" s="3" t="s">
        <v>35</v>
      </c>
      <c r="I53" s="6">
        <v>44774</v>
      </c>
      <c r="J53" s="4">
        <v>0</v>
      </c>
      <c r="K53" s="64">
        <v>0</v>
      </c>
      <c r="L53" s="4">
        <v>87.394000000000005</v>
      </c>
      <c r="M53" s="64">
        <v>87.394000000000005</v>
      </c>
      <c r="N53" s="4">
        <v>87.394000000000005</v>
      </c>
      <c r="O53" s="64">
        <v>87.394000000000005</v>
      </c>
      <c r="P53" s="4">
        <v>0</v>
      </c>
      <c r="Q53" s="3" t="s">
        <v>26</v>
      </c>
      <c r="R53" s="3">
        <v>0</v>
      </c>
      <c r="S53" s="3">
        <v>0</v>
      </c>
      <c r="T53" s="3">
        <v>31</v>
      </c>
      <c r="U53" s="3">
        <v>59</v>
      </c>
      <c r="V53" s="64">
        <f>IF(ISERROR(VLOOKUP($S$53,'TAR FIN'!$A$1:$O$92,15,0)),0,VLOOKUP($S$53,'TAR FIN'!$A$1:$O$92,15,0))</f>
        <v>0</v>
      </c>
      <c r="W53" s="64">
        <f>IF(ISERROR(VLOOKUP($T$53,'TAR FIN'!$A$1:$O$92,15,0)),0,VLOOKUP($T$53,'TAR FIN'!$A$1:$O$92,15,0))*(1-0.04)</f>
        <v>84.220799999999997</v>
      </c>
      <c r="X53" s="64">
        <f>IF(ISERROR(VLOOKUP($U$53,'TAR FIN'!$A$1:$O$92,15,0)),0,VLOOKUP($U$53,'TAR FIN'!$A$1:$O$92,15,0))*(1-0.04)</f>
        <v>243.744</v>
      </c>
      <c r="Y53" s="64"/>
      <c r="Z53" s="64">
        <f ca="1">('TUSD BE'!$AM$12+'TUSD BF'!$AM$12+'TUSD CVA'!$AM$12)*1*(1-0.02)</f>
        <v>107.25312546797767</v>
      </c>
      <c r="AA53" s="64">
        <f>('TE BE'!$AB$6+'TE BF'!$AB$6+'TE CVA'!$AB$6)*1*(1-0.02)</f>
        <v>311.0397022624511</v>
      </c>
      <c r="AB53" s="64">
        <f>(SUBSIDIO!$J$53*SUBSIDIO!$V$53)*(0.04)/(1-0.04)</f>
        <v>0</v>
      </c>
      <c r="AC53" s="64">
        <f>((SUBSIDIO!$L$53*SUBSIDIO!$W$53)+(SUBSIDIO!$N$53*SUBSIDIO!$X$53))*(0.04)/(1-0.04)</f>
        <v>1194.2564887999999</v>
      </c>
      <c r="AD53" s="64">
        <f>(SUBSIDIO!$J$53*SUBSIDIO!$Y$53)*(0.02)/(1-0.02)</f>
        <v>0</v>
      </c>
      <c r="AE53" s="64">
        <f ca="1">((SUBSIDIO!$L$53*SUBSIDIO!$Z$53)+(SUBSIDIO!$N$53*SUBSIDIO!$AA$53))*(0.02)/(1-0.02)</f>
        <v>746.04659972802233</v>
      </c>
      <c r="AF53" s="3" t="s">
        <v>752</v>
      </c>
    </row>
    <row r="54" spans="1:32" ht="11.25" customHeight="1" x14ac:dyDescent="0.25">
      <c r="A54" s="3" t="s">
        <v>21</v>
      </c>
      <c r="B54" s="3" t="s">
        <v>39</v>
      </c>
      <c r="C54" s="3" t="s">
        <v>41</v>
      </c>
      <c r="D54" s="3" t="s">
        <v>44</v>
      </c>
      <c r="E54" s="3" t="s">
        <v>52</v>
      </c>
      <c r="F54" s="3" t="s">
        <v>25</v>
      </c>
      <c r="G54" s="3" t="s">
        <v>25</v>
      </c>
      <c r="H54" s="3" t="s">
        <v>35</v>
      </c>
      <c r="I54" s="6">
        <v>44805</v>
      </c>
      <c r="J54" s="4">
        <v>0</v>
      </c>
      <c r="K54" s="64">
        <v>0</v>
      </c>
      <c r="L54" s="4">
        <v>147.00399999999999</v>
      </c>
      <c r="M54" s="64">
        <v>147.00399999999999</v>
      </c>
      <c r="N54" s="4">
        <v>147.00399999999999</v>
      </c>
      <c r="O54" s="64">
        <v>147.00399999999999</v>
      </c>
      <c r="P54" s="4">
        <v>0</v>
      </c>
      <c r="Q54" s="3" t="s">
        <v>26</v>
      </c>
      <c r="R54" s="3">
        <v>0</v>
      </c>
      <c r="S54" s="3">
        <v>0</v>
      </c>
      <c r="T54" s="3">
        <v>31</v>
      </c>
      <c r="U54" s="3">
        <v>59</v>
      </c>
      <c r="V54" s="64">
        <f>IF(ISERROR(VLOOKUP($S$54,'TAR FIN'!$A$1:$O$92,15,0)),0,VLOOKUP($S$54,'TAR FIN'!$A$1:$O$92,15,0))</f>
        <v>0</v>
      </c>
      <c r="W54" s="64">
        <f>IF(ISERROR(VLOOKUP($T$54,'TAR FIN'!$A$1:$O$92,15,0)),0,VLOOKUP($T$54,'TAR FIN'!$A$1:$O$92,15,0))*(1-0.04)</f>
        <v>84.220799999999997</v>
      </c>
      <c r="X54" s="64">
        <f>IF(ISERROR(VLOOKUP($U$54,'TAR FIN'!$A$1:$O$92,15,0)),0,VLOOKUP($U$54,'TAR FIN'!$A$1:$O$92,15,0))*(1-0.04)</f>
        <v>243.744</v>
      </c>
      <c r="Y54" s="64"/>
      <c r="Z54" s="64">
        <f ca="1">('TUSD BE'!$AM$12+'TUSD BF'!$AM$12+'TUSD CVA'!$AM$12)*1*(1-0.02)</f>
        <v>107.25312546797767</v>
      </c>
      <c r="AA54" s="64">
        <f>('TE BE'!$AB$6+'TE BF'!$AB$6+'TE CVA'!$AB$6)*1*(1-0.02)</f>
        <v>311.0397022624511</v>
      </c>
      <c r="AB54" s="64">
        <f>(SUBSIDIO!$J$54*SUBSIDIO!$V$54)*(0.04)/(1-0.04)</f>
        <v>0</v>
      </c>
      <c r="AC54" s="64">
        <f>((SUBSIDIO!$L$54*SUBSIDIO!$W$54)+(SUBSIDIO!$N$54*SUBSIDIO!$X$54))*(0.04)/(1-0.04)</f>
        <v>2008.8390608</v>
      </c>
      <c r="AD54" s="64">
        <f>(SUBSIDIO!$J$54*SUBSIDIO!$Y$54)*(0.02)/(1-0.02)</f>
        <v>0</v>
      </c>
      <c r="AE54" s="64">
        <f ca="1">((SUBSIDIO!$L$54*SUBSIDIO!$Z$54)+(SUBSIDIO!$N$54*SUBSIDIO!$AA$54))*(0.02)/(1-0.02)</f>
        <v>1254.9126295445706</v>
      </c>
      <c r="AF54" s="3" t="s">
        <v>752</v>
      </c>
    </row>
    <row r="55" spans="1:32" ht="11.25" customHeight="1" x14ac:dyDescent="0.25">
      <c r="A55" s="3" t="s">
        <v>55</v>
      </c>
      <c r="B55" s="3" t="s">
        <v>39</v>
      </c>
      <c r="C55" s="3" t="s">
        <v>41</v>
      </c>
      <c r="D55" s="3" t="s">
        <v>44</v>
      </c>
      <c r="E55" s="3" t="s">
        <v>52</v>
      </c>
      <c r="F55" s="3" t="s">
        <v>25</v>
      </c>
      <c r="G55" s="3" t="s">
        <v>25</v>
      </c>
      <c r="H55" s="3" t="s">
        <v>35</v>
      </c>
      <c r="I55" s="6">
        <v>44835</v>
      </c>
      <c r="J55" s="4">
        <v>0</v>
      </c>
      <c r="K55" s="64">
        <v>0</v>
      </c>
      <c r="L55" s="4">
        <v>147.00399999999999</v>
      </c>
      <c r="M55" s="64">
        <v>147.00399999999999</v>
      </c>
      <c r="N55" s="4">
        <v>147.00399999999999</v>
      </c>
      <c r="O55" s="64">
        <v>147.00399999999999</v>
      </c>
      <c r="P55" s="4">
        <v>0</v>
      </c>
      <c r="Q55" s="3" t="s">
        <v>26</v>
      </c>
      <c r="R55" s="3">
        <v>0</v>
      </c>
      <c r="S55" s="3">
        <v>0</v>
      </c>
      <c r="T55" s="3">
        <v>31</v>
      </c>
      <c r="U55" s="3">
        <v>59</v>
      </c>
      <c r="V55" s="64">
        <f>IF(ISERROR(VLOOKUP($S$55,'TAR FIN'!$A$1:$O$92,15,0)),0,VLOOKUP($S$55,'TAR FIN'!$A$1:$O$92,15,0))</f>
        <v>0</v>
      </c>
      <c r="W55" s="64">
        <f>IF(ISERROR(VLOOKUP($T$55,'TAR FIN'!$A$1:$O$92,15,0)),0,VLOOKUP($T$55,'TAR FIN'!$A$1:$O$92,15,0))*(1-0.04)</f>
        <v>84.220799999999997</v>
      </c>
      <c r="X55" s="64">
        <f>IF(ISERROR(VLOOKUP($U$55,'TAR FIN'!$A$1:$O$92,15,0)),0,VLOOKUP($U$55,'TAR FIN'!$A$1:$O$92,15,0))*(1-0.04)</f>
        <v>243.744</v>
      </c>
      <c r="Y55" s="64"/>
      <c r="Z55" s="64">
        <f ca="1">('TUSD BE'!$AM$12+'TUSD BF'!$AM$12+'TUSD CVA'!$AM$12)*1*(1-0.02)</f>
        <v>107.25312546797767</v>
      </c>
      <c r="AA55" s="64">
        <f>('TE BE'!$AB$6+'TE BF'!$AB$6+'TE CVA'!$AB$6)*1*(1-0.02)</f>
        <v>311.0397022624511</v>
      </c>
      <c r="AB55" s="64">
        <f>(SUBSIDIO!$J$55*SUBSIDIO!$V$55)*(0.04)/(1-0.04)</f>
        <v>0</v>
      </c>
      <c r="AC55" s="64">
        <f>((SUBSIDIO!$L$55*SUBSIDIO!$W$55)+(SUBSIDIO!$N$55*SUBSIDIO!$X$55))*(0.04)/(1-0.04)</f>
        <v>2008.8390608</v>
      </c>
      <c r="AD55" s="64">
        <f>(SUBSIDIO!$J$55*SUBSIDIO!$Y$55)*(0.02)/(1-0.02)</f>
        <v>0</v>
      </c>
      <c r="AE55" s="64">
        <f ca="1">((SUBSIDIO!$L$55*SUBSIDIO!$Z$55)+(SUBSIDIO!$N$55*SUBSIDIO!$AA$55))*(0.02)/(1-0.02)</f>
        <v>1254.9126295445706</v>
      </c>
      <c r="AF55" s="3" t="s">
        <v>752</v>
      </c>
    </row>
    <row r="56" spans="1:32" ht="11.25" customHeight="1" x14ac:dyDescent="0.25">
      <c r="A56" s="3" t="s">
        <v>21</v>
      </c>
      <c r="B56" s="3" t="s">
        <v>39</v>
      </c>
      <c r="C56" s="3" t="s">
        <v>41</v>
      </c>
      <c r="D56" s="3" t="s">
        <v>44</v>
      </c>
      <c r="E56" s="3" t="s">
        <v>52</v>
      </c>
      <c r="F56" s="3" t="s">
        <v>25</v>
      </c>
      <c r="G56" s="3" t="s">
        <v>25</v>
      </c>
      <c r="H56" s="3" t="s">
        <v>25</v>
      </c>
      <c r="I56" s="6">
        <v>44501</v>
      </c>
      <c r="J56" s="4">
        <v>2001</v>
      </c>
      <c r="K56" s="64">
        <v>2001</v>
      </c>
      <c r="L56" s="4">
        <v>0</v>
      </c>
      <c r="M56" s="64">
        <v>0</v>
      </c>
      <c r="N56" s="4">
        <v>0</v>
      </c>
      <c r="O56" s="64">
        <v>0</v>
      </c>
      <c r="P56" s="4">
        <v>13</v>
      </c>
      <c r="Q56" s="3" t="s">
        <v>26</v>
      </c>
      <c r="R56" s="3">
        <v>0</v>
      </c>
      <c r="S56" s="3">
        <v>18</v>
      </c>
      <c r="T56" s="3">
        <v>0</v>
      </c>
      <c r="U56" s="3">
        <v>0</v>
      </c>
      <c r="V56" s="64">
        <f>IF(ISERROR(VLOOKUP($S$56,'TAR FIN'!$A$1:$O$92,15,0)),0,VLOOKUP($S$56,'TAR FIN'!$A$1:$O$92,15,0))*(1-0.04)</f>
        <v>14.054399999999999</v>
      </c>
      <c r="W56" s="64">
        <f>IF(ISERROR(VLOOKUP($T$56,'TAR FIN'!$A$1:$O$92,15,0)),0,VLOOKUP($T$56,'TAR FIN'!$A$1:$O$92,15,0))</f>
        <v>0</v>
      </c>
      <c r="X56" s="64">
        <f>IF(ISERROR(VLOOKUP($U$56,'TAR FIN'!$A$1:$O$92,15,0)),0,VLOOKUP($U$56,'TAR FIN'!$A$1:$O$92,15,0))</f>
        <v>0</v>
      </c>
      <c r="Y56" s="64">
        <f ca="1">('TUSD BE'!$AM$10+'TUSD BF'!$AM$10+'TUSD CVA'!$AM$10)*1*(1-0.02)</f>
        <v>18.643987249835956</v>
      </c>
      <c r="Z56" s="64"/>
      <c r="AA56" s="64"/>
      <c r="AB56" s="64">
        <f>(SUBSIDIO!$J$56*SUBSIDIO!$V$56)*(0.04)/(1-0.04)</f>
        <v>1171.7855999999999</v>
      </c>
      <c r="AC56" s="64">
        <f>((SUBSIDIO!$L$56*SUBSIDIO!$W$56)+(SUBSIDIO!$N$56*SUBSIDIO!$X$56))*(0.04)/(1-0.04)</f>
        <v>0</v>
      </c>
      <c r="AD56" s="64">
        <f ca="1">(SUBSIDIO!$J$56*SUBSIDIO!$Y$56)*(0.02)/(1-0.02)</f>
        <v>761.35956095758672</v>
      </c>
      <c r="AE56" s="64">
        <f>((SUBSIDIO!$L$56*SUBSIDIO!$Z$56)+(SUBSIDIO!$N$56*SUBSIDIO!$AA$56))*(0.02)/(1-0.02)</f>
        <v>0</v>
      </c>
      <c r="AF56" s="3" t="s">
        <v>752</v>
      </c>
    </row>
    <row r="57" spans="1:32" ht="11.25" customHeight="1" x14ac:dyDescent="0.25">
      <c r="A57" s="3" t="s">
        <v>21</v>
      </c>
      <c r="B57" s="3" t="s">
        <v>39</v>
      </c>
      <c r="C57" s="3" t="s">
        <v>41</v>
      </c>
      <c r="D57" s="3" t="s">
        <v>44</v>
      </c>
      <c r="E57" s="3" t="s">
        <v>52</v>
      </c>
      <c r="F57" s="3" t="s">
        <v>25</v>
      </c>
      <c r="G57" s="3" t="s">
        <v>25</v>
      </c>
      <c r="H57" s="3" t="s">
        <v>25</v>
      </c>
      <c r="I57" s="6">
        <v>44531</v>
      </c>
      <c r="J57" s="4">
        <v>2081</v>
      </c>
      <c r="K57" s="64">
        <v>2081</v>
      </c>
      <c r="L57" s="4">
        <v>0</v>
      </c>
      <c r="M57" s="64">
        <v>0</v>
      </c>
      <c r="N57" s="4">
        <v>0</v>
      </c>
      <c r="O57" s="64">
        <v>0</v>
      </c>
      <c r="P57" s="4">
        <v>13</v>
      </c>
      <c r="Q57" s="3" t="s">
        <v>26</v>
      </c>
      <c r="R57" s="3">
        <v>0</v>
      </c>
      <c r="S57" s="3">
        <v>18</v>
      </c>
      <c r="T57" s="3">
        <v>0</v>
      </c>
      <c r="U57" s="3">
        <v>0</v>
      </c>
      <c r="V57" s="64">
        <f>IF(ISERROR(VLOOKUP($S$57,'TAR FIN'!$A$1:$O$92,15,0)),0,VLOOKUP($S$57,'TAR FIN'!$A$1:$O$92,15,0))*(1-0.04)</f>
        <v>14.054399999999999</v>
      </c>
      <c r="W57" s="64">
        <f>IF(ISERROR(VLOOKUP($T$57,'TAR FIN'!$A$1:$O$92,15,0)),0,VLOOKUP($T$57,'TAR FIN'!$A$1:$O$92,15,0))</f>
        <v>0</v>
      </c>
      <c r="X57" s="64">
        <f>IF(ISERROR(VLOOKUP($U$57,'TAR FIN'!$A$1:$O$92,15,0)),0,VLOOKUP($U$57,'TAR FIN'!$A$1:$O$92,15,0))</f>
        <v>0</v>
      </c>
      <c r="Y57" s="64">
        <f ca="1">('TUSD BE'!$AM$10+'TUSD BF'!$AM$10+'TUSD CVA'!$AM$10)*1*(1-0.02)</f>
        <v>18.643987249835956</v>
      </c>
      <c r="Z57" s="64"/>
      <c r="AA57" s="64"/>
      <c r="AB57" s="64">
        <f>(SUBSIDIO!$J$57*SUBSIDIO!$V$57)*(0.04)/(1-0.04)</f>
        <v>1218.6335999999999</v>
      </c>
      <c r="AC57" s="64">
        <f>((SUBSIDIO!$L$57*SUBSIDIO!$W$57)+(SUBSIDIO!$N$57*SUBSIDIO!$X$57))*(0.04)/(1-0.04)</f>
        <v>0</v>
      </c>
      <c r="AD57" s="64">
        <f ca="1">(SUBSIDIO!$J$57*SUBSIDIO!$Y$57)*(0.02)/(1-0.02)</f>
        <v>791.79872381446171</v>
      </c>
      <c r="AE57" s="64">
        <f>((SUBSIDIO!$L$57*SUBSIDIO!$Z$57)+(SUBSIDIO!$N$57*SUBSIDIO!$AA$57))*(0.02)/(1-0.02)</f>
        <v>0</v>
      </c>
      <c r="AF57" s="3" t="s">
        <v>752</v>
      </c>
    </row>
    <row r="58" spans="1:32" ht="11.25" customHeight="1" x14ac:dyDescent="0.25">
      <c r="A58" s="3" t="s">
        <v>21</v>
      </c>
      <c r="B58" s="3" t="s">
        <v>39</v>
      </c>
      <c r="C58" s="3" t="s">
        <v>41</v>
      </c>
      <c r="D58" s="3" t="s">
        <v>44</v>
      </c>
      <c r="E58" s="3" t="s">
        <v>52</v>
      </c>
      <c r="F58" s="3" t="s">
        <v>25</v>
      </c>
      <c r="G58" s="3" t="s">
        <v>25</v>
      </c>
      <c r="H58" s="3" t="s">
        <v>25</v>
      </c>
      <c r="I58" s="6">
        <v>44562</v>
      </c>
      <c r="J58" s="4">
        <v>2954</v>
      </c>
      <c r="K58" s="64">
        <v>2954</v>
      </c>
      <c r="L58" s="4">
        <v>0</v>
      </c>
      <c r="M58" s="64">
        <v>0</v>
      </c>
      <c r="N58" s="4">
        <v>0</v>
      </c>
      <c r="O58" s="64">
        <v>0</v>
      </c>
      <c r="P58" s="4">
        <v>16</v>
      </c>
      <c r="Q58" s="3" t="s">
        <v>26</v>
      </c>
      <c r="R58" s="3">
        <v>0</v>
      </c>
      <c r="S58" s="3">
        <v>18</v>
      </c>
      <c r="T58" s="3">
        <v>0</v>
      </c>
      <c r="U58" s="3">
        <v>0</v>
      </c>
      <c r="V58" s="64">
        <f>IF(ISERROR(VLOOKUP($S$58,'TAR FIN'!$A$1:$O$92,15,0)),0,VLOOKUP($S$58,'TAR FIN'!$A$1:$O$92,15,0))*(1-0.04)</f>
        <v>14.054399999999999</v>
      </c>
      <c r="W58" s="64">
        <f>IF(ISERROR(VLOOKUP($T$58,'TAR FIN'!$A$1:$O$92,15,0)),0,VLOOKUP($T$58,'TAR FIN'!$A$1:$O$92,15,0))</f>
        <v>0</v>
      </c>
      <c r="X58" s="64">
        <f>IF(ISERROR(VLOOKUP($U$58,'TAR FIN'!$A$1:$O$92,15,0)),0,VLOOKUP($U$58,'TAR FIN'!$A$1:$O$92,15,0))</f>
        <v>0</v>
      </c>
      <c r="Y58" s="64">
        <f ca="1">('TUSD BE'!$AM$10+'TUSD BF'!$AM$10+'TUSD CVA'!$AM$10)*1*(1-0.02)</f>
        <v>18.643987249835956</v>
      </c>
      <c r="Z58" s="64"/>
      <c r="AA58" s="64"/>
      <c r="AB58" s="64">
        <f>(SUBSIDIO!$J$58*SUBSIDIO!$V$58)*(0.04)/(1-0.04)</f>
        <v>1729.8624</v>
      </c>
      <c r="AC58" s="64">
        <f>((SUBSIDIO!$L$58*SUBSIDIO!$W$58)+(SUBSIDIO!$N$58*SUBSIDIO!$X$58))*(0.04)/(1-0.04)</f>
        <v>0</v>
      </c>
      <c r="AD58" s="64">
        <f ca="1">(SUBSIDIO!$J$58*SUBSIDIO!$Y$58)*(0.02)/(1-0.02)</f>
        <v>1123.9660884901105</v>
      </c>
      <c r="AE58" s="64">
        <f>((SUBSIDIO!$L$58*SUBSIDIO!$Z$58)+(SUBSIDIO!$N$58*SUBSIDIO!$AA$58))*(0.02)/(1-0.02)</f>
        <v>0</v>
      </c>
      <c r="AF58" s="3" t="s">
        <v>752</v>
      </c>
    </row>
    <row r="59" spans="1:32" ht="11.25" customHeight="1" x14ac:dyDescent="0.25">
      <c r="A59" s="3" t="s">
        <v>21</v>
      </c>
      <c r="B59" s="3" t="s">
        <v>39</v>
      </c>
      <c r="C59" s="3" t="s">
        <v>41</v>
      </c>
      <c r="D59" s="3" t="s">
        <v>44</v>
      </c>
      <c r="E59" s="3" t="s">
        <v>52</v>
      </c>
      <c r="F59" s="3" t="s">
        <v>25</v>
      </c>
      <c r="G59" s="3" t="s">
        <v>25</v>
      </c>
      <c r="H59" s="3" t="s">
        <v>25</v>
      </c>
      <c r="I59" s="6">
        <v>44593</v>
      </c>
      <c r="J59" s="4">
        <v>2358</v>
      </c>
      <c r="K59" s="64">
        <v>2358</v>
      </c>
      <c r="L59" s="4">
        <v>0</v>
      </c>
      <c r="M59" s="64">
        <v>0</v>
      </c>
      <c r="N59" s="4">
        <v>0</v>
      </c>
      <c r="O59" s="64">
        <v>0</v>
      </c>
      <c r="P59" s="4">
        <v>16</v>
      </c>
      <c r="Q59" s="3" t="s">
        <v>26</v>
      </c>
      <c r="R59" s="3">
        <v>0</v>
      </c>
      <c r="S59" s="3">
        <v>18</v>
      </c>
      <c r="T59" s="3">
        <v>0</v>
      </c>
      <c r="U59" s="3">
        <v>0</v>
      </c>
      <c r="V59" s="64">
        <f>IF(ISERROR(VLOOKUP($S$59,'TAR FIN'!$A$1:$O$92,15,0)),0,VLOOKUP($S$59,'TAR FIN'!$A$1:$O$92,15,0))*(1-0.04)</f>
        <v>14.054399999999999</v>
      </c>
      <c r="W59" s="64">
        <f>IF(ISERROR(VLOOKUP($T$59,'TAR FIN'!$A$1:$O$92,15,0)),0,VLOOKUP($T$59,'TAR FIN'!$A$1:$O$92,15,0))</f>
        <v>0</v>
      </c>
      <c r="X59" s="64">
        <f>IF(ISERROR(VLOOKUP($U$59,'TAR FIN'!$A$1:$O$92,15,0)),0,VLOOKUP($U$59,'TAR FIN'!$A$1:$O$92,15,0))</f>
        <v>0</v>
      </c>
      <c r="Y59" s="64">
        <f ca="1">('TUSD BE'!$AM$10+'TUSD BF'!$AM$10+'TUSD CVA'!$AM$10)*1*(1-0.02)</f>
        <v>18.643987249835956</v>
      </c>
      <c r="Z59" s="64"/>
      <c r="AA59" s="64"/>
      <c r="AB59" s="64">
        <f>(SUBSIDIO!$J$59*SUBSIDIO!$V$59)*(0.04)/(1-0.04)</f>
        <v>1380.8447999999999</v>
      </c>
      <c r="AC59" s="64">
        <f>((SUBSIDIO!$L$59*SUBSIDIO!$W$59)+(SUBSIDIO!$N$59*SUBSIDIO!$X$59))*(0.04)/(1-0.04)</f>
        <v>0</v>
      </c>
      <c r="AD59" s="64">
        <f ca="1">(SUBSIDIO!$J$59*SUBSIDIO!$Y$59)*(0.02)/(1-0.02)</f>
        <v>897.19432520639145</v>
      </c>
      <c r="AE59" s="64">
        <f>((SUBSIDIO!$L$59*SUBSIDIO!$Z$59)+(SUBSIDIO!$N$59*SUBSIDIO!$AA$59))*(0.02)/(1-0.02)</f>
        <v>0</v>
      </c>
      <c r="AF59" s="3" t="s">
        <v>752</v>
      </c>
    </row>
    <row r="60" spans="1:32" ht="11.25" customHeight="1" x14ac:dyDescent="0.25">
      <c r="A60" s="3" t="s">
        <v>27</v>
      </c>
      <c r="B60" s="3" t="s">
        <v>39</v>
      </c>
      <c r="C60" s="3" t="s">
        <v>41</v>
      </c>
      <c r="D60" s="3" t="s">
        <v>44</v>
      </c>
      <c r="E60" s="3" t="s">
        <v>52</v>
      </c>
      <c r="F60" s="3" t="s">
        <v>25</v>
      </c>
      <c r="G60" s="3" t="s">
        <v>25</v>
      </c>
      <c r="H60" s="3" t="s">
        <v>25</v>
      </c>
      <c r="I60" s="6">
        <v>44593</v>
      </c>
      <c r="J60" s="4">
        <v>-307</v>
      </c>
      <c r="K60" s="64">
        <v>-307</v>
      </c>
      <c r="L60" s="4">
        <v>0</v>
      </c>
      <c r="M60" s="64">
        <v>0</v>
      </c>
      <c r="N60" s="4">
        <v>0</v>
      </c>
      <c r="O60" s="64">
        <v>0</v>
      </c>
      <c r="P60" s="4">
        <v>-1</v>
      </c>
      <c r="Q60" s="3" t="s">
        <v>26</v>
      </c>
      <c r="R60" s="3">
        <v>0</v>
      </c>
      <c r="S60" s="3">
        <v>18</v>
      </c>
      <c r="T60" s="3">
        <v>0</v>
      </c>
      <c r="U60" s="3">
        <v>0</v>
      </c>
      <c r="V60" s="64">
        <f>IF(ISERROR(VLOOKUP($S$60,'TAR FIN'!$A$1:$O$92,15,0)),0,VLOOKUP($S$60,'TAR FIN'!$A$1:$O$92,15,0))*(1-0.04)</f>
        <v>14.054399999999999</v>
      </c>
      <c r="W60" s="64">
        <f>IF(ISERROR(VLOOKUP($T$60,'TAR FIN'!$A$1:$O$92,15,0)),0,VLOOKUP($T$60,'TAR FIN'!$A$1:$O$92,15,0))</f>
        <v>0</v>
      </c>
      <c r="X60" s="64">
        <f>IF(ISERROR(VLOOKUP($U$60,'TAR FIN'!$A$1:$O$92,15,0)),0,VLOOKUP($U$60,'TAR FIN'!$A$1:$O$92,15,0))</f>
        <v>0</v>
      </c>
      <c r="Y60" s="64">
        <f ca="1">('TUSD BE'!$AM$10+'TUSD BF'!$AM$10+'TUSD CVA'!$AM$10)*1*(1-0.02)</f>
        <v>18.643987249835956</v>
      </c>
      <c r="Z60" s="64"/>
      <c r="AA60" s="64"/>
      <c r="AB60" s="64">
        <f>(SUBSIDIO!$J$60*SUBSIDIO!$V$60)*(0.04)/(1-0.04)</f>
        <v>-179.7792</v>
      </c>
      <c r="AC60" s="64">
        <f>((SUBSIDIO!$L$60*SUBSIDIO!$W$60)+(SUBSIDIO!$N$60*SUBSIDIO!$X$60))*(0.04)/(1-0.04)</f>
        <v>0</v>
      </c>
      <c r="AD60" s="64">
        <f ca="1">(SUBSIDIO!$J$60*SUBSIDIO!$Y$60)*(0.02)/(1-0.02)</f>
        <v>-116.81028746325792</v>
      </c>
      <c r="AE60" s="64">
        <f>((SUBSIDIO!$L$60*SUBSIDIO!$Z$60)+(SUBSIDIO!$N$60*SUBSIDIO!$AA$60))*(0.02)/(1-0.02)</f>
        <v>0</v>
      </c>
      <c r="AF60" s="3" t="s">
        <v>752</v>
      </c>
    </row>
    <row r="61" spans="1:32" ht="11.25" customHeight="1" x14ac:dyDescent="0.25">
      <c r="A61" s="3" t="s">
        <v>21</v>
      </c>
      <c r="B61" s="3" t="s">
        <v>39</v>
      </c>
      <c r="C61" s="3" t="s">
        <v>41</v>
      </c>
      <c r="D61" s="3" t="s">
        <v>44</v>
      </c>
      <c r="E61" s="3" t="s">
        <v>52</v>
      </c>
      <c r="F61" s="3" t="s">
        <v>25</v>
      </c>
      <c r="G61" s="3" t="s">
        <v>25</v>
      </c>
      <c r="H61" s="3" t="s">
        <v>25</v>
      </c>
      <c r="I61" s="6">
        <v>44621</v>
      </c>
      <c r="J61" s="4">
        <v>2578</v>
      </c>
      <c r="K61" s="64">
        <v>2578</v>
      </c>
      <c r="L61" s="4">
        <v>0</v>
      </c>
      <c r="M61" s="64">
        <v>0</v>
      </c>
      <c r="N61" s="4">
        <v>0</v>
      </c>
      <c r="O61" s="64">
        <v>0</v>
      </c>
      <c r="P61" s="4">
        <v>15</v>
      </c>
      <c r="Q61" s="3" t="s">
        <v>26</v>
      </c>
      <c r="R61" s="3">
        <v>0</v>
      </c>
      <c r="S61" s="3">
        <v>18</v>
      </c>
      <c r="T61" s="3">
        <v>0</v>
      </c>
      <c r="U61" s="3">
        <v>0</v>
      </c>
      <c r="V61" s="64">
        <f>IF(ISERROR(VLOOKUP($S$61,'TAR FIN'!$A$1:$O$92,15,0)),0,VLOOKUP($S$61,'TAR FIN'!$A$1:$O$92,15,0))*(1-0.04)</f>
        <v>14.054399999999999</v>
      </c>
      <c r="W61" s="64">
        <f>IF(ISERROR(VLOOKUP($T$61,'TAR FIN'!$A$1:$O$92,15,0)),0,VLOOKUP($T$61,'TAR FIN'!$A$1:$O$92,15,0))</f>
        <v>0</v>
      </c>
      <c r="X61" s="64">
        <f>IF(ISERROR(VLOOKUP($U$61,'TAR FIN'!$A$1:$O$92,15,0)),0,VLOOKUP($U$61,'TAR FIN'!$A$1:$O$92,15,0))</f>
        <v>0</v>
      </c>
      <c r="Y61" s="64">
        <f ca="1">('TUSD BE'!$AM$10+'TUSD BF'!$AM$10+'TUSD CVA'!$AM$10)*1*(1-0.02)</f>
        <v>18.643987249835956</v>
      </c>
      <c r="Z61" s="64"/>
      <c r="AA61" s="64"/>
      <c r="AB61" s="64">
        <f>(SUBSIDIO!$J$61*SUBSIDIO!$V$61)*(0.04)/(1-0.04)</f>
        <v>1509.6768</v>
      </c>
      <c r="AC61" s="64">
        <f>((SUBSIDIO!$L$61*SUBSIDIO!$W$61)+(SUBSIDIO!$N$61*SUBSIDIO!$X$61))*(0.04)/(1-0.04)</f>
        <v>0</v>
      </c>
      <c r="AD61" s="64">
        <f ca="1">(SUBSIDIO!$J$61*SUBSIDIO!$Y$61)*(0.02)/(1-0.02)</f>
        <v>980.90202306279798</v>
      </c>
      <c r="AE61" s="64">
        <f>((SUBSIDIO!$L$61*SUBSIDIO!$Z$61)+(SUBSIDIO!$N$61*SUBSIDIO!$AA$61))*(0.02)/(1-0.02)</f>
        <v>0</v>
      </c>
      <c r="AF61" s="3" t="s">
        <v>752</v>
      </c>
    </row>
    <row r="62" spans="1:32" ht="11.25" customHeight="1" x14ac:dyDescent="0.25">
      <c r="A62" s="3" t="s">
        <v>27</v>
      </c>
      <c r="B62" s="3" t="s">
        <v>39</v>
      </c>
      <c r="C62" s="3" t="s">
        <v>41</v>
      </c>
      <c r="D62" s="3" t="s">
        <v>44</v>
      </c>
      <c r="E62" s="3" t="s">
        <v>52</v>
      </c>
      <c r="F62" s="3" t="s">
        <v>25</v>
      </c>
      <c r="G62" s="3" t="s">
        <v>25</v>
      </c>
      <c r="H62" s="3" t="s">
        <v>25</v>
      </c>
      <c r="I62" s="6">
        <v>44621</v>
      </c>
      <c r="J62" s="4">
        <v>211</v>
      </c>
      <c r="K62" s="64">
        <v>211</v>
      </c>
      <c r="L62" s="4">
        <v>0</v>
      </c>
      <c r="M62" s="64">
        <v>0</v>
      </c>
      <c r="N62" s="4">
        <v>0</v>
      </c>
      <c r="O62" s="64">
        <v>0</v>
      </c>
      <c r="P62" s="4">
        <v>0</v>
      </c>
      <c r="Q62" s="3" t="s">
        <v>26</v>
      </c>
      <c r="R62" s="3">
        <v>0</v>
      </c>
      <c r="S62" s="3">
        <v>18</v>
      </c>
      <c r="T62" s="3">
        <v>0</v>
      </c>
      <c r="U62" s="3">
        <v>0</v>
      </c>
      <c r="V62" s="64">
        <f>IF(ISERROR(VLOOKUP($S$62,'TAR FIN'!$A$1:$O$92,15,0)),0,VLOOKUP($S$62,'TAR FIN'!$A$1:$O$92,15,0))*(1-0.04)</f>
        <v>14.054399999999999</v>
      </c>
      <c r="W62" s="64">
        <f>IF(ISERROR(VLOOKUP($T$62,'TAR FIN'!$A$1:$O$92,15,0)),0,VLOOKUP($T$62,'TAR FIN'!$A$1:$O$92,15,0))</f>
        <v>0</v>
      </c>
      <c r="X62" s="64">
        <f>IF(ISERROR(VLOOKUP($U$62,'TAR FIN'!$A$1:$O$92,15,0)),0,VLOOKUP($U$62,'TAR FIN'!$A$1:$O$92,15,0))</f>
        <v>0</v>
      </c>
      <c r="Y62" s="64">
        <f ca="1">('TUSD BE'!$AM$10+'TUSD BF'!$AM$10+'TUSD CVA'!$AM$10)*1*(1-0.02)</f>
        <v>18.643987249835956</v>
      </c>
      <c r="Z62" s="64"/>
      <c r="AA62" s="64"/>
      <c r="AB62" s="64">
        <f>(SUBSIDIO!$J$62*SUBSIDIO!$V$62)*(0.04)/(1-0.04)</f>
        <v>123.5616</v>
      </c>
      <c r="AC62" s="64">
        <f>((SUBSIDIO!$L$62*SUBSIDIO!$W$62)+(SUBSIDIO!$N$62*SUBSIDIO!$X$62))*(0.04)/(1-0.04)</f>
        <v>0</v>
      </c>
      <c r="AD62" s="64">
        <f ca="1">(SUBSIDIO!$J$62*SUBSIDIO!$Y$62)*(0.02)/(1-0.02)</f>
        <v>80.283292035007889</v>
      </c>
      <c r="AE62" s="64">
        <f>((SUBSIDIO!$L$62*SUBSIDIO!$Z$62)+(SUBSIDIO!$N$62*SUBSIDIO!$AA$62))*(0.02)/(1-0.02)</f>
        <v>0</v>
      </c>
      <c r="AF62" s="3" t="s">
        <v>752</v>
      </c>
    </row>
    <row r="63" spans="1:32" ht="11.25" customHeight="1" x14ac:dyDescent="0.25">
      <c r="A63" s="3" t="s">
        <v>21</v>
      </c>
      <c r="B63" s="3" t="s">
        <v>39</v>
      </c>
      <c r="C63" s="3" t="s">
        <v>41</v>
      </c>
      <c r="D63" s="3" t="s">
        <v>44</v>
      </c>
      <c r="E63" s="3" t="s">
        <v>52</v>
      </c>
      <c r="F63" s="3" t="s">
        <v>25</v>
      </c>
      <c r="G63" s="3" t="s">
        <v>25</v>
      </c>
      <c r="H63" s="3" t="s">
        <v>25</v>
      </c>
      <c r="I63" s="6">
        <v>44652</v>
      </c>
      <c r="J63" s="4">
        <v>2578</v>
      </c>
      <c r="K63" s="64">
        <v>2578</v>
      </c>
      <c r="L63" s="4">
        <v>0</v>
      </c>
      <c r="M63" s="64">
        <v>0</v>
      </c>
      <c r="N63" s="4">
        <v>0</v>
      </c>
      <c r="O63" s="64">
        <v>0</v>
      </c>
      <c r="P63" s="4">
        <v>15</v>
      </c>
      <c r="Q63" s="3" t="s">
        <v>26</v>
      </c>
      <c r="R63" s="3">
        <v>0</v>
      </c>
      <c r="S63" s="3">
        <v>18</v>
      </c>
      <c r="T63" s="3">
        <v>0</v>
      </c>
      <c r="U63" s="3">
        <v>0</v>
      </c>
      <c r="V63" s="64">
        <f>IF(ISERROR(VLOOKUP($S$63,'TAR FIN'!$A$1:$O$92,15,0)),0,VLOOKUP($S$63,'TAR FIN'!$A$1:$O$92,15,0))*(1-0.04)</f>
        <v>14.054399999999999</v>
      </c>
      <c r="W63" s="64">
        <f>IF(ISERROR(VLOOKUP($T$63,'TAR FIN'!$A$1:$O$92,15,0)),0,VLOOKUP($T$63,'TAR FIN'!$A$1:$O$92,15,0))</f>
        <v>0</v>
      </c>
      <c r="X63" s="64">
        <f>IF(ISERROR(VLOOKUP($U$63,'TAR FIN'!$A$1:$O$92,15,0)),0,VLOOKUP($U$63,'TAR FIN'!$A$1:$O$92,15,0))</f>
        <v>0</v>
      </c>
      <c r="Y63" s="64">
        <f ca="1">('TUSD BE'!$AM$10+'TUSD BF'!$AM$10+'TUSD CVA'!$AM$10)*1*(1-0.02)</f>
        <v>18.643987249835956</v>
      </c>
      <c r="Z63" s="64"/>
      <c r="AA63" s="64"/>
      <c r="AB63" s="64">
        <f>(SUBSIDIO!$J$63*SUBSIDIO!$V$63)*(0.04)/(1-0.04)</f>
        <v>1509.6768</v>
      </c>
      <c r="AC63" s="64">
        <f>((SUBSIDIO!$L$63*SUBSIDIO!$W$63)+(SUBSIDIO!$N$63*SUBSIDIO!$X$63))*(0.04)/(1-0.04)</f>
        <v>0</v>
      </c>
      <c r="AD63" s="64">
        <f ca="1">(SUBSIDIO!$J$63*SUBSIDIO!$Y$63)*(0.02)/(1-0.02)</f>
        <v>980.90202306279798</v>
      </c>
      <c r="AE63" s="64">
        <f>((SUBSIDIO!$L$63*SUBSIDIO!$Z$63)+(SUBSIDIO!$N$63*SUBSIDIO!$AA$63))*(0.02)/(1-0.02)</f>
        <v>0</v>
      </c>
      <c r="AF63" s="3" t="s">
        <v>752</v>
      </c>
    </row>
    <row r="64" spans="1:32" ht="11.25" customHeight="1" x14ac:dyDescent="0.25">
      <c r="A64" s="3" t="s">
        <v>27</v>
      </c>
      <c r="B64" s="3" t="s">
        <v>39</v>
      </c>
      <c r="C64" s="3" t="s">
        <v>41</v>
      </c>
      <c r="D64" s="3" t="s">
        <v>44</v>
      </c>
      <c r="E64" s="3" t="s">
        <v>52</v>
      </c>
      <c r="F64" s="3" t="s">
        <v>25</v>
      </c>
      <c r="G64" s="3" t="s">
        <v>25</v>
      </c>
      <c r="H64" s="3" t="s">
        <v>25</v>
      </c>
      <c r="I64" s="6">
        <v>44652</v>
      </c>
      <c r="J64" s="4">
        <v>211</v>
      </c>
      <c r="K64" s="64">
        <v>211</v>
      </c>
      <c r="L64" s="4">
        <v>0</v>
      </c>
      <c r="M64" s="64">
        <v>0</v>
      </c>
      <c r="N64" s="4">
        <v>0</v>
      </c>
      <c r="O64" s="64">
        <v>0</v>
      </c>
      <c r="P64" s="4">
        <v>0</v>
      </c>
      <c r="Q64" s="3" t="s">
        <v>26</v>
      </c>
      <c r="R64" s="3">
        <v>0</v>
      </c>
      <c r="S64" s="3">
        <v>18</v>
      </c>
      <c r="T64" s="3">
        <v>0</v>
      </c>
      <c r="U64" s="3">
        <v>0</v>
      </c>
      <c r="V64" s="64">
        <f>IF(ISERROR(VLOOKUP($S$64,'TAR FIN'!$A$1:$O$92,15,0)),0,VLOOKUP($S$64,'TAR FIN'!$A$1:$O$92,15,0))*(1-0.04)</f>
        <v>14.054399999999999</v>
      </c>
      <c r="W64" s="64">
        <f>IF(ISERROR(VLOOKUP($T$64,'TAR FIN'!$A$1:$O$92,15,0)),0,VLOOKUP($T$64,'TAR FIN'!$A$1:$O$92,15,0))</f>
        <v>0</v>
      </c>
      <c r="X64" s="64">
        <f>IF(ISERROR(VLOOKUP($U$64,'TAR FIN'!$A$1:$O$92,15,0)),0,VLOOKUP($U$64,'TAR FIN'!$A$1:$O$92,15,0))</f>
        <v>0</v>
      </c>
      <c r="Y64" s="64">
        <f ca="1">('TUSD BE'!$AM$10+'TUSD BF'!$AM$10+'TUSD CVA'!$AM$10)*1*(1-0.02)</f>
        <v>18.643987249835956</v>
      </c>
      <c r="Z64" s="64"/>
      <c r="AA64" s="64"/>
      <c r="AB64" s="64">
        <f>(SUBSIDIO!$J$64*SUBSIDIO!$V$64)*(0.04)/(1-0.04)</f>
        <v>123.5616</v>
      </c>
      <c r="AC64" s="64">
        <f>((SUBSIDIO!$L$64*SUBSIDIO!$W$64)+(SUBSIDIO!$N$64*SUBSIDIO!$X$64))*(0.04)/(1-0.04)</f>
        <v>0</v>
      </c>
      <c r="AD64" s="64">
        <f ca="1">(SUBSIDIO!$J$64*SUBSIDIO!$Y$64)*(0.02)/(1-0.02)</f>
        <v>80.283292035007889</v>
      </c>
      <c r="AE64" s="64">
        <f>((SUBSIDIO!$L$64*SUBSIDIO!$Z$64)+(SUBSIDIO!$N$64*SUBSIDIO!$AA$64))*(0.02)/(1-0.02)</f>
        <v>0</v>
      </c>
      <c r="AF64" s="3" t="s">
        <v>752</v>
      </c>
    </row>
    <row r="65" spans="1:32" ht="11.25" customHeight="1" x14ac:dyDescent="0.25">
      <c r="A65" s="3" t="s">
        <v>21</v>
      </c>
      <c r="B65" s="3" t="s">
        <v>39</v>
      </c>
      <c r="C65" s="3" t="s">
        <v>41</v>
      </c>
      <c r="D65" s="3" t="s">
        <v>44</v>
      </c>
      <c r="E65" s="3" t="s">
        <v>52</v>
      </c>
      <c r="F65" s="3" t="s">
        <v>25</v>
      </c>
      <c r="G65" s="3" t="s">
        <v>25</v>
      </c>
      <c r="H65" s="3" t="s">
        <v>25</v>
      </c>
      <c r="I65" s="6">
        <v>44682</v>
      </c>
      <c r="J65" s="4">
        <v>480</v>
      </c>
      <c r="K65" s="64">
        <v>480</v>
      </c>
      <c r="L65" s="4">
        <v>0</v>
      </c>
      <c r="M65" s="64">
        <v>0</v>
      </c>
      <c r="N65" s="4">
        <v>0</v>
      </c>
      <c r="O65" s="64">
        <v>0</v>
      </c>
      <c r="P65" s="4">
        <v>14</v>
      </c>
      <c r="Q65" s="3" t="s">
        <v>26</v>
      </c>
      <c r="R65" s="3">
        <v>0</v>
      </c>
      <c r="S65" s="3">
        <v>18</v>
      </c>
      <c r="T65" s="3">
        <v>0</v>
      </c>
      <c r="U65" s="3">
        <v>0</v>
      </c>
      <c r="V65" s="64">
        <f>IF(ISERROR(VLOOKUP($S$65,'TAR FIN'!$A$1:$O$92,15,0)),0,VLOOKUP($S$65,'TAR FIN'!$A$1:$O$92,15,0))*(1-0.04)</f>
        <v>14.054399999999999</v>
      </c>
      <c r="W65" s="64">
        <f>IF(ISERROR(VLOOKUP($T$65,'TAR FIN'!$A$1:$O$92,15,0)),0,VLOOKUP($T$65,'TAR FIN'!$A$1:$O$92,15,0))</f>
        <v>0</v>
      </c>
      <c r="X65" s="64">
        <f>IF(ISERROR(VLOOKUP($U$65,'TAR FIN'!$A$1:$O$92,15,0)),0,VLOOKUP($U$65,'TAR FIN'!$A$1:$O$92,15,0))</f>
        <v>0</v>
      </c>
      <c r="Y65" s="64">
        <f ca="1">('TUSD BE'!$AM$10+'TUSD BF'!$AM$10+'TUSD CVA'!$AM$10)*1*(1-0.02)</f>
        <v>18.643987249835956</v>
      </c>
      <c r="Z65" s="64"/>
      <c r="AA65" s="64"/>
      <c r="AB65" s="64">
        <f>(SUBSIDIO!$J$65*SUBSIDIO!$V$65)*(0.04)/(1-0.04)</f>
        <v>281.08800000000002</v>
      </c>
      <c r="AC65" s="64">
        <f>((SUBSIDIO!$L$65*SUBSIDIO!$W$65)+(SUBSIDIO!$N$65*SUBSIDIO!$X$65))*(0.04)/(1-0.04)</f>
        <v>0</v>
      </c>
      <c r="AD65" s="64">
        <f ca="1">(SUBSIDIO!$J$65*SUBSIDIO!$Y$65)*(0.02)/(1-0.02)</f>
        <v>182.6349771412502</v>
      </c>
      <c r="AE65" s="64">
        <f>((SUBSIDIO!$L$65*SUBSIDIO!$Z$65)+(SUBSIDIO!$N$65*SUBSIDIO!$AA$65))*(0.02)/(1-0.02)</f>
        <v>0</v>
      </c>
      <c r="AF65" s="3" t="s">
        <v>752</v>
      </c>
    </row>
    <row r="66" spans="1:32" ht="11.25" customHeight="1" x14ac:dyDescent="0.25">
      <c r="A66" s="3" t="s">
        <v>21</v>
      </c>
      <c r="B66" s="3" t="s">
        <v>39</v>
      </c>
      <c r="C66" s="3" t="s">
        <v>41</v>
      </c>
      <c r="D66" s="3" t="s">
        <v>44</v>
      </c>
      <c r="E66" s="3" t="s">
        <v>52</v>
      </c>
      <c r="F66" s="3" t="s">
        <v>25</v>
      </c>
      <c r="G66" s="3" t="s">
        <v>25</v>
      </c>
      <c r="H66" s="3" t="s">
        <v>25</v>
      </c>
      <c r="I66" s="6">
        <v>44713</v>
      </c>
      <c r="J66" s="4">
        <v>651</v>
      </c>
      <c r="K66" s="64">
        <v>651</v>
      </c>
      <c r="L66" s="4">
        <v>0</v>
      </c>
      <c r="M66" s="64">
        <v>0</v>
      </c>
      <c r="N66" s="4">
        <v>0</v>
      </c>
      <c r="O66" s="64">
        <v>0</v>
      </c>
      <c r="P66" s="4">
        <v>15</v>
      </c>
      <c r="Q66" s="3" t="s">
        <v>26</v>
      </c>
      <c r="R66" s="3">
        <v>0</v>
      </c>
      <c r="S66" s="3">
        <v>18</v>
      </c>
      <c r="T66" s="3">
        <v>0</v>
      </c>
      <c r="U66" s="3">
        <v>0</v>
      </c>
      <c r="V66" s="64">
        <f>IF(ISERROR(VLOOKUP($S$66,'TAR FIN'!$A$1:$O$92,15,0)),0,VLOOKUP($S$66,'TAR FIN'!$A$1:$O$92,15,0))*(1-0.04)</f>
        <v>14.054399999999999</v>
      </c>
      <c r="W66" s="64">
        <f>IF(ISERROR(VLOOKUP($T$66,'TAR FIN'!$A$1:$O$92,15,0)),0,VLOOKUP($T$66,'TAR FIN'!$A$1:$O$92,15,0))</f>
        <v>0</v>
      </c>
      <c r="X66" s="64">
        <f>IF(ISERROR(VLOOKUP($U$66,'TAR FIN'!$A$1:$O$92,15,0)),0,VLOOKUP($U$66,'TAR FIN'!$A$1:$O$92,15,0))</f>
        <v>0</v>
      </c>
      <c r="Y66" s="64">
        <f ca="1">('TUSD BE'!$AM$10+'TUSD BF'!$AM$10+'TUSD CVA'!$AM$10)*1*(1-0.02)</f>
        <v>18.643987249835956</v>
      </c>
      <c r="Z66" s="64"/>
      <c r="AA66" s="64"/>
      <c r="AB66" s="64">
        <f>(SUBSIDIO!$J$66*SUBSIDIO!$V$66)*(0.04)/(1-0.04)</f>
        <v>381.22559999999999</v>
      </c>
      <c r="AC66" s="64">
        <f>((SUBSIDIO!$L$66*SUBSIDIO!$W$66)+(SUBSIDIO!$N$66*SUBSIDIO!$X$66))*(0.04)/(1-0.04)</f>
        <v>0</v>
      </c>
      <c r="AD66" s="64">
        <f ca="1">(SUBSIDIO!$J$66*SUBSIDIO!$Y$66)*(0.02)/(1-0.02)</f>
        <v>247.69868774782054</v>
      </c>
      <c r="AE66" s="64">
        <f>((SUBSIDIO!$L$66*SUBSIDIO!$Z$66)+(SUBSIDIO!$N$66*SUBSIDIO!$AA$66))*(0.02)/(1-0.02)</f>
        <v>0</v>
      </c>
      <c r="AF66" s="3" t="s">
        <v>752</v>
      </c>
    </row>
    <row r="67" spans="1:32" ht="11.25" customHeight="1" x14ac:dyDescent="0.25">
      <c r="A67" s="3" t="s">
        <v>21</v>
      </c>
      <c r="B67" s="3" t="s">
        <v>39</v>
      </c>
      <c r="C67" s="3" t="s">
        <v>41</v>
      </c>
      <c r="D67" s="3" t="s">
        <v>44</v>
      </c>
      <c r="E67" s="3" t="s">
        <v>52</v>
      </c>
      <c r="F67" s="3" t="s">
        <v>25</v>
      </c>
      <c r="G67" s="3" t="s">
        <v>25</v>
      </c>
      <c r="H67" s="3" t="s">
        <v>25</v>
      </c>
      <c r="I67" s="6">
        <v>44743</v>
      </c>
      <c r="J67" s="4">
        <v>464</v>
      </c>
      <c r="K67" s="64">
        <v>464</v>
      </c>
      <c r="L67" s="4">
        <v>0</v>
      </c>
      <c r="M67" s="64">
        <v>0</v>
      </c>
      <c r="N67" s="4">
        <v>0</v>
      </c>
      <c r="O67" s="64">
        <v>0</v>
      </c>
      <c r="P67" s="4">
        <v>14</v>
      </c>
      <c r="Q67" s="3" t="s">
        <v>26</v>
      </c>
      <c r="R67" s="3">
        <v>0</v>
      </c>
      <c r="S67" s="3">
        <v>18</v>
      </c>
      <c r="T67" s="3">
        <v>0</v>
      </c>
      <c r="U67" s="3">
        <v>0</v>
      </c>
      <c r="V67" s="64">
        <f>IF(ISERROR(VLOOKUP($S$67,'TAR FIN'!$A$1:$O$92,15,0)),0,VLOOKUP($S$67,'TAR FIN'!$A$1:$O$92,15,0))*(1-0.04)</f>
        <v>14.054399999999999</v>
      </c>
      <c r="W67" s="64">
        <f>IF(ISERROR(VLOOKUP($T$67,'TAR FIN'!$A$1:$O$92,15,0)),0,VLOOKUP($T$67,'TAR FIN'!$A$1:$O$92,15,0))</f>
        <v>0</v>
      </c>
      <c r="X67" s="64">
        <f>IF(ISERROR(VLOOKUP($U$67,'TAR FIN'!$A$1:$O$92,15,0)),0,VLOOKUP($U$67,'TAR FIN'!$A$1:$O$92,15,0))</f>
        <v>0</v>
      </c>
      <c r="Y67" s="64">
        <f ca="1">('TUSD BE'!$AM$10+'TUSD BF'!$AM$10+'TUSD CVA'!$AM$10)*1*(1-0.02)</f>
        <v>18.643987249835956</v>
      </c>
      <c r="Z67" s="64"/>
      <c r="AA67" s="64"/>
      <c r="AB67" s="64">
        <f>(SUBSIDIO!$J$67*SUBSIDIO!$V$67)*(0.04)/(1-0.04)</f>
        <v>271.71839999999997</v>
      </c>
      <c r="AC67" s="64">
        <f>((SUBSIDIO!$L$67*SUBSIDIO!$W$67)+(SUBSIDIO!$N$67*SUBSIDIO!$X$67))*(0.04)/(1-0.04)</f>
        <v>0</v>
      </c>
      <c r="AD67" s="64">
        <f ca="1">(SUBSIDIO!$J$67*SUBSIDIO!$Y$67)*(0.02)/(1-0.02)</f>
        <v>176.54714456987517</v>
      </c>
      <c r="AE67" s="64">
        <f>((SUBSIDIO!$L$67*SUBSIDIO!$Z$67)+(SUBSIDIO!$N$67*SUBSIDIO!$AA$67))*(0.02)/(1-0.02)</f>
        <v>0</v>
      </c>
      <c r="AF67" s="3" t="s">
        <v>752</v>
      </c>
    </row>
    <row r="68" spans="1:32" ht="11.25" customHeight="1" x14ac:dyDescent="0.25">
      <c r="A68" s="3" t="s">
        <v>21</v>
      </c>
      <c r="B68" s="3" t="s">
        <v>39</v>
      </c>
      <c r="C68" s="3" t="s">
        <v>41</v>
      </c>
      <c r="D68" s="3" t="s">
        <v>44</v>
      </c>
      <c r="E68" s="3" t="s">
        <v>52</v>
      </c>
      <c r="F68" s="3" t="s">
        <v>25</v>
      </c>
      <c r="G68" s="3" t="s">
        <v>25</v>
      </c>
      <c r="H68" s="3" t="s">
        <v>25</v>
      </c>
      <c r="I68" s="6">
        <v>44774</v>
      </c>
      <c r="J68" s="4">
        <v>1392</v>
      </c>
      <c r="K68" s="64">
        <v>1392</v>
      </c>
      <c r="L68" s="4">
        <v>0</v>
      </c>
      <c r="M68" s="64">
        <v>0</v>
      </c>
      <c r="N68" s="4">
        <v>0</v>
      </c>
      <c r="O68" s="64">
        <v>0</v>
      </c>
      <c r="P68" s="4">
        <v>15</v>
      </c>
      <c r="Q68" s="3" t="s">
        <v>26</v>
      </c>
      <c r="R68" s="3">
        <v>0</v>
      </c>
      <c r="S68" s="3">
        <v>18</v>
      </c>
      <c r="T68" s="3">
        <v>0</v>
      </c>
      <c r="U68" s="3">
        <v>0</v>
      </c>
      <c r="V68" s="64">
        <f>IF(ISERROR(VLOOKUP($S$68,'TAR FIN'!$A$1:$O$92,15,0)),0,VLOOKUP($S$68,'TAR FIN'!$A$1:$O$92,15,0))*(1-0.04)</f>
        <v>14.054399999999999</v>
      </c>
      <c r="W68" s="64">
        <f>IF(ISERROR(VLOOKUP($T$68,'TAR FIN'!$A$1:$O$92,15,0)),0,VLOOKUP($T$68,'TAR FIN'!$A$1:$O$92,15,0))</f>
        <v>0</v>
      </c>
      <c r="X68" s="64">
        <f>IF(ISERROR(VLOOKUP($U$68,'TAR FIN'!$A$1:$O$92,15,0)),0,VLOOKUP($U$68,'TAR FIN'!$A$1:$O$92,15,0))</f>
        <v>0</v>
      </c>
      <c r="Y68" s="64">
        <f ca="1">('TUSD BE'!$AM$10+'TUSD BF'!$AM$10+'TUSD CVA'!$AM$10)*1*(1-0.02)</f>
        <v>18.643987249835956</v>
      </c>
      <c r="Z68" s="64"/>
      <c r="AA68" s="64"/>
      <c r="AB68" s="64">
        <f>(SUBSIDIO!$J$68*SUBSIDIO!$V$68)*(0.04)/(1-0.04)</f>
        <v>815.15520000000004</v>
      </c>
      <c r="AC68" s="64">
        <f>((SUBSIDIO!$L$68*SUBSIDIO!$W$68)+(SUBSIDIO!$N$68*SUBSIDIO!$X$68))*(0.04)/(1-0.04)</f>
        <v>0</v>
      </c>
      <c r="AD68" s="64">
        <f ca="1">(SUBSIDIO!$J$68*SUBSIDIO!$Y$68)*(0.02)/(1-0.02)</f>
        <v>529.64143370962552</v>
      </c>
      <c r="AE68" s="64">
        <f>((SUBSIDIO!$L$68*SUBSIDIO!$Z$68)+(SUBSIDIO!$N$68*SUBSIDIO!$AA$68))*(0.02)/(1-0.02)</f>
        <v>0</v>
      </c>
      <c r="AF68" s="3" t="s">
        <v>752</v>
      </c>
    </row>
    <row r="69" spans="1:32" ht="11.25" customHeight="1" x14ac:dyDescent="0.25">
      <c r="A69" s="3" t="s">
        <v>21</v>
      </c>
      <c r="B69" s="3" t="s">
        <v>39</v>
      </c>
      <c r="C69" s="3" t="s">
        <v>41</v>
      </c>
      <c r="D69" s="3" t="s">
        <v>44</v>
      </c>
      <c r="E69" s="3" t="s">
        <v>52</v>
      </c>
      <c r="F69" s="3" t="s">
        <v>25</v>
      </c>
      <c r="G69" s="3" t="s">
        <v>25</v>
      </c>
      <c r="H69" s="3" t="s">
        <v>25</v>
      </c>
      <c r="I69" s="6">
        <v>44805</v>
      </c>
      <c r="J69" s="4">
        <v>1521</v>
      </c>
      <c r="K69" s="64">
        <v>1521</v>
      </c>
      <c r="L69" s="4">
        <v>0</v>
      </c>
      <c r="M69" s="64">
        <v>0</v>
      </c>
      <c r="N69" s="4">
        <v>0</v>
      </c>
      <c r="O69" s="64">
        <v>0</v>
      </c>
      <c r="P69" s="4">
        <v>16</v>
      </c>
      <c r="Q69" s="3" t="s">
        <v>26</v>
      </c>
      <c r="R69" s="3">
        <v>0</v>
      </c>
      <c r="S69" s="3">
        <v>18</v>
      </c>
      <c r="T69" s="3">
        <v>0</v>
      </c>
      <c r="U69" s="3">
        <v>0</v>
      </c>
      <c r="V69" s="64">
        <f>IF(ISERROR(VLOOKUP($S$69,'TAR FIN'!$A$1:$O$92,15,0)),0,VLOOKUP($S$69,'TAR FIN'!$A$1:$O$92,15,0))*(1-0.04)</f>
        <v>14.054399999999999</v>
      </c>
      <c r="W69" s="64">
        <f>IF(ISERROR(VLOOKUP($T$69,'TAR FIN'!$A$1:$O$92,15,0)),0,VLOOKUP($T$69,'TAR FIN'!$A$1:$O$92,15,0))</f>
        <v>0</v>
      </c>
      <c r="X69" s="64">
        <f>IF(ISERROR(VLOOKUP($U$69,'TAR FIN'!$A$1:$O$92,15,0)),0,VLOOKUP($U$69,'TAR FIN'!$A$1:$O$92,15,0))</f>
        <v>0</v>
      </c>
      <c r="Y69" s="64">
        <f ca="1">('TUSD BE'!$AM$10+'TUSD BF'!$AM$10+'TUSD CVA'!$AM$10)*1*(1-0.02)</f>
        <v>18.643987249835956</v>
      </c>
      <c r="Z69" s="64"/>
      <c r="AA69" s="64"/>
      <c r="AB69" s="64">
        <f>(SUBSIDIO!$J$69*SUBSIDIO!$V$69)*(0.04)/(1-0.04)</f>
        <v>890.69760000000008</v>
      </c>
      <c r="AC69" s="64">
        <f>((SUBSIDIO!$L$69*SUBSIDIO!$W$69)+(SUBSIDIO!$N$69*SUBSIDIO!$X$69))*(0.04)/(1-0.04)</f>
        <v>0</v>
      </c>
      <c r="AD69" s="64">
        <f ca="1">(SUBSIDIO!$J$69*SUBSIDIO!$Y$69)*(0.02)/(1-0.02)</f>
        <v>578.72458381633658</v>
      </c>
      <c r="AE69" s="64">
        <f>((SUBSIDIO!$L$69*SUBSIDIO!$Z$69)+(SUBSIDIO!$N$69*SUBSIDIO!$AA$69))*(0.02)/(1-0.02)</f>
        <v>0</v>
      </c>
      <c r="AF69" s="3" t="s">
        <v>752</v>
      </c>
    </row>
    <row r="70" spans="1:32" ht="11.25" customHeight="1" x14ac:dyDescent="0.25">
      <c r="A70" s="3" t="s">
        <v>55</v>
      </c>
      <c r="B70" s="3" t="s">
        <v>39</v>
      </c>
      <c r="C70" s="3" t="s">
        <v>41</v>
      </c>
      <c r="D70" s="3" t="s">
        <v>44</v>
      </c>
      <c r="E70" s="3" t="s">
        <v>52</v>
      </c>
      <c r="F70" s="3" t="s">
        <v>25</v>
      </c>
      <c r="G70" s="3" t="s">
        <v>25</v>
      </c>
      <c r="H70" s="3" t="s">
        <v>25</v>
      </c>
      <c r="I70" s="6">
        <v>44835</v>
      </c>
      <c r="J70" s="4">
        <v>1521</v>
      </c>
      <c r="K70" s="64">
        <v>1521</v>
      </c>
      <c r="L70" s="4">
        <v>0</v>
      </c>
      <c r="M70" s="64">
        <v>0</v>
      </c>
      <c r="N70" s="4">
        <v>0</v>
      </c>
      <c r="O70" s="64">
        <v>0</v>
      </c>
      <c r="P70" s="4">
        <v>16</v>
      </c>
      <c r="Q70" s="3" t="s">
        <v>26</v>
      </c>
      <c r="R70" s="3">
        <v>0</v>
      </c>
      <c r="S70" s="3">
        <v>18</v>
      </c>
      <c r="T70" s="3">
        <v>0</v>
      </c>
      <c r="U70" s="3">
        <v>0</v>
      </c>
      <c r="V70" s="64">
        <f>IF(ISERROR(VLOOKUP($S$70,'TAR FIN'!$A$1:$O$92,15,0)),0,VLOOKUP($S$70,'TAR FIN'!$A$1:$O$92,15,0))*(1-0.04)</f>
        <v>14.054399999999999</v>
      </c>
      <c r="W70" s="64">
        <f>IF(ISERROR(VLOOKUP($T$70,'TAR FIN'!$A$1:$O$92,15,0)),0,VLOOKUP($T$70,'TAR FIN'!$A$1:$O$92,15,0))</f>
        <v>0</v>
      </c>
      <c r="X70" s="64">
        <f>IF(ISERROR(VLOOKUP($U$70,'TAR FIN'!$A$1:$O$92,15,0)),0,VLOOKUP($U$70,'TAR FIN'!$A$1:$O$92,15,0))</f>
        <v>0</v>
      </c>
      <c r="Y70" s="64">
        <f ca="1">('TUSD BE'!$AM$10+'TUSD BF'!$AM$10+'TUSD CVA'!$AM$10)*1*(1-0.02)</f>
        <v>18.643987249835956</v>
      </c>
      <c r="Z70" s="64"/>
      <c r="AA70" s="64"/>
      <c r="AB70" s="64">
        <f>(SUBSIDIO!$J$70*SUBSIDIO!$V$70)*(0.04)/(1-0.04)</f>
        <v>890.69760000000008</v>
      </c>
      <c r="AC70" s="64">
        <f>((SUBSIDIO!$L$70*SUBSIDIO!$W$70)+(SUBSIDIO!$N$70*SUBSIDIO!$X$70))*(0.04)/(1-0.04)</f>
        <v>0</v>
      </c>
      <c r="AD70" s="64">
        <f ca="1">(SUBSIDIO!$J$70*SUBSIDIO!$Y$70)*(0.02)/(1-0.02)</f>
        <v>578.72458381633658</v>
      </c>
      <c r="AE70" s="64">
        <f>((SUBSIDIO!$L$70*SUBSIDIO!$Z$70)+(SUBSIDIO!$N$70*SUBSIDIO!$AA$70))*(0.02)/(1-0.02)</f>
        <v>0</v>
      </c>
      <c r="AF70" s="3" t="s">
        <v>752</v>
      </c>
    </row>
    <row r="71" spans="1:32" ht="11.25" customHeight="1" x14ac:dyDescent="0.25">
      <c r="A71" s="3" t="s">
        <v>21</v>
      </c>
      <c r="B71" s="3" t="s">
        <v>39</v>
      </c>
      <c r="C71" s="3" t="s">
        <v>41</v>
      </c>
      <c r="D71" s="3" t="s">
        <v>44</v>
      </c>
      <c r="E71" s="3" t="s">
        <v>52</v>
      </c>
      <c r="F71" s="3" t="s">
        <v>25</v>
      </c>
      <c r="G71" s="3" t="s">
        <v>25</v>
      </c>
      <c r="H71" s="3" t="s">
        <v>34</v>
      </c>
      <c r="I71" s="6">
        <v>44501</v>
      </c>
      <c r="J71" s="4">
        <v>0</v>
      </c>
      <c r="K71" s="64">
        <v>0</v>
      </c>
      <c r="L71" s="4">
        <v>11.041</v>
      </c>
      <c r="M71" s="64">
        <v>11.041</v>
      </c>
      <c r="N71" s="4">
        <v>11.041</v>
      </c>
      <c r="O71" s="64">
        <v>11.041</v>
      </c>
      <c r="P71" s="4">
        <v>0</v>
      </c>
      <c r="Q71" s="3" t="s">
        <v>26</v>
      </c>
      <c r="R71" s="3">
        <v>0</v>
      </c>
      <c r="S71" s="3">
        <v>0</v>
      </c>
      <c r="T71" s="3">
        <v>11</v>
      </c>
      <c r="U71" s="3">
        <v>71</v>
      </c>
      <c r="V71" s="64">
        <f>IF(ISERROR(VLOOKUP($S$71,'TAR FIN'!$A$1:$O$92,15,0)),0,VLOOKUP($S$71,'TAR FIN'!$A$1:$O$92,15,0))</f>
        <v>0</v>
      </c>
      <c r="W71" s="64">
        <f>IF(ISERROR(VLOOKUP($T$71,'TAR FIN'!$A$1:$O$92,15,0)),0,VLOOKUP($T$71,'TAR FIN'!$A$1:$O$92,15,0))*(1-0.04)</f>
        <v>1109.2895999999998</v>
      </c>
      <c r="X71" s="64">
        <f>IF(ISERROR(VLOOKUP($U$71,'TAR FIN'!$A$1:$O$92,15,0)),0,VLOOKUP($U$71,'TAR FIN'!$A$1:$O$92,15,0))*(1-0.04)</f>
        <v>416.41919999999999</v>
      </c>
      <c r="Y71" s="64"/>
      <c r="Z71" s="64">
        <f ca="1">('TUSD BE'!$AM$11+'TUSD BF'!$AM$11+'TUSD CVA'!$AM$11)*1*(1-0.02)</f>
        <v>1463.9061467887163</v>
      </c>
      <c r="AA71" s="64">
        <f>('TE BE'!$AB$5+'TE BF'!$AB$5+'TE CVA'!$AB$5)*1*(1-0.02)</f>
        <v>531.98726410884376</v>
      </c>
      <c r="AB71" s="64">
        <f>(SUBSIDIO!$J$71*SUBSIDIO!$V$71)*(0.04)/(1-0.04)</f>
        <v>0</v>
      </c>
      <c r="AC71" s="64">
        <f>((SUBSIDIO!$L$71*SUBSIDIO!$W$71)+(SUBSIDIO!$N$71*SUBSIDIO!$X$71))*(0.04)/(1-0.04)</f>
        <v>701.88961919999986</v>
      </c>
      <c r="AD71" s="64">
        <f>(SUBSIDIO!$J$71*SUBSIDIO!$Y$71)*(0.02)/(1-0.02)</f>
        <v>0</v>
      </c>
      <c r="AE71" s="64">
        <f ca="1">((SUBSIDIO!$L$71*SUBSIDIO!$Z$71)+(SUBSIDIO!$N$71*SUBSIDIO!$AA$71))*(0.02)/(1-0.02)</f>
        <v>449.72773774938702</v>
      </c>
      <c r="AF71" s="3" t="s">
        <v>752</v>
      </c>
    </row>
    <row r="72" spans="1:32" ht="11.25" customHeight="1" x14ac:dyDescent="0.25">
      <c r="A72" s="3" t="s">
        <v>21</v>
      </c>
      <c r="B72" s="3" t="s">
        <v>39</v>
      </c>
      <c r="C72" s="3" t="s">
        <v>41</v>
      </c>
      <c r="D72" s="3" t="s">
        <v>44</v>
      </c>
      <c r="E72" s="3" t="s">
        <v>52</v>
      </c>
      <c r="F72" s="3" t="s">
        <v>25</v>
      </c>
      <c r="G72" s="3" t="s">
        <v>25</v>
      </c>
      <c r="H72" s="3" t="s">
        <v>34</v>
      </c>
      <c r="I72" s="6">
        <v>44531</v>
      </c>
      <c r="J72" s="4">
        <v>0</v>
      </c>
      <c r="K72" s="64">
        <v>0</v>
      </c>
      <c r="L72" s="4">
        <v>20.324000000000002</v>
      </c>
      <c r="M72" s="64">
        <v>20.324000000000002</v>
      </c>
      <c r="N72" s="4">
        <v>20.324000000000002</v>
      </c>
      <c r="O72" s="64">
        <v>20.324000000000002</v>
      </c>
      <c r="P72" s="4">
        <v>0</v>
      </c>
      <c r="Q72" s="3" t="s">
        <v>26</v>
      </c>
      <c r="R72" s="3">
        <v>0</v>
      </c>
      <c r="S72" s="3">
        <v>0</v>
      </c>
      <c r="T72" s="3">
        <v>11</v>
      </c>
      <c r="U72" s="3">
        <v>71</v>
      </c>
      <c r="V72" s="64">
        <f>IF(ISERROR(VLOOKUP($S$72,'TAR FIN'!$A$1:$O$92,15,0)),0,VLOOKUP($S$72,'TAR FIN'!$A$1:$O$92,15,0))</f>
        <v>0</v>
      </c>
      <c r="W72" s="64">
        <f>IF(ISERROR(VLOOKUP($T$72,'TAR FIN'!$A$1:$O$92,15,0)),0,VLOOKUP($T$72,'TAR FIN'!$A$1:$O$92,15,0))*(1-0.04)</f>
        <v>1109.2895999999998</v>
      </c>
      <c r="X72" s="64">
        <f>IF(ISERROR(VLOOKUP($U$72,'TAR FIN'!$A$1:$O$92,15,0)),0,VLOOKUP($U$72,'TAR FIN'!$A$1:$O$92,15,0))*(1-0.04)</f>
        <v>416.41919999999999</v>
      </c>
      <c r="Y72" s="64"/>
      <c r="Z72" s="64">
        <f ca="1">('TUSD BE'!$AM$11+'TUSD BF'!$AM$11+'TUSD CVA'!$AM$11)*1*(1-0.02)</f>
        <v>1463.9061467887163</v>
      </c>
      <c r="AA72" s="64">
        <f>('TE BE'!$AB$5+'TE BF'!$AB$5+'TE CVA'!$AB$5)*1*(1-0.02)</f>
        <v>531.98726410884376</v>
      </c>
      <c r="AB72" s="64">
        <f>(SUBSIDIO!$J$72*SUBSIDIO!$V$72)*(0.04)/(1-0.04)</f>
        <v>0</v>
      </c>
      <c r="AC72" s="64">
        <f>((SUBSIDIO!$L$72*SUBSIDIO!$W$72)+(SUBSIDIO!$N$72*SUBSIDIO!$X$72))*(0.04)/(1-0.04)</f>
        <v>1292.0210688</v>
      </c>
      <c r="AD72" s="64">
        <f>(SUBSIDIO!$J$72*SUBSIDIO!$Y$72)*(0.02)/(1-0.02)</f>
        <v>0</v>
      </c>
      <c r="AE72" s="64">
        <f ca="1">((SUBSIDIO!$L$72*SUBSIDIO!$Z$72)+(SUBSIDIO!$N$72*SUBSIDIO!$AA$72))*(0.02)/(1-0.02)</f>
        <v>827.84770781800034</v>
      </c>
      <c r="AF72" s="3" t="s">
        <v>752</v>
      </c>
    </row>
    <row r="73" spans="1:32" ht="11.25" customHeight="1" x14ac:dyDescent="0.25">
      <c r="A73" s="3" t="s">
        <v>21</v>
      </c>
      <c r="B73" s="3" t="s">
        <v>39</v>
      </c>
      <c r="C73" s="3" t="s">
        <v>41</v>
      </c>
      <c r="D73" s="3" t="s">
        <v>44</v>
      </c>
      <c r="E73" s="3" t="s">
        <v>52</v>
      </c>
      <c r="F73" s="3" t="s">
        <v>25</v>
      </c>
      <c r="G73" s="3" t="s">
        <v>25</v>
      </c>
      <c r="H73" s="3" t="s">
        <v>34</v>
      </c>
      <c r="I73" s="6">
        <v>44562</v>
      </c>
      <c r="J73" s="4">
        <v>0</v>
      </c>
      <c r="K73" s="64">
        <v>0</v>
      </c>
      <c r="L73" s="4">
        <v>21.841000000000001</v>
      </c>
      <c r="M73" s="64">
        <v>21.841000000000001</v>
      </c>
      <c r="N73" s="4">
        <v>21.841000000000001</v>
      </c>
      <c r="O73" s="64">
        <v>21.841000000000001</v>
      </c>
      <c r="P73" s="4">
        <v>0</v>
      </c>
      <c r="Q73" s="3" t="s">
        <v>26</v>
      </c>
      <c r="R73" s="3">
        <v>0</v>
      </c>
      <c r="S73" s="3">
        <v>0</v>
      </c>
      <c r="T73" s="3">
        <v>11</v>
      </c>
      <c r="U73" s="3">
        <v>71</v>
      </c>
      <c r="V73" s="64">
        <f>IF(ISERROR(VLOOKUP($S$73,'TAR FIN'!$A$1:$O$92,15,0)),0,VLOOKUP($S$73,'TAR FIN'!$A$1:$O$92,15,0))</f>
        <v>0</v>
      </c>
      <c r="W73" s="64">
        <f>IF(ISERROR(VLOOKUP($T$73,'TAR FIN'!$A$1:$O$92,15,0)),0,VLOOKUP($T$73,'TAR FIN'!$A$1:$O$92,15,0))*(1-0.04)</f>
        <v>1109.2895999999998</v>
      </c>
      <c r="X73" s="64">
        <f>IF(ISERROR(VLOOKUP($U$73,'TAR FIN'!$A$1:$O$92,15,0)),0,VLOOKUP($U$73,'TAR FIN'!$A$1:$O$92,15,0))*(1-0.04)</f>
        <v>416.41919999999999</v>
      </c>
      <c r="Y73" s="64"/>
      <c r="Z73" s="64">
        <f ca="1">('TUSD BE'!$AM$11+'TUSD BF'!$AM$11+'TUSD CVA'!$AM$11)*1*(1-0.02)</f>
        <v>1463.9061467887163</v>
      </c>
      <c r="AA73" s="64">
        <f>('TE BE'!$AB$5+'TE BF'!$AB$5+'TE CVA'!$AB$5)*1*(1-0.02)</f>
        <v>531.98726410884376</v>
      </c>
      <c r="AB73" s="64">
        <f>(SUBSIDIO!$J$73*SUBSIDIO!$V$73)*(0.04)/(1-0.04)</f>
        <v>0</v>
      </c>
      <c r="AC73" s="64">
        <f>((SUBSIDIO!$L$73*SUBSIDIO!$W$73)+(SUBSIDIO!$N$73*SUBSIDIO!$X$73))*(0.04)/(1-0.04)</f>
        <v>1388.4585791999998</v>
      </c>
      <c r="AD73" s="64">
        <f>(SUBSIDIO!$J$73*SUBSIDIO!$Y$73)*(0.02)/(1-0.02)</f>
        <v>0</v>
      </c>
      <c r="AE73" s="64">
        <f ca="1">((SUBSIDIO!$L$73*SUBSIDIO!$Z$73)+(SUBSIDIO!$N$73*SUBSIDIO!$AA$73))*(0.02)/(1-0.02)</f>
        <v>889.63893851864509</v>
      </c>
      <c r="AF73" s="3" t="s">
        <v>752</v>
      </c>
    </row>
    <row r="74" spans="1:32" ht="11.25" customHeight="1" x14ac:dyDescent="0.25">
      <c r="A74" s="3" t="s">
        <v>21</v>
      </c>
      <c r="B74" s="3" t="s">
        <v>39</v>
      </c>
      <c r="C74" s="3" t="s">
        <v>41</v>
      </c>
      <c r="D74" s="3" t="s">
        <v>44</v>
      </c>
      <c r="E74" s="3" t="s">
        <v>52</v>
      </c>
      <c r="F74" s="3" t="s">
        <v>25</v>
      </c>
      <c r="G74" s="3" t="s">
        <v>25</v>
      </c>
      <c r="H74" s="3" t="s">
        <v>34</v>
      </c>
      <c r="I74" s="6">
        <v>44593</v>
      </c>
      <c r="J74" s="4">
        <v>0</v>
      </c>
      <c r="K74" s="64">
        <v>0</v>
      </c>
      <c r="L74" s="4">
        <v>24.782</v>
      </c>
      <c r="M74" s="64">
        <v>24.782</v>
      </c>
      <c r="N74" s="4">
        <v>24.782</v>
      </c>
      <c r="O74" s="64">
        <v>24.782</v>
      </c>
      <c r="P74" s="4">
        <v>0</v>
      </c>
      <c r="Q74" s="3" t="s">
        <v>26</v>
      </c>
      <c r="R74" s="3">
        <v>0</v>
      </c>
      <c r="S74" s="3">
        <v>0</v>
      </c>
      <c r="T74" s="3">
        <v>11</v>
      </c>
      <c r="U74" s="3">
        <v>71</v>
      </c>
      <c r="V74" s="64">
        <f>IF(ISERROR(VLOOKUP($S$74,'TAR FIN'!$A$1:$O$92,15,0)),0,VLOOKUP($S$74,'TAR FIN'!$A$1:$O$92,15,0))</f>
        <v>0</v>
      </c>
      <c r="W74" s="64">
        <f>IF(ISERROR(VLOOKUP($T$74,'TAR FIN'!$A$1:$O$92,15,0)),0,VLOOKUP($T$74,'TAR FIN'!$A$1:$O$92,15,0))*(1-0.04)</f>
        <v>1109.2895999999998</v>
      </c>
      <c r="X74" s="64">
        <f>IF(ISERROR(VLOOKUP($U$74,'TAR FIN'!$A$1:$O$92,15,0)),0,VLOOKUP($U$74,'TAR FIN'!$A$1:$O$92,15,0))*(1-0.04)</f>
        <v>416.41919999999999</v>
      </c>
      <c r="Y74" s="64"/>
      <c r="Z74" s="64">
        <f ca="1">('TUSD BE'!$AM$11+'TUSD BF'!$AM$11+'TUSD CVA'!$AM$11)*1*(1-0.02)</f>
        <v>1463.9061467887163</v>
      </c>
      <c r="AA74" s="64">
        <f>('TE BE'!$AB$5+'TE BF'!$AB$5+'TE CVA'!$AB$5)*1*(1-0.02)</f>
        <v>531.98726410884376</v>
      </c>
      <c r="AB74" s="64">
        <f>(SUBSIDIO!$J$74*SUBSIDIO!$V$74)*(0.04)/(1-0.04)</f>
        <v>0</v>
      </c>
      <c r="AC74" s="64">
        <f>((SUBSIDIO!$L$74*SUBSIDIO!$W$74)+(SUBSIDIO!$N$74*SUBSIDIO!$X$74))*(0.04)/(1-0.04)</f>
        <v>1575.4214783999998</v>
      </c>
      <c r="AD74" s="64">
        <f>(SUBSIDIO!$J$74*SUBSIDIO!$Y$74)*(0.02)/(1-0.02)</f>
        <v>0</v>
      </c>
      <c r="AE74" s="64">
        <f ca="1">((SUBSIDIO!$L$74*SUBSIDIO!$Z$74)+(SUBSIDIO!$N$74*SUBSIDIO!$AA$74))*(0.02)/(1-0.02)</f>
        <v>1009.4332756910884</v>
      </c>
      <c r="AF74" s="3" t="s">
        <v>752</v>
      </c>
    </row>
    <row r="75" spans="1:32" ht="11.25" customHeight="1" x14ac:dyDescent="0.25">
      <c r="A75" s="3" t="s">
        <v>27</v>
      </c>
      <c r="B75" s="3" t="s">
        <v>39</v>
      </c>
      <c r="C75" s="3" t="s">
        <v>41</v>
      </c>
      <c r="D75" s="3" t="s">
        <v>44</v>
      </c>
      <c r="E75" s="3" t="s">
        <v>52</v>
      </c>
      <c r="F75" s="3" t="s">
        <v>25</v>
      </c>
      <c r="G75" s="3" t="s">
        <v>25</v>
      </c>
      <c r="H75" s="3" t="s">
        <v>34</v>
      </c>
      <c r="I75" s="6">
        <v>44593</v>
      </c>
      <c r="J75" s="4">
        <v>0</v>
      </c>
      <c r="K75" s="64">
        <v>0</v>
      </c>
      <c r="L75" s="4">
        <v>-1.3069999999999999</v>
      </c>
      <c r="M75" s="64">
        <v>-1.3069999999999999</v>
      </c>
      <c r="N75" s="4">
        <v>-1.3069999999999999</v>
      </c>
      <c r="O75" s="64">
        <v>-1.3069999999999999</v>
      </c>
      <c r="P75" s="4">
        <v>0</v>
      </c>
      <c r="Q75" s="3" t="s">
        <v>26</v>
      </c>
      <c r="R75" s="3">
        <v>0</v>
      </c>
      <c r="S75" s="3">
        <v>0</v>
      </c>
      <c r="T75" s="3">
        <v>11</v>
      </c>
      <c r="U75" s="3">
        <v>71</v>
      </c>
      <c r="V75" s="64">
        <f>IF(ISERROR(VLOOKUP($S$75,'TAR FIN'!$A$1:$O$92,15,0)),0,VLOOKUP($S$75,'TAR FIN'!$A$1:$O$92,15,0))</f>
        <v>0</v>
      </c>
      <c r="W75" s="64">
        <f>IF(ISERROR(VLOOKUP($T$75,'TAR FIN'!$A$1:$O$92,15,0)),0,VLOOKUP($T$75,'TAR FIN'!$A$1:$O$92,15,0))*(1-0.04)</f>
        <v>1109.2895999999998</v>
      </c>
      <c r="X75" s="64">
        <f>IF(ISERROR(VLOOKUP($U$75,'TAR FIN'!$A$1:$O$92,15,0)),0,VLOOKUP($U$75,'TAR FIN'!$A$1:$O$92,15,0))*(1-0.04)</f>
        <v>416.41919999999999</v>
      </c>
      <c r="Y75" s="64"/>
      <c r="Z75" s="64">
        <f ca="1">('TUSD BE'!$AM$11+'TUSD BF'!$AM$11+'TUSD CVA'!$AM$11)*1*(1-0.02)</f>
        <v>1463.9061467887163</v>
      </c>
      <c r="AA75" s="64">
        <f>('TE BE'!$AB$5+'TE BF'!$AB$5+'TE CVA'!$AB$5)*1*(1-0.02)</f>
        <v>531.98726410884376</v>
      </c>
      <c r="AB75" s="64">
        <f>(SUBSIDIO!$J$75*SUBSIDIO!$V$75)*(0.04)/(1-0.04)</f>
        <v>0</v>
      </c>
      <c r="AC75" s="64">
        <f>((SUBSIDIO!$L$75*SUBSIDIO!$W$75)+(SUBSIDIO!$N$75*SUBSIDIO!$X$75))*(0.04)/(1-0.04)</f>
        <v>-83.087558400000006</v>
      </c>
      <c r="AD75" s="64">
        <f>(SUBSIDIO!$J$75*SUBSIDIO!$Y$75)*(0.02)/(1-0.02)</f>
        <v>0</v>
      </c>
      <c r="AE75" s="64">
        <f ca="1">((SUBSIDIO!$L$75*SUBSIDIO!$Z$75)+(SUBSIDIO!$N$75*SUBSIDIO!$AA$75))*(0.02)/(1-0.02)</f>
        <v>-53.237401796798189</v>
      </c>
      <c r="AF75" s="3" t="s">
        <v>752</v>
      </c>
    </row>
    <row r="76" spans="1:32" ht="11.25" customHeight="1" x14ac:dyDescent="0.25">
      <c r="A76" s="3" t="s">
        <v>21</v>
      </c>
      <c r="B76" s="3" t="s">
        <v>39</v>
      </c>
      <c r="C76" s="3" t="s">
        <v>41</v>
      </c>
      <c r="D76" s="3" t="s">
        <v>44</v>
      </c>
      <c r="E76" s="3" t="s">
        <v>52</v>
      </c>
      <c r="F76" s="3" t="s">
        <v>25</v>
      </c>
      <c r="G76" s="3" t="s">
        <v>25</v>
      </c>
      <c r="H76" s="3" t="s">
        <v>34</v>
      </c>
      <c r="I76" s="6">
        <v>44621</v>
      </c>
      <c r="J76" s="4">
        <v>0</v>
      </c>
      <c r="K76" s="64">
        <v>0</v>
      </c>
      <c r="L76" s="4">
        <v>12.180999999999999</v>
      </c>
      <c r="M76" s="64">
        <v>12.180999999999999</v>
      </c>
      <c r="N76" s="4">
        <v>12.180999999999999</v>
      </c>
      <c r="O76" s="64">
        <v>12.180999999999999</v>
      </c>
      <c r="P76" s="4">
        <v>0</v>
      </c>
      <c r="Q76" s="3" t="s">
        <v>26</v>
      </c>
      <c r="R76" s="3">
        <v>0</v>
      </c>
      <c r="S76" s="3">
        <v>0</v>
      </c>
      <c r="T76" s="3">
        <v>11</v>
      </c>
      <c r="U76" s="3">
        <v>71</v>
      </c>
      <c r="V76" s="64">
        <f>IF(ISERROR(VLOOKUP($S$76,'TAR FIN'!$A$1:$O$92,15,0)),0,VLOOKUP($S$76,'TAR FIN'!$A$1:$O$92,15,0))</f>
        <v>0</v>
      </c>
      <c r="W76" s="64">
        <f>IF(ISERROR(VLOOKUP($T$76,'TAR FIN'!$A$1:$O$92,15,0)),0,VLOOKUP($T$76,'TAR FIN'!$A$1:$O$92,15,0))*(1-0.04)</f>
        <v>1109.2895999999998</v>
      </c>
      <c r="X76" s="64">
        <f>IF(ISERROR(VLOOKUP($U$76,'TAR FIN'!$A$1:$O$92,15,0)),0,VLOOKUP($U$76,'TAR FIN'!$A$1:$O$92,15,0))*(1-0.04)</f>
        <v>416.41919999999999</v>
      </c>
      <c r="Y76" s="64"/>
      <c r="Z76" s="64">
        <f ca="1">('TUSD BE'!$AM$11+'TUSD BF'!$AM$11+'TUSD CVA'!$AM$11)*1*(1-0.02)</f>
        <v>1463.9061467887163</v>
      </c>
      <c r="AA76" s="64">
        <f>('TE BE'!$AB$5+'TE BF'!$AB$5+'TE CVA'!$AB$5)*1*(1-0.02)</f>
        <v>531.98726410884376</v>
      </c>
      <c r="AB76" s="64">
        <f>(SUBSIDIO!$J$76*SUBSIDIO!$V$76)*(0.04)/(1-0.04)</f>
        <v>0</v>
      </c>
      <c r="AC76" s="64">
        <f>((SUBSIDIO!$L$76*SUBSIDIO!$W$76)+(SUBSIDIO!$N$76*SUBSIDIO!$X$76))*(0.04)/(1-0.04)</f>
        <v>774.36078719999989</v>
      </c>
      <c r="AD76" s="64">
        <f>(SUBSIDIO!$J$76*SUBSIDIO!$Y$76)*(0.02)/(1-0.02)</f>
        <v>0</v>
      </c>
      <c r="AE76" s="64">
        <f ca="1">((SUBSIDIO!$L$76*SUBSIDIO!$Z$76)+(SUBSIDIO!$N$76*SUBSIDIO!$AA$76))*(0.02)/(1-0.02)</f>
        <v>496.16280894169762</v>
      </c>
      <c r="AF76" s="3" t="s">
        <v>752</v>
      </c>
    </row>
    <row r="77" spans="1:32" ht="11.25" customHeight="1" x14ac:dyDescent="0.25">
      <c r="A77" s="3" t="s">
        <v>27</v>
      </c>
      <c r="B77" s="3" t="s">
        <v>39</v>
      </c>
      <c r="C77" s="3" t="s">
        <v>41</v>
      </c>
      <c r="D77" s="3" t="s">
        <v>44</v>
      </c>
      <c r="E77" s="3" t="s">
        <v>52</v>
      </c>
      <c r="F77" s="3" t="s">
        <v>25</v>
      </c>
      <c r="G77" s="3" t="s">
        <v>25</v>
      </c>
      <c r="H77" s="3" t="s">
        <v>34</v>
      </c>
      <c r="I77" s="6">
        <v>44621</v>
      </c>
      <c r="J77" s="4">
        <v>0</v>
      </c>
      <c r="K77" s="64">
        <v>0</v>
      </c>
      <c r="L77" s="4">
        <v>8.8490000000000002</v>
      </c>
      <c r="M77" s="64">
        <v>8.8490000000000002</v>
      </c>
      <c r="N77" s="4">
        <v>8.8490000000000002</v>
      </c>
      <c r="O77" s="64">
        <v>8.8490000000000002</v>
      </c>
      <c r="P77" s="4">
        <v>0</v>
      </c>
      <c r="Q77" s="3" t="s">
        <v>26</v>
      </c>
      <c r="R77" s="3">
        <v>0</v>
      </c>
      <c r="S77" s="3">
        <v>0</v>
      </c>
      <c r="T77" s="3">
        <v>11</v>
      </c>
      <c r="U77" s="3">
        <v>71</v>
      </c>
      <c r="V77" s="64">
        <f>IF(ISERROR(VLOOKUP($S$77,'TAR FIN'!$A$1:$O$92,15,0)),0,VLOOKUP($S$77,'TAR FIN'!$A$1:$O$92,15,0))</f>
        <v>0</v>
      </c>
      <c r="W77" s="64">
        <f>IF(ISERROR(VLOOKUP($T$77,'TAR FIN'!$A$1:$O$92,15,0)),0,VLOOKUP($T$77,'TAR FIN'!$A$1:$O$92,15,0))*(1-0.04)</f>
        <v>1109.2895999999998</v>
      </c>
      <c r="X77" s="64">
        <f>IF(ISERROR(VLOOKUP($U$77,'TAR FIN'!$A$1:$O$92,15,0)),0,VLOOKUP($U$77,'TAR FIN'!$A$1:$O$92,15,0))*(1-0.04)</f>
        <v>416.41919999999999</v>
      </c>
      <c r="Y77" s="64"/>
      <c r="Z77" s="64">
        <f ca="1">('TUSD BE'!$AM$11+'TUSD BF'!$AM$11+'TUSD CVA'!$AM$11)*1*(1-0.02)</f>
        <v>1463.9061467887163</v>
      </c>
      <c r="AA77" s="64">
        <f>('TE BE'!$AB$5+'TE BF'!$AB$5+'TE CVA'!$AB$5)*1*(1-0.02)</f>
        <v>531.98726410884376</v>
      </c>
      <c r="AB77" s="64">
        <f>(SUBSIDIO!$J$77*SUBSIDIO!$V$77)*(0.04)/(1-0.04)</f>
        <v>0</v>
      </c>
      <c r="AC77" s="64">
        <f>((SUBSIDIO!$L$77*SUBSIDIO!$W$77)+(SUBSIDIO!$N$77*SUBSIDIO!$X$77))*(0.04)/(1-0.04)</f>
        <v>562.54154879999999</v>
      </c>
      <c r="AD77" s="64">
        <f>(SUBSIDIO!$J$77*SUBSIDIO!$Y$77)*(0.02)/(1-0.02)</f>
        <v>0</v>
      </c>
      <c r="AE77" s="64">
        <f ca="1">((SUBSIDIO!$L$77*SUBSIDIO!$Z$77)+(SUBSIDIO!$N$77*SUBSIDIO!$AA$77))*(0.02)/(1-0.02)</f>
        <v>360.44205700066357</v>
      </c>
      <c r="AF77" s="3" t="s">
        <v>752</v>
      </c>
    </row>
    <row r="78" spans="1:32" ht="11.25" customHeight="1" x14ac:dyDescent="0.25">
      <c r="A78" s="3" t="s">
        <v>21</v>
      </c>
      <c r="B78" s="3" t="s">
        <v>39</v>
      </c>
      <c r="C78" s="3" t="s">
        <v>41</v>
      </c>
      <c r="D78" s="3" t="s">
        <v>44</v>
      </c>
      <c r="E78" s="3" t="s">
        <v>52</v>
      </c>
      <c r="F78" s="3" t="s">
        <v>25</v>
      </c>
      <c r="G78" s="3" t="s">
        <v>25</v>
      </c>
      <c r="H78" s="3" t="s">
        <v>34</v>
      </c>
      <c r="I78" s="6">
        <v>44652</v>
      </c>
      <c r="J78" s="4">
        <v>0</v>
      </c>
      <c r="K78" s="64">
        <v>0</v>
      </c>
      <c r="L78" s="4">
        <v>12.180999999999999</v>
      </c>
      <c r="M78" s="64">
        <v>12.180999999999999</v>
      </c>
      <c r="N78" s="4">
        <v>12.180999999999999</v>
      </c>
      <c r="O78" s="64">
        <v>12.180999999999999</v>
      </c>
      <c r="P78" s="4">
        <v>0</v>
      </c>
      <c r="Q78" s="3" t="s">
        <v>26</v>
      </c>
      <c r="R78" s="3">
        <v>0</v>
      </c>
      <c r="S78" s="3">
        <v>0</v>
      </c>
      <c r="T78" s="3">
        <v>11</v>
      </c>
      <c r="U78" s="3">
        <v>71</v>
      </c>
      <c r="V78" s="64">
        <f>IF(ISERROR(VLOOKUP($S$78,'TAR FIN'!$A$1:$O$92,15,0)),0,VLOOKUP($S$78,'TAR FIN'!$A$1:$O$92,15,0))</f>
        <v>0</v>
      </c>
      <c r="W78" s="64">
        <f>IF(ISERROR(VLOOKUP($T$78,'TAR FIN'!$A$1:$O$92,15,0)),0,VLOOKUP($T$78,'TAR FIN'!$A$1:$O$92,15,0))*(1-0.04)</f>
        <v>1109.2895999999998</v>
      </c>
      <c r="X78" s="64">
        <f>IF(ISERROR(VLOOKUP($U$78,'TAR FIN'!$A$1:$O$92,15,0)),0,VLOOKUP($U$78,'TAR FIN'!$A$1:$O$92,15,0))*(1-0.04)</f>
        <v>416.41919999999999</v>
      </c>
      <c r="Y78" s="64"/>
      <c r="Z78" s="64">
        <f ca="1">('TUSD BE'!$AM$11+'TUSD BF'!$AM$11+'TUSD CVA'!$AM$11)*1*(1-0.02)</f>
        <v>1463.9061467887163</v>
      </c>
      <c r="AA78" s="64">
        <f>('TE BE'!$AB$5+'TE BF'!$AB$5+'TE CVA'!$AB$5)*1*(1-0.02)</f>
        <v>531.98726410884376</v>
      </c>
      <c r="AB78" s="64">
        <f>(SUBSIDIO!$J$78*SUBSIDIO!$V$78)*(0.04)/(1-0.04)</f>
        <v>0</v>
      </c>
      <c r="AC78" s="64">
        <f>((SUBSIDIO!$L$78*SUBSIDIO!$W$78)+(SUBSIDIO!$N$78*SUBSIDIO!$X$78))*(0.04)/(1-0.04)</f>
        <v>774.36078719999989</v>
      </c>
      <c r="AD78" s="64">
        <f>(SUBSIDIO!$J$78*SUBSIDIO!$Y$78)*(0.02)/(1-0.02)</f>
        <v>0</v>
      </c>
      <c r="AE78" s="64">
        <f ca="1">((SUBSIDIO!$L$78*SUBSIDIO!$Z$78)+(SUBSIDIO!$N$78*SUBSIDIO!$AA$78))*(0.02)/(1-0.02)</f>
        <v>496.16280894169762</v>
      </c>
      <c r="AF78" s="3" t="s">
        <v>752</v>
      </c>
    </row>
    <row r="79" spans="1:32" ht="11.25" customHeight="1" x14ac:dyDescent="0.25">
      <c r="A79" s="3" t="s">
        <v>27</v>
      </c>
      <c r="B79" s="3" t="s">
        <v>39</v>
      </c>
      <c r="C79" s="3" t="s">
        <v>41</v>
      </c>
      <c r="D79" s="3" t="s">
        <v>44</v>
      </c>
      <c r="E79" s="3" t="s">
        <v>52</v>
      </c>
      <c r="F79" s="3" t="s">
        <v>25</v>
      </c>
      <c r="G79" s="3" t="s">
        <v>25</v>
      </c>
      <c r="H79" s="3" t="s">
        <v>34</v>
      </c>
      <c r="I79" s="6">
        <v>44652</v>
      </c>
      <c r="J79" s="4">
        <v>0</v>
      </c>
      <c r="K79" s="64">
        <v>0</v>
      </c>
      <c r="L79" s="4">
        <v>8.8490000000000002</v>
      </c>
      <c r="M79" s="64">
        <v>8.8490000000000002</v>
      </c>
      <c r="N79" s="4">
        <v>8.8490000000000002</v>
      </c>
      <c r="O79" s="64">
        <v>8.8490000000000002</v>
      </c>
      <c r="P79" s="4">
        <v>0</v>
      </c>
      <c r="Q79" s="3" t="s">
        <v>26</v>
      </c>
      <c r="R79" s="3">
        <v>0</v>
      </c>
      <c r="S79" s="3">
        <v>0</v>
      </c>
      <c r="T79" s="3">
        <v>11</v>
      </c>
      <c r="U79" s="3">
        <v>71</v>
      </c>
      <c r="V79" s="64">
        <f>IF(ISERROR(VLOOKUP($S$79,'TAR FIN'!$A$1:$O$92,15,0)),0,VLOOKUP($S$79,'TAR FIN'!$A$1:$O$92,15,0))</f>
        <v>0</v>
      </c>
      <c r="W79" s="64">
        <f>IF(ISERROR(VLOOKUP($T$79,'TAR FIN'!$A$1:$O$92,15,0)),0,VLOOKUP($T$79,'TAR FIN'!$A$1:$O$92,15,0))*(1-0.04)</f>
        <v>1109.2895999999998</v>
      </c>
      <c r="X79" s="64">
        <f>IF(ISERROR(VLOOKUP($U$79,'TAR FIN'!$A$1:$O$92,15,0)),0,VLOOKUP($U$79,'TAR FIN'!$A$1:$O$92,15,0))*(1-0.04)</f>
        <v>416.41919999999999</v>
      </c>
      <c r="Y79" s="64"/>
      <c r="Z79" s="64">
        <f ca="1">('TUSD BE'!$AM$11+'TUSD BF'!$AM$11+'TUSD CVA'!$AM$11)*1*(1-0.02)</f>
        <v>1463.9061467887163</v>
      </c>
      <c r="AA79" s="64">
        <f>('TE BE'!$AB$5+'TE BF'!$AB$5+'TE CVA'!$AB$5)*1*(1-0.02)</f>
        <v>531.98726410884376</v>
      </c>
      <c r="AB79" s="64">
        <f>(SUBSIDIO!$J$79*SUBSIDIO!$V$79)*(0.04)/(1-0.04)</f>
        <v>0</v>
      </c>
      <c r="AC79" s="64">
        <f>((SUBSIDIO!$L$79*SUBSIDIO!$W$79)+(SUBSIDIO!$N$79*SUBSIDIO!$X$79))*(0.04)/(1-0.04)</f>
        <v>562.54154879999999</v>
      </c>
      <c r="AD79" s="64">
        <f>(SUBSIDIO!$J$79*SUBSIDIO!$Y$79)*(0.02)/(1-0.02)</f>
        <v>0</v>
      </c>
      <c r="AE79" s="64">
        <f ca="1">((SUBSIDIO!$L$79*SUBSIDIO!$Z$79)+(SUBSIDIO!$N$79*SUBSIDIO!$AA$79))*(0.02)/(1-0.02)</f>
        <v>360.44205700066357</v>
      </c>
      <c r="AF79" s="3" t="s">
        <v>752</v>
      </c>
    </row>
    <row r="80" spans="1:32" ht="11.25" customHeight="1" x14ac:dyDescent="0.25">
      <c r="A80" s="3" t="s">
        <v>21</v>
      </c>
      <c r="B80" s="3" t="s">
        <v>39</v>
      </c>
      <c r="C80" s="3" t="s">
        <v>41</v>
      </c>
      <c r="D80" s="3" t="s">
        <v>44</v>
      </c>
      <c r="E80" s="3" t="s">
        <v>52</v>
      </c>
      <c r="F80" s="3" t="s">
        <v>25</v>
      </c>
      <c r="G80" s="3" t="s">
        <v>25</v>
      </c>
      <c r="H80" s="3" t="s">
        <v>34</v>
      </c>
      <c r="I80" s="6">
        <v>44682</v>
      </c>
      <c r="J80" s="4">
        <v>0</v>
      </c>
      <c r="K80" s="64">
        <v>0</v>
      </c>
      <c r="L80" s="4">
        <v>2.996</v>
      </c>
      <c r="M80" s="64">
        <v>2.996</v>
      </c>
      <c r="N80" s="4">
        <v>2.996</v>
      </c>
      <c r="O80" s="64">
        <v>2.996</v>
      </c>
      <c r="P80" s="4">
        <v>0</v>
      </c>
      <c r="Q80" s="3" t="s">
        <v>26</v>
      </c>
      <c r="R80" s="3">
        <v>0</v>
      </c>
      <c r="S80" s="3">
        <v>0</v>
      </c>
      <c r="T80" s="3">
        <v>11</v>
      </c>
      <c r="U80" s="3">
        <v>71</v>
      </c>
      <c r="V80" s="64">
        <f>IF(ISERROR(VLOOKUP($S$80,'TAR FIN'!$A$1:$O$92,15,0)),0,VLOOKUP($S$80,'TAR FIN'!$A$1:$O$92,15,0))</f>
        <v>0</v>
      </c>
      <c r="W80" s="64">
        <f>IF(ISERROR(VLOOKUP($T$80,'TAR FIN'!$A$1:$O$92,15,0)),0,VLOOKUP($T$80,'TAR FIN'!$A$1:$O$92,15,0))*(1-0.04)</f>
        <v>1109.2895999999998</v>
      </c>
      <c r="X80" s="64">
        <f>IF(ISERROR(VLOOKUP($U$80,'TAR FIN'!$A$1:$O$92,15,0)),0,VLOOKUP($U$80,'TAR FIN'!$A$1:$O$92,15,0))*(1-0.04)</f>
        <v>416.41919999999999</v>
      </c>
      <c r="Y80" s="64"/>
      <c r="Z80" s="64">
        <f ca="1">('TUSD BE'!$AM$11+'TUSD BF'!$AM$11+'TUSD CVA'!$AM$11)*1*(1-0.02)</f>
        <v>1463.9061467887163</v>
      </c>
      <c r="AA80" s="64">
        <f>('TE BE'!$AB$5+'TE BF'!$AB$5+'TE CVA'!$AB$5)*1*(1-0.02)</f>
        <v>531.98726410884376</v>
      </c>
      <c r="AB80" s="64">
        <f>(SUBSIDIO!$J$80*SUBSIDIO!$V$80)*(0.04)/(1-0.04)</f>
        <v>0</v>
      </c>
      <c r="AC80" s="64">
        <f>((SUBSIDIO!$L$80*SUBSIDIO!$W$80)+(SUBSIDIO!$N$80*SUBSIDIO!$X$80))*(0.04)/(1-0.04)</f>
        <v>190.45931520000002</v>
      </c>
      <c r="AD80" s="64">
        <f>(SUBSIDIO!$J$80*SUBSIDIO!$Y$80)*(0.02)/(1-0.02)</f>
        <v>0</v>
      </c>
      <c r="AE80" s="64">
        <f ca="1">((SUBSIDIO!$L$80*SUBSIDIO!$Z$80)+(SUBSIDIO!$N$80*SUBSIDIO!$AA$80))*(0.02)/(1-0.02)</f>
        <v>122.0346256948794</v>
      </c>
      <c r="AF80" s="3" t="s">
        <v>752</v>
      </c>
    </row>
    <row r="81" spans="1:32" ht="11.25" customHeight="1" x14ac:dyDescent="0.25">
      <c r="A81" s="3" t="s">
        <v>27</v>
      </c>
      <c r="B81" s="3" t="s">
        <v>39</v>
      </c>
      <c r="C81" s="3" t="s">
        <v>41</v>
      </c>
      <c r="D81" s="3" t="s">
        <v>44</v>
      </c>
      <c r="E81" s="3" t="s">
        <v>52</v>
      </c>
      <c r="F81" s="3" t="s">
        <v>25</v>
      </c>
      <c r="G81" s="3" t="s">
        <v>25</v>
      </c>
      <c r="H81" s="3" t="s">
        <v>34</v>
      </c>
      <c r="I81" s="6">
        <v>44682</v>
      </c>
      <c r="J81" s="4">
        <v>0</v>
      </c>
      <c r="K81" s="64">
        <v>0</v>
      </c>
      <c r="L81" s="4">
        <v>-31.196000000000002</v>
      </c>
      <c r="M81" s="64">
        <v>-31.196000000000002</v>
      </c>
      <c r="N81" s="4">
        <v>-31.196000000000002</v>
      </c>
      <c r="O81" s="64">
        <v>-31.196000000000002</v>
      </c>
      <c r="P81" s="4">
        <v>0</v>
      </c>
      <c r="Q81" s="3" t="s">
        <v>26</v>
      </c>
      <c r="R81" s="3">
        <v>0</v>
      </c>
      <c r="S81" s="3">
        <v>0</v>
      </c>
      <c r="T81" s="3">
        <v>11</v>
      </c>
      <c r="U81" s="3">
        <v>71</v>
      </c>
      <c r="V81" s="64">
        <f>IF(ISERROR(VLOOKUP($S$81,'TAR FIN'!$A$1:$O$92,15,0)),0,VLOOKUP($S$81,'TAR FIN'!$A$1:$O$92,15,0))</f>
        <v>0</v>
      </c>
      <c r="W81" s="64">
        <f>IF(ISERROR(VLOOKUP($T$81,'TAR FIN'!$A$1:$O$92,15,0)),0,VLOOKUP($T$81,'TAR FIN'!$A$1:$O$92,15,0))*(1-0.04)</f>
        <v>1109.2895999999998</v>
      </c>
      <c r="X81" s="64">
        <f>IF(ISERROR(VLOOKUP($U$81,'TAR FIN'!$A$1:$O$92,15,0)),0,VLOOKUP($U$81,'TAR FIN'!$A$1:$O$92,15,0))*(1-0.04)</f>
        <v>416.41919999999999</v>
      </c>
      <c r="Y81" s="64"/>
      <c r="Z81" s="64">
        <f ca="1">('TUSD BE'!$AM$11+'TUSD BF'!$AM$11+'TUSD CVA'!$AM$11)*1*(1-0.02)</f>
        <v>1463.9061467887163</v>
      </c>
      <c r="AA81" s="64">
        <f>('TE BE'!$AB$5+'TE BF'!$AB$5+'TE CVA'!$AB$5)*1*(1-0.02)</f>
        <v>531.98726410884376</v>
      </c>
      <c r="AB81" s="64">
        <f>(SUBSIDIO!$J$81*SUBSIDIO!$V$81)*(0.04)/(1-0.04)</f>
        <v>0</v>
      </c>
      <c r="AC81" s="64">
        <f>((SUBSIDIO!$L$81*SUBSIDIO!$W$81)+(SUBSIDIO!$N$81*SUBSIDIO!$X$81))*(0.04)/(1-0.04)</f>
        <v>-1983.1671551999998</v>
      </c>
      <c r="AD81" s="64">
        <f>(SUBSIDIO!$J$81*SUBSIDIO!$Y$81)*(0.02)/(1-0.02)</f>
        <v>0</v>
      </c>
      <c r="AE81" s="64">
        <f ca="1">((SUBSIDIO!$L$81*SUBSIDIO!$Z$81)+(SUBSIDIO!$N$81*SUBSIDIO!$AA$81))*(0.02)/(1-0.02)</f>
        <v>-1270.6916499257202</v>
      </c>
      <c r="AF81" s="3" t="s">
        <v>752</v>
      </c>
    </row>
    <row r="82" spans="1:32" ht="11.25" customHeight="1" x14ac:dyDescent="0.25">
      <c r="A82" s="3" t="s">
        <v>21</v>
      </c>
      <c r="B82" s="3" t="s">
        <v>39</v>
      </c>
      <c r="C82" s="3" t="s">
        <v>41</v>
      </c>
      <c r="D82" s="3" t="s">
        <v>44</v>
      </c>
      <c r="E82" s="3" t="s">
        <v>52</v>
      </c>
      <c r="F82" s="3" t="s">
        <v>25</v>
      </c>
      <c r="G82" s="3" t="s">
        <v>25</v>
      </c>
      <c r="H82" s="3" t="s">
        <v>34</v>
      </c>
      <c r="I82" s="6">
        <v>44713</v>
      </c>
      <c r="J82" s="4">
        <v>0</v>
      </c>
      <c r="K82" s="64">
        <v>0</v>
      </c>
      <c r="L82" s="4">
        <v>1.722</v>
      </c>
      <c r="M82" s="64">
        <v>1.722</v>
      </c>
      <c r="N82" s="4">
        <v>1.722</v>
      </c>
      <c r="O82" s="64">
        <v>1.722</v>
      </c>
      <c r="P82" s="4">
        <v>0</v>
      </c>
      <c r="Q82" s="3" t="s">
        <v>26</v>
      </c>
      <c r="R82" s="3">
        <v>0</v>
      </c>
      <c r="S82" s="3">
        <v>0</v>
      </c>
      <c r="T82" s="3">
        <v>11</v>
      </c>
      <c r="U82" s="3">
        <v>71</v>
      </c>
      <c r="V82" s="64">
        <f>IF(ISERROR(VLOOKUP($S$82,'TAR FIN'!$A$1:$O$92,15,0)),0,VLOOKUP($S$82,'TAR FIN'!$A$1:$O$92,15,0))</f>
        <v>0</v>
      </c>
      <c r="W82" s="64">
        <f>IF(ISERROR(VLOOKUP($T$82,'TAR FIN'!$A$1:$O$92,15,0)),0,VLOOKUP($T$82,'TAR FIN'!$A$1:$O$92,15,0))*(1-0.04)</f>
        <v>1109.2895999999998</v>
      </c>
      <c r="X82" s="64">
        <f>IF(ISERROR(VLOOKUP($U$82,'TAR FIN'!$A$1:$O$92,15,0)),0,VLOOKUP($U$82,'TAR FIN'!$A$1:$O$92,15,0))*(1-0.04)</f>
        <v>416.41919999999999</v>
      </c>
      <c r="Y82" s="64"/>
      <c r="Z82" s="64">
        <f ca="1">('TUSD BE'!$AM$11+'TUSD BF'!$AM$11+'TUSD CVA'!$AM$11)*1*(1-0.02)</f>
        <v>1463.9061467887163</v>
      </c>
      <c r="AA82" s="64">
        <f>('TE BE'!$AB$5+'TE BF'!$AB$5+'TE CVA'!$AB$5)*1*(1-0.02)</f>
        <v>531.98726410884376</v>
      </c>
      <c r="AB82" s="64">
        <f>(SUBSIDIO!$J$82*SUBSIDIO!$V$82)*(0.04)/(1-0.04)</f>
        <v>0</v>
      </c>
      <c r="AC82" s="64">
        <f>((SUBSIDIO!$L$82*SUBSIDIO!$W$82)+(SUBSIDIO!$N$82*SUBSIDIO!$X$82))*(0.04)/(1-0.04)</f>
        <v>109.4696064</v>
      </c>
      <c r="AD82" s="64">
        <f>(SUBSIDIO!$J$82*SUBSIDIO!$Y$82)*(0.02)/(1-0.02)</f>
        <v>0</v>
      </c>
      <c r="AE82" s="64">
        <f ca="1">((SUBSIDIO!$L$82*SUBSIDIO!$Z$82)+(SUBSIDIO!$N$82*SUBSIDIO!$AA$82))*(0.02)/(1-0.02)</f>
        <v>70.141397011542836</v>
      </c>
      <c r="AF82" s="3" t="s">
        <v>752</v>
      </c>
    </row>
    <row r="83" spans="1:32" ht="11.25" customHeight="1" x14ac:dyDescent="0.25">
      <c r="A83" s="3" t="s">
        <v>21</v>
      </c>
      <c r="B83" s="3" t="s">
        <v>39</v>
      </c>
      <c r="C83" s="3" t="s">
        <v>41</v>
      </c>
      <c r="D83" s="3" t="s">
        <v>44</v>
      </c>
      <c r="E83" s="3" t="s">
        <v>52</v>
      </c>
      <c r="F83" s="3" t="s">
        <v>25</v>
      </c>
      <c r="G83" s="3" t="s">
        <v>25</v>
      </c>
      <c r="H83" s="3" t="s">
        <v>34</v>
      </c>
      <c r="I83" s="6">
        <v>44743</v>
      </c>
      <c r="J83" s="4">
        <v>0</v>
      </c>
      <c r="K83" s="64">
        <v>0</v>
      </c>
      <c r="L83" s="4">
        <v>1.9039999999999999</v>
      </c>
      <c r="M83" s="64">
        <v>1.9039999999999999</v>
      </c>
      <c r="N83" s="4">
        <v>1.9039999999999999</v>
      </c>
      <c r="O83" s="64">
        <v>1.9039999999999999</v>
      </c>
      <c r="P83" s="4">
        <v>0</v>
      </c>
      <c r="Q83" s="3" t="s">
        <v>26</v>
      </c>
      <c r="R83" s="3">
        <v>0</v>
      </c>
      <c r="S83" s="3">
        <v>0</v>
      </c>
      <c r="T83" s="3">
        <v>11</v>
      </c>
      <c r="U83" s="3">
        <v>71</v>
      </c>
      <c r="V83" s="64">
        <f>IF(ISERROR(VLOOKUP($S$83,'TAR FIN'!$A$1:$O$92,15,0)),0,VLOOKUP($S$83,'TAR FIN'!$A$1:$O$92,15,0))</f>
        <v>0</v>
      </c>
      <c r="W83" s="64">
        <f>IF(ISERROR(VLOOKUP($T$83,'TAR FIN'!$A$1:$O$92,15,0)),0,VLOOKUP($T$83,'TAR FIN'!$A$1:$O$92,15,0))*(1-0.04)</f>
        <v>1109.2895999999998</v>
      </c>
      <c r="X83" s="64">
        <f>IF(ISERROR(VLOOKUP($U$83,'TAR FIN'!$A$1:$O$92,15,0)),0,VLOOKUP($U$83,'TAR FIN'!$A$1:$O$92,15,0))*(1-0.04)</f>
        <v>416.41919999999999</v>
      </c>
      <c r="Y83" s="64"/>
      <c r="Z83" s="64">
        <f ca="1">('TUSD BE'!$AM$11+'TUSD BF'!$AM$11+'TUSD CVA'!$AM$11)*1*(1-0.02)</f>
        <v>1463.9061467887163</v>
      </c>
      <c r="AA83" s="64">
        <f>('TE BE'!$AB$5+'TE BF'!$AB$5+'TE CVA'!$AB$5)*1*(1-0.02)</f>
        <v>531.98726410884376</v>
      </c>
      <c r="AB83" s="64">
        <f>(SUBSIDIO!$J$83*SUBSIDIO!$V$83)*(0.04)/(1-0.04)</f>
        <v>0</v>
      </c>
      <c r="AC83" s="64">
        <f>((SUBSIDIO!$L$83*SUBSIDIO!$W$83)+(SUBSIDIO!$N$83*SUBSIDIO!$X$83))*(0.04)/(1-0.04)</f>
        <v>121.03956479999999</v>
      </c>
      <c r="AD83" s="64">
        <f>(SUBSIDIO!$J$83*SUBSIDIO!$Y$83)*(0.02)/(1-0.02)</f>
        <v>0</v>
      </c>
      <c r="AE83" s="64">
        <f ca="1">((SUBSIDIO!$L$83*SUBSIDIO!$Z$83)+(SUBSIDIO!$N$83*SUBSIDIO!$AA$83))*(0.02)/(1-0.02)</f>
        <v>77.554715394876624</v>
      </c>
      <c r="AF83" s="3" t="s">
        <v>752</v>
      </c>
    </row>
    <row r="84" spans="1:32" ht="11.25" customHeight="1" x14ac:dyDescent="0.25">
      <c r="A84" s="3" t="s">
        <v>21</v>
      </c>
      <c r="B84" s="3" t="s">
        <v>39</v>
      </c>
      <c r="C84" s="3" t="s">
        <v>41</v>
      </c>
      <c r="D84" s="3" t="s">
        <v>44</v>
      </c>
      <c r="E84" s="3" t="s">
        <v>52</v>
      </c>
      <c r="F84" s="3" t="s">
        <v>25</v>
      </c>
      <c r="G84" s="3" t="s">
        <v>25</v>
      </c>
      <c r="H84" s="3" t="s">
        <v>34</v>
      </c>
      <c r="I84" s="6">
        <v>44774</v>
      </c>
      <c r="J84" s="4">
        <v>0</v>
      </c>
      <c r="K84" s="64">
        <v>0</v>
      </c>
      <c r="L84" s="4">
        <v>4.9359999999999999</v>
      </c>
      <c r="M84" s="64">
        <v>4.9359999999999999</v>
      </c>
      <c r="N84" s="4">
        <v>4.9359999999999999</v>
      </c>
      <c r="O84" s="64">
        <v>4.9359999999999999</v>
      </c>
      <c r="P84" s="4">
        <v>0</v>
      </c>
      <c r="Q84" s="3" t="s">
        <v>26</v>
      </c>
      <c r="R84" s="3">
        <v>0</v>
      </c>
      <c r="S84" s="3">
        <v>0</v>
      </c>
      <c r="T84" s="3">
        <v>11</v>
      </c>
      <c r="U84" s="3">
        <v>71</v>
      </c>
      <c r="V84" s="64">
        <f>IF(ISERROR(VLOOKUP($S$84,'TAR FIN'!$A$1:$O$92,15,0)),0,VLOOKUP($S$84,'TAR FIN'!$A$1:$O$92,15,0))</f>
        <v>0</v>
      </c>
      <c r="W84" s="64">
        <f>IF(ISERROR(VLOOKUP($T$84,'TAR FIN'!$A$1:$O$92,15,0)),0,VLOOKUP($T$84,'TAR FIN'!$A$1:$O$92,15,0))*(1-0.04)</f>
        <v>1109.2895999999998</v>
      </c>
      <c r="X84" s="64">
        <f>IF(ISERROR(VLOOKUP($U$84,'TAR FIN'!$A$1:$O$92,15,0)),0,VLOOKUP($U$84,'TAR FIN'!$A$1:$O$92,15,0))*(1-0.04)</f>
        <v>416.41919999999999</v>
      </c>
      <c r="Y84" s="64"/>
      <c r="Z84" s="64">
        <f ca="1">('TUSD BE'!$AM$11+'TUSD BF'!$AM$11+'TUSD CVA'!$AM$11)*1*(1-0.02)</f>
        <v>1463.9061467887163</v>
      </c>
      <c r="AA84" s="64">
        <f>('TE BE'!$AB$5+'TE BF'!$AB$5+'TE CVA'!$AB$5)*1*(1-0.02)</f>
        <v>531.98726410884376</v>
      </c>
      <c r="AB84" s="64">
        <f>(SUBSIDIO!$J$84*SUBSIDIO!$V$84)*(0.04)/(1-0.04)</f>
        <v>0</v>
      </c>
      <c r="AC84" s="64">
        <f>((SUBSIDIO!$L$84*SUBSIDIO!$W$84)+(SUBSIDIO!$N$84*SUBSIDIO!$X$84))*(0.04)/(1-0.04)</f>
        <v>313.78744319999998</v>
      </c>
      <c r="AD84" s="64">
        <f>(SUBSIDIO!$J$84*SUBSIDIO!$Y$84)*(0.02)/(1-0.02)</f>
        <v>0</v>
      </c>
      <c r="AE84" s="64">
        <f ca="1">((SUBSIDIO!$L$84*SUBSIDIO!$Z$84)+(SUBSIDIO!$N$84*SUBSIDIO!$AA$84))*(0.02)/(1-0.02)</f>
        <v>201.05571175898689</v>
      </c>
      <c r="AF84" s="3" t="s">
        <v>752</v>
      </c>
    </row>
    <row r="85" spans="1:32" ht="11.25" customHeight="1" x14ac:dyDescent="0.25">
      <c r="A85" s="3" t="s">
        <v>21</v>
      </c>
      <c r="B85" s="3" t="s">
        <v>39</v>
      </c>
      <c r="C85" s="3" t="s">
        <v>41</v>
      </c>
      <c r="D85" s="3" t="s">
        <v>44</v>
      </c>
      <c r="E85" s="3" t="s">
        <v>52</v>
      </c>
      <c r="F85" s="3" t="s">
        <v>25</v>
      </c>
      <c r="G85" s="3" t="s">
        <v>25</v>
      </c>
      <c r="H85" s="3" t="s">
        <v>34</v>
      </c>
      <c r="I85" s="6">
        <v>44805</v>
      </c>
      <c r="J85" s="4">
        <v>0</v>
      </c>
      <c r="K85" s="64">
        <v>0</v>
      </c>
      <c r="L85" s="4">
        <v>3.6779999999999999</v>
      </c>
      <c r="M85" s="64">
        <v>3.6779999999999999</v>
      </c>
      <c r="N85" s="4">
        <v>3.6779999999999999</v>
      </c>
      <c r="O85" s="64">
        <v>3.6779999999999999</v>
      </c>
      <c r="P85" s="4">
        <v>0</v>
      </c>
      <c r="Q85" s="3" t="s">
        <v>26</v>
      </c>
      <c r="R85" s="3">
        <v>0</v>
      </c>
      <c r="S85" s="3">
        <v>0</v>
      </c>
      <c r="T85" s="3">
        <v>11</v>
      </c>
      <c r="U85" s="3">
        <v>71</v>
      </c>
      <c r="V85" s="64">
        <f>IF(ISERROR(VLOOKUP($S$85,'TAR FIN'!$A$1:$O$92,15,0)),0,VLOOKUP($S$85,'TAR FIN'!$A$1:$O$92,15,0))</f>
        <v>0</v>
      </c>
      <c r="W85" s="64">
        <f>IF(ISERROR(VLOOKUP($T$85,'TAR FIN'!$A$1:$O$92,15,0)),0,VLOOKUP($T$85,'TAR FIN'!$A$1:$O$92,15,0))*(1-0.04)</f>
        <v>1109.2895999999998</v>
      </c>
      <c r="X85" s="64">
        <f>IF(ISERROR(VLOOKUP($U$85,'TAR FIN'!$A$1:$O$92,15,0)),0,VLOOKUP($U$85,'TAR FIN'!$A$1:$O$92,15,0))*(1-0.04)</f>
        <v>416.41919999999999</v>
      </c>
      <c r="Y85" s="64"/>
      <c r="Z85" s="64">
        <f ca="1">('TUSD BE'!$AM$11+'TUSD BF'!$AM$11+'TUSD CVA'!$AM$11)*1*(1-0.02)</f>
        <v>1463.9061467887163</v>
      </c>
      <c r="AA85" s="64">
        <f>('TE BE'!$AB$5+'TE BF'!$AB$5+'TE CVA'!$AB$5)*1*(1-0.02)</f>
        <v>531.98726410884376</v>
      </c>
      <c r="AB85" s="64">
        <f>(SUBSIDIO!$J$85*SUBSIDIO!$V$85)*(0.04)/(1-0.04)</f>
        <v>0</v>
      </c>
      <c r="AC85" s="64">
        <f>((SUBSIDIO!$L$85*SUBSIDIO!$W$85)+(SUBSIDIO!$N$85*SUBSIDIO!$X$85))*(0.04)/(1-0.04)</f>
        <v>233.8148736</v>
      </c>
      <c r="AD85" s="64">
        <f>(SUBSIDIO!$J$85*SUBSIDIO!$Y$85)*(0.02)/(1-0.02)</f>
        <v>0</v>
      </c>
      <c r="AE85" s="64">
        <f ca="1">((SUBSIDIO!$L$85*SUBSIDIO!$Z$85)+(SUBSIDIO!$N$85*SUBSIDIO!$AA$85))*(0.02)/(1-0.02)</f>
        <v>149.81420337308626</v>
      </c>
      <c r="AF85" s="3" t="s">
        <v>752</v>
      </c>
    </row>
    <row r="86" spans="1:32" ht="11.25" customHeight="1" x14ac:dyDescent="0.25">
      <c r="A86" s="3" t="s">
        <v>55</v>
      </c>
      <c r="B86" s="3" t="s">
        <v>39</v>
      </c>
      <c r="C86" s="3" t="s">
        <v>41</v>
      </c>
      <c r="D86" s="3" t="s">
        <v>44</v>
      </c>
      <c r="E86" s="3" t="s">
        <v>52</v>
      </c>
      <c r="F86" s="3" t="s">
        <v>25</v>
      </c>
      <c r="G86" s="3" t="s">
        <v>25</v>
      </c>
      <c r="H86" s="3" t="s">
        <v>34</v>
      </c>
      <c r="I86" s="6">
        <v>44835</v>
      </c>
      <c r="J86" s="4">
        <v>0</v>
      </c>
      <c r="K86" s="64">
        <v>0</v>
      </c>
      <c r="L86" s="4">
        <v>3.6779999999999999</v>
      </c>
      <c r="M86" s="64">
        <v>3.6779999999999999</v>
      </c>
      <c r="N86" s="4">
        <v>3.6779999999999999</v>
      </c>
      <c r="O86" s="64">
        <v>3.6779999999999999</v>
      </c>
      <c r="P86" s="4">
        <v>0</v>
      </c>
      <c r="Q86" s="3" t="s">
        <v>26</v>
      </c>
      <c r="R86" s="3">
        <v>0</v>
      </c>
      <c r="S86" s="3">
        <v>0</v>
      </c>
      <c r="T86" s="3">
        <v>11</v>
      </c>
      <c r="U86" s="3">
        <v>71</v>
      </c>
      <c r="V86" s="64">
        <f>IF(ISERROR(VLOOKUP($S$86,'TAR FIN'!$A$1:$O$92,15,0)),0,VLOOKUP($S$86,'TAR FIN'!$A$1:$O$92,15,0))</f>
        <v>0</v>
      </c>
      <c r="W86" s="64">
        <f>IF(ISERROR(VLOOKUP($T$86,'TAR FIN'!$A$1:$O$92,15,0)),0,VLOOKUP($T$86,'TAR FIN'!$A$1:$O$92,15,0))*(1-0.04)</f>
        <v>1109.2895999999998</v>
      </c>
      <c r="X86" s="64">
        <f>IF(ISERROR(VLOOKUP($U$86,'TAR FIN'!$A$1:$O$92,15,0)),0,VLOOKUP($U$86,'TAR FIN'!$A$1:$O$92,15,0))*(1-0.04)</f>
        <v>416.41919999999999</v>
      </c>
      <c r="Y86" s="64"/>
      <c r="Z86" s="64">
        <f ca="1">('TUSD BE'!$AM$11+'TUSD BF'!$AM$11+'TUSD CVA'!$AM$11)*1*(1-0.02)</f>
        <v>1463.9061467887163</v>
      </c>
      <c r="AA86" s="64">
        <f>('TE BE'!$AB$5+'TE BF'!$AB$5+'TE CVA'!$AB$5)*1*(1-0.02)</f>
        <v>531.98726410884376</v>
      </c>
      <c r="AB86" s="64">
        <f>(SUBSIDIO!$J$86*SUBSIDIO!$V$86)*(0.04)/(1-0.04)</f>
        <v>0</v>
      </c>
      <c r="AC86" s="64">
        <f>((SUBSIDIO!$L$86*SUBSIDIO!$W$86)+(SUBSIDIO!$N$86*SUBSIDIO!$X$86))*(0.04)/(1-0.04)</f>
        <v>233.8148736</v>
      </c>
      <c r="AD86" s="64">
        <f>(SUBSIDIO!$J$86*SUBSIDIO!$Y$86)*(0.02)/(1-0.02)</f>
        <v>0</v>
      </c>
      <c r="AE86" s="64">
        <f ca="1">((SUBSIDIO!$L$86*SUBSIDIO!$Z$86)+(SUBSIDIO!$N$86*SUBSIDIO!$AA$86))*(0.02)/(1-0.02)</f>
        <v>149.81420337308626</v>
      </c>
      <c r="AF86" s="3" t="s">
        <v>752</v>
      </c>
    </row>
    <row r="87" spans="1:32" ht="11.25" customHeight="1" x14ac:dyDescent="0.25">
      <c r="A87" s="3" t="s">
        <v>21</v>
      </c>
      <c r="B87" s="3" t="s">
        <v>39</v>
      </c>
      <c r="C87" s="3" t="s">
        <v>41</v>
      </c>
      <c r="D87" s="3" t="s">
        <v>44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44501</v>
      </c>
      <c r="J87" s="4">
        <v>0</v>
      </c>
      <c r="K87" s="64">
        <v>0</v>
      </c>
      <c r="L87" s="4">
        <v>362.14699999999999</v>
      </c>
      <c r="M87" s="64">
        <v>362.14699999999999</v>
      </c>
      <c r="N87" s="4">
        <v>362.14699999999999</v>
      </c>
      <c r="O87" s="64">
        <v>362.14699999999999</v>
      </c>
      <c r="P87" s="4">
        <v>0</v>
      </c>
      <c r="Q87" s="3" t="s">
        <v>26</v>
      </c>
      <c r="R87" s="3">
        <v>0</v>
      </c>
      <c r="S87" s="3">
        <v>0</v>
      </c>
      <c r="T87" s="3">
        <v>31</v>
      </c>
      <c r="U87" s="3">
        <v>59</v>
      </c>
      <c r="V87" s="64">
        <f>IF(ISERROR(VLOOKUP($S$87,'TAR FIN'!$A$1:$O$92,15,0)),0,VLOOKUP($S$87,'TAR FIN'!$A$1:$O$92,15,0))</f>
        <v>0</v>
      </c>
      <c r="W87" s="64">
        <f>IF(ISERROR(VLOOKUP($T$87,'TAR FIN'!$A$1:$O$92,15,0)),0,VLOOKUP($T$87,'TAR FIN'!$A$1:$O$92,15,0))*(1-0.04)</f>
        <v>84.220799999999997</v>
      </c>
      <c r="X87" s="64">
        <f>IF(ISERROR(VLOOKUP($U$87,'TAR FIN'!$A$1:$O$92,15,0)),0,VLOOKUP($U$87,'TAR FIN'!$A$1:$O$92,15,0))*(1-0.04)</f>
        <v>243.744</v>
      </c>
      <c r="Y87" s="64"/>
      <c r="Z87" s="64">
        <f ca="1">('TUSD BE'!$AM$12+'TUSD BF'!$AM$12+'TUSD CVA'!$AM$12)*1*(1-0.02)</f>
        <v>107.25312546797767</v>
      </c>
      <c r="AA87" s="64">
        <f>('TE BE'!$AB$6+'TE BF'!$AB$6+'TE CVA'!$AB$6)*1*(1-0.02)</f>
        <v>311.0397022624511</v>
      </c>
      <c r="AB87" s="64">
        <f>(SUBSIDIO!$J$87*SUBSIDIO!$V$87)*(0.04)/(1-0.04)</f>
        <v>0</v>
      </c>
      <c r="AC87" s="64">
        <f>((SUBSIDIO!$L$87*SUBSIDIO!$W$87)+(SUBSIDIO!$N$87*SUBSIDIO!$X$87))*(0.04)/(1-0.04)</f>
        <v>4948.8111844000005</v>
      </c>
      <c r="AD87" s="64">
        <f>(SUBSIDIO!$J$87*SUBSIDIO!$Y$87)*(0.02)/(1-0.02)</f>
        <v>0</v>
      </c>
      <c r="AE87" s="64">
        <f ca="1">((SUBSIDIO!$L$87*SUBSIDIO!$Z$87)+(SUBSIDIO!$N$87*SUBSIDIO!$AA$87))*(0.02)/(1-0.02)</f>
        <v>3091.4998506957468</v>
      </c>
      <c r="AF87" s="3" t="s">
        <v>752</v>
      </c>
    </row>
    <row r="88" spans="1:32" ht="11.25" customHeight="1" x14ac:dyDescent="0.25">
      <c r="A88" s="3" t="s">
        <v>21</v>
      </c>
      <c r="B88" s="3" t="s">
        <v>39</v>
      </c>
      <c r="C88" s="3" t="s">
        <v>41</v>
      </c>
      <c r="D88" s="3" t="s">
        <v>44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44531</v>
      </c>
      <c r="J88" s="4">
        <v>0</v>
      </c>
      <c r="K88" s="64">
        <v>0</v>
      </c>
      <c r="L88" s="4">
        <v>496.774</v>
      </c>
      <c r="M88" s="64">
        <v>496.774</v>
      </c>
      <c r="N88" s="4">
        <v>496.774</v>
      </c>
      <c r="O88" s="64">
        <v>496.774</v>
      </c>
      <c r="P88" s="4">
        <v>0</v>
      </c>
      <c r="Q88" s="3" t="s">
        <v>26</v>
      </c>
      <c r="R88" s="3">
        <v>0</v>
      </c>
      <c r="S88" s="3">
        <v>0</v>
      </c>
      <c r="T88" s="3">
        <v>31</v>
      </c>
      <c r="U88" s="3">
        <v>59</v>
      </c>
      <c r="V88" s="64">
        <f>IF(ISERROR(VLOOKUP($S$88,'TAR FIN'!$A$1:$O$92,15,0)),0,VLOOKUP($S$88,'TAR FIN'!$A$1:$O$92,15,0))</f>
        <v>0</v>
      </c>
      <c r="W88" s="64">
        <f>IF(ISERROR(VLOOKUP($T$88,'TAR FIN'!$A$1:$O$92,15,0)),0,VLOOKUP($T$88,'TAR FIN'!$A$1:$O$92,15,0))*(1-0.04)</f>
        <v>84.220799999999997</v>
      </c>
      <c r="X88" s="64">
        <f>IF(ISERROR(VLOOKUP($U$88,'TAR FIN'!$A$1:$O$92,15,0)),0,VLOOKUP($U$88,'TAR FIN'!$A$1:$O$92,15,0))*(1-0.04)</f>
        <v>243.744</v>
      </c>
      <c r="Y88" s="64"/>
      <c r="Z88" s="64">
        <f ca="1">('TUSD BE'!$AM$12+'TUSD BF'!$AM$12+'TUSD CVA'!$AM$12)*1*(1-0.02)</f>
        <v>107.25312546797767</v>
      </c>
      <c r="AA88" s="64">
        <f>('TE BE'!$AB$6+'TE BF'!$AB$6+'TE CVA'!$AB$6)*1*(1-0.02)</f>
        <v>311.0397022624511</v>
      </c>
      <c r="AB88" s="64">
        <f>(SUBSIDIO!$J$88*SUBSIDIO!$V$88)*(0.04)/(1-0.04)</f>
        <v>0</v>
      </c>
      <c r="AC88" s="64">
        <f>((SUBSIDIO!$L$88*SUBSIDIO!$W$88)+(SUBSIDIO!$N$88*SUBSIDIO!$X$88))*(0.04)/(1-0.04)</f>
        <v>6788.5160648000001</v>
      </c>
      <c r="AD88" s="64">
        <f>(SUBSIDIO!$J$88*SUBSIDIO!$Y$88)*(0.02)/(1-0.02)</f>
        <v>0</v>
      </c>
      <c r="AE88" s="64">
        <f ca="1">((SUBSIDIO!$L$88*SUBSIDIO!$Z$88)+(SUBSIDIO!$N$88*SUBSIDIO!$AA$88))*(0.02)/(1-0.02)</f>
        <v>4240.7551265909387</v>
      </c>
      <c r="AF88" s="3" t="s">
        <v>752</v>
      </c>
    </row>
    <row r="89" spans="1:32" ht="11.25" customHeight="1" x14ac:dyDescent="0.25">
      <c r="A89" s="3" t="s">
        <v>21</v>
      </c>
      <c r="B89" s="3" t="s">
        <v>39</v>
      </c>
      <c r="C89" s="3" t="s">
        <v>41</v>
      </c>
      <c r="D89" s="3" t="s">
        <v>44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44562</v>
      </c>
      <c r="J89" s="4">
        <v>0</v>
      </c>
      <c r="K89" s="64">
        <v>0</v>
      </c>
      <c r="L89" s="4">
        <v>838.00699999999995</v>
      </c>
      <c r="M89" s="64">
        <v>838.00699999999995</v>
      </c>
      <c r="N89" s="4">
        <v>838.00699999999995</v>
      </c>
      <c r="O89" s="64">
        <v>838.00699999999995</v>
      </c>
      <c r="P89" s="4">
        <v>0</v>
      </c>
      <c r="Q89" s="3" t="s">
        <v>26</v>
      </c>
      <c r="R89" s="3">
        <v>0</v>
      </c>
      <c r="S89" s="3">
        <v>0</v>
      </c>
      <c r="T89" s="3">
        <v>31</v>
      </c>
      <c r="U89" s="3">
        <v>59</v>
      </c>
      <c r="V89" s="64">
        <f>IF(ISERROR(VLOOKUP($S$89,'TAR FIN'!$A$1:$O$92,15,0)),0,VLOOKUP($S$89,'TAR FIN'!$A$1:$O$92,15,0))</f>
        <v>0</v>
      </c>
      <c r="W89" s="64">
        <f>IF(ISERROR(VLOOKUP($T$89,'TAR FIN'!$A$1:$O$92,15,0)),0,VLOOKUP($T$89,'TAR FIN'!$A$1:$O$92,15,0))*(1-0.04)</f>
        <v>84.220799999999997</v>
      </c>
      <c r="X89" s="64">
        <f>IF(ISERROR(VLOOKUP($U$89,'TAR FIN'!$A$1:$O$92,15,0)),0,VLOOKUP($U$89,'TAR FIN'!$A$1:$O$92,15,0))*(1-0.04)</f>
        <v>243.744</v>
      </c>
      <c r="Y89" s="64"/>
      <c r="Z89" s="64">
        <f ca="1">('TUSD BE'!$AM$12+'TUSD BF'!$AM$12+'TUSD CVA'!$AM$12)*1*(1-0.02)</f>
        <v>107.25312546797767</v>
      </c>
      <c r="AA89" s="64">
        <f>('TE BE'!$AB$6+'TE BF'!$AB$6+'TE CVA'!$AB$6)*1*(1-0.02)</f>
        <v>311.0397022624511</v>
      </c>
      <c r="AB89" s="64">
        <f>(SUBSIDIO!$J$89*SUBSIDIO!$V$89)*(0.04)/(1-0.04)</f>
        <v>0</v>
      </c>
      <c r="AC89" s="64">
        <f>((SUBSIDIO!$L$89*SUBSIDIO!$W$89)+(SUBSIDIO!$N$89*SUBSIDIO!$X$89))*(0.04)/(1-0.04)</f>
        <v>11451.533256399998</v>
      </c>
      <c r="AD89" s="64">
        <f>(SUBSIDIO!$J$89*SUBSIDIO!$Y$89)*(0.02)/(1-0.02)</f>
        <v>0</v>
      </c>
      <c r="AE89" s="64">
        <f ca="1">((SUBSIDIO!$L$89*SUBSIDIO!$Z$89)+(SUBSIDIO!$N$89*SUBSIDIO!$AA$89))*(0.02)/(1-0.02)</f>
        <v>7153.720769140682</v>
      </c>
      <c r="AF89" s="3" t="s">
        <v>752</v>
      </c>
    </row>
    <row r="90" spans="1:32" ht="11.25" customHeight="1" x14ac:dyDescent="0.25">
      <c r="A90" s="3" t="s">
        <v>21</v>
      </c>
      <c r="B90" s="3" t="s">
        <v>39</v>
      </c>
      <c r="C90" s="3" t="s">
        <v>41</v>
      </c>
      <c r="D90" s="3" t="s">
        <v>44</v>
      </c>
      <c r="E90" s="3" t="s">
        <v>25</v>
      </c>
      <c r="F90" s="3" t="s">
        <v>25</v>
      </c>
      <c r="G90" s="3" t="s">
        <v>25</v>
      </c>
      <c r="H90" s="3" t="s">
        <v>35</v>
      </c>
      <c r="I90" s="6">
        <v>44593</v>
      </c>
      <c r="J90" s="4">
        <v>0</v>
      </c>
      <c r="K90" s="64">
        <v>0</v>
      </c>
      <c r="L90" s="4">
        <v>546.04499999999996</v>
      </c>
      <c r="M90" s="64">
        <v>546.04499999999996</v>
      </c>
      <c r="N90" s="4">
        <v>546.04499999999996</v>
      </c>
      <c r="O90" s="64">
        <v>546.04499999999996</v>
      </c>
      <c r="P90" s="4">
        <v>0</v>
      </c>
      <c r="Q90" s="3" t="s">
        <v>26</v>
      </c>
      <c r="R90" s="3">
        <v>0</v>
      </c>
      <c r="S90" s="3">
        <v>0</v>
      </c>
      <c r="T90" s="3">
        <v>31</v>
      </c>
      <c r="U90" s="3">
        <v>59</v>
      </c>
      <c r="V90" s="64">
        <f>IF(ISERROR(VLOOKUP($S$90,'TAR FIN'!$A$1:$O$92,15,0)),0,VLOOKUP($S$90,'TAR FIN'!$A$1:$O$92,15,0))</f>
        <v>0</v>
      </c>
      <c r="W90" s="64">
        <f>IF(ISERROR(VLOOKUP($T$90,'TAR FIN'!$A$1:$O$92,15,0)),0,VLOOKUP($T$90,'TAR FIN'!$A$1:$O$92,15,0))*(1-0.04)</f>
        <v>84.220799999999997</v>
      </c>
      <c r="X90" s="64">
        <f>IF(ISERROR(VLOOKUP($U$90,'TAR FIN'!$A$1:$O$92,15,0)),0,VLOOKUP($U$90,'TAR FIN'!$A$1:$O$92,15,0))*(1-0.04)</f>
        <v>243.744</v>
      </c>
      <c r="Y90" s="64"/>
      <c r="Z90" s="64">
        <f ca="1">('TUSD BE'!$AM$12+'TUSD BF'!$AM$12+'TUSD CVA'!$AM$12)*1*(1-0.02)</f>
        <v>107.25312546797767</v>
      </c>
      <c r="AA90" s="64">
        <f>('TE BE'!$AB$6+'TE BF'!$AB$6+'TE CVA'!$AB$6)*1*(1-0.02)</f>
        <v>311.0397022624511</v>
      </c>
      <c r="AB90" s="64">
        <f>(SUBSIDIO!$J$90*SUBSIDIO!$V$90)*(0.04)/(1-0.04)</f>
        <v>0</v>
      </c>
      <c r="AC90" s="64">
        <f>((SUBSIDIO!$L$90*SUBSIDIO!$W$90)+(SUBSIDIO!$N$90*SUBSIDIO!$X$90))*(0.04)/(1-0.04)</f>
        <v>7461.8141340000002</v>
      </c>
      <c r="AD90" s="64">
        <f>(SUBSIDIO!$J$90*SUBSIDIO!$Y$90)*(0.02)/(1-0.02)</f>
        <v>0</v>
      </c>
      <c r="AE90" s="64">
        <f ca="1">((SUBSIDIO!$L$90*SUBSIDIO!$Z$90)+(SUBSIDIO!$N$90*SUBSIDIO!$AA$90))*(0.02)/(1-0.02)</f>
        <v>4661.3613697563669</v>
      </c>
      <c r="AF90" s="3" t="s">
        <v>752</v>
      </c>
    </row>
    <row r="91" spans="1:32" ht="11.25" customHeight="1" x14ac:dyDescent="0.25">
      <c r="A91" s="3" t="s">
        <v>21</v>
      </c>
      <c r="B91" s="3" t="s">
        <v>39</v>
      </c>
      <c r="C91" s="3" t="s">
        <v>41</v>
      </c>
      <c r="D91" s="3" t="s">
        <v>44</v>
      </c>
      <c r="E91" s="3" t="s">
        <v>25</v>
      </c>
      <c r="F91" s="3" t="s">
        <v>25</v>
      </c>
      <c r="G91" s="3" t="s">
        <v>25</v>
      </c>
      <c r="H91" s="3" t="s">
        <v>35</v>
      </c>
      <c r="I91" s="6">
        <v>44621</v>
      </c>
      <c r="J91" s="4">
        <v>0</v>
      </c>
      <c r="K91" s="64">
        <v>0</v>
      </c>
      <c r="L91" s="4">
        <v>193.53800000000001</v>
      </c>
      <c r="M91" s="64">
        <v>193.53800000000001</v>
      </c>
      <c r="N91" s="4">
        <v>193.53800000000001</v>
      </c>
      <c r="O91" s="64">
        <v>193.53800000000001</v>
      </c>
      <c r="P91" s="4">
        <v>0</v>
      </c>
      <c r="Q91" s="3" t="s">
        <v>26</v>
      </c>
      <c r="R91" s="3">
        <v>0</v>
      </c>
      <c r="S91" s="3">
        <v>0</v>
      </c>
      <c r="T91" s="3">
        <v>31</v>
      </c>
      <c r="U91" s="3">
        <v>59</v>
      </c>
      <c r="V91" s="64">
        <f>IF(ISERROR(VLOOKUP($S$91,'TAR FIN'!$A$1:$O$92,15,0)),0,VLOOKUP($S$91,'TAR FIN'!$A$1:$O$92,15,0))</f>
        <v>0</v>
      </c>
      <c r="W91" s="64">
        <f>IF(ISERROR(VLOOKUP($T$91,'TAR FIN'!$A$1:$O$92,15,0)),0,VLOOKUP($T$91,'TAR FIN'!$A$1:$O$92,15,0))*(1-0.04)</f>
        <v>84.220799999999997</v>
      </c>
      <c r="X91" s="64">
        <f>IF(ISERROR(VLOOKUP($U$91,'TAR FIN'!$A$1:$O$92,15,0)),0,VLOOKUP($U$91,'TAR FIN'!$A$1:$O$92,15,0))*(1-0.04)</f>
        <v>243.744</v>
      </c>
      <c r="Y91" s="64"/>
      <c r="Z91" s="64">
        <f ca="1">('TUSD BE'!$AM$12+'TUSD BF'!$AM$12+'TUSD CVA'!$AM$12)*1*(1-0.02)</f>
        <v>107.25312546797767</v>
      </c>
      <c r="AA91" s="64">
        <f>('TE BE'!$AB$6+'TE BF'!$AB$6+'TE CVA'!$AB$6)*1*(1-0.02)</f>
        <v>311.0397022624511</v>
      </c>
      <c r="AB91" s="64">
        <f>(SUBSIDIO!$J$91*SUBSIDIO!$V$91)*(0.04)/(1-0.04)</f>
        <v>0</v>
      </c>
      <c r="AC91" s="64">
        <f>((SUBSIDIO!$L$91*SUBSIDIO!$W$91)+(SUBSIDIO!$N$91*SUBSIDIO!$X$91))*(0.04)/(1-0.04)</f>
        <v>2644.7354775999997</v>
      </c>
      <c r="AD91" s="64">
        <f>(SUBSIDIO!$J$91*SUBSIDIO!$Y$91)*(0.02)/(1-0.02)</f>
        <v>0</v>
      </c>
      <c r="AE91" s="64">
        <f ca="1">((SUBSIDIO!$L$91*SUBSIDIO!$Z$91)+(SUBSIDIO!$N$91*SUBSIDIO!$AA$91))*(0.02)/(1-0.02)</f>
        <v>1652.1542304753414</v>
      </c>
      <c r="AF91" s="3" t="s">
        <v>752</v>
      </c>
    </row>
    <row r="92" spans="1:32" ht="11.25" customHeight="1" x14ac:dyDescent="0.25">
      <c r="A92" s="3" t="s">
        <v>21</v>
      </c>
      <c r="B92" s="3" t="s">
        <v>39</v>
      </c>
      <c r="C92" s="3" t="s">
        <v>41</v>
      </c>
      <c r="D92" s="3" t="s">
        <v>44</v>
      </c>
      <c r="E92" s="3" t="s">
        <v>25</v>
      </c>
      <c r="F92" s="3" t="s">
        <v>25</v>
      </c>
      <c r="G92" s="3" t="s">
        <v>25</v>
      </c>
      <c r="H92" s="3" t="s">
        <v>35</v>
      </c>
      <c r="I92" s="6">
        <v>44652</v>
      </c>
      <c r="J92" s="4">
        <v>0</v>
      </c>
      <c r="K92" s="64">
        <v>0</v>
      </c>
      <c r="L92" s="4">
        <v>193.53800000000001</v>
      </c>
      <c r="M92" s="64">
        <v>193.53800000000001</v>
      </c>
      <c r="N92" s="4">
        <v>193.53800000000001</v>
      </c>
      <c r="O92" s="64">
        <v>193.53800000000001</v>
      </c>
      <c r="P92" s="4">
        <v>0</v>
      </c>
      <c r="Q92" s="3" t="s">
        <v>26</v>
      </c>
      <c r="R92" s="3">
        <v>0</v>
      </c>
      <c r="S92" s="3">
        <v>0</v>
      </c>
      <c r="T92" s="3">
        <v>31</v>
      </c>
      <c r="U92" s="3">
        <v>59</v>
      </c>
      <c r="V92" s="64">
        <f>IF(ISERROR(VLOOKUP($S$92,'TAR FIN'!$A$1:$O$92,15,0)),0,VLOOKUP($S$92,'TAR FIN'!$A$1:$O$92,15,0))</f>
        <v>0</v>
      </c>
      <c r="W92" s="64">
        <f>IF(ISERROR(VLOOKUP($T$92,'TAR FIN'!$A$1:$O$92,15,0)),0,VLOOKUP($T$92,'TAR FIN'!$A$1:$O$92,15,0))*(1-0.04)</f>
        <v>84.220799999999997</v>
      </c>
      <c r="X92" s="64">
        <f>IF(ISERROR(VLOOKUP($U$92,'TAR FIN'!$A$1:$O$92,15,0)),0,VLOOKUP($U$92,'TAR FIN'!$A$1:$O$92,15,0))*(1-0.04)</f>
        <v>243.744</v>
      </c>
      <c r="Y92" s="64"/>
      <c r="Z92" s="64">
        <f ca="1">('TUSD BE'!$AM$12+'TUSD BF'!$AM$12+'TUSD CVA'!$AM$12)*1*(1-0.02)</f>
        <v>107.25312546797767</v>
      </c>
      <c r="AA92" s="64">
        <f>('TE BE'!$AB$6+'TE BF'!$AB$6+'TE CVA'!$AB$6)*1*(1-0.02)</f>
        <v>311.0397022624511</v>
      </c>
      <c r="AB92" s="64">
        <f>(SUBSIDIO!$J$92*SUBSIDIO!$V$92)*(0.04)/(1-0.04)</f>
        <v>0</v>
      </c>
      <c r="AC92" s="64">
        <f>((SUBSIDIO!$L$92*SUBSIDIO!$W$92)+(SUBSIDIO!$N$92*SUBSIDIO!$X$92))*(0.04)/(1-0.04)</f>
        <v>2644.7354775999997</v>
      </c>
      <c r="AD92" s="64">
        <f>(SUBSIDIO!$J$92*SUBSIDIO!$Y$92)*(0.02)/(1-0.02)</f>
        <v>0</v>
      </c>
      <c r="AE92" s="64">
        <f ca="1">((SUBSIDIO!$L$92*SUBSIDIO!$Z$92)+(SUBSIDIO!$N$92*SUBSIDIO!$AA$92))*(0.02)/(1-0.02)</f>
        <v>1652.1542304753414</v>
      </c>
      <c r="AF92" s="3" t="s">
        <v>752</v>
      </c>
    </row>
    <row r="93" spans="1:32" ht="11.25" customHeight="1" x14ac:dyDescent="0.25">
      <c r="A93" s="3" t="s">
        <v>21</v>
      </c>
      <c r="B93" s="3" t="s">
        <v>39</v>
      </c>
      <c r="C93" s="3" t="s">
        <v>41</v>
      </c>
      <c r="D93" s="3" t="s">
        <v>44</v>
      </c>
      <c r="E93" s="3" t="s">
        <v>25</v>
      </c>
      <c r="F93" s="3" t="s">
        <v>25</v>
      </c>
      <c r="G93" s="3" t="s">
        <v>25</v>
      </c>
      <c r="H93" s="3" t="s">
        <v>35</v>
      </c>
      <c r="I93" s="6">
        <v>44682</v>
      </c>
      <c r="J93" s="4">
        <v>0</v>
      </c>
      <c r="K93" s="64">
        <v>0</v>
      </c>
      <c r="L93" s="4">
        <v>128.68899999999999</v>
      </c>
      <c r="M93" s="64">
        <v>128.68899999999999</v>
      </c>
      <c r="N93" s="4">
        <v>128.68899999999999</v>
      </c>
      <c r="O93" s="64">
        <v>128.68899999999999</v>
      </c>
      <c r="P93" s="4">
        <v>0</v>
      </c>
      <c r="Q93" s="3" t="s">
        <v>26</v>
      </c>
      <c r="R93" s="3">
        <v>0</v>
      </c>
      <c r="S93" s="3">
        <v>0</v>
      </c>
      <c r="T93" s="3">
        <v>31</v>
      </c>
      <c r="U93" s="3">
        <v>59</v>
      </c>
      <c r="V93" s="64">
        <f>IF(ISERROR(VLOOKUP($S$93,'TAR FIN'!$A$1:$O$92,15,0)),0,VLOOKUP($S$93,'TAR FIN'!$A$1:$O$92,15,0))</f>
        <v>0</v>
      </c>
      <c r="W93" s="64">
        <f>IF(ISERROR(VLOOKUP($T$93,'TAR FIN'!$A$1:$O$92,15,0)),0,VLOOKUP($T$93,'TAR FIN'!$A$1:$O$92,15,0))*(1-0.04)</f>
        <v>84.220799999999997</v>
      </c>
      <c r="X93" s="64">
        <f>IF(ISERROR(VLOOKUP($U$93,'TAR FIN'!$A$1:$O$92,15,0)),0,VLOOKUP($U$93,'TAR FIN'!$A$1:$O$92,15,0))*(1-0.04)</f>
        <v>243.744</v>
      </c>
      <c r="Y93" s="64"/>
      <c r="Z93" s="64">
        <f ca="1">('TUSD BE'!$AM$12+'TUSD BF'!$AM$12+'TUSD CVA'!$AM$12)*1*(1-0.02)</f>
        <v>107.25312546797767</v>
      </c>
      <c r="AA93" s="64">
        <f>('TE BE'!$AB$6+'TE BF'!$AB$6+'TE CVA'!$AB$6)*1*(1-0.02)</f>
        <v>311.0397022624511</v>
      </c>
      <c r="AB93" s="64">
        <f>(SUBSIDIO!$J$93*SUBSIDIO!$V$93)*(0.04)/(1-0.04)</f>
        <v>0</v>
      </c>
      <c r="AC93" s="64">
        <f>((SUBSIDIO!$L$93*SUBSIDIO!$W$93)+(SUBSIDIO!$N$93*SUBSIDIO!$X$93))*(0.04)/(1-0.04)</f>
        <v>1758.5609228000001</v>
      </c>
      <c r="AD93" s="64">
        <f>(SUBSIDIO!$J$93*SUBSIDIO!$Y$93)*(0.02)/(1-0.02)</f>
        <v>0</v>
      </c>
      <c r="AE93" s="64">
        <f ca="1">((SUBSIDIO!$L$93*SUBSIDIO!$Z$93)+(SUBSIDIO!$N$93*SUBSIDIO!$AA$93))*(0.02)/(1-0.02)</f>
        <v>1098.5650144449214</v>
      </c>
      <c r="AF93" s="3" t="s">
        <v>752</v>
      </c>
    </row>
    <row r="94" spans="1:32" ht="11.25" customHeight="1" x14ac:dyDescent="0.25">
      <c r="A94" s="3" t="s">
        <v>28</v>
      </c>
      <c r="B94" s="3" t="s">
        <v>39</v>
      </c>
      <c r="C94" s="3" t="s">
        <v>41</v>
      </c>
      <c r="D94" s="3" t="s">
        <v>44</v>
      </c>
      <c r="E94" s="3" t="s">
        <v>25</v>
      </c>
      <c r="F94" s="3" t="s">
        <v>25</v>
      </c>
      <c r="G94" s="3" t="s">
        <v>25</v>
      </c>
      <c r="H94" s="3" t="s">
        <v>35</v>
      </c>
      <c r="I94" s="6">
        <v>44682</v>
      </c>
      <c r="J94" s="4">
        <v>0</v>
      </c>
      <c r="K94" s="64">
        <v>0</v>
      </c>
      <c r="L94" s="4">
        <v>188.392</v>
      </c>
      <c r="M94" s="64">
        <v>188.392</v>
      </c>
      <c r="N94" s="4">
        <v>188.392</v>
      </c>
      <c r="O94" s="64">
        <v>188.392</v>
      </c>
      <c r="P94" s="4">
        <v>0</v>
      </c>
      <c r="Q94" s="3" t="s">
        <v>26</v>
      </c>
      <c r="R94" s="3">
        <v>0</v>
      </c>
      <c r="S94" s="3">
        <v>0</v>
      </c>
      <c r="T94" s="3">
        <v>31</v>
      </c>
      <c r="U94" s="3">
        <v>59</v>
      </c>
      <c r="V94" s="64">
        <f>IF(ISERROR(VLOOKUP($S$94,'TAR FIN'!$A$1:$O$92,15,0)),0,VLOOKUP($S$94,'TAR FIN'!$A$1:$O$92,15,0))</f>
        <v>0</v>
      </c>
      <c r="W94" s="64">
        <f>IF(ISERROR(VLOOKUP($T$94,'TAR FIN'!$A$1:$O$92,15,0)),0,VLOOKUP($T$94,'TAR FIN'!$A$1:$O$92,15,0))*(1-0.04)</f>
        <v>84.220799999999997</v>
      </c>
      <c r="X94" s="64">
        <f>IF(ISERROR(VLOOKUP($U$94,'TAR FIN'!$A$1:$O$92,15,0)),0,VLOOKUP($U$94,'TAR FIN'!$A$1:$O$92,15,0))*(1-0.04)</f>
        <v>243.744</v>
      </c>
      <c r="Y94" s="64"/>
      <c r="Z94" s="64">
        <f ca="1">('TUSD BE'!$AM$12+'TUSD BF'!$AM$12+'TUSD CVA'!$AM$12)*1*(1-0.02)</f>
        <v>107.25312546797767</v>
      </c>
      <c r="AA94" s="64">
        <f>('TE BE'!$AB$6+'TE BF'!$AB$6+'TE CVA'!$AB$6)*1*(1-0.02)</f>
        <v>311.0397022624511</v>
      </c>
      <c r="AB94" s="64">
        <f>(SUBSIDIO!$J$94*SUBSIDIO!$V$94)*(0.04)/(1-0.04)</f>
        <v>0</v>
      </c>
      <c r="AC94" s="64">
        <f>((SUBSIDIO!$L$94*SUBSIDIO!$W$94)+(SUBSIDIO!$N$94*SUBSIDIO!$X$94))*(0.04)/(1-0.04)</f>
        <v>2574.4143583999999</v>
      </c>
      <c r="AD94" s="64">
        <f>(SUBSIDIO!$J$94*SUBSIDIO!$Y$94)*(0.02)/(1-0.02)</f>
        <v>0</v>
      </c>
      <c r="AE94" s="64">
        <f ca="1">((SUBSIDIO!$L$94*SUBSIDIO!$Z$94)+(SUBSIDIO!$N$94*SUBSIDIO!$AA$94))*(0.02)/(1-0.02)</f>
        <v>1608.2249469753253</v>
      </c>
      <c r="AF94" s="3" t="s">
        <v>752</v>
      </c>
    </row>
    <row r="95" spans="1:32" ht="11.25" customHeight="1" x14ac:dyDescent="0.25">
      <c r="A95" s="3" t="s">
        <v>21</v>
      </c>
      <c r="B95" s="3" t="s">
        <v>39</v>
      </c>
      <c r="C95" s="3" t="s">
        <v>41</v>
      </c>
      <c r="D95" s="3" t="s">
        <v>44</v>
      </c>
      <c r="E95" s="3" t="s">
        <v>25</v>
      </c>
      <c r="F95" s="3" t="s">
        <v>25</v>
      </c>
      <c r="G95" s="3" t="s">
        <v>25</v>
      </c>
      <c r="H95" s="3" t="s">
        <v>35</v>
      </c>
      <c r="I95" s="6">
        <v>44713</v>
      </c>
      <c r="J95" s="4">
        <v>0</v>
      </c>
      <c r="K95" s="64">
        <v>0</v>
      </c>
      <c r="L95" s="4">
        <v>116.25</v>
      </c>
      <c r="M95" s="64">
        <v>116.25</v>
      </c>
      <c r="N95" s="4">
        <v>116.25</v>
      </c>
      <c r="O95" s="64">
        <v>116.25</v>
      </c>
      <c r="P95" s="4">
        <v>0</v>
      </c>
      <c r="Q95" s="3" t="s">
        <v>26</v>
      </c>
      <c r="R95" s="3">
        <v>0</v>
      </c>
      <c r="S95" s="3">
        <v>0</v>
      </c>
      <c r="T95" s="3">
        <v>31</v>
      </c>
      <c r="U95" s="3">
        <v>59</v>
      </c>
      <c r="V95" s="64">
        <f>IF(ISERROR(VLOOKUP($S$95,'TAR FIN'!$A$1:$O$92,15,0)),0,VLOOKUP($S$95,'TAR FIN'!$A$1:$O$92,15,0))</f>
        <v>0</v>
      </c>
      <c r="W95" s="64">
        <f>IF(ISERROR(VLOOKUP($T$95,'TAR FIN'!$A$1:$O$92,15,0)),0,VLOOKUP($T$95,'TAR FIN'!$A$1:$O$92,15,0))*(1-0.04)</f>
        <v>84.220799999999997</v>
      </c>
      <c r="X95" s="64">
        <f>IF(ISERROR(VLOOKUP($U$95,'TAR FIN'!$A$1:$O$92,15,0)),0,VLOOKUP($U$95,'TAR FIN'!$A$1:$O$92,15,0))*(1-0.04)</f>
        <v>243.744</v>
      </c>
      <c r="Y95" s="64"/>
      <c r="Z95" s="64">
        <f ca="1">('TUSD BE'!$AM$12+'TUSD BF'!$AM$12+'TUSD CVA'!$AM$12)*1*(1-0.02)</f>
        <v>107.25312546797767</v>
      </c>
      <c r="AA95" s="64">
        <f>('TE BE'!$AB$6+'TE BF'!$AB$6+'TE CVA'!$AB$6)*1*(1-0.02)</f>
        <v>311.0397022624511</v>
      </c>
      <c r="AB95" s="64">
        <f>(SUBSIDIO!$J$95*SUBSIDIO!$V$95)*(0.04)/(1-0.04)</f>
        <v>0</v>
      </c>
      <c r="AC95" s="64">
        <f>((SUBSIDIO!$L$95*SUBSIDIO!$W$95)+(SUBSIDIO!$N$95*SUBSIDIO!$X$95))*(0.04)/(1-0.04)</f>
        <v>1588.5795000000003</v>
      </c>
      <c r="AD95" s="64">
        <f>(SUBSIDIO!$J$95*SUBSIDIO!$Y$95)*(0.02)/(1-0.02)</f>
        <v>0</v>
      </c>
      <c r="AE95" s="64">
        <f ca="1">((SUBSIDIO!$L$95*SUBSIDIO!$Z$95)+(SUBSIDIO!$N$95*SUBSIDIO!$AA$95))*(0.02)/(1-0.02)</f>
        <v>992.3783923196396</v>
      </c>
      <c r="AF95" s="3" t="s">
        <v>752</v>
      </c>
    </row>
    <row r="96" spans="1:32" ht="11.25" customHeight="1" x14ac:dyDescent="0.25">
      <c r="A96" s="3" t="s">
        <v>28</v>
      </c>
      <c r="B96" s="3" t="s">
        <v>39</v>
      </c>
      <c r="C96" s="3" t="s">
        <v>41</v>
      </c>
      <c r="D96" s="3" t="s">
        <v>44</v>
      </c>
      <c r="E96" s="3" t="s">
        <v>25</v>
      </c>
      <c r="F96" s="3" t="s">
        <v>25</v>
      </c>
      <c r="G96" s="3" t="s">
        <v>25</v>
      </c>
      <c r="H96" s="3" t="s">
        <v>35</v>
      </c>
      <c r="I96" s="6">
        <v>44713</v>
      </c>
      <c r="J96" s="4">
        <v>0</v>
      </c>
      <c r="K96" s="64">
        <v>0</v>
      </c>
      <c r="L96" s="4">
        <v>45.506999999999998</v>
      </c>
      <c r="M96" s="64">
        <v>45.506999999999998</v>
      </c>
      <c r="N96" s="4">
        <v>45.506999999999998</v>
      </c>
      <c r="O96" s="64">
        <v>45.506999999999998</v>
      </c>
      <c r="P96" s="4">
        <v>0</v>
      </c>
      <c r="Q96" s="3" t="s">
        <v>26</v>
      </c>
      <c r="R96" s="3">
        <v>0</v>
      </c>
      <c r="S96" s="3">
        <v>0</v>
      </c>
      <c r="T96" s="3">
        <v>31</v>
      </c>
      <c r="U96" s="3">
        <v>59</v>
      </c>
      <c r="V96" s="64">
        <f>IF(ISERROR(VLOOKUP($S$96,'TAR FIN'!$A$1:$O$92,15,0)),0,VLOOKUP($S$96,'TAR FIN'!$A$1:$O$92,15,0))</f>
        <v>0</v>
      </c>
      <c r="W96" s="64">
        <f>IF(ISERROR(VLOOKUP($T$96,'TAR FIN'!$A$1:$O$92,15,0)),0,VLOOKUP($T$96,'TAR FIN'!$A$1:$O$92,15,0))*(1-0.04)</f>
        <v>84.220799999999997</v>
      </c>
      <c r="X96" s="64">
        <f>IF(ISERROR(VLOOKUP($U$96,'TAR FIN'!$A$1:$O$92,15,0)),0,VLOOKUP($U$96,'TAR FIN'!$A$1:$O$92,15,0))*(1-0.04)</f>
        <v>243.744</v>
      </c>
      <c r="Y96" s="64"/>
      <c r="Z96" s="64">
        <f ca="1">('TUSD BE'!$AM$12+'TUSD BF'!$AM$12+'TUSD CVA'!$AM$12)*1*(1-0.02)</f>
        <v>107.25312546797767</v>
      </c>
      <c r="AA96" s="64">
        <f>('TE BE'!$AB$6+'TE BF'!$AB$6+'TE CVA'!$AB$6)*1*(1-0.02)</f>
        <v>311.0397022624511</v>
      </c>
      <c r="AB96" s="64">
        <f>(SUBSIDIO!$J$96*SUBSIDIO!$V$96)*(0.04)/(1-0.04)</f>
        <v>0</v>
      </c>
      <c r="AC96" s="64">
        <f>((SUBSIDIO!$L$96*SUBSIDIO!$W$96)+(SUBSIDIO!$N$96*SUBSIDIO!$X$96))*(0.04)/(1-0.04)</f>
        <v>621.86225640000009</v>
      </c>
      <c r="AD96" s="64">
        <f>(SUBSIDIO!$J$96*SUBSIDIO!$Y$96)*(0.02)/(1-0.02)</f>
        <v>0</v>
      </c>
      <c r="AE96" s="64">
        <f ca="1">((SUBSIDIO!$L$96*SUBSIDIO!$Z$96)+(SUBSIDIO!$N$96*SUBSIDIO!$AA$96))*(0.02)/(1-0.02)</f>
        <v>388.47452472507393</v>
      </c>
      <c r="AF96" s="3" t="s">
        <v>752</v>
      </c>
    </row>
    <row r="97" spans="1:32" ht="11.25" customHeight="1" x14ac:dyDescent="0.25">
      <c r="A97" s="3" t="s">
        <v>21</v>
      </c>
      <c r="B97" s="3" t="s">
        <v>39</v>
      </c>
      <c r="C97" s="3" t="s">
        <v>41</v>
      </c>
      <c r="D97" s="3" t="s">
        <v>44</v>
      </c>
      <c r="E97" s="3" t="s">
        <v>25</v>
      </c>
      <c r="F97" s="3" t="s">
        <v>25</v>
      </c>
      <c r="G97" s="3" t="s">
        <v>25</v>
      </c>
      <c r="H97" s="3" t="s">
        <v>35</v>
      </c>
      <c r="I97" s="6">
        <v>44743</v>
      </c>
      <c r="J97" s="4">
        <v>0</v>
      </c>
      <c r="K97" s="64">
        <v>0</v>
      </c>
      <c r="L97" s="4">
        <v>141.434</v>
      </c>
      <c r="M97" s="64">
        <v>141.434</v>
      </c>
      <c r="N97" s="4">
        <v>141.434</v>
      </c>
      <c r="O97" s="64">
        <v>141.434</v>
      </c>
      <c r="P97" s="4">
        <v>0</v>
      </c>
      <c r="Q97" s="3" t="s">
        <v>26</v>
      </c>
      <c r="R97" s="3">
        <v>0</v>
      </c>
      <c r="S97" s="3">
        <v>0</v>
      </c>
      <c r="T97" s="3">
        <v>31</v>
      </c>
      <c r="U97" s="3">
        <v>59</v>
      </c>
      <c r="V97" s="64">
        <f>IF(ISERROR(VLOOKUP($S$97,'TAR FIN'!$A$1:$O$92,15,0)),0,VLOOKUP($S$97,'TAR FIN'!$A$1:$O$92,15,0))</f>
        <v>0</v>
      </c>
      <c r="W97" s="64">
        <f>IF(ISERROR(VLOOKUP($T$97,'TAR FIN'!$A$1:$O$92,15,0)),0,VLOOKUP($T$97,'TAR FIN'!$A$1:$O$92,15,0))*(1-0.04)</f>
        <v>84.220799999999997</v>
      </c>
      <c r="X97" s="64">
        <f>IF(ISERROR(VLOOKUP($U$97,'TAR FIN'!$A$1:$O$92,15,0)),0,VLOOKUP($U$97,'TAR FIN'!$A$1:$O$92,15,0))*(1-0.04)</f>
        <v>243.744</v>
      </c>
      <c r="Y97" s="64"/>
      <c r="Z97" s="64">
        <f ca="1">('TUSD BE'!$AM$12+'TUSD BF'!$AM$12+'TUSD CVA'!$AM$12)*1*(1-0.02)</f>
        <v>107.25312546797767</v>
      </c>
      <c r="AA97" s="64">
        <f>('TE BE'!$AB$6+'TE BF'!$AB$6+'TE CVA'!$AB$6)*1*(1-0.02)</f>
        <v>311.0397022624511</v>
      </c>
      <c r="AB97" s="64">
        <f>(SUBSIDIO!$J$97*SUBSIDIO!$V$97)*(0.04)/(1-0.04)</f>
        <v>0</v>
      </c>
      <c r="AC97" s="64">
        <f>((SUBSIDIO!$L$97*SUBSIDIO!$W$97)+(SUBSIDIO!$N$97*SUBSIDIO!$X$97))*(0.04)/(1-0.04)</f>
        <v>1932.7238968000001</v>
      </c>
      <c r="AD97" s="64">
        <f>(SUBSIDIO!$J$97*SUBSIDIO!$Y$97)*(0.02)/(1-0.02)</f>
        <v>0</v>
      </c>
      <c r="AE97" s="64">
        <f ca="1">((SUBSIDIO!$L$97*SUBSIDIO!$Z$97)+(SUBSIDIO!$N$97*SUBSIDIO!$AA$97))*(0.02)/(1-0.02)</f>
        <v>1207.363832596438</v>
      </c>
      <c r="AF97" s="3" t="s">
        <v>752</v>
      </c>
    </row>
    <row r="98" spans="1:32" ht="11.25" customHeight="1" x14ac:dyDescent="0.25">
      <c r="A98" s="3" t="s">
        <v>28</v>
      </c>
      <c r="B98" s="3" t="s">
        <v>39</v>
      </c>
      <c r="C98" s="3" t="s">
        <v>41</v>
      </c>
      <c r="D98" s="3" t="s">
        <v>44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44743</v>
      </c>
      <c r="J98" s="4">
        <v>0</v>
      </c>
      <c r="K98" s="64">
        <v>0</v>
      </c>
      <c r="L98" s="4">
        <v>48.308</v>
      </c>
      <c r="M98" s="64">
        <v>48.308</v>
      </c>
      <c r="N98" s="4">
        <v>48.308</v>
      </c>
      <c r="O98" s="64">
        <v>48.308</v>
      </c>
      <c r="P98" s="4">
        <v>0</v>
      </c>
      <c r="Q98" s="3" t="s">
        <v>26</v>
      </c>
      <c r="R98" s="3">
        <v>0</v>
      </c>
      <c r="S98" s="3">
        <v>0</v>
      </c>
      <c r="T98" s="3">
        <v>31</v>
      </c>
      <c r="U98" s="3">
        <v>59</v>
      </c>
      <c r="V98" s="64">
        <f>IF(ISERROR(VLOOKUP($S$98,'TAR FIN'!$A$1:$O$92,15,0)),0,VLOOKUP($S$98,'TAR FIN'!$A$1:$O$92,15,0))</f>
        <v>0</v>
      </c>
      <c r="W98" s="64">
        <f>IF(ISERROR(VLOOKUP($T$98,'TAR FIN'!$A$1:$O$92,15,0)),0,VLOOKUP($T$98,'TAR FIN'!$A$1:$O$92,15,0))*(1-0.04)</f>
        <v>84.220799999999997</v>
      </c>
      <c r="X98" s="64">
        <f>IF(ISERROR(VLOOKUP($U$98,'TAR FIN'!$A$1:$O$92,15,0)),0,VLOOKUP($U$98,'TAR FIN'!$A$1:$O$92,15,0))*(1-0.04)</f>
        <v>243.744</v>
      </c>
      <c r="Y98" s="64"/>
      <c r="Z98" s="64">
        <f ca="1">('TUSD BE'!$AM$12+'TUSD BF'!$AM$12+'TUSD CVA'!$AM$12)*1*(1-0.02)</f>
        <v>107.25312546797767</v>
      </c>
      <c r="AA98" s="64">
        <f>('TE BE'!$AB$6+'TE BF'!$AB$6+'TE CVA'!$AB$6)*1*(1-0.02)</f>
        <v>311.0397022624511</v>
      </c>
      <c r="AB98" s="64">
        <f>(SUBSIDIO!$J$98*SUBSIDIO!$V$98)*(0.04)/(1-0.04)</f>
        <v>0</v>
      </c>
      <c r="AC98" s="64">
        <f>((SUBSIDIO!$L$98*SUBSIDIO!$W$98)+(SUBSIDIO!$N$98*SUBSIDIO!$X$98))*(0.04)/(1-0.04)</f>
        <v>660.13848159999998</v>
      </c>
      <c r="AD98" s="64">
        <f>(SUBSIDIO!$J$98*SUBSIDIO!$Y$98)*(0.02)/(1-0.02)</f>
        <v>0</v>
      </c>
      <c r="AE98" s="64">
        <f ca="1">((SUBSIDIO!$L$98*SUBSIDIO!$Z$98)+(SUBSIDIO!$N$98*SUBSIDIO!$AA$98))*(0.02)/(1-0.02)</f>
        <v>412.38550861227657</v>
      </c>
      <c r="AF98" s="3" t="s">
        <v>752</v>
      </c>
    </row>
    <row r="99" spans="1:32" ht="11.25" customHeight="1" x14ac:dyDescent="0.25">
      <c r="A99" s="3" t="s">
        <v>21</v>
      </c>
      <c r="B99" s="3" t="s">
        <v>39</v>
      </c>
      <c r="C99" s="3" t="s">
        <v>41</v>
      </c>
      <c r="D99" s="3" t="s">
        <v>44</v>
      </c>
      <c r="E99" s="3" t="s">
        <v>25</v>
      </c>
      <c r="F99" s="3" t="s">
        <v>25</v>
      </c>
      <c r="G99" s="3" t="s">
        <v>25</v>
      </c>
      <c r="H99" s="3" t="s">
        <v>35</v>
      </c>
      <c r="I99" s="6">
        <v>44774</v>
      </c>
      <c r="J99" s="4">
        <v>0</v>
      </c>
      <c r="K99" s="64">
        <v>0</v>
      </c>
      <c r="L99" s="4">
        <v>138.553</v>
      </c>
      <c r="M99" s="64">
        <v>138.553</v>
      </c>
      <c r="N99" s="4">
        <v>138.553</v>
      </c>
      <c r="O99" s="64">
        <v>138.553</v>
      </c>
      <c r="P99" s="4">
        <v>0</v>
      </c>
      <c r="Q99" s="3" t="s">
        <v>26</v>
      </c>
      <c r="R99" s="3">
        <v>0</v>
      </c>
      <c r="S99" s="3">
        <v>0</v>
      </c>
      <c r="T99" s="3">
        <v>31</v>
      </c>
      <c r="U99" s="3">
        <v>59</v>
      </c>
      <c r="V99" s="64">
        <f>IF(ISERROR(VLOOKUP($S$99,'TAR FIN'!$A$1:$O$92,15,0)),0,VLOOKUP($S$99,'TAR FIN'!$A$1:$O$92,15,0))</f>
        <v>0</v>
      </c>
      <c r="W99" s="64">
        <f>IF(ISERROR(VLOOKUP($T$99,'TAR FIN'!$A$1:$O$92,15,0)),0,VLOOKUP($T$99,'TAR FIN'!$A$1:$O$92,15,0))*(1-0.04)</f>
        <v>84.220799999999997</v>
      </c>
      <c r="X99" s="64">
        <f>IF(ISERROR(VLOOKUP($U$99,'TAR FIN'!$A$1:$O$92,15,0)),0,VLOOKUP($U$99,'TAR FIN'!$A$1:$O$92,15,0))*(1-0.04)</f>
        <v>243.744</v>
      </c>
      <c r="Y99" s="64"/>
      <c r="Z99" s="64">
        <f ca="1">('TUSD BE'!$AM$12+'TUSD BF'!$AM$12+'TUSD CVA'!$AM$12)*1*(1-0.02)</f>
        <v>107.25312546797767</v>
      </c>
      <c r="AA99" s="64">
        <f>('TE BE'!$AB$6+'TE BF'!$AB$6+'TE CVA'!$AB$6)*1*(1-0.02)</f>
        <v>311.0397022624511</v>
      </c>
      <c r="AB99" s="64">
        <f>(SUBSIDIO!$J$99*SUBSIDIO!$V$99)*(0.04)/(1-0.04)</f>
        <v>0</v>
      </c>
      <c r="AC99" s="64">
        <f>((SUBSIDIO!$L$99*SUBSIDIO!$W$99)+(SUBSIDIO!$N$99*SUBSIDIO!$X$99))*(0.04)/(1-0.04)</f>
        <v>1893.3544556000002</v>
      </c>
      <c r="AD99" s="64">
        <f>(SUBSIDIO!$J$99*SUBSIDIO!$Y$99)*(0.02)/(1-0.02)</f>
        <v>0</v>
      </c>
      <c r="AE99" s="64">
        <f ca="1">((SUBSIDIO!$L$99*SUBSIDIO!$Z$99)+(SUBSIDIO!$N$99*SUBSIDIO!$AA$99))*(0.02)/(1-0.02)</f>
        <v>1182.7699216435531</v>
      </c>
      <c r="AF99" s="3" t="s">
        <v>752</v>
      </c>
    </row>
    <row r="100" spans="1:32" ht="11.25" customHeight="1" x14ac:dyDescent="0.25">
      <c r="A100" s="3" t="s">
        <v>28</v>
      </c>
      <c r="B100" s="3" t="s">
        <v>39</v>
      </c>
      <c r="C100" s="3" t="s">
        <v>41</v>
      </c>
      <c r="D100" s="3" t="s">
        <v>44</v>
      </c>
      <c r="E100" s="3" t="s">
        <v>25</v>
      </c>
      <c r="F100" s="3" t="s">
        <v>25</v>
      </c>
      <c r="G100" s="3" t="s">
        <v>25</v>
      </c>
      <c r="H100" s="3" t="s">
        <v>35</v>
      </c>
      <c r="I100" s="6">
        <v>44774</v>
      </c>
      <c r="J100" s="4">
        <v>0</v>
      </c>
      <c r="K100" s="64">
        <v>0</v>
      </c>
      <c r="L100" s="4">
        <v>49.478000000000002</v>
      </c>
      <c r="M100" s="64">
        <v>49.478000000000002</v>
      </c>
      <c r="N100" s="4">
        <v>49.478000000000002</v>
      </c>
      <c r="O100" s="64">
        <v>49.478000000000002</v>
      </c>
      <c r="P100" s="4">
        <v>0</v>
      </c>
      <c r="Q100" s="3" t="s">
        <v>26</v>
      </c>
      <c r="R100" s="3">
        <v>0</v>
      </c>
      <c r="S100" s="3">
        <v>0</v>
      </c>
      <c r="T100" s="3">
        <v>31</v>
      </c>
      <c r="U100" s="3">
        <v>59</v>
      </c>
      <c r="V100" s="64">
        <f>IF(ISERROR(VLOOKUP($S$100,'TAR FIN'!$A$1:$O$92,15,0)),0,VLOOKUP($S$100,'TAR FIN'!$A$1:$O$92,15,0))</f>
        <v>0</v>
      </c>
      <c r="W100" s="64">
        <f>IF(ISERROR(VLOOKUP($T$100,'TAR FIN'!$A$1:$O$92,15,0)),0,VLOOKUP($T$100,'TAR FIN'!$A$1:$O$92,15,0))*(1-0.04)</f>
        <v>84.220799999999997</v>
      </c>
      <c r="X100" s="64">
        <f>IF(ISERROR(VLOOKUP($U$100,'TAR FIN'!$A$1:$O$92,15,0)),0,VLOOKUP($U$100,'TAR FIN'!$A$1:$O$92,15,0))*(1-0.04)</f>
        <v>243.744</v>
      </c>
      <c r="Y100" s="64"/>
      <c r="Z100" s="64">
        <f ca="1">('TUSD BE'!$AM$12+'TUSD BF'!$AM$12+'TUSD CVA'!$AM$12)*1*(1-0.02)</f>
        <v>107.25312546797767</v>
      </c>
      <c r="AA100" s="64">
        <f>('TE BE'!$AB$6+'TE BF'!$AB$6+'TE CVA'!$AB$6)*1*(1-0.02)</f>
        <v>311.0397022624511</v>
      </c>
      <c r="AB100" s="64">
        <f>(SUBSIDIO!$J$100*SUBSIDIO!$V$100)*(0.04)/(1-0.04)</f>
        <v>0</v>
      </c>
      <c r="AC100" s="64">
        <f>((SUBSIDIO!$L$100*SUBSIDIO!$W$100)+(SUBSIDIO!$N$100*SUBSIDIO!$X$100))*(0.04)/(1-0.04)</f>
        <v>676.1267656</v>
      </c>
      <c r="AD100" s="64">
        <f>(SUBSIDIO!$J$100*SUBSIDIO!$Y$100)*(0.02)/(1-0.02)</f>
        <v>0</v>
      </c>
      <c r="AE100" s="64">
        <f ca="1">((SUBSIDIO!$L$100*SUBSIDIO!$Z$100)+(SUBSIDIO!$N$100*SUBSIDIO!$AA$100))*(0.02)/(1-0.02)</f>
        <v>422.37331694788077</v>
      </c>
      <c r="AF100" s="3" t="s">
        <v>752</v>
      </c>
    </row>
    <row r="101" spans="1:32" ht="11.25" customHeight="1" x14ac:dyDescent="0.25">
      <c r="A101" s="3" t="s">
        <v>21</v>
      </c>
      <c r="B101" s="3" t="s">
        <v>39</v>
      </c>
      <c r="C101" s="3" t="s">
        <v>41</v>
      </c>
      <c r="D101" s="3" t="s">
        <v>44</v>
      </c>
      <c r="E101" s="3" t="s">
        <v>25</v>
      </c>
      <c r="F101" s="3" t="s">
        <v>25</v>
      </c>
      <c r="G101" s="3" t="s">
        <v>25</v>
      </c>
      <c r="H101" s="3" t="s">
        <v>35</v>
      </c>
      <c r="I101" s="6">
        <v>44805</v>
      </c>
      <c r="J101" s="4">
        <v>0</v>
      </c>
      <c r="K101" s="64">
        <v>0</v>
      </c>
      <c r="L101" s="4">
        <v>147.29400000000001</v>
      </c>
      <c r="M101" s="64">
        <v>147.29400000000001</v>
      </c>
      <c r="N101" s="4">
        <v>147.29400000000001</v>
      </c>
      <c r="O101" s="64">
        <v>147.29400000000001</v>
      </c>
      <c r="P101" s="4">
        <v>0</v>
      </c>
      <c r="Q101" s="3" t="s">
        <v>26</v>
      </c>
      <c r="R101" s="3">
        <v>0</v>
      </c>
      <c r="S101" s="3">
        <v>0</v>
      </c>
      <c r="T101" s="3">
        <v>31</v>
      </c>
      <c r="U101" s="3">
        <v>59</v>
      </c>
      <c r="V101" s="64">
        <f>IF(ISERROR(VLOOKUP($S$101,'TAR FIN'!$A$1:$O$92,15,0)),0,VLOOKUP($S$101,'TAR FIN'!$A$1:$O$92,15,0))</f>
        <v>0</v>
      </c>
      <c r="W101" s="64">
        <f>IF(ISERROR(VLOOKUP($T$101,'TAR FIN'!$A$1:$O$92,15,0)),0,VLOOKUP($T$101,'TAR FIN'!$A$1:$O$92,15,0))*(1-0.04)</f>
        <v>84.220799999999997</v>
      </c>
      <c r="X101" s="64">
        <f>IF(ISERROR(VLOOKUP($U$101,'TAR FIN'!$A$1:$O$92,15,0)),0,VLOOKUP($U$101,'TAR FIN'!$A$1:$O$92,15,0))*(1-0.04)</f>
        <v>243.744</v>
      </c>
      <c r="Y101" s="64"/>
      <c r="Z101" s="64">
        <f ca="1">('TUSD BE'!$AM$12+'TUSD BF'!$AM$12+'TUSD CVA'!$AM$12)*1*(1-0.02)</f>
        <v>107.25312546797767</v>
      </c>
      <c r="AA101" s="64">
        <f>('TE BE'!$AB$6+'TE BF'!$AB$6+'TE CVA'!$AB$6)*1*(1-0.02)</f>
        <v>311.0397022624511</v>
      </c>
      <c r="AB101" s="64">
        <f>(SUBSIDIO!$J$101*SUBSIDIO!$V$101)*(0.04)/(1-0.04)</f>
        <v>0</v>
      </c>
      <c r="AC101" s="64">
        <f>((SUBSIDIO!$L$101*SUBSIDIO!$W$101)+(SUBSIDIO!$N$101*SUBSIDIO!$X$101))*(0.04)/(1-0.04)</f>
        <v>2012.8019688000002</v>
      </c>
      <c r="AD101" s="64">
        <f>(SUBSIDIO!$J$101*SUBSIDIO!$Y$101)*(0.02)/(1-0.02)</f>
        <v>0</v>
      </c>
      <c r="AE101" s="64">
        <f ca="1">((SUBSIDIO!$L$101*SUBSIDIO!$Z$101)+(SUBSIDIO!$N$101*SUBSIDIO!$AA$101))*(0.02)/(1-0.02)</f>
        <v>1257.3882401576691</v>
      </c>
      <c r="AF101" s="3" t="s">
        <v>752</v>
      </c>
    </row>
    <row r="102" spans="1:32" ht="11.25" customHeight="1" x14ac:dyDescent="0.25">
      <c r="A102" s="3" t="s">
        <v>28</v>
      </c>
      <c r="B102" s="3" t="s">
        <v>39</v>
      </c>
      <c r="C102" s="3" t="s">
        <v>41</v>
      </c>
      <c r="D102" s="3" t="s">
        <v>44</v>
      </c>
      <c r="E102" s="3" t="s">
        <v>25</v>
      </c>
      <c r="F102" s="3" t="s">
        <v>25</v>
      </c>
      <c r="G102" s="3" t="s">
        <v>25</v>
      </c>
      <c r="H102" s="3" t="s">
        <v>35</v>
      </c>
      <c r="I102" s="6">
        <v>44805</v>
      </c>
      <c r="J102" s="4">
        <v>0</v>
      </c>
      <c r="K102" s="64">
        <v>0</v>
      </c>
      <c r="L102" s="4">
        <v>41.61</v>
      </c>
      <c r="M102" s="64">
        <v>41.61</v>
      </c>
      <c r="N102" s="4">
        <v>41.61</v>
      </c>
      <c r="O102" s="64">
        <v>41.61</v>
      </c>
      <c r="P102" s="4">
        <v>0</v>
      </c>
      <c r="Q102" s="3" t="s">
        <v>26</v>
      </c>
      <c r="R102" s="3">
        <v>0</v>
      </c>
      <c r="S102" s="3">
        <v>0</v>
      </c>
      <c r="T102" s="3">
        <v>31</v>
      </c>
      <c r="U102" s="3">
        <v>59</v>
      </c>
      <c r="V102" s="64">
        <f>IF(ISERROR(VLOOKUP($S$102,'TAR FIN'!$A$1:$O$92,15,0)),0,VLOOKUP($S$102,'TAR FIN'!$A$1:$O$92,15,0))</f>
        <v>0</v>
      </c>
      <c r="W102" s="64">
        <f>IF(ISERROR(VLOOKUP($T$102,'TAR FIN'!$A$1:$O$92,15,0)),0,VLOOKUP($T$102,'TAR FIN'!$A$1:$O$92,15,0))*(1-0.04)</f>
        <v>84.220799999999997</v>
      </c>
      <c r="X102" s="64">
        <f>IF(ISERROR(VLOOKUP($U$102,'TAR FIN'!$A$1:$O$92,15,0)),0,VLOOKUP($U$102,'TAR FIN'!$A$1:$O$92,15,0))*(1-0.04)</f>
        <v>243.744</v>
      </c>
      <c r="Y102" s="64"/>
      <c r="Z102" s="64">
        <f ca="1">('TUSD BE'!$AM$12+'TUSD BF'!$AM$12+'TUSD CVA'!$AM$12)*1*(1-0.02)</f>
        <v>107.25312546797767</v>
      </c>
      <c r="AA102" s="64">
        <f>('TE BE'!$AB$6+'TE BF'!$AB$6+'TE CVA'!$AB$6)*1*(1-0.02)</f>
        <v>311.0397022624511</v>
      </c>
      <c r="AB102" s="64">
        <f>(SUBSIDIO!$J$102*SUBSIDIO!$V$102)*(0.04)/(1-0.04)</f>
        <v>0</v>
      </c>
      <c r="AC102" s="64">
        <f>((SUBSIDIO!$L$102*SUBSIDIO!$W$102)+(SUBSIDIO!$N$102*SUBSIDIO!$X$102))*(0.04)/(1-0.04)</f>
        <v>568.60897200000011</v>
      </c>
      <c r="AD102" s="64">
        <f>(SUBSIDIO!$J$102*SUBSIDIO!$Y$102)*(0.02)/(1-0.02)</f>
        <v>0</v>
      </c>
      <c r="AE102" s="64">
        <f ca="1">((SUBSIDIO!$L$102*SUBSIDIO!$Z$102)+(SUBSIDIO!$N$102*SUBSIDIO!$AA$102))*(0.02)/(1-0.02)</f>
        <v>355.20744003802332</v>
      </c>
      <c r="AF102" s="3" t="s">
        <v>752</v>
      </c>
    </row>
    <row r="103" spans="1:32" ht="11.25" customHeight="1" x14ac:dyDescent="0.25">
      <c r="A103" s="3" t="s">
        <v>55</v>
      </c>
      <c r="B103" s="3" t="s">
        <v>39</v>
      </c>
      <c r="C103" s="3" t="s">
        <v>41</v>
      </c>
      <c r="D103" s="3" t="s">
        <v>44</v>
      </c>
      <c r="E103" s="3" t="s">
        <v>25</v>
      </c>
      <c r="F103" s="3" t="s">
        <v>25</v>
      </c>
      <c r="G103" s="3" t="s">
        <v>25</v>
      </c>
      <c r="H103" s="3" t="s">
        <v>35</v>
      </c>
      <c r="I103" s="6">
        <v>44835</v>
      </c>
      <c r="J103" s="4">
        <v>0</v>
      </c>
      <c r="K103" s="64">
        <v>0</v>
      </c>
      <c r="L103" s="4">
        <v>147.29400000000001</v>
      </c>
      <c r="M103" s="64">
        <v>147.29400000000001</v>
      </c>
      <c r="N103" s="4">
        <v>147.29400000000001</v>
      </c>
      <c r="O103" s="64">
        <v>147.29400000000001</v>
      </c>
      <c r="P103" s="4">
        <v>0</v>
      </c>
      <c r="Q103" s="3" t="s">
        <v>26</v>
      </c>
      <c r="R103" s="3">
        <v>0</v>
      </c>
      <c r="S103" s="3">
        <v>0</v>
      </c>
      <c r="T103" s="3">
        <v>31</v>
      </c>
      <c r="U103" s="3">
        <v>59</v>
      </c>
      <c r="V103" s="64">
        <f>IF(ISERROR(VLOOKUP($S$103,'TAR FIN'!$A$1:$O$92,15,0)),0,VLOOKUP($S$103,'TAR FIN'!$A$1:$O$92,15,0))</f>
        <v>0</v>
      </c>
      <c r="W103" s="64">
        <f>IF(ISERROR(VLOOKUP($T$103,'TAR FIN'!$A$1:$O$92,15,0)),0,VLOOKUP($T$103,'TAR FIN'!$A$1:$O$92,15,0))*(1-0.04)</f>
        <v>84.220799999999997</v>
      </c>
      <c r="X103" s="64">
        <f>IF(ISERROR(VLOOKUP($U$103,'TAR FIN'!$A$1:$O$92,15,0)),0,VLOOKUP($U$103,'TAR FIN'!$A$1:$O$92,15,0))*(1-0.04)</f>
        <v>243.744</v>
      </c>
      <c r="Y103" s="64"/>
      <c r="Z103" s="64">
        <f ca="1">('TUSD BE'!$AM$12+'TUSD BF'!$AM$12+'TUSD CVA'!$AM$12)*1*(1-0.02)</f>
        <v>107.25312546797767</v>
      </c>
      <c r="AA103" s="64">
        <f>('TE BE'!$AB$6+'TE BF'!$AB$6+'TE CVA'!$AB$6)*1*(1-0.02)</f>
        <v>311.0397022624511</v>
      </c>
      <c r="AB103" s="64">
        <f>(SUBSIDIO!$J$103*SUBSIDIO!$V$103)*(0.04)/(1-0.04)</f>
        <v>0</v>
      </c>
      <c r="AC103" s="64">
        <f>((SUBSIDIO!$L$103*SUBSIDIO!$W$103)+(SUBSIDIO!$N$103*SUBSIDIO!$X$103))*(0.04)/(1-0.04)</f>
        <v>2012.8019688000002</v>
      </c>
      <c r="AD103" s="64">
        <f>(SUBSIDIO!$J$103*SUBSIDIO!$Y$103)*(0.02)/(1-0.02)</f>
        <v>0</v>
      </c>
      <c r="AE103" s="64">
        <f ca="1">((SUBSIDIO!$L$103*SUBSIDIO!$Z$103)+(SUBSIDIO!$N$103*SUBSIDIO!$AA$103))*(0.02)/(1-0.02)</f>
        <v>1257.3882401576691</v>
      </c>
      <c r="AF103" s="3" t="s">
        <v>752</v>
      </c>
    </row>
    <row r="104" spans="1:32" ht="11.25" customHeight="1" x14ac:dyDescent="0.25">
      <c r="A104" s="3" t="s">
        <v>55</v>
      </c>
      <c r="B104" s="3" t="s">
        <v>39</v>
      </c>
      <c r="C104" s="3" t="s">
        <v>41</v>
      </c>
      <c r="D104" s="3" t="s">
        <v>44</v>
      </c>
      <c r="E104" s="3" t="s">
        <v>25</v>
      </c>
      <c r="F104" s="3" t="s">
        <v>25</v>
      </c>
      <c r="G104" s="3" t="s">
        <v>25</v>
      </c>
      <c r="H104" s="3" t="s">
        <v>35</v>
      </c>
      <c r="I104" s="6">
        <v>44835</v>
      </c>
      <c r="J104" s="4">
        <v>0</v>
      </c>
      <c r="K104" s="64">
        <v>0</v>
      </c>
      <c r="L104" s="4">
        <v>41.61</v>
      </c>
      <c r="M104" s="64">
        <v>41.61</v>
      </c>
      <c r="N104" s="4">
        <v>41.61</v>
      </c>
      <c r="O104" s="64">
        <v>41.61</v>
      </c>
      <c r="P104" s="4">
        <v>0</v>
      </c>
      <c r="Q104" s="3" t="s">
        <v>26</v>
      </c>
      <c r="R104" s="3">
        <v>0</v>
      </c>
      <c r="S104" s="3">
        <v>0</v>
      </c>
      <c r="T104" s="3">
        <v>31</v>
      </c>
      <c r="U104" s="3">
        <v>59</v>
      </c>
      <c r="V104" s="64">
        <f>IF(ISERROR(VLOOKUP($S$104,'TAR FIN'!$A$1:$O$92,15,0)),0,VLOOKUP($S$104,'TAR FIN'!$A$1:$O$92,15,0))</f>
        <v>0</v>
      </c>
      <c r="W104" s="64">
        <f>IF(ISERROR(VLOOKUP($T$104,'TAR FIN'!$A$1:$O$92,15,0)),0,VLOOKUP($T$104,'TAR FIN'!$A$1:$O$92,15,0))*(1-0.04)</f>
        <v>84.220799999999997</v>
      </c>
      <c r="X104" s="64">
        <f>IF(ISERROR(VLOOKUP($U$104,'TAR FIN'!$A$1:$O$92,15,0)),0,VLOOKUP($U$104,'TAR FIN'!$A$1:$O$92,15,0))*(1-0.04)</f>
        <v>243.744</v>
      </c>
      <c r="Y104" s="64"/>
      <c r="Z104" s="64">
        <f ca="1">('TUSD BE'!$AM$12+'TUSD BF'!$AM$12+'TUSD CVA'!$AM$12)*1*(1-0.02)</f>
        <v>107.25312546797767</v>
      </c>
      <c r="AA104" s="64">
        <f>('TE BE'!$AB$6+'TE BF'!$AB$6+'TE CVA'!$AB$6)*1*(1-0.02)</f>
        <v>311.0397022624511</v>
      </c>
      <c r="AB104" s="64">
        <f>(SUBSIDIO!$J$104*SUBSIDIO!$V$104)*(0.04)/(1-0.04)</f>
        <v>0</v>
      </c>
      <c r="AC104" s="64">
        <f>((SUBSIDIO!$L$104*SUBSIDIO!$W$104)+(SUBSIDIO!$N$104*SUBSIDIO!$X$104))*(0.04)/(1-0.04)</f>
        <v>568.60897200000011</v>
      </c>
      <c r="AD104" s="64">
        <f>(SUBSIDIO!$J$104*SUBSIDIO!$Y$104)*(0.02)/(1-0.02)</f>
        <v>0</v>
      </c>
      <c r="AE104" s="64">
        <f ca="1">((SUBSIDIO!$L$104*SUBSIDIO!$Z$104)+(SUBSIDIO!$N$104*SUBSIDIO!$AA$104))*(0.02)/(1-0.02)</f>
        <v>355.20744003802332</v>
      </c>
      <c r="AF104" s="3" t="s">
        <v>752</v>
      </c>
    </row>
    <row r="105" spans="1:32" ht="11.25" customHeight="1" x14ac:dyDescent="0.25">
      <c r="A105" s="3" t="s">
        <v>21</v>
      </c>
      <c r="B105" s="3" t="s">
        <v>39</v>
      </c>
      <c r="C105" s="3" t="s">
        <v>41</v>
      </c>
      <c r="D105" s="3" t="s">
        <v>44</v>
      </c>
      <c r="E105" s="3" t="s">
        <v>25</v>
      </c>
      <c r="F105" s="3" t="s">
        <v>25</v>
      </c>
      <c r="G105" s="3" t="s">
        <v>25</v>
      </c>
      <c r="H105" s="3" t="s">
        <v>25</v>
      </c>
      <c r="I105" s="6">
        <v>44501</v>
      </c>
      <c r="J105" s="4">
        <v>2435</v>
      </c>
      <c r="K105" s="64">
        <v>2435</v>
      </c>
      <c r="L105" s="4">
        <v>0</v>
      </c>
      <c r="M105" s="64">
        <v>0</v>
      </c>
      <c r="N105" s="4">
        <v>0</v>
      </c>
      <c r="O105" s="64">
        <v>0</v>
      </c>
      <c r="P105" s="4">
        <v>14</v>
      </c>
      <c r="Q105" s="3" t="s">
        <v>26</v>
      </c>
      <c r="R105" s="3">
        <v>0</v>
      </c>
      <c r="S105" s="3">
        <v>18</v>
      </c>
      <c r="T105" s="3">
        <v>0</v>
      </c>
      <c r="U105" s="3">
        <v>0</v>
      </c>
      <c r="V105" s="64">
        <f>IF(ISERROR(VLOOKUP($S$105,'TAR FIN'!$A$1:$O$92,15,0)),0,VLOOKUP($S$105,'TAR FIN'!$A$1:$O$92,15,0))*(1-0.04)</f>
        <v>14.054399999999999</v>
      </c>
      <c r="W105" s="64">
        <f>IF(ISERROR(VLOOKUP($T$105,'TAR FIN'!$A$1:$O$92,15,0)),0,VLOOKUP($T$105,'TAR FIN'!$A$1:$O$92,15,0))</f>
        <v>0</v>
      </c>
      <c r="X105" s="64">
        <f>IF(ISERROR(VLOOKUP($U$105,'TAR FIN'!$A$1:$O$92,15,0)),0,VLOOKUP($U$105,'TAR FIN'!$A$1:$O$92,15,0))</f>
        <v>0</v>
      </c>
      <c r="Y105" s="64">
        <f ca="1">('TUSD BE'!$AM$10+'TUSD BF'!$AM$10+'TUSD CVA'!$AM$10)*1*(1-0.02)</f>
        <v>18.643987249835956</v>
      </c>
      <c r="Z105" s="64"/>
      <c r="AA105" s="64"/>
      <c r="AB105" s="64">
        <f>(SUBSIDIO!$J$105*SUBSIDIO!$V$105)*(0.04)/(1-0.04)</f>
        <v>1425.9360000000001</v>
      </c>
      <c r="AC105" s="64">
        <f>((SUBSIDIO!$L$105*SUBSIDIO!$W$105)+(SUBSIDIO!$N$105*SUBSIDIO!$X$105))*(0.04)/(1-0.04)</f>
        <v>0</v>
      </c>
      <c r="AD105" s="64">
        <f ca="1">(SUBSIDIO!$J$105*SUBSIDIO!$Y$105)*(0.02)/(1-0.02)</f>
        <v>926.49201945613368</v>
      </c>
      <c r="AE105" s="64">
        <f>((SUBSIDIO!$L$105*SUBSIDIO!$Z$105)+(SUBSIDIO!$N$105*SUBSIDIO!$AA$105))*(0.02)/(1-0.02)</f>
        <v>0</v>
      </c>
      <c r="AF105" s="3" t="s">
        <v>752</v>
      </c>
    </row>
    <row r="106" spans="1:32" ht="11.25" customHeight="1" x14ac:dyDescent="0.25">
      <c r="A106" s="3" t="s">
        <v>21</v>
      </c>
      <c r="B106" s="3" t="s">
        <v>39</v>
      </c>
      <c r="C106" s="3" t="s">
        <v>41</v>
      </c>
      <c r="D106" s="3" t="s">
        <v>44</v>
      </c>
      <c r="E106" s="3" t="s">
        <v>25</v>
      </c>
      <c r="F106" s="3" t="s">
        <v>25</v>
      </c>
      <c r="G106" s="3" t="s">
        <v>25</v>
      </c>
      <c r="H106" s="3" t="s">
        <v>25</v>
      </c>
      <c r="I106" s="6">
        <v>44531</v>
      </c>
      <c r="J106" s="4">
        <v>2329</v>
      </c>
      <c r="K106" s="64">
        <v>2329</v>
      </c>
      <c r="L106" s="4">
        <v>0</v>
      </c>
      <c r="M106" s="64">
        <v>0</v>
      </c>
      <c r="N106" s="4">
        <v>0</v>
      </c>
      <c r="O106" s="64">
        <v>0</v>
      </c>
      <c r="P106" s="4">
        <v>13</v>
      </c>
      <c r="Q106" s="3" t="s">
        <v>26</v>
      </c>
      <c r="R106" s="3">
        <v>0</v>
      </c>
      <c r="S106" s="3">
        <v>18</v>
      </c>
      <c r="T106" s="3">
        <v>0</v>
      </c>
      <c r="U106" s="3">
        <v>0</v>
      </c>
      <c r="V106" s="64">
        <f>IF(ISERROR(VLOOKUP($S$106,'TAR FIN'!$A$1:$O$92,15,0)),0,VLOOKUP($S$106,'TAR FIN'!$A$1:$O$92,15,0))*(1-0.04)</f>
        <v>14.054399999999999</v>
      </c>
      <c r="W106" s="64">
        <f>IF(ISERROR(VLOOKUP($T$106,'TAR FIN'!$A$1:$O$92,15,0)),0,VLOOKUP($T$106,'TAR FIN'!$A$1:$O$92,15,0))</f>
        <v>0</v>
      </c>
      <c r="X106" s="64">
        <f>IF(ISERROR(VLOOKUP($U$106,'TAR FIN'!$A$1:$O$92,15,0)),0,VLOOKUP($U$106,'TAR FIN'!$A$1:$O$92,15,0))</f>
        <v>0</v>
      </c>
      <c r="Y106" s="64">
        <f ca="1">('TUSD BE'!$AM$10+'TUSD BF'!$AM$10+'TUSD CVA'!$AM$10)*1*(1-0.02)</f>
        <v>18.643987249835956</v>
      </c>
      <c r="Z106" s="64"/>
      <c r="AA106" s="64"/>
      <c r="AB106" s="64">
        <f>(SUBSIDIO!$J$106*SUBSIDIO!$V$106)*(0.04)/(1-0.04)</f>
        <v>1363.8624</v>
      </c>
      <c r="AC106" s="64">
        <f>((SUBSIDIO!$L$106*SUBSIDIO!$W$106)+(SUBSIDIO!$N$106*SUBSIDIO!$X$106))*(0.04)/(1-0.04)</f>
        <v>0</v>
      </c>
      <c r="AD106" s="64">
        <f ca="1">(SUBSIDIO!$J$106*SUBSIDIO!$Y$106)*(0.02)/(1-0.02)</f>
        <v>886.16012867077438</v>
      </c>
      <c r="AE106" s="64">
        <f>((SUBSIDIO!$L$106*SUBSIDIO!$Z$106)+(SUBSIDIO!$N$106*SUBSIDIO!$AA$106))*(0.02)/(1-0.02)</f>
        <v>0</v>
      </c>
      <c r="AF106" s="3" t="s">
        <v>752</v>
      </c>
    </row>
    <row r="107" spans="1:32" ht="11.25" customHeight="1" x14ac:dyDescent="0.25">
      <c r="A107" s="3" t="s">
        <v>21</v>
      </c>
      <c r="B107" s="3" t="s">
        <v>39</v>
      </c>
      <c r="C107" s="3" t="s">
        <v>41</v>
      </c>
      <c r="D107" s="3" t="s">
        <v>44</v>
      </c>
      <c r="E107" s="3" t="s">
        <v>25</v>
      </c>
      <c r="F107" s="3" t="s">
        <v>25</v>
      </c>
      <c r="G107" s="3" t="s">
        <v>25</v>
      </c>
      <c r="H107" s="3" t="s">
        <v>25</v>
      </c>
      <c r="I107" s="6">
        <v>44562</v>
      </c>
      <c r="J107" s="4">
        <v>2483</v>
      </c>
      <c r="K107" s="64">
        <v>2483</v>
      </c>
      <c r="L107" s="4">
        <v>0</v>
      </c>
      <c r="M107" s="64">
        <v>0</v>
      </c>
      <c r="N107" s="4">
        <v>0</v>
      </c>
      <c r="O107" s="64">
        <v>0</v>
      </c>
      <c r="P107" s="4">
        <v>13</v>
      </c>
      <c r="Q107" s="3" t="s">
        <v>26</v>
      </c>
      <c r="R107" s="3">
        <v>0</v>
      </c>
      <c r="S107" s="3">
        <v>18</v>
      </c>
      <c r="T107" s="3">
        <v>0</v>
      </c>
      <c r="U107" s="3">
        <v>0</v>
      </c>
      <c r="V107" s="64">
        <f>IF(ISERROR(VLOOKUP($S$107,'TAR FIN'!$A$1:$O$92,15,0)),0,VLOOKUP($S$107,'TAR FIN'!$A$1:$O$92,15,0))*(1-0.04)</f>
        <v>14.054399999999999</v>
      </c>
      <c r="W107" s="64">
        <f>IF(ISERROR(VLOOKUP($T$107,'TAR FIN'!$A$1:$O$92,15,0)),0,VLOOKUP($T$107,'TAR FIN'!$A$1:$O$92,15,0))</f>
        <v>0</v>
      </c>
      <c r="X107" s="64">
        <f>IF(ISERROR(VLOOKUP($U$107,'TAR FIN'!$A$1:$O$92,15,0)),0,VLOOKUP($U$107,'TAR FIN'!$A$1:$O$92,15,0))</f>
        <v>0</v>
      </c>
      <c r="Y107" s="64">
        <f ca="1">('TUSD BE'!$AM$10+'TUSD BF'!$AM$10+'TUSD CVA'!$AM$10)*1*(1-0.02)</f>
        <v>18.643987249835956</v>
      </c>
      <c r="Z107" s="64"/>
      <c r="AA107" s="64"/>
      <c r="AB107" s="64">
        <f>(SUBSIDIO!$J$107*SUBSIDIO!$V$107)*(0.04)/(1-0.04)</f>
        <v>1454.0448000000001</v>
      </c>
      <c r="AC107" s="64">
        <f>((SUBSIDIO!$L$107*SUBSIDIO!$W$107)+(SUBSIDIO!$N$107*SUBSIDIO!$X$107))*(0.04)/(1-0.04)</f>
        <v>0</v>
      </c>
      <c r="AD107" s="64">
        <f ca="1">(SUBSIDIO!$J$107*SUBSIDIO!$Y$107)*(0.02)/(1-0.02)</f>
        <v>944.75551717025883</v>
      </c>
      <c r="AE107" s="64">
        <f>((SUBSIDIO!$L$107*SUBSIDIO!$Z$107)+(SUBSIDIO!$N$107*SUBSIDIO!$AA$107))*(0.02)/(1-0.02)</f>
        <v>0</v>
      </c>
      <c r="AF107" s="3" t="s">
        <v>752</v>
      </c>
    </row>
    <row r="108" spans="1:32" ht="11.25" customHeight="1" x14ac:dyDescent="0.25">
      <c r="A108" s="3" t="s">
        <v>21</v>
      </c>
      <c r="B108" s="3" t="s">
        <v>39</v>
      </c>
      <c r="C108" s="3" t="s">
        <v>41</v>
      </c>
      <c r="D108" s="3" t="s">
        <v>44</v>
      </c>
      <c r="E108" s="3" t="s">
        <v>25</v>
      </c>
      <c r="F108" s="3" t="s">
        <v>25</v>
      </c>
      <c r="G108" s="3" t="s">
        <v>25</v>
      </c>
      <c r="H108" s="3" t="s">
        <v>25</v>
      </c>
      <c r="I108" s="6">
        <v>44593</v>
      </c>
      <c r="J108" s="4">
        <v>2976</v>
      </c>
      <c r="K108" s="64">
        <v>2976</v>
      </c>
      <c r="L108" s="4">
        <v>0</v>
      </c>
      <c r="M108" s="64">
        <v>0</v>
      </c>
      <c r="N108" s="4">
        <v>0</v>
      </c>
      <c r="O108" s="64">
        <v>0</v>
      </c>
      <c r="P108" s="4">
        <v>14</v>
      </c>
      <c r="Q108" s="3" t="s">
        <v>26</v>
      </c>
      <c r="R108" s="3">
        <v>0</v>
      </c>
      <c r="S108" s="3">
        <v>18</v>
      </c>
      <c r="T108" s="3">
        <v>0</v>
      </c>
      <c r="U108" s="3">
        <v>0</v>
      </c>
      <c r="V108" s="64">
        <f>IF(ISERROR(VLOOKUP($S$108,'TAR FIN'!$A$1:$O$92,15,0)),0,VLOOKUP($S$108,'TAR FIN'!$A$1:$O$92,15,0))*(1-0.04)</f>
        <v>14.054399999999999</v>
      </c>
      <c r="W108" s="64">
        <f>IF(ISERROR(VLOOKUP($T$108,'TAR FIN'!$A$1:$O$92,15,0)),0,VLOOKUP($T$108,'TAR FIN'!$A$1:$O$92,15,0))</f>
        <v>0</v>
      </c>
      <c r="X108" s="64">
        <f>IF(ISERROR(VLOOKUP($U$108,'TAR FIN'!$A$1:$O$92,15,0)),0,VLOOKUP($U$108,'TAR FIN'!$A$1:$O$92,15,0))</f>
        <v>0</v>
      </c>
      <c r="Y108" s="64">
        <f ca="1">('TUSD BE'!$AM$10+'TUSD BF'!$AM$10+'TUSD CVA'!$AM$10)*1*(1-0.02)</f>
        <v>18.643987249835956</v>
      </c>
      <c r="Z108" s="64"/>
      <c r="AA108" s="64"/>
      <c r="AB108" s="64">
        <f>(SUBSIDIO!$J$108*SUBSIDIO!$V$108)*(0.04)/(1-0.04)</f>
        <v>1742.7456</v>
      </c>
      <c r="AC108" s="64">
        <f>((SUBSIDIO!$L$108*SUBSIDIO!$W$108)+(SUBSIDIO!$N$108*SUBSIDIO!$X$108))*(0.04)/(1-0.04)</f>
        <v>0</v>
      </c>
      <c r="AD108" s="64">
        <f ca="1">(SUBSIDIO!$J$108*SUBSIDIO!$Y$108)*(0.02)/(1-0.02)</f>
        <v>1132.3368582757512</v>
      </c>
      <c r="AE108" s="64">
        <f>((SUBSIDIO!$L$108*SUBSIDIO!$Z$108)+(SUBSIDIO!$N$108*SUBSIDIO!$AA$108))*(0.02)/(1-0.02)</f>
        <v>0</v>
      </c>
      <c r="AF108" s="3" t="s">
        <v>752</v>
      </c>
    </row>
    <row r="109" spans="1:32" ht="11.25" customHeight="1" x14ac:dyDescent="0.25">
      <c r="A109" s="3" t="s">
        <v>21</v>
      </c>
      <c r="B109" s="3" t="s">
        <v>39</v>
      </c>
      <c r="C109" s="3" t="s">
        <v>41</v>
      </c>
      <c r="D109" s="3" t="s">
        <v>44</v>
      </c>
      <c r="E109" s="3" t="s">
        <v>25</v>
      </c>
      <c r="F109" s="3" t="s">
        <v>25</v>
      </c>
      <c r="G109" s="3" t="s">
        <v>25</v>
      </c>
      <c r="H109" s="3" t="s">
        <v>25</v>
      </c>
      <c r="I109" s="6">
        <v>44621</v>
      </c>
      <c r="J109" s="4">
        <v>2120</v>
      </c>
      <c r="K109" s="64">
        <v>2120</v>
      </c>
      <c r="L109" s="4">
        <v>0</v>
      </c>
      <c r="M109" s="64">
        <v>0</v>
      </c>
      <c r="N109" s="4">
        <v>0</v>
      </c>
      <c r="O109" s="64">
        <v>0</v>
      </c>
      <c r="P109" s="4">
        <v>14</v>
      </c>
      <c r="Q109" s="3" t="s">
        <v>26</v>
      </c>
      <c r="R109" s="3">
        <v>0</v>
      </c>
      <c r="S109" s="3">
        <v>18</v>
      </c>
      <c r="T109" s="3">
        <v>0</v>
      </c>
      <c r="U109" s="3">
        <v>0</v>
      </c>
      <c r="V109" s="64">
        <f>IF(ISERROR(VLOOKUP($S$109,'TAR FIN'!$A$1:$O$92,15,0)),0,VLOOKUP($S$109,'TAR FIN'!$A$1:$O$92,15,0))*(1-0.04)</f>
        <v>14.054399999999999</v>
      </c>
      <c r="W109" s="64">
        <f>IF(ISERROR(VLOOKUP($T$109,'TAR FIN'!$A$1:$O$92,15,0)),0,VLOOKUP($T$109,'TAR FIN'!$A$1:$O$92,15,0))</f>
        <v>0</v>
      </c>
      <c r="X109" s="64">
        <f>IF(ISERROR(VLOOKUP($U$109,'TAR FIN'!$A$1:$O$92,15,0)),0,VLOOKUP($U$109,'TAR FIN'!$A$1:$O$92,15,0))</f>
        <v>0</v>
      </c>
      <c r="Y109" s="64">
        <f ca="1">('TUSD BE'!$AM$10+'TUSD BF'!$AM$10+'TUSD CVA'!$AM$10)*1*(1-0.02)</f>
        <v>18.643987249835956</v>
      </c>
      <c r="Z109" s="64"/>
      <c r="AA109" s="64"/>
      <c r="AB109" s="64">
        <f>(SUBSIDIO!$J$109*SUBSIDIO!$V$109)*(0.04)/(1-0.04)</f>
        <v>1241.472</v>
      </c>
      <c r="AC109" s="64">
        <f>((SUBSIDIO!$L$109*SUBSIDIO!$W$109)+(SUBSIDIO!$N$109*SUBSIDIO!$X$109))*(0.04)/(1-0.04)</f>
        <v>0</v>
      </c>
      <c r="AD109" s="64">
        <f ca="1">(SUBSIDIO!$J$109*SUBSIDIO!$Y$109)*(0.02)/(1-0.02)</f>
        <v>806.63781570718834</v>
      </c>
      <c r="AE109" s="64">
        <f>((SUBSIDIO!$L$109*SUBSIDIO!$Z$109)+(SUBSIDIO!$N$109*SUBSIDIO!$AA$109))*(0.02)/(1-0.02)</f>
        <v>0</v>
      </c>
      <c r="AF109" s="3" t="s">
        <v>752</v>
      </c>
    </row>
    <row r="110" spans="1:32" ht="11.25" customHeight="1" x14ac:dyDescent="0.25">
      <c r="A110" s="3" t="s">
        <v>21</v>
      </c>
      <c r="B110" s="3" t="s">
        <v>39</v>
      </c>
      <c r="C110" s="3" t="s">
        <v>41</v>
      </c>
      <c r="D110" s="3" t="s">
        <v>44</v>
      </c>
      <c r="E110" s="3" t="s">
        <v>25</v>
      </c>
      <c r="F110" s="3" t="s">
        <v>25</v>
      </c>
      <c r="G110" s="3" t="s">
        <v>25</v>
      </c>
      <c r="H110" s="3" t="s">
        <v>25</v>
      </c>
      <c r="I110" s="6">
        <v>44652</v>
      </c>
      <c r="J110" s="4">
        <v>2120</v>
      </c>
      <c r="K110" s="64">
        <v>2120</v>
      </c>
      <c r="L110" s="4">
        <v>0</v>
      </c>
      <c r="M110" s="64">
        <v>0</v>
      </c>
      <c r="N110" s="4">
        <v>0</v>
      </c>
      <c r="O110" s="64">
        <v>0</v>
      </c>
      <c r="P110" s="4">
        <v>14</v>
      </c>
      <c r="Q110" s="3" t="s">
        <v>26</v>
      </c>
      <c r="R110" s="3">
        <v>0</v>
      </c>
      <c r="S110" s="3">
        <v>18</v>
      </c>
      <c r="T110" s="3">
        <v>0</v>
      </c>
      <c r="U110" s="3">
        <v>0</v>
      </c>
      <c r="V110" s="64">
        <f>IF(ISERROR(VLOOKUP($S$110,'TAR FIN'!$A$1:$O$92,15,0)),0,VLOOKUP($S$110,'TAR FIN'!$A$1:$O$92,15,0))*(1-0.04)</f>
        <v>14.054399999999999</v>
      </c>
      <c r="W110" s="64">
        <f>IF(ISERROR(VLOOKUP($T$110,'TAR FIN'!$A$1:$O$92,15,0)),0,VLOOKUP($T$110,'TAR FIN'!$A$1:$O$92,15,0))</f>
        <v>0</v>
      </c>
      <c r="X110" s="64">
        <f>IF(ISERROR(VLOOKUP($U$110,'TAR FIN'!$A$1:$O$92,15,0)),0,VLOOKUP($U$110,'TAR FIN'!$A$1:$O$92,15,0))</f>
        <v>0</v>
      </c>
      <c r="Y110" s="64">
        <f ca="1">('TUSD BE'!$AM$10+'TUSD BF'!$AM$10+'TUSD CVA'!$AM$10)*1*(1-0.02)</f>
        <v>18.643987249835956</v>
      </c>
      <c r="Z110" s="64"/>
      <c r="AA110" s="64"/>
      <c r="AB110" s="64">
        <f>(SUBSIDIO!$J$110*SUBSIDIO!$V$110)*(0.04)/(1-0.04)</f>
        <v>1241.472</v>
      </c>
      <c r="AC110" s="64">
        <f>((SUBSIDIO!$L$110*SUBSIDIO!$W$110)+(SUBSIDIO!$N$110*SUBSIDIO!$X$110))*(0.04)/(1-0.04)</f>
        <v>0</v>
      </c>
      <c r="AD110" s="64">
        <f ca="1">(SUBSIDIO!$J$110*SUBSIDIO!$Y$110)*(0.02)/(1-0.02)</f>
        <v>806.63781570718834</v>
      </c>
      <c r="AE110" s="64">
        <f>((SUBSIDIO!$L$110*SUBSIDIO!$Z$110)+(SUBSIDIO!$N$110*SUBSIDIO!$AA$110))*(0.02)/(1-0.02)</f>
        <v>0</v>
      </c>
      <c r="AF110" s="3" t="s">
        <v>752</v>
      </c>
    </row>
    <row r="111" spans="1:32" ht="11.25" customHeight="1" x14ac:dyDescent="0.25">
      <c r="A111" s="3" t="s">
        <v>21</v>
      </c>
      <c r="B111" s="3" t="s">
        <v>39</v>
      </c>
      <c r="C111" s="3" t="s">
        <v>41</v>
      </c>
      <c r="D111" s="3" t="s">
        <v>44</v>
      </c>
      <c r="E111" s="3" t="s">
        <v>25</v>
      </c>
      <c r="F111" s="3" t="s">
        <v>25</v>
      </c>
      <c r="G111" s="3" t="s">
        <v>25</v>
      </c>
      <c r="H111" s="3" t="s">
        <v>25</v>
      </c>
      <c r="I111" s="6">
        <v>44682</v>
      </c>
      <c r="J111" s="4">
        <v>950</v>
      </c>
      <c r="K111" s="64">
        <v>950</v>
      </c>
      <c r="L111" s="4">
        <v>0</v>
      </c>
      <c r="M111" s="64">
        <v>0</v>
      </c>
      <c r="N111" s="4">
        <v>0</v>
      </c>
      <c r="O111" s="64">
        <v>0</v>
      </c>
      <c r="P111" s="4">
        <v>15</v>
      </c>
      <c r="Q111" s="3" t="s">
        <v>26</v>
      </c>
      <c r="R111" s="3">
        <v>0</v>
      </c>
      <c r="S111" s="3">
        <v>18</v>
      </c>
      <c r="T111" s="3">
        <v>0</v>
      </c>
      <c r="U111" s="3">
        <v>0</v>
      </c>
      <c r="V111" s="64">
        <f>IF(ISERROR(VLOOKUP($S$111,'TAR FIN'!$A$1:$O$92,15,0)),0,VLOOKUP($S$111,'TAR FIN'!$A$1:$O$92,15,0))*(1-0.04)</f>
        <v>14.054399999999999</v>
      </c>
      <c r="W111" s="64">
        <f>IF(ISERROR(VLOOKUP($T$111,'TAR FIN'!$A$1:$O$92,15,0)),0,VLOOKUP($T$111,'TAR FIN'!$A$1:$O$92,15,0))</f>
        <v>0</v>
      </c>
      <c r="X111" s="64">
        <f>IF(ISERROR(VLOOKUP($U$111,'TAR FIN'!$A$1:$O$92,15,0)),0,VLOOKUP($U$111,'TAR FIN'!$A$1:$O$92,15,0))</f>
        <v>0</v>
      </c>
      <c r="Y111" s="64">
        <f ca="1">('TUSD BE'!$AM$10+'TUSD BF'!$AM$10+'TUSD CVA'!$AM$10)*1*(1-0.02)</f>
        <v>18.643987249835956</v>
      </c>
      <c r="Z111" s="64"/>
      <c r="AA111" s="64"/>
      <c r="AB111" s="64">
        <f>(SUBSIDIO!$J$111*SUBSIDIO!$V$111)*(0.04)/(1-0.04)</f>
        <v>556.31999999999994</v>
      </c>
      <c r="AC111" s="64">
        <f>((SUBSIDIO!$L$111*SUBSIDIO!$W$111)+(SUBSIDIO!$N$111*SUBSIDIO!$X$111))*(0.04)/(1-0.04)</f>
        <v>0</v>
      </c>
      <c r="AD111" s="64">
        <f ca="1">(SUBSIDIO!$J$111*SUBSIDIO!$Y$111)*(0.02)/(1-0.02)</f>
        <v>361.46505892539102</v>
      </c>
      <c r="AE111" s="64">
        <f>((SUBSIDIO!$L$111*SUBSIDIO!$Z$111)+(SUBSIDIO!$N$111*SUBSIDIO!$AA$111))*(0.02)/(1-0.02)</f>
        <v>0</v>
      </c>
      <c r="AF111" s="3" t="s">
        <v>752</v>
      </c>
    </row>
    <row r="112" spans="1:32" ht="11.25" customHeight="1" x14ac:dyDescent="0.25">
      <c r="A112" s="3" t="s">
        <v>28</v>
      </c>
      <c r="B112" s="3" t="s">
        <v>39</v>
      </c>
      <c r="C112" s="3" t="s">
        <v>41</v>
      </c>
      <c r="D112" s="3" t="s">
        <v>44</v>
      </c>
      <c r="E112" s="3" t="s">
        <v>25</v>
      </c>
      <c r="F112" s="3" t="s">
        <v>25</v>
      </c>
      <c r="G112" s="3" t="s">
        <v>25</v>
      </c>
      <c r="H112" s="3" t="s">
        <v>25</v>
      </c>
      <c r="I112" s="6">
        <v>44682</v>
      </c>
      <c r="J112" s="4">
        <v>1028</v>
      </c>
      <c r="K112" s="64">
        <v>1028</v>
      </c>
      <c r="L112" s="4">
        <v>0</v>
      </c>
      <c r="M112" s="64">
        <v>0</v>
      </c>
      <c r="N112" s="4">
        <v>0</v>
      </c>
      <c r="O112" s="64">
        <v>0</v>
      </c>
      <c r="P112" s="4">
        <v>8</v>
      </c>
      <c r="Q112" s="3" t="s">
        <v>26</v>
      </c>
      <c r="R112" s="3">
        <v>0</v>
      </c>
      <c r="S112" s="3">
        <v>18</v>
      </c>
      <c r="T112" s="3">
        <v>0</v>
      </c>
      <c r="U112" s="3">
        <v>0</v>
      </c>
      <c r="V112" s="64">
        <f>IF(ISERROR(VLOOKUP($S$112,'TAR FIN'!$A$1:$O$92,15,0)),0,VLOOKUP($S$112,'TAR FIN'!$A$1:$O$92,15,0))*(1-0.04)</f>
        <v>14.054399999999999</v>
      </c>
      <c r="W112" s="64">
        <f>IF(ISERROR(VLOOKUP($T$112,'TAR FIN'!$A$1:$O$92,15,0)),0,VLOOKUP($T$112,'TAR FIN'!$A$1:$O$92,15,0))</f>
        <v>0</v>
      </c>
      <c r="X112" s="64">
        <f>IF(ISERROR(VLOOKUP($U$112,'TAR FIN'!$A$1:$O$92,15,0)),0,VLOOKUP($U$112,'TAR FIN'!$A$1:$O$92,15,0))</f>
        <v>0</v>
      </c>
      <c r="Y112" s="64">
        <f ca="1">('TUSD BE'!$AM$10+'TUSD BF'!$AM$10+'TUSD CVA'!$AM$10)*1*(1-0.02)</f>
        <v>18.643987249835956</v>
      </c>
      <c r="Z112" s="64"/>
      <c r="AA112" s="64"/>
      <c r="AB112" s="64">
        <f>(SUBSIDIO!$J$112*SUBSIDIO!$V$112)*(0.04)/(1-0.04)</f>
        <v>601.99680000000001</v>
      </c>
      <c r="AC112" s="64">
        <f>((SUBSIDIO!$L$112*SUBSIDIO!$W$112)+(SUBSIDIO!$N$112*SUBSIDIO!$X$112))*(0.04)/(1-0.04)</f>
        <v>0</v>
      </c>
      <c r="AD112" s="64">
        <f ca="1">(SUBSIDIO!$J$112*SUBSIDIO!$Y$112)*(0.02)/(1-0.02)</f>
        <v>391.14324271084416</v>
      </c>
      <c r="AE112" s="64">
        <f>((SUBSIDIO!$L$112*SUBSIDIO!$Z$112)+(SUBSIDIO!$N$112*SUBSIDIO!$AA$112))*(0.02)/(1-0.02)</f>
        <v>0</v>
      </c>
      <c r="AF112" s="3" t="s">
        <v>752</v>
      </c>
    </row>
    <row r="113" spans="1:32" ht="11.25" customHeight="1" x14ac:dyDescent="0.25">
      <c r="A113" s="3" t="s">
        <v>21</v>
      </c>
      <c r="B113" s="3" t="s">
        <v>39</v>
      </c>
      <c r="C113" s="3" t="s">
        <v>41</v>
      </c>
      <c r="D113" s="3" t="s">
        <v>44</v>
      </c>
      <c r="E113" s="3" t="s">
        <v>25</v>
      </c>
      <c r="F113" s="3" t="s">
        <v>25</v>
      </c>
      <c r="G113" s="3" t="s">
        <v>25</v>
      </c>
      <c r="H113" s="3" t="s">
        <v>25</v>
      </c>
      <c r="I113" s="6">
        <v>44713</v>
      </c>
      <c r="J113" s="4">
        <v>1156</v>
      </c>
      <c r="K113" s="64">
        <v>1156</v>
      </c>
      <c r="L113" s="4">
        <v>0</v>
      </c>
      <c r="M113" s="64">
        <v>0</v>
      </c>
      <c r="N113" s="4">
        <v>0</v>
      </c>
      <c r="O113" s="64">
        <v>0</v>
      </c>
      <c r="P113" s="4">
        <v>17</v>
      </c>
      <c r="Q113" s="3" t="s">
        <v>26</v>
      </c>
      <c r="R113" s="3">
        <v>0</v>
      </c>
      <c r="S113" s="3">
        <v>18</v>
      </c>
      <c r="T113" s="3">
        <v>0</v>
      </c>
      <c r="U113" s="3">
        <v>0</v>
      </c>
      <c r="V113" s="64">
        <f>IF(ISERROR(VLOOKUP($S$113,'TAR FIN'!$A$1:$O$92,15,0)),0,VLOOKUP($S$113,'TAR FIN'!$A$1:$O$92,15,0))*(1-0.04)</f>
        <v>14.054399999999999</v>
      </c>
      <c r="W113" s="64">
        <f>IF(ISERROR(VLOOKUP($T$113,'TAR FIN'!$A$1:$O$92,15,0)),0,VLOOKUP($T$113,'TAR FIN'!$A$1:$O$92,15,0))</f>
        <v>0</v>
      </c>
      <c r="X113" s="64">
        <f>IF(ISERROR(VLOOKUP($U$113,'TAR FIN'!$A$1:$O$92,15,0)),0,VLOOKUP($U$113,'TAR FIN'!$A$1:$O$92,15,0))</f>
        <v>0</v>
      </c>
      <c r="Y113" s="64">
        <f ca="1">('TUSD BE'!$AM$10+'TUSD BF'!$AM$10+'TUSD CVA'!$AM$10)*1*(1-0.02)</f>
        <v>18.643987249835956</v>
      </c>
      <c r="Z113" s="64"/>
      <c r="AA113" s="64"/>
      <c r="AB113" s="64">
        <f>(SUBSIDIO!$J$113*SUBSIDIO!$V$113)*(0.04)/(1-0.04)</f>
        <v>676.95360000000005</v>
      </c>
      <c r="AC113" s="64">
        <f>((SUBSIDIO!$L$113*SUBSIDIO!$W$113)+(SUBSIDIO!$N$113*SUBSIDIO!$X$113))*(0.04)/(1-0.04)</f>
        <v>0</v>
      </c>
      <c r="AD113" s="64">
        <f ca="1">(SUBSIDIO!$J$113*SUBSIDIO!$Y$113)*(0.02)/(1-0.02)</f>
        <v>439.84590328184419</v>
      </c>
      <c r="AE113" s="64">
        <f>((SUBSIDIO!$L$113*SUBSIDIO!$Z$113)+(SUBSIDIO!$N$113*SUBSIDIO!$AA$113))*(0.02)/(1-0.02)</f>
        <v>0</v>
      </c>
      <c r="AF113" s="3" t="s">
        <v>752</v>
      </c>
    </row>
    <row r="114" spans="1:32" ht="11.25" customHeight="1" x14ac:dyDescent="0.25">
      <c r="A114" s="3" t="s">
        <v>28</v>
      </c>
      <c r="B114" s="3" t="s">
        <v>39</v>
      </c>
      <c r="C114" s="3" t="s">
        <v>41</v>
      </c>
      <c r="D114" s="3" t="s">
        <v>44</v>
      </c>
      <c r="E114" s="3" t="s">
        <v>25</v>
      </c>
      <c r="F114" s="3" t="s">
        <v>25</v>
      </c>
      <c r="G114" s="3" t="s">
        <v>25</v>
      </c>
      <c r="H114" s="3" t="s">
        <v>25</v>
      </c>
      <c r="I114" s="6">
        <v>44713</v>
      </c>
      <c r="J114" s="4">
        <v>268</v>
      </c>
      <c r="K114" s="64">
        <v>268</v>
      </c>
      <c r="L114" s="4">
        <v>0</v>
      </c>
      <c r="M114" s="64">
        <v>0</v>
      </c>
      <c r="N114" s="4">
        <v>0</v>
      </c>
      <c r="O114" s="64">
        <v>0</v>
      </c>
      <c r="P114" s="4">
        <v>2</v>
      </c>
      <c r="Q114" s="3" t="s">
        <v>26</v>
      </c>
      <c r="R114" s="3">
        <v>0</v>
      </c>
      <c r="S114" s="3">
        <v>18</v>
      </c>
      <c r="T114" s="3">
        <v>0</v>
      </c>
      <c r="U114" s="3">
        <v>0</v>
      </c>
      <c r="V114" s="64">
        <f>IF(ISERROR(VLOOKUP($S$114,'TAR FIN'!$A$1:$O$92,15,0)),0,VLOOKUP($S$114,'TAR FIN'!$A$1:$O$92,15,0))*(1-0.04)</f>
        <v>14.054399999999999</v>
      </c>
      <c r="W114" s="64">
        <f>IF(ISERROR(VLOOKUP($T$114,'TAR FIN'!$A$1:$O$92,15,0)),0,VLOOKUP($T$114,'TAR FIN'!$A$1:$O$92,15,0))</f>
        <v>0</v>
      </c>
      <c r="X114" s="64">
        <f>IF(ISERROR(VLOOKUP($U$114,'TAR FIN'!$A$1:$O$92,15,0)),0,VLOOKUP($U$114,'TAR FIN'!$A$1:$O$92,15,0))</f>
        <v>0</v>
      </c>
      <c r="Y114" s="64">
        <f ca="1">('TUSD BE'!$AM$10+'TUSD BF'!$AM$10+'TUSD CVA'!$AM$10)*1*(1-0.02)</f>
        <v>18.643987249835956</v>
      </c>
      <c r="Z114" s="64"/>
      <c r="AA114" s="64"/>
      <c r="AB114" s="64">
        <f>(SUBSIDIO!$J$114*SUBSIDIO!$V$114)*(0.04)/(1-0.04)</f>
        <v>156.9408</v>
      </c>
      <c r="AC114" s="64">
        <f>((SUBSIDIO!$L$114*SUBSIDIO!$W$114)+(SUBSIDIO!$N$114*SUBSIDIO!$X$114))*(0.04)/(1-0.04)</f>
        <v>0</v>
      </c>
      <c r="AD114" s="64">
        <f ca="1">(SUBSIDIO!$J$114*SUBSIDIO!$Y$114)*(0.02)/(1-0.02)</f>
        <v>101.97119557053134</v>
      </c>
      <c r="AE114" s="64">
        <f>((SUBSIDIO!$L$114*SUBSIDIO!$Z$114)+(SUBSIDIO!$N$114*SUBSIDIO!$AA$114))*(0.02)/(1-0.02)</f>
        <v>0</v>
      </c>
      <c r="AF114" s="3" t="s">
        <v>752</v>
      </c>
    </row>
    <row r="115" spans="1:32" ht="11.25" customHeight="1" x14ac:dyDescent="0.25">
      <c r="A115" s="3" t="s">
        <v>21</v>
      </c>
      <c r="B115" s="3" t="s">
        <v>39</v>
      </c>
      <c r="C115" s="3" t="s">
        <v>41</v>
      </c>
      <c r="D115" s="3" t="s">
        <v>44</v>
      </c>
      <c r="E115" s="3" t="s">
        <v>25</v>
      </c>
      <c r="F115" s="3" t="s">
        <v>25</v>
      </c>
      <c r="G115" s="3" t="s">
        <v>25</v>
      </c>
      <c r="H115" s="3" t="s">
        <v>25</v>
      </c>
      <c r="I115" s="6">
        <v>44743</v>
      </c>
      <c r="J115" s="4">
        <v>1113</v>
      </c>
      <c r="K115" s="64">
        <v>1113</v>
      </c>
      <c r="L115" s="4">
        <v>0</v>
      </c>
      <c r="M115" s="64">
        <v>0</v>
      </c>
      <c r="N115" s="4">
        <v>0</v>
      </c>
      <c r="O115" s="64">
        <v>0</v>
      </c>
      <c r="P115" s="4">
        <v>16</v>
      </c>
      <c r="Q115" s="3" t="s">
        <v>26</v>
      </c>
      <c r="R115" s="3">
        <v>0</v>
      </c>
      <c r="S115" s="3">
        <v>18</v>
      </c>
      <c r="T115" s="3">
        <v>0</v>
      </c>
      <c r="U115" s="3">
        <v>0</v>
      </c>
      <c r="V115" s="64">
        <f>IF(ISERROR(VLOOKUP($S$115,'TAR FIN'!$A$1:$O$92,15,0)),0,VLOOKUP($S$115,'TAR FIN'!$A$1:$O$92,15,0))*(1-0.04)</f>
        <v>14.054399999999999</v>
      </c>
      <c r="W115" s="64">
        <f>IF(ISERROR(VLOOKUP($T$115,'TAR FIN'!$A$1:$O$92,15,0)),0,VLOOKUP($T$115,'TAR FIN'!$A$1:$O$92,15,0))</f>
        <v>0</v>
      </c>
      <c r="X115" s="64">
        <f>IF(ISERROR(VLOOKUP($U$115,'TAR FIN'!$A$1:$O$92,15,0)),0,VLOOKUP($U$115,'TAR FIN'!$A$1:$O$92,15,0))</f>
        <v>0</v>
      </c>
      <c r="Y115" s="64">
        <f ca="1">('TUSD BE'!$AM$10+'TUSD BF'!$AM$10+'TUSD CVA'!$AM$10)*1*(1-0.02)</f>
        <v>18.643987249835956</v>
      </c>
      <c r="Z115" s="64"/>
      <c r="AA115" s="64"/>
      <c r="AB115" s="64">
        <f>(SUBSIDIO!$J$115*SUBSIDIO!$V$115)*(0.04)/(1-0.04)</f>
        <v>651.77279999999996</v>
      </c>
      <c r="AC115" s="64">
        <f>((SUBSIDIO!$L$115*SUBSIDIO!$W$115)+(SUBSIDIO!$N$115*SUBSIDIO!$X$115))*(0.04)/(1-0.04)</f>
        <v>0</v>
      </c>
      <c r="AD115" s="64">
        <f ca="1">(SUBSIDIO!$J$115*SUBSIDIO!$Y$115)*(0.02)/(1-0.02)</f>
        <v>423.48485324627381</v>
      </c>
      <c r="AE115" s="64">
        <f>((SUBSIDIO!$L$115*SUBSIDIO!$Z$115)+(SUBSIDIO!$N$115*SUBSIDIO!$AA$115))*(0.02)/(1-0.02)</f>
        <v>0</v>
      </c>
      <c r="AF115" s="3" t="s">
        <v>752</v>
      </c>
    </row>
    <row r="116" spans="1:32" ht="11.25" customHeight="1" x14ac:dyDescent="0.25">
      <c r="A116" s="3" t="s">
        <v>28</v>
      </c>
      <c r="B116" s="3" t="s">
        <v>39</v>
      </c>
      <c r="C116" s="3" t="s">
        <v>41</v>
      </c>
      <c r="D116" s="3" t="s">
        <v>44</v>
      </c>
      <c r="E116" s="3" t="s">
        <v>25</v>
      </c>
      <c r="F116" s="3" t="s">
        <v>25</v>
      </c>
      <c r="G116" s="3" t="s">
        <v>25</v>
      </c>
      <c r="H116" s="3" t="s">
        <v>25</v>
      </c>
      <c r="I116" s="6">
        <v>44743</v>
      </c>
      <c r="J116" s="4">
        <v>249</v>
      </c>
      <c r="K116" s="64">
        <v>249</v>
      </c>
      <c r="L116" s="4">
        <v>0</v>
      </c>
      <c r="M116" s="64">
        <v>0</v>
      </c>
      <c r="N116" s="4">
        <v>0</v>
      </c>
      <c r="O116" s="64">
        <v>0</v>
      </c>
      <c r="P116" s="4">
        <v>2</v>
      </c>
      <c r="Q116" s="3" t="s">
        <v>26</v>
      </c>
      <c r="R116" s="3">
        <v>0</v>
      </c>
      <c r="S116" s="3">
        <v>18</v>
      </c>
      <c r="T116" s="3">
        <v>0</v>
      </c>
      <c r="U116" s="3">
        <v>0</v>
      </c>
      <c r="V116" s="64">
        <f>IF(ISERROR(VLOOKUP($S$116,'TAR FIN'!$A$1:$O$92,15,0)),0,VLOOKUP($S$116,'TAR FIN'!$A$1:$O$92,15,0))*(1-0.04)</f>
        <v>14.054399999999999</v>
      </c>
      <c r="W116" s="64">
        <f>IF(ISERROR(VLOOKUP($T$116,'TAR FIN'!$A$1:$O$92,15,0)),0,VLOOKUP($T$116,'TAR FIN'!$A$1:$O$92,15,0))</f>
        <v>0</v>
      </c>
      <c r="X116" s="64">
        <f>IF(ISERROR(VLOOKUP($U$116,'TAR FIN'!$A$1:$O$92,15,0)),0,VLOOKUP($U$116,'TAR FIN'!$A$1:$O$92,15,0))</f>
        <v>0</v>
      </c>
      <c r="Y116" s="64">
        <f ca="1">('TUSD BE'!$AM$10+'TUSD BF'!$AM$10+'TUSD CVA'!$AM$10)*1*(1-0.02)</f>
        <v>18.643987249835956</v>
      </c>
      <c r="Z116" s="64"/>
      <c r="AA116" s="64"/>
      <c r="AB116" s="64">
        <f>(SUBSIDIO!$J$116*SUBSIDIO!$V$116)*(0.04)/(1-0.04)</f>
        <v>145.81440000000001</v>
      </c>
      <c r="AC116" s="64">
        <f>((SUBSIDIO!$L$116*SUBSIDIO!$W$116)+(SUBSIDIO!$N$116*SUBSIDIO!$X$116))*(0.04)/(1-0.04)</f>
        <v>0</v>
      </c>
      <c r="AD116" s="64">
        <f ca="1">(SUBSIDIO!$J$116*SUBSIDIO!$Y$116)*(0.02)/(1-0.02)</f>
        <v>94.741894392023525</v>
      </c>
      <c r="AE116" s="64">
        <f>((SUBSIDIO!$L$116*SUBSIDIO!$Z$116)+(SUBSIDIO!$N$116*SUBSIDIO!$AA$116))*(0.02)/(1-0.02)</f>
        <v>0</v>
      </c>
      <c r="AF116" s="3" t="s">
        <v>752</v>
      </c>
    </row>
    <row r="117" spans="1:32" ht="11.25" customHeight="1" x14ac:dyDescent="0.25">
      <c r="A117" s="3" t="s">
        <v>21</v>
      </c>
      <c r="B117" s="3" t="s">
        <v>39</v>
      </c>
      <c r="C117" s="3" t="s">
        <v>41</v>
      </c>
      <c r="D117" s="3" t="s">
        <v>44</v>
      </c>
      <c r="E117" s="3" t="s">
        <v>25</v>
      </c>
      <c r="F117" s="3" t="s">
        <v>25</v>
      </c>
      <c r="G117" s="3" t="s">
        <v>25</v>
      </c>
      <c r="H117" s="3" t="s">
        <v>25</v>
      </c>
      <c r="I117" s="6">
        <v>44774</v>
      </c>
      <c r="J117" s="4">
        <v>965</v>
      </c>
      <c r="K117" s="64">
        <v>965</v>
      </c>
      <c r="L117" s="4">
        <v>0</v>
      </c>
      <c r="M117" s="64">
        <v>0</v>
      </c>
      <c r="N117" s="4">
        <v>0</v>
      </c>
      <c r="O117" s="64">
        <v>0</v>
      </c>
      <c r="P117" s="4">
        <v>13</v>
      </c>
      <c r="Q117" s="3" t="s">
        <v>26</v>
      </c>
      <c r="R117" s="3">
        <v>0</v>
      </c>
      <c r="S117" s="3">
        <v>18</v>
      </c>
      <c r="T117" s="3">
        <v>0</v>
      </c>
      <c r="U117" s="3">
        <v>0</v>
      </c>
      <c r="V117" s="64">
        <f>IF(ISERROR(VLOOKUP($S$117,'TAR FIN'!$A$1:$O$92,15,0)),0,VLOOKUP($S$117,'TAR FIN'!$A$1:$O$92,15,0))*(1-0.04)</f>
        <v>14.054399999999999</v>
      </c>
      <c r="W117" s="64">
        <f>IF(ISERROR(VLOOKUP($T$117,'TAR FIN'!$A$1:$O$92,15,0)),0,VLOOKUP($T$117,'TAR FIN'!$A$1:$O$92,15,0))</f>
        <v>0</v>
      </c>
      <c r="X117" s="64">
        <f>IF(ISERROR(VLOOKUP($U$117,'TAR FIN'!$A$1:$O$92,15,0)),0,VLOOKUP($U$117,'TAR FIN'!$A$1:$O$92,15,0))</f>
        <v>0</v>
      </c>
      <c r="Y117" s="64">
        <f ca="1">('TUSD BE'!$AM$10+'TUSD BF'!$AM$10+'TUSD CVA'!$AM$10)*1*(1-0.02)</f>
        <v>18.643987249835956</v>
      </c>
      <c r="Z117" s="64"/>
      <c r="AA117" s="64"/>
      <c r="AB117" s="64">
        <f>(SUBSIDIO!$J$117*SUBSIDIO!$V$117)*(0.04)/(1-0.04)</f>
        <v>565.10399999999993</v>
      </c>
      <c r="AC117" s="64">
        <f>((SUBSIDIO!$L$117*SUBSIDIO!$W$117)+(SUBSIDIO!$N$117*SUBSIDIO!$X$117))*(0.04)/(1-0.04)</f>
        <v>0</v>
      </c>
      <c r="AD117" s="64">
        <f ca="1">(SUBSIDIO!$J$117*SUBSIDIO!$Y$117)*(0.02)/(1-0.02)</f>
        <v>367.17240196105507</v>
      </c>
      <c r="AE117" s="64">
        <f>((SUBSIDIO!$L$117*SUBSIDIO!$Z$117)+(SUBSIDIO!$N$117*SUBSIDIO!$AA$117))*(0.02)/(1-0.02)</f>
        <v>0</v>
      </c>
      <c r="AF117" s="3" t="s">
        <v>752</v>
      </c>
    </row>
    <row r="118" spans="1:32" ht="11.25" customHeight="1" x14ac:dyDescent="0.25">
      <c r="A118" s="3" t="s">
        <v>28</v>
      </c>
      <c r="B118" s="3" t="s">
        <v>39</v>
      </c>
      <c r="C118" s="3" t="s">
        <v>41</v>
      </c>
      <c r="D118" s="3" t="s">
        <v>44</v>
      </c>
      <c r="E118" s="3" t="s">
        <v>25</v>
      </c>
      <c r="F118" s="3" t="s">
        <v>25</v>
      </c>
      <c r="G118" s="3" t="s">
        <v>25</v>
      </c>
      <c r="H118" s="3" t="s">
        <v>25</v>
      </c>
      <c r="I118" s="6">
        <v>44774</v>
      </c>
      <c r="J118" s="4">
        <v>499</v>
      </c>
      <c r="K118" s="64">
        <v>499</v>
      </c>
      <c r="L118" s="4">
        <v>0</v>
      </c>
      <c r="M118" s="64">
        <v>0</v>
      </c>
      <c r="N118" s="4">
        <v>0</v>
      </c>
      <c r="O118" s="64">
        <v>0</v>
      </c>
      <c r="P118" s="4">
        <v>3</v>
      </c>
      <c r="Q118" s="3" t="s">
        <v>26</v>
      </c>
      <c r="R118" s="3">
        <v>0</v>
      </c>
      <c r="S118" s="3">
        <v>18</v>
      </c>
      <c r="T118" s="3">
        <v>0</v>
      </c>
      <c r="U118" s="3">
        <v>0</v>
      </c>
      <c r="V118" s="64">
        <f>IF(ISERROR(VLOOKUP($S$118,'TAR FIN'!$A$1:$O$92,15,0)),0,VLOOKUP($S$118,'TAR FIN'!$A$1:$O$92,15,0))*(1-0.04)</f>
        <v>14.054399999999999</v>
      </c>
      <c r="W118" s="64">
        <f>IF(ISERROR(VLOOKUP($T$118,'TAR FIN'!$A$1:$O$92,15,0)),0,VLOOKUP($T$118,'TAR FIN'!$A$1:$O$92,15,0))</f>
        <v>0</v>
      </c>
      <c r="X118" s="64">
        <f>IF(ISERROR(VLOOKUP($U$118,'TAR FIN'!$A$1:$O$92,15,0)),0,VLOOKUP($U$118,'TAR FIN'!$A$1:$O$92,15,0))</f>
        <v>0</v>
      </c>
      <c r="Y118" s="64">
        <f ca="1">('TUSD BE'!$AM$10+'TUSD BF'!$AM$10+'TUSD CVA'!$AM$10)*1*(1-0.02)</f>
        <v>18.643987249835956</v>
      </c>
      <c r="Z118" s="64"/>
      <c r="AA118" s="64"/>
      <c r="AB118" s="64">
        <f>(SUBSIDIO!$J$118*SUBSIDIO!$V$118)*(0.04)/(1-0.04)</f>
        <v>292.21440000000001</v>
      </c>
      <c r="AC118" s="64">
        <f>((SUBSIDIO!$L$118*SUBSIDIO!$W$118)+(SUBSIDIO!$N$118*SUBSIDIO!$X$118))*(0.04)/(1-0.04)</f>
        <v>0</v>
      </c>
      <c r="AD118" s="64">
        <f ca="1">(SUBSIDIO!$J$118*SUBSIDIO!$Y$118)*(0.02)/(1-0.02)</f>
        <v>189.864278319758</v>
      </c>
      <c r="AE118" s="64">
        <f>((SUBSIDIO!$L$118*SUBSIDIO!$Z$118)+(SUBSIDIO!$N$118*SUBSIDIO!$AA$118))*(0.02)/(1-0.02)</f>
        <v>0</v>
      </c>
      <c r="AF118" s="3" t="s">
        <v>752</v>
      </c>
    </row>
    <row r="119" spans="1:32" ht="11.25" customHeight="1" x14ac:dyDescent="0.25">
      <c r="A119" s="3" t="s">
        <v>21</v>
      </c>
      <c r="B119" s="3" t="s">
        <v>39</v>
      </c>
      <c r="C119" s="3" t="s">
        <v>41</v>
      </c>
      <c r="D119" s="3" t="s">
        <v>44</v>
      </c>
      <c r="E119" s="3" t="s">
        <v>25</v>
      </c>
      <c r="F119" s="3" t="s">
        <v>25</v>
      </c>
      <c r="G119" s="3" t="s">
        <v>25</v>
      </c>
      <c r="H119" s="3" t="s">
        <v>25</v>
      </c>
      <c r="I119" s="6">
        <v>44805</v>
      </c>
      <c r="J119" s="4">
        <v>974</v>
      </c>
      <c r="K119" s="64">
        <v>974</v>
      </c>
      <c r="L119" s="4">
        <v>0</v>
      </c>
      <c r="M119" s="64">
        <v>0</v>
      </c>
      <c r="N119" s="4">
        <v>0</v>
      </c>
      <c r="O119" s="64">
        <v>0</v>
      </c>
      <c r="P119" s="4">
        <v>12</v>
      </c>
      <c r="Q119" s="3" t="s">
        <v>26</v>
      </c>
      <c r="R119" s="3">
        <v>0</v>
      </c>
      <c r="S119" s="3">
        <v>18</v>
      </c>
      <c r="T119" s="3">
        <v>0</v>
      </c>
      <c r="U119" s="3">
        <v>0</v>
      </c>
      <c r="V119" s="64">
        <f>IF(ISERROR(VLOOKUP($S$119,'TAR FIN'!$A$1:$O$92,15,0)),0,VLOOKUP($S$119,'TAR FIN'!$A$1:$O$92,15,0))*(1-0.04)</f>
        <v>14.054399999999999</v>
      </c>
      <c r="W119" s="64">
        <f>IF(ISERROR(VLOOKUP($T$119,'TAR FIN'!$A$1:$O$92,15,0)),0,VLOOKUP($T$119,'TAR FIN'!$A$1:$O$92,15,0))</f>
        <v>0</v>
      </c>
      <c r="X119" s="64">
        <f>IF(ISERROR(VLOOKUP($U$119,'TAR FIN'!$A$1:$O$92,15,0)),0,VLOOKUP($U$119,'TAR FIN'!$A$1:$O$92,15,0))</f>
        <v>0</v>
      </c>
      <c r="Y119" s="64">
        <f ca="1">('TUSD BE'!$AM$10+'TUSD BF'!$AM$10+'TUSD CVA'!$AM$10)*1*(1-0.02)</f>
        <v>18.643987249835956</v>
      </c>
      <c r="Z119" s="64"/>
      <c r="AA119" s="64"/>
      <c r="AB119" s="64">
        <f>(SUBSIDIO!$J$119*SUBSIDIO!$V$119)*(0.04)/(1-0.04)</f>
        <v>570.37440000000004</v>
      </c>
      <c r="AC119" s="64">
        <f>((SUBSIDIO!$L$119*SUBSIDIO!$W$119)+(SUBSIDIO!$N$119*SUBSIDIO!$X$119))*(0.04)/(1-0.04)</f>
        <v>0</v>
      </c>
      <c r="AD119" s="64">
        <f ca="1">(SUBSIDIO!$J$119*SUBSIDIO!$Y$119)*(0.02)/(1-0.02)</f>
        <v>370.59680778245348</v>
      </c>
      <c r="AE119" s="64">
        <f>((SUBSIDIO!$L$119*SUBSIDIO!$Z$119)+(SUBSIDIO!$N$119*SUBSIDIO!$AA$119))*(0.02)/(1-0.02)</f>
        <v>0</v>
      </c>
      <c r="AF119" s="3" t="s">
        <v>752</v>
      </c>
    </row>
    <row r="120" spans="1:32" ht="11.25" customHeight="1" x14ac:dyDescent="0.25">
      <c r="A120" s="3" t="s">
        <v>28</v>
      </c>
      <c r="B120" s="3" t="s">
        <v>39</v>
      </c>
      <c r="C120" s="3" t="s">
        <v>41</v>
      </c>
      <c r="D120" s="3" t="s">
        <v>44</v>
      </c>
      <c r="E120" s="3" t="s">
        <v>25</v>
      </c>
      <c r="F120" s="3" t="s">
        <v>25</v>
      </c>
      <c r="G120" s="3" t="s">
        <v>25</v>
      </c>
      <c r="H120" s="3" t="s">
        <v>25</v>
      </c>
      <c r="I120" s="6">
        <v>44805</v>
      </c>
      <c r="J120" s="4">
        <v>251</v>
      </c>
      <c r="K120" s="64">
        <v>251</v>
      </c>
      <c r="L120" s="4">
        <v>0</v>
      </c>
      <c r="M120" s="64">
        <v>0</v>
      </c>
      <c r="N120" s="4">
        <v>0</v>
      </c>
      <c r="O120" s="64">
        <v>0</v>
      </c>
      <c r="P120" s="4">
        <v>2</v>
      </c>
      <c r="Q120" s="3" t="s">
        <v>26</v>
      </c>
      <c r="R120" s="3">
        <v>0</v>
      </c>
      <c r="S120" s="3">
        <v>18</v>
      </c>
      <c r="T120" s="3">
        <v>0</v>
      </c>
      <c r="U120" s="3">
        <v>0</v>
      </c>
      <c r="V120" s="64">
        <f>IF(ISERROR(VLOOKUP($S$120,'TAR FIN'!$A$1:$O$92,15,0)),0,VLOOKUP($S$120,'TAR FIN'!$A$1:$O$92,15,0))*(1-0.04)</f>
        <v>14.054399999999999</v>
      </c>
      <c r="W120" s="64">
        <f>IF(ISERROR(VLOOKUP($T$120,'TAR FIN'!$A$1:$O$92,15,0)),0,VLOOKUP($T$120,'TAR FIN'!$A$1:$O$92,15,0))</f>
        <v>0</v>
      </c>
      <c r="X120" s="64">
        <f>IF(ISERROR(VLOOKUP($U$120,'TAR FIN'!$A$1:$O$92,15,0)),0,VLOOKUP($U$120,'TAR FIN'!$A$1:$O$92,15,0))</f>
        <v>0</v>
      </c>
      <c r="Y120" s="64">
        <f ca="1">('TUSD BE'!$AM$10+'TUSD BF'!$AM$10+'TUSD CVA'!$AM$10)*1*(1-0.02)</f>
        <v>18.643987249835956</v>
      </c>
      <c r="Z120" s="64"/>
      <c r="AA120" s="64"/>
      <c r="AB120" s="64">
        <f>(SUBSIDIO!$J$120*SUBSIDIO!$V$120)*(0.04)/(1-0.04)</f>
        <v>146.98560000000001</v>
      </c>
      <c r="AC120" s="64">
        <f>((SUBSIDIO!$L$120*SUBSIDIO!$W$120)+(SUBSIDIO!$N$120*SUBSIDIO!$X$120))*(0.04)/(1-0.04)</f>
        <v>0</v>
      </c>
      <c r="AD120" s="64">
        <f ca="1">(SUBSIDIO!$J$120*SUBSIDIO!$Y$120)*(0.02)/(1-0.02)</f>
        <v>95.502873463445397</v>
      </c>
      <c r="AE120" s="64">
        <f>((SUBSIDIO!$L$120*SUBSIDIO!$Z$120)+(SUBSIDIO!$N$120*SUBSIDIO!$AA$120))*(0.02)/(1-0.02)</f>
        <v>0</v>
      </c>
      <c r="AF120" s="3" t="s">
        <v>752</v>
      </c>
    </row>
    <row r="121" spans="1:32" ht="11.25" customHeight="1" x14ac:dyDescent="0.25">
      <c r="A121" s="3" t="s">
        <v>55</v>
      </c>
      <c r="B121" s="3" t="s">
        <v>39</v>
      </c>
      <c r="C121" s="3" t="s">
        <v>41</v>
      </c>
      <c r="D121" s="3" t="s">
        <v>44</v>
      </c>
      <c r="E121" s="3" t="s">
        <v>25</v>
      </c>
      <c r="F121" s="3" t="s">
        <v>25</v>
      </c>
      <c r="G121" s="3" t="s">
        <v>25</v>
      </c>
      <c r="H121" s="3" t="s">
        <v>25</v>
      </c>
      <c r="I121" s="6">
        <v>44835</v>
      </c>
      <c r="J121" s="4">
        <v>974</v>
      </c>
      <c r="K121" s="64">
        <v>974</v>
      </c>
      <c r="L121" s="4">
        <v>0</v>
      </c>
      <c r="M121" s="64">
        <v>0</v>
      </c>
      <c r="N121" s="4">
        <v>0</v>
      </c>
      <c r="O121" s="64">
        <v>0</v>
      </c>
      <c r="P121" s="4">
        <v>12</v>
      </c>
      <c r="Q121" s="3" t="s">
        <v>26</v>
      </c>
      <c r="R121" s="3">
        <v>0</v>
      </c>
      <c r="S121" s="3">
        <v>18</v>
      </c>
      <c r="T121" s="3">
        <v>0</v>
      </c>
      <c r="U121" s="3">
        <v>0</v>
      </c>
      <c r="V121" s="64">
        <f>IF(ISERROR(VLOOKUP($S$121,'TAR FIN'!$A$1:$O$92,15,0)),0,VLOOKUP($S$121,'TAR FIN'!$A$1:$O$92,15,0))*(1-0.04)</f>
        <v>14.054399999999999</v>
      </c>
      <c r="W121" s="64">
        <f>IF(ISERROR(VLOOKUP($T$121,'TAR FIN'!$A$1:$O$92,15,0)),0,VLOOKUP($T$121,'TAR FIN'!$A$1:$O$92,15,0))</f>
        <v>0</v>
      </c>
      <c r="X121" s="64">
        <f>IF(ISERROR(VLOOKUP($U$121,'TAR FIN'!$A$1:$O$92,15,0)),0,VLOOKUP($U$121,'TAR FIN'!$A$1:$O$92,15,0))</f>
        <v>0</v>
      </c>
      <c r="Y121" s="64">
        <f ca="1">('TUSD BE'!$AM$10+'TUSD BF'!$AM$10+'TUSD CVA'!$AM$10)*1*(1-0.02)</f>
        <v>18.643987249835956</v>
      </c>
      <c r="Z121" s="64"/>
      <c r="AA121" s="64"/>
      <c r="AB121" s="64">
        <f>(SUBSIDIO!$J$121*SUBSIDIO!$V$121)*(0.04)/(1-0.04)</f>
        <v>570.37440000000004</v>
      </c>
      <c r="AC121" s="64">
        <f>((SUBSIDIO!$L$121*SUBSIDIO!$W$121)+(SUBSIDIO!$N$121*SUBSIDIO!$X$121))*(0.04)/(1-0.04)</f>
        <v>0</v>
      </c>
      <c r="AD121" s="64">
        <f ca="1">(SUBSIDIO!$J$121*SUBSIDIO!$Y$121)*(0.02)/(1-0.02)</f>
        <v>370.59680778245348</v>
      </c>
      <c r="AE121" s="64">
        <f>((SUBSIDIO!$L$121*SUBSIDIO!$Z$121)+(SUBSIDIO!$N$121*SUBSIDIO!$AA$121))*(0.02)/(1-0.02)</f>
        <v>0</v>
      </c>
      <c r="AF121" s="3" t="s">
        <v>752</v>
      </c>
    </row>
    <row r="122" spans="1:32" ht="11.25" customHeight="1" x14ac:dyDescent="0.25">
      <c r="A122" s="3" t="s">
        <v>55</v>
      </c>
      <c r="B122" s="3" t="s">
        <v>39</v>
      </c>
      <c r="C122" s="3" t="s">
        <v>41</v>
      </c>
      <c r="D122" s="3" t="s">
        <v>44</v>
      </c>
      <c r="E122" s="3" t="s">
        <v>25</v>
      </c>
      <c r="F122" s="3" t="s">
        <v>25</v>
      </c>
      <c r="G122" s="3" t="s">
        <v>25</v>
      </c>
      <c r="H122" s="3" t="s">
        <v>25</v>
      </c>
      <c r="I122" s="6">
        <v>44835</v>
      </c>
      <c r="J122" s="4">
        <v>251</v>
      </c>
      <c r="K122" s="64">
        <v>251</v>
      </c>
      <c r="L122" s="4">
        <v>0</v>
      </c>
      <c r="M122" s="64">
        <v>0</v>
      </c>
      <c r="N122" s="4">
        <v>0</v>
      </c>
      <c r="O122" s="64">
        <v>0</v>
      </c>
      <c r="P122" s="4">
        <v>2</v>
      </c>
      <c r="Q122" s="3" t="s">
        <v>26</v>
      </c>
      <c r="R122" s="3">
        <v>0</v>
      </c>
      <c r="S122" s="3">
        <v>18</v>
      </c>
      <c r="T122" s="3">
        <v>0</v>
      </c>
      <c r="U122" s="3">
        <v>0</v>
      </c>
      <c r="V122" s="64">
        <f>IF(ISERROR(VLOOKUP($S$122,'TAR FIN'!$A$1:$O$92,15,0)),0,VLOOKUP($S$122,'TAR FIN'!$A$1:$O$92,15,0))*(1-0.04)</f>
        <v>14.054399999999999</v>
      </c>
      <c r="W122" s="64">
        <f>IF(ISERROR(VLOOKUP($T$122,'TAR FIN'!$A$1:$O$92,15,0)),0,VLOOKUP($T$122,'TAR FIN'!$A$1:$O$92,15,0))</f>
        <v>0</v>
      </c>
      <c r="X122" s="64">
        <f>IF(ISERROR(VLOOKUP($U$122,'TAR FIN'!$A$1:$O$92,15,0)),0,VLOOKUP($U$122,'TAR FIN'!$A$1:$O$92,15,0))</f>
        <v>0</v>
      </c>
      <c r="Y122" s="64">
        <f ca="1">('TUSD BE'!$AM$10+'TUSD BF'!$AM$10+'TUSD CVA'!$AM$10)*1*(1-0.02)</f>
        <v>18.643987249835956</v>
      </c>
      <c r="Z122" s="64"/>
      <c r="AA122" s="64"/>
      <c r="AB122" s="64">
        <f>(SUBSIDIO!$J$122*SUBSIDIO!$V$122)*(0.04)/(1-0.04)</f>
        <v>146.98560000000001</v>
      </c>
      <c r="AC122" s="64">
        <f>((SUBSIDIO!$L$122*SUBSIDIO!$W$122)+(SUBSIDIO!$N$122*SUBSIDIO!$X$122))*(0.04)/(1-0.04)</f>
        <v>0</v>
      </c>
      <c r="AD122" s="64">
        <f ca="1">(SUBSIDIO!$J$122*SUBSIDIO!$Y$122)*(0.02)/(1-0.02)</f>
        <v>95.502873463445397</v>
      </c>
      <c r="AE122" s="64">
        <f>((SUBSIDIO!$L$122*SUBSIDIO!$Z$122)+(SUBSIDIO!$N$122*SUBSIDIO!$AA$122))*(0.02)/(1-0.02)</f>
        <v>0</v>
      </c>
      <c r="AF122" s="3" t="s">
        <v>752</v>
      </c>
    </row>
    <row r="123" spans="1:32" ht="11.25" customHeight="1" x14ac:dyDescent="0.25">
      <c r="A123" s="3" t="s">
        <v>21</v>
      </c>
      <c r="B123" s="3" t="s">
        <v>39</v>
      </c>
      <c r="C123" s="3" t="s">
        <v>41</v>
      </c>
      <c r="D123" s="3" t="s">
        <v>44</v>
      </c>
      <c r="E123" s="3" t="s">
        <v>25</v>
      </c>
      <c r="F123" s="3" t="s">
        <v>25</v>
      </c>
      <c r="G123" s="3" t="s">
        <v>25</v>
      </c>
      <c r="H123" s="3" t="s">
        <v>34</v>
      </c>
      <c r="I123" s="6">
        <v>44501</v>
      </c>
      <c r="J123" s="4">
        <v>0</v>
      </c>
      <c r="K123" s="64">
        <v>0</v>
      </c>
      <c r="L123" s="4">
        <v>11.599</v>
      </c>
      <c r="M123" s="64">
        <v>11.599</v>
      </c>
      <c r="N123" s="4">
        <v>11.599</v>
      </c>
      <c r="O123" s="64">
        <v>11.599</v>
      </c>
      <c r="P123" s="4">
        <v>0</v>
      </c>
      <c r="Q123" s="3" t="s">
        <v>26</v>
      </c>
      <c r="R123" s="3">
        <v>0</v>
      </c>
      <c r="S123" s="3">
        <v>0</v>
      </c>
      <c r="T123" s="3">
        <v>11</v>
      </c>
      <c r="U123" s="3">
        <v>71</v>
      </c>
      <c r="V123" s="64">
        <f>IF(ISERROR(VLOOKUP($S$123,'TAR FIN'!$A$1:$O$92,15,0)),0,VLOOKUP($S$123,'TAR FIN'!$A$1:$O$92,15,0))</f>
        <v>0</v>
      </c>
      <c r="W123" s="64">
        <f>IF(ISERROR(VLOOKUP($T$123,'TAR FIN'!$A$1:$O$92,15,0)),0,VLOOKUP($T$123,'TAR FIN'!$A$1:$O$92,15,0))*(1-0.04)</f>
        <v>1109.2895999999998</v>
      </c>
      <c r="X123" s="64">
        <f>IF(ISERROR(VLOOKUP($U$123,'TAR FIN'!$A$1:$O$92,15,0)),0,VLOOKUP($U$123,'TAR FIN'!$A$1:$O$92,15,0))*(1-0.04)</f>
        <v>416.41919999999999</v>
      </c>
      <c r="Y123" s="64"/>
      <c r="Z123" s="64">
        <f ca="1">('TUSD BE'!$AM$11+'TUSD BF'!$AM$11+'TUSD CVA'!$AM$11)*1*(1-0.02)</f>
        <v>1463.9061467887163</v>
      </c>
      <c r="AA123" s="64">
        <f>('TE BE'!$AB$5+'TE BF'!$AB$5+'TE CVA'!$AB$5)*1*(1-0.02)</f>
        <v>531.98726410884376</v>
      </c>
      <c r="AB123" s="64">
        <f>(SUBSIDIO!$J$123*SUBSIDIO!$V$123)*(0.04)/(1-0.04)</f>
        <v>0</v>
      </c>
      <c r="AC123" s="64">
        <f>((SUBSIDIO!$L$123*SUBSIDIO!$W$123)+(SUBSIDIO!$N$123*SUBSIDIO!$X$123))*(0.04)/(1-0.04)</f>
        <v>737.36234879999995</v>
      </c>
      <c r="AD123" s="64">
        <f>(SUBSIDIO!$J$123*SUBSIDIO!$Y$123)*(0.02)/(1-0.02)</f>
        <v>0</v>
      </c>
      <c r="AE123" s="64">
        <f ca="1">((SUBSIDIO!$L$123*SUBSIDIO!$Z$123)+(SUBSIDIO!$N$123*SUBSIDIO!$AA$123))*(0.02)/(1-0.02)</f>
        <v>472.45648312246527</v>
      </c>
      <c r="AF123" s="3" t="s">
        <v>752</v>
      </c>
    </row>
    <row r="124" spans="1:32" ht="11.25" customHeight="1" x14ac:dyDescent="0.25">
      <c r="A124" s="3" t="s">
        <v>21</v>
      </c>
      <c r="B124" s="3" t="s">
        <v>39</v>
      </c>
      <c r="C124" s="3" t="s">
        <v>41</v>
      </c>
      <c r="D124" s="3" t="s">
        <v>44</v>
      </c>
      <c r="E124" s="3" t="s">
        <v>25</v>
      </c>
      <c r="F124" s="3" t="s">
        <v>25</v>
      </c>
      <c r="G124" s="3" t="s">
        <v>25</v>
      </c>
      <c r="H124" s="3" t="s">
        <v>34</v>
      </c>
      <c r="I124" s="6">
        <v>44531</v>
      </c>
      <c r="J124" s="4">
        <v>0</v>
      </c>
      <c r="K124" s="64">
        <v>0</v>
      </c>
      <c r="L124" s="4">
        <v>23.734999999999999</v>
      </c>
      <c r="M124" s="64">
        <v>23.734999999999999</v>
      </c>
      <c r="N124" s="4">
        <v>23.734999999999999</v>
      </c>
      <c r="O124" s="64">
        <v>23.734999999999999</v>
      </c>
      <c r="P124" s="4">
        <v>0</v>
      </c>
      <c r="Q124" s="3" t="s">
        <v>26</v>
      </c>
      <c r="R124" s="3">
        <v>0</v>
      </c>
      <c r="S124" s="3">
        <v>0</v>
      </c>
      <c r="T124" s="3">
        <v>11</v>
      </c>
      <c r="U124" s="3">
        <v>71</v>
      </c>
      <c r="V124" s="64">
        <f>IF(ISERROR(VLOOKUP($S$124,'TAR FIN'!$A$1:$O$92,15,0)),0,VLOOKUP($S$124,'TAR FIN'!$A$1:$O$92,15,0))</f>
        <v>0</v>
      </c>
      <c r="W124" s="64">
        <f>IF(ISERROR(VLOOKUP($T$124,'TAR FIN'!$A$1:$O$92,15,0)),0,VLOOKUP($T$124,'TAR FIN'!$A$1:$O$92,15,0))*(1-0.04)</f>
        <v>1109.2895999999998</v>
      </c>
      <c r="X124" s="64">
        <f>IF(ISERROR(VLOOKUP($U$124,'TAR FIN'!$A$1:$O$92,15,0)),0,VLOOKUP($U$124,'TAR FIN'!$A$1:$O$92,15,0))*(1-0.04)</f>
        <v>416.41919999999999</v>
      </c>
      <c r="Y124" s="64"/>
      <c r="Z124" s="64">
        <f ca="1">('TUSD BE'!$AM$11+'TUSD BF'!$AM$11+'TUSD CVA'!$AM$11)*1*(1-0.02)</f>
        <v>1463.9061467887163</v>
      </c>
      <c r="AA124" s="64">
        <f>('TE BE'!$AB$5+'TE BF'!$AB$5+'TE CVA'!$AB$5)*1*(1-0.02)</f>
        <v>531.98726410884376</v>
      </c>
      <c r="AB124" s="64">
        <f>(SUBSIDIO!$J$124*SUBSIDIO!$V$124)*(0.04)/(1-0.04)</f>
        <v>0</v>
      </c>
      <c r="AC124" s="64">
        <f>((SUBSIDIO!$L$124*SUBSIDIO!$W$124)+(SUBSIDIO!$N$124*SUBSIDIO!$X$124))*(0.04)/(1-0.04)</f>
        <v>1508.8624319999999</v>
      </c>
      <c r="AD124" s="64">
        <f>(SUBSIDIO!$J$124*SUBSIDIO!$Y$124)*(0.02)/(1-0.02)</f>
        <v>0</v>
      </c>
      <c r="AE124" s="64">
        <f ca="1">((SUBSIDIO!$L$124*SUBSIDIO!$Z$124)+(SUBSIDIO!$N$124*SUBSIDIO!$AA$124))*(0.02)/(1-0.02)</f>
        <v>966.78632872762421</v>
      </c>
      <c r="AF124" s="3" t="s">
        <v>752</v>
      </c>
    </row>
    <row r="125" spans="1:32" ht="11.25" customHeight="1" x14ac:dyDescent="0.25">
      <c r="A125" s="3" t="s">
        <v>21</v>
      </c>
      <c r="B125" s="3" t="s">
        <v>39</v>
      </c>
      <c r="C125" s="3" t="s">
        <v>41</v>
      </c>
      <c r="D125" s="3" t="s">
        <v>44</v>
      </c>
      <c r="E125" s="3" t="s">
        <v>25</v>
      </c>
      <c r="F125" s="3" t="s">
        <v>25</v>
      </c>
      <c r="G125" s="3" t="s">
        <v>25</v>
      </c>
      <c r="H125" s="3" t="s">
        <v>34</v>
      </c>
      <c r="I125" s="6">
        <v>44562</v>
      </c>
      <c r="J125" s="4">
        <v>0</v>
      </c>
      <c r="K125" s="64">
        <v>0</v>
      </c>
      <c r="L125" s="4">
        <v>42.036000000000001</v>
      </c>
      <c r="M125" s="64">
        <v>42.036000000000001</v>
      </c>
      <c r="N125" s="4">
        <v>42.036000000000001</v>
      </c>
      <c r="O125" s="64">
        <v>42.036000000000001</v>
      </c>
      <c r="P125" s="4">
        <v>0</v>
      </c>
      <c r="Q125" s="3" t="s">
        <v>26</v>
      </c>
      <c r="R125" s="3">
        <v>0</v>
      </c>
      <c r="S125" s="3">
        <v>0</v>
      </c>
      <c r="T125" s="3">
        <v>11</v>
      </c>
      <c r="U125" s="3">
        <v>71</v>
      </c>
      <c r="V125" s="64">
        <f>IF(ISERROR(VLOOKUP($S$125,'TAR FIN'!$A$1:$O$92,15,0)),0,VLOOKUP($S$125,'TAR FIN'!$A$1:$O$92,15,0))</f>
        <v>0</v>
      </c>
      <c r="W125" s="64">
        <f>IF(ISERROR(VLOOKUP($T$125,'TAR FIN'!$A$1:$O$92,15,0)),0,VLOOKUP($T$125,'TAR FIN'!$A$1:$O$92,15,0))*(1-0.04)</f>
        <v>1109.2895999999998</v>
      </c>
      <c r="X125" s="64">
        <f>IF(ISERROR(VLOOKUP($U$125,'TAR FIN'!$A$1:$O$92,15,0)),0,VLOOKUP($U$125,'TAR FIN'!$A$1:$O$92,15,0))*(1-0.04)</f>
        <v>416.41919999999999</v>
      </c>
      <c r="Y125" s="64"/>
      <c r="Z125" s="64">
        <f ca="1">('TUSD BE'!$AM$11+'TUSD BF'!$AM$11+'TUSD CVA'!$AM$11)*1*(1-0.02)</f>
        <v>1463.9061467887163</v>
      </c>
      <c r="AA125" s="64">
        <f>('TE BE'!$AB$5+'TE BF'!$AB$5+'TE CVA'!$AB$5)*1*(1-0.02)</f>
        <v>531.98726410884376</v>
      </c>
      <c r="AB125" s="64">
        <f>(SUBSIDIO!$J$125*SUBSIDIO!$V$125)*(0.04)/(1-0.04)</f>
        <v>0</v>
      </c>
      <c r="AC125" s="64">
        <f>((SUBSIDIO!$L$125*SUBSIDIO!$W$125)+(SUBSIDIO!$N$125*SUBSIDIO!$X$125))*(0.04)/(1-0.04)</f>
        <v>2672.2789631999999</v>
      </c>
      <c r="AD125" s="64">
        <f>(SUBSIDIO!$J$125*SUBSIDIO!$Y$125)*(0.02)/(1-0.02)</f>
        <v>0</v>
      </c>
      <c r="AE125" s="64">
        <f ca="1">((SUBSIDIO!$L$125*SUBSIDIO!$Z$125)+(SUBSIDIO!$N$125*SUBSIDIO!$AA$125))*(0.02)/(1-0.02)</f>
        <v>1712.2321514385683</v>
      </c>
      <c r="AF125" s="3" t="s">
        <v>752</v>
      </c>
    </row>
    <row r="126" spans="1:32" ht="11.25" customHeight="1" x14ac:dyDescent="0.25">
      <c r="A126" s="3" t="s">
        <v>21</v>
      </c>
      <c r="B126" s="3" t="s">
        <v>39</v>
      </c>
      <c r="C126" s="3" t="s">
        <v>41</v>
      </c>
      <c r="D126" s="3" t="s">
        <v>44</v>
      </c>
      <c r="E126" s="3" t="s">
        <v>25</v>
      </c>
      <c r="F126" s="3" t="s">
        <v>25</v>
      </c>
      <c r="G126" s="3" t="s">
        <v>25</v>
      </c>
      <c r="H126" s="3" t="s">
        <v>34</v>
      </c>
      <c r="I126" s="6">
        <v>44593</v>
      </c>
      <c r="J126" s="4">
        <v>0</v>
      </c>
      <c r="K126" s="64">
        <v>0</v>
      </c>
      <c r="L126" s="4">
        <v>23.89</v>
      </c>
      <c r="M126" s="64">
        <v>23.89</v>
      </c>
      <c r="N126" s="4">
        <v>23.89</v>
      </c>
      <c r="O126" s="64">
        <v>23.89</v>
      </c>
      <c r="P126" s="4">
        <v>0</v>
      </c>
      <c r="Q126" s="3" t="s">
        <v>26</v>
      </c>
      <c r="R126" s="3">
        <v>0</v>
      </c>
      <c r="S126" s="3">
        <v>0</v>
      </c>
      <c r="T126" s="3">
        <v>11</v>
      </c>
      <c r="U126" s="3">
        <v>71</v>
      </c>
      <c r="V126" s="64">
        <f>IF(ISERROR(VLOOKUP($S$126,'TAR FIN'!$A$1:$O$92,15,0)),0,VLOOKUP($S$126,'TAR FIN'!$A$1:$O$92,15,0))</f>
        <v>0</v>
      </c>
      <c r="W126" s="64">
        <f>IF(ISERROR(VLOOKUP($T$126,'TAR FIN'!$A$1:$O$92,15,0)),0,VLOOKUP($T$126,'TAR FIN'!$A$1:$O$92,15,0))*(1-0.04)</f>
        <v>1109.2895999999998</v>
      </c>
      <c r="X126" s="64">
        <f>IF(ISERROR(VLOOKUP($U$126,'TAR FIN'!$A$1:$O$92,15,0)),0,VLOOKUP($U$126,'TAR FIN'!$A$1:$O$92,15,0))*(1-0.04)</f>
        <v>416.41919999999999</v>
      </c>
      <c r="Y126" s="64"/>
      <c r="Z126" s="64">
        <f ca="1">('TUSD BE'!$AM$11+'TUSD BF'!$AM$11+'TUSD CVA'!$AM$11)*1*(1-0.02)</f>
        <v>1463.9061467887163</v>
      </c>
      <c r="AA126" s="64">
        <f>('TE BE'!$AB$5+'TE BF'!$AB$5+'TE CVA'!$AB$5)*1*(1-0.02)</f>
        <v>531.98726410884376</v>
      </c>
      <c r="AB126" s="64">
        <f>(SUBSIDIO!$J$126*SUBSIDIO!$V$126)*(0.04)/(1-0.04)</f>
        <v>0</v>
      </c>
      <c r="AC126" s="64">
        <f>((SUBSIDIO!$L$126*SUBSIDIO!$W$126)+(SUBSIDIO!$N$126*SUBSIDIO!$X$126))*(0.04)/(1-0.04)</f>
        <v>1518.715968</v>
      </c>
      <c r="AD126" s="64">
        <f>(SUBSIDIO!$J$126*SUBSIDIO!$Y$126)*(0.02)/(1-0.02)</f>
        <v>0</v>
      </c>
      <c r="AE126" s="64">
        <f ca="1">((SUBSIDIO!$L$126*SUBSIDIO!$Z$126)+(SUBSIDIO!$N$126*SUBSIDIO!$AA$126))*(0.02)/(1-0.02)</f>
        <v>973.0998691090349</v>
      </c>
      <c r="AF126" s="3" t="s">
        <v>752</v>
      </c>
    </row>
    <row r="127" spans="1:32" ht="11.25" customHeight="1" x14ac:dyDescent="0.25">
      <c r="A127" s="3" t="s">
        <v>21</v>
      </c>
      <c r="B127" s="3" t="s">
        <v>39</v>
      </c>
      <c r="C127" s="3" t="s">
        <v>41</v>
      </c>
      <c r="D127" s="3" t="s">
        <v>44</v>
      </c>
      <c r="E127" s="3" t="s">
        <v>25</v>
      </c>
      <c r="F127" s="3" t="s">
        <v>25</v>
      </c>
      <c r="G127" s="3" t="s">
        <v>25</v>
      </c>
      <c r="H127" s="3" t="s">
        <v>34</v>
      </c>
      <c r="I127" s="6">
        <v>44621</v>
      </c>
      <c r="J127" s="4">
        <v>0</v>
      </c>
      <c r="K127" s="64">
        <v>0</v>
      </c>
      <c r="L127" s="4">
        <v>10.209</v>
      </c>
      <c r="M127" s="64">
        <v>10.209</v>
      </c>
      <c r="N127" s="4">
        <v>10.209</v>
      </c>
      <c r="O127" s="64">
        <v>10.209</v>
      </c>
      <c r="P127" s="4">
        <v>0</v>
      </c>
      <c r="Q127" s="3" t="s">
        <v>26</v>
      </c>
      <c r="R127" s="3">
        <v>0</v>
      </c>
      <c r="S127" s="3">
        <v>0</v>
      </c>
      <c r="T127" s="3">
        <v>11</v>
      </c>
      <c r="U127" s="3">
        <v>71</v>
      </c>
      <c r="V127" s="64">
        <f>IF(ISERROR(VLOOKUP($S$127,'TAR FIN'!$A$1:$O$92,15,0)),0,VLOOKUP($S$127,'TAR FIN'!$A$1:$O$92,15,0))</f>
        <v>0</v>
      </c>
      <c r="W127" s="64">
        <f>IF(ISERROR(VLOOKUP($T$127,'TAR FIN'!$A$1:$O$92,15,0)),0,VLOOKUP($T$127,'TAR FIN'!$A$1:$O$92,15,0))*(1-0.04)</f>
        <v>1109.2895999999998</v>
      </c>
      <c r="X127" s="64">
        <f>IF(ISERROR(VLOOKUP($U$127,'TAR FIN'!$A$1:$O$92,15,0)),0,VLOOKUP($U$127,'TAR FIN'!$A$1:$O$92,15,0))*(1-0.04)</f>
        <v>416.41919999999999</v>
      </c>
      <c r="Y127" s="64"/>
      <c r="Z127" s="64">
        <f ca="1">('TUSD BE'!$AM$11+'TUSD BF'!$AM$11+'TUSD CVA'!$AM$11)*1*(1-0.02)</f>
        <v>1463.9061467887163</v>
      </c>
      <c r="AA127" s="64">
        <f>('TE BE'!$AB$5+'TE BF'!$AB$5+'TE CVA'!$AB$5)*1*(1-0.02)</f>
        <v>531.98726410884376</v>
      </c>
      <c r="AB127" s="64">
        <f>(SUBSIDIO!$J$127*SUBSIDIO!$V$127)*(0.04)/(1-0.04)</f>
        <v>0</v>
      </c>
      <c r="AC127" s="64">
        <f>((SUBSIDIO!$L$127*SUBSIDIO!$W$127)+(SUBSIDIO!$N$127*SUBSIDIO!$X$127))*(0.04)/(1-0.04)</f>
        <v>648.99838079999995</v>
      </c>
      <c r="AD127" s="64">
        <f>(SUBSIDIO!$J$127*SUBSIDIO!$Y$127)*(0.02)/(1-0.02)</f>
        <v>0</v>
      </c>
      <c r="AE127" s="64">
        <f ca="1">((SUBSIDIO!$L$127*SUBSIDIO!$Z$127)+(SUBSIDIO!$N$127*SUBSIDIO!$AA$127))*(0.02)/(1-0.02)</f>
        <v>415.83828228271818</v>
      </c>
      <c r="AF127" s="3" t="s">
        <v>752</v>
      </c>
    </row>
    <row r="128" spans="1:32" ht="11.25" customHeight="1" x14ac:dyDescent="0.25">
      <c r="A128" s="3" t="s">
        <v>21</v>
      </c>
      <c r="B128" s="3" t="s">
        <v>39</v>
      </c>
      <c r="C128" s="3" t="s">
        <v>41</v>
      </c>
      <c r="D128" s="3" t="s">
        <v>44</v>
      </c>
      <c r="E128" s="3" t="s">
        <v>25</v>
      </c>
      <c r="F128" s="3" t="s">
        <v>25</v>
      </c>
      <c r="G128" s="3" t="s">
        <v>25</v>
      </c>
      <c r="H128" s="3" t="s">
        <v>34</v>
      </c>
      <c r="I128" s="6">
        <v>44652</v>
      </c>
      <c r="J128" s="4">
        <v>0</v>
      </c>
      <c r="K128" s="64">
        <v>0</v>
      </c>
      <c r="L128" s="4">
        <v>10.209</v>
      </c>
      <c r="M128" s="64">
        <v>10.209</v>
      </c>
      <c r="N128" s="4">
        <v>10.209</v>
      </c>
      <c r="O128" s="64">
        <v>10.209</v>
      </c>
      <c r="P128" s="4">
        <v>0</v>
      </c>
      <c r="Q128" s="3" t="s">
        <v>26</v>
      </c>
      <c r="R128" s="3">
        <v>0</v>
      </c>
      <c r="S128" s="3">
        <v>0</v>
      </c>
      <c r="T128" s="3">
        <v>11</v>
      </c>
      <c r="U128" s="3">
        <v>71</v>
      </c>
      <c r="V128" s="64">
        <f>IF(ISERROR(VLOOKUP($S$128,'TAR FIN'!$A$1:$O$92,15,0)),0,VLOOKUP($S$128,'TAR FIN'!$A$1:$O$92,15,0))</f>
        <v>0</v>
      </c>
      <c r="W128" s="64">
        <f>IF(ISERROR(VLOOKUP($T$128,'TAR FIN'!$A$1:$O$92,15,0)),0,VLOOKUP($T$128,'TAR FIN'!$A$1:$O$92,15,0))*(1-0.04)</f>
        <v>1109.2895999999998</v>
      </c>
      <c r="X128" s="64">
        <f>IF(ISERROR(VLOOKUP($U$128,'TAR FIN'!$A$1:$O$92,15,0)),0,VLOOKUP($U$128,'TAR FIN'!$A$1:$O$92,15,0))*(1-0.04)</f>
        <v>416.41919999999999</v>
      </c>
      <c r="Y128" s="64"/>
      <c r="Z128" s="64">
        <f ca="1">('TUSD BE'!$AM$11+'TUSD BF'!$AM$11+'TUSD CVA'!$AM$11)*1*(1-0.02)</f>
        <v>1463.9061467887163</v>
      </c>
      <c r="AA128" s="64">
        <f>('TE BE'!$AB$5+'TE BF'!$AB$5+'TE CVA'!$AB$5)*1*(1-0.02)</f>
        <v>531.98726410884376</v>
      </c>
      <c r="AB128" s="64">
        <f>(SUBSIDIO!$J$128*SUBSIDIO!$V$128)*(0.04)/(1-0.04)</f>
        <v>0</v>
      </c>
      <c r="AC128" s="64">
        <f>((SUBSIDIO!$L$128*SUBSIDIO!$W$128)+(SUBSIDIO!$N$128*SUBSIDIO!$X$128))*(0.04)/(1-0.04)</f>
        <v>648.99838079999995</v>
      </c>
      <c r="AD128" s="64">
        <f>(SUBSIDIO!$J$128*SUBSIDIO!$Y$128)*(0.02)/(1-0.02)</f>
        <v>0</v>
      </c>
      <c r="AE128" s="64">
        <f ca="1">((SUBSIDIO!$L$128*SUBSIDIO!$Z$128)+(SUBSIDIO!$N$128*SUBSIDIO!$AA$128))*(0.02)/(1-0.02)</f>
        <v>415.83828228271818</v>
      </c>
      <c r="AF128" s="3" t="s">
        <v>752</v>
      </c>
    </row>
    <row r="129" spans="1:32" ht="11.25" customHeight="1" x14ac:dyDescent="0.25">
      <c r="A129" s="3" t="s">
        <v>21</v>
      </c>
      <c r="B129" s="3" t="s">
        <v>39</v>
      </c>
      <c r="C129" s="3" t="s">
        <v>41</v>
      </c>
      <c r="D129" s="3" t="s">
        <v>44</v>
      </c>
      <c r="E129" s="3" t="s">
        <v>25</v>
      </c>
      <c r="F129" s="3" t="s">
        <v>25</v>
      </c>
      <c r="G129" s="3" t="s">
        <v>25</v>
      </c>
      <c r="H129" s="3" t="s">
        <v>34</v>
      </c>
      <c r="I129" s="6">
        <v>44682</v>
      </c>
      <c r="J129" s="4">
        <v>0</v>
      </c>
      <c r="K129" s="64">
        <v>0</v>
      </c>
      <c r="L129" s="4">
        <v>6.5140000000000002</v>
      </c>
      <c r="M129" s="64">
        <v>6.5140000000000002</v>
      </c>
      <c r="N129" s="4">
        <v>6.5140000000000002</v>
      </c>
      <c r="O129" s="64">
        <v>6.5140000000000002</v>
      </c>
      <c r="P129" s="4">
        <v>0</v>
      </c>
      <c r="Q129" s="3" t="s">
        <v>26</v>
      </c>
      <c r="R129" s="3">
        <v>0</v>
      </c>
      <c r="S129" s="3">
        <v>0</v>
      </c>
      <c r="T129" s="3">
        <v>11</v>
      </c>
      <c r="U129" s="3">
        <v>71</v>
      </c>
      <c r="V129" s="64">
        <f>IF(ISERROR(VLOOKUP($S$129,'TAR FIN'!$A$1:$O$92,15,0)),0,VLOOKUP($S$129,'TAR FIN'!$A$1:$O$92,15,0))</f>
        <v>0</v>
      </c>
      <c r="W129" s="64">
        <f>IF(ISERROR(VLOOKUP($T$129,'TAR FIN'!$A$1:$O$92,15,0)),0,VLOOKUP($T$129,'TAR FIN'!$A$1:$O$92,15,0))*(1-0.04)</f>
        <v>1109.2895999999998</v>
      </c>
      <c r="X129" s="64">
        <f>IF(ISERROR(VLOOKUP($U$129,'TAR FIN'!$A$1:$O$92,15,0)),0,VLOOKUP($U$129,'TAR FIN'!$A$1:$O$92,15,0))*(1-0.04)</f>
        <v>416.41919999999999</v>
      </c>
      <c r="Y129" s="64"/>
      <c r="Z129" s="64">
        <f ca="1">('TUSD BE'!$AM$11+'TUSD BF'!$AM$11+'TUSD CVA'!$AM$11)*1*(1-0.02)</f>
        <v>1463.9061467887163</v>
      </c>
      <c r="AA129" s="64">
        <f>('TE BE'!$AB$5+'TE BF'!$AB$5+'TE CVA'!$AB$5)*1*(1-0.02)</f>
        <v>531.98726410884376</v>
      </c>
      <c r="AB129" s="64">
        <f>(SUBSIDIO!$J$129*SUBSIDIO!$V$129)*(0.04)/(1-0.04)</f>
        <v>0</v>
      </c>
      <c r="AC129" s="64">
        <f>((SUBSIDIO!$L$129*SUBSIDIO!$W$129)+(SUBSIDIO!$N$129*SUBSIDIO!$X$129))*(0.04)/(1-0.04)</f>
        <v>414.10279679999996</v>
      </c>
      <c r="AD129" s="64">
        <f>(SUBSIDIO!$J$129*SUBSIDIO!$Y$129)*(0.02)/(1-0.02)</f>
        <v>0</v>
      </c>
      <c r="AE129" s="64">
        <f ca="1">((SUBSIDIO!$L$129*SUBSIDIO!$Z$129)+(SUBSIDIO!$N$129*SUBSIDIO!$AA$129))*(0.02)/(1-0.02)</f>
        <v>265.3316260936063</v>
      </c>
      <c r="AF129" s="3" t="s">
        <v>752</v>
      </c>
    </row>
    <row r="130" spans="1:32" ht="11.25" customHeight="1" x14ac:dyDescent="0.25">
      <c r="A130" s="3" t="s">
        <v>28</v>
      </c>
      <c r="B130" s="3" t="s">
        <v>39</v>
      </c>
      <c r="C130" s="3" t="s">
        <v>41</v>
      </c>
      <c r="D130" s="3" t="s">
        <v>44</v>
      </c>
      <c r="E130" s="3" t="s">
        <v>25</v>
      </c>
      <c r="F130" s="3" t="s">
        <v>25</v>
      </c>
      <c r="G130" s="3" t="s">
        <v>25</v>
      </c>
      <c r="H130" s="3" t="s">
        <v>34</v>
      </c>
      <c r="I130" s="6">
        <v>44682</v>
      </c>
      <c r="J130" s="4">
        <v>0</v>
      </c>
      <c r="K130" s="64">
        <v>0</v>
      </c>
      <c r="L130" s="4">
        <v>22.812000000000001</v>
      </c>
      <c r="M130" s="64">
        <v>22.812000000000001</v>
      </c>
      <c r="N130" s="4">
        <v>22.812000000000001</v>
      </c>
      <c r="O130" s="64">
        <v>22.812000000000001</v>
      </c>
      <c r="P130" s="4">
        <v>0</v>
      </c>
      <c r="Q130" s="3" t="s">
        <v>26</v>
      </c>
      <c r="R130" s="3">
        <v>0</v>
      </c>
      <c r="S130" s="3">
        <v>0</v>
      </c>
      <c r="T130" s="3">
        <v>11</v>
      </c>
      <c r="U130" s="3">
        <v>71</v>
      </c>
      <c r="V130" s="64">
        <f>IF(ISERROR(VLOOKUP($S$130,'TAR FIN'!$A$1:$O$92,15,0)),0,VLOOKUP($S$130,'TAR FIN'!$A$1:$O$92,15,0))</f>
        <v>0</v>
      </c>
      <c r="W130" s="64">
        <f>IF(ISERROR(VLOOKUP($T$130,'TAR FIN'!$A$1:$O$92,15,0)),0,VLOOKUP($T$130,'TAR FIN'!$A$1:$O$92,15,0))*(1-0.04)</f>
        <v>1109.2895999999998</v>
      </c>
      <c r="X130" s="64">
        <f>IF(ISERROR(VLOOKUP($U$130,'TAR FIN'!$A$1:$O$92,15,0)),0,VLOOKUP($U$130,'TAR FIN'!$A$1:$O$92,15,0))*(1-0.04)</f>
        <v>416.41919999999999</v>
      </c>
      <c r="Y130" s="64"/>
      <c r="Z130" s="64">
        <f ca="1">('TUSD BE'!$AM$11+'TUSD BF'!$AM$11+'TUSD CVA'!$AM$11)*1*(1-0.02)</f>
        <v>1463.9061467887163</v>
      </c>
      <c r="AA130" s="64">
        <f>('TE BE'!$AB$5+'TE BF'!$AB$5+'TE CVA'!$AB$5)*1*(1-0.02)</f>
        <v>531.98726410884376</v>
      </c>
      <c r="AB130" s="64">
        <f>(SUBSIDIO!$J$130*SUBSIDIO!$V$130)*(0.04)/(1-0.04)</f>
        <v>0</v>
      </c>
      <c r="AC130" s="64">
        <f>((SUBSIDIO!$L$130*SUBSIDIO!$W$130)+(SUBSIDIO!$N$130*SUBSIDIO!$X$130))*(0.04)/(1-0.04)</f>
        <v>1450.1862144000002</v>
      </c>
      <c r="AD130" s="64">
        <f>(SUBSIDIO!$J$130*SUBSIDIO!$Y$130)*(0.02)/(1-0.02)</f>
        <v>0</v>
      </c>
      <c r="AE130" s="64">
        <f ca="1">((SUBSIDIO!$L$130*SUBSIDIO!$Z$130)+(SUBSIDIO!$N$130*SUBSIDIO!$AA$130))*(0.02)/(1-0.02)</f>
        <v>929.19021406928869</v>
      </c>
      <c r="AF130" s="3" t="s">
        <v>752</v>
      </c>
    </row>
    <row r="131" spans="1:32" ht="11.25" customHeight="1" x14ac:dyDescent="0.25">
      <c r="A131" s="3" t="s">
        <v>21</v>
      </c>
      <c r="B131" s="3" t="s">
        <v>39</v>
      </c>
      <c r="C131" s="3" t="s">
        <v>41</v>
      </c>
      <c r="D131" s="3" t="s">
        <v>44</v>
      </c>
      <c r="E131" s="3" t="s">
        <v>25</v>
      </c>
      <c r="F131" s="3" t="s">
        <v>25</v>
      </c>
      <c r="G131" s="3" t="s">
        <v>25</v>
      </c>
      <c r="H131" s="3" t="s">
        <v>34</v>
      </c>
      <c r="I131" s="6">
        <v>44713</v>
      </c>
      <c r="J131" s="4">
        <v>0</v>
      </c>
      <c r="K131" s="64">
        <v>0</v>
      </c>
      <c r="L131" s="4">
        <v>5.7629999999999999</v>
      </c>
      <c r="M131" s="64">
        <v>5.7629999999999999</v>
      </c>
      <c r="N131" s="4">
        <v>5.7629999999999999</v>
      </c>
      <c r="O131" s="64">
        <v>5.7629999999999999</v>
      </c>
      <c r="P131" s="4">
        <v>0</v>
      </c>
      <c r="Q131" s="3" t="s">
        <v>26</v>
      </c>
      <c r="R131" s="3">
        <v>0</v>
      </c>
      <c r="S131" s="3">
        <v>0</v>
      </c>
      <c r="T131" s="3">
        <v>11</v>
      </c>
      <c r="U131" s="3">
        <v>71</v>
      </c>
      <c r="V131" s="64">
        <f>IF(ISERROR(VLOOKUP($S$131,'TAR FIN'!$A$1:$O$92,15,0)),0,VLOOKUP($S$131,'TAR FIN'!$A$1:$O$92,15,0))</f>
        <v>0</v>
      </c>
      <c r="W131" s="64">
        <f>IF(ISERROR(VLOOKUP($T$131,'TAR FIN'!$A$1:$O$92,15,0)),0,VLOOKUP($T$131,'TAR FIN'!$A$1:$O$92,15,0))*(1-0.04)</f>
        <v>1109.2895999999998</v>
      </c>
      <c r="X131" s="64">
        <f>IF(ISERROR(VLOOKUP($U$131,'TAR FIN'!$A$1:$O$92,15,0)),0,VLOOKUP($U$131,'TAR FIN'!$A$1:$O$92,15,0))*(1-0.04)</f>
        <v>416.41919999999999</v>
      </c>
      <c r="Y131" s="64"/>
      <c r="Z131" s="64">
        <f ca="1">('TUSD BE'!$AM$11+'TUSD BF'!$AM$11+'TUSD CVA'!$AM$11)*1*(1-0.02)</f>
        <v>1463.9061467887163</v>
      </c>
      <c r="AA131" s="64">
        <f>('TE BE'!$AB$5+'TE BF'!$AB$5+'TE CVA'!$AB$5)*1*(1-0.02)</f>
        <v>531.98726410884376</v>
      </c>
      <c r="AB131" s="64">
        <f>(SUBSIDIO!$J$131*SUBSIDIO!$V$131)*(0.04)/(1-0.04)</f>
        <v>0</v>
      </c>
      <c r="AC131" s="64">
        <f>((SUBSIDIO!$L$131*SUBSIDIO!$W$131)+(SUBSIDIO!$N$131*SUBSIDIO!$X$131))*(0.04)/(1-0.04)</f>
        <v>366.36082559999994</v>
      </c>
      <c r="AD131" s="64">
        <f>(SUBSIDIO!$J$131*SUBSIDIO!$Y$131)*(0.02)/(1-0.02)</f>
        <v>0</v>
      </c>
      <c r="AE131" s="64">
        <f ca="1">((SUBSIDIO!$L$131*SUBSIDIO!$Z$131)+(SUBSIDIO!$N$131*SUBSIDIO!$AA$131))*(0.02)/(1-0.02)</f>
        <v>234.74150463270692</v>
      </c>
      <c r="AF131" s="3" t="s">
        <v>752</v>
      </c>
    </row>
    <row r="132" spans="1:32" ht="11.25" customHeight="1" x14ac:dyDescent="0.25">
      <c r="A132" s="3" t="s">
        <v>28</v>
      </c>
      <c r="B132" s="3" t="s">
        <v>39</v>
      </c>
      <c r="C132" s="3" t="s">
        <v>41</v>
      </c>
      <c r="D132" s="3" t="s">
        <v>44</v>
      </c>
      <c r="E132" s="3" t="s">
        <v>25</v>
      </c>
      <c r="F132" s="3" t="s">
        <v>25</v>
      </c>
      <c r="G132" s="3" t="s">
        <v>25</v>
      </c>
      <c r="H132" s="3" t="s">
        <v>34</v>
      </c>
      <c r="I132" s="6">
        <v>44713</v>
      </c>
      <c r="J132" s="4">
        <v>0</v>
      </c>
      <c r="K132" s="64">
        <v>0</v>
      </c>
      <c r="L132" s="4">
        <v>3.472</v>
      </c>
      <c r="M132" s="64">
        <v>3.472</v>
      </c>
      <c r="N132" s="4">
        <v>3.472</v>
      </c>
      <c r="O132" s="64">
        <v>3.472</v>
      </c>
      <c r="P132" s="4">
        <v>0</v>
      </c>
      <c r="Q132" s="3" t="s">
        <v>26</v>
      </c>
      <c r="R132" s="3">
        <v>0</v>
      </c>
      <c r="S132" s="3">
        <v>0</v>
      </c>
      <c r="T132" s="3">
        <v>11</v>
      </c>
      <c r="U132" s="3">
        <v>71</v>
      </c>
      <c r="V132" s="64">
        <f>IF(ISERROR(VLOOKUP($S$132,'TAR FIN'!$A$1:$O$92,15,0)),0,VLOOKUP($S$132,'TAR FIN'!$A$1:$O$92,15,0))</f>
        <v>0</v>
      </c>
      <c r="W132" s="64">
        <f>IF(ISERROR(VLOOKUP($T$132,'TAR FIN'!$A$1:$O$92,15,0)),0,VLOOKUP($T$132,'TAR FIN'!$A$1:$O$92,15,0))*(1-0.04)</f>
        <v>1109.2895999999998</v>
      </c>
      <c r="X132" s="64">
        <f>IF(ISERROR(VLOOKUP($U$132,'TAR FIN'!$A$1:$O$92,15,0)),0,VLOOKUP($U$132,'TAR FIN'!$A$1:$O$92,15,0))*(1-0.04)</f>
        <v>416.41919999999999</v>
      </c>
      <c r="Y132" s="64"/>
      <c r="Z132" s="64">
        <f ca="1">('TUSD BE'!$AM$11+'TUSD BF'!$AM$11+'TUSD CVA'!$AM$11)*1*(1-0.02)</f>
        <v>1463.9061467887163</v>
      </c>
      <c r="AA132" s="64">
        <f>('TE BE'!$AB$5+'TE BF'!$AB$5+'TE CVA'!$AB$5)*1*(1-0.02)</f>
        <v>531.98726410884376</v>
      </c>
      <c r="AB132" s="64">
        <f>(SUBSIDIO!$J$132*SUBSIDIO!$V$132)*(0.04)/(1-0.04)</f>
        <v>0</v>
      </c>
      <c r="AC132" s="64">
        <f>((SUBSIDIO!$L$132*SUBSIDIO!$W$132)+(SUBSIDIO!$N$132*SUBSIDIO!$X$132))*(0.04)/(1-0.04)</f>
        <v>220.71920639999999</v>
      </c>
      <c r="AD132" s="64">
        <f>(SUBSIDIO!$J$132*SUBSIDIO!$Y$132)*(0.02)/(1-0.02)</f>
        <v>0</v>
      </c>
      <c r="AE132" s="64">
        <f ca="1">((SUBSIDIO!$L$132*SUBSIDIO!$Z$132)+(SUBSIDIO!$N$132*SUBSIDIO!$AA$132))*(0.02)/(1-0.02)</f>
        <v>141.42330454359856</v>
      </c>
      <c r="AF132" s="3" t="s">
        <v>752</v>
      </c>
    </row>
    <row r="133" spans="1:32" ht="11.25" customHeight="1" x14ac:dyDescent="0.25">
      <c r="A133" s="3" t="s">
        <v>21</v>
      </c>
      <c r="B133" s="3" t="s">
        <v>39</v>
      </c>
      <c r="C133" s="3" t="s">
        <v>41</v>
      </c>
      <c r="D133" s="3" t="s">
        <v>44</v>
      </c>
      <c r="E133" s="3" t="s">
        <v>25</v>
      </c>
      <c r="F133" s="3" t="s">
        <v>25</v>
      </c>
      <c r="G133" s="3" t="s">
        <v>25</v>
      </c>
      <c r="H133" s="3" t="s">
        <v>34</v>
      </c>
      <c r="I133" s="6">
        <v>44743</v>
      </c>
      <c r="J133" s="4">
        <v>0</v>
      </c>
      <c r="K133" s="64">
        <v>0</v>
      </c>
      <c r="L133" s="4">
        <v>9.3849999999999998</v>
      </c>
      <c r="M133" s="64">
        <v>9.3849999999999998</v>
      </c>
      <c r="N133" s="4">
        <v>9.3849999999999998</v>
      </c>
      <c r="O133" s="64">
        <v>9.3849999999999998</v>
      </c>
      <c r="P133" s="4">
        <v>0</v>
      </c>
      <c r="Q133" s="3" t="s">
        <v>26</v>
      </c>
      <c r="R133" s="3">
        <v>0</v>
      </c>
      <c r="S133" s="3">
        <v>0</v>
      </c>
      <c r="T133" s="3">
        <v>11</v>
      </c>
      <c r="U133" s="3">
        <v>71</v>
      </c>
      <c r="V133" s="64">
        <f>IF(ISERROR(VLOOKUP($S$133,'TAR FIN'!$A$1:$O$92,15,0)),0,VLOOKUP($S$133,'TAR FIN'!$A$1:$O$92,15,0))</f>
        <v>0</v>
      </c>
      <c r="W133" s="64">
        <f>IF(ISERROR(VLOOKUP($T$133,'TAR FIN'!$A$1:$O$92,15,0)),0,VLOOKUP($T$133,'TAR FIN'!$A$1:$O$92,15,0))*(1-0.04)</f>
        <v>1109.2895999999998</v>
      </c>
      <c r="X133" s="64">
        <f>IF(ISERROR(VLOOKUP($U$133,'TAR FIN'!$A$1:$O$92,15,0)),0,VLOOKUP($U$133,'TAR FIN'!$A$1:$O$92,15,0))*(1-0.04)</f>
        <v>416.41919999999999</v>
      </c>
      <c r="Y133" s="64"/>
      <c r="Z133" s="64">
        <f ca="1">('TUSD BE'!$AM$11+'TUSD BF'!$AM$11+'TUSD CVA'!$AM$11)*1*(1-0.02)</f>
        <v>1463.9061467887163</v>
      </c>
      <c r="AA133" s="64">
        <f>('TE BE'!$AB$5+'TE BF'!$AB$5+'TE CVA'!$AB$5)*1*(1-0.02)</f>
        <v>531.98726410884376</v>
      </c>
      <c r="AB133" s="64">
        <f>(SUBSIDIO!$J$133*SUBSIDIO!$V$133)*(0.04)/(1-0.04)</f>
        <v>0</v>
      </c>
      <c r="AC133" s="64">
        <f>((SUBSIDIO!$L$133*SUBSIDIO!$W$133)+(SUBSIDIO!$N$133*SUBSIDIO!$X$133))*(0.04)/(1-0.04)</f>
        <v>596.61571199999992</v>
      </c>
      <c r="AD133" s="64">
        <f>(SUBSIDIO!$J$133*SUBSIDIO!$Y$133)*(0.02)/(1-0.02)</f>
        <v>0</v>
      </c>
      <c r="AE133" s="64">
        <f ca="1">((SUBSIDIO!$L$133*SUBSIDIO!$Z$133)+(SUBSIDIO!$N$133*SUBSIDIO!$AA$133))*(0.02)/(1-0.02)</f>
        <v>382.27468696476745</v>
      </c>
      <c r="AF133" s="3" t="s">
        <v>752</v>
      </c>
    </row>
    <row r="134" spans="1:32" ht="11.25" customHeight="1" x14ac:dyDescent="0.25">
      <c r="A134" s="3" t="s">
        <v>28</v>
      </c>
      <c r="B134" s="3" t="s">
        <v>39</v>
      </c>
      <c r="C134" s="3" t="s">
        <v>41</v>
      </c>
      <c r="D134" s="3" t="s">
        <v>44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44743</v>
      </c>
      <c r="J134" s="4">
        <v>0</v>
      </c>
      <c r="K134" s="64">
        <v>0</v>
      </c>
      <c r="L134" s="4">
        <v>3.8210000000000002</v>
      </c>
      <c r="M134" s="64">
        <v>3.8210000000000002</v>
      </c>
      <c r="N134" s="4">
        <v>3.8210000000000002</v>
      </c>
      <c r="O134" s="64">
        <v>3.8210000000000002</v>
      </c>
      <c r="P134" s="4">
        <v>0</v>
      </c>
      <c r="Q134" s="3" t="s">
        <v>26</v>
      </c>
      <c r="R134" s="3">
        <v>0</v>
      </c>
      <c r="S134" s="3">
        <v>0</v>
      </c>
      <c r="T134" s="3">
        <v>11</v>
      </c>
      <c r="U134" s="3">
        <v>71</v>
      </c>
      <c r="V134" s="64">
        <f>IF(ISERROR(VLOOKUP($S$134,'TAR FIN'!$A$1:$O$92,15,0)),0,VLOOKUP($S$134,'TAR FIN'!$A$1:$O$92,15,0))</f>
        <v>0</v>
      </c>
      <c r="W134" s="64">
        <f>IF(ISERROR(VLOOKUP($T$134,'TAR FIN'!$A$1:$O$92,15,0)),0,VLOOKUP($T$134,'TAR FIN'!$A$1:$O$92,15,0))*(1-0.04)</f>
        <v>1109.2895999999998</v>
      </c>
      <c r="X134" s="64">
        <f>IF(ISERROR(VLOOKUP($U$134,'TAR FIN'!$A$1:$O$92,15,0)),0,VLOOKUP($U$134,'TAR FIN'!$A$1:$O$92,15,0))*(1-0.04)</f>
        <v>416.41919999999999</v>
      </c>
      <c r="Y134" s="64"/>
      <c r="Z134" s="64">
        <f ca="1">('TUSD BE'!$AM$11+'TUSD BF'!$AM$11+'TUSD CVA'!$AM$11)*1*(1-0.02)</f>
        <v>1463.9061467887163</v>
      </c>
      <c r="AA134" s="64">
        <f>('TE BE'!$AB$5+'TE BF'!$AB$5+'TE CVA'!$AB$5)*1*(1-0.02)</f>
        <v>531.98726410884376</v>
      </c>
      <c r="AB134" s="64">
        <f>(SUBSIDIO!$J$134*SUBSIDIO!$V$134)*(0.04)/(1-0.04)</f>
        <v>0</v>
      </c>
      <c r="AC134" s="64">
        <f>((SUBSIDIO!$L$134*SUBSIDIO!$W$134)+(SUBSIDIO!$N$134*SUBSIDIO!$X$134))*(0.04)/(1-0.04)</f>
        <v>242.90555519999998</v>
      </c>
      <c r="AD134" s="64">
        <f>(SUBSIDIO!$J$134*SUBSIDIO!$Y$134)*(0.02)/(1-0.02)</f>
        <v>0</v>
      </c>
      <c r="AE134" s="64">
        <f ca="1">((SUBSIDIO!$L$134*SUBSIDIO!$Z$134)+(SUBSIDIO!$N$134*SUBSIDIO!$AA$134))*(0.02)/(1-0.02)</f>
        <v>155.63895353141996</v>
      </c>
      <c r="AF134" s="3" t="s">
        <v>752</v>
      </c>
    </row>
    <row r="135" spans="1:32" ht="11.25" customHeight="1" x14ac:dyDescent="0.25">
      <c r="A135" s="3" t="s">
        <v>21</v>
      </c>
      <c r="B135" s="3" t="s">
        <v>39</v>
      </c>
      <c r="C135" s="3" t="s">
        <v>41</v>
      </c>
      <c r="D135" s="3" t="s">
        <v>44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44774</v>
      </c>
      <c r="J135" s="4">
        <v>0</v>
      </c>
      <c r="K135" s="64">
        <v>0</v>
      </c>
      <c r="L135" s="4">
        <v>7.2969999999999997</v>
      </c>
      <c r="M135" s="64">
        <v>7.2969999999999997</v>
      </c>
      <c r="N135" s="4">
        <v>7.2969999999999997</v>
      </c>
      <c r="O135" s="64">
        <v>7.2969999999999997</v>
      </c>
      <c r="P135" s="4">
        <v>0</v>
      </c>
      <c r="Q135" s="3" t="s">
        <v>26</v>
      </c>
      <c r="R135" s="3">
        <v>0</v>
      </c>
      <c r="S135" s="3">
        <v>0</v>
      </c>
      <c r="T135" s="3">
        <v>11</v>
      </c>
      <c r="U135" s="3">
        <v>71</v>
      </c>
      <c r="V135" s="64">
        <f>IF(ISERROR(VLOOKUP($S$135,'TAR FIN'!$A$1:$O$92,15,0)),0,VLOOKUP($S$135,'TAR FIN'!$A$1:$O$92,15,0))</f>
        <v>0</v>
      </c>
      <c r="W135" s="64">
        <f>IF(ISERROR(VLOOKUP($T$135,'TAR FIN'!$A$1:$O$92,15,0)),0,VLOOKUP($T$135,'TAR FIN'!$A$1:$O$92,15,0))*(1-0.04)</f>
        <v>1109.2895999999998</v>
      </c>
      <c r="X135" s="64">
        <f>IF(ISERROR(VLOOKUP($U$135,'TAR FIN'!$A$1:$O$92,15,0)),0,VLOOKUP($U$135,'TAR FIN'!$A$1:$O$92,15,0))*(1-0.04)</f>
        <v>416.41919999999999</v>
      </c>
      <c r="Y135" s="64"/>
      <c r="Z135" s="64">
        <f ca="1">('TUSD BE'!$AM$11+'TUSD BF'!$AM$11+'TUSD CVA'!$AM$11)*1*(1-0.02)</f>
        <v>1463.9061467887163</v>
      </c>
      <c r="AA135" s="64">
        <f>('TE BE'!$AB$5+'TE BF'!$AB$5+'TE CVA'!$AB$5)*1*(1-0.02)</f>
        <v>531.98726410884376</v>
      </c>
      <c r="AB135" s="64">
        <f>(SUBSIDIO!$J$135*SUBSIDIO!$V$135)*(0.04)/(1-0.04)</f>
        <v>0</v>
      </c>
      <c r="AC135" s="64">
        <f>((SUBSIDIO!$L$135*SUBSIDIO!$W$135)+(SUBSIDIO!$N$135*SUBSIDIO!$X$135))*(0.04)/(1-0.04)</f>
        <v>463.87904639999994</v>
      </c>
      <c r="AD135" s="64">
        <f>(SUBSIDIO!$J$135*SUBSIDIO!$Y$135)*(0.02)/(1-0.02)</f>
        <v>0</v>
      </c>
      <c r="AE135" s="64">
        <f ca="1">((SUBSIDIO!$L$135*SUBSIDIO!$Z$135)+(SUBSIDIO!$N$135*SUBSIDIO!$AA$135))*(0.02)/(1-0.02)</f>
        <v>297.22518814937746</v>
      </c>
      <c r="AF135" s="3" t="s">
        <v>752</v>
      </c>
    </row>
    <row r="136" spans="1:32" ht="11.25" customHeight="1" x14ac:dyDescent="0.25">
      <c r="A136" s="3" t="s">
        <v>28</v>
      </c>
      <c r="B136" s="3" t="s">
        <v>39</v>
      </c>
      <c r="C136" s="3" t="s">
        <v>41</v>
      </c>
      <c r="D136" s="3" t="s">
        <v>44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44774</v>
      </c>
      <c r="J136" s="4">
        <v>0</v>
      </c>
      <c r="K136" s="64">
        <v>0</v>
      </c>
      <c r="L136" s="4">
        <v>4.4569999999999999</v>
      </c>
      <c r="M136" s="64">
        <v>4.4569999999999999</v>
      </c>
      <c r="N136" s="4">
        <v>4.4569999999999999</v>
      </c>
      <c r="O136" s="64">
        <v>4.4569999999999999</v>
      </c>
      <c r="P136" s="4">
        <v>0</v>
      </c>
      <c r="Q136" s="3" t="s">
        <v>26</v>
      </c>
      <c r="R136" s="3">
        <v>0</v>
      </c>
      <c r="S136" s="3">
        <v>0</v>
      </c>
      <c r="T136" s="3">
        <v>11</v>
      </c>
      <c r="U136" s="3">
        <v>71</v>
      </c>
      <c r="V136" s="64">
        <f>IF(ISERROR(VLOOKUP($S$136,'TAR FIN'!$A$1:$O$92,15,0)),0,VLOOKUP($S$136,'TAR FIN'!$A$1:$O$92,15,0))</f>
        <v>0</v>
      </c>
      <c r="W136" s="64">
        <f>IF(ISERROR(VLOOKUP($T$136,'TAR FIN'!$A$1:$O$92,15,0)),0,VLOOKUP($T$136,'TAR FIN'!$A$1:$O$92,15,0))*(1-0.04)</f>
        <v>1109.2895999999998</v>
      </c>
      <c r="X136" s="64">
        <f>IF(ISERROR(VLOOKUP($U$136,'TAR FIN'!$A$1:$O$92,15,0)),0,VLOOKUP($U$136,'TAR FIN'!$A$1:$O$92,15,0))*(1-0.04)</f>
        <v>416.41919999999999</v>
      </c>
      <c r="Y136" s="64"/>
      <c r="Z136" s="64">
        <f ca="1">('TUSD BE'!$AM$11+'TUSD BF'!$AM$11+'TUSD CVA'!$AM$11)*1*(1-0.02)</f>
        <v>1463.9061467887163</v>
      </c>
      <c r="AA136" s="64">
        <f>('TE BE'!$AB$5+'TE BF'!$AB$5+'TE CVA'!$AB$5)*1*(1-0.02)</f>
        <v>531.98726410884376</v>
      </c>
      <c r="AB136" s="64">
        <f>(SUBSIDIO!$J$136*SUBSIDIO!$V$136)*(0.04)/(1-0.04)</f>
        <v>0</v>
      </c>
      <c r="AC136" s="64">
        <f>((SUBSIDIO!$L$136*SUBSIDIO!$W$136)+(SUBSIDIO!$N$136*SUBSIDIO!$X$136))*(0.04)/(1-0.04)</f>
        <v>283.33683839999998</v>
      </c>
      <c r="AD136" s="64">
        <f>(SUBSIDIO!$J$136*SUBSIDIO!$Y$136)*(0.02)/(1-0.02)</f>
        <v>0</v>
      </c>
      <c r="AE136" s="64">
        <f ca="1">((SUBSIDIO!$L$136*SUBSIDIO!$Z$136)+(SUBSIDIO!$N$136*SUBSIDIO!$AA$136))*(0.02)/(1-0.02)</f>
        <v>181.54483535449847</v>
      </c>
      <c r="AF136" s="3" t="s">
        <v>752</v>
      </c>
    </row>
    <row r="137" spans="1:32" ht="11.25" customHeight="1" x14ac:dyDescent="0.25">
      <c r="A137" s="3" t="s">
        <v>21</v>
      </c>
      <c r="B137" s="3" t="s">
        <v>39</v>
      </c>
      <c r="C137" s="3" t="s">
        <v>41</v>
      </c>
      <c r="D137" s="3" t="s">
        <v>44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44805</v>
      </c>
      <c r="J137" s="4">
        <v>0</v>
      </c>
      <c r="K137" s="64">
        <v>0</v>
      </c>
      <c r="L137" s="4">
        <v>6.9470000000000001</v>
      </c>
      <c r="M137" s="64">
        <v>6.9470000000000001</v>
      </c>
      <c r="N137" s="4">
        <v>6.9470000000000001</v>
      </c>
      <c r="O137" s="64">
        <v>6.9470000000000001</v>
      </c>
      <c r="P137" s="4">
        <v>0</v>
      </c>
      <c r="Q137" s="3" t="s">
        <v>26</v>
      </c>
      <c r="R137" s="3">
        <v>0</v>
      </c>
      <c r="S137" s="3">
        <v>0</v>
      </c>
      <c r="T137" s="3">
        <v>11</v>
      </c>
      <c r="U137" s="3">
        <v>71</v>
      </c>
      <c r="V137" s="64">
        <f>IF(ISERROR(VLOOKUP($S$137,'TAR FIN'!$A$1:$O$92,15,0)),0,VLOOKUP($S$137,'TAR FIN'!$A$1:$O$92,15,0))</f>
        <v>0</v>
      </c>
      <c r="W137" s="64">
        <f>IF(ISERROR(VLOOKUP($T$137,'TAR FIN'!$A$1:$O$92,15,0)),0,VLOOKUP($T$137,'TAR FIN'!$A$1:$O$92,15,0))*(1-0.04)</f>
        <v>1109.2895999999998</v>
      </c>
      <c r="X137" s="64">
        <f>IF(ISERROR(VLOOKUP($U$137,'TAR FIN'!$A$1:$O$92,15,0)),0,VLOOKUP($U$137,'TAR FIN'!$A$1:$O$92,15,0))*(1-0.04)</f>
        <v>416.41919999999999</v>
      </c>
      <c r="Y137" s="64"/>
      <c r="Z137" s="64">
        <f ca="1">('TUSD BE'!$AM$11+'TUSD BF'!$AM$11+'TUSD CVA'!$AM$11)*1*(1-0.02)</f>
        <v>1463.9061467887163</v>
      </c>
      <c r="AA137" s="64">
        <f>('TE BE'!$AB$5+'TE BF'!$AB$5+'TE CVA'!$AB$5)*1*(1-0.02)</f>
        <v>531.98726410884376</v>
      </c>
      <c r="AB137" s="64">
        <f>(SUBSIDIO!$J$137*SUBSIDIO!$V$137)*(0.04)/(1-0.04)</f>
        <v>0</v>
      </c>
      <c r="AC137" s="64">
        <f>((SUBSIDIO!$L$137*SUBSIDIO!$W$137)+(SUBSIDIO!$N$137*SUBSIDIO!$X$137))*(0.04)/(1-0.04)</f>
        <v>441.62912640000002</v>
      </c>
      <c r="AD137" s="64">
        <f>(SUBSIDIO!$J$137*SUBSIDIO!$Y$137)*(0.02)/(1-0.02)</f>
        <v>0</v>
      </c>
      <c r="AE137" s="64">
        <f ca="1">((SUBSIDIO!$L$137*SUBSIDIO!$Z$137)+(SUBSIDIO!$N$137*SUBSIDIO!$AA$137))*(0.02)/(1-0.02)</f>
        <v>282.96880664296634</v>
      </c>
      <c r="AF137" s="3" t="s">
        <v>752</v>
      </c>
    </row>
    <row r="138" spans="1:32" ht="11.25" customHeight="1" x14ac:dyDescent="0.25">
      <c r="A138" s="3" t="s">
        <v>28</v>
      </c>
      <c r="B138" s="3" t="s">
        <v>39</v>
      </c>
      <c r="C138" s="3" t="s">
        <v>41</v>
      </c>
      <c r="D138" s="3" t="s">
        <v>44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44805</v>
      </c>
      <c r="J138" s="4">
        <v>0</v>
      </c>
      <c r="K138" s="64">
        <v>0</v>
      </c>
      <c r="L138" s="4">
        <v>3.3580000000000001</v>
      </c>
      <c r="M138" s="64">
        <v>3.3580000000000001</v>
      </c>
      <c r="N138" s="4">
        <v>3.3580000000000001</v>
      </c>
      <c r="O138" s="64">
        <v>3.3580000000000001</v>
      </c>
      <c r="P138" s="4">
        <v>0</v>
      </c>
      <c r="Q138" s="3" t="s">
        <v>26</v>
      </c>
      <c r="R138" s="3">
        <v>0</v>
      </c>
      <c r="S138" s="3">
        <v>0</v>
      </c>
      <c r="T138" s="3">
        <v>11</v>
      </c>
      <c r="U138" s="3">
        <v>71</v>
      </c>
      <c r="V138" s="64">
        <f>IF(ISERROR(VLOOKUP($S$138,'TAR FIN'!$A$1:$O$92,15,0)),0,VLOOKUP($S$138,'TAR FIN'!$A$1:$O$92,15,0))</f>
        <v>0</v>
      </c>
      <c r="W138" s="64">
        <f>IF(ISERROR(VLOOKUP($T$138,'TAR FIN'!$A$1:$O$92,15,0)),0,VLOOKUP($T$138,'TAR FIN'!$A$1:$O$92,15,0))*(1-0.04)</f>
        <v>1109.2895999999998</v>
      </c>
      <c r="X138" s="64">
        <f>IF(ISERROR(VLOOKUP($U$138,'TAR FIN'!$A$1:$O$92,15,0)),0,VLOOKUP($U$138,'TAR FIN'!$A$1:$O$92,15,0))*(1-0.04)</f>
        <v>416.41919999999999</v>
      </c>
      <c r="Y138" s="64"/>
      <c r="Z138" s="64">
        <f ca="1">('TUSD BE'!$AM$11+'TUSD BF'!$AM$11+'TUSD CVA'!$AM$11)*1*(1-0.02)</f>
        <v>1463.9061467887163</v>
      </c>
      <c r="AA138" s="64">
        <f>('TE BE'!$AB$5+'TE BF'!$AB$5+'TE CVA'!$AB$5)*1*(1-0.02)</f>
        <v>531.98726410884376</v>
      </c>
      <c r="AB138" s="64">
        <f>(SUBSIDIO!$J$138*SUBSIDIO!$V$138)*(0.04)/(1-0.04)</f>
        <v>0</v>
      </c>
      <c r="AC138" s="64">
        <f>((SUBSIDIO!$L$138*SUBSIDIO!$W$138)+(SUBSIDIO!$N$138*SUBSIDIO!$X$138))*(0.04)/(1-0.04)</f>
        <v>213.4720896</v>
      </c>
      <c r="AD138" s="64">
        <f>(SUBSIDIO!$J$138*SUBSIDIO!$Y$138)*(0.02)/(1-0.02)</f>
        <v>0</v>
      </c>
      <c r="AE138" s="64">
        <f ca="1">((SUBSIDIO!$L$138*SUBSIDIO!$Z$138)+(SUBSIDIO!$N$138*SUBSIDIO!$AA$138))*(0.02)/(1-0.02)</f>
        <v>136.7797974243675</v>
      </c>
      <c r="AF138" s="3" t="s">
        <v>752</v>
      </c>
    </row>
    <row r="139" spans="1:32" ht="11.25" customHeight="1" x14ac:dyDescent="0.25">
      <c r="A139" s="3" t="s">
        <v>55</v>
      </c>
      <c r="B139" s="3" t="s">
        <v>39</v>
      </c>
      <c r="C139" s="3" t="s">
        <v>41</v>
      </c>
      <c r="D139" s="3" t="s">
        <v>44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44835</v>
      </c>
      <c r="J139" s="4">
        <v>0</v>
      </c>
      <c r="K139" s="64">
        <v>0</v>
      </c>
      <c r="L139" s="4">
        <v>6.9470000000000001</v>
      </c>
      <c r="M139" s="64">
        <v>6.9470000000000001</v>
      </c>
      <c r="N139" s="4">
        <v>6.9470000000000001</v>
      </c>
      <c r="O139" s="64">
        <v>6.9470000000000001</v>
      </c>
      <c r="P139" s="4">
        <v>0</v>
      </c>
      <c r="Q139" s="3" t="s">
        <v>26</v>
      </c>
      <c r="R139" s="3">
        <v>0</v>
      </c>
      <c r="S139" s="3">
        <v>0</v>
      </c>
      <c r="T139" s="3">
        <v>11</v>
      </c>
      <c r="U139" s="3">
        <v>71</v>
      </c>
      <c r="V139" s="64">
        <f>IF(ISERROR(VLOOKUP($S$139,'TAR FIN'!$A$1:$O$92,15,0)),0,VLOOKUP($S$139,'TAR FIN'!$A$1:$O$92,15,0))</f>
        <v>0</v>
      </c>
      <c r="W139" s="64">
        <f>IF(ISERROR(VLOOKUP($T$139,'TAR FIN'!$A$1:$O$92,15,0)),0,VLOOKUP($T$139,'TAR FIN'!$A$1:$O$92,15,0))*(1-0.04)</f>
        <v>1109.2895999999998</v>
      </c>
      <c r="X139" s="64">
        <f>IF(ISERROR(VLOOKUP($U$139,'TAR FIN'!$A$1:$O$92,15,0)),0,VLOOKUP($U$139,'TAR FIN'!$A$1:$O$92,15,0))*(1-0.04)</f>
        <v>416.41919999999999</v>
      </c>
      <c r="Y139" s="64"/>
      <c r="Z139" s="64">
        <f ca="1">('TUSD BE'!$AM$11+'TUSD BF'!$AM$11+'TUSD CVA'!$AM$11)*1*(1-0.02)</f>
        <v>1463.9061467887163</v>
      </c>
      <c r="AA139" s="64">
        <f>('TE BE'!$AB$5+'TE BF'!$AB$5+'TE CVA'!$AB$5)*1*(1-0.02)</f>
        <v>531.98726410884376</v>
      </c>
      <c r="AB139" s="64">
        <f>(SUBSIDIO!$J$139*SUBSIDIO!$V$139)*(0.04)/(1-0.04)</f>
        <v>0</v>
      </c>
      <c r="AC139" s="64">
        <f>((SUBSIDIO!$L$139*SUBSIDIO!$W$139)+(SUBSIDIO!$N$139*SUBSIDIO!$X$139))*(0.04)/(1-0.04)</f>
        <v>441.62912640000002</v>
      </c>
      <c r="AD139" s="64">
        <f>(SUBSIDIO!$J$139*SUBSIDIO!$Y$139)*(0.02)/(1-0.02)</f>
        <v>0</v>
      </c>
      <c r="AE139" s="64">
        <f ca="1">((SUBSIDIO!$L$139*SUBSIDIO!$Z$139)+(SUBSIDIO!$N$139*SUBSIDIO!$AA$139))*(0.02)/(1-0.02)</f>
        <v>282.96880664296634</v>
      </c>
      <c r="AF139" s="3" t="s">
        <v>752</v>
      </c>
    </row>
    <row r="140" spans="1:32" ht="11.25" customHeight="1" x14ac:dyDescent="0.25">
      <c r="A140" s="3" t="s">
        <v>55</v>
      </c>
      <c r="B140" s="3" t="s">
        <v>39</v>
      </c>
      <c r="C140" s="3" t="s">
        <v>41</v>
      </c>
      <c r="D140" s="3" t="s">
        <v>44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44835</v>
      </c>
      <c r="J140" s="4">
        <v>0</v>
      </c>
      <c r="K140" s="64">
        <v>0</v>
      </c>
      <c r="L140" s="4">
        <v>3.3580000000000001</v>
      </c>
      <c r="M140" s="64">
        <v>3.3580000000000001</v>
      </c>
      <c r="N140" s="4">
        <v>3.3580000000000001</v>
      </c>
      <c r="O140" s="64">
        <v>3.3580000000000001</v>
      </c>
      <c r="P140" s="4">
        <v>0</v>
      </c>
      <c r="Q140" s="3" t="s">
        <v>26</v>
      </c>
      <c r="R140" s="3">
        <v>0</v>
      </c>
      <c r="S140" s="3">
        <v>0</v>
      </c>
      <c r="T140" s="3">
        <v>11</v>
      </c>
      <c r="U140" s="3">
        <v>71</v>
      </c>
      <c r="V140" s="64">
        <f>IF(ISERROR(VLOOKUP($S$140,'TAR FIN'!$A$1:$O$92,15,0)),0,VLOOKUP($S$140,'TAR FIN'!$A$1:$O$92,15,0))</f>
        <v>0</v>
      </c>
      <c r="W140" s="64">
        <f>IF(ISERROR(VLOOKUP($T$140,'TAR FIN'!$A$1:$O$92,15,0)),0,VLOOKUP($T$140,'TAR FIN'!$A$1:$O$92,15,0))*(1-0.04)</f>
        <v>1109.2895999999998</v>
      </c>
      <c r="X140" s="64">
        <f>IF(ISERROR(VLOOKUP($U$140,'TAR FIN'!$A$1:$O$92,15,0)),0,VLOOKUP($U$140,'TAR FIN'!$A$1:$O$92,15,0))*(1-0.04)</f>
        <v>416.41919999999999</v>
      </c>
      <c r="Y140" s="64"/>
      <c r="Z140" s="64">
        <f ca="1">('TUSD BE'!$AM$11+'TUSD BF'!$AM$11+'TUSD CVA'!$AM$11)*1*(1-0.02)</f>
        <v>1463.9061467887163</v>
      </c>
      <c r="AA140" s="64">
        <f>('TE BE'!$AB$5+'TE BF'!$AB$5+'TE CVA'!$AB$5)*1*(1-0.02)</f>
        <v>531.98726410884376</v>
      </c>
      <c r="AB140" s="64">
        <f>(SUBSIDIO!$J$140*SUBSIDIO!$V$140)*(0.04)/(1-0.04)</f>
        <v>0</v>
      </c>
      <c r="AC140" s="64">
        <f>((SUBSIDIO!$L$140*SUBSIDIO!$W$140)+(SUBSIDIO!$N$140*SUBSIDIO!$X$140))*(0.04)/(1-0.04)</f>
        <v>213.4720896</v>
      </c>
      <c r="AD140" s="64">
        <f>(SUBSIDIO!$J$140*SUBSIDIO!$Y$140)*(0.02)/(1-0.02)</f>
        <v>0</v>
      </c>
      <c r="AE140" s="64">
        <f ca="1">((SUBSIDIO!$L$140*SUBSIDIO!$Z$140)+(SUBSIDIO!$N$140*SUBSIDIO!$AA$140))*(0.02)/(1-0.02)</f>
        <v>136.7797974243675</v>
      </c>
      <c r="AF140" s="3" t="s">
        <v>752</v>
      </c>
    </row>
    <row r="141" spans="1:32" ht="11.25" customHeight="1" x14ac:dyDescent="0.25">
      <c r="A141" s="3" t="s">
        <v>21</v>
      </c>
      <c r="B141" s="3" t="s">
        <v>39</v>
      </c>
      <c r="C141" s="3" t="s">
        <v>41</v>
      </c>
      <c r="D141" s="3" t="s">
        <v>49</v>
      </c>
      <c r="E141" s="3" t="s">
        <v>50</v>
      </c>
      <c r="F141" s="3" t="s">
        <v>25</v>
      </c>
      <c r="G141" s="3" t="s">
        <v>25</v>
      </c>
      <c r="H141" s="3" t="s">
        <v>35</v>
      </c>
      <c r="I141" s="6">
        <v>44501</v>
      </c>
      <c r="J141" s="4">
        <v>0</v>
      </c>
      <c r="K141" s="64">
        <v>0</v>
      </c>
      <c r="L141" s="4">
        <v>735.952</v>
      </c>
      <c r="M141" s="64">
        <v>735.952</v>
      </c>
      <c r="N141" s="4">
        <v>735.952</v>
      </c>
      <c r="O141" s="64">
        <v>735.952</v>
      </c>
      <c r="P141" s="4">
        <v>0</v>
      </c>
      <c r="Q141" s="3" t="s">
        <v>26</v>
      </c>
      <c r="R141" s="3">
        <v>0</v>
      </c>
      <c r="S141" s="3">
        <v>0</v>
      </c>
      <c r="T141" s="3">
        <v>31</v>
      </c>
      <c r="U141" s="3">
        <v>59</v>
      </c>
      <c r="V141" s="64">
        <f>IF(ISERROR(VLOOKUP($S$141,'TAR FIN'!$A$1:$O$92,15,0)),0,VLOOKUP($S$141,'TAR FIN'!$A$1:$O$92,15,0))</f>
        <v>0</v>
      </c>
      <c r="W141" s="64">
        <f>IF(ISERROR(VLOOKUP($T$141,'TAR FIN'!$A$1:$O$92,15,0)),0,VLOOKUP($T$141,'TAR FIN'!$A$1:$O$92,15,0))*(1-0.06)</f>
        <v>82.466200000000001</v>
      </c>
      <c r="X141" s="64">
        <f>IF(ISERROR(VLOOKUP($U$141,'TAR FIN'!$A$1:$O$92,15,0)),0,VLOOKUP($U$141,'TAR FIN'!$A$1:$O$92,15,0))*(1-0.06)</f>
        <v>238.666</v>
      </c>
      <c r="Y141" s="64"/>
      <c r="Z141" s="64">
        <f ca="1">('TUSD BE'!$AM$12+'TUSD BF'!$AM$12+'TUSD CVA'!$AM$12)*1*(1-0.03)</f>
        <v>106.15870582034525</v>
      </c>
      <c r="AA141" s="64">
        <f>('TE BE'!$AB$6+'TE BF'!$AB$6+'TE CVA'!$AB$6)*1*(1-0.03)</f>
        <v>307.86582774956895</v>
      </c>
      <c r="AB141" s="64">
        <f>(SUBSIDIO!$J$141*SUBSIDIO!$V$141)*(0.06)/(1-0.06)</f>
        <v>0</v>
      </c>
      <c r="AC141" s="64">
        <f>((SUBSIDIO!$L$141*SUBSIDIO!$W$141)+(SUBSIDIO!$N$141*SUBSIDIO!$X$141))*(0.06)/(1-0.06)</f>
        <v>15085.396905599999</v>
      </c>
      <c r="AD141" s="64">
        <f>(SUBSIDIO!$J$141*SUBSIDIO!$Y$141)*(0.03)/(1-0.03)</f>
        <v>0</v>
      </c>
      <c r="AE141" s="64">
        <f ca="1">((SUBSIDIO!$L$141*SUBSIDIO!$Z$141)+(SUBSIDIO!$N$141*SUBSIDIO!$AA$141))*(0.03)/(1-0.03)</f>
        <v>9423.778872057077</v>
      </c>
      <c r="AF141" s="3" t="s">
        <v>751</v>
      </c>
    </row>
    <row r="142" spans="1:32" ht="11.25" customHeight="1" x14ac:dyDescent="0.25">
      <c r="A142" s="3" t="s">
        <v>21</v>
      </c>
      <c r="B142" s="3" t="s">
        <v>39</v>
      </c>
      <c r="C142" s="3" t="s">
        <v>41</v>
      </c>
      <c r="D142" s="3" t="s">
        <v>49</v>
      </c>
      <c r="E142" s="3" t="s">
        <v>50</v>
      </c>
      <c r="F142" s="3" t="s">
        <v>25</v>
      </c>
      <c r="G142" s="3" t="s">
        <v>25</v>
      </c>
      <c r="H142" s="3" t="s">
        <v>35</v>
      </c>
      <c r="I142" s="6">
        <v>44531</v>
      </c>
      <c r="J142" s="4">
        <v>0</v>
      </c>
      <c r="K142" s="64">
        <v>0</v>
      </c>
      <c r="L142" s="4">
        <v>712.923</v>
      </c>
      <c r="M142" s="64">
        <v>712.923</v>
      </c>
      <c r="N142" s="4">
        <v>712.923</v>
      </c>
      <c r="O142" s="64">
        <v>712.923</v>
      </c>
      <c r="P142" s="4">
        <v>0</v>
      </c>
      <c r="Q142" s="3" t="s">
        <v>26</v>
      </c>
      <c r="R142" s="3">
        <v>0</v>
      </c>
      <c r="S142" s="3">
        <v>0</v>
      </c>
      <c r="T142" s="3">
        <v>31</v>
      </c>
      <c r="U142" s="3">
        <v>59</v>
      </c>
      <c r="V142" s="64">
        <f>IF(ISERROR(VLOOKUP($S$142,'TAR FIN'!$A$1:$O$92,15,0)),0,VLOOKUP($S$142,'TAR FIN'!$A$1:$O$92,15,0))</f>
        <v>0</v>
      </c>
      <c r="W142" s="64">
        <f>IF(ISERROR(VLOOKUP($T$142,'TAR FIN'!$A$1:$O$92,15,0)),0,VLOOKUP($T$142,'TAR FIN'!$A$1:$O$92,15,0))*(1-0.06)</f>
        <v>82.466200000000001</v>
      </c>
      <c r="X142" s="64">
        <f>IF(ISERROR(VLOOKUP($U$142,'TAR FIN'!$A$1:$O$92,15,0)),0,VLOOKUP($U$142,'TAR FIN'!$A$1:$O$92,15,0))*(1-0.06)</f>
        <v>238.666</v>
      </c>
      <c r="Y142" s="64"/>
      <c r="Z142" s="64">
        <f ca="1">('TUSD BE'!$AM$12+'TUSD BF'!$AM$12+'TUSD CVA'!$AM$12)*1*(1-0.03)</f>
        <v>106.15870582034525</v>
      </c>
      <c r="AA142" s="64">
        <f>('TE BE'!$AB$6+'TE BF'!$AB$6+'TE CVA'!$AB$6)*1*(1-0.03)</f>
        <v>307.86582774956895</v>
      </c>
      <c r="AB142" s="64">
        <f>(SUBSIDIO!$J$142*SUBSIDIO!$V$142)*(0.06)/(1-0.06)</f>
        <v>0</v>
      </c>
      <c r="AC142" s="64">
        <f>((SUBSIDIO!$L$142*SUBSIDIO!$W$142)+(SUBSIDIO!$N$142*SUBSIDIO!$X$142))*(0.06)/(1-0.06)</f>
        <v>14613.3530694</v>
      </c>
      <c r="AD142" s="64">
        <f>(SUBSIDIO!$J$142*SUBSIDIO!$Y$142)*(0.03)/(1-0.03)</f>
        <v>0</v>
      </c>
      <c r="AE142" s="64">
        <f ca="1">((SUBSIDIO!$L$142*SUBSIDIO!$Z$142)+(SUBSIDIO!$N$142*SUBSIDIO!$AA$142))*(0.03)/(1-0.03)</f>
        <v>9128.8952333896068</v>
      </c>
      <c r="AF142" s="3" t="s">
        <v>751</v>
      </c>
    </row>
    <row r="143" spans="1:32" ht="11.25" customHeight="1" x14ac:dyDescent="0.25">
      <c r="A143" s="3" t="s">
        <v>21</v>
      </c>
      <c r="B143" s="3" t="s">
        <v>39</v>
      </c>
      <c r="C143" s="3" t="s">
        <v>41</v>
      </c>
      <c r="D143" s="3" t="s">
        <v>49</v>
      </c>
      <c r="E143" s="3" t="s">
        <v>50</v>
      </c>
      <c r="F143" s="3" t="s">
        <v>25</v>
      </c>
      <c r="G143" s="3" t="s">
        <v>25</v>
      </c>
      <c r="H143" s="3" t="s">
        <v>35</v>
      </c>
      <c r="I143" s="6">
        <v>44562</v>
      </c>
      <c r="J143" s="4">
        <v>0</v>
      </c>
      <c r="K143" s="64">
        <v>0</v>
      </c>
      <c r="L143" s="4">
        <v>710.61199999999997</v>
      </c>
      <c r="M143" s="64">
        <v>710.61199999999997</v>
      </c>
      <c r="N143" s="4">
        <v>710.61199999999997</v>
      </c>
      <c r="O143" s="64">
        <v>710.61199999999997</v>
      </c>
      <c r="P143" s="4">
        <v>0</v>
      </c>
      <c r="Q143" s="3" t="s">
        <v>26</v>
      </c>
      <c r="R143" s="3">
        <v>0</v>
      </c>
      <c r="S143" s="3">
        <v>0</v>
      </c>
      <c r="T143" s="3">
        <v>31</v>
      </c>
      <c r="U143" s="3">
        <v>59</v>
      </c>
      <c r="V143" s="64">
        <f>IF(ISERROR(VLOOKUP($S$143,'TAR FIN'!$A$1:$O$92,15,0)),0,VLOOKUP($S$143,'TAR FIN'!$A$1:$O$92,15,0))</f>
        <v>0</v>
      </c>
      <c r="W143" s="64">
        <f>IF(ISERROR(VLOOKUP($T$143,'TAR FIN'!$A$1:$O$92,15,0)),0,VLOOKUP($T$143,'TAR FIN'!$A$1:$O$92,15,0))*(1-0.06)</f>
        <v>82.466200000000001</v>
      </c>
      <c r="X143" s="64">
        <f>IF(ISERROR(VLOOKUP($U$143,'TAR FIN'!$A$1:$O$92,15,0)),0,VLOOKUP($U$143,'TAR FIN'!$A$1:$O$92,15,0))*(1-0.06)</f>
        <v>238.666</v>
      </c>
      <c r="Y143" s="64"/>
      <c r="Z143" s="64">
        <f ca="1">('TUSD BE'!$AM$12+'TUSD BF'!$AM$12+'TUSD CVA'!$AM$12)*1*(1-0.03)</f>
        <v>106.15870582034525</v>
      </c>
      <c r="AA143" s="64">
        <f>('TE BE'!$AB$6+'TE BF'!$AB$6+'TE CVA'!$AB$6)*1*(1-0.03)</f>
        <v>307.86582774956895</v>
      </c>
      <c r="AB143" s="64">
        <f>(SUBSIDIO!$J$143*SUBSIDIO!$V$143)*(0.06)/(1-0.06)</f>
        <v>0</v>
      </c>
      <c r="AC143" s="64">
        <f>((SUBSIDIO!$L$143*SUBSIDIO!$W$143)+(SUBSIDIO!$N$143*SUBSIDIO!$X$143))*(0.06)/(1-0.06)</f>
        <v>14565.982653599998</v>
      </c>
      <c r="AD143" s="64">
        <f>(SUBSIDIO!$J$143*SUBSIDIO!$Y$143)*(0.03)/(1-0.03)</f>
        <v>0</v>
      </c>
      <c r="AE143" s="64">
        <f ca="1">((SUBSIDIO!$L$143*SUBSIDIO!$Z$143)+(SUBSIDIO!$N$143*SUBSIDIO!$AA$143))*(0.03)/(1-0.03)</f>
        <v>9099.3031499747594</v>
      </c>
      <c r="AF143" s="3" t="s">
        <v>751</v>
      </c>
    </row>
    <row r="144" spans="1:32" ht="11.25" customHeight="1" x14ac:dyDescent="0.25">
      <c r="A144" s="3" t="s">
        <v>21</v>
      </c>
      <c r="B144" s="3" t="s">
        <v>39</v>
      </c>
      <c r="C144" s="3" t="s">
        <v>41</v>
      </c>
      <c r="D144" s="3" t="s">
        <v>49</v>
      </c>
      <c r="E144" s="3" t="s">
        <v>50</v>
      </c>
      <c r="F144" s="3" t="s">
        <v>25</v>
      </c>
      <c r="G144" s="3" t="s">
        <v>25</v>
      </c>
      <c r="H144" s="3" t="s">
        <v>35</v>
      </c>
      <c r="I144" s="6">
        <v>44593</v>
      </c>
      <c r="J144" s="4">
        <v>0</v>
      </c>
      <c r="K144" s="64">
        <v>0</v>
      </c>
      <c r="L144" s="4">
        <v>661.45600000000002</v>
      </c>
      <c r="M144" s="64">
        <v>661.45600000000002</v>
      </c>
      <c r="N144" s="4">
        <v>661.45600000000002</v>
      </c>
      <c r="O144" s="64">
        <v>661.45600000000002</v>
      </c>
      <c r="P144" s="4">
        <v>0</v>
      </c>
      <c r="Q144" s="3" t="s">
        <v>26</v>
      </c>
      <c r="R144" s="3">
        <v>0</v>
      </c>
      <c r="S144" s="3">
        <v>0</v>
      </c>
      <c r="T144" s="3">
        <v>31</v>
      </c>
      <c r="U144" s="3">
        <v>59</v>
      </c>
      <c r="V144" s="64">
        <f>IF(ISERROR(VLOOKUP($S$144,'TAR FIN'!$A$1:$O$92,15,0)),0,VLOOKUP($S$144,'TAR FIN'!$A$1:$O$92,15,0))</f>
        <v>0</v>
      </c>
      <c r="W144" s="64">
        <f>IF(ISERROR(VLOOKUP($T$144,'TAR FIN'!$A$1:$O$92,15,0)),0,VLOOKUP($T$144,'TAR FIN'!$A$1:$O$92,15,0))*(1-0.06)</f>
        <v>82.466200000000001</v>
      </c>
      <c r="X144" s="64">
        <f>IF(ISERROR(VLOOKUP($U$144,'TAR FIN'!$A$1:$O$92,15,0)),0,VLOOKUP($U$144,'TAR FIN'!$A$1:$O$92,15,0))*(1-0.06)</f>
        <v>238.666</v>
      </c>
      <c r="Y144" s="64"/>
      <c r="Z144" s="64">
        <f ca="1">('TUSD BE'!$AM$12+'TUSD BF'!$AM$12+'TUSD CVA'!$AM$12)*1*(1-0.03)</f>
        <v>106.15870582034525</v>
      </c>
      <c r="AA144" s="64">
        <f>('TE BE'!$AB$6+'TE BF'!$AB$6+'TE CVA'!$AB$6)*1*(1-0.03)</f>
        <v>307.86582774956895</v>
      </c>
      <c r="AB144" s="64">
        <f>(SUBSIDIO!$J$144*SUBSIDIO!$V$144)*(0.06)/(1-0.06)</f>
        <v>0</v>
      </c>
      <c r="AC144" s="64">
        <f>((SUBSIDIO!$L$144*SUBSIDIO!$W$144)+(SUBSIDIO!$N$144*SUBSIDIO!$X$144))*(0.06)/(1-0.06)</f>
        <v>13558.392796800001</v>
      </c>
      <c r="AD144" s="64">
        <f>(SUBSIDIO!$J$144*SUBSIDIO!$Y$144)*(0.03)/(1-0.03)</f>
        <v>0</v>
      </c>
      <c r="AE144" s="64">
        <f ca="1">((SUBSIDIO!$L$144*SUBSIDIO!$Z$144)+(SUBSIDIO!$N$144*SUBSIDIO!$AA$144))*(0.03)/(1-0.03)</f>
        <v>8469.866346711995</v>
      </c>
      <c r="AF144" s="3" t="s">
        <v>751</v>
      </c>
    </row>
    <row r="145" spans="1:32" ht="11.25" customHeight="1" x14ac:dyDescent="0.25">
      <c r="A145" s="3" t="s">
        <v>21</v>
      </c>
      <c r="B145" s="3" t="s">
        <v>39</v>
      </c>
      <c r="C145" s="3" t="s">
        <v>41</v>
      </c>
      <c r="D145" s="3" t="s">
        <v>49</v>
      </c>
      <c r="E145" s="3" t="s">
        <v>50</v>
      </c>
      <c r="F145" s="3" t="s">
        <v>25</v>
      </c>
      <c r="G145" s="3" t="s">
        <v>25</v>
      </c>
      <c r="H145" s="3" t="s">
        <v>35</v>
      </c>
      <c r="I145" s="6">
        <v>44621</v>
      </c>
      <c r="J145" s="4">
        <v>0</v>
      </c>
      <c r="K145" s="64">
        <v>0</v>
      </c>
      <c r="L145" s="4">
        <v>785.90200000000004</v>
      </c>
      <c r="M145" s="64">
        <v>785.90200000000004</v>
      </c>
      <c r="N145" s="4">
        <v>785.90200000000004</v>
      </c>
      <c r="O145" s="64">
        <v>785.90200000000004</v>
      </c>
      <c r="P145" s="4">
        <v>0</v>
      </c>
      <c r="Q145" s="3" t="s">
        <v>26</v>
      </c>
      <c r="R145" s="3">
        <v>0</v>
      </c>
      <c r="S145" s="3">
        <v>0</v>
      </c>
      <c r="T145" s="3">
        <v>31</v>
      </c>
      <c r="U145" s="3">
        <v>59</v>
      </c>
      <c r="V145" s="64">
        <f>IF(ISERROR(VLOOKUP($S$145,'TAR FIN'!$A$1:$O$92,15,0)),0,VLOOKUP($S$145,'TAR FIN'!$A$1:$O$92,15,0))</f>
        <v>0</v>
      </c>
      <c r="W145" s="64">
        <f>IF(ISERROR(VLOOKUP($T$145,'TAR FIN'!$A$1:$O$92,15,0)),0,VLOOKUP($T$145,'TAR FIN'!$A$1:$O$92,15,0))*(1-0.06)</f>
        <v>82.466200000000001</v>
      </c>
      <c r="X145" s="64">
        <f>IF(ISERROR(VLOOKUP($U$145,'TAR FIN'!$A$1:$O$92,15,0)),0,VLOOKUP($U$145,'TAR FIN'!$A$1:$O$92,15,0))*(1-0.06)</f>
        <v>238.666</v>
      </c>
      <c r="Y145" s="64"/>
      <c r="Z145" s="64">
        <f ca="1">('TUSD BE'!$AM$12+'TUSD BF'!$AM$12+'TUSD CVA'!$AM$12)*1*(1-0.03)</f>
        <v>106.15870582034525</v>
      </c>
      <c r="AA145" s="64">
        <f>('TE BE'!$AB$6+'TE BF'!$AB$6+'TE CVA'!$AB$6)*1*(1-0.03)</f>
        <v>307.86582774956895</v>
      </c>
      <c r="AB145" s="64">
        <f>(SUBSIDIO!$J$145*SUBSIDIO!$V$145)*(0.06)/(1-0.06)</f>
        <v>0</v>
      </c>
      <c r="AC145" s="64">
        <f>((SUBSIDIO!$L$145*SUBSIDIO!$W$145)+(SUBSIDIO!$N$145*SUBSIDIO!$X$145))*(0.06)/(1-0.06)</f>
        <v>16109.262015600001</v>
      </c>
      <c r="AD145" s="64">
        <f>(SUBSIDIO!$J$145*SUBSIDIO!$Y$145)*(0.03)/(1-0.03)</f>
        <v>0</v>
      </c>
      <c r="AE145" s="64">
        <f ca="1">((SUBSIDIO!$L$145*SUBSIDIO!$Z$145)+(SUBSIDIO!$N$145*SUBSIDIO!$AA$145))*(0.03)/(1-0.03)</f>
        <v>10063.382752010188</v>
      </c>
      <c r="AF145" s="3" t="s">
        <v>751</v>
      </c>
    </row>
    <row r="146" spans="1:32" ht="11.25" customHeight="1" x14ac:dyDescent="0.25">
      <c r="A146" s="3" t="s">
        <v>21</v>
      </c>
      <c r="B146" s="3" t="s">
        <v>39</v>
      </c>
      <c r="C146" s="3" t="s">
        <v>41</v>
      </c>
      <c r="D146" s="3" t="s">
        <v>49</v>
      </c>
      <c r="E146" s="3" t="s">
        <v>50</v>
      </c>
      <c r="F146" s="3" t="s">
        <v>25</v>
      </c>
      <c r="G146" s="3" t="s">
        <v>25</v>
      </c>
      <c r="H146" s="3" t="s">
        <v>35</v>
      </c>
      <c r="I146" s="6">
        <v>44652</v>
      </c>
      <c r="J146" s="4">
        <v>0</v>
      </c>
      <c r="K146" s="64">
        <v>0</v>
      </c>
      <c r="L146" s="4">
        <v>785.90200000000004</v>
      </c>
      <c r="M146" s="64">
        <v>785.90200000000004</v>
      </c>
      <c r="N146" s="4">
        <v>785.90200000000004</v>
      </c>
      <c r="O146" s="64">
        <v>785.90200000000004</v>
      </c>
      <c r="P146" s="4">
        <v>0</v>
      </c>
      <c r="Q146" s="3" t="s">
        <v>26</v>
      </c>
      <c r="R146" s="3">
        <v>0</v>
      </c>
      <c r="S146" s="3">
        <v>0</v>
      </c>
      <c r="T146" s="3">
        <v>31</v>
      </c>
      <c r="U146" s="3">
        <v>59</v>
      </c>
      <c r="V146" s="64">
        <f>IF(ISERROR(VLOOKUP($S$146,'TAR FIN'!$A$1:$O$92,15,0)),0,VLOOKUP($S$146,'TAR FIN'!$A$1:$O$92,15,0))</f>
        <v>0</v>
      </c>
      <c r="W146" s="64">
        <f>IF(ISERROR(VLOOKUP($T$146,'TAR FIN'!$A$1:$O$92,15,0)),0,VLOOKUP($T$146,'TAR FIN'!$A$1:$O$92,15,0))*(1-0.06)</f>
        <v>82.466200000000001</v>
      </c>
      <c r="X146" s="64">
        <f>IF(ISERROR(VLOOKUP($U$146,'TAR FIN'!$A$1:$O$92,15,0)),0,VLOOKUP($U$146,'TAR FIN'!$A$1:$O$92,15,0))*(1-0.06)</f>
        <v>238.666</v>
      </c>
      <c r="Y146" s="64"/>
      <c r="Z146" s="64">
        <f ca="1">('TUSD BE'!$AM$12+'TUSD BF'!$AM$12+'TUSD CVA'!$AM$12)*1*(1-0.03)</f>
        <v>106.15870582034525</v>
      </c>
      <c r="AA146" s="64">
        <f>('TE BE'!$AB$6+'TE BF'!$AB$6+'TE CVA'!$AB$6)*1*(1-0.03)</f>
        <v>307.86582774956895</v>
      </c>
      <c r="AB146" s="64">
        <f>(SUBSIDIO!$J$146*SUBSIDIO!$V$146)*(0.06)/(1-0.06)</f>
        <v>0</v>
      </c>
      <c r="AC146" s="64">
        <f>((SUBSIDIO!$L$146*SUBSIDIO!$W$146)+(SUBSIDIO!$N$146*SUBSIDIO!$X$146))*(0.06)/(1-0.06)</f>
        <v>16109.262015600001</v>
      </c>
      <c r="AD146" s="64">
        <f>(SUBSIDIO!$J$146*SUBSIDIO!$Y$146)*(0.03)/(1-0.03)</f>
        <v>0</v>
      </c>
      <c r="AE146" s="64">
        <f ca="1">((SUBSIDIO!$L$146*SUBSIDIO!$Z$146)+(SUBSIDIO!$N$146*SUBSIDIO!$AA$146))*(0.03)/(1-0.03)</f>
        <v>10063.382752010188</v>
      </c>
      <c r="AF146" s="3" t="s">
        <v>751</v>
      </c>
    </row>
    <row r="147" spans="1:32" ht="11.25" customHeight="1" x14ac:dyDescent="0.25">
      <c r="A147" s="3" t="s">
        <v>21</v>
      </c>
      <c r="B147" s="3" t="s">
        <v>39</v>
      </c>
      <c r="C147" s="3" t="s">
        <v>41</v>
      </c>
      <c r="D147" s="3" t="s">
        <v>49</v>
      </c>
      <c r="E147" s="3" t="s">
        <v>50</v>
      </c>
      <c r="F147" s="3" t="s">
        <v>25</v>
      </c>
      <c r="G147" s="3" t="s">
        <v>25</v>
      </c>
      <c r="H147" s="3" t="s">
        <v>35</v>
      </c>
      <c r="I147" s="6">
        <v>44682</v>
      </c>
      <c r="J147" s="4">
        <v>0</v>
      </c>
      <c r="K147" s="64">
        <v>0</v>
      </c>
      <c r="L147" s="4">
        <v>795.62699999999995</v>
      </c>
      <c r="M147" s="64">
        <v>795.62699999999995</v>
      </c>
      <c r="N147" s="4">
        <v>795.62699999999995</v>
      </c>
      <c r="O147" s="64">
        <v>795.62699999999995</v>
      </c>
      <c r="P147" s="4">
        <v>0</v>
      </c>
      <c r="Q147" s="3" t="s">
        <v>26</v>
      </c>
      <c r="R147" s="3">
        <v>0</v>
      </c>
      <c r="S147" s="3">
        <v>0</v>
      </c>
      <c r="T147" s="3">
        <v>31</v>
      </c>
      <c r="U147" s="3">
        <v>59</v>
      </c>
      <c r="V147" s="64">
        <f>IF(ISERROR(VLOOKUP($S$147,'TAR FIN'!$A$1:$O$92,15,0)),0,VLOOKUP($S$147,'TAR FIN'!$A$1:$O$92,15,0))</f>
        <v>0</v>
      </c>
      <c r="W147" s="64">
        <f>IF(ISERROR(VLOOKUP($T$147,'TAR FIN'!$A$1:$O$92,15,0)),0,VLOOKUP($T$147,'TAR FIN'!$A$1:$O$92,15,0))*(1-0.06)</f>
        <v>82.466200000000001</v>
      </c>
      <c r="X147" s="64">
        <f>IF(ISERROR(VLOOKUP($U$147,'TAR FIN'!$A$1:$O$92,15,0)),0,VLOOKUP($U$147,'TAR FIN'!$A$1:$O$92,15,0))*(1-0.06)</f>
        <v>238.666</v>
      </c>
      <c r="Y147" s="64"/>
      <c r="Z147" s="64">
        <f ca="1">('TUSD BE'!$AM$12+'TUSD BF'!$AM$12+'TUSD CVA'!$AM$12)*1*(1-0.03)</f>
        <v>106.15870582034525</v>
      </c>
      <c r="AA147" s="64">
        <f>('TE BE'!$AB$6+'TE BF'!$AB$6+'TE CVA'!$AB$6)*1*(1-0.03)</f>
        <v>307.86582774956895</v>
      </c>
      <c r="AB147" s="64">
        <f>(SUBSIDIO!$J$147*SUBSIDIO!$V$147)*(0.06)/(1-0.06)</f>
        <v>0</v>
      </c>
      <c r="AC147" s="64">
        <f>((SUBSIDIO!$L$147*SUBSIDIO!$W$147)+(SUBSIDIO!$N$147*SUBSIDIO!$X$147))*(0.06)/(1-0.06)</f>
        <v>16308.603120599999</v>
      </c>
      <c r="AD147" s="64">
        <f>(SUBSIDIO!$J$147*SUBSIDIO!$Y$147)*(0.03)/(1-0.03)</f>
        <v>0</v>
      </c>
      <c r="AE147" s="64">
        <f ca="1">((SUBSIDIO!$L$147*SUBSIDIO!$Z$147)+(SUBSIDIO!$N$147*SUBSIDIO!$AA$147))*(0.03)/(1-0.03)</f>
        <v>10187.910234143199</v>
      </c>
      <c r="AF147" s="3" t="s">
        <v>751</v>
      </c>
    </row>
    <row r="148" spans="1:32" ht="11.25" customHeight="1" x14ac:dyDescent="0.25">
      <c r="A148" s="3" t="s">
        <v>21</v>
      </c>
      <c r="B148" s="3" t="s">
        <v>39</v>
      </c>
      <c r="C148" s="3" t="s">
        <v>41</v>
      </c>
      <c r="D148" s="3" t="s">
        <v>49</v>
      </c>
      <c r="E148" s="3" t="s">
        <v>50</v>
      </c>
      <c r="F148" s="3" t="s">
        <v>25</v>
      </c>
      <c r="G148" s="3" t="s">
        <v>25</v>
      </c>
      <c r="H148" s="3" t="s">
        <v>35</v>
      </c>
      <c r="I148" s="6">
        <v>44713</v>
      </c>
      <c r="J148" s="4">
        <v>0</v>
      </c>
      <c r="K148" s="64">
        <v>0</v>
      </c>
      <c r="L148" s="4">
        <v>766.27700000000004</v>
      </c>
      <c r="M148" s="64">
        <v>766.27700000000004</v>
      </c>
      <c r="N148" s="4">
        <v>766.27700000000004</v>
      </c>
      <c r="O148" s="64">
        <v>766.27700000000004</v>
      </c>
      <c r="P148" s="4">
        <v>0</v>
      </c>
      <c r="Q148" s="3" t="s">
        <v>26</v>
      </c>
      <c r="R148" s="3">
        <v>0</v>
      </c>
      <c r="S148" s="3">
        <v>0</v>
      </c>
      <c r="T148" s="3">
        <v>31</v>
      </c>
      <c r="U148" s="3">
        <v>59</v>
      </c>
      <c r="V148" s="64">
        <f>IF(ISERROR(VLOOKUP($S$148,'TAR FIN'!$A$1:$O$92,15,0)),0,VLOOKUP($S$148,'TAR FIN'!$A$1:$O$92,15,0))</f>
        <v>0</v>
      </c>
      <c r="W148" s="64">
        <f>IF(ISERROR(VLOOKUP($T$148,'TAR FIN'!$A$1:$O$92,15,0)),0,VLOOKUP($T$148,'TAR FIN'!$A$1:$O$92,15,0))*(1-0.06)</f>
        <v>82.466200000000001</v>
      </c>
      <c r="X148" s="64">
        <f>IF(ISERROR(VLOOKUP($U$148,'TAR FIN'!$A$1:$O$92,15,0)),0,VLOOKUP($U$148,'TAR FIN'!$A$1:$O$92,15,0))*(1-0.06)</f>
        <v>238.666</v>
      </c>
      <c r="Y148" s="64"/>
      <c r="Z148" s="64">
        <f ca="1">('TUSD BE'!$AM$12+'TUSD BF'!$AM$12+'TUSD CVA'!$AM$12)*1*(1-0.03)</f>
        <v>106.15870582034525</v>
      </c>
      <c r="AA148" s="64">
        <f>('TE BE'!$AB$6+'TE BF'!$AB$6+'TE CVA'!$AB$6)*1*(1-0.03)</f>
        <v>307.86582774956895</v>
      </c>
      <c r="AB148" s="64">
        <f>(SUBSIDIO!$J$148*SUBSIDIO!$V$148)*(0.06)/(1-0.06)</f>
        <v>0</v>
      </c>
      <c r="AC148" s="64">
        <f>((SUBSIDIO!$L$148*SUBSIDIO!$W$148)+(SUBSIDIO!$N$148*SUBSIDIO!$X$148))*(0.06)/(1-0.06)</f>
        <v>15706.992690600002</v>
      </c>
      <c r="AD148" s="64">
        <f>(SUBSIDIO!$J$148*SUBSIDIO!$Y$148)*(0.03)/(1-0.03)</f>
        <v>0</v>
      </c>
      <c r="AE148" s="64">
        <f ca="1">((SUBSIDIO!$L$148*SUBSIDIO!$Z$148)+(SUBSIDIO!$N$148*SUBSIDIO!$AA$148))*(0.03)/(1-0.03)</f>
        <v>9812.0869333098926</v>
      </c>
      <c r="AF148" s="3" t="s">
        <v>751</v>
      </c>
    </row>
    <row r="149" spans="1:32" ht="11.25" customHeight="1" x14ac:dyDescent="0.25">
      <c r="A149" s="3" t="s">
        <v>21</v>
      </c>
      <c r="B149" s="3" t="s">
        <v>39</v>
      </c>
      <c r="C149" s="3" t="s">
        <v>41</v>
      </c>
      <c r="D149" s="3" t="s">
        <v>49</v>
      </c>
      <c r="E149" s="3" t="s">
        <v>50</v>
      </c>
      <c r="F149" s="3" t="s">
        <v>25</v>
      </c>
      <c r="G149" s="3" t="s">
        <v>25</v>
      </c>
      <c r="H149" s="3" t="s">
        <v>35</v>
      </c>
      <c r="I149" s="6">
        <v>44743</v>
      </c>
      <c r="J149" s="4">
        <v>0</v>
      </c>
      <c r="K149" s="64">
        <v>0</v>
      </c>
      <c r="L149" s="4">
        <v>777.91300000000001</v>
      </c>
      <c r="M149" s="64">
        <v>777.91300000000001</v>
      </c>
      <c r="N149" s="4">
        <v>777.91300000000001</v>
      </c>
      <c r="O149" s="64">
        <v>777.91300000000001</v>
      </c>
      <c r="P149" s="4">
        <v>0</v>
      </c>
      <c r="Q149" s="3" t="s">
        <v>26</v>
      </c>
      <c r="R149" s="3">
        <v>0</v>
      </c>
      <c r="S149" s="3">
        <v>0</v>
      </c>
      <c r="T149" s="3">
        <v>31</v>
      </c>
      <c r="U149" s="3">
        <v>59</v>
      </c>
      <c r="V149" s="64">
        <f>IF(ISERROR(VLOOKUP($S$149,'TAR FIN'!$A$1:$O$92,15,0)),0,VLOOKUP($S$149,'TAR FIN'!$A$1:$O$92,15,0))</f>
        <v>0</v>
      </c>
      <c r="W149" s="64">
        <f>IF(ISERROR(VLOOKUP($T$149,'TAR FIN'!$A$1:$O$92,15,0)),0,VLOOKUP($T$149,'TAR FIN'!$A$1:$O$92,15,0))*(1-0.06)</f>
        <v>82.466200000000001</v>
      </c>
      <c r="X149" s="64">
        <f>IF(ISERROR(VLOOKUP($U$149,'TAR FIN'!$A$1:$O$92,15,0)),0,VLOOKUP($U$149,'TAR FIN'!$A$1:$O$92,15,0))*(1-0.06)</f>
        <v>238.666</v>
      </c>
      <c r="Y149" s="64"/>
      <c r="Z149" s="64">
        <f ca="1">('TUSD BE'!$AM$12+'TUSD BF'!$AM$12+'TUSD CVA'!$AM$12)*1*(1-0.03)</f>
        <v>106.15870582034525</v>
      </c>
      <c r="AA149" s="64">
        <f>('TE BE'!$AB$6+'TE BF'!$AB$6+'TE CVA'!$AB$6)*1*(1-0.03)</f>
        <v>307.86582774956895</v>
      </c>
      <c r="AB149" s="64">
        <f>(SUBSIDIO!$J$149*SUBSIDIO!$V$149)*(0.06)/(1-0.06)</f>
        <v>0</v>
      </c>
      <c r="AC149" s="64">
        <f>((SUBSIDIO!$L$149*SUBSIDIO!$W$149)+(SUBSIDIO!$N$149*SUBSIDIO!$X$149))*(0.06)/(1-0.06)</f>
        <v>15945.5050914</v>
      </c>
      <c r="AD149" s="64">
        <f>(SUBSIDIO!$J$149*SUBSIDIO!$Y$149)*(0.03)/(1-0.03)</f>
        <v>0</v>
      </c>
      <c r="AE149" s="64">
        <f ca="1">((SUBSIDIO!$L$149*SUBSIDIO!$Z$149)+(SUBSIDIO!$N$149*SUBSIDIO!$AA$149))*(0.03)/(1-0.03)</f>
        <v>9961.0845458651329</v>
      </c>
      <c r="AF149" s="3" t="s">
        <v>751</v>
      </c>
    </row>
    <row r="150" spans="1:32" ht="11.25" customHeight="1" x14ac:dyDescent="0.25">
      <c r="A150" s="3" t="s">
        <v>21</v>
      </c>
      <c r="B150" s="3" t="s">
        <v>39</v>
      </c>
      <c r="C150" s="3" t="s">
        <v>41</v>
      </c>
      <c r="D150" s="3" t="s">
        <v>49</v>
      </c>
      <c r="E150" s="3" t="s">
        <v>50</v>
      </c>
      <c r="F150" s="3" t="s">
        <v>25</v>
      </c>
      <c r="G150" s="3" t="s">
        <v>25</v>
      </c>
      <c r="H150" s="3" t="s">
        <v>35</v>
      </c>
      <c r="I150" s="6">
        <v>44774</v>
      </c>
      <c r="J150" s="4">
        <v>0</v>
      </c>
      <c r="K150" s="64">
        <v>0</v>
      </c>
      <c r="L150" s="4">
        <v>751.85199999999998</v>
      </c>
      <c r="M150" s="64">
        <v>751.85199999999998</v>
      </c>
      <c r="N150" s="4">
        <v>751.85199999999998</v>
      </c>
      <c r="O150" s="64">
        <v>751.85199999999998</v>
      </c>
      <c r="P150" s="4">
        <v>0</v>
      </c>
      <c r="Q150" s="3" t="s">
        <v>26</v>
      </c>
      <c r="R150" s="3">
        <v>0</v>
      </c>
      <c r="S150" s="3">
        <v>0</v>
      </c>
      <c r="T150" s="3">
        <v>31</v>
      </c>
      <c r="U150" s="3">
        <v>59</v>
      </c>
      <c r="V150" s="64">
        <f>IF(ISERROR(VLOOKUP($S$150,'TAR FIN'!$A$1:$O$92,15,0)),0,VLOOKUP($S$150,'TAR FIN'!$A$1:$O$92,15,0))</f>
        <v>0</v>
      </c>
      <c r="W150" s="64">
        <f>IF(ISERROR(VLOOKUP($T$150,'TAR FIN'!$A$1:$O$92,15,0)),0,VLOOKUP($T$150,'TAR FIN'!$A$1:$O$92,15,0))*(1-0.06)</f>
        <v>82.466200000000001</v>
      </c>
      <c r="X150" s="64">
        <f>IF(ISERROR(VLOOKUP($U$150,'TAR FIN'!$A$1:$O$92,15,0)),0,VLOOKUP($U$150,'TAR FIN'!$A$1:$O$92,15,0))*(1-0.06)</f>
        <v>238.666</v>
      </c>
      <c r="Y150" s="64"/>
      <c r="Z150" s="64">
        <f ca="1">('TUSD BE'!$AM$12+'TUSD BF'!$AM$12+'TUSD CVA'!$AM$12)*1*(1-0.03)</f>
        <v>106.15870582034525</v>
      </c>
      <c r="AA150" s="64">
        <f>('TE BE'!$AB$6+'TE BF'!$AB$6+'TE CVA'!$AB$6)*1*(1-0.03)</f>
        <v>307.86582774956895</v>
      </c>
      <c r="AB150" s="64">
        <f>(SUBSIDIO!$J$150*SUBSIDIO!$V$150)*(0.06)/(1-0.06)</f>
        <v>0</v>
      </c>
      <c r="AC150" s="64">
        <f>((SUBSIDIO!$L$150*SUBSIDIO!$W$150)+(SUBSIDIO!$N$150*SUBSIDIO!$X$150))*(0.06)/(1-0.06)</f>
        <v>15411.311925600001</v>
      </c>
      <c r="AD150" s="64">
        <f>(SUBSIDIO!$J$150*SUBSIDIO!$Y$150)*(0.03)/(1-0.03)</f>
        <v>0</v>
      </c>
      <c r="AE150" s="64">
        <f ca="1">((SUBSIDIO!$L$150*SUBSIDIO!$Z$150)+(SUBSIDIO!$N$150*SUBSIDIO!$AA$150))*(0.03)/(1-0.03)</f>
        <v>9627.3765035136221</v>
      </c>
      <c r="AF150" s="3" t="s">
        <v>751</v>
      </c>
    </row>
    <row r="151" spans="1:32" ht="11.25" customHeight="1" x14ac:dyDescent="0.25">
      <c r="A151" s="3" t="s">
        <v>21</v>
      </c>
      <c r="B151" s="3" t="s">
        <v>39</v>
      </c>
      <c r="C151" s="3" t="s">
        <v>41</v>
      </c>
      <c r="D151" s="3" t="s">
        <v>49</v>
      </c>
      <c r="E151" s="3" t="s">
        <v>50</v>
      </c>
      <c r="F151" s="3" t="s">
        <v>25</v>
      </c>
      <c r="G151" s="3" t="s">
        <v>25</v>
      </c>
      <c r="H151" s="3" t="s">
        <v>35</v>
      </c>
      <c r="I151" s="6">
        <v>44805</v>
      </c>
      <c r="J151" s="4">
        <v>0</v>
      </c>
      <c r="K151" s="64">
        <v>0</v>
      </c>
      <c r="L151" s="4">
        <v>748.60699999999997</v>
      </c>
      <c r="M151" s="64">
        <v>748.60699999999997</v>
      </c>
      <c r="N151" s="4">
        <v>748.60699999999997</v>
      </c>
      <c r="O151" s="64">
        <v>748.60699999999997</v>
      </c>
      <c r="P151" s="4">
        <v>0</v>
      </c>
      <c r="Q151" s="3" t="s">
        <v>26</v>
      </c>
      <c r="R151" s="3">
        <v>0</v>
      </c>
      <c r="S151" s="3">
        <v>0</v>
      </c>
      <c r="T151" s="3">
        <v>31</v>
      </c>
      <c r="U151" s="3">
        <v>59</v>
      </c>
      <c r="V151" s="64">
        <f>IF(ISERROR(VLOOKUP($S$151,'TAR FIN'!$A$1:$O$92,15,0)),0,VLOOKUP($S$151,'TAR FIN'!$A$1:$O$92,15,0))</f>
        <v>0</v>
      </c>
      <c r="W151" s="64">
        <f>IF(ISERROR(VLOOKUP($T$151,'TAR FIN'!$A$1:$O$92,15,0)),0,VLOOKUP($T$151,'TAR FIN'!$A$1:$O$92,15,0))*(1-0.06)</f>
        <v>82.466200000000001</v>
      </c>
      <c r="X151" s="64">
        <f>IF(ISERROR(VLOOKUP($U$151,'TAR FIN'!$A$1:$O$92,15,0)),0,VLOOKUP($U$151,'TAR FIN'!$A$1:$O$92,15,0))*(1-0.06)</f>
        <v>238.666</v>
      </c>
      <c r="Y151" s="64"/>
      <c r="Z151" s="64">
        <f ca="1">('TUSD BE'!$AM$12+'TUSD BF'!$AM$12+'TUSD CVA'!$AM$12)*1*(1-0.03)</f>
        <v>106.15870582034525</v>
      </c>
      <c r="AA151" s="64">
        <f>('TE BE'!$AB$6+'TE BF'!$AB$6+'TE CVA'!$AB$6)*1*(1-0.03)</f>
        <v>307.86582774956895</v>
      </c>
      <c r="AB151" s="64">
        <f>(SUBSIDIO!$J$151*SUBSIDIO!$V$151)*(0.06)/(1-0.06)</f>
        <v>0</v>
      </c>
      <c r="AC151" s="64">
        <f>((SUBSIDIO!$L$151*SUBSIDIO!$W$151)+(SUBSIDIO!$N$151*SUBSIDIO!$X$151))*(0.06)/(1-0.06)</f>
        <v>15344.796564599999</v>
      </c>
      <c r="AD151" s="64">
        <f>(SUBSIDIO!$J$151*SUBSIDIO!$Y$151)*(0.03)/(1-0.03)</f>
        <v>0</v>
      </c>
      <c r="AE151" s="64">
        <f ca="1">((SUBSIDIO!$L$151*SUBSIDIO!$Z$151)+(SUBSIDIO!$N$151*SUBSIDIO!$AA$151))*(0.03)/(1-0.03)</f>
        <v>9585.8246598610131</v>
      </c>
      <c r="AF151" s="3" t="s">
        <v>751</v>
      </c>
    </row>
    <row r="152" spans="1:32" ht="11.25" customHeight="1" x14ac:dyDescent="0.25">
      <c r="A152" s="3" t="s">
        <v>55</v>
      </c>
      <c r="B152" s="3" t="s">
        <v>39</v>
      </c>
      <c r="C152" s="3" t="s">
        <v>41</v>
      </c>
      <c r="D152" s="3" t="s">
        <v>49</v>
      </c>
      <c r="E152" s="3" t="s">
        <v>50</v>
      </c>
      <c r="F152" s="3" t="s">
        <v>25</v>
      </c>
      <c r="G152" s="3" t="s">
        <v>25</v>
      </c>
      <c r="H152" s="3" t="s">
        <v>35</v>
      </c>
      <c r="I152" s="6">
        <v>44835</v>
      </c>
      <c r="J152" s="4">
        <v>0</v>
      </c>
      <c r="K152" s="64">
        <v>0</v>
      </c>
      <c r="L152" s="4">
        <v>748.60699999999997</v>
      </c>
      <c r="M152" s="64">
        <v>748.60699999999997</v>
      </c>
      <c r="N152" s="4">
        <v>748.60699999999997</v>
      </c>
      <c r="O152" s="64">
        <v>748.60699999999997</v>
      </c>
      <c r="P152" s="4">
        <v>0</v>
      </c>
      <c r="Q152" s="3" t="s">
        <v>26</v>
      </c>
      <c r="R152" s="3">
        <v>0</v>
      </c>
      <c r="S152" s="3">
        <v>0</v>
      </c>
      <c r="T152" s="3">
        <v>31</v>
      </c>
      <c r="U152" s="3">
        <v>59</v>
      </c>
      <c r="V152" s="64">
        <f>IF(ISERROR(VLOOKUP($S$152,'TAR FIN'!$A$1:$O$92,15,0)),0,VLOOKUP($S$152,'TAR FIN'!$A$1:$O$92,15,0))</f>
        <v>0</v>
      </c>
      <c r="W152" s="64">
        <f>IF(ISERROR(VLOOKUP($T$152,'TAR FIN'!$A$1:$O$92,15,0)),0,VLOOKUP($T$152,'TAR FIN'!$A$1:$O$92,15,0))*(1-0.06)</f>
        <v>82.466200000000001</v>
      </c>
      <c r="X152" s="64">
        <f>IF(ISERROR(VLOOKUP($U$152,'TAR FIN'!$A$1:$O$92,15,0)),0,VLOOKUP($U$152,'TAR FIN'!$A$1:$O$92,15,0))*(1-0.06)</f>
        <v>238.666</v>
      </c>
      <c r="Y152" s="64"/>
      <c r="Z152" s="64">
        <f ca="1">('TUSD BE'!$AM$12+'TUSD BF'!$AM$12+'TUSD CVA'!$AM$12)*1*(1-0.03)</f>
        <v>106.15870582034525</v>
      </c>
      <c r="AA152" s="64">
        <f>('TE BE'!$AB$6+'TE BF'!$AB$6+'TE CVA'!$AB$6)*1*(1-0.03)</f>
        <v>307.86582774956895</v>
      </c>
      <c r="AB152" s="64">
        <f>(SUBSIDIO!$J$152*SUBSIDIO!$V$152)*(0.06)/(1-0.06)</f>
        <v>0</v>
      </c>
      <c r="AC152" s="64">
        <f>((SUBSIDIO!$L$152*SUBSIDIO!$W$152)+(SUBSIDIO!$N$152*SUBSIDIO!$X$152))*(0.06)/(1-0.06)</f>
        <v>15344.796564599999</v>
      </c>
      <c r="AD152" s="64">
        <f>(SUBSIDIO!$J$152*SUBSIDIO!$Y$152)*(0.03)/(1-0.03)</f>
        <v>0</v>
      </c>
      <c r="AE152" s="64">
        <f ca="1">((SUBSIDIO!$L$152*SUBSIDIO!$Z$152)+(SUBSIDIO!$N$152*SUBSIDIO!$AA$152))*(0.03)/(1-0.03)</f>
        <v>9585.8246598610131</v>
      </c>
      <c r="AF152" s="3" t="s">
        <v>751</v>
      </c>
    </row>
    <row r="153" spans="1:32" ht="11.25" customHeight="1" x14ac:dyDescent="0.25">
      <c r="A153" s="3" t="s">
        <v>21</v>
      </c>
      <c r="B153" s="3" t="s">
        <v>39</v>
      </c>
      <c r="C153" s="3" t="s">
        <v>41</v>
      </c>
      <c r="D153" s="3" t="s">
        <v>49</v>
      </c>
      <c r="E153" s="3" t="s">
        <v>50</v>
      </c>
      <c r="F153" s="3" t="s">
        <v>25</v>
      </c>
      <c r="G153" s="3" t="s">
        <v>25</v>
      </c>
      <c r="H153" s="3" t="s">
        <v>25</v>
      </c>
      <c r="I153" s="6">
        <v>44501</v>
      </c>
      <c r="J153" s="4">
        <v>3540</v>
      </c>
      <c r="K153" s="63">
        <v>3540</v>
      </c>
      <c r="L153" s="4">
        <v>0</v>
      </c>
      <c r="M153" s="64">
        <v>0</v>
      </c>
      <c r="N153" s="4">
        <v>0</v>
      </c>
      <c r="O153" s="64">
        <v>0</v>
      </c>
      <c r="P153" s="4">
        <v>28</v>
      </c>
      <c r="Q153" s="3" t="s">
        <v>26</v>
      </c>
      <c r="R153" s="3">
        <v>0</v>
      </c>
      <c r="S153" s="3">
        <v>18</v>
      </c>
      <c r="T153" s="3">
        <v>0</v>
      </c>
      <c r="U153" s="3">
        <v>0</v>
      </c>
      <c r="V153" s="64">
        <f>IF(ISERROR(VLOOKUP($S$153,'TAR FIN'!$A$1:$O$92,15,0)),0,VLOOKUP($S$153,'TAR FIN'!$A$1:$O$92,15,0))*(1-0.06)</f>
        <v>13.7616</v>
      </c>
      <c r="W153" s="64">
        <f>IF(ISERROR(VLOOKUP($T$153,'TAR FIN'!$A$1:$O$92,15,0)),0,VLOOKUP($T$153,'TAR FIN'!$A$1:$O$92,15,0))</f>
        <v>0</v>
      </c>
      <c r="X153" s="64">
        <f>IF(ISERROR(VLOOKUP($U$153,'TAR FIN'!$A$1:$O$92,15,0)),0,VLOOKUP($U$153,'TAR FIN'!$A$1:$O$92,15,0))</f>
        <v>0</v>
      </c>
      <c r="Y153" s="64">
        <f ca="1">('TUSD BE'!$AM$10+'TUSD BF'!$AM$10+'TUSD CVA'!$AM$10)*1*(1-0.03)</f>
        <v>18.453742481980488</v>
      </c>
      <c r="Z153" s="64"/>
      <c r="AA153" s="64"/>
      <c r="AB153" s="64">
        <f>(SUBSIDIO!$J$153*SUBSIDIO!$V$153)*(0.06)/(1-0.06)</f>
        <v>3109.5360000000001</v>
      </c>
      <c r="AC153" s="64">
        <f>((SUBSIDIO!$L$153*SUBSIDIO!$W$153)+(SUBSIDIO!$N$153*SUBSIDIO!$X$153))*(0.06)/(1-0.06)</f>
        <v>0</v>
      </c>
      <c r="AD153" s="64">
        <f ca="1">(SUBSIDIO!$J$153*SUBSIDIO!$Y$153)*(0.03)/(1-0.03)</f>
        <v>2020.3994346250802</v>
      </c>
      <c r="AE153" s="64">
        <f>((SUBSIDIO!$L$153*SUBSIDIO!$Z$153)+(SUBSIDIO!$N$153*SUBSIDIO!$AA$153))*(0.03)/(1-0.03)</f>
        <v>0</v>
      </c>
      <c r="AF153" s="3" t="s">
        <v>751</v>
      </c>
    </row>
    <row r="154" spans="1:32" ht="11.25" customHeight="1" x14ac:dyDescent="0.25">
      <c r="A154" s="3" t="s">
        <v>21</v>
      </c>
      <c r="B154" s="3" t="s">
        <v>39</v>
      </c>
      <c r="C154" s="3" t="s">
        <v>41</v>
      </c>
      <c r="D154" s="3" t="s">
        <v>49</v>
      </c>
      <c r="E154" s="3" t="s">
        <v>50</v>
      </c>
      <c r="F154" s="3" t="s">
        <v>25</v>
      </c>
      <c r="G154" s="3" t="s">
        <v>25</v>
      </c>
      <c r="H154" s="3" t="s">
        <v>25</v>
      </c>
      <c r="I154" s="6">
        <v>44531</v>
      </c>
      <c r="J154" s="4">
        <v>3535</v>
      </c>
      <c r="K154" s="63">
        <v>3535</v>
      </c>
      <c r="L154" s="4">
        <v>0</v>
      </c>
      <c r="M154" s="64">
        <v>0</v>
      </c>
      <c r="N154" s="4">
        <v>0</v>
      </c>
      <c r="O154" s="64">
        <v>0</v>
      </c>
      <c r="P154" s="4">
        <v>28</v>
      </c>
      <c r="Q154" s="3" t="s">
        <v>26</v>
      </c>
      <c r="R154" s="3">
        <v>0</v>
      </c>
      <c r="S154" s="3">
        <v>18</v>
      </c>
      <c r="T154" s="3">
        <v>0</v>
      </c>
      <c r="U154" s="3">
        <v>0</v>
      </c>
      <c r="V154" s="64">
        <f>IF(ISERROR(VLOOKUP($S$154,'TAR FIN'!$A$1:$O$92,15,0)),0,VLOOKUP($S$154,'TAR FIN'!$A$1:$O$92,15,0))*(1-0.06)</f>
        <v>13.7616</v>
      </c>
      <c r="W154" s="64">
        <f>IF(ISERROR(VLOOKUP($T$154,'TAR FIN'!$A$1:$O$92,15,0)),0,VLOOKUP($T$154,'TAR FIN'!$A$1:$O$92,15,0))</f>
        <v>0</v>
      </c>
      <c r="X154" s="64">
        <f>IF(ISERROR(VLOOKUP($U$154,'TAR FIN'!$A$1:$O$92,15,0)),0,VLOOKUP($U$154,'TAR FIN'!$A$1:$O$92,15,0))</f>
        <v>0</v>
      </c>
      <c r="Y154" s="64">
        <f ca="1">('TUSD BE'!$AM$10+'TUSD BF'!$AM$10+'TUSD CVA'!$AM$10)*1*(1-0.03)</f>
        <v>18.453742481980488</v>
      </c>
      <c r="Z154" s="64"/>
      <c r="AA154" s="64"/>
      <c r="AB154" s="64">
        <f>(SUBSIDIO!$J$154*SUBSIDIO!$V$154)*(0.06)/(1-0.06)</f>
        <v>3105.1440000000002</v>
      </c>
      <c r="AC154" s="64">
        <f>((SUBSIDIO!$L$154*SUBSIDIO!$W$154)+(SUBSIDIO!$N$154*SUBSIDIO!$X$154))*(0.06)/(1-0.06)</f>
        <v>0</v>
      </c>
      <c r="AD154" s="64">
        <f ca="1">(SUBSIDIO!$J$154*SUBSIDIO!$Y$154)*(0.03)/(1-0.03)</f>
        <v>2017.5457631072481</v>
      </c>
      <c r="AE154" s="64">
        <f>((SUBSIDIO!$L$154*SUBSIDIO!$Z$154)+(SUBSIDIO!$N$154*SUBSIDIO!$AA$154))*(0.03)/(1-0.03)</f>
        <v>0</v>
      </c>
      <c r="AF154" s="3" t="s">
        <v>751</v>
      </c>
    </row>
    <row r="155" spans="1:32" ht="11.25" customHeight="1" x14ac:dyDescent="0.25">
      <c r="A155" s="3" t="s">
        <v>21</v>
      </c>
      <c r="B155" s="3" t="s">
        <v>39</v>
      </c>
      <c r="C155" s="3" t="s">
        <v>41</v>
      </c>
      <c r="D155" s="3" t="s">
        <v>49</v>
      </c>
      <c r="E155" s="3" t="s">
        <v>50</v>
      </c>
      <c r="F155" s="3" t="s">
        <v>25</v>
      </c>
      <c r="G155" s="3" t="s">
        <v>25</v>
      </c>
      <c r="H155" s="3" t="s">
        <v>25</v>
      </c>
      <c r="I155" s="6">
        <v>44562</v>
      </c>
      <c r="J155" s="4">
        <v>3535</v>
      </c>
      <c r="K155" s="63">
        <v>3535</v>
      </c>
      <c r="L155" s="4">
        <v>0</v>
      </c>
      <c r="M155" s="64">
        <v>0</v>
      </c>
      <c r="N155" s="4">
        <v>0</v>
      </c>
      <c r="O155" s="64">
        <v>0</v>
      </c>
      <c r="P155" s="4">
        <v>28</v>
      </c>
      <c r="Q155" s="3" t="s">
        <v>26</v>
      </c>
      <c r="R155" s="3">
        <v>0</v>
      </c>
      <c r="S155" s="3">
        <v>18</v>
      </c>
      <c r="T155" s="3">
        <v>0</v>
      </c>
      <c r="U155" s="3">
        <v>0</v>
      </c>
      <c r="V155" s="64">
        <f>IF(ISERROR(VLOOKUP($S$155,'TAR FIN'!$A$1:$O$92,15,0)),0,VLOOKUP($S$155,'TAR FIN'!$A$1:$O$92,15,0))*(1-0.06)</f>
        <v>13.7616</v>
      </c>
      <c r="W155" s="64">
        <f>IF(ISERROR(VLOOKUP($T$155,'TAR FIN'!$A$1:$O$92,15,0)),0,VLOOKUP($T$155,'TAR FIN'!$A$1:$O$92,15,0))</f>
        <v>0</v>
      </c>
      <c r="X155" s="64">
        <f>IF(ISERROR(VLOOKUP($U$155,'TAR FIN'!$A$1:$O$92,15,0)),0,VLOOKUP($U$155,'TAR FIN'!$A$1:$O$92,15,0))</f>
        <v>0</v>
      </c>
      <c r="Y155" s="64">
        <f ca="1">('TUSD BE'!$AM$10+'TUSD BF'!$AM$10+'TUSD CVA'!$AM$10)*1*(1-0.03)</f>
        <v>18.453742481980488</v>
      </c>
      <c r="Z155" s="64"/>
      <c r="AA155" s="64"/>
      <c r="AB155" s="64">
        <f>(SUBSIDIO!$J$155*SUBSIDIO!$V$155)*(0.06)/(1-0.06)</f>
        <v>3105.1440000000002</v>
      </c>
      <c r="AC155" s="64">
        <f>((SUBSIDIO!$L$155*SUBSIDIO!$W$155)+(SUBSIDIO!$N$155*SUBSIDIO!$X$155))*(0.06)/(1-0.06)</f>
        <v>0</v>
      </c>
      <c r="AD155" s="64">
        <f ca="1">(SUBSIDIO!$J$155*SUBSIDIO!$Y$155)*(0.03)/(1-0.03)</f>
        <v>2017.5457631072481</v>
      </c>
      <c r="AE155" s="64">
        <f>((SUBSIDIO!$L$155*SUBSIDIO!$Z$155)+(SUBSIDIO!$N$155*SUBSIDIO!$AA$155))*(0.03)/(1-0.03)</f>
        <v>0</v>
      </c>
      <c r="AF155" s="3" t="s">
        <v>751</v>
      </c>
    </row>
    <row r="156" spans="1:32" ht="11.25" customHeight="1" x14ac:dyDescent="0.25">
      <c r="A156" s="3" t="s">
        <v>21</v>
      </c>
      <c r="B156" s="3" t="s">
        <v>39</v>
      </c>
      <c r="C156" s="3" t="s">
        <v>41</v>
      </c>
      <c r="D156" s="3" t="s">
        <v>49</v>
      </c>
      <c r="E156" s="3" t="s">
        <v>50</v>
      </c>
      <c r="F156" s="3" t="s">
        <v>25</v>
      </c>
      <c r="G156" s="3" t="s">
        <v>25</v>
      </c>
      <c r="H156" s="3" t="s">
        <v>25</v>
      </c>
      <c r="I156" s="6">
        <v>44593</v>
      </c>
      <c r="J156" s="4">
        <v>3545</v>
      </c>
      <c r="K156" s="63">
        <v>3545</v>
      </c>
      <c r="L156" s="4">
        <v>0</v>
      </c>
      <c r="M156" s="64">
        <v>0</v>
      </c>
      <c r="N156" s="4">
        <v>0</v>
      </c>
      <c r="O156" s="64">
        <v>0</v>
      </c>
      <c r="P156" s="4">
        <v>28</v>
      </c>
      <c r="Q156" s="3" t="s">
        <v>26</v>
      </c>
      <c r="R156" s="3">
        <v>0</v>
      </c>
      <c r="S156" s="3">
        <v>18</v>
      </c>
      <c r="T156" s="3">
        <v>0</v>
      </c>
      <c r="U156" s="3">
        <v>0</v>
      </c>
      <c r="V156" s="64">
        <f>IF(ISERROR(VLOOKUP($S$156,'TAR FIN'!$A$1:$O$92,15,0)),0,VLOOKUP($S$156,'TAR FIN'!$A$1:$O$92,15,0))*(1-0.06)</f>
        <v>13.7616</v>
      </c>
      <c r="W156" s="64">
        <f>IF(ISERROR(VLOOKUP($T$156,'TAR FIN'!$A$1:$O$92,15,0)),0,VLOOKUP($T$156,'TAR FIN'!$A$1:$O$92,15,0))</f>
        <v>0</v>
      </c>
      <c r="X156" s="64">
        <f>IF(ISERROR(VLOOKUP($U$156,'TAR FIN'!$A$1:$O$92,15,0)),0,VLOOKUP($U$156,'TAR FIN'!$A$1:$O$92,15,0))</f>
        <v>0</v>
      </c>
      <c r="Y156" s="64">
        <f ca="1">('TUSD BE'!$AM$10+'TUSD BF'!$AM$10+'TUSD CVA'!$AM$10)*1*(1-0.03)</f>
        <v>18.453742481980488</v>
      </c>
      <c r="Z156" s="64"/>
      <c r="AA156" s="64"/>
      <c r="AB156" s="64">
        <f>(SUBSIDIO!$J$156*SUBSIDIO!$V$156)*(0.06)/(1-0.06)</f>
        <v>3113.9279999999999</v>
      </c>
      <c r="AC156" s="64">
        <f>((SUBSIDIO!$L$156*SUBSIDIO!$W$156)+(SUBSIDIO!$N$156*SUBSIDIO!$X$156))*(0.06)/(1-0.06)</f>
        <v>0</v>
      </c>
      <c r="AD156" s="64">
        <f ca="1">(SUBSIDIO!$J$156*SUBSIDIO!$Y$156)*(0.03)/(1-0.03)</f>
        <v>2023.253106142912</v>
      </c>
      <c r="AE156" s="64">
        <f>((SUBSIDIO!$L$156*SUBSIDIO!$Z$156)+(SUBSIDIO!$N$156*SUBSIDIO!$AA$156))*(0.03)/(1-0.03)</f>
        <v>0</v>
      </c>
      <c r="AF156" s="3" t="s">
        <v>751</v>
      </c>
    </row>
    <row r="157" spans="1:32" ht="11.25" customHeight="1" x14ac:dyDescent="0.25">
      <c r="A157" s="3" t="s">
        <v>21</v>
      </c>
      <c r="B157" s="3" t="s">
        <v>39</v>
      </c>
      <c r="C157" s="3" t="s">
        <v>41</v>
      </c>
      <c r="D157" s="3" t="s">
        <v>49</v>
      </c>
      <c r="E157" s="3" t="s">
        <v>50</v>
      </c>
      <c r="F157" s="3" t="s">
        <v>25</v>
      </c>
      <c r="G157" s="3" t="s">
        <v>25</v>
      </c>
      <c r="H157" s="3" t="s">
        <v>25</v>
      </c>
      <c r="I157" s="6">
        <v>44621</v>
      </c>
      <c r="J157" s="4">
        <v>3562</v>
      </c>
      <c r="K157" s="63">
        <v>3562</v>
      </c>
      <c r="L157" s="4">
        <v>0</v>
      </c>
      <c r="M157" s="64">
        <v>0</v>
      </c>
      <c r="N157" s="4">
        <v>0</v>
      </c>
      <c r="O157" s="64">
        <v>0</v>
      </c>
      <c r="P157" s="4">
        <v>28</v>
      </c>
      <c r="Q157" s="3" t="s">
        <v>26</v>
      </c>
      <c r="R157" s="3">
        <v>0</v>
      </c>
      <c r="S157" s="3">
        <v>18</v>
      </c>
      <c r="T157" s="3">
        <v>0</v>
      </c>
      <c r="U157" s="3">
        <v>0</v>
      </c>
      <c r="V157" s="64">
        <f>IF(ISERROR(VLOOKUP($S$157,'TAR FIN'!$A$1:$O$92,15,0)),0,VLOOKUP($S$157,'TAR FIN'!$A$1:$O$92,15,0))*(1-0.06)</f>
        <v>13.7616</v>
      </c>
      <c r="W157" s="64">
        <f>IF(ISERROR(VLOOKUP($T$157,'TAR FIN'!$A$1:$O$92,15,0)),0,VLOOKUP($T$157,'TAR FIN'!$A$1:$O$92,15,0))</f>
        <v>0</v>
      </c>
      <c r="X157" s="64">
        <f>IF(ISERROR(VLOOKUP($U$157,'TAR FIN'!$A$1:$O$92,15,0)),0,VLOOKUP($U$157,'TAR FIN'!$A$1:$O$92,15,0))</f>
        <v>0</v>
      </c>
      <c r="Y157" s="64">
        <f ca="1">('TUSD BE'!$AM$10+'TUSD BF'!$AM$10+'TUSD CVA'!$AM$10)*1*(1-0.03)</f>
        <v>18.453742481980488</v>
      </c>
      <c r="Z157" s="64"/>
      <c r="AA157" s="64"/>
      <c r="AB157" s="64">
        <f>(SUBSIDIO!$J$157*SUBSIDIO!$V$157)*(0.06)/(1-0.06)</f>
        <v>3128.8607999999999</v>
      </c>
      <c r="AC157" s="64">
        <f>((SUBSIDIO!$L$157*SUBSIDIO!$W$157)+(SUBSIDIO!$N$157*SUBSIDIO!$X$157))*(0.06)/(1-0.06)</f>
        <v>0</v>
      </c>
      <c r="AD157" s="64">
        <f ca="1">(SUBSIDIO!$J$157*SUBSIDIO!$Y$157)*(0.03)/(1-0.03)</f>
        <v>2032.955589303541</v>
      </c>
      <c r="AE157" s="64">
        <f>((SUBSIDIO!$L$157*SUBSIDIO!$Z$157)+(SUBSIDIO!$N$157*SUBSIDIO!$AA$157))*(0.03)/(1-0.03)</f>
        <v>0</v>
      </c>
      <c r="AF157" s="3" t="s">
        <v>751</v>
      </c>
    </row>
    <row r="158" spans="1:32" ht="11.25" customHeight="1" x14ac:dyDescent="0.25">
      <c r="A158" s="3" t="s">
        <v>21</v>
      </c>
      <c r="B158" s="3" t="s">
        <v>39</v>
      </c>
      <c r="C158" s="3" t="s">
        <v>41</v>
      </c>
      <c r="D158" s="3" t="s">
        <v>49</v>
      </c>
      <c r="E158" s="3" t="s">
        <v>50</v>
      </c>
      <c r="F158" s="3" t="s">
        <v>25</v>
      </c>
      <c r="G158" s="3" t="s">
        <v>25</v>
      </c>
      <c r="H158" s="3" t="s">
        <v>25</v>
      </c>
      <c r="I158" s="6">
        <v>44652</v>
      </c>
      <c r="J158" s="4">
        <v>3562</v>
      </c>
      <c r="K158" s="63">
        <v>3562</v>
      </c>
      <c r="L158" s="4">
        <v>0</v>
      </c>
      <c r="M158" s="64">
        <v>0</v>
      </c>
      <c r="N158" s="4">
        <v>0</v>
      </c>
      <c r="O158" s="64">
        <v>0</v>
      </c>
      <c r="P158" s="4">
        <v>28</v>
      </c>
      <c r="Q158" s="3" t="s">
        <v>26</v>
      </c>
      <c r="R158" s="3">
        <v>0</v>
      </c>
      <c r="S158" s="3">
        <v>18</v>
      </c>
      <c r="T158" s="3">
        <v>0</v>
      </c>
      <c r="U158" s="3">
        <v>0</v>
      </c>
      <c r="V158" s="64">
        <f>IF(ISERROR(VLOOKUP($S$158,'TAR FIN'!$A$1:$O$92,15,0)),0,VLOOKUP($S$158,'TAR FIN'!$A$1:$O$92,15,0))*(1-0.06)</f>
        <v>13.7616</v>
      </c>
      <c r="W158" s="64">
        <f>IF(ISERROR(VLOOKUP($T$158,'TAR FIN'!$A$1:$O$92,15,0)),0,VLOOKUP($T$158,'TAR FIN'!$A$1:$O$92,15,0))</f>
        <v>0</v>
      </c>
      <c r="X158" s="64">
        <f>IF(ISERROR(VLOOKUP($U$158,'TAR FIN'!$A$1:$O$92,15,0)),0,VLOOKUP($U$158,'TAR FIN'!$A$1:$O$92,15,0))</f>
        <v>0</v>
      </c>
      <c r="Y158" s="64">
        <f ca="1">('TUSD BE'!$AM$10+'TUSD BF'!$AM$10+'TUSD CVA'!$AM$10)*1*(1-0.03)</f>
        <v>18.453742481980488</v>
      </c>
      <c r="Z158" s="64"/>
      <c r="AA158" s="64"/>
      <c r="AB158" s="64">
        <f>(SUBSIDIO!$J$158*SUBSIDIO!$V$158)*(0.06)/(1-0.06)</f>
        <v>3128.8607999999999</v>
      </c>
      <c r="AC158" s="64">
        <f>((SUBSIDIO!$L$158*SUBSIDIO!$W$158)+(SUBSIDIO!$N$158*SUBSIDIO!$X$158))*(0.06)/(1-0.06)</f>
        <v>0</v>
      </c>
      <c r="AD158" s="64">
        <f ca="1">(SUBSIDIO!$J$158*SUBSIDIO!$Y$158)*(0.03)/(1-0.03)</f>
        <v>2032.955589303541</v>
      </c>
      <c r="AE158" s="64">
        <f>((SUBSIDIO!$L$158*SUBSIDIO!$Z$158)+(SUBSIDIO!$N$158*SUBSIDIO!$AA$158))*(0.03)/(1-0.03)</f>
        <v>0</v>
      </c>
      <c r="AF158" s="3" t="s">
        <v>751</v>
      </c>
    </row>
    <row r="159" spans="1:32" ht="11.25" customHeight="1" x14ac:dyDescent="0.25">
      <c r="A159" s="3" t="s">
        <v>21</v>
      </c>
      <c r="B159" s="3" t="s">
        <v>39</v>
      </c>
      <c r="C159" s="3" t="s">
        <v>41</v>
      </c>
      <c r="D159" s="3" t="s">
        <v>49</v>
      </c>
      <c r="E159" s="3" t="s">
        <v>50</v>
      </c>
      <c r="F159" s="3" t="s">
        <v>25</v>
      </c>
      <c r="G159" s="3" t="s">
        <v>25</v>
      </c>
      <c r="H159" s="3" t="s">
        <v>25</v>
      </c>
      <c r="I159" s="6">
        <v>44682</v>
      </c>
      <c r="J159" s="4">
        <v>4028</v>
      </c>
      <c r="K159" s="63">
        <v>4028</v>
      </c>
      <c r="L159" s="4">
        <v>0</v>
      </c>
      <c r="M159" s="64">
        <v>0</v>
      </c>
      <c r="N159" s="4">
        <v>0</v>
      </c>
      <c r="O159" s="64">
        <v>0</v>
      </c>
      <c r="P159" s="4">
        <v>30</v>
      </c>
      <c r="Q159" s="3" t="s">
        <v>26</v>
      </c>
      <c r="R159" s="3">
        <v>0</v>
      </c>
      <c r="S159" s="3">
        <v>18</v>
      </c>
      <c r="T159" s="3">
        <v>0</v>
      </c>
      <c r="U159" s="3">
        <v>0</v>
      </c>
      <c r="V159" s="64">
        <f>IF(ISERROR(VLOOKUP($S$159,'TAR FIN'!$A$1:$O$92,15,0)),0,VLOOKUP($S$159,'TAR FIN'!$A$1:$O$92,15,0))*(1-0.06)</f>
        <v>13.7616</v>
      </c>
      <c r="W159" s="64">
        <f>IF(ISERROR(VLOOKUP($T$159,'TAR FIN'!$A$1:$O$92,15,0)),0,VLOOKUP($T$159,'TAR FIN'!$A$1:$O$92,15,0))</f>
        <v>0</v>
      </c>
      <c r="X159" s="64">
        <f>IF(ISERROR(VLOOKUP($U$159,'TAR FIN'!$A$1:$O$92,15,0)),0,VLOOKUP($U$159,'TAR FIN'!$A$1:$O$92,15,0))</f>
        <v>0</v>
      </c>
      <c r="Y159" s="64">
        <f ca="1">('TUSD BE'!$AM$10+'TUSD BF'!$AM$10+'TUSD CVA'!$AM$10)*1*(1-0.03)</f>
        <v>18.453742481980488</v>
      </c>
      <c r="Z159" s="64"/>
      <c r="AA159" s="64"/>
      <c r="AB159" s="64">
        <f>(SUBSIDIO!$J$159*SUBSIDIO!$V$159)*(0.06)/(1-0.06)</f>
        <v>3538.1951999999997</v>
      </c>
      <c r="AC159" s="64">
        <f>((SUBSIDIO!$L$159*SUBSIDIO!$W$159)+(SUBSIDIO!$N$159*SUBSIDIO!$X$159))*(0.06)/(1-0.06)</f>
        <v>0</v>
      </c>
      <c r="AD159" s="64">
        <f ca="1">(SUBSIDIO!$J$159*SUBSIDIO!$Y$159)*(0.03)/(1-0.03)</f>
        <v>2298.9177747654867</v>
      </c>
      <c r="AE159" s="64">
        <f>((SUBSIDIO!$L$159*SUBSIDIO!$Z$159)+(SUBSIDIO!$N$159*SUBSIDIO!$AA$159))*(0.03)/(1-0.03)</f>
        <v>0</v>
      </c>
      <c r="AF159" s="3" t="s">
        <v>751</v>
      </c>
    </row>
    <row r="160" spans="1:32" ht="11.25" customHeight="1" x14ac:dyDescent="0.25">
      <c r="A160" s="3" t="s">
        <v>21</v>
      </c>
      <c r="B160" s="3" t="s">
        <v>39</v>
      </c>
      <c r="C160" s="3" t="s">
        <v>41</v>
      </c>
      <c r="D160" s="3" t="s">
        <v>49</v>
      </c>
      <c r="E160" s="3" t="s">
        <v>50</v>
      </c>
      <c r="F160" s="3" t="s">
        <v>25</v>
      </c>
      <c r="G160" s="3" t="s">
        <v>25</v>
      </c>
      <c r="H160" s="3" t="s">
        <v>25</v>
      </c>
      <c r="I160" s="6">
        <v>44713</v>
      </c>
      <c r="J160" s="4">
        <v>3612</v>
      </c>
      <c r="K160" s="63">
        <v>3612</v>
      </c>
      <c r="L160" s="4">
        <v>0</v>
      </c>
      <c r="M160" s="64">
        <v>0</v>
      </c>
      <c r="N160" s="4">
        <v>0</v>
      </c>
      <c r="O160" s="64">
        <v>0</v>
      </c>
      <c r="P160" s="4">
        <v>30</v>
      </c>
      <c r="Q160" s="3" t="s">
        <v>26</v>
      </c>
      <c r="R160" s="3">
        <v>0</v>
      </c>
      <c r="S160" s="3">
        <v>18</v>
      </c>
      <c r="T160" s="3">
        <v>0</v>
      </c>
      <c r="U160" s="3">
        <v>0</v>
      </c>
      <c r="V160" s="64">
        <f>IF(ISERROR(VLOOKUP($S$160,'TAR FIN'!$A$1:$O$92,15,0)),0,VLOOKUP($S$160,'TAR FIN'!$A$1:$O$92,15,0))*(1-0.06)</f>
        <v>13.7616</v>
      </c>
      <c r="W160" s="64">
        <f>IF(ISERROR(VLOOKUP($T$160,'TAR FIN'!$A$1:$O$92,15,0)),0,VLOOKUP($T$160,'TAR FIN'!$A$1:$O$92,15,0))</f>
        <v>0</v>
      </c>
      <c r="X160" s="64">
        <f>IF(ISERROR(VLOOKUP($U$160,'TAR FIN'!$A$1:$O$92,15,0)),0,VLOOKUP($U$160,'TAR FIN'!$A$1:$O$92,15,0))</f>
        <v>0</v>
      </c>
      <c r="Y160" s="64">
        <f ca="1">('TUSD BE'!$AM$10+'TUSD BF'!$AM$10+'TUSD CVA'!$AM$10)*1*(1-0.03)</f>
        <v>18.453742481980488</v>
      </c>
      <c r="Z160" s="64"/>
      <c r="AA160" s="64"/>
      <c r="AB160" s="64">
        <f>(SUBSIDIO!$J$160*SUBSIDIO!$V$160)*(0.06)/(1-0.06)</f>
        <v>3172.7808</v>
      </c>
      <c r="AC160" s="64">
        <f>((SUBSIDIO!$L$160*SUBSIDIO!$W$160)+(SUBSIDIO!$N$160*SUBSIDIO!$X$160))*(0.06)/(1-0.06)</f>
        <v>0</v>
      </c>
      <c r="AD160" s="64">
        <f ca="1">(SUBSIDIO!$J$160*SUBSIDIO!$Y$160)*(0.03)/(1-0.03)</f>
        <v>2061.4923044818615</v>
      </c>
      <c r="AE160" s="64">
        <f>((SUBSIDIO!$L$160*SUBSIDIO!$Z$160)+(SUBSIDIO!$N$160*SUBSIDIO!$AA$160))*(0.03)/(1-0.03)</f>
        <v>0</v>
      </c>
      <c r="AF160" s="3" t="s">
        <v>751</v>
      </c>
    </row>
    <row r="161" spans="1:32" ht="11.25" customHeight="1" x14ac:dyDescent="0.25">
      <c r="A161" s="3" t="s">
        <v>27</v>
      </c>
      <c r="B161" s="3" t="s">
        <v>39</v>
      </c>
      <c r="C161" s="3" t="s">
        <v>41</v>
      </c>
      <c r="D161" s="3" t="s">
        <v>49</v>
      </c>
      <c r="E161" s="3" t="s">
        <v>50</v>
      </c>
      <c r="F161" s="3" t="s">
        <v>25</v>
      </c>
      <c r="G161" s="3" t="s">
        <v>25</v>
      </c>
      <c r="H161" s="3" t="s">
        <v>25</v>
      </c>
      <c r="I161" s="6">
        <v>44713</v>
      </c>
      <c r="J161" s="4">
        <v>-420</v>
      </c>
      <c r="K161" s="63">
        <v>-420</v>
      </c>
      <c r="L161" s="4">
        <v>0</v>
      </c>
      <c r="M161" s="64">
        <v>0</v>
      </c>
      <c r="N161" s="4">
        <v>0</v>
      </c>
      <c r="O161" s="64">
        <v>0</v>
      </c>
      <c r="P161" s="4">
        <v>0</v>
      </c>
      <c r="Q161" s="3" t="s">
        <v>26</v>
      </c>
      <c r="R161" s="3">
        <v>0</v>
      </c>
      <c r="S161" s="3">
        <v>18</v>
      </c>
      <c r="T161" s="3">
        <v>0</v>
      </c>
      <c r="U161" s="3">
        <v>0</v>
      </c>
      <c r="V161" s="64">
        <f>IF(ISERROR(VLOOKUP($S$161,'TAR FIN'!$A$1:$O$92,15,0)),0,VLOOKUP($S$161,'TAR FIN'!$A$1:$O$92,15,0))*(1-0.06)</f>
        <v>13.7616</v>
      </c>
      <c r="W161" s="64">
        <f>IF(ISERROR(VLOOKUP($T$161,'TAR FIN'!$A$1:$O$92,15,0)),0,VLOOKUP($T$161,'TAR FIN'!$A$1:$O$92,15,0))</f>
        <v>0</v>
      </c>
      <c r="X161" s="64">
        <f>IF(ISERROR(VLOOKUP($U$161,'TAR FIN'!$A$1:$O$92,15,0)),0,VLOOKUP($U$161,'TAR FIN'!$A$1:$O$92,15,0))</f>
        <v>0</v>
      </c>
      <c r="Y161" s="64">
        <f ca="1">('TUSD BE'!$AM$10+'TUSD BF'!$AM$10+'TUSD CVA'!$AM$10)*1*(1-0.03)</f>
        <v>18.453742481980488</v>
      </c>
      <c r="Z161" s="64"/>
      <c r="AA161" s="64"/>
      <c r="AB161" s="64">
        <f>(SUBSIDIO!$J$161*SUBSIDIO!$V$161)*(0.06)/(1-0.06)</f>
        <v>-368.928</v>
      </c>
      <c r="AC161" s="64">
        <f>((SUBSIDIO!$L$161*SUBSIDIO!$W$161)+(SUBSIDIO!$N$161*SUBSIDIO!$X$161))*(0.06)/(1-0.06)</f>
        <v>0</v>
      </c>
      <c r="AD161" s="64">
        <f ca="1">(SUBSIDIO!$J$161*SUBSIDIO!$Y$161)*(0.03)/(1-0.03)</f>
        <v>-239.70840749789087</v>
      </c>
      <c r="AE161" s="64">
        <f>((SUBSIDIO!$L$161*SUBSIDIO!$Z$161)+(SUBSIDIO!$N$161*SUBSIDIO!$AA$161))*(0.03)/(1-0.03)</f>
        <v>0</v>
      </c>
      <c r="AF161" s="3" t="s">
        <v>751</v>
      </c>
    </row>
    <row r="162" spans="1:32" ht="11.25" customHeight="1" x14ac:dyDescent="0.25">
      <c r="A162" s="3" t="s">
        <v>21</v>
      </c>
      <c r="B162" s="3" t="s">
        <v>39</v>
      </c>
      <c r="C162" s="3" t="s">
        <v>41</v>
      </c>
      <c r="D162" s="3" t="s">
        <v>49</v>
      </c>
      <c r="E162" s="3" t="s">
        <v>50</v>
      </c>
      <c r="F162" s="3" t="s">
        <v>25</v>
      </c>
      <c r="G162" s="3" t="s">
        <v>25</v>
      </c>
      <c r="H162" s="3" t="s">
        <v>25</v>
      </c>
      <c r="I162" s="6">
        <v>44743</v>
      </c>
      <c r="J162" s="4">
        <v>3611</v>
      </c>
      <c r="K162" s="63">
        <v>3611</v>
      </c>
      <c r="L162" s="4">
        <v>0</v>
      </c>
      <c r="M162" s="64">
        <v>0</v>
      </c>
      <c r="N162" s="4">
        <v>0</v>
      </c>
      <c r="O162" s="64">
        <v>0</v>
      </c>
      <c r="P162" s="4">
        <v>30</v>
      </c>
      <c r="Q162" s="3" t="s">
        <v>26</v>
      </c>
      <c r="R162" s="3">
        <v>0</v>
      </c>
      <c r="S162" s="3">
        <v>18</v>
      </c>
      <c r="T162" s="3">
        <v>0</v>
      </c>
      <c r="U162" s="3">
        <v>0</v>
      </c>
      <c r="V162" s="64">
        <f>IF(ISERROR(VLOOKUP($S$162,'TAR FIN'!$A$1:$O$92,15,0)),0,VLOOKUP($S$162,'TAR FIN'!$A$1:$O$92,15,0))*(1-0.06)</f>
        <v>13.7616</v>
      </c>
      <c r="W162" s="64">
        <f>IF(ISERROR(VLOOKUP($T$162,'TAR FIN'!$A$1:$O$92,15,0)),0,VLOOKUP($T$162,'TAR FIN'!$A$1:$O$92,15,0))</f>
        <v>0</v>
      </c>
      <c r="X162" s="64">
        <f>IF(ISERROR(VLOOKUP($U$162,'TAR FIN'!$A$1:$O$92,15,0)),0,VLOOKUP($U$162,'TAR FIN'!$A$1:$O$92,15,0))</f>
        <v>0</v>
      </c>
      <c r="Y162" s="64">
        <f ca="1">('TUSD BE'!$AM$10+'TUSD BF'!$AM$10+'TUSD CVA'!$AM$10)*1*(1-0.03)</f>
        <v>18.453742481980488</v>
      </c>
      <c r="Z162" s="64"/>
      <c r="AA162" s="64"/>
      <c r="AB162" s="64">
        <f>(SUBSIDIO!$J$162*SUBSIDIO!$V$162)*(0.06)/(1-0.06)</f>
        <v>3171.9024000000004</v>
      </c>
      <c r="AC162" s="64">
        <f>((SUBSIDIO!$L$162*SUBSIDIO!$W$162)+(SUBSIDIO!$N$162*SUBSIDIO!$X$162))*(0.06)/(1-0.06)</f>
        <v>0</v>
      </c>
      <c r="AD162" s="64">
        <f ca="1">(SUBSIDIO!$J$162*SUBSIDIO!$Y$162)*(0.03)/(1-0.03)</f>
        <v>2060.921570178295</v>
      </c>
      <c r="AE162" s="64">
        <f>((SUBSIDIO!$L$162*SUBSIDIO!$Z$162)+(SUBSIDIO!$N$162*SUBSIDIO!$AA$162))*(0.03)/(1-0.03)</f>
        <v>0</v>
      </c>
      <c r="AF162" s="3" t="s">
        <v>751</v>
      </c>
    </row>
    <row r="163" spans="1:32" ht="11.25" customHeight="1" x14ac:dyDescent="0.25">
      <c r="A163" s="3" t="s">
        <v>21</v>
      </c>
      <c r="B163" s="3" t="s">
        <v>39</v>
      </c>
      <c r="C163" s="3" t="s">
        <v>41</v>
      </c>
      <c r="D163" s="3" t="s">
        <v>49</v>
      </c>
      <c r="E163" s="3" t="s">
        <v>50</v>
      </c>
      <c r="F163" s="3" t="s">
        <v>25</v>
      </c>
      <c r="G163" s="3" t="s">
        <v>25</v>
      </c>
      <c r="H163" s="3" t="s">
        <v>25</v>
      </c>
      <c r="I163" s="6">
        <v>44774</v>
      </c>
      <c r="J163" s="4">
        <v>3617</v>
      </c>
      <c r="K163" s="63">
        <v>3617</v>
      </c>
      <c r="L163" s="4">
        <v>0</v>
      </c>
      <c r="M163" s="64">
        <v>0</v>
      </c>
      <c r="N163" s="4">
        <v>0</v>
      </c>
      <c r="O163" s="64">
        <v>0</v>
      </c>
      <c r="P163" s="4">
        <v>30</v>
      </c>
      <c r="Q163" s="3" t="s">
        <v>26</v>
      </c>
      <c r="R163" s="3">
        <v>0</v>
      </c>
      <c r="S163" s="3">
        <v>18</v>
      </c>
      <c r="T163" s="3">
        <v>0</v>
      </c>
      <c r="U163" s="3">
        <v>0</v>
      </c>
      <c r="V163" s="64">
        <f>IF(ISERROR(VLOOKUP($S$163,'TAR FIN'!$A$1:$O$92,15,0)),0,VLOOKUP($S$163,'TAR FIN'!$A$1:$O$92,15,0))*(1-0.06)</f>
        <v>13.7616</v>
      </c>
      <c r="W163" s="64">
        <f>IF(ISERROR(VLOOKUP($T$163,'TAR FIN'!$A$1:$O$92,15,0)),0,VLOOKUP($T$163,'TAR FIN'!$A$1:$O$92,15,0))</f>
        <v>0</v>
      </c>
      <c r="X163" s="64">
        <f>IF(ISERROR(VLOOKUP($U$163,'TAR FIN'!$A$1:$O$92,15,0)),0,VLOOKUP($U$163,'TAR FIN'!$A$1:$O$92,15,0))</f>
        <v>0</v>
      </c>
      <c r="Y163" s="64">
        <f ca="1">('TUSD BE'!$AM$10+'TUSD BF'!$AM$10+'TUSD CVA'!$AM$10)*1*(1-0.03)</f>
        <v>18.453742481980488</v>
      </c>
      <c r="Z163" s="64"/>
      <c r="AA163" s="64"/>
      <c r="AB163" s="64">
        <f>(SUBSIDIO!$J$163*SUBSIDIO!$V$163)*(0.06)/(1-0.06)</f>
        <v>3177.1727999999998</v>
      </c>
      <c r="AC163" s="64">
        <f>((SUBSIDIO!$L$163*SUBSIDIO!$W$163)+(SUBSIDIO!$N$163*SUBSIDIO!$X$163))*(0.06)/(1-0.06)</f>
        <v>0</v>
      </c>
      <c r="AD163" s="64">
        <f ca="1">(SUBSIDIO!$J$163*SUBSIDIO!$Y$163)*(0.03)/(1-0.03)</f>
        <v>2064.3459759996936</v>
      </c>
      <c r="AE163" s="64">
        <f>((SUBSIDIO!$L$163*SUBSIDIO!$Z$163)+(SUBSIDIO!$N$163*SUBSIDIO!$AA$163))*(0.03)/(1-0.03)</f>
        <v>0</v>
      </c>
      <c r="AF163" s="3" t="s">
        <v>751</v>
      </c>
    </row>
    <row r="164" spans="1:32" ht="11.25" customHeight="1" x14ac:dyDescent="0.25">
      <c r="A164" s="3" t="s">
        <v>21</v>
      </c>
      <c r="B164" s="3" t="s">
        <v>39</v>
      </c>
      <c r="C164" s="3" t="s">
        <v>41</v>
      </c>
      <c r="D164" s="3" t="s">
        <v>49</v>
      </c>
      <c r="E164" s="3" t="s">
        <v>50</v>
      </c>
      <c r="F164" s="3" t="s">
        <v>25</v>
      </c>
      <c r="G164" s="3" t="s">
        <v>25</v>
      </c>
      <c r="H164" s="3" t="s">
        <v>25</v>
      </c>
      <c r="I164" s="6">
        <v>44805</v>
      </c>
      <c r="J164" s="4">
        <v>3633</v>
      </c>
      <c r="K164" s="63">
        <v>3633</v>
      </c>
      <c r="L164" s="4">
        <v>0</v>
      </c>
      <c r="M164" s="64">
        <v>0</v>
      </c>
      <c r="N164" s="4">
        <v>0</v>
      </c>
      <c r="O164" s="64">
        <v>0</v>
      </c>
      <c r="P164" s="4">
        <v>30</v>
      </c>
      <c r="Q164" s="3" t="s">
        <v>26</v>
      </c>
      <c r="R164" s="3">
        <v>0</v>
      </c>
      <c r="S164" s="3">
        <v>18</v>
      </c>
      <c r="T164" s="3">
        <v>0</v>
      </c>
      <c r="U164" s="3">
        <v>0</v>
      </c>
      <c r="V164" s="64">
        <f>IF(ISERROR(VLOOKUP($S$164,'TAR FIN'!$A$1:$O$92,15,0)),0,VLOOKUP($S$164,'TAR FIN'!$A$1:$O$92,15,0))*(1-0.06)</f>
        <v>13.7616</v>
      </c>
      <c r="W164" s="64">
        <f>IF(ISERROR(VLOOKUP($T$164,'TAR FIN'!$A$1:$O$92,15,0)),0,VLOOKUP($T$164,'TAR FIN'!$A$1:$O$92,15,0))</f>
        <v>0</v>
      </c>
      <c r="X164" s="64">
        <f>IF(ISERROR(VLOOKUP($U$164,'TAR FIN'!$A$1:$O$92,15,0)),0,VLOOKUP($U$164,'TAR FIN'!$A$1:$O$92,15,0))</f>
        <v>0</v>
      </c>
      <c r="Y164" s="64">
        <f ca="1">('TUSD BE'!$AM$10+'TUSD BF'!$AM$10+'TUSD CVA'!$AM$10)*1*(1-0.03)</f>
        <v>18.453742481980488</v>
      </c>
      <c r="Z164" s="64"/>
      <c r="AA164" s="64"/>
      <c r="AB164" s="64">
        <f>(SUBSIDIO!$J$164*SUBSIDIO!$V$164)*(0.06)/(1-0.06)</f>
        <v>3191.2272000000003</v>
      </c>
      <c r="AC164" s="64">
        <f>((SUBSIDIO!$L$164*SUBSIDIO!$W$164)+(SUBSIDIO!$N$164*SUBSIDIO!$X$164))*(0.06)/(1-0.06)</f>
        <v>0</v>
      </c>
      <c r="AD164" s="64">
        <f ca="1">(SUBSIDIO!$J$164*SUBSIDIO!$Y$164)*(0.03)/(1-0.03)</f>
        <v>2073.4777248567557</v>
      </c>
      <c r="AE164" s="64">
        <f>((SUBSIDIO!$L$164*SUBSIDIO!$Z$164)+(SUBSIDIO!$N$164*SUBSIDIO!$AA$164))*(0.03)/(1-0.03)</f>
        <v>0</v>
      </c>
      <c r="AF164" s="3" t="s">
        <v>751</v>
      </c>
    </row>
    <row r="165" spans="1:32" ht="11.25" customHeight="1" x14ac:dyDescent="0.25">
      <c r="A165" s="3" t="s">
        <v>55</v>
      </c>
      <c r="B165" s="3" t="s">
        <v>39</v>
      </c>
      <c r="C165" s="3" t="s">
        <v>41</v>
      </c>
      <c r="D165" s="3" t="s">
        <v>49</v>
      </c>
      <c r="E165" s="3" t="s">
        <v>50</v>
      </c>
      <c r="F165" s="3" t="s">
        <v>25</v>
      </c>
      <c r="G165" s="3" t="s">
        <v>25</v>
      </c>
      <c r="H165" s="3" t="s">
        <v>25</v>
      </c>
      <c r="I165" s="6">
        <v>44835</v>
      </c>
      <c r="J165" s="4">
        <v>3633</v>
      </c>
      <c r="K165" s="63">
        <v>3633</v>
      </c>
      <c r="L165" s="4">
        <v>0</v>
      </c>
      <c r="M165" s="64">
        <v>0</v>
      </c>
      <c r="N165" s="4">
        <v>0</v>
      </c>
      <c r="O165" s="64">
        <v>0</v>
      </c>
      <c r="P165" s="4">
        <v>30</v>
      </c>
      <c r="Q165" s="3" t="s">
        <v>26</v>
      </c>
      <c r="R165" s="3">
        <v>0</v>
      </c>
      <c r="S165" s="3">
        <v>18</v>
      </c>
      <c r="T165" s="3">
        <v>0</v>
      </c>
      <c r="U165" s="3">
        <v>0</v>
      </c>
      <c r="V165" s="64">
        <f>IF(ISERROR(VLOOKUP($S$165,'TAR FIN'!$A$1:$O$92,15,0)),0,VLOOKUP($S$165,'TAR FIN'!$A$1:$O$92,15,0))*(1-0.06)</f>
        <v>13.7616</v>
      </c>
      <c r="W165" s="64">
        <f>IF(ISERROR(VLOOKUP($T$165,'TAR FIN'!$A$1:$O$92,15,0)),0,VLOOKUP($T$165,'TAR FIN'!$A$1:$O$92,15,0))</f>
        <v>0</v>
      </c>
      <c r="X165" s="64">
        <f>IF(ISERROR(VLOOKUP($U$165,'TAR FIN'!$A$1:$O$92,15,0)),0,VLOOKUP($U$165,'TAR FIN'!$A$1:$O$92,15,0))</f>
        <v>0</v>
      </c>
      <c r="Y165" s="64">
        <f ca="1">('TUSD BE'!$AM$10+'TUSD BF'!$AM$10+'TUSD CVA'!$AM$10)*1*(1-0.03)</f>
        <v>18.453742481980488</v>
      </c>
      <c r="Z165" s="64"/>
      <c r="AA165" s="64"/>
      <c r="AB165" s="64">
        <f>(SUBSIDIO!$J$165*SUBSIDIO!$V$165)*(0.06)/(1-0.06)</f>
        <v>3191.2272000000003</v>
      </c>
      <c r="AC165" s="64">
        <f>((SUBSIDIO!$L$165*SUBSIDIO!$W$165)+(SUBSIDIO!$N$165*SUBSIDIO!$X$165))*(0.06)/(1-0.06)</f>
        <v>0</v>
      </c>
      <c r="AD165" s="64">
        <f ca="1">(SUBSIDIO!$J$165*SUBSIDIO!$Y$165)*(0.03)/(1-0.03)</f>
        <v>2073.4777248567557</v>
      </c>
      <c r="AE165" s="64">
        <f>((SUBSIDIO!$L$165*SUBSIDIO!$Z$165)+(SUBSIDIO!$N$165*SUBSIDIO!$AA$165))*(0.03)/(1-0.03)</f>
        <v>0</v>
      </c>
      <c r="AF165" s="3" t="s">
        <v>751</v>
      </c>
    </row>
    <row r="166" spans="1:32" ht="11.25" customHeight="1" x14ac:dyDescent="0.25">
      <c r="A166" s="3" t="s">
        <v>21</v>
      </c>
      <c r="B166" s="3" t="s">
        <v>39</v>
      </c>
      <c r="C166" s="3" t="s">
        <v>41</v>
      </c>
      <c r="D166" s="3" t="s">
        <v>49</v>
      </c>
      <c r="E166" s="3" t="s">
        <v>50</v>
      </c>
      <c r="F166" s="3" t="s">
        <v>25</v>
      </c>
      <c r="G166" s="3" t="s">
        <v>25</v>
      </c>
      <c r="H166" s="3" t="s">
        <v>34</v>
      </c>
      <c r="I166" s="6">
        <v>44501</v>
      </c>
      <c r="J166" s="4">
        <v>0</v>
      </c>
      <c r="K166" s="64">
        <v>0</v>
      </c>
      <c r="L166" s="4">
        <v>70.024000000000001</v>
      </c>
      <c r="M166" s="64">
        <v>70.024000000000001</v>
      </c>
      <c r="N166" s="4">
        <v>70.024000000000001</v>
      </c>
      <c r="O166" s="64">
        <v>70.024000000000001</v>
      </c>
      <c r="P166" s="4">
        <v>0</v>
      </c>
      <c r="Q166" s="3" t="s">
        <v>26</v>
      </c>
      <c r="R166" s="3">
        <v>0</v>
      </c>
      <c r="S166" s="3">
        <v>0</v>
      </c>
      <c r="T166" s="3">
        <v>11</v>
      </c>
      <c r="U166" s="3">
        <v>71</v>
      </c>
      <c r="V166" s="64">
        <f>IF(ISERROR(VLOOKUP($S$166,'TAR FIN'!$A$1:$O$92,15,0)),0,VLOOKUP($S$166,'TAR FIN'!$A$1:$O$92,15,0))</f>
        <v>0</v>
      </c>
      <c r="W166" s="64">
        <f>IF(ISERROR(VLOOKUP($T$166,'TAR FIN'!$A$1:$O$92,15,0)),0,VLOOKUP($T$166,'TAR FIN'!$A$1:$O$92,15,0))*(1-0.06)</f>
        <v>1086.1794</v>
      </c>
      <c r="X166" s="64">
        <f>IF(ISERROR(VLOOKUP($U$166,'TAR FIN'!$A$1:$O$92,15,0)),0,VLOOKUP($U$166,'TAR FIN'!$A$1:$O$92,15,0))*(1-0.06)</f>
        <v>407.74379999999996</v>
      </c>
      <c r="Y166" s="64"/>
      <c r="Z166" s="64">
        <f ca="1">('TUSD BE'!$AM$11+'TUSD BF'!$AM$11+'TUSD CVA'!$AM$11)*1*(1-0.03)</f>
        <v>1448.9683289643417</v>
      </c>
      <c r="AA166" s="64">
        <f>('TE BE'!$AB$5+'TE BF'!$AB$5+'TE CVA'!$AB$5)*1*(1-0.03)</f>
        <v>526.5588226383453</v>
      </c>
      <c r="AB166" s="64">
        <f>(SUBSIDIO!$J$166*SUBSIDIO!$V$166)*(0.06)/(1-0.06)</f>
        <v>0</v>
      </c>
      <c r="AC166" s="64">
        <f>((SUBSIDIO!$L$166*SUBSIDIO!$W$166)+(SUBSIDIO!$N$166*SUBSIDIO!$X$166))*(0.06)/(1-0.06)</f>
        <v>6677.2645632000003</v>
      </c>
      <c r="AD166" s="64">
        <f>(SUBSIDIO!$J$166*SUBSIDIO!$Y$166)*(0.03)/(1-0.03)</f>
        <v>0</v>
      </c>
      <c r="AE166" s="64">
        <f ca="1">((SUBSIDIO!$L$166*SUBSIDIO!$Z$166)+(SUBSIDIO!$N$166*SUBSIDIO!$AA$166))*(0.03)/(1-0.03)</f>
        <v>4278.380822592575</v>
      </c>
      <c r="AF166" s="3" t="s">
        <v>751</v>
      </c>
    </row>
    <row r="167" spans="1:32" ht="11.25" customHeight="1" x14ac:dyDescent="0.25">
      <c r="A167" s="3" t="s">
        <v>21</v>
      </c>
      <c r="B167" s="3" t="s">
        <v>39</v>
      </c>
      <c r="C167" s="3" t="s">
        <v>41</v>
      </c>
      <c r="D167" s="3" t="s">
        <v>49</v>
      </c>
      <c r="E167" s="3" t="s">
        <v>50</v>
      </c>
      <c r="F167" s="3" t="s">
        <v>25</v>
      </c>
      <c r="G167" s="3" t="s">
        <v>25</v>
      </c>
      <c r="H167" s="3" t="s">
        <v>34</v>
      </c>
      <c r="I167" s="6">
        <v>44531</v>
      </c>
      <c r="J167" s="4">
        <v>0</v>
      </c>
      <c r="K167" s="64">
        <v>0</v>
      </c>
      <c r="L167" s="4">
        <v>76.138000000000005</v>
      </c>
      <c r="M167" s="64">
        <v>76.138000000000005</v>
      </c>
      <c r="N167" s="4">
        <v>76.138000000000005</v>
      </c>
      <c r="O167" s="64">
        <v>76.138000000000005</v>
      </c>
      <c r="P167" s="4">
        <v>0</v>
      </c>
      <c r="Q167" s="3" t="s">
        <v>26</v>
      </c>
      <c r="R167" s="3">
        <v>0</v>
      </c>
      <c r="S167" s="3">
        <v>0</v>
      </c>
      <c r="T167" s="3">
        <v>11</v>
      </c>
      <c r="U167" s="3">
        <v>71</v>
      </c>
      <c r="V167" s="64">
        <f>IF(ISERROR(VLOOKUP($S$167,'TAR FIN'!$A$1:$O$92,15,0)),0,VLOOKUP($S$167,'TAR FIN'!$A$1:$O$92,15,0))</f>
        <v>0</v>
      </c>
      <c r="W167" s="64">
        <f>IF(ISERROR(VLOOKUP($T$167,'TAR FIN'!$A$1:$O$92,15,0)),0,VLOOKUP($T$167,'TAR FIN'!$A$1:$O$92,15,0))*(1-0.06)</f>
        <v>1086.1794</v>
      </c>
      <c r="X167" s="64">
        <f>IF(ISERROR(VLOOKUP($U$167,'TAR FIN'!$A$1:$O$92,15,0)),0,VLOOKUP($U$167,'TAR FIN'!$A$1:$O$92,15,0))*(1-0.06)</f>
        <v>407.74379999999996</v>
      </c>
      <c r="Y167" s="64"/>
      <c r="Z167" s="64">
        <f ca="1">('TUSD BE'!$AM$11+'TUSD BF'!$AM$11+'TUSD CVA'!$AM$11)*1*(1-0.03)</f>
        <v>1448.9683289643417</v>
      </c>
      <c r="AA167" s="64">
        <f>('TE BE'!$AB$5+'TE BF'!$AB$5+'TE CVA'!$AB$5)*1*(1-0.03)</f>
        <v>526.5588226383453</v>
      </c>
      <c r="AB167" s="64">
        <f>(SUBSIDIO!$J$167*SUBSIDIO!$V$167)*(0.06)/(1-0.06)</f>
        <v>0</v>
      </c>
      <c r="AC167" s="64">
        <f>((SUBSIDIO!$L$167*SUBSIDIO!$W$167)+(SUBSIDIO!$N$167*SUBSIDIO!$X$167))*(0.06)/(1-0.06)</f>
        <v>7260.2760384000003</v>
      </c>
      <c r="AD167" s="64">
        <f>(SUBSIDIO!$J$167*SUBSIDIO!$Y$167)*(0.03)/(1-0.03)</f>
        <v>0</v>
      </c>
      <c r="AE167" s="64">
        <f ca="1">((SUBSIDIO!$L$167*SUBSIDIO!$Z$167)+(SUBSIDIO!$N$167*SUBSIDIO!$AA$167))*(0.03)/(1-0.03)</f>
        <v>4651.9387505791356</v>
      </c>
      <c r="AF167" s="3" t="s">
        <v>751</v>
      </c>
    </row>
    <row r="168" spans="1:32" ht="11.25" customHeight="1" x14ac:dyDescent="0.25">
      <c r="A168" s="3" t="s">
        <v>21</v>
      </c>
      <c r="B168" s="3" t="s">
        <v>39</v>
      </c>
      <c r="C168" s="3" t="s">
        <v>41</v>
      </c>
      <c r="D168" s="3" t="s">
        <v>49</v>
      </c>
      <c r="E168" s="3" t="s">
        <v>50</v>
      </c>
      <c r="F168" s="3" t="s">
        <v>25</v>
      </c>
      <c r="G168" s="3" t="s">
        <v>25</v>
      </c>
      <c r="H168" s="3" t="s">
        <v>34</v>
      </c>
      <c r="I168" s="6">
        <v>44562</v>
      </c>
      <c r="J168" s="4">
        <v>0</v>
      </c>
      <c r="K168" s="64">
        <v>0</v>
      </c>
      <c r="L168" s="4">
        <v>69.722999999999999</v>
      </c>
      <c r="M168" s="64">
        <v>69.722999999999999</v>
      </c>
      <c r="N168" s="4">
        <v>69.722999999999999</v>
      </c>
      <c r="O168" s="64">
        <v>69.722999999999999</v>
      </c>
      <c r="P168" s="4">
        <v>0</v>
      </c>
      <c r="Q168" s="3" t="s">
        <v>26</v>
      </c>
      <c r="R168" s="3">
        <v>0</v>
      </c>
      <c r="S168" s="3">
        <v>0</v>
      </c>
      <c r="T168" s="3">
        <v>11</v>
      </c>
      <c r="U168" s="3">
        <v>71</v>
      </c>
      <c r="V168" s="64">
        <f>IF(ISERROR(VLOOKUP($S$168,'TAR FIN'!$A$1:$O$92,15,0)),0,VLOOKUP($S$168,'TAR FIN'!$A$1:$O$92,15,0))</f>
        <v>0</v>
      </c>
      <c r="W168" s="64">
        <f>IF(ISERROR(VLOOKUP($T$168,'TAR FIN'!$A$1:$O$92,15,0)),0,VLOOKUP($T$168,'TAR FIN'!$A$1:$O$92,15,0))*(1-0.06)</f>
        <v>1086.1794</v>
      </c>
      <c r="X168" s="64">
        <f>IF(ISERROR(VLOOKUP($U$168,'TAR FIN'!$A$1:$O$92,15,0)),0,VLOOKUP($U$168,'TAR FIN'!$A$1:$O$92,15,0))*(1-0.06)</f>
        <v>407.74379999999996</v>
      </c>
      <c r="Y168" s="64"/>
      <c r="Z168" s="64">
        <f ca="1">('TUSD BE'!$AM$11+'TUSD BF'!$AM$11+'TUSD CVA'!$AM$11)*1*(1-0.03)</f>
        <v>1448.9683289643417</v>
      </c>
      <c r="AA168" s="64">
        <f>('TE BE'!$AB$5+'TE BF'!$AB$5+'TE CVA'!$AB$5)*1*(1-0.03)</f>
        <v>526.5588226383453</v>
      </c>
      <c r="AB168" s="64">
        <f>(SUBSIDIO!$J$168*SUBSIDIO!$V$168)*(0.06)/(1-0.06)</f>
        <v>0</v>
      </c>
      <c r="AC168" s="64">
        <f>((SUBSIDIO!$L$168*SUBSIDIO!$W$168)+(SUBSIDIO!$N$168*SUBSIDIO!$X$168))*(0.06)/(1-0.06)</f>
        <v>6648.5621664</v>
      </c>
      <c r="AD168" s="64">
        <f>(SUBSIDIO!$J$168*SUBSIDIO!$Y$168)*(0.03)/(1-0.03)</f>
        <v>0</v>
      </c>
      <c r="AE168" s="64">
        <f ca="1">((SUBSIDIO!$L$168*SUBSIDIO!$Z$168)+(SUBSIDIO!$N$168*SUBSIDIO!$AA$168))*(0.03)/(1-0.03)</f>
        <v>4259.9900904493034</v>
      </c>
      <c r="AF168" s="3" t="s">
        <v>751</v>
      </c>
    </row>
    <row r="169" spans="1:32" ht="11.25" customHeight="1" x14ac:dyDescent="0.25">
      <c r="A169" s="3" t="s">
        <v>21</v>
      </c>
      <c r="B169" s="3" t="s">
        <v>39</v>
      </c>
      <c r="C169" s="3" t="s">
        <v>41</v>
      </c>
      <c r="D169" s="3" t="s">
        <v>49</v>
      </c>
      <c r="E169" s="3" t="s">
        <v>50</v>
      </c>
      <c r="F169" s="3" t="s">
        <v>25</v>
      </c>
      <c r="G169" s="3" t="s">
        <v>25</v>
      </c>
      <c r="H169" s="3" t="s">
        <v>34</v>
      </c>
      <c r="I169" s="6">
        <v>44593</v>
      </c>
      <c r="J169" s="4">
        <v>0</v>
      </c>
      <c r="K169" s="64">
        <v>0</v>
      </c>
      <c r="L169" s="4">
        <v>67.254000000000005</v>
      </c>
      <c r="M169" s="64">
        <v>67.254000000000005</v>
      </c>
      <c r="N169" s="4">
        <v>67.254000000000005</v>
      </c>
      <c r="O169" s="64">
        <v>67.254000000000005</v>
      </c>
      <c r="P169" s="4">
        <v>0</v>
      </c>
      <c r="Q169" s="3" t="s">
        <v>26</v>
      </c>
      <c r="R169" s="3">
        <v>0</v>
      </c>
      <c r="S169" s="3">
        <v>0</v>
      </c>
      <c r="T169" s="3">
        <v>11</v>
      </c>
      <c r="U169" s="3">
        <v>71</v>
      </c>
      <c r="V169" s="64">
        <f>IF(ISERROR(VLOOKUP($S$169,'TAR FIN'!$A$1:$O$92,15,0)),0,VLOOKUP($S$169,'TAR FIN'!$A$1:$O$92,15,0))</f>
        <v>0</v>
      </c>
      <c r="W169" s="64">
        <f>IF(ISERROR(VLOOKUP($T$169,'TAR FIN'!$A$1:$O$92,15,0)),0,VLOOKUP($T$169,'TAR FIN'!$A$1:$O$92,15,0))*(1-0.06)</f>
        <v>1086.1794</v>
      </c>
      <c r="X169" s="64">
        <f>IF(ISERROR(VLOOKUP($U$169,'TAR FIN'!$A$1:$O$92,15,0)),0,VLOOKUP($U$169,'TAR FIN'!$A$1:$O$92,15,0))*(1-0.06)</f>
        <v>407.74379999999996</v>
      </c>
      <c r="Y169" s="64"/>
      <c r="Z169" s="64">
        <f ca="1">('TUSD BE'!$AM$11+'TUSD BF'!$AM$11+'TUSD CVA'!$AM$11)*1*(1-0.03)</f>
        <v>1448.9683289643417</v>
      </c>
      <c r="AA169" s="64">
        <f>('TE BE'!$AB$5+'TE BF'!$AB$5+'TE CVA'!$AB$5)*1*(1-0.03)</f>
        <v>526.5588226383453</v>
      </c>
      <c r="AB169" s="64">
        <f>(SUBSIDIO!$J$169*SUBSIDIO!$V$169)*(0.06)/(1-0.06)</f>
        <v>0</v>
      </c>
      <c r="AC169" s="64">
        <f>((SUBSIDIO!$L$169*SUBSIDIO!$W$169)+(SUBSIDIO!$N$169*SUBSIDIO!$X$169))*(0.06)/(1-0.06)</f>
        <v>6413.1262272000004</v>
      </c>
      <c r="AD169" s="64">
        <f>(SUBSIDIO!$J$169*SUBSIDIO!$Y$169)*(0.03)/(1-0.03)</f>
        <v>0</v>
      </c>
      <c r="AE169" s="64">
        <f ca="1">((SUBSIDIO!$L$169*SUBSIDIO!$Z$169)+(SUBSIDIO!$N$169*SUBSIDIO!$AA$169))*(0.03)/(1-0.03)</f>
        <v>4109.1372078521781</v>
      </c>
      <c r="AF169" s="3" t="s">
        <v>751</v>
      </c>
    </row>
    <row r="170" spans="1:32" ht="11.25" customHeight="1" x14ac:dyDescent="0.25">
      <c r="A170" s="3" t="s">
        <v>21</v>
      </c>
      <c r="B170" s="3" t="s">
        <v>39</v>
      </c>
      <c r="C170" s="3" t="s">
        <v>41</v>
      </c>
      <c r="D170" s="3" t="s">
        <v>49</v>
      </c>
      <c r="E170" s="3" t="s">
        <v>50</v>
      </c>
      <c r="F170" s="3" t="s">
        <v>25</v>
      </c>
      <c r="G170" s="3" t="s">
        <v>25</v>
      </c>
      <c r="H170" s="3" t="s">
        <v>34</v>
      </c>
      <c r="I170" s="6">
        <v>44621</v>
      </c>
      <c r="J170" s="4">
        <v>0</v>
      </c>
      <c r="K170" s="64">
        <v>0</v>
      </c>
      <c r="L170" s="4">
        <v>79.739000000000004</v>
      </c>
      <c r="M170" s="64">
        <v>79.739000000000004</v>
      </c>
      <c r="N170" s="4">
        <v>79.739000000000004</v>
      </c>
      <c r="O170" s="64">
        <v>79.739000000000004</v>
      </c>
      <c r="P170" s="4">
        <v>0</v>
      </c>
      <c r="Q170" s="3" t="s">
        <v>26</v>
      </c>
      <c r="R170" s="3">
        <v>0</v>
      </c>
      <c r="S170" s="3">
        <v>0</v>
      </c>
      <c r="T170" s="3">
        <v>11</v>
      </c>
      <c r="U170" s="3">
        <v>71</v>
      </c>
      <c r="V170" s="64">
        <f>IF(ISERROR(VLOOKUP($S$170,'TAR FIN'!$A$1:$O$92,15,0)),0,VLOOKUP($S$170,'TAR FIN'!$A$1:$O$92,15,0))</f>
        <v>0</v>
      </c>
      <c r="W170" s="64">
        <f>IF(ISERROR(VLOOKUP($T$170,'TAR FIN'!$A$1:$O$92,15,0)),0,VLOOKUP($T$170,'TAR FIN'!$A$1:$O$92,15,0))*(1-0.06)</f>
        <v>1086.1794</v>
      </c>
      <c r="X170" s="64">
        <f>IF(ISERROR(VLOOKUP($U$170,'TAR FIN'!$A$1:$O$92,15,0)),0,VLOOKUP($U$170,'TAR FIN'!$A$1:$O$92,15,0))*(1-0.06)</f>
        <v>407.74379999999996</v>
      </c>
      <c r="Y170" s="64"/>
      <c r="Z170" s="64">
        <f ca="1">('TUSD BE'!$AM$11+'TUSD BF'!$AM$11+'TUSD CVA'!$AM$11)*1*(1-0.03)</f>
        <v>1448.9683289643417</v>
      </c>
      <c r="AA170" s="64">
        <f>('TE BE'!$AB$5+'TE BF'!$AB$5+'TE CVA'!$AB$5)*1*(1-0.03)</f>
        <v>526.5588226383453</v>
      </c>
      <c r="AB170" s="64">
        <f>(SUBSIDIO!$J$170*SUBSIDIO!$V$170)*(0.06)/(1-0.06)</f>
        <v>0</v>
      </c>
      <c r="AC170" s="64">
        <f>((SUBSIDIO!$L$170*SUBSIDIO!$W$170)+(SUBSIDIO!$N$170*SUBSIDIO!$X$170))*(0.06)/(1-0.06)</f>
        <v>7603.6558752000001</v>
      </c>
      <c r="AD170" s="64">
        <f>(SUBSIDIO!$J$170*SUBSIDIO!$Y$170)*(0.03)/(1-0.03)</f>
        <v>0</v>
      </c>
      <c r="AE170" s="64">
        <f ca="1">((SUBSIDIO!$L$170*SUBSIDIO!$Z$170)+(SUBSIDIO!$N$170*SUBSIDIO!$AA$170))*(0.03)/(1-0.03)</f>
        <v>4871.9554497416502</v>
      </c>
      <c r="AF170" s="3" t="s">
        <v>751</v>
      </c>
    </row>
    <row r="171" spans="1:32" ht="11.25" customHeight="1" x14ac:dyDescent="0.25">
      <c r="A171" s="3" t="s">
        <v>21</v>
      </c>
      <c r="B171" s="3" t="s">
        <v>39</v>
      </c>
      <c r="C171" s="3" t="s">
        <v>41</v>
      </c>
      <c r="D171" s="3" t="s">
        <v>49</v>
      </c>
      <c r="E171" s="3" t="s">
        <v>50</v>
      </c>
      <c r="F171" s="3" t="s">
        <v>25</v>
      </c>
      <c r="G171" s="3" t="s">
        <v>25</v>
      </c>
      <c r="H171" s="3" t="s">
        <v>34</v>
      </c>
      <c r="I171" s="6">
        <v>44652</v>
      </c>
      <c r="J171" s="4">
        <v>0</v>
      </c>
      <c r="K171" s="64">
        <v>0</v>
      </c>
      <c r="L171" s="4">
        <v>79.739000000000004</v>
      </c>
      <c r="M171" s="64">
        <v>79.739000000000004</v>
      </c>
      <c r="N171" s="4">
        <v>79.739000000000004</v>
      </c>
      <c r="O171" s="64">
        <v>79.739000000000004</v>
      </c>
      <c r="P171" s="4">
        <v>0</v>
      </c>
      <c r="Q171" s="3" t="s">
        <v>26</v>
      </c>
      <c r="R171" s="3">
        <v>0</v>
      </c>
      <c r="S171" s="3">
        <v>0</v>
      </c>
      <c r="T171" s="3">
        <v>11</v>
      </c>
      <c r="U171" s="3">
        <v>71</v>
      </c>
      <c r="V171" s="64">
        <f>IF(ISERROR(VLOOKUP($S$171,'TAR FIN'!$A$1:$O$92,15,0)),0,VLOOKUP($S$171,'TAR FIN'!$A$1:$O$92,15,0))</f>
        <v>0</v>
      </c>
      <c r="W171" s="64">
        <f>IF(ISERROR(VLOOKUP($T$171,'TAR FIN'!$A$1:$O$92,15,0)),0,VLOOKUP($T$171,'TAR FIN'!$A$1:$O$92,15,0))*(1-0.06)</f>
        <v>1086.1794</v>
      </c>
      <c r="X171" s="64">
        <f>IF(ISERROR(VLOOKUP($U$171,'TAR FIN'!$A$1:$O$92,15,0)),0,VLOOKUP($U$171,'TAR FIN'!$A$1:$O$92,15,0))*(1-0.06)</f>
        <v>407.74379999999996</v>
      </c>
      <c r="Y171" s="64"/>
      <c r="Z171" s="64">
        <f ca="1">('TUSD BE'!$AM$11+'TUSD BF'!$AM$11+'TUSD CVA'!$AM$11)*1*(1-0.03)</f>
        <v>1448.9683289643417</v>
      </c>
      <c r="AA171" s="64">
        <f>('TE BE'!$AB$5+'TE BF'!$AB$5+'TE CVA'!$AB$5)*1*(1-0.03)</f>
        <v>526.5588226383453</v>
      </c>
      <c r="AB171" s="64">
        <f>(SUBSIDIO!$J$171*SUBSIDIO!$V$171)*(0.06)/(1-0.06)</f>
        <v>0</v>
      </c>
      <c r="AC171" s="64">
        <f>((SUBSIDIO!$L$171*SUBSIDIO!$W$171)+(SUBSIDIO!$N$171*SUBSIDIO!$X$171))*(0.06)/(1-0.06)</f>
        <v>7603.6558752000001</v>
      </c>
      <c r="AD171" s="64">
        <f>(SUBSIDIO!$J$171*SUBSIDIO!$Y$171)*(0.03)/(1-0.03)</f>
        <v>0</v>
      </c>
      <c r="AE171" s="64">
        <f ca="1">((SUBSIDIO!$L$171*SUBSIDIO!$Z$171)+(SUBSIDIO!$N$171*SUBSIDIO!$AA$171))*(0.03)/(1-0.03)</f>
        <v>4871.9554497416502</v>
      </c>
      <c r="AF171" s="3" t="s">
        <v>751</v>
      </c>
    </row>
    <row r="172" spans="1:32" ht="11.25" customHeight="1" x14ac:dyDescent="0.25">
      <c r="A172" s="3" t="s">
        <v>21</v>
      </c>
      <c r="B172" s="3" t="s">
        <v>39</v>
      </c>
      <c r="C172" s="3" t="s">
        <v>41</v>
      </c>
      <c r="D172" s="3" t="s">
        <v>49</v>
      </c>
      <c r="E172" s="3" t="s">
        <v>50</v>
      </c>
      <c r="F172" s="3" t="s">
        <v>25</v>
      </c>
      <c r="G172" s="3" t="s">
        <v>25</v>
      </c>
      <c r="H172" s="3" t="s">
        <v>34</v>
      </c>
      <c r="I172" s="6">
        <v>44682</v>
      </c>
      <c r="J172" s="4">
        <v>0</v>
      </c>
      <c r="K172" s="64">
        <v>0</v>
      </c>
      <c r="L172" s="4">
        <v>79.894999999999996</v>
      </c>
      <c r="M172" s="64">
        <v>79.894999999999996</v>
      </c>
      <c r="N172" s="4">
        <v>79.894999999999996</v>
      </c>
      <c r="O172" s="64">
        <v>79.894999999999996</v>
      </c>
      <c r="P172" s="4">
        <v>0</v>
      </c>
      <c r="Q172" s="3" t="s">
        <v>26</v>
      </c>
      <c r="R172" s="3">
        <v>0</v>
      </c>
      <c r="S172" s="3">
        <v>0</v>
      </c>
      <c r="T172" s="3">
        <v>11</v>
      </c>
      <c r="U172" s="3">
        <v>71</v>
      </c>
      <c r="V172" s="64">
        <f>IF(ISERROR(VLOOKUP($S$172,'TAR FIN'!$A$1:$O$92,15,0)),0,VLOOKUP($S$172,'TAR FIN'!$A$1:$O$92,15,0))</f>
        <v>0</v>
      </c>
      <c r="W172" s="64">
        <f>IF(ISERROR(VLOOKUP($T$172,'TAR FIN'!$A$1:$O$92,15,0)),0,VLOOKUP($T$172,'TAR FIN'!$A$1:$O$92,15,0))*(1-0.06)</f>
        <v>1086.1794</v>
      </c>
      <c r="X172" s="64">
        <f>IF(ISERROR(VLOOKUP($U$172,'TAR FIN'!$A$1:$O$92,15,0)),0,VLOOKUP($U$172,'TAR FIN'!$A$1:$O$92,15,0))*(1-0.06)</f>
        <v>407.74379999999996</v>
      </c>
      <c r="Y172" s="64"/>
      <c r="Z172" s="64">
        <f ca="1">('TUSD BE'!$AM$11+'TUSD BF'!$AM$11+'TUSD CVA'!$AM$11)*1*(1-0.03)</f>
        <v>1448.9683289643417</v>
      </c>
      <c r="AA172" s="64">
        <f>('TE BE'!$AB$5+'TE BF'!$AB$5+'TE CVA'!$AB$5)*1*(1-0.03)</f>
        <v>526.5588226383453</v>
      </c>
      <c r="AB172" s="64">
        <f>(SUBSIDIO!$J$172*SUBSIDIO!$V$172)*(0.06)/(1-0.06)</f>
        <v>0</v>
      </c>
      <c r="AC172" s="64">
        <f>((SUBSIDIO!$L$172*SUBSIDIO!$W$172)+(SUBSIDIO!$N$172*SUBSIDIO!$X$172))*(0.06)/(1-0.06)</f>
        <v>7618.5315359999986</v>
      </c>
      <c r="AD172" s="64">
        <f>(SUBSIDIO!$J$172*SUBSIDIO!$Y$172)*(0.03)/(1-0.03)</f>
        <v>0</v>
      </c>
      <c r="AE172" s="64">
        <f ca="1">((SUBSIDIO!$L$172*SUBSIDIO!$Z$172)+(SUBSIDIO!$N$172*SUBSIDIO!$AA$172))*(0.03)/(1-0.03)</f>
        <v>4881.4868590916503</v>
      </c>
      <c r="AF172" s="3" t="s">
        <v>751</v>
      </c>
    </row>
    <row r="173" spans="1:32" ht="11.25" customHeight="1" x14ac:dyDescent="0.25">
      <c r="A173" s="3" t="s">
        <v>21</v>
      </c>
      <c r="B173" s="3" t="s">
        <v>39</v>
      </c>
      <c r="C173" s="3" t="s">
        <v>41</v>
      </c>
      <c r="D173" s="3" t="s">
        <v>49</v>
      </c>
      <c r="E173" s="3" t="s">
        <v>50</v>
      </c>
      <c r="F173" s="3" t="s">
        <v>25</v>
      </c>
      <c r="G173" s="3" t="s">
        <v>25</v>
      </c>
      <c r="H173" s="3" t="s">
        <v>34</v>
      </c>
      <c r="I173" s="6">
        <v>44713</v>
      </c>
      <c r="J173" s="4">
        <v>0</v>
      </c>
      <c r="K173" s="64">
        <v>0</v>
      </c>
      <c r="L173" s="4">
        <v>74.900999999999996</v>
      </c>
      <c r="M173" s="64">
        <v>74.900999999999996</v>
      </c>
      <c r="N173" s="4">
        <v>74.900999999999996</v>
      </c>
      <c r="O173" s="64">
        <v>74.900999999999996</v>
      </c>
      <c r="P173" s="4">
        <v>0</v>
      </c>
      <c r="Q173" s="3" t="s">
        <v>26</v>
      </c>
      <c r="R173" s="3">
        <v>0</v>
      </c>
      <c r="S173" s="3">
        <v>0</v>
      </c>
      <c r="T173" s="3">
        <v>11</v>
      </c>
      <c r="U173" s="3">
        <v>71</v>
      </c>
      <c r="V173" s="64">
        <f>IF(ISERROR(VLOOKUP($S$173,'TAR FIN'!$A$1:$O$92,15,0)),0,VLOOKUP($S$173,'TAR FIN'!$A$1:$O$92,15,0))</f>
        <v>0</v>
      </c>
      <c r="W173" s="64">
        <f>IF(ISERROR(VLOOKUP($T$173,'TAR FIN'!$A$1:$O$92,15,0)),0,VLOOKUP($T$173,'TAR FIN'!$A$1:$O$92,15,0))*(1-0.06)</f>
        <v>1086.1794</v>
      </c>
      <c r="X173" s="64">
        <f>IF(ISERROR(VLOOKUP($U$173,'TAR FIN'!$A$1:$O$92,15,0)),0,VLOOKUP($U$173,'TAR FIN'!$A$1:$O$92,15,0))*(1-0.06)</f>
        <v>407.74379999999996</v>
      </c>
      <c r="Y173" s="64"/>
      <c r="Z173" s="64">
        <f ca="1">('TUSD BE'!$AM$11+'TUSD BF'!$AM$11+'TUSD CVA'!$AM$11)*1*(1-0.03)</f>
        <v>1448.9683289643417</v>
      </c>
      <c r="AA173" s="64">
        <f>('TE BE'!$AB$5+'TE BF'!$AB$5+'TE CVA'!$AB$5)*1*(1-0.03)</f>
        <v>526.5588226383453</v>
      </c>
      <c r="AB173" s="64">
        <f>(SUBSIDIO!$J$173*SUBSIDIO!$V$173)*(0.06)/(1-0.06)</f>
        <v>0</v>
      </c>
      <c r="AC173" s="64">
        <f>((SUBSIDIO!$L$173*SUBSIDIO!$W$173)+(SUBSIDIO!$N$173*SUBSIDIO!$X$173))*(0.06)/(1-0.06)</f>
        <v>7142.3196767999998</v>
      </c>
      <c r="AD173" s="64">
        <f>(SUBSIDIO!$J$173*SUBSIDIO!$Y$173)*(0.03)/(1-0.03)</f>
        <v>0</v>
      </c>
      <c r="AE173" s="64">
        <f ca="1">((SUBSIDIO!$L$173*SUBSIDIO!$Z$173)+(SUBSIDIO!$N$173*SUBSIDIO!$AA$173))*(0.03)/(1-0.03)</f>
        <v>4576.3595623358615</v>
      </c>
      <c r="AF173" s="3" t="s">
        <v>751</v>
      </c>
    </row>
    <row r="174" spans="1:32" ht="11.25" customHeight="1" x14ac:dyDescent="0.25">
      <c r="A174" s="3" t="s">
        <v>21</v>
      </c>
      <c r="B174" s="3" t="s">
        <v>39</v>
      </c>
      <c r="C174" s="3" t="s">
        <v>41</v>
      </c>
      <c r="D174" s="3" t="s">
        <v>49</v>
      </c>
      <c r="E174" s="3" t="s">
        <v>50</v>
      </c>
      <c r="F174" s="3" t="s">
        <v>25</v>
      </c>
      <c r="G174" s="3" t="s">
        <v>25</v>
      </c>
      <c r="H174" s="3" t="s">
        <v>34</v>
      </c>
      <c r="I174" s="6">
        <v>44743</v>
      </c>
      <c r="J174" s="4">
        <v>0</v>
      </c>
      <c r="K174" s="64">
        <v>0</v>
      </c>
      <c r="L174" s="4">
        <v>73.212999999999994</v>
      </c>
      <c r="M174" s="64">
        <v>73.212999999999994</v>
      </c>
      <c r="N174" s="4">
        <v>73.212999999999994</v>
      </c>
      <c r="O174" s="64">
        <v>73.212999999999994</v>
      </c>
      <c r="P174" s="4">
        <v>0</v>
      </c>
      <c r="Q174" s="3" t="s">
        <v>26</v>
      </c>
      <c r="R174" s="3">
        <v>0</v>
      </c>
      <c r="S174" s="3">
        <v>0</v>
      </c>
      <c r="T174" s="3">
        <v>11</v>
      </c>
      <c r="U174" s="3">
        <v>71</v>
      </c>
      <c r="V174" s="64">
        <f>IF(ISERROR(VLOOKUP($S$174,'TAR FIN'!$A$1:$O$92,15,0)),0,VLOOKUP($S$174,'TAR FIN'!$A$1:$O$92,15,0))</f>
        <v>0</v>
      </c>
      <c r="W174" s="64">
        <f>IF(ISERROR(VLOOKUP($T$174,'TAR FIN'!$A$1:$O$92,15,0)),0,VLOOKUP($T$174,'TAR FIN'!$A$1:$O$92,15,0))*(1-0.06)</f>
        <v>1086.1794</v>
      </c>
      <c r="X174" s="64">
        <f>IF(ISERROR(VLOOKUP($U$174,'TAR FIN'!$A$1:$O$92,15,0)),0,VLOOKUP($U$174,'TAR FIN'!$A$1:$O$92,15,0))*(1-0.06)</f>
        <v>407.74379999999996</v>
      </c>
      <c r="Y174" s="64"/>
      <c r="Z174" s="64">
        <f ca="1">('TUSD BE'!$AM$11+'TUSD BF'!$AM$11+'TUSD CVA'!$AM$11)*1*(1-0.03)</f>
        <v>1448.9683289643417</v>
      </c>
      <c r="AA174" s="64">
        <f>('TE BE'!$AB$5+'TE BF'!$AB$5+'TE CVA'!$AB$5)*1*(1-0.03)</f>
        <v>526.5588226383453</v>
      </c>
      <c r="AB174" s="64">
        <f>(SUBSIDIO!$J$174*SUBSIDIO!$V$174)*(0.06)/(1-0.06)</f>
        <v>0</v>
      </c>
      <c r="AC174" s="64">
        <f>((SUBSIDIO!$L$174*SUBSIDIO!$W$174)+(SUBSIDIO!$N$174*SUBSIDIO!$X$174))*(0.06)/(1-0.06)</f>
        <v>6981.3573983999995</v>
      </c>
      <c r="AD174" s="64">
        <f>(SUBSIDIO!$J$174*SUBSIDIO!$Y$174)*(0.03)/(1-0.03)</f>
        <v>0</v>
      </c>
      <c r="AE174" s="64">
        <f ca="1">((SUBSIDIO!$L$174*SUBSIDIO!$Z$174)+(SUBSIDIO!$N$174*SUBSIDIO!$AA$174))*(0.03)/(1-0.03)</f>
        <v>4473.2248252666241</v>
      </c>
      <c r="AF174" s="3" t="s">
        <v>751</v>
      </c>
    </row>
    <row r="175" spans="1:32" ht="11.25" customHeight="1" x14ac:dyDescent="0.25">
      <c r="A175" s="3" t="s">
        <v>21</v>
      </c>
      <c r="B175" s="3" t="s">
        <v>39</v>
      </c>
      <c r="C175" s="3" t="s">
        <v>41</v>
      </c>
      <c r="D175" s="3" t="s">
        <v>49</v>
      </c>
      <c r="E175" s="3" t="s">
        <v>50</v>
      </c>
      <c r="F175" s="3" t="s">
        <v>25</v>
      </c>
      <c r="G175" s="3" t="s">
        <v>25</v>
      </c>
      <c r="H175" s="3" t="s">
        <v>34</v>
      </c>
      <c r="I175" s="6">
        <v>44774</v>
      </c>
      <c r="J175" s="4">
        <v>0</v>
      </c>
      <c r="K175" s="64">
        <v>0</v>
      </c>
      <c r="L175" s="4">
        <v>78.441999999999993</v>
      </c>
      <c r="M175" s="64">
        <v>78.441999999999993</v>
      </c>
      <c r="N175" s="4">
        <v>78.441999999999993</v>
      </c>
      <c r="O175" s="64">
        <v>78.441999999999993</v>
      </c>
      <c r="P175" s="4">
        <v>0</v>
      </c>
      <c r="Q175" s="3" t="s">
        <v>26</v>
      </c>
      <c r="R175" s="3">
        <v>0</v>
      </c>
      <c r="S175" s="3">
        <v>0</v>
      </c>
      <c r="T175" s="3">
        <v>11</v>
      </c>
      <c r="U175" s="3">
        <v>71</v>
      </c>
      <c r="V175" s="64">
        <f>IF(ISERROR(VLOOKUP($S$175,'TAR FIN'!$A$1:$O$92,15,0)),0,VLOOKUP($S$175,'TAR FIN'!$A$1:$O$92,15,0))</f>
        <v>0</v>
      </c>
      <c r="W175" s="64">
        <f>IF(ISERROR(VLOOKUP($T$175,'TAR FIN'!$A$1:$O$92,15,0)),0,VLOOKUP($T$175,'TAR FIN'!$A$1:$O$92,15,0))*(1-0.06)</f>
        <v>1086.1794</v>
      </c>
      <c r="X175" s="64">
        <f>IF(ISERROR(VLOOKUP($U$175,'TAR FIN'!$A$1:$O$92,15,0)),0,VLOOKUP($U$175,'TAR FIN'!$A$1:$O$92,15,0))*(1-0.06)</f>
        <v>407.74379999999996</v>
      </c>
      <c r="Y175" s="64"/>
      <c r="Z175" s="64">
        <f ca="1">('TUSD BE'!$AM$11+'TUSD BF'!$AM$11+'TUSD CVA'!$AM$11)*1*(1-0.03)</f>
        <v>1448.9683289643417</v>
      </c>
      <c r="AA175" s="64">
        <f>('TE BE'!$AB$5+'TE BF'!$AB$5+'TE CVA'!$AB$5)*1*(1-0.03)</f>
        <v>526.5588226383453</v>
      </c>
      <c r="AB175" s="64">
        <f>(SUBSIDIO!$J$175*SUBSIDIO!$V$175)*(0.06)/(1-0.06)</f>
        <v>0</v>
      </c>
      <c r="AC175" s="64">
        <f>((SUBSIDIO!$L$175*SUBSIDIO!$W$175)+(SUBSIDIO!$N$175*SUBSIDIO!$X$175))*(0.06)/(1-0.06)</f>
        <v>7479.9781055999983</v>
      </c>
      <c r="AD175" s="64">
        <f>(SUBSIDIO!$J$175*SUBSIDIO!$Y$175)*(0.03)/(1-0.03)</f>
        <v>0</v>
      </c>
      <c r="AE175" s="64">
        <f ca="1">((SUBSIDIO!$L$175*SUBSIDIO!$Z$175)+(SUBSIDIO!$N$175*SUBSIDIO!$AA$175))*(0.03)/(1-0.03)</f>
        <v>4792.7103348252977</v>
      </c>
      <c r="AF175" s="3" t="s">
        <v>751</v>
      </c>
    </row>
    <row r="176" spans="1:32" ht="11.25" customHeight="1" x14ac:dyDescent="0.25">
      <c r="A176" s="3" t="s">
        <v>21</v>
      </c>
      <c r="B176" s="3" t="s">
        <v>39</v>
      </c>
      <c r="C176" s="3" t="s">
        <v>41</v>
      </c>
      <c r="D176" s="3" t="s">
        <v>49</v>
      </c>
      <c r="E176" s="3" t="s">
        <v>50</v>
      </c>
      <c r="F176" s="3" t="s">
        <v>25</v>
      </c>
      <c r="G176" s="3" t="s">
        <v>25</v>
      </c>
      <c r="H176" s="3" t="s">
        <v>34</v>
      </c>
      <c r="I176" s="6">
        <v>44805</v>
      </c>
      <c r="J176" s="4">
        <v>0</v>
      </c>
      <c r="K176" s="64">
        <v>0</v>
      </c>
      <c r="L176" s="4">
        <v>74.682000000000002</v>
      </c>
      <c r="M176" s="64">
        <v>74.682000000000002</v>
      </c>
      <c r="N176" s="4">
        <v>74.682000000000002</v>
      </c>
      <c r="O176" s="64">
        <v>74.682000000000002</v>
      </c>
      <c r="P176" s="4">
        <v>0</v>
      </c>
      <c r="Q176" s="3" t="s">
        <v>26</v>
      </c>
      <c r="R176" s="3">
        <v>0</v>
      </c>
      <c r="S176" s="3">
        <v>0</v>
      </c>
      <c r="T176" s="3">
        <v>11</v>
      </c>
      <c r="U176" s="3">
        <v>71</v>
      </c>
      <c r="V176" s="64">
        <f>IF(ISERROR(VLOOKUP($S$176,'TAR FIN'!$A$1:$O$92,15,0)),0,VLOOKUP($S$176,'TAR FIN'!$A$1:$O$92,15,0))</f>
        <v>0</v>
      </c>
      <c r="W176" s="64">
        <f>IF(ISERROR(VLOOKUP($T$176,'TAR FIN'!$A$1:$O$92,15,0)),0,VLOOKUP($T$176,'TAR FIN'!$A$1:$O$92,15,0))*(1-0.06)</f>
        <v>1086.1794</v>
      </c>
      <c r="X176" s="64">
        <f>IF(ISERROR(VLOOKUP($U$176,'TAR FIN'!$A$1:$O$92,15,0)),0,VLOOKUP($U$176,'TAR FIN'!$A$1:$O$92,15,0))*(1-0.06)</f>
        <v>407.74379999999996</v>
      </c>
      <c r="Y176" s="64"/>
      <c r="Z176" s="64">
        <f ca="1">('TUSD BE'!$AM$11+'TUSD BF'!$AM$11+'TUSD CVA'!$AM$11)*1*(1-0.03)</f>
        <v>1448.9683289643417</v>
      </c>
      <c r="AA176" s="64">
        <f>('TE BE'!$AB$5+'TE BF'!$AB$5+'TE CVA'!$AB$5)*1*(1-0.03)</f>
        <v>526.5588226383453</v>
      </c>
      <c r="AB176" s="64">
        <f>(SUBSIDIO!$J$176*SUBSIDIO!$V$176)*(0.06)/(1-0.06)</f>
        <v>0</v>
      </c>
      <c r="AC176" s="64">
        <f>((SUBSIDIO!$L$176*SUBSIDIO!$W$176)+(SUBSIDIO!$N$176*SUBSIDIO!$X$176))*(0.06)/(1-0.06)</f>
        <v>7121.4365376000005</v>
      </c>
      <c r="AD176" s="64">
        <f>(SUBSIDIO!$J$176*SUBSIDIO!$Y$176)*(0.03)/(1-0.03)</f>
        <v>0</v>
      </c>
      <c r="AE176" s="64">
        <f ca="1">((SUBSIDIO!$L$176*SUBSIDIO!$Z$176)+(SUBSIDIO!$N$176*SUBSIDIO!$AA$176))*(0.03)/(1-0.03)</f>
        <v>4562.97892997913</v>
      </c>
      <c r="AF176" s="3" t="s">
        <v>751</v>
      </c>
    </row>
    <row r="177" spans="1:32" ht="11.25" customHeight="1" x14ac:dyDescent="0.25">
      <c r="A177" s="3" t="s">
        <v>55</v>
      </c>
      <c r="B177" s="3" t="s">
        <v>39</v>
      </c>
      <c r="C177" s="3" t="s">
        <v>41</v>
      </c>
      <c r="D177" s="3" t="s">
        <v>49</v>
      </c>
      <c r="E177" s="3" t="s">
        <v>50</v>
      </c>
      <c r="F177" s="3" t="s">
        <v>25</v>
      </c>
      <c r="G177" s="3" t="s">
        <v>25</v>
      </c>
      <c r="H177" s="3" t="s">
        <v>34</v>
      </c>
      <c r="I177" s="6">
        <v>44835</v>
      </c>
      <c r="J177" s="4">
        <v>0</v>
      </c>
      <c r="K177" s="64">
        <v>0</v>
      </c>
      <c r="L177" s="4">
        <v>74.682000000000002</v>
      </c>
      <c r="M177" s="64">
        <v>74.682000000000002</v>
      </c>
      <c r="N177" s="4">
        <v>74.682000000000002</v>
      </c>
      <c r="O177" s="64">
        <v>74.682000000000002</v>
      </c>
      <c r="P177" s="4">
        <v>0</v>
      </c>
      <c r="Q177" s="3" t="s">
        <v>26</v>
      </c>
      <c r="R177" s="3">
        <v>0</v>
      </c>
      <c r="S177" s="3">
        <v>0</v>
      </c>
      <c r="T177" s="3">
        <v>11</v>
      </c>
      <c r="U177" s="3">
        <v>71</v>
      </c>
      <c r="V177" s="64">
        <f>IF(ISERROR(VLOOKUP($S$177,'TAR FIN'!$A$1:$O$92,15,0)),0,VLOOKUP($S$177,'TAR FIN'!$A$1:$O$92,15,0))</f>
        <v>0</v>
      </c>
      <c r="W177" s="64">
        <f>IF(ISERROR(VLOOKUP($T$177,'TAR FIN'!$A$1:$O$92,15,0)),0,VLOOKUP($T$177,'TAR FIN'!$A$1:$O$92,15,0))*(1-0.06)</f>
        <v>1086.1794</v>
      </c>
      <c r="X177" s="64">
        <f>IF(ISERROR(VLOOKUP($U$177,'TAR FIN'!$A$1:$O$92,15,0)),0,VLOOKUP($U$177,'TAR FIN'!$A$1:$O$92,15,0))*(1-0.06)</f>
        <v>407.74379999999996</v>
      </c>
      <c r="Y177" s="64"/>
      <c r="Z177" s="64">
        <f ca="1">('TUSD BE'!$AM$11+'TUSD BF'!$AM$11+'TUSD CVA'!$AM$11)*1*(1-0.03)</f>
        <v>1448.9683289643417</v>
      </c>
      <c r="AA177" s="64">
        <f>('TE BE'!$AB$5+'TE BF'!$AB$5+'TE CVA'!$AB$5)*1*(1-0.03)</f>
        <v>526.5588226383453</v>
      </c>
      <c r="AB177" s="64">
        <f>(SUBSIDIO!$J$177*SUBSIDIO!$V$177)*(0.06)/(1-0.06)</f>
        <v>0</v>
      </c>
      <c r="AC177" s="64">
        <f>((SUBSIDIO!$L$177*SUBSIDIO!$W$177)+(SUBSIDIO!$N$177*SUBSIDIO!$X$177))*(0.06)/(1-0.06)</f>
        <v>7121.4365376000005</v>
      </c>
      <c r="AD177" s="64">
        <f>(SUBSIDIO!$J$177*SUBSIDIO!$Y$177)*(0.03)/(1-0.03)</f>
        <v>0</v>
      </c>
      <c r="AE177" s="64">
        <f ca="1">((SUBSIDIO!$L$177*SUBSIDIO!$Z$177)+(SUBSIDIO!$N$177*SUBSIDIO!$AA$177))*(0.03)/(1-0.03)</f>
        <v>4562.97892997913</v>
      </c>
      <c r="AF177" s="3" t="s">
        <v>751</v>
      </c>
    </row>
    <row r="178" spans="1:32" ht="11.25" customHeight="1" x14ac:dyDescent="0.25">
      <c r="A178" s="3" t="s">
        <v>21</v>
      </c>
      <c r="B178" s="3" t="s">
        <v>22</v>
      </c>
      <c r="C178" s="3" t="s">
        <v>23</v>
      </c>
      <c r="D178" s="3" t="s">
        <v>24</v>
      </c>
      <c r="E178" s="3" t="s">
        <v>24</v>
      </c>
      <c r="F178" s="3" t="s">
        <v>25</v>
      </c>
      <c r="G178" s="3" t="s">
        <v>25</v>
      </c>
      <c r="H178" s="3" t="s">
        <v>25</v>
      </c>
      <c r="I178" s="6">
        <v>44501</v>
      </c>
      <c r="J178" s="4">
        <v>0</v>
      </c>
      <c r="K178" s="4">
        <v>0</v>
      </c>
      <c r="L178" s="4">
        <v>49041.118999999999</v>
      </c>
      <c r="M178" s="4">
        <v>49041.118999999999</v>
      </c>
      <c r="N178" s="4">
        <v>49041.118999999999</v>
      </c>
      <c r="O178" s="4">
        <v>49041.118999999999</v>
      </c>
      <c r="P178" s="4">
        <v>124757</v>
      </c>
      <c r="Q178" s="3" t="s">
        <v>26</v>
      </c>
      <c r="R178" s="3">
        <v>0</v>
      </c>
      <c r="S178" s="3">
        <v>0</v>
      </c>
      <c r="T178" s="3">
        <v>24</v>
      </c>
      <c r="U178" s="3">
        <v>40</v>
      </c>
      <c r="V178" s="4">
        <f>IF(ISERROR(VLOOKUP($S$178,'TAR FIN'!$A$1:$O$92,15,0)),0,VLOOKUP($S$178,'TAR FIN'!$A$1:$O$92,15,0))</f>
        <v>0</v>
      </c>
      <c r="W178" s="4">
        <f>IF(ISERROR(VLOOKUP($T$178,'TAR FIN'!$A$1:$O$92,15,0)),0,VLOOKUP($T$178,'TAR FIN'!$A$1:$O$92,15,0))</f>
        <v>311.27999999999997</v>
      </c>
      <c r="X178" s="4">
        <f>IF(ISERROR(VLOOKUP($U$178,'TAR FIN'!$A$1:$O$92,15,0)),0,VLOOKUP($U$178,'TAR FIN'!$A$1:$O$92,15,0))</f>
        <v>268.89</v>
      </c>
      <c r="Y178" s="4"/>
      <c r="Z178" s="4">
        <f ca="1">('TUSD BE'!$AM$20+'TUSD BF'!$AM$20+'TUSD CVA'!$AM$20)*1</f>
        <v>398.95397789704208</v>
      </c>
      <c r="AA178" s="4">
        <f>('TE BE'!$AB$11+'TE BF'!$AB$11+'TE CVA'!$AB$11)*1</f>
        <v>336.17550926835082</v>
      </c>
      <c r="AB178" s="4">
        <f t="shared" ref="AB178:AB193" si="8">(J178-K178)*V178</f>
        <v>0</v>
      </c>
      <c r="AC178" s="4">
        <f t="shared" ref="AC178" si="9">(L178-M178)*W178+(N178-O178)*X178</f>
        <v>0</v>
      </c>
      <c r="AD178" s="4">
        <f t="shared" ref="AD178:AD193" si="10">(J178-K178)*Y178</f>
        <v>0</v>
      </c>
      <c r="AE178" s="4">
        <f t="shared" ref="AE178" ca="1" si="11">(L178-M178)*Z178+(N178-O178)*AA178</f>
        <v>0</v>
      </c>
    </row>
    <row r="179" spans="1:32" ht="11.25" customHeight="1" x14ac:dyDescent="0.25">
      <c r="A179" s="3" t="s">
        <v>21</v>
      </c>
      <c r="B179" s="3" t="s">
        <v>22</v>
      </c>
      <c r="C179" s="3" t="s">
        <v>23</v>
      </c>
      <c r="D179" s="3" t="s">
        <v>24</v>
      </c>
      <c r="E179" s="3" t="s">
        <v>29</v>
      </c>
      <c r="F179" s="3" t="s">
        <v>25</v>
      </c>
      <c r="G179" s="3" t="s">
        <v>25</v>
      </c>
      <c r="H179" s="3" t="s">
        <v>25</v>
      </c>
      <c r="I179" s="6">
        <v>44501</v>
      </c>
      <c r="J179" s="4">
        <v>0</v>
      </c>
      <c r="K179" s="4">
        <v>0</v>
      </c>
      <c r="L179" s="4">
        <v>824.10400000000004</v>
      </c>
      <c r="M179" s="4">
        <v>824.10400000000004</v>
      </c>
      <c r="N179" s="4">
        <v>824.10400000000004</v>
      </c>
      <c r="O179" s="4">
        <v>824.10400000000004</v>
      </c>
      <c r="P179" s="4">
        <v>992</v>
      </c>
      <c r="Q179" s="3" t="s">
        <v>26</v>
      </c>
      <c r="R179" s="3">
        <v>0</v>
      </c>
      <c r="S179" s="3">
        <v>0</v>
      </c>
      <c r="T179" s="3">
        <v>17</v>
      </c>
      <c r="U179" s="3">
        <v>60</v>
      </c>
      <c r="V179" s="4">
        <f>IF(ISERROR(VLOOKUP($S$179,'TAR FIN'!$A$1:$O$92,15,0)),0,VLOOKUP($S$179,'TAR FIN'!$A$1:$O$92,15,0))</f>
        <v>0</v>
      </c>
      <c r="W179" s="4">
        <f>IF(ISERROR(VLOOKUP($T$179,'TAR FIN'!$A$1:$O$92,15,0)),0,VLOOKUP($T$179,'TAR FIN'!$A$1:$O$92,15,0))</f>
        <v>94.27</v>
      </c>
      <c r="X179" s="4">
        <f>IF(ISERROR(VLOOKUP($U$179,'TAR FIN'!$A$1:$O$92,15,0)),0,VLOOKUP($U$179,'TAR FIN'!$A$1:$O$92,15,0))</f>
        <v>94.11</v>
      </c>
      <c r="Y179" s="4"/>
      <c r="Z179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79" s="4">
        <f>('TE BE'!$AB$12+'TE BF'!$AB$12+'TE CVA'!$AB$12)*(1-CUSTOS!$M$34)</f>
        <v>117.66142824392278</v>
      </c>
      <c r="AB179" s="4">
        <f t="shared" si="8"/>
        <v>0</v>
      </c>
      <c r="AC179" s="4">
        <f>(L179-M179)*(W179+X179)+($W$252+$X$252-$W$179-$X$179)*(L179)</f>
        <v>288312.78440000006</v>
      </c>
      <c r="AD179" s="4">
        <f t="shared" si="10"/>
        <v>0</v>
      </c>
      <c r="AE179" s="4">
        <f ca="1">(L179-M179)*(Z179+AA179)+($Z$252+$AA$252-$Z$179-$AA$179)*(L179)</f>
        <v>362123.3896103162</v>
      </c>
      <c r="AF179" s="3" t="s">
        <v>754</v>
      </c>
    </row>
    <row r="180" spans="1:32" ht="11.25" customHeight="1" x14ac:dyDescent="0.25">
      <c r="A180" s="3" t="s">
        <v>27</v>
      </c>
      <c r="B180" s="3" t="s">
        <v>22</v>
      </c>
      <c r="C180" s="3" t="s">
        <v>23</v>
      </c>
      <c r="D180" s="3" t="s">
        <v>24</v>
      </c>
      <c r="E180" s="3" t="s">
        <v>29</v>
      </c>
      <c r="F180" s="3" t="s">
        <v>25</v>
      </c>
      <c r="G180" s="3" t="s">
        <v>25</v>
      </c>
      <c r="H180" s="3" t="s">
        <v>25</v>
      </c>
      <c r="I180" s="6">
        <v>44501</v>
      </c>
      <c r="J180" s="4">
        <v>0</v>
      </c>
      <c r="K180" s="4">
        <v>0</v>
      </c>
      <c r="L180" s="4">
        <v>-0.87</v>
      </c>
      <c r="M180" s="4">
        <v>-0.87</v>
      </c>
      <c r="N180" s="4">
        <v>-0.87</v>
      </c>
      <c r="O180" s="4">
        <v>-0.87</v>
      </c>
      <c r="P180" s="4">
        <v>2</v>
      </c>
      <c r="Q180" s="3" t="s">
        <v>26</v>
      </c>
      <c r="R180" s="3">
        <v>0</v>
      </c>
      <c r="S180" s="3">
        <v>0</v>
      </c>
      <c r="T180" s="3">
        <v>17</v>
      </c>
      <c r="U180" s="3">
        <v>60</v>
      </c>
      <c r="V180" s="4">
        <f>IF(ISERROR(VLOOKUP($S$180,'TAR FIN'!$A$1:$O$92,15,0)),0,VLOOKUP($S$180,'TAR FIN'!$A$1:$O$92,15,0))</f>
        <v>0</v>
      </c>
      <c r="W180" s="4">
        <f>IF(ISERROR(VLOOKUP($T$180,'TAR FIN'!$A$1:$O$92,15,0)),0,VLOOKUP($T$180,'TAR FIN'!$A$1:$O$92,15,0))</f>
        <v>94.27</v>
      </c>
      <c r="X180" s="4">
        <f>IF(ISERROR(VLOOKUP($U$180,'TAR FIN'!$A$1:$O$92,15,0)),0,VLOOKUP($U$180,'TAR FIN'!$A$1:$O$92,15,0))</f>
        <v>94.11</v>
      </c>
      <c r="Y180" s="4"/>
      <c r="Z180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0" s="4">
        <f>('TE BE'!$AB$12+'TE BF'!$AB$12+'TE CVA'!$AB$12)*(1-CUSTOS!$M$34)</f>
        <v>117.66142824392278</v>
      </c>
      <c r="AB180" s="4">
        <f t="shared" si="8"/>
        <v>0</v>
      </c>
      <c r="AC180" s="4">
        <f>(L180-M180)*(W180+X180)+($W$252+$X$252-$W$180-$X$180)*(L180)</f>
        <v>-304.36950000000002</v>
      </c>
      <c r="AD180" s="4">
        <f t="shared" si="10"/>
        <v>0</v>
      </c>
      <c r="AE180" s="4">
        <f ca="1">(L180-M180)*(Z180+AA180)+($Z$252+$AA$252-$Z$180-$AA$180)*(L180)</f>
        <v>-382.29076543855518</v>
      </c>
      <c r="AF180" s="3" t="s">
        <v>754</v>
      </c>
    </row>
    <row r="181" spans="1:32" ht="11.25" customHeight="1" x14ac:dyDescent="0.25">
      <c r="A181" s="3" t="s">
        <v>21</v>
      </c>
      <c r="B181" s="3" t="s">
        <v>22</v>
      </c>
      <c r="C181" s="3" t="s">
        <v>23</v>
      </c>
      <c r="D181" s="3" t="s">
        <v>24</v>
      </c>
      <c r="E181" s="3" t="s">
        <v>29</v>
      </c>
      <c r="F181" s="3" t="s">
        <v>25</v>
      </c>
      <c r="G181" s="3" t="s">
        <v>25</v>
      </c>
      <c r="H181" s="3" t="s">
        <v>25</v>
      </c>
      <c r="I181" s="6">
        <v>44531</v>
      </c>
      <c r="J181" s="4">
        <v>0</v>
      </c>
      <c r="K181" s="4">
        <v>0</v>
      </c>
      <c r="L181" s="4">
        <v>827.75900000000001</v>
      </c>
      <c r="M181" s="4">
        <v>827.75900000000001</v>
      </c>
      <c r="N181" s="4">
        <v>827.75900000000001</v>
      </c>
      <c r="O181" s="4">
        <v>827.75900000000001</v>
      </c>
      <c r="P181" s="4">
        <v>1015</v>
      </c>
      <c r="Q181" s="3" t="s">
        <v>26</v>
      </c>
      <c r="R181" s="3">
        <v>0</v>
      </c>
      <c r="S181" s="3">
        <v>0</v>
      </c>
      <c r="T181" s="3">
        <v>17</v>
      </c>
      <c r="U181" s="3">
        <v>60</v>
      </c>
      <c r="V181" s="4">
        <f>IF(ISERROR(VLOOKUP($S$181,'TAR FIN'!$A$1:$O$92,15,0)),0,VLOOKUP($S$181,'TAR FIN'!$A$1:$O$92,15,0))</f>
        <v>0</v>
      </c>
      <c r="W181" s="4">
        <f>IF(ISERROR(VLOOKUP($T$181,'TAR FIN'!$A$1:$O$92,15,0)),0,VLOOKUP($T$181,'TAR FIN'!$A$1:$O$92,15,0))</f>
        <v>94.27</v>
      </c>
      <c r="X181" s="4">
        <f>IF(ISERROR(VLOOKUP($U$181,'TAR FIN'!$A$1:$O$92,15,0)),0,VLOOKUP($U$181,'TAR FIN'!$A$1:$O$92,15,0))</f>
        <v>94.11</v>
      </c>
      <c r="Y181" s="4"/>
      <c r="Z181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1" s="4">
        <f>('TE BE'!$AB$12+'TE BF'!$AB$12+'TE CVA'!$AB$12)*(1-CUSTOS!$M$34)</f>
        <v>117.66142824392278</v>
      </c>
      <c r="AB181" s="4">
        <f t="shared" si="8"/>
        <v>0</v>
      </c>
      <c r="AC181" s="4">
        <f>(L181-M181)*(W181+X181)+($W$252+$X$252-$W$181-$X$181)*(L181)</f>
        <v>289591.48615000001</v>
      </c>
      <c r="AD181" s="4">
        <f t="shared" si="10"/>
        <v>0</v>
      </c>
      <c r="AE181" s="4">
        <f ca="1">(L181-M181)*(Z181+AA181)+($Z$252+$AA$252-$Z$181-$AA$181)*(L181)</f>
        <v>363729.450239831</v>
      </c>
      <c r="AF181" s="3" t="s">
        <v>754</v>
      </c>
    </row>
    <row r="182" spans="1:32" ht="11.25" customHeight="1" x14ac:dyDescent="0.25">
      <c r="A182" s="3" t="s">
        <v>21</v>
      </c>
      <c r="B182" s="3" t="s">
        <v>22</v>
      </c>
      <c r="C182" s="3" t="s">
        <v>23</v>
      </c>
      <c r="D182" s="3" t="s">
        <v>24</v>
      </c>
      <c r="E182" s="3" t="s">
        <v>29</v>
      </c>
      <c r="F182" s="3" t="s">
        <v>25</v>
      </c>
      <c r="G182" s="3" t="s">
        <v>25</v>
      </c>
      <c r="H182" s="3" t="s">
        <v>25</v>
      </c>
      <c r="I182" s="6">
        <v>44562</v>
      </c>
      <c r="J182" s="4">
        <v>0</v>
      </c>
      <c r="K182" s="4">
        <v>0</v>
      </c>
      <c r="L182" s="4">
        <v>837.77499999999998</v>
      </c>
      <c r="M182" s="4">
        <v>837.77499999999998</v>
      </c>
      <c r="N182" s="4">
        <v>837.77499999999998</v>
      </c>
      <c r="O182" s="4">
        <v>837.77499999999998</v>
      </c>
      <c r="P182" s="4">
        <v>1061</v>
      </c>
      <c r="Q182" s="3" t="s">
        <v>26</v>
      </c>
      <c r="R182" s="3">
        <v>0</v>
      </c>
      <c r="S182" s="3">
        <v>0</v>
      </c>
      <c r="T182" s="3">
        <v>17</v>
      </c>
      <c r="U182" s="3">
        <v>60</v>
      </c>
      <c r="V182" s="4">
        <f>IF(ISERROR(VLOOKUP($S$182,'TAR FIN'!$A$1:$O$92,15,0)),0,VLOOKUP($S$182,'TAR FIN'!$A$1:$O$92,15,0))</f>
        <v>0</v>
      </c>
      <c r="W182" s="4">
        <f>IF(ISERROR(VLOOKUP($T$182,'TAR FIN'!$A$1:$O$92,15,0)),0,VLOOKUP($T$182,'TAR FIN'!$A$1:$O$92,15,0))</f>
        <v>94.27</v>
      </c>
      <c r="X182" s="4">
        <f>IF(ISERROR(VLOOKUP($U$182,'TAR FIN'!$A$1:$O$92,15,0)),0,VLOOKUP($U$182,'TAR FIN'!$A$1:$O$92,15,0))</f>
        <v>94.11</v>
      </c>
      <c r="Y182" s="4"/>
      <c r="Z182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2" s="4">
        <f>('TE BE'!$AB$12+'TE BF'!$AB$12+'TE CVA'!$AB$12)*(1-CUSTOS!$M$34)</f>
        <v>117.66142824392278</v>
      </c>
      <c r="AB182" s="4">
        <f t="shared" si="8"/>
        <v>0</v>
      </c>
      <c r="AC182" s="4">
        <f>(L182-M182)*(W182+X182)+($W$252+$X$252-$W$182-$X$182)*(L182)</f>
        <v>293095.58374999999</v>
      </c>
      <c r="AD182" s="4">
        <f t="shared" si="10"/>
        <v>0</v>
      </c>
      <c r="AE182" s="4">
        <f ca="1">(L182-M182)*(Z182+AA182)+($Z$252+$AA$252-$Z$182-$AA$182)*(L182)</f>
        <v>368130.62760377646</v>
      </c>
      <c r="AF182" s="3" t="s">
        <v>754</v>
      </c>
    </row>
    <row r="183" spans="1:32" ht="11.25" customHeight="1" x14ac:dyDescent="0.25">
      <c r="A183" s="3" t="s">
        <v>21</v>
      </c>
      <c r="B183" s="3" t="s">
        <v>22</v>
      </c>
      <c r="C183" s="3" t="s">
        <v>23</v>
      </c>
      <c r="D183" s="3" t="s">
        <v>24</v>
      </c>
      <c r="E183" s="3" t="s">
        <v>29</v>
      </c>
      <c r="F183" s="3" t="s">
        <v>25</v>
      </c>
      <c r="G183" s="3" t="s">
        <v>25</v>
      </c>
      <c r="H183" s="3" t="s">
        <v>25</v>
      </c>
      <c r="I183" s="6">
        <v>44593</v>
      </c>
      <c r="J183" s="4">
        <v>0</v>
      </c>
      <c r="K183" s="4">
        <v>0</v>
      </c>
      <c r="L183" s="4">
        <v>848.42499999999995</v>
      </c>
      <c r="M183" s="4">
        <v>848.42499999999995</v>
      </c>
      <c r="N183" s="4">
        <v>848.42499999999995</v>
      </c>
      <c r="O183" s="4">
        <v>848.42499999999995</v>
      </c>
      <c r="P183" s="4">
        <v>1078</v>
      </c>
      <c r="Q183" s="3" t="s">
        <v>26</v>
      </c>
      <c r="R183" s="3">
        <v>0</v>
      </c>
      <c r="S183" s="3">
        <v>0</v>
      </c>
      <c r="T183" s="3">
        <v>17</v>
      </c>
      <c r="U183" s="3">
        <v>60</v>
      </c>
      <c r="V183" s="4">
        <f>IF(ISERROR(VLOOKUP($S$183,'TAR FIN'!$A$1:$O$92,15,0)),0,VLOOKUP($S$183,'TAR FIN'!$A$1:$O$92,15,0))</f>
        <v>0</v>
      </c>
      <c r="W183" s="4">
        <f>IF(ISERROR(VLOOKUP($T$183,'TAR FIN'!$A$1:$O$92,15,0)),0,VLOOKUP($T$183,'TAR FIN'!$A$1:$O$92,15,0))</f>
        <v>94.27</v>
      </c>
      <c r="X183" s="4">
        <f>IF(ISERROR(VLOOKUP($U$183,'TAR FIN'!$A$1:$O$92,15,0)),0,VLOOKUP($U$183,'TAR FIN'!$A$1:$O$92,15,0))</f>
        <v>94.11</v>
      </c>
      <c r="Y183" s="4"/>
      <c r="Z183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3" s="4">
        <f>('TE BE'!$AB$12+'TE BF'!$AB$12+'TE CVA'!$AB$12)*(1-CUSTOS!$M$34)</f>
        <v>117.66142824392278</v>
      </c>
      <c r="AB183" s="4">
        <f t="shared" si="8"/>
        <v>0</v>
      </c>
      <c r="AC183" s="4">
        <f>(L183-M183)*(W183+X183)+($W$252+$X$252-$W$183-$X$183)*(L183)</f>
        <v>296821.48625000002</v>
      </c>
      <c r="AD183" s="4">
        <f t="shared" si="10"/>
        <v>0</v>
      </c>
      <c r="AE183" s="4">
        <f ca="1">(L183-M183)*(Z183+AA183)+($Z$252+$AA$252-$Z$183-$AA$183)*(L183)</f>
        <v>372810.39387035189</v>
      </c>
      <c r="AF183" s="3" t="s">
        <v>754</v>
      </c>
    </row>
    <row r="184" spans="1:32" ht="11.25" customHeight="1" x14ac:dyDescent="0.25">
      <c r="A184" s="3" t="s">
        <v>27</v>
      </c>
      <c r="B184" s="3" t="s">
        <v>22</v>
      </c>
      <c r="C184" s="3" t="s">
        <v>23</v>
      </c>
      <c r="D184" s="3" t="s">
        <v>24</v>
      </c>
      <c r="E184" s="3" t="s">
        <v>29</v>
      </c>
      <c r="F184" s="3" t="s">
        <v>25</v>
      </c>
      <c r="G184" s="3" t="s">
        <v>25</v>
      </c>
      <c r="H184" s="3" t="s">
        <v>25</v>
      </c>
      <c r="I184" s="6">
        <v>44593</v>
      </c>
      <c r="J184" s="4">
        <v>0</v>
      </c>
      <c r="K184" s="4">
        <v>0</v>
      </c>
      <c r="L184" s="4">
        <v>-0.12</v>
      </c>
      <c r="M184" s="4">
        <v>-0.12</v>
      </c>
      <c r="N184" s="4">
        <v>-0.12</v>
      </c>
      <c r="O184" s="4">
        <v>-0.12</v>
      </c>
      <c r="P184" s="4">
        <v>0</v>
      </c>
      <c r="Q184" s="3" t="s">
        <v>26</v>
      </c>
      <c r="R184" s="3">
        <v>0</v>
      </c>
      <c r="S184" s="3">
        <v>0</v>
      </c>
      <c r="T184" s="3">
        <v>17</v>
      </c>
      <c r="U184" s="3">
        <v>60</v>
      </c>
      <c r="V184" s="4">
        <f>IF(ISERROR(VLOOKUP($S$184,'TAR FIN'!$A$1:$O$92,15,0)),0,VLOOKUP($S$184,'TAR FIN'!$A$1:$O$92,15,0))</f>
        <v>0</v>
      </c>
      <c r="W184" s="4">
        <f>IF(ISERROR(VLOOKUP($T$184,'TAR FIN'!$A$1:$O$92,15,0)),0,VLOOKUP($T$184,'TAR FIN'!$A$1:$O$92,15,0))</f>
        <v>94.27</v>
      </c>
      <c r="X184" s="4">
        <f>IF(ISERROR(VLOOKUP($U$184,'TAR FIN'!$A$1:$O$92,15,0)),0,VLOOKUP($U$184,'TAR FIN'!$A$1:$O$92,15,0))</f>
        <v>94.11</v>
      </c>
      <c r="Y184" s="4"/>
      <c r="Z184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4" s="4">
        <f>('TE BE'!$AB$12+'TE BF'!$AB$12+'TE CVA'!$AB$12)*(1-CUSTOS!$M$34)</f>
        <v>117.66142824392278</v>
      </c>
      <c r="AB184" s="4">
        <f t="shared" si="8"/>
        <v>0</v>
      </c>
      <c r="AC184" s="4">
        <f>(L184-M184)*(W184+X184)+($W$252+$X$252-$W$184-$X$184)*(L184)</f>
        <v>-41.981999999999999</v>
      </c>
      <c r="AD184" s="4">
        <f t="shared" si="10"/>
        <v>0</v>
      </c>
      <c r="AE184" s="4">
        <f ca="1">(L184-M184)*(Z184+AA184)+($Z$252+$AA$252-$Z$184-$AA$184)*(L184)</f>
        <v>-52.729760750145537</v>
      </c>
      <c r="AF184" s="3" t="s">
        <v>754</v>
      </c>
    </row>
    <row r="185" spans="1:32" ht="11.25" customHeight="1" x14ac:dyDescent="0.25">
      <c r="A185" s="3" t="s">
        <v>21</v>
      </c>
      <c r="B185" s="3" t="s">
        <v>22</v>
      </c>
      <c r="C185" s="3" t="s">
        <v>23</v>
      </c>
      <c r="D185" s="3" t="s">
        <v>24</v>
      </c>
      <c r="E185" s="3" t="s">
        <v>29</v>
      </c>
      <c r="F185" s="3" t="s">
        <v>25</v>
      </c>
      <c r="G185" s="3" t="s">
        <v>25</v>
      </c>
      <c r="H185" s="3" t="s">
        <v>25</v>
      </c>
      <c r="I185" s="6">
        <v>44621</v>
      </c>
      <c r="J185" s="4">
        <v>0</v>
      </c>
      <c r="K185" s="4">
        <v>0</v>
      </c>
      <c r="L185" s="4">
        <v>866.26</v>
      </c>
      <c r="M185" s="4">
        <v>866.26</v>
      </c>
      <c r="N185" s="4">
        <v>866.26</v>
      </c>
      <c r="O185" s="4">
        <v>866.26</v>
      </c>
      <c r="P185" s="4">
        <v>1089</v>
      </c>
      <c r="Q185" s="3" t="s">
        <v>26</v>
      </c>
      <c r="R185" s="3">
        <v>0</v>
      </c>
      <c r="S185" s="3">
        <v>0</v>
      </c>
      <c r="T185" s="3">
        <v>17</v>
      </c>
      <c r="U185" s="3">
        <v>60</v>
      </c>
      <c r="V185" s="4">
        <f>IF(ISERROR(VLOOKUP($S$185,'TAR FIN'!$A$1:$O$92,15,0)),0,VLOOKUP($S$185,'TAR FIN'!$A$1:$O$92,15,0))</f>
        <v>0</v>
      </c>
      <c r="W185" s="4">
        <f>IF(ISERROR(VLOOKUP($T$185,'TAR FIN'!$A$1:$O$92,15,0)),0,VLOOKUP($T$185,'TAR FIN'!$A$1:$O$92,15,0))</f>
        <v>94.27</v>
      </c>
      <c r="X185" s="4">
        <f>IF(ISERROR(VLOOKUP($U$185,'TAR FIN'!$A$1:$O$92,15,0)),0,VLOOKUP($U$185,'TAR FIN'!$A$1:$O$92,15,0))</f>
        <v>94.11</v>
      </c>
      <c r="Y185" s="4"/>
      <c r="Z185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5" s="4">
        <f>('TE BE'!$AB$12+'TE BF'!$AB$12+'TE CVA'!$AB$12)*(1-CUSTOS!$M$34)</f>
        <v>117.66142824392278</v>
      </c>
      <c r="AB185" s="4">
        <f t="shared" si="8"/>
        <v>0</v>
      </c>
      <c r="AC185" s="4">
        <f>(L185-M185)*(W185+X185)+($W$252+$X$252-$W$185-$X$185)*(L185)</f>
        <v>303061.06100000005</v>
      </c>
      <c r="AD185" s="4">
        <f t="shared" si="10"/>
        <v>0</v>
      </c>
      <c r="AE185" s="4">
        <f ca="1">(L185-M185)*(Z185+AA185)+($Z$252+$AA$252-$Z$185-$AA$185)*(L185)</f>
        <v>380647.35456184228</v>
      </c>
      <c r="AF185" s="3" t="s">
        <v>754</v>
      </c>
    </row>
    <row r="186" spans="1:32" ht="11.25" customHeight="1" x14ac:dyDescent="0.25">
      <c r="A186" s="3" t="s">
        <v>21</v>
      </c>
      <c r="B186" s="3" t="s">
        <v>22</v>
      </c>
      <c r="C186" s="3" t="s">
        <v>23</v>
      </c>
      <c r="D186" s="3" t="s">
        <v>24</v>
      </c>
      <c r="E186" s="3" t="s">
        <v>29</v>
      </c>
      <c r="F186" s="3" t="s">
        <v>25</v>
      </c>
      <c r="G186" s="3" t="s">
        <v>25</v>
      </c>
      <c r="H186" s="3" t="s">
        <v>25</v>
      </c>
      <c r="I186" s="6">
        <v>44652</v>
      </c>
      <c r="J186" s="4">
        <v>0</v>
      </c>
      <c r="K186" s="4">
        <v>0</v>
      </c>
      <c r="L186" s="4">
        <v>866.26</v>
      </c>
      <c r="M186" s="4">
        <v>866.26</v>
      </c>
      <c r="N186" s="4">
        <v>866.26</v>
      </c>
      <c r="O186" s="4">
        <v>866.26</v>
      </c>
      <c r="P186" s="4">
        <v>1089</v>
      </c>
      <c r="Q186" s="3" t="s">
        <v>26</v>
      </c>
      <c r="R186" s="3">
        <v>0</v>
      </c>
      <c r="S186" s="3">
        <v>0</v>
      </c>
      <c r="T186" s="3">
        <v>17</v>
      </c>
      <c r="U186" s="3">
        <v>60</v>
      </c>
      <c r="V186" s="4">
        <f>IF(ISERROR(VLOOKUP($S$186,'TAR FIN'!$A$1:$O$92,15,0)),0,VLOOKUP($S$186,'TAR FIN'!$A$1:$O$92,15,0))</f>
        <v>0</v>
      </c>
      <c r="W186" s="4">
        <f>IF(ISERROR(VLOOKUP($T$186,'TAR FIN'!$A$1:$O$92,15,0)),0,VLOOKUP($T$186,'TAR FIN'!$A$1:$O$92,15,0))</f>
        <v>94.27</v>
      </c>
      <c r="X186" s="4">
        <f>IF(ISERROR(VLOOKUP($U$186,'TAR FIN'!$A$1:$O$92,15,0)),0,VLOOKUP($U$186,'TAR FIN'!$A$1:$O$92,15,0))</f>
        <v>94.11</v>
      </c>
      <c r="Y186" s="4"/>
      <c r="Z186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6" s="4">
        <f>('TE BE'!$AB$12+'TE BF'!$AB$12+'TE CVA'!$AB$12)*(1-CUSTOS!$M$34)</f>
        <v>117.66142824392278</v>
      </c>
      <c r="AB186" s="4">
        <f t="shared" si="8"/>
        <v>0</v>
      </c>
      <c r="AC186" s="4">
        <f>(L186-M186)*(W186+X186)+($W$252+$X$252-$W$186-$X$186)*(L186)</f>
        <v>303061.06100000005</v>
      </c>
      <c r="AD186" s="4">
        <f t="shared" si="10"/>
        <v>0</v>
      </c>
      <c r="AE186" s="4">
        <f ca="1">(L186-M186)*(Z186+AA186)+($Z$252+$AA$252-$Z$186-$AA$186)*(L186)</f>
        <v>380647.35456184228</v>
      </c>
      <c r="AF186" s="3" t="s">
        <v>754</v>
      </c>
    </row>
    <row r="187" spans="1:32" ht="11.25" customHeight="1" x14ac:dyDescent="0.25">
      <c r="A187" s="3" t="s">
        <v>21</v>
      </c>
      <c r="B187" s="3" t="s">
        <v>22</v>
      </c>
      <c r="C187" s="3" t="s">
        <v>23</v>
      </c>
      <c r="D187" s="3" t="s">
        <v>24</v>
      </c>
      <c r="E187" s="3" t="s">
        <v>29</v>
      </c>
      <c r="F187" s="3" t="s">
        <v>25</v>
      </c>
      <c r="G187" s="3" t="s">
        <v>25</v>
      </c>
      <c r="H187" s="3" t="s">
        <v>25</v>
      </c>
      <c r="I187" s="6">
        <v>44682</v>
      </c>
      <c r="J187" s="4">
        <v>0</v>
      </c>
      <c r="K187" s="4">
        <v>0</v>
      </c>
      <c r="L187" s="4">
        <v>871.81600000000003</v>
      </c>
      <c r="M187" s="4">
        <v>871.81600000000003</v>
      </c>
      <c r="N187" s="4">
        <v>871.81600000000003</v>
      </c>
      <c r="O187" s="4">
        <v>871.81600000000003</v>
      </c>
      <c r="P187" s="4">
        <v>1182</v>
      </c>
      <c r="Q187" s="3" t="s">
        <v>26</v>
      </c>
      <c r="R187" s="3">
        <v>0</v>
      </c>
      <c r="S187" s="3">
        <v>0</v>
      </c>
      <c r="T187" s="3">
        <v>17</v>
      </c>
      <c r="U187" s="3">
        <v>60</v>
      </c>
      <c r="V187" s="4">
        <f>IF(ISERROR(VLOOKUP($S$187,'TAR FIN'!$A$1:$O$92,15,0)),0,VLOOKUP($S$187,'TAR FIN'!$A$1:$O$92,15,0))</f>
        <v>0</v>
      </c>
      <c r="W187" s="4">
        <f>IF(ISERROR(VLOOKUP($T$187,'TAR FIN'!$A$1:$O$92,15,0)),0,VLOOKUP($T$187,'TAR FIN'!$A$1:$O$92,15,0))</f>
        <v>94.27</v>
      </c>
      <c r="X187" s="4">
        <f>IF(ISERROR(VLOOKUP($U$187,'TAR FIN'!$A$1:$O$92,15,0)),0,VLOOKUP($U$187,'TAR FIN'!$A$1:$O$92,15,0))</f>
        <v>94.11</v>
      </c>
      <c r="Y187" s="4"/>
      <c r="Z187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7" s="4">
        <f>('TE BE'!$AB$12+'TE BF'!$AB$12+'TE CVA'!$AB$12)*(1-CUSTOS!$M$34)</f>
        <v>117.66142824392278</v>
      </c>
      <c r="AB187" s="4">
        <f t="shared" si="8"/>
        <v>0</v>
      </c>
      <c r="AC187" s="4">
        <f>(L187-M187)*(W187+X187)+($W$252+$X$252-$W$187-$X$187)*(L187)</f>
        <v>305004.82760000002</v>
      </c>
      <c r="AD187" s="4">
        <f t="shared" si="10"/>
        <v>0</v>
      </c>
      <c r="AE187" s="4">
        <f ca="1">(L187-M187)*(Z187+AA187)+($Z$252+$AA$252-$Z$187-$AA$187)*(L187)</f>
        <v>383088.74248457403</v>
      </c>
      <c r="AF187" s="3" t="s">
        <v>754</v>
      </c>
    </row>
    <row r="188" spans="1:32" ht="11.25" customHeight="1" x14ac:dyDescent="0.25">
      <c r="A188" s="3" t="s">
        <v>27</v>
      </c>
      <c r="B188" s="3" t="s">
        <v>22</v>
      </c>
      <c r="C188" s="3" t="s">
        <v>23</v>
      </c>
      <c r="D188" s="3" t="s">
        <v>24</v>
      </c>
      <c r="E188" s="3" t="s">
        <v>29</v>
      </c>
      <c r="F188" s="3" t="s">
        <v>25</v>
      </c>
      <c r="G188" s="3" t="s">
        <v>25</v>
      </c>
      <c r="H188" s="3" t="s">
        <v>25</v>
      </c>
      <c r="I188" s="6">
        <v>44682</v>
      </c>
      <c r="J188" s="4">
        <v>0</v>
      </c>
      <c r="K188" s="4">
        <v>0</v>
      </c>
      <c r="L188" s="4">
        <v>0.24</v>
      </c>
      <c r="M188" s="4">
        <v>0.24</v>
      </c>
      <c r="N188" s="4">
        <v>0.24</v>
      </c>
      <c r="O188" s="4">
        <v>0.24</v>
      </c>
      <c r="P188" s="4">
        <v>0</v>
      </c>
      <c r="Q188" s="3" t="s">
        <v>26</v>
      </c>
      <c r="R188" s="3">
        <v>0</v>
      </c>
      <c r="S188" s="3">
        <v>0</v>
      </c>
      <c r="T188" s="3">
        <v>17</v>
      </c>
      <c r="U188" s="3">
        <v>60</v>
      </c>
      <c r="V188" s="4">
        <f>IF(ISERROR(VLOOKUP($S$188,'TAR FIN'!$A$1:$O$92,15,0)),0,VLOOKUP($S$188,'TAR FIN'!$A$1:$O$92,15,0))</f>
        <v>0</v>
      </c>
      <c r="W188" s="4">
        <f>IF(ISERROR(VLOOKUP($T$188,'TAR FIN'!$A$1:$O$92,15,0)),0,VLOOKUP($T$188,'TAR FIN'!$A$1:$O$92,15,0))</f>
        <v>94.27</v>
      </c>
      <c r="X188" s="4">
        <f>IF(ISERROR(VLOOKUP($U$188,'TAR FIN'!$A$1:$O$92,15,0)),0,VLOOKUP($U$188,'TAR FIN'!$A$1:$O$92,15,0))</f>
        <v>94.11</v>
      </c>
      <c r="Y188" s="4"/>
      <c r="Z188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8" s="4">
        <f>('TE BE'!$AB$12+'TE BF'!$AB$12+'TE CVA'!$AB$12)*(1-CUSTOS!$M$34)</f>
        <v>117.66142824392278</v>
      </c>
      <c r="AB188" s="4">
        <f t="shared" si="8"/>
        <v>0</v>
      </c>
      <c r="AC188" s="4">
        <f>(L188-M188)*(W188+X188)+($W$252+$X$252-$W$188-$X$188)*(L188)</f>
        <v>83.963999999999999</v>
      </c>
      <c r="AD188" s="4">
        <f t="shared" si="10"/>
        <v>0</v>
      </c>
      <c r="AE188" s="4">
        <f ca="1">(L188-M188)*(Z188+AA188)+($Z$252+$AA$252-$Z$188-$AA$188)*(L188)</f>
        <v>105.45952150029107</v>
      </c>
      <c r="AF188" s="3" t="s">
        <v>754</v>
      </c>
    </row>
    <row r="189" spans="1:32" ht="11.25" customHeight="1" x14ac:dyDescent="0.25">
      <c r="A189" s="3" t="s">
        <v>21</v>
      </c>
      <c r="B189" s="3" t="s">
        <v>22</v>
      </c>
      <c r="C189" s="3" t="s">
        <v>23</v>
      </c>
      <c r="D189" s="3" t="s">
        <v>24</v>
      </c>
      <c r="E189" s="3" t="s">
        <v>29</v>
      </c>
      <c r="F189" s="3" t="s">
        <v>25</v>
      </c>
      <c r="G189" s="3" t="s">
        <v>25</v>
      </c>
      <c r="H189" s="3" t="s">
        <v>25</v>
      </c>
      <c r="I189" s="6">
        <v>44713</v>
      </c>
      <c r="J189" s="4">
        <v>0</v>
      </c>
      <c r="K189" s="4">
        <v>0</v>
      </c>
      <c r="L189" s="4">
        <v>882.245</v>
      </c>
      <c r="M189" s="4">
        <v>882.245</v>
      </c>
      <c r="N189" s="4">
        <v>882.245</v>
      </c>
      <c r="O189" s="4">
        <v>882.245</v>
      </c>
      <c r="P189" s="4">
        <v>1182</v>
      </c>
      <c r="Q189" s="3" t="s">
        <v>26</v>
      </c>
      <c r="R189" s="3">
        <v>0</v>
      </c>
      <c r="S189" s="3">
        <v>0</v>
      </c>
      <c r="T189" s="3">
        <v>17</v>
      </c>
      <c r="U189" s="3">
        <v>60</v>
      </c>
      <c r="V189" s="4">
        <f>IF(ISERROR(VLOOKUP($S$189,'TAR FIN'!$A$1:$O$92,15,0)),0,VLOOKUP($S$189,'TAR FIN'!$A$1:$O$92,15,0))</f>
        <v>0</v>
      </c>
      <c r="W189" s="4">
        <f>IF(ISERROR(VLOOKUP($T$189,'TAR FIN'!$A$1:$O$92,15,0)),0,VLOOKUP($T$189,'TAR FIN'!$A$1:$O$92,15,0))</f>
        <v>94.27</v>
      </c>
      <c r="X189" s="4">
        <f>IF(ISERROR(VLOOKUP($U$189,'TAR FIN'!$A$1:$O$92,15,0)),0,VLOOKUP($U$189,'TAR FIN'!$A$1:$O$92,15,0))</f>
        <v>94.11</v>
      </c>
      <c r="Y189" s="4"/>
      <c r="Z189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89" s="4">
        <f>('TE BE'!$AB$12+'TE BF'!$AB$12+'TE CVA'!$AB$12)*(1-CUSTOS!$M$34)</f>
        <v>117.66142824392278</v>
      </c>
      <c r="AB189" s="4">
        <f t="shared" si="8"/>
        <v>0</v>
      </c>
      <c r="AC189" s="4">
        <f>(L189-M189)*(W189+X189)+($W$252+$X$252-$W$189-$X$189)*(L189)</f>
        <v>308653.41325000004</v>
      </c>
      <c r="AD189" s="4">
        <f t="shared" si="10"/>
        <v>0</v>
      </c>
      <c r="AE189" s="4">
        <f ca="1">(L189-M189)*(Z189+AA189)+($Z$252+$AA$252-$Z$189-$AA$189)*(L189)</f>
        <v>387671.39810843457</v>
      </c>
      <c r="AF189" s="3" t="s">
        <v>754</v>
      </c>
    </row>
    <row r="190" spans="1:32" ht="11.25" customHeight="1" x14ac:dyDescent="0.25">
      <c r="A190" s="3" t="s">
        <v>27</v>
      </c>
      <c r="B190" s="3" t="s">
        <v>22</v>
      </c>
      <c r="C190" s="3" t="s">
        <v>23</v>
      </c>
      <c r="D190" s="3" t="s">
        <v>24</v>
      </c>
      <c r="E190" s="3" t="s">
        <v>29</v>
      </c>
      <c r="F190" s="3" t="s">
        <v>25</v>
      </c>
      <c r="G190" s="3" t="s">
        <v>25</v>
      </c>
      <c r="H190" s="3" t="s">
        <v>25</v>
      </c>
      <c r="I190" s="6">
        <v>44713</v>
      </c>
      <c r="J190" s="4">
        <v>0</v>
      </c>
      <c r="K190" s="4">
        <v>0</v>
      </c>
      <c r="L190" s="4">
        <v>-0.15</v>
      </c>
      <c r="M190" s="4">
        <v>-0.15</v>
      </c>
      <c r="N190" s="4">
        <v>-0.15</v>
      </c>
      <c r="O190" s="4">
        <v>-0.15</v>
      </c>
      <c r="P190" s="4">
        <v>-3</v>
      </c>
      <c r="Q190" s="3" t="s">
        <v>26</v>
      </c>
      <c r="R190" s="3">
        <v>0</v>
      </c>
      <c r="S190" s="3">
        <v>0</v>
      </c>
      <c r="T190" s="3">
        <v>17</v>
      </c>
      <c r="U190" s="3">
        <v>60</v>
      </c>
      <c r="V190" s="4">
        <f>IF(ISERROR(VLOOKUP($S$190,'TAR FIN'!$A$1:$O$92,15,0)),0,VLOOKUP($S$190,'TAR FIN'!$A$1:$O$92,15,0))</f>
        <v>0</v>
      </c>
      <c r="W190" s="4">
        <f>IF(ISERROR(VLOOKUP($T$190,'TAR FIN'!$A$1:$O$92,15,0)),0,VLOOKUP($T$190,'TAR FIN'!$A$1:$O$92,15,0))</f>
        <v>94.27</v>
      </c>
      <c r="X190" s="4">
        <f>IF(ISERROR(VLOOKUP($U$190,'TAR FIN'!$A$1:$O$92,15,0)),0,VLOOKUP($U$190,'TAR FIN'!$A$1:$O$92,15,0))</f>
        <v>94.11</v>
      </c>
      <c r="Y190" s="4"/>
      <c r="Z190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0" s="4">
        <f>('TE BE'!$AB$12+'TE BF'!$AB$12+'TE CVA'!$AB$12)*(1-CUSTOS!$M$34)</f>
        <v>117.66142824392278</v>
      </c>
      <c r="AB190" s="4">
        <f t="shared" si="8"/>
        <v>0</v>
      </c>
      <c r="AC190" s="4">
        <f>(L190-M190)*(W190+X190)+($W$252+$X$252-$W$190-$X$190)*(L190)</f>
        <v>-52.477499999999999</v>
      </c>
      <c r="AD190" s="4">
        <f t="shared" si="10"/>
        <v>0</v>
      </c>
      <c r="AE190" s="4">
        <f ca="1">(L190-M190)*(Z190+AA190)+($Z$252+$AA$252-$Z$190-$AA$190)*(L190)</f>
        <v>-65.912200937681916</v>
      </c>
      <c r="AF190" s="3" t="s">
        <v>754</v>
      </c>
    </row>
    <row r="191" spans="1:32" ht="11.25" customHeight="1" x14ac:dyDescent="0.25">
      <c r="A191" s="3" t="s">
        <v>21</v>
      </c>
      <c r="B191" s="3" t="s">
        <v>22</v>
      </c>
      <c r="C191" s="3" t="s">
        <v>23</v>
      </c>
      <c r="D191" s="3" t="s">
        <v>24</v>
      </c>
      <c r="E191" s="3" t="s">
        <v>29</v>
      </c>
      <c r="F191" s="3" t="s">
        <v>25</v>
      </c>
      <c r="G191" s="3" t="s">
        <v>25</v>
      </c>
      <c r="H191" s="3" t="s">
        <v>25</v>
      </c>
      <c r="I191" s="6">
        <v>44743</v>
      </c>
      <c r="J191" s="4">
        <v>0</v>
      </c>
      <c r="K191" s="4">
        <v>0</v>
      </c>
      <c r="L191" s="4">
        <v>883.91099999999994</v>
      </c>
      <c r="M191" s="4">
        <v>883.91099999999994</v>
      </c>
      <c r="N191" s="4">
        <v>883.91099999999994</v>
      </c>
      <c r="O191" s="4">
        <v>883.91099999999994</v>
      </c>
      <c r="P191" s="4">
        <v>1212</v>
      </c>
      <c r="Q191" s="3" t="s">
        <v>26</v>
      </c>
      <c r="R191" s="3">
        <v>0</v>
      </c>
      <c r="S191" s="3">
        <v>0</v>
      </c>
      <c r="T191" s="3">
        <v>17</v>
      </c>
      <c r="U191" s="3">
        <v>60</v>
      </c>
      <c r="V191" s="4">
        <f>IF(ISERROR(VLOOKUP($S$191,'TAR FIN'!$A$1:$O$92,15,0)),0,VLOOKUP($S$191,'TAR FIN'!$A$1:$O$92,15,0))</f>
        <v>0</v>
      </c>
      <c r="W191" s="4">
        <f>IF(ISERROR(VLOOKUP($T$191,'TAR FIN'!$A$1:$O$92,15,0)),0,VLOOKUP($T$191,'TAR FIN'!$A$1:$O$92,15,0))</f>
        <v>94.27</v>
      </c>
      <c r="X191" s="4">
        <f>IF(ISERROR(VLOOKUP($U$191,'TAR FIN'!$A$1:$O$92,15,0)),0,VLOOKUP($U$191,'TAR FIN'!$A$1:$O$92,15,0))</f>
        <v>94.11</v>
      </c>
      <c r="Y191" s="4"/>
      <c r="Z191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1" s="4">
        <f>('TE BE'!$AB$12+'TE BF'!$AB$12+'TE CVA'!$AB$12)*(1-CUSTOS!$M$34)</f>
        <v>117.66142824392278</v>
      </c>
      <c r="AB191" s="4">
        <f t="shared" si="8"/>
        <v>0</v>
      </c>
      <c r="AC191" s="4">
        <f>(L191-M191)*(W191+X191)+($W$252+$X$252-$W$191-$X$191)*(L191)</f>
        <v>309236.26335000002</v>
      </c>
      <c r="AD191" s="4">
        <f t="shared" si="10"/>
        <v>0</v>
      </c>
      <c r="AE191" s="4">
        <f ca="1">(L191-M191)*(Z191+AA191)+($Z$252+$AA$252-$Z$191-$AA$191)*(L191)</f>
        <v>388403.46295351576</v>
      </c>
      <c r="AF191" s="3" t="s">
        <v>754</v>
      </c>
    </row>
    <row r="192" spans="1:32" ht="11.25" customHeight="1" x14ac:dyDescent="0.25">
      <c r="A192" s="3" t="s">
        <v>27</v>
      </c>
      <c r="B192" s="3" t="s">
        <v>22</v>
      </c>
      <c r="C192" s="3" t="s">
        <v>23</v>
      </c>
      <c r="D192" s="3" t="s">
        <v>24</v>
      </c>
      <c r="E192" s="3" t="s">
        <v>29</v>
      </c>
      <c r="F192" s="3" t="s">
        <v>25</v>
      </c>
      <c r="G192" s="3" t="s">
        <v>25</v>
      </c>
      <c r="H192" s="3" t="s">
        <v>25</v>
      </c>
      <c r="I192" s="6">
        <v>44743</v>
      </c>
      <c r="J192" s="4">
        <v>0</v>
      </c>
      <c r="K192" s="4">
        <v>0</v>
      </c>
      <c r="L192" s="4">
        <v>0.03</v>
      </c>
      <c r="M192" s="4">
        <v>0.03</v>
      </c>
      <c r="N192" s="4">
        <v>0.03</v>
      </c>
      <c r="O192" s="4">
        <v>0.03</v>
      </c>
      <c r="P192" s="4">
        <v>0</v>
      </c>
      <c r="Q192" s="3" t="s">
        <v>26</v>
      </c>
      <c r="R192" s="3">
        <v>0</v>
      </c>
      <c r="S192" s="3">
        <v>0</v>
      </c>
      <c r="T192" s="3">
        <v>17</v>
      </c>
      <c r="U192" s="3">
        <v>60</v>
      </c>
      <c r="V192" s="4">
        <f>IF(ISERROR(VLOOKUP($S$192,'TAR FIN'!$A$1:$O$92,15,0)),0,VLOOKUP($S$192,'TAR FIN'!$A$1:$O$92,15,0))</f>
        <v>0</v>
      </c>
      <c r="W192" s="4">
        <f>IF(ISERROR(VLOOKUP($T$192,'TAR FIN'!$A$1:$O$92,15,0)),0,VLOOKUP($T$192,'TAR FIN'!$A$1:$O$92,15,0))</f>
        <v>94.27</v>
      </c>
      <c r="X192" s="4">
        <f>IF(ISERROR(VLOOKUP($U$192,'TAR FIN'!$A$1:$O$92,15,0)),0,VLOOKUP($U$192,'TAR FIN'!$A$1:$O$92,15,0))</f>
        <v>94.11</v>
      </c>
      <c r="Y192" s="4"/>
      <c r="Z192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2" s="4">
        <f>('TE BE'!$AB$12+'TE BF'!$AB$12+'TE CVA'!$AB$12)*(1-CUSTOS!$M$34)</f>
        <v>117.66142824392278</v>
      </c>
      <c r="AB192" s="4">
        <f t="shared" si="8"/>
        <v>0</v>
      </c>
      <c r="AC192" s="4">
        <f>(L192-M192)*(W192+X192)+($W$252+$X$252-$W$192-$X$192)*(L192)</f>
        <v>10.4955</v>
      </c>
      <c r="AD192" s="4">
        <f t="shared" si="10"/>
        <v>0</v>
      </c>
      <c r="AE192" s="4">
        <f ca="1">(L192-M192)*(Z192+AA192)+($Z$252+$AA$252-$Z$192-$AA$192)*(L192)</f>
        <v>13.182440187536384</v>
      </c>
      <c r="AF192" s="3" t="s">
        <v>754</v>
      </c>
    </row>
    <row r="193" spans="1:32" ht="11.25" customHeight="1" x14ac:dyDescent="0.25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29</v>
      </c>
      <c r="F193" s="3" t="s">
        <v>25</v>
      </c>
      <c r="G193" s="3" t="s">
        <v>25</v>
      </c>
      <c r="H193" s="3" t="s">
        <v>25</v>
      </c>
      <c r="I193" s="6">
        <v>44774</v>
      </c>
      <c r="J193" s="4">
        <v>0</v>
      </c>
      <c r="K193" s="4">
        <v>0</v>
      </c>
      <c r="L193" s="4">
        <v>888.11099999999999</v>
      </c>
      <c r="M193" s="4">
        <v>888.11099999999999</v>
      </c>
      <c r="N193" s="4">
        <v>888.11099999999999</v>
      </c>
      <c r="O193" s="4">
        <v>888.11099999999999</v>
      </c>
      <c r="P193" s="4">
        <v>1182</v>
      </c>
      <c r="Q193" s="3" t="s">
        <v>26</v>
      </c>
      <c r="R193" s="3">
        <v>0</v>
      </c>
      <c r="S193" s="3">
        <v>0</v>
      </c>
      <c r="T193" s="3">
        <v>17</v>
      </c>
      <c r="U193" s="3">
        <v>60</v>
      </c>
      <c r="V193" s="4">
        <f>IF(ISERROR(VLOOKUP($S$193,'TAR FIN'!$A$1:$O$92,15,0)),0,VLOOKUP($S$193,'TAR FIN'!$A$1:$O$92,15,0))</f>
        <v>0</v>
      </c>
      <c r="W193" s="4">
        <f>IF(ISERROR(VLOOKUP($T$193,'TAR FIN'!$A$1:$O$92,15,0)),0,VLOOKUP($T$193,'TAR FIN'!$A$1:$O$92,15,0))</f>
        <v>94.27</v>
      </c>
      <c r="X193" s="4">
        <f>IF(ISERROR(VLOOKUP($U$193,'TAR FIN'!$A$1:$O$92,15,0)),0,VLOOKUP($U$193,'TAR FIN'!$A$1:$O$92,15,0))</f>
        <v>94.11</v>
      </c>
      <c r="Y193" s="4"/>
      <c r="Z193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3" s="4">
        <f>('TE BE'!$AB$12+'TE BF'!$AB$12+'TE CVA'!$AB$12)*(1-CUSTOS!$M$34)</f>
        <v>117.66142824392278</v>
      </c>
      <c r="AB193" s="4">
        <f t="shared" si="8"/>
        <v>0</v>
      </c>
      <c r="AC193" s="4">
        <f>(L193-M193)*(W193+X193)+($W$252+$X$252-$W$193-$X$193)*(L193)</f>
        <v>310705.63335000002</v>
      </c>
      <c r="AD193" s="4">
        <f t="shared" si="10"/>
        <v>0</v>
      </c>
      <c r="AE193" s="4">
        <f ca="1">(L193-M193)*(Z193+AA193)+($Z$252+$AA$252-$Z$193-$AA$193)*(L193)</f>
        <v>390249.0045797709</v>
      </c>
      <c r="AF193" s="3" t="s">
        <v>754</v>
      </c>
    </row>
    <row r="194" spans="1:32" ht="11.25" customHeight="1" x14ac:dyDescent="0.25">
      <c r="A194" s="3" t="s">
        <v>27</v>
      </c>
      <c r="B194" s="3" t="s">
        <v>22</v>
      </c>
      <c r="C194" s="3" t="s">
        <v>23</v>
      </c>
      <c r="D194" s="3" t="s">
        <v>24</v>
      </c>
      <c r="E194" s="3" t="s">
        <v>29</v>
      </c>
      <c r="F194" s="3" t="s">
        <v>25</v>
      </c>
      <c r="G194" s="3" t="s">
        <v>25</v>
      </c>
      <c r="H194" s="3" t="s">
        <v>25</v>
      </c>
      <c r="I194" s="6">
        <v>44774</v>
      </c>
      <c r="J194" s="4">
        <v>0</v>
      </c>
      <c r="K194" s="4">
        <v>0</v>
      </c>
      <c r="L194" s="4">
        <v>0.15</v>
      </c>
      <c r="M194" s="4">
        <v>0.15</v>
      </c>
      <c r="N194" s="4">
        <v>0.15</v>
      </c>
      <c r="O194" s="4">
        <v>0.15</v>
      </c>
      <c r="P194" s="4">
        <v>-2</v>
      </c>
      <c r="Q194" s="3" t="s">
        <v>26</v>
      </c>
      <c r="R194" s="3">
        <v>0</v>
      </c>
      <c r="S194" s="3">
        <v>0</v>
      </c>
      <c r="T194" s="3">
        <v>17</v>
      </c>
      <c r="U194" s="3">
        <v>60</v>
      </c>
      <c r="V194" s="4">
        <f>IF(ISERROR(VLOOKUP($S$194,'TAR FIN'!$A$1:$O$92,15,0)),0,VLOOKUP($S$194,'TAR FIN'!$A$1:$O$92,15,0))</f>
        <v>0</v>
      </c>
      <c r="W194" s="4">
        <f>IF(ISERROR(VLOOKUP($T$194,'TAR FIN'!$A$1:$O$92,15,0)),0,VLOOKUP($T$194,'TAR FIN'!$A$1:$O$92,15,0))</f>
        <v>94.27</v>
      </c>
      <c r="X194" s="4">
        <f>IF(ISERROR(VLOOKUP($U$194,'TAR FIN'!$A$1:$O$92,15,0)),0,VLOOKUP($U$194,'TAR FIN'!$A$1:$O$92,15,0))</f>
        <v>94.11</v>
      </c>
      <c r="Y194" s="4"/>
      <c r="Z194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4" s="4">
        <f>('TE BE'!$AB$12+'TE BF'!$AB$12+'TE CVA'!$AB$12)*(1-CUSTOS!$M$34)</f>
        <v>117.66142824392278</v>
      </c>
      <c r="AB194" s="4">
        <f t="shared" ref="AB194:AB257" si="12">(J194-K194)*V194</f>
        <v>0</v>
      </c>
      <c r="AC194" s="4">
        <f>(L194-M194)*(W194+X194)+($W$252+$X$252-$W$194-$X$194)*(L194)</f>
        <v>52.477499999999999</v>
      </c>
      <c r="AD194" s="4">
        <f t="shared" ref="AD194:AD257" si="13">(J194-K194)*Y194</f>
        <v>0</v>
      </c>
      <c r="AE194" s="4">
        <f ca="1">(L194-M194)*(Z194+AA194)+($Z$252+$AA$252-$Z$194-$AA$194)*(L194)</f>
        <v>65.912200937681916</v>
      </c>
      <c r="AF194" s="3" t="s">
        <v>754</v>
      </c>
    </row>
    <row r="195" spans="1:32" ht="11.25" customHeight="1" x14ac:dyDescent="0.25">
      <c r="A195" s="3" t="s">
        <v>28</v>
      </c>
      <c r="B195" s="3" t="s">
        <v>22</v>
      </c>
      <c r="C195" s="3" t="s">
        <v>23</v>
      </c>
      <c r="D195" s="3" t="s">
        <v>24</v>
      </c>
      <c r="E195" s="3" t="s">
        <v>29</v>
      </c>
      <c r="F195" s="3" t="s">
        <v>25</v>
      </c>
      <c r="G195" s="3" t="s">
        <v>25</v>
      </c>
      <c r="H195" s="3" t="s">
        <v>25</v>
      </c>
      <c r="I195" s="6">
        <v>44774</v>
      </c>
      <c r="J195" s="4">
        <v>0</v>
      </c>
      <c r="K195" s="4">
        <v>0</v>
      </c>
      <c r="L195" s="4">
        <v>5.5090000000000003</v>
      </c>
      <c r="M195" s="4">
        <v>5.5090000000000003</v>
      </c>
      <c r="N195" s="4">
        <v>5.5090000000000003</v>
      </c>
      <c r="O195" s="4">
        <v>5.5090000000000003</v>
      </c>
      <c r="P195" s="4">
        <v>9</v>
      </c>
      <c r="Q195" s="3" t="s">
        <v>26</v>
      </c>
      <c r="R195" s="3">
        <v>0</v>
      </c>
      <c r="S195" s="3">
        <v>0</v>
      </c>
      <c r="T195" s="3">
        <v>17</v>
      </c>
      <c r="U195" s="3">
        <v>60</v>
      </c>
      <c r="V195" s="4">
        <f>IF(ISERROR(VLOOKUP($S$195,'TAR FIN'!$A$1:$O$92,15,0)),0,VLOOKUP($S$195,'TAR FIN'!$A$1:$O$92,15,0))</f>
        <v>0</v>
      </c>
      <c r="W195" s="4">
        <f>IF(ISERROR(VLOOKUP($T$195,'TAR FIN'!$A$1:$O$92,15,0)),0,VLOOKUP($T$195,'TAR FIN'!$A$1:$O$92,15,0))</f>
        <v>94.27</v>
      </c>
      <c r="X195" s="4">
        <f>IF(ISERROR(VLOOKUP($U$195,'TAR FIN'!$A$1:$O$92,15,0)),0,VLOOKUP($U$195,'TAR FIN'!$A$1:$O$92,15,0))</f>
        <v>94.11</v>
      </c>
      <c r="Y195" s="4"/>
      <c r="Z195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5" s="4">
        <f>('TE BE'!$AB$12+'TE BF'!$AB$12+'TE CVA'!$AB$12)*(1-CUSTOS!$M$34)</f>
        <v>117.66142824392278</v>
      </c>
      <c r="AB195" s="4">
        <f t="shared" si="12"/>
        <v>0</v>
      </c>
      <c r="AC195" s="4">
        <f>(L195-M195)*(W195+X195)+($W$252+$X$252-$W$195-$X$195)*(L195)</f>
        <v>1927.3236500000003</v>
      </c>
      <c r="AD195" s="4">
        <f t="shared" si="13"/>
        <v>0</v>
      </c>
      <c r="AE195" s="4">
        <f ca="1">(L195-M195)*(Z195+AA195)+($Z$252+$AA$252-$Z$195-$AA$195)*(L195)</f>
        <v>2420.7354331045985</v>
      </c>
      <c r="AF195" s="3" t="s">
        <v>754</v>
      </c>
    </row>
    <row r="196" spans="1:32" ht="11.25" customHeight="1" x14ac:dyDescent="0.25">
      <c r="A196" s="3" t="s">
        <v>21</v>
      </c>
      <c r="B196" s="3" t="s">
        <v>22</v>
      </c>
      <c r="C196" s="3" t="s">
        <v>23</v>
      </c>
      <c r="D196" s="3" t="s">
        <v>24</v>
      </c>
      <c r="E196" s="3" t="s">
        <v>29</v>
      </c>
      <c r="F196" s="3" t="s">
        <v>25</v>
      </c>
      <c r="G196" s="3" t="s">
        <v>25</v>
      </c>
      <c r="H196" s="3" t="s">
        <v>25</v>
      </c>
      <c r="I196" s="6">
        <v>44805</v>
      </c>
      <c r="J196" s="4">
        <v>0</v>
      </c>
      <c r="K196" s="4">
        <v>0</v>
      </c>
      <c r="L196" s="4">
        <v>892.39700000000005</v>
      </c>
      <c r="M196" s="4">
        <v>892.39700000000005</v>
      </c>
      <c r="N196" s="4">
        <v>892.39700000000005</v>
      </c>
      <c r="O196" s="4">
        <v>892.39700000000005</v>
      </c>
      <c r="P196" s="4">
        <v>1259</v>
      </c>
      <c r="Q196" s="3" t="s">
        <v>26</v>
      </c>
      <c r="R196" s="3">
        <v>0</v>
      </c>
      <c r="S196" s="3">
        <v>0</v>
      </c>
      <c r="T196" s="3">
        <v>17</v>
      </c>
      <c r="U196" s="3">
        <v>60</v>
      </c>
      <c r="V196" s="4">
        <f>IF(ISERROR(VLOOKUP($S$196,'TAR FIN'!$A$1:$O$92,15,0)),0,VLOOKUP($S$196,'TAR FIN'!$A$1:$O$92,15,0))</f>
        <v>0</v>
      </c>
      <c r="W196" s="4">
        <f>IF(ISERROR(VLOOKUP($T$196,'TAR FIN'!$A$1:$O$92,15,0)),0,VLOOKUP($T$196,'TAR FIN'!$A$1:$O$92,15,0))</f>
        <v>94.27</v>
      </c>
      <c r="X196" s="4">
        <f>IF(ISERROR(VLOOKUP($U$196,'TAR FIN'!$A$1:$O$92,15,0)),0,VLOOKUP($U$196,'TAR FIN'!$A$1:$O$92,15,0))</f>
        <v>94.11</v>
      </c>
      <c r="Y196" s="4"/>
      <c r="Z196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6" s="4">
        <f>('TE BE'!$AB$12+'TE BF'!$AB$12+'TE CVA'!$AB$12)*(1-CUSTOS!$M$34)</f>
        <v>117.66142824392278</v>
      </c>
      <c r="AB196" s="4">
        <f t="shared" si="12"/>
        <v>0</v>
      </c>
      <c r="AC196" s="4">
        <f>(L196-M196)*(W196+X196)+($W$252+$X$252-$W$196-$X$196)*(L196)</f>
        <v>312205.09045000002</v>
      </c>
      <c r="AD196" s="4">
        <f t="shared" si="13"/>
        <v>0</v>
      </c>
      <c r="AE196" s="4">
        <f ca="1">(L196-M196)*(Z196+AA196)+($Z$252+$AA$252-$Z$196-$AA$196)*(L196)</f>
        <v>392132.33586789691</v>
      </c>
      <c r="AF196" s="3" t="s">
        <v>754</v>
      </c>
    </row>
    <row r="197" spans="1:32" ht="11.25" customHeight="1" x14ac:dyDescent="0.25">
      <c r="A197" s="3" t="s">
        <v>27</v>
      </c>
      <c r="B197" s="3" t="s">
        <v>22</v>
      </c>
      <c r="C197" s="3" t="s">
        <v>23</v>
      </c>
      <c r="D197" s="3" t="s">
        <v>24</v>
      </c>
      <c r="E197" s="3" t="s">
        <v>29</v>
      </c>
      <c r="F197" s="3" t="s">
        <v>25</v>
      </c>
      <c r="G197" s="3" t="s">
        <v>25</v>
      </c>
      <c r="H197" s="3" t="s">
        <v>25</v>
      </c>
      <c r="I197" s="6">
        <v>44805</v>
      </c>
      <c r="J197" s="4">
        <v>0</v>
      </c>
      <c r="K197" s="4">
        <v>0</v>
      </c>
      <c r="L197" s="4">
        <v>-0.03</v>
      </c>
      <c r="M197" s="4">
        <v>-0.03</v>
      </c>
      <c r="N197" s="4">
        <v>-0.03</v>
      </c>
      <c r="O197" s="4">
        <v>-0.03</v>
      </c>
      <c r="P197" s="4">
        <v>4</v>
      </c>
      <c r="Q197" s="3" t="s">
        <v>26</v>
      </c>
      <c r="R197" s="3">
        <v>0</v>
      </c>
      <c r="S197" s="3">
        <v>0</v>
      </c>
      <c r="T197" s="3">
        <v>17</v>
      </c>
      <c r="U197" s="3">
        <v>60</v>
      </c>
      <c r="V197" s="4">
        <f>IF(ISERROR(VLOOKUP($S$197,'TAR FIN'!$A$1:$O$92,15,0)),0,VLOOKUP($S$197,'TAR FIN'!$A$1:$O$92,15,0))</f>
        <v>0</v>
      </c>
      <c r="W197" s="4">
        <f>IF(ISERROR(VLOOKUP($T$197,'TAR FIN'!$A$1:$O$92,15,0)),0,VLOOKUP($T$197,'TAR FIN'!$A$1:$O$92,15,0))</f>
        <v>94.27</v>
      </c>
      <c r="X197" s="4">
        <f>IF(ISERROR(VLOOKUP($U$197,'TAR FIN'!$A$1:$O$92,15,0)),0,VLOOKUP($U$197,'TAR FIN'!$A$1:$O$92,15,0))</f>
        <v>94.11</v>
      </c>
      <c r="Y197" s="4"/>
      <c r="Z197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7" s="4">
        <f>('TE BE'!$AB$12+'TE BF'!$AB$12+'TE CVA'!$AB$12)*(1-CUSTOS!$M$34)</f>
        <v>117.66142824392278</v>
      </c>
      <c r="AB197" s="4">
        <f t="shared" si="12"/>
        <v>0</v>
      </c>
      <c r="AC197" s="4">
        <f>(L197-M197)*(W197+X197)+($W$252+$X$252-$W$197-$X$197)*(L197)</f>
        <v>-10.4955</v>
      </c>
      <c r="AD197" s="4">
        <f t="shared" si="13"/>
        <v>0</v>
      </c>
      <c r="AE197" s="4">
        <f ca="1">(L197-M197)*(Z197+AA197)+($Z$252+$AA$252-$Z$197-$AA$197)*(L197)</f>
        <v>-13.182440187536384</v>
      </c>
      <c r="AF197" s="3" t="s">
        <v>754</v>
      </c>
    </row>
    <row r="198" spans="1:32" ht="11.25" customHeight="1" x14ac:dyDescent="0.25">
      <c r="A198" s="3" t="s">
        <v>28</v>
      </c>
      <c r="B198" s="3" t="s">
        <v>22</v>
      </c>
      <c r="C198" s="3" t="s">
        <v>23</v>
      </c>
      <c r="D198" s="3" t="s">
        <v>24</v>
      </c>
      <c r="E198" s="3" t="s">
        <v>29</v>
      </c>
      <c r="F198" s="3" t="s">
        <v>25</v>
      </c>
      <c r="G198" s="3" t="s">
        <v>25</v>
      </c>
      <c r="H198" s="3" t="s">
        <v>25</v>
      </c>
      <c r="I198" s="6">
        <v>44805</v>
      </c>
      <c r="J198" s="4">
        <v>0</v>
      </c>
      <c r="K198" s="4">
        <v>0</v>
      </c>
      <c r="L198" s="4">
        <v>7.8840000000000003</v>
      </c>
      <c r="M198" s="4">
        <v>7.8840000000000003</v>
      </c>
      <c r="N198" s="4">
        <v>7.8840000000000003</v>
      </c>
      <c r="O198" s="4">
        <v>7.8840000000000003</v>
      </c>
      <c r="P198" s="4">
        <v>18</v>
      </c>
      <c r="Q198" s="3" t="s">
        <v>26</v>
      </c>
      <c r="R198" s="3">
        <v>0</v>
      </c>
      <c r="S198" s="3">
        <v>0</v>
      </c>
      <c r="T198" s="3">
        <v>17</v>
      </c>
      <c r="U198" s="3">
        <v>60</v>
      </c>
      <c r="V198" s="4">
        <f>IF(ISERROR(VLOOKUP($S$198,'TAR FIN'!$A$1:$O$92,15,0)),0,VLOOKUP($S$198,'TAR FIN'!$A$1:$O$92,15,0))</f>
        <v>0</v>
      </c>
      <c r="W198" s="4">
        <f>IF(ISERROR(VLOOKUP($T$198,'TAR FIN'!$A$1:$O$92,15,0)),0,VLOOKUP($T$198,'TAR FIN'!$A$1:$O$92,15,0))</f>
        <v>94.27</v>
      </c>
      <c r="X198" s="4">
        <f>IF(ISERROR(VLOOKUP($U$198,'TAR FIN'!$A$1:$O$92,15,0)),0,VLOOKUP($U$198,'TAR FIN'!$A$1:$O$92,15,0))</f>
        <v>94.11</v>
      </c>
      <c r="Y198" s="4"/>
      <c r="Z198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8" s="4">
        <f>('TE BE'!$AB$12+'TE BF'!$AB$12+'TE CVA'!$AB$12)*(1-CUSTOS!$M$34)</f>
        <v>117.66142824392278</v>
      </c>
      <c r="AB198" s="4">
        <f t="shared" si="12"/>
        <v>0</v>
      </c>
      <c r="AC198" s="4">
        <f>(L198-M198)*(W198+X198)+($W$252+$X$252-$W$198-$X$198)*(L198)</f>
        <v>2758.2174000000005</v>
      </c>
      <c r="AD198" s="4">
        <f t="shared" si="13"/>
        <v>0</v>
      </c>
      <c r="AE198" s="4">
        <f ca="1">(L198-M198)*(Z198+AA198)+($Z$252+$AA$252-$Z$198-$AA$198)*(L198)</f>
        <v>3464.3452812845621</v>
      </c>
      <c r="AF198" s="3" t="s">
        <v>754</v>
      </c>
    </row>
    <row r="199" spans="1:32" ht="11.25" customHeight="1" x14ac:dyDescent="0.25">
      <c r="A199" s="3" t="s">
        <v>28</v>
      </c>
      <c r="B199" s="3" t="s">
        <v>22</v>
      </c>
      <c r="C199" s="3" t="s">
        <v>23</v>
      </c>
      <c r="D199" s="3" t="s">
        <v>24</v>
      </c>
      <c r="E199" s="3" t="s">
        <v>29</v>
      </c>
      <c r="F199" s="3" t="s">
        <v>25</v>
      </c>
      <c r="G199" s="3" t="s">
        <v>25</v>
      </c>
      <c r="H199" s="3" t="s">
        <v>25</v>
      </c>
      <c r="I199" s="6">
        <v>44805</v>
      </c>
      <c r="J199" s="4">
        <v>0</v>
      </c>
      <c r="K199" s="4">
        <v>0</v>
      </c>
      <c r="L199" s="4">
        <v>-0.44500000000000001</v>
      </c>
      <c r="M199" s="4">
        <v>-0.44500000000000001</v>
      </c>
      <c r="N199" s="4">
        <v>-0.44500000000000001</v>
      </c>
      <c r="O199" s="4">
        <v>-0.44500000000000001</v>
      </c>
      <c r="P199" s="4">
        <v>1</v>
      </c>
      <c r="Q199" s="3" t="s">
        <v>26</v>
      </c>
      <c r="R199" s="3">
        <v>0</v>
      </c>
      <c r="S199" s="3">
        <v>0</v>
      </c>
      <c r="T199" s="3">
        <v>17</v>
      </c>
      <c r="U199" s="3">
        <v>60</v>
      </c>
      <c r="V199" s="4">
        <f>IF(ISERROR(VLOOKUP($S$199,'TAR FIN'!$A$1:$O$92,15,0)),0,VLOOKUP($S$199,'TAR FIN'!$A$1:$O$92,15,0))</f>
        <v>0</v>
      </c>
      <c r="W199" s="4">
        <f>IF(ISERROR(VLOOKUP($T$199,'TAR FIN'!$A$1:$O$92,15,0)),0,VLOOKUP($T$199,'TAR FIN'!$A$1:$O$92,15,0))</f>
        <v>94.27</v>
      </c>
      <c r="X199" s="4">
        <f>IF(ISERROR(VLOOKUP($U$199,'TAR FIN'!$A$1:$O$92,15,0)),0,VLOOKUP($U$199,'TAR FIN'!$A$1:$O$92,15,0))</f>
        <v>94.11</v>
      </c>
      <c r="Y199" s="4"/>
      <c r="Z199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199" s="4">
        <f>('TE BE'!$AB$12+'TE BF'!$AB$12+'TE CVA'!$AB$12)*(1-CUSTOS!$M$34)</f>
        <v>117.66142824392278</v>
      </c>
      <c r="AB199" s="4">
        <f t="shared" si="12"/>
        <v>0</v>
      </c>
      <c r="AC199" s="4">
        <f>(L199-M199)*(W199+X199)+($W$252+$X$252-$W$199-$X$199)*(L199)</f>
        <v>-155.68325000000002</v>
      </c>
      <c r="AD199" s="4">
        <f t="shared" si="13"/>
        <v>0</v>
      </c>
      <c r="AE199" s="4">
        <f ca="1">(L199-M199)*(Z199+AA199)+($Z$252+$AA$252-$Z$199-$AA$199)*(L199)</f>
        <v>-195.53952944845639</v>
      </c>
      <c r="AF199" s="3" t="s">
        <v>754</v>
      </c>
    </row>
    <row r="200" spans="1:32" ht="11.25" customHeight="1" x14ac:dyDescent="0.25">
      <c r="A200" s="3" t="s">
        <v>55</v>
      </c>
      <c r="B200" s="3" t="s">
        <v>22</v>
      </c>
      <c r="C200" s="3" t="s">
        <v>23</v>
      </c>
      <c r="D200" s="3" t="s">
        <v>24</v>
      </c>
      <c r="E200" s="3" t="s">
        <v>29</v>
      </c>
      <c r="F200" s="3" t="s">
        <v>25</v>
      </c>
      <c r="G200" s="3" t="s">
        <v>25</v>
      </c>
      <c r="H200" s="3" t="s">
        <v>25</v>
      </c>
      <c r="I200" s="6">
        <v>44835</v>
      </c>
      <c r="J200" s="4">
        <v>0</v>
      </c>
      <c r="K200" s="4">
        <v>0</v>
      </c>
      <c r="L200" s="4">
        <v>892.39700000000005</v>
      </c>
      <c r="M200" s="4">
        <v>892.39700000000005</v>
      </c>
      <c r="N200" s="4">
        <v>892.39700000000005</v>
      </c>
      <c r="O200" s="4">
        <v>892.39700000000005</v>
      </c>
      <c r="P200" s="4">
        <v>1259</v>
      </c>
      <c r="Q200" s="3" t="s">
        <v>26</v>
      </c>
      <c r="R200" s="3">
        <v>0</v>
      </c>
      <c r="S200" s="3">
        <v>0</v>
      </c>
      <c r="T200" s="3">
        <v>17</v>
      </c>
      <c r="U200" s="3">
        <v>60</v>
      </c>
      <c r="V200" s="4">
        <f>IF(ISERROR(VLOOKUP($S$200,'TAR FIN'!$A$1:$O$92,15,0)),0,VLOOKUP($S$200,'TAR FIN'!$A$1:$O$92,15,0))</f>
        <v>0</v>
      </c>
      <c r="W200" s="4">
        <f>IF(ISERROR(VLOOKUP($T$200,'TAR FIN'!$A$1:$O$92,15,0)),0,VLOOKUP($T$200,'TAR FIN'!$A$1:$O$92,15,0))</f>
        <v>94.27</v>
      </c>
      <c r="X200" s="4">
        <f>IF(ISERROR(VLOOKUP($U$200,'TAR FIN'!$A$1:$O$92,15,0)),0,VLOOKUP($U$200,'TAR FIN'!$A$1:$O$92,15,0))</f>
        <v>94.11</v>
      </c>
      <c r="Y200" s="4"/>
      <c r="Z200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200" s="4">
        <f>('TE BE'!$AB$12+'TE BF'!$AB$12+'TE CVA'!$AB$12)*(1-CUSTOS!$M$34)</f>
        <v>117.66142824392278</v>
      </c>
      <c r="AB200" s="4">
        <f t="shared" si="12"/>
        <v>0</v>
      </c>
      <c r="AC200" s="4">
        <f>(L200-M200)*(W200+X200)+($W$252+$X$252-$W$200-$X$200)*(L200)</f>
        <v>312205.09045000002</v>
      </c>
      <c r="AD200" s="4">
        <f t="shared" si="13"/>
        <v>0</v>
      </c>
      <c r="AE200" s="4">
        <f ca="1">(L200-M200)*(Z200+AA200)+($Z$252+$AA$252-$Z$200-$AA$200)*(L200)</f>
        <v>392132.33586789691</v>
      </c>
      <c r="AF200" s="3" t="s">
        <v>754</v>
      </c>
    </row>
    <row r="201" spans="1:32" ht="11.25" customHeight="1" x14ac:dyDescent="0.25">
      <c r="A201" s="3" t="s">
        <v>55</v>
      </c>
      <c r="B201" s="3" t="s">
        <v>22</v>
      </c>
      <c r="C201" s="3" t="s">
        <v>23</v>
      </c>
      <c r="D201" s="3" t="s">
        <v>24</v>
      </c>
      <c r="E201" s="3" t="s">
        <v>29</v>
      </c>
      <c r="F201" s="3" t="s">
        <v>25</v>
      </c>
      <c r="G201" s="3" t="s">
        <v>25</v>
      </c>
      <c r="H201" s="3" t="s">
        <v>25</v>
      </c>
      <c r="I201" s="6">
        <v>44835</v>
      </c>
      <c r="J201" s="4">
        <v>0</v>
      </c>
      <c r="K201" s="4">
        <v>0</v>
      </c>
      <c r="L201" s="4">
        <v>-0.03</v>
      </c>
      <c r="M201" s="4">
        <v>-0.03</v>
      </c>
      <c r="N201" s="4">
        <v>-0.03</v>
      </c>
      <c r="O201" s="4">
        <v>-0.03</v>
      </c>
      <c r="P201" s="4">
        <v>4</v>
      </c>
      <c r="Q201" s="3" t="s">
        <v>26</v>
      </c>
      <c r="R201" s="3">
        <v>0</v>
      </c>
      <c r="S201" s="3">
        <v>0</v>
      </c>
      <c r="T201" s="3">
        <v>17</v>
      </c>
      <c r="U201" s="3">
        <v>60</v>
      </c>
      <c r="V201" s="4">
        <f>IF(ISERROR(VLOOKUP($S$201,'TAR FIN'!$A$1:$O$92,15,0)),0,VLOOKUP($S$201,'TAR FIN'!$A$1:$O$92,15,0))</f>
        <v>0</v>
      </c>
      <c r="W201" s="4">
        <f>IF(ISERROR(VLOOKUP($T$201,'TAR FIN'!$A$1:$O$92,15,0)),0,VLOOKUP($T$201,'TAR FIN'!$A$1:$O$92,15,0))</f>
        <v>94.27</v>
      </c>
      <c r="X201" s="4">
        <f>IF(ISERROR(VLOOKUP($U$201,'TAR FIN'!$A$1:$O$92,15,0)),0,VLOOKUP($U$201,'TAR FIN'!$A$1:$O$92,15,0))</f>
        <v>94.11</v>
      </c>
      <c r="Y201" s="4"/>
      <c r="Z201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201" s="4">
        <f>('TE BE'!$AB$12+'TE BF'!$AB$12+'TE CVA'!$AB$12)*(1-CUSTOS!$M$34)</f>
        <v>117.66142824392278</v>
      </c>
      <c r="AB201" s="4">
        <f t="shared" si="12"/>
        <v>0</v>
      </c>
      <c r="AC201" s="4">
        <f>(L201-M201)*(W201+X201)+($W$252+$X$252-$W$201-$X$201)*(L201)</f>
        <v>-10.4955</v>
      </c>
      <c r="AD201" s="4">
        <f t="shared" si="13"/>
        <v>0</v>
      </c>
      <c r="AE201" s="4">
        <f ca="1">(L201-M201)*(Z201+AA201)+($Z$252+$AA$252-$Z$201-$AA$201)*(L201)</f>
        <v>-13.182440187536384</v>
      </c>
      <c r="AF201" s="3" t="s">
        <v>754</v>
      </c>
    </row>
    <row r="202" spans="1:32" ht="11.25" customHeight="1" x14ac:dyDescent="0.25">
      <c r="A202" s="3" t="s">
        <v>55</v>
      </c>
      <c r="B202" s="3" t="s">
        <v>22</v>
      </c>
      <c r="C202" s="3" t="s">
        <v>23</v>
      </c>
      <c r="D202" s="3" t="s">
        <v>24</v>
      </c>
      <c r="E202" s="3" t="s">
        <v>29</v>
      </c>
      <c r="F202" s="3" t="s">
        <v>25</v>
      </c>
      <c r="G202" s="3" t="s">
        <v>25</v>
      </c>
      <c r="H202" s="3" t="s">
        <v>25</v>
      </c>
      <c r="I202" s="6">
        <v>44835</v>
      </c>
      <c r="J202" s="4">
        <v>0</v>
      </c>
      <c r="K202" s="4">
        <v>0</v>
      </c>
      <c r="L202" s="4">
        <v>7.8840000000000003</v>
      </c>
      <c r="M202" s="4">
        <v>7.8840000000000003</v>
      </c>
      <c r="N202" s="4">
        <v>7.8840000000000003</v>
      </c>
      <c r="O202" s="4">
        <v>7.8840000000000003</v>
      </c>
      <c r="P202" s="4">
        <v>18</v>
      </c>
      <c r="Q202" s="3" t="s">
        <v>26</v>
      </c>
      <c r="R202" s="3">
        <v>0</v>
      </c>
      <c r="S202" s="3">
        <v>0</v>
      </c>
      <c r="T202" s="3">
        <v>17</v>
      </c>
      <c r="U202" s="3">
        <v>60</v>
      </c>
      <c r="V202" s="4">
        <f>IF(ISERROR(VLOOKUP($S$202,'TAR FIN'!$A$1:$O$92,15,0)),0,VLOOKUP($S$202,'TAR FIN'!$A$1:$O$92,15,0))</f>
        <v>0</v>
      </c>
      <c r="W202" s="4">
        <f>IF(ISERROR(VLOOKUP($T$202,'TAR FIN'!$A$1:$O$92,15,0)),0,VLOOKUP($T$202,'TAR FIN'!$A$1:$O$92,15,0))</f>
        <v>94.27</v>
      </c>
      <c r="X202" s="4">
        <f>IF(ISERROR(VLOOKUP($U$202,'TAR FIN'!$A$1:$O$92,15,0)),0,VLOOKUP($U$202,'TAR FIN'!$A$1:$O$92,15,0))</f>
        <v>94.11</v>
      </c>
      <c r="Y202" s="4"/>
      <c r="Z202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202" s="4">
        <f>('TE BE'!$AB$12+'TE BF'!$AB$12+'TE CVA'!$AB$12)*(1-CUSTOS!$M$34)</f>
        <v>117.66142824392278</v>
      </c>
      <c r="AB202" s="4">
        <f t="shared" si="12"/>
        <v>0</v>
      </c>
      <c r="AC202" s="4">
        <f>(L202-M202)*(W202+X202)+($W$252+$X$252-$W$202-$X$202)*(L202)</f>
        <v>2758.2174000000005</v>
      </c>
      <c r="AD202" s="4">
        <f t="shared" si="13"/>
        <v>0</v>
      </c>
      <c r="AE202" s="4">
        <f ca="1">(L202-M202)*(Z202+AA202)+($Z$252+$AA$252-$Z$202-$AA$202)*(L202)</f>
        <v>3464.3452812845621</v>
      </c>
      <c r="AF202" s="3" t="s">
        <v>754</v>
      </c>
    </row>
    <row r="203" spans="1:32" ht="11.25" customHeight="1" x14ac:dyDescent="0.25">
      <c r="A203" s="3" t="s">
        <v>55</v>
      </c>
      <c r="B203" s="3" t="s">
        <v>22</v>
      </c>
      <c r="C203" s="3" t="s">
        <v>23</v>
      </c>
      <c r="D203" s="3" t="s">
        <v>24</v>
      </c>
      <c r="E203" s="3" t="s">
        <v>29</v>
      </c>
      <c r="F203" s="3" t="s">
        <v>25</v>
      </c>
      <c r="G203" s="3" t="s">
        <v>25</v>
      </c>
      <c r="H203" s="3" t="s">
        <v>25</v>
      </c>
      <c r="I203" s="6">
        <v>44835</v>
      </c>
      <c r="J203" s="4">
        <v>0</v>
      </c>
      <c r="K203" s="4">
        <v>0</v>
      </c>
      <c r="L203" s="4">
        <v>-0.44500000000000001</v>
      </c>
      <c r="M203" s="4">
        <v>-0.44500000000000001</v>
      </c>
      <c r="N203" s="4">
        <v>-0.44500000000000001</v>
      </c>
      <c r="O203" s="4">
        <v>-0.44500000000000001</v>
      </c>
      <c r="P203" s="4">
        <v>1</v>
      </c>
      <c r="Q203" s="3" t="s">
        <v>26</v>
      </c>
      <c r="R203" s="3">
        <v>0</v>
      </c>
      <c r="S203" s="3">
        <v>0</v>
      </c>
      <c r="T203" s="3">
        <v>17</v>
      </c>
      <c r="U203" s="3">
        <v>60</v>
      </c>
      <c r="V203" s="4">
        <f>IF(ISERROR(VLOOKUP($S$203,'TAR FIN'!$A$1:$O$92,15,0)),0,VLOOKUP($S$203,'TAR FIN'!$A$1:$O$92,15,0))</f>
        <v>0</v>
      </c>
      <c r="W203" s="4">
        <f>IF(ISERROR(VLOOKUP($T$203,'TAR FIN'!$A$1:$O$92,15,0)),0,VLOOKUP($T$203,'TAR FIN'!$A$1:$O$92,15,0))</f>
        <v>94.27</v>
      </c>
      <c r="X203" s="4">
        <f>IF(ISERROR(VLOOKUP($U$203,'TAR FIN'!$A$1:$O$92,15,0)),0,VLOOKUP($U$203,'TAR FIN'!$A$1:$O$92,15,0))</f>
        <v>94.11</v>
      </c>
      <c r="Y203" s="4"/>
      <c r="Z203" s="4">
        <f ca="1">('TUSD BE'!$AM$21+'TUSD BF'!$AM$21+'TUSD CVA'!$AM$21-('TUSD BE'!$P$21+'TUSD BF'!$P$21+'TUSD CVA'!$P$21)-('TUSD BE'!$Q$21+'TUSD BF'!$Q$21+'TUSD CVA'!$Q$21)-('TUSD BE'!$R$21+'TUSD BF'!$R$21+'TUSD CVA'!$R$21))*(1-CUSTOS!$M$34)</f>
        <v>118.94647255801229</v>
      </c>
      <c r="AA203" s="4">
        <f>('TE BE'!$AB$12+'TE BF'!$AB$12+'TE CVA'!$AB$12)*(1-CUSTOS!$M$34)</f>
        <v>117.66142824392278</v>
      </c>
      <c r="AB203" s="4">
        <f t="shared" si="12"/>
        <v>0</v>
      </c>
      <c r="AC203" s="4">
        <f>(L203-M203)*(W203+X203)+($W$252+$X$252-$W$203-$X$203)*(L203)</f>
        <v>-155.68325000000002</v>
      </c>
      <c r="AD203" s="4">
        <f t="shared" si="13"/>
        <v>0</v>
      </c>
      <c r="AE203" s="4">
        <f ca="1">(L203-M203)*(Z203+AA203)+($Z$252+$AA$252-$Z$203-$AA$203)*(L203)</f>
        <v>-195.53952944845639</v>
      </c>
      <c r="AF203" s="3" t="s">
        <v>754</v>
      </c>
    </row>
    <row r="204" spans="1:32" ht="11.25" customHeight="1" x14ac:dyDescent="0.25">
      <c r="A204" s="3" t="s">
        <v>21</v>
      </c>
      <c r="B204" s="3" t="s">
        <v>22</v>
      </c>
      <c r="C204" s="3" t="s">
        <v>23</v>
      </c>
      <c r="D204" s="3" t="s">
        <v>24</v>
      </c>
      <c r="E204" s="3" t="s">
        <v>30</v>
      </c>
      <c r="F204" s="3" t="s">
        <v>25</v>
      </c>
      <c r="G204" s="3" t="s">
        <v>25</v>
      </c>
      <c r="H204" s="3" t="s">
        <v>25</v>
      </c>
      <c r="I204" s="6">
        <v>44501</v>
      </c>
      <c r="J204" s="4">
        <v>0</v>
      </c>
      <c r="K204" s="4">
        <v>0</v>
      </c>
      <c r="L204" s="4">
        <v>1731.1079999999999</v>
      </c>
      <c r="M204" s="4">
        <v>1731.1079999999999</v>
      </c>
      <c r="N204" s="4">
        <v>1731.1079999999999</v>
      </c>
      <c r="O204" s="4">
        <v>1731.1079999999999</v>
      </c>
      <c r="P204" s="4">
        <v>3868</v>
      </c>
      <c r="Q204" s="3" t="s">
        <v>26</v>
      </c>
      <c r="R204" s="3">
        <v>0</v>
      </c>
      <c r="S204" s="3">
        <v>0</v>
      </c>
      <c r="T204" s="3">
        <v>39</v>
      </c>
      <c r="U204" s="3">
        <v>80</v>
      </c>
      <c r="V204" s="4">
        <f>IF(ISERROR(VLOOKUP($S$204,'TAR FIN'!$A$1:$O$92,15,0)),0,VLOOKUP($S$204,'TAR FIN'!$A$1:$O$92,15,0))</f>
        <v>0</v>
      </c>
      <c r="W204" s="4">
        <f>IF(ISERROR(VLOOKUP($T$204,'TAR FIN'!$A$1:$O$92,15,0)),0,VLOOKUP($T$204,'TAR FIN'!$A$1:$O$92,15,0))</f>
        <v>161.61000000000001</v>
      </c>
      <c r="X204" s="4">
        <f>IF(ISERROR(VLOOKUP($U$204,'TAR FIN'!$A$1:$O$92,15,0)),0,VLOOKUP($U$204,'TAR FIN'!$A$1:$O$92,15,0))</f>
        <v>161.34</v>
      </c>
      <c r="Y204" s="4"/>
      <c r="Z204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4" s="4">
        <f>('TE BE'!$AB$13+'TE BF'!$AB$13+'TE CVA'!$AB$13)*(1-CUSTOS!$M$35)</f>
        <v>201.70530556101048</v>
      </c>
      <c r="AB204" s="4">
        <f t="shared" si="12"/>
        <v>0</v>
      </c>
      <c r="AC204" s="4">
        <f>(L204-M204)*(W204+X204)+($W$252+$X$252-$W$204-$X$204)*(L204)</f>
        <v>372672.93024000002</v>
      </c>
      <c r="AD204" s="4">
        <f t="shared" si="13"/>
        <v>0</v>
      </c>
      <c r="AE204" s="4">
        <f ca="1">(L204-M204)*(Z204+AA204)+($Z$252+$AA$252-$Z$204-$AA$204)*(L204)</f>
        <v>468107.23421878438</v>
      </c>
      <c r="AF204" s="3" t="s">
        <v>754</v>
      </c>
    </row>
    <row r="205" spans="1:32" ht="11.25" customHeight="1" x14ac:dyDescent="0.25">
      <c r="A205" s="3" t="s">
        <v>27</v>
      </c>
      <c r="B205" s="3" t="s">
        <v>22</v>
      </c>
      <c r="C205" s="3" t="s">
        <v>23</v>
      </c>
      <c r="D205" s="3" t="s">
        <v>24</v>
      </c>
      <c r="E205" s="3" t="s">
        <v>30</v>
      </c>
      <c r="F205" s="3" t="s">
        <v>25</v>
      </c>
      <c r="G205" s="3" t="s">
        <v>25</v>
      </c>
      <c r="H205" s="3" t="s">
        <v>25</v>
      </c>
      <c r="I205" s="6">
        <v>44501</v>
      </c>
      <c r="J205" s="4">
        <v>0</v>
      </c>
      <c r="K205" s="4">
        <v>0</v>
      </c>
      <c r="L205" s="4">
        <v>-1.635</v>
      </c>
      <c r="M205" s="4">
        <v>-1.635</v>
      </c>
      <c r="N205" s="4">
        <v>-1.635</v>
      </c>
      <c r="O205" s="4">
        <v>-1.635</v>
      </c>
      <c r="P205" s="4">
        <v>-9</v>
      </c>
      <c r="Q205" s="3" t="s">
        <v>26</v>
      </c>
      <c r="R205" s="3">
        <v>0</v>
      </c>
      <c r="S205" s="3">
        <v>0</v>
      </c>
      <c r="T205" s="3">
        <v>39</v>
      </c>
      <c r="U205" s="3">
        <v>80</v>
      </c>
      <c r="V205" s="4">
        <f>IF(ISERROR(VLOOKUP($S$205,'TAR FIN'!$A$1:$O$92,15,0)),0,VLOOKUP($S$205,'TAR FIN'!$A$1:$O$92,15,0))</f>
        <v>0</v>
      </c>
      <c r="W205" s="4">
        <f>IF(ISERROR(VLOOKUP($T$205,'TAR FIN'!$A$1:$O$92,15,0)),0,VLOOKUP($T$205,'TAR FIN'!$A$1:$O$92,15,0))</f>
        <v>161.61000000000001</v>
      </c>
      <c r="X205" s="4">
        <f>IF(ISERROR(VLOOKUP($U$205,'TAR FIN'!$A$1:$O$92,15,0)),0,VLOOKUP($U$205,'TAR FIN'!$A$1:$O$92,15,0))</f>
        <v>161.34</v>
      </c>
      <c r="Y205" s="4"/>
      <c r="Z205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5" s="4">
        <f>('TE BE'!$AB$13+'TE BF'!$AB$13+'TE CVA'!$AB$13)*(1-CUSTOS!$M$35)</f>
        <v>201.70530556101048</v>
      </c>
      <c r="AB205" s="4">
        <f t="shared" si="12"/>
        <v>0</v>
      </c>
      <c r="AC205" s="4">
        <f>(L205-M205)*(W205+X205)+($W$252+$X$252-$W$205-$X$205)*(L205)</f>
        <v>-351.9828</v>
      </c>
      <c r="AD205" s="4">
        <f t="shared" si="13"/>
        <v>0</v>
      </c>
      <c r="AE205" s="4">
        <f ca="1">(L205-M205)*(Z205+AA205)+($Z$252+$AA$252-$Z$205-$AA$205)*(L205)</f>
        <v>-442.11876321275878</v>
      </c>
      <c r="AF205" s="3" t="s">
        <v>754</v>
      </c>
    </row>
    <row r="206" spans="1:32" ht="11.25" customHeight="1" x14ac:dyDescent="0.25">
      <c r="A206" s="3" t="s">
        <v>21</v>
      </c>
      <c r="B206" s="3" t="s">
        <v>22</v>
      </c>
      <c r="C206" s="3" t="s">
        <v>23</v>
      </c>
      <c r="D206" s="3" t="s">
        <v>24</v>
      </c>
      <c r="E206" s="3" t="s">
        <v>30</v>
      </c>
      <c r="F206" s="3" t="s">
        <v>25</v>
      </c>
      <c r="G206" s="3" t="s">
        <v>25</v>
      </c>
      <c r="H206" s="3" t="s">
        <v>25</v>
      </c>
      <c r="I206" s="6">
        <v>44531</v>
      </c>
      <c r="J206" s="4">
        <v>0</v>
      </c>
      <c r="K206" s="4">
        <v>0</v>
      </c>
      <c r="L206" s="4">
        <v>1730.51</v>
      </c>
      <c r="M206" s="4">
        <v>1730.51</v>
      </c>
      <c r="N206" s="4">
        <v>1730.51</v>
      </c>
      <c r="O206" s="4">
        <v>1730.51</v>
      </c>
      <c r="P206" s="4">
        <v>4163</v>
      </c>
      <c r="Q206" s="3" t="s">
        <v>26</v>
      </c>
      <c r="R206" s="3">
        <v>0</v>
      </c>
      <c r="S206" s="3">
        <v>0</v>
      </c>
      <c r="T206" s="3">
        <v>39</v>
      </c>
      <c r="U206" s="3">
        <v>80</v>
      </c>
      <c r="V206" s="4">
        <f>IF(ISERROR(VLOOKUP($S$206,'TAR FIN'!$A$1:$O$92,15,0)),0,VLOOKUP($S$206,'TAR FIN'!$A$1:$O$92,15,0))</f>
        <v>0</v>
      </c>
      <c r="W206" s="4">
        <f>IF(ISERROR(VLOOKUP($T$206,'TAR FIN'!$A$1:$O$92,15,0)),0,VLOOKUP($T$206,'TAR FIN'!$A$1:$O$92,15,0))</f>
        <v>161.61000000000001</v>
      </c>
      <c r="X206" s="4">
        <f>IF(ISERROR(VLOOKUP($U$206,'TAR FIN'!$A$1:$O$92,15,0)),0,VLOOKUP($U$206,'TAR FIN'!$A$1:$O$92,15,0))</f>
        <v>161.34</v>
      </c>
      <c r="Y206" s="4"/>
      <c r="Z206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6" s="4">
        <f>('TE BE'!$AB$13+'TE BF'!$AB$13+'TE CVA'!$AB$13)*(1-CUSTOS!$M$35)</f>
        <v>201.70530556101048</v>
      </c>
      <c r="AB206" s="4">
        <f t="shared" si="12"/>
        <v>0</v>
      </c>
      <c r="AC206" s="4">
        <f>(L206-M206)*(W206+X206)+($W$252+$X$252-$W$206-$X$206)*(L206)</f>
        <v>372544.19280000002</v>
      </c>
      <c r="AD206" s="4">
        <f t="shared" si="13"/>
        <v>0</v>
      </c>
      <c r="AE206" s="4">
        <f ca="1">(L206-M206)*(Z206+AA206)+($Z$252+$AA$252-$Z$206-$AA$206)*(L206)</f>
        <v>467945.52961915056</v>
      </c>
      <c r="AF206" s="3" t="s">
        <v>754</v>
      </c>
    </row>
    <row r="207" spans="1:32" ht="11.25" customHeight="1" x14ac:dyDescent="0.25">
      <c r="A207" s="3" t="s">
        <v>27</v>
      </c>
      <c r="B207" s="3" t="s">
        <v>22</v>
      </c>
      <c r="C207" s="3" t="s">
        <v>23</v>
      </c>
      <c r="D207" s="3" t="s">
        <v>24</v>
      </c>
      <c r="E207" s="3" t="s">
        <v>30</v>
      </c>
      <c r="F207" s="3" t="s">
        <v>25</v>
      </c>
      <c r="G207" s="3" t="s">
        <v>25</v>
      </c>
      <c r="H207" s="3" t="s">
        <v>25</v>
      </c>
      <c r="I207" s="6">
        <v>44531</v>
      </c>
      <c r="J207" s="4">
        <v>0</v>
      </c>
      <c r="K207" s="4">
        <v>0</v>
      </c>
      <c r="L207" s="4">
        <v>-0.10199999999999999</v>
      </c>
      <c r="M207" s="4">
        <v>-0.10199999999999999</v>
      </c>
      <c r="N207" s="4">
        <v>-0.10199999999999999</v>
      </c>
      <c r="O207" s="4">
        <v>-0.10199999999999999</v>
      </c>
      <c r="P207" s="4">
        <v>1</v>
      </c>
      <c r="Q207" s="3" t="s">
        <v>26</v>
      </c>
      <c r="R207" s="3">
        <v>0</v>
      </c>
      <c r="S207" s="3">
        <v>0</v>
      </c>
      <c r="T207" s="3">
        <v>39</v>
      </c>
      <c r="U207" s="3">
        <v>80</v>
      </c>
      <c r="V207" s="4">
        <f>IF(ISERROR(VLOOKUP($S$207,'TAR FIN'!$A$1:$O$92,15,0)),0,VLOOKUP($S$207,'TAR FIN'!$A$1:$O$92,15,0))</f>
        <v>0</v>
      </c>
      <c r="W207" s="4">
        <f>IF(ISERROR(VLOOKUP($T$207,'TAR FIN'!$A$1:$O$92,15,0)),0,VLOOKUP($T$207,'TAR FIN'!$A$1:$O$92,15,0))</f>
        <v>161.61000000000001</v>
      </c>
      <c r="X207" s="4">
        <f>IF(ISERROR(VLOOKUP($U$207,'TAR FIN'!$A$1:$O$92,15,0)),0,VLOOKUP($U$207,'TAR FIN'!$A$1:$O$92,15,0))</f>
        <v>161.34</v>
      </c>
      <c r="Y207" s="4"/>
      <c r="Z207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7" s="4">
        <f>('TE BE'!$AB$13+'TE BF'!$AB$13+'TE CVA'!$AB$13)*(1-CUSTOS!$M$35)</f>
        <v>201.70530556101048</v>
      </c>
      <c r="AB207" s="4">
        <f t="shared" si="12"/>
        <v>0</v>
      </c>
      <c r="AC207" s="4">
        <f>(L207-M207)*(W207+X207)+($W$252+$X$252-$W$207-$X$207)*(L207)</f>
        <v>-21.958559999999999</v>
      </c>
      <c r="AD207" s="4">
        <f t="shared" si="13"/>
        <v>0</v>
      </c>
      <c r="AE207" s="4">
        <f ca="1">(L207-M207)*(Z207+AA207)+($Z$252+$AA$252-$Z$207-$AA$207)*(L207)</f>
        <v>-27.581721007768436</v>
      </c>
      <c r="AF207" s="3" t="s">
        <v>754</v>
      </c>
    </row>
    <row r="208" spans="1:32" ht="11.25" customHeight="1" x14ac:dyDescent="0.25">
      <c r="A208" s="3" t="s">
        <v>21</v>
      </c>
      <c r="B208" s="3" t="s">
        <v>22</v>
      </c>
      <c r="C208" s="3" t="s">
        <v>23</v>
      </c>
      <c r="D208" s="3" t="s">
        <v>24</v>
      </c>
      <c r="E208" s="3" t="s">
        <v>30</v>
      </c>
      <c r="F208" s="3" t="s">
        <v>25</v>
      </c>
      <c r="G208" s="3" t="s">
        <v>25</v>
      </c>
      <c r="H208" s="3" t="s">
        <v>25</v>
      </c>
      <c r="I208" s="6">
        <v>44562</v>
      </c>
      <c r="J208" s="4">
        <v>0</v>
      </c>
      <c r="K208" s="4">
        <v>0</v>
      </c>
      <c r="L208" s="4">
        <v>1734.8710000000001</v>
      </c>
      <c r="M208" s="4">
        <v>1734.8710000000001</v>
      </c>
      <c r="N208" s="4">
        <v>1734.8710000000001</v>
      </c>
      <c r="O208" s="4">
        <v>1734.8710000000001</v>
      </c>
      <c r="P208" s="4">
        <v>4783</v>
      </c>
      <c r="Q208" s="3" t="s">
        <v>26</v>
      </c>
      <c r="R208" s="3">
        <v>0</v>
      </c>
      <c r="S208" s="3">
        <v>0</v>
      </c>
      <c r="T208" s="3">
        <v>39</v>
      </c>
      <c r="U208" s="3">
        <v>80</v>
      </c>
      <c r="V208" s="4">
        <f>IF(ISERROR(VLOOKUP($S$208,'TAR FIN'!$A$1:$O$92,15,0)),0,VLOOKUP($S$208,'TAR FIN'!$A$1:$O$92,15,0))</f>
        <v>0</v>
      </c>
      <c r="W208" s="4">
        <f>IF(ISERROR(VLOOKUP($T$208,'TAR FIN'!$A$1:$O$92,15,0)),0,VLOOKUP($T$208,'TAR FIN'!$A$1:$O$92,15,0))</f>
        <v>161.61000000000001</v>
      </c>
      <c r="X208" s="4">
        <f>IF(ISERROR(VLOOKUP($U$208,'TAR FIN'!$A$1:$O$92,15,0)),0,VLOOKUP($U$208,'TAR FIN'!$A$1:$O$92,15,0))</f>
        <v>161.34</v>
      </c>
      <c r="Y208" s="4"/>
      <c r="Z208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8" s="4">
        <f>('TE BE'!$AB$13+'TE BF'!$AB$13+'TE CVA'!$AB$13)*(1-CUSTOS!$M$35)</f>
        <v>201.70530556101048</v>
      </c>
      <c r="AB208" s="4">
        <f t="shared" si="12"/>
        <v>0</v>
      </c>
      <c r="AC208" s="4">
        <f>(L208-M208)*(W208+X208)+($W$252+$X$252-$W$208-$X$208)*(L208)</f>
        <v>373483.02888</v>
      </c>
      <c r="AD208" s="4">
        <f t="shared" si="13"/>
        <v>0</v>
      </c>
      <c r="AE208" s="4">
        <f ca="1">(L208-M208)*(Z208+AA208)+($Z$252+$AA$252-$Z$208-$AA$208)*(L208)</f>
        <v>469124.78339674743</v>
      </c>
      <c r="AF208" s="3" t="s">
        <v>754</v>
      </c>
    </row>
    <row r="209" spans="1:32" ht="11.25" customHeight="1" x14ac:dyDescent="0.25">
      <c r="A209" s="3" t="s">
        <v>27</v>
      </c>
      <c r="B209" s="3" t="s">
        <v>22</v>
      </c>
      <c r="C209" s="3" t="s">
        <v>23</v>
      </c>
      <c r="D209" s="3" t="s">
        <v>24</v>
      </c>
      <c r="E209" s="3" t="s">
        <v>30</v>
      </c>
      <c r="F209" s="3" t="s">
        <v>25</v>
      </c>
      <c r="G209" s="3" t="s">
        <v>25</v>
      </c>
      <c r="H209" s="3" t="s">
        <v>25</v>
      </c>
      <c r="I209" s="6">
        <v>44562</v>
      </c>
      <c r="J209" s="4">
        <v>0</v>
      </c>
      <c r="K209" s="4">
        <v>0</v>
      </c>
      <c r="L209" s="4">
        <v>8.5000000000000006E-2</v>
      </c>
      <c r="M209" s="4">
        <v>8.5000000000000006E-2</v>
      </c>
      <c r="N209" s="4">
        <v>8.5000000000000006E-2</v>
      </c>
      <c r="O209" s="4">
        <v>8.5000000000000006E-2</v>
      </c>
      <c r="P209" s="4">
        <v>2</v>
      </c>
      <c r="Q209" s="3" t="s">
        <v>26</v>
      </c>
      <c r="R209" s="3">
        <v>0</v>
      </c>
      <c r="S209" s="3">
        <v>0</v>
      </c>
      <c r="T209" s="3">
        <v>39</v>
      </c>
      <c r="U209" s="3">
        <v>80</v>
      </c>
      <c r="V209" s="4">
        <f>IF(ISERROR(VLOOKUP($S$209,'TAR FIN'!$A$1:$O$92,15,0)),0,VLOOKUP($S$209,'TAR FIN'!$A$1:$O$92,15,0))</f>
        <v>0</v>
      </c>
      <c r="W209" s="4">
        <f>IF(ISERROR(VLOOKUP($T$209,'TAR FIN'!$A$1:$O$92,15,0)),0,VLOOKUP($T$209,'TAR FIN'!$A$1:$O$92,15,0))</f>
        <v>161.61000000000001</v>
      </c>
      <c r="X209" s="4">
        <f>IF(ISERROR(VLOOKUP($U$209,'TAR FIN'!$A$1:$O$92,15,0)),0,VLOOKUP($U$209,'TAR FIN'!$A$1:$O$92,15,0))</f>
        <v>161.34</v>
      </c>
      <c r="Y209" s="4"/>
      <c r="Z209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09" s="4">
        <f>('TE BE'!$AB$13+'TE BF'!$AB$13+'TE CVA'!$AB$13)*(1-CUSTOS!$M$35)</f>
        <v>201.70530556101048</v>
      </c>
      <c r="AB209" s="4">
        <f t="shared" si="12"/>
        <v>0</v>
      </c>
      <c r="AC209" s="4">
        <f>(L209-M209)*(W209+X209)+($W$252+$X$252-$W$209-$X$209)*(L209)</f>
        <v>18.2988</v>
      </c>
      <c r="AD209" s="4">
        <f t="shared" si="13"/>
        <v>0</v>
      </c>
      <c r="AE209" s="4">
        <f ca="1">(L209-M209)*(Z209+AA209)+($Z$252+$AA$252-$Z$209-$AA$209)*(L209)</f>
        <v>22.984767506473702</v>
      </c>
      <c r="AF209" s="3" t="s">
        <v>754</v>
      </c>
    </row>
    <row r="210" spans="1:32" ht="11.25" customHeight="1" x14ac:dyDescent="0.25">
      <c r="A210" s="3" t="s">
        <v>21</v>
      </c>
      <c r="B210" s="3" t="s">
        <v>22</v>
      </c>
      <c r="C210" s="3" t="s">
        <v>23</v>
      </c>
      <c r="D210" s="3" t="s">
        <v>24</v>
      </c>
      <c r="E210" s="3" t="s">
        <v>30</v>
      </c>
      <c r="F210" s="3" t="s">
        <v>25</v>
      </c>
      <c r="G210" s="3" t="s">
        <v>25</v>
      </c>
      <c r="H210" s="3" t="s">
        <v>25</v>
      </c>
      <c r="I210" s="6">
        <v>44593</v>
      </c>
      <c r="J210" s="4">
        <v>0</v>
      </c>
      <c r="K210" s="4">
        <v>0</v>
      </c>
      <c r="L210" s="4">
        <v>1761.0409999999999</v>
      </c>
      <c r="M210" s="4">
        <v>1761.0409999999999</v>
      </c>
      <c r="N210" s="4">
        <v>1761.0409999999999</v>
      </c>
      <c r="O210" s="4">
        <v>1761.0409999999999</v>
      </c>
      <c r="P210" s="4">
        <v>4598</v>
      </c>
      <c r="Q210" s="3" t="s">
        <v>26</v>
      </c>
      <c r="R210" s="3">
        <v>0</v>
      </c>
      <c r="S210" s="3">
        <v>0</v>
      </c>
      <c r="T210" s="3">
        <v>39</v>
      </c>
      <c r="U210" s="3">
        <v>80</v>
      </c>
      <c r="V210" s="4">
        <f>IF(ISERROR(VLOOKUP($S$210,'TAR FIN'!$A$1:$O$92,15,0)),0,VLOOKUP($S$210,'TAR FIN'!$A$1:$O$92,15,0))</f>
        <v>0</v>
      </c>
      <c r="W210" s="4">
        <f>IF(ISERROR(VLOOKUP($T$210,'TAR FIN'!$A$1:$O$92,15,0)),0,VLOOKUP($T$210,'TAR FIN'!$A$1:$O$92,15,0))</f>
        <v>161.61000000000001</v>
      </c>
      <c r="X210" s="4">
        <f>IF(ISERROR(VLOOKUP($U$210,'TAR FIN'!$A$1:$O$92,15,0)),0,VLOOKUP($U$210,'TAR FIN'!$A$1:$O$92,15,0))</f>
        <v>161.34</v>
      </c>
      <c r="Y210" s="4"/>
      <c r="Z210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0" s="4">
        <f>('TE BE'!$AB$13+'TE BF'!$AB$13+'TE CVA'!$AB$13)*(1-CUSTOS!$M$35)</f>
        <v>201.70530556101048</v>
      </c>
      <c r="AB210" s="4">
        <f t="shared" si="12"/>
        <v>0</v>
      </c>
      <c r="AC210" s="4">
        <f>(L210-M210)*(W210+X210)+($W$252+$X$252-$W$210-$X$210)*(L210)</f>
        <v>379116.90648000001</v>
      </c>
      <c r="AD210" s="4">
        <f t="shared" si="13"/>
        <v>0</v>
      </c>
      <c r="AE210" s="4">
        <f ca="1">(L210-M210)*(Z210+AA210)+($Z$252+$AA$252-$Z$210-$AA$210)*(L210)</f>
        <v>476201.38769844646</v>
      </c>
      <c r="AF210" s="3" t="s">
        <v>754</v>
      </c>
    </row>
    <row r="211" spans="1:32" ht="11.25" customHeight="1" x14ac:dyDescent="0.25">
      <c r="A211" s="3" t="s">
        <v>27</v>
      </c>
      <c r="B211" s="3" t="s">
        <v>22</v>
      </c>
      <c r="C211" s="3" t="s">
        <v>23</v>
      </c>
      <c r="D211" s="3" t="s">
        <v>24</v>
      </c>
      <c r="E211" s="3" t="s">
        <v>30</v>
      </c>
      <c r="F211" s="3" t="s">
        <v>25</v>
      </c>
      <c r="G211" s="3" t="s">
        <v>25</v>
      </c>
      <c r="H211" s="3" t="s">
        <v>25</v>
      </c>
      <c r="I211" s="6">
        <v>44593</v>
      </c>
      <c r="J211" s="4">
        <v>0</v>
      </c>
      <c r="K211" s="4">
        <v>0</v>
      </c>
      <c r="L211" s="4">
        <v>-0.42799999999999999</v>
      </c>
      <c r="M211" s="4">
        <v>-0.42799999999999999</v>
      </c>
      <c r="N211" s="4">
        <v>-0.42799999999999999</v>
      </c>
      <c r="O211" s="4">
        <v>-0.42799999999999999</v>
      </c>
      <c r="P211" s="4">
        <v>4</v>
      </c>
      <c r="Q211" s="3" t="s">
        <v>26</v>
      </c>
      <c r="R211" s="3">
        <v>0</v>
      </c>
      <c r="S211" s="3">
        <v>0</v>
      </c>
      <c r="T211" s="3">
        <v>39</v>
      </c>
      <c r="U211" s="3">
        <v>80</v>
      </c>
      <c r="V211" s="4">
        <f>IF(ISERROR(VLOOKUP($S$211,'TAR FIN'!$A$1:$O$92,15,0)),0,VLOOKUP($S$211,'TAR FIN'!$A$1:$O$92,15,0))</f>
        <v>0</v>
      </c>
      <c r="W211" s="4">
        <f>IF(ISERROR(VLOOKUP($T$211,'TAR FIN'!$A$1:$O$92,15,0)),0,VLOOKUP($T$211,'TAR FIN'!$A$1:$O$92,15,0))</f>
        <v>161.61000000000001</v>
      </c>
      <c r="X211" s="4">
        <f>IF(ISERROR(VLOOKUP($U$211,'TAR FIN'!$A$1:$O$92,15,0)),0,VLOOKUP($U$211,'TAR FIN'!$A$1:$O$92,15,0))</f>
        <v>161.34</v>
      </c>
      <c r="Y211" s="4"/>
      <c r="Z211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1" s="4">
        <f>('TE BE'!$AB$13+'TE BF'!$AB$13+'TE CVA'!$AB$13)*(1-CUSTOS!$M$35)</f>
        <v>201.70530556101048</v>
      </c>
      <c r="AB211" s="4">
        <f t="shared" si="12"/>
        <v>0</v>
      </c>
      <c r="AC211" s="4">
        <f>(L211-M211)*(W211+X211)+($W$252+$X$252-$W$211-$X$211)*(L211)</f>
        <v>-92.139839999999992</v>
      </c>
      <c r="AD211" s="4">
        <f t="shared" si="13"/>
        <v>0</v>
      </c>
      <c r="AE211" s="4">
        <f ca="1">(L211-M211)*(Z211+AA211)+($Z$252+$AA$252-$Z$211-$AA$211)*(L211)</f>
        <v>-115.73506462083226</v>
      </c>
      <c r="AF211" s="3" t="s">
        <v>754</v>
      </c>
    </row>
    <row r="212" spans="1:32" ht="11.25" customHeight="1" x14ac:dyDescent="0.25">
      <c r="A212" s="3" t="s">
        <v>21</v>
      </c>
      <c r="B212" s="3" t="s">
        <v>22</v>
      </c>
      <c r="C212" s="3" t="s">
        <v>23</v>
      </c>
      <c r="D212" s="3" t="s">
        <v>24</v>
      </c>
      <c r="E212" s="3" t="s">
        <v>30</v>
      </c>
      <c r="F212" s="3" t="s">
        <v>25</v>
      </c>
      <c r="G212" s="3" t="s">
        <v>25</v>
      </c>
      <c r="H212" s="3" t="s">
        <v>25</v>
      </c>
      <c r="I212" s="6">
        <v>44621</v>
      </c>
      <c r="J212" s="4">
        <v>0</v>
      </c>
      <c r="K212" s="4">
        <v>0</v>
      </c>
      <c r="L212" s="4">
        <v>1807.567</v>
      </c>
      <c r="M212" s="4">
        <v>1807.567</v>
      </c>
      <c r="N212" s="4">
        <v>1807.567</v>
      </c>
      <c r="O212" s="4">
        <v>1807.567</v>
      </c>
      <c r="P212" s="4">
        <v>4461</v>
      </c>
      <c r="Q212" s="3" t="s">
        <v>26</v>
      </c>
      <c r="R212" s="3">
        <v>0</v>
      </c>
      <c r="S212" s="3">
        <v>0</v>
      </c>
      <c r="T212" s="3">
        <v>39</v>
      </c>
      <c r="U212" s="3">
        <v>80</v>
      </c>
      <c r="V212" s="4">
        <f>IF(ISERROR(VLOOKUP($S$212,'TAR FIN'!$A$1:$O$92,15,0)),0,VLOOKUP($S$212,'TAR FIN'!$A$1:$O$92,15,0))</f>
        <v>0</v>
      </c>
      <c r="W212" s="4">
        <f>IF(ISERROR(VLOOKUP($T$212,'TAR FIN'!$A$1:$O$92,15,0)),0,VLOOKUP($T$212,'TAR FIN'!$A$1:$O$92,15,0))</f>
        <v>161.61000000000001</v>
      </c>
      <c r="X212" s="4">
        <f>IF(ISERROR(VLOOKUP($U$212,'TAR FIN'!$A$1:$O$92,15,0)),0,VLOOKUP($U$212,'TAR FIN'!$A$1:$O$92,15,0))</f>
        <v>161.34</v>
      </c>
      <c r="Y212" s="4"/>
      <c r="Z212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2" s="4">
        <f>('TE BE'!$AB$13+'TE BF'!$AB$13+'TE CVA'!$AB$13)*(1-CUSTOS!$M$35)</f>
        <v>201.70530556101048</v>
      </c>
      <c r="AB212" s="4">
        <f t="shared" si="12"/>
        <v>0</v>
      </c>
      <c r="AC212" s="4">
        <f>(L212-M212)*(W212+X212)+($W$252+$X$252-$W$212-$X$212)*(L212)</f>
        <v>389133.02376000001</v>
      </c>
      <c r="AD212" s="4">
        <f t="shared" si="13"/>
        <v>0</v>
      </c>
      <c r="AE212" s="4">
        <f ca="1">(L212-M212)*(Z212+AA212)+($Z$252+$AA$252-$Z$212-$AA$212)*(L212)</f>
        <v>488782.4382044017</v>
      </c>
      <c r="AF212" s="3" t="s">
        <v>754</v>
      </c>
    </row>
    <row r="213" spans="1:32" ht="11.25" customHeight="1" x14ac:dyDescent="0.25">
      <c r="A213" s="3" t="s">
        <v>27</v>
      </c>
      <c r="B213" s="3" t="s">
        <v>22</v>
      </c>
      <c r="C213" s="3" t="s">
        <v>23</v>
      </c>
      <c r="D213" s="3" t="s">
        <v>24</v>
      </c>
      <c r="E213" s="3" t="s">
        <v>30</v>
      </c>
      <c r="F213" s="3" t="s">
        <v>25</v>
      </c>
      <c r="G213" s="3" t="s">
        <v>25</v>
      </c>
      <c r="H213" s="3" t="s">
        <v>25</v>
      </c>
      <c r="I213" s="6">
        <v>44621</v>
      </c>
      <c r="J213" s="4">
        <v>0</v>
      </c>
      <c r="K213" s="4">
        <v>0</v>
      </c>
      <c r="L213" s="4">
        <v>0.02</v>
      </c>
      <c r="M213" s="4">
        <v>0.02</v>
      </c>
      <c r="N213" s="4">
        <v>0.02</v>
      </c>
      <c r="O213" s="4">
        <v>0.02</v>
      </c>
      <c r="P213" s="4">
        <v>1</v>
      </c>
      <c r="Q213" s="3" t="s">
        <v>26</v>
      </c>
      <c r="R213" s="3">
        <v>0</v>
      </c>
      <c r="S213" s="3">
        <v>0</v>
      </c>
      <c r="T213" s="3">
        <v>39</v>
      </c>
      <c r="U213" s="3">
        <v>80</v>
      </c>
      <c r="V213" s="4">
        <f>IF(ISERROR(VLOOKUP($S$213,'TAR FIN'!$A$1:$O$92,15,0)),0,VLOOKUP($S$213,'TAR FIN'!$A$1:$O$92,15,0))</f>
        <v>0</v>
      </c>
      <c r="W213" s="4">
        <f>IF(ISERROR(VLOOKUP($T$213,'TAR FIN'!$A$1:$O$92,15,0)),0,VLOOKUP($T$213,'TAR FIN'!$A$1:$O$92,15,0))</f>
        <v>161.61000000000001</v>
      </c>
      <c r="X213" s="4">
        <f>IF(ISERROR(VLOOKUP($U$213,'TAR FIN'!$A$1:$O$92,15,0)),0,VLOOKUP($U$213,'TAR FIN'!$A$1:$O$92,15,0))</f>
        <v>161.34</v>
      </c>
      <c r="Y213" s="4"/>
      <c r="Z213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3" s="4">
        <f>('TE BE'!$AB$13+'TE BF'!$AB$13+'TE CVA'!$AB$13)*(1-CUSTOS!$M$35)</f>
        <v>201.70530556101048</v>
      </c>
      <c r="AB213" s="4">
        <f t="shared" si="12"/>
        <v>0</v>
      </c>
      <c r="AC213" s="4">
        <f>(L213-M213)*(W213+X213)+($W$252+$X$252-$W$213-$X$213)*(L213)</f>
        <v>4.3056000000000001</v>
      </c>
      <c r="AD213" s="4">
        <f t="shared" si="13"/>
        <v>0</v>
      </c>
      <c r="AE213" s="4">
        <f ca="1">(L213-M213)*(Z213+AA213)+($Z$252+$AA$252-$Z$213-$AA$213)*(L213)</f>
        <v>5.4081805897585173</v>
      </c>
      <c r="AF213" s="3" t="s">
        <v>754</v>
      </c>
    </row>
    <row r="214" spans="1:32" ht="11.25" customHeight="1" x14ac:dyDescent="0.25">
      <c r="A214" s="3" t="s">
        <v>21</v>
      </c>
      <c r="B214" s="3" t="s">
        <v>22</v>
      </c>
      <c r="C214" s="3" t="s">
        <v>23</v>
      </c>
      <c r="D214" s="3" t="s">
        <v>24</v>
      </c>
      <c r="E214" s="3" t="s">
        <v>30</v>
      </c>
      <c r="F214" s="3" t="s">
        <v>25</v>
      </c>
      <c r="G214" s="3" t="s">
        <v>25</v>
      </c>
      <c r="H214" s="3" t="s">
        <v>25</v>
      </c>
      <c r="I214" s="6">
        <v>44652</v>
      </c>
      <c r="J214" s="4">
        <v>0</v>
      </c>
      <c r="K214" s="4">
        <v>0</v>
      </c>
      <c r="L214" s="4">
        <v>1807.567</v>
      </c>
      <c r="M214" s="4">
        <v>1807.567</v>
      </c>
      <c r="N214" s="4">
        <v>1807.567</v>
      </c>
      <c r="O214" s="4">
        <v>1807.567</v>
      </c>
      <c r="P214" s="4">
        <v>4461</v>
      </c>
      <c r="Q214" s="3" t="s">
        <v>26</v>
      </c>
      <c r="R214" s="3">
        <v>0</v>
      </c>
      <c r="S214" s="3">
        <v>0</v>
      </c>
      <c r="T214" s="3">
        <v>39</v>
      </c>
      <c r="U214" s="3">
        <v>80</v>
      </c>
      <c r="V214" s="4">
        <f>IF(ISERROR(VLOOKUP($S$214,'TAR FIN'!$A$1:$O$92,15,0)),0,VLOOKUP($S$214,'TAR FIN'!$A$1:$O$92,15,0))</f>
        <v>0</v>
      </c>
      <c r="W214" s="4">
        <f>IF(ISERROR(VLOOKUP($T$214,'TAR FIN'!$A$1:$O$92,15,0)),0,VLOOKUP($T$214,'TAR FIN'!$A$1:$O$92,15,0))</f>
        <v>161.61000000000001</v>
      </c>
      <c r="X214" s="4">
        <f>IF(ISERROR(VLOOKUP($U$214,'TAR FIN'!$A$1:$O$92,15,0)),0,VLOOKUP($U$214,'TAR FIN'!$A$1:$O$92,15,0))</f>
        <v>161.34</v>
      </c>
      <c r="Y214" s="4"/>
      <c r="Z214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4" s="4">
        <f>('TE BE'!$AB$13+'TE BF'!$AB$13+'TE CVA'!$AB$13)*(1-CUSTOS!$M$35)</f>
        <v>201.70530556101048</v>
      </c>
      <c r="AB214" s="4">
        <f t="shared" si="12"/>
        <v>0</v>
      </c>
      <c r="AC214" s="4">
        <f>(L214-M214)*(W214+X214)+($W$252+$X$252-$W$214-$X$214)*(L214)</f>
        <v>389133.02376000001</v>
      </c>
      <c r="AD214" s="4">
        <f t="shared" si="13"/>
        <v>0</v>
      </c>
      <c r="AE214" s="4">
        <f ca="1">(L214-M214)*(Z214+AA214)+($Z$252+$AA$252-$Z$214-$AA$214)*(L214)</f>
        <v>488782.4382044017</v>
      </c>
      <c r="AF214" s="3" t="s">
        <v>754</v>
      </c>
    </row>
    <row r="215" spans="1:32" ht="11.25" customHeight="1" x14ac:dyDescent="0.25">
      <c r="A215" s="3" t="s">
        <v>27</v>
      </c>
      <c r="B215" s="3" t="s">
        <v>22</v>
      </c>
      <c r="C215" s="3" t="s">
        <v>23</v>
      </c>
      <c r="D215" s="3" t="s">
        <v>24</v>
      </c>
      <c r="E215" s="3" t="s">
        <v>30</v>
      </c>
      <c r="F215" s="3" t="s">
        <v>25</v>
      </c>
      <c r="G215" s="3" t="s">
        <v>25</v>
      </c>
      <c r="H215" s="3" t="s">
        <v>25</v>
      </c>
      <c r="I215" s="6">
        <v>44652</v>
      </c>
      <c r="J215" s="4">
        <v>0</v>
      </c>
      <c r="K215" s="4">
        <v>0</v>
      </c>
      <c r="L215" s="4">
        <v>0.02</v>
      </c>
      <c r="M215" s="4">
        <v>0.02</v>
      </c>
      <c r="N215" s="4">
        <v>0.02</v>
      </c>
      <c r="O215" s="4">
        <v>0.02</v>
      </c>
      <c r="P215" s="4">
        <v>1</v>
      </c>
      <c r="Q215" s="3" t="s">
        <v>26</v>
      </c>
      <c r="R215" s="3">
        <v>0</v>
      </c>
      <c r="S215" s="3">
        <v>0</v>
      </c>
      <c r="T215" s="3">
        <v>39</v>
      </c>
      <c r="U215" s="3">
        <v>80</v>
      </c>
      <c r="V215" s="4">
        <f>IF(ISERROR(VLOOKUP($S$215,'TAR FIN'!$A$1:$O$92,15,0)),0,VLOOKUP($S$215,'TAR FIN'!$A$1:$O$92,15,0))</f>
        <v>0</v>
      </c>
      <c r="W215" s="4">
        <f>IF(ISERROR(VLOOKUP($T$215,'TAR FIN'!$A$1:$O$92,15,0)),0,VLOOKUP($T$215,'TAR FIN'!$A$1:$O$92,15,0))</f>
        <v>161.61000000000001</v>
      </c>
      <c r="X215" s="4">
        <f>IF(ISERROR(VLOOKUP($U$215,'TAR FIN'!$A$1:$O$92,15,0)),0,VLOOKUP($U$215,'TAR FIN'!$A$1:$O$92,15,0))</f>
        <v>161.34</v>
      </c>
      <c r="Y215" s="4"/>
      <c r="Z215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5" s="4">
        <f>('TE BE'!$AB$13+'TE BF'!$AB$13+'TE CVA'!$AB$13)*(1-CUSTOS!$M$35)</f>
        <v>201.70530556101048</v>
      </c>
      <c r="AB215" s="4">
        <f t="shared" si="12"/>
        <v>0</v>
      </c>
      <c r="AC215" s="4">
        <f>(L215-M215)*(W215+X215)+($W$252+$X$252-$W$215-$X$215)*(L215)</f>
        <v>4.3056000000000001</v>
      </c>
      <c r="AD215" s="4">
        <f t="shared" si="13"/>
        <v>0</v>
      </c>
      <c r="AE215" s="4">
        <f ca="1">(L215-M215)*(Z215+AA215)+($Z$252+$AA$252-$Z$215-$AA$215)*(L215)</f>
        <v>5.4081805897585173</v>
      </c>
      <c r="AF215" s="3" t="s">
        <v>754</v>
      </c>
    </row>
    <row r="216" spans="1:32" ht="11.25" customHeight="1" x14ac:dyDescent="0.25">
      <c r="A216" s="3" t="s">
        <v>21</v>
      </c>
      <c r="B216" s="3" t="s">
        <v>22</v>
      </c>
      <c r="C216" s="3" t="s">
        <v>23</v>
      </c>
      <c r="D216" s="3" t="s">
        <v>24</v>
      </c>
      <c r="E216" s="3" t="s">
        <v>30</v>
      </c>
      <c r="F216" s="3" t="s">
        <v>25</v>
      </c>
      <c r="G216" s="3" t="s">
        <v>25</v>
      </c>
      <c r="H216" s="3" t="s">
        <v>25</v>
      </c>
      <c r="I216" s="6">
        <v>44682</v>
      </c>
      <c r="J216" s="4">
        <v>0</v>
      </c>
      <c r="K216" s="4">
        <v>0</v>
      </c>
      <c r="L216" s="4">
        <v>1802.001</v>
      </c>
      <c r="M216" s="4">
        <v>1802.001</v>
      </c>
      <c r="N216" s="4">
        <v>1802.001</v>
      </c>
      <c r="O216" s="4">
        <v>1802.001</v>
      </c>
      <c r="P216" s="4">
        <v>4835</v>
      </c>
      <c r="Q216" s="3" t="s">
        <v>26</v>
      </c>
      <c r="R216" s="3">
        <v>0</v>
      </c>
      <c r="S216" s="3">
        <v>0</v>
      </c>
      <c r="T216" s="3">
        <v>39</v>
      </c>
      <c r="U216" s="3">
        <v>80</v>
      </c>
      <c r="V216" s="4">
        <f>IF(ISERROR(VLOOKUP($S$216,'TAR FIN'!$A$1:$O$92,15,0)),0,VLOOKUP($S$216,'TAR FIN'!$A$1:$O$92,15,0))</f>
        <v>0</v>
      </c>
      <c r="W216" s="4">
        <f>IF(ISERROR(VLOOKUP($T$216,'TAR FIN'!$A$1:$O$92,15,0)),0,VLOOKUP($T$216,'TAR FIN'!$A$1:$O$92,15,0))</f>
        <v>161.61000000000001</v>
      </c>
      <c r="X216" s="4">
        <f>IF(ISERROR(VLOOKUP($U$216,'TAR FIN'!$A$1:$O$92,15,0)),0,VLOOKUP($U$216,'TAR FIN'!$A$1:$O$92,15,0))</f>
        <v>161.34</v>
      </c>
      <c r="Y216" s="4"/>
      <c r="Z216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6" s="4">
        <f>('TE BE'!$AB$13+'TE BF'!$AB$13+'TE CVA'!$AB$13)*(1-CUSTOS!$M$35)</f>
        <v>201.70530556101048</v>
      </c>
      <c r="AB216" s="4">
        <f t="shared" si="12"/>
        <v>0</v>
      </c>
      <c r="AC216" s="4">
        <f>(L216-M216)*(W216+X216)+($W$252+$X$252-$W$216-$X$216)*(L216)</f>
        <v>387934.77528</v>
      </c>
      <c r="AD216" s="4">
        <f t="shared" si="13"/>
        <v>0</v>
      </c>
      <c r="AE216" s="4">
        <f ca="1">(L216-M216)*(Z216+AA216)+($Z$252+$AA$252-$Z$216-$AA$216)*(L216)</f>
        <v>487277.34154627187</v>
      </c>
      <c r="AF216" s="3" t="s">
        <v>754</v>
      </c>
    </row>
    <row r="217" spans="1:32" ht="11.25" customHeight="1" x14ac:dyDescent="0.25">
      <c r="A217" s="3" t="s">
        <v>27</v>
      </c>
      <c r="B217" s="3" t="s">
        <v>22</v>
      </c>
      <c r="C217" s="3" t="s">
        <v>23</v>
      </c>
      <c r="D217" s="3" t="s">
        <v>24</v>
      </c>
      <c r="E217" s="3" t="s">
        <v>30</v>
      </c>
      <c r="F217" s="3" t="s">
        <v>25</v>
      </c>
      <c r="G217" s="3" t="s">
        <v>25</v>
      </c>
      <c r="H217" s="3" t="s">
        <v>25</v>
      </c>
      <c r="I217" s="6">
        <v>44682</v>
      </c>
      <c r="J217" s="4">
        <v>0</v>
      </c>
      <c r="K217" s="4">
        <v>0</v>
      </c>
      <c r="L217" s="4">
        <v>0.14399999999999999</v>
      </c>
      <c r="M217" s="4">
        <v>0.14399999999999999</v>
      </c>
      <c r="N217" s="4">
        <v>0.14399999999999999</v>
      </c>
      <c r="O217" s="4">
        <v>0.14399999999999999</v>
      </c>
      <c r="P217" s="4">
        <v>16</v>
      </c>
      <c r="Q217" s="3" t="s">
        <v>26</v>
      </c>
      <c r="R217" s="3">
        <v>0</v>
      </c>
      <c r="S217" s="3">
        <v>0</v>
      </c>
      <c r="T217" s="3">
        <v>39</v>
      </c>
      <c r="U217" s="3">
        <v>80</v>
      </c>
      <c r="V217" s="4">
        <f>IF(ISERROR(VLOOKUP($S$217,'TAR FIN'!$A$1:$O$92,15,0)),0,VLOOKUP($S$217,'TAR FIN'!$A$1:$O$92,15,0))</f>
        <v>0</v>
      </c>
      <c r="W217" s="4">
        <f>IF(ISERROR(VLOOKUP($T$217,'TAR FIN'!$A$1:$O$92,15,0)),0,VLOOKUP($T$217,'TAR FIN'!$A$1:$O$92,15,0))</f>
        <v>161.61000000000001</v>
      </c>
      <c r="X217" s="4">
        <f>IF(ISERROR(VLOOKUP($U$217,'TAR FIN'!$A$1:$O$92,15,0)),0,VLOOKUP($U$217,'TAR FIN'!$A$1:$O$92,15,0))</f>
        <v>161.34</v>
      </c>
      <c r="Y217" s="4"/>
      <c r="Z217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7" s="4">
        <f>('TE BE'!$AB$13+'TE BF'!$AB$13+'TE CVA'!$AB$13)*(1-CUSTOS!$M$35)</f>
        <v>201.70530556101048</v>
      </c>
      <c r="AB217" s="4">
        <f t="shared" si="12"/>
        <v>0</v>
      </c>
      <c r="AC217" s="4">
        <f>(L217-M217)*(W217+X217)+($W$252+$X$252-$W$217-$X$217)*(L217)</f>
        <v>31.000319999999999</v>
      </c>
      <c r="AD217" s="4">
        <f t="shared" si="13"/>
        <v>0</v>
      </c>
      <c r="AE217" s="4">
        <f ca="1">(L217-M217)*(Z217+AA217)+($Z$252+$AA$252-$Z$217-$AA$217)*(L217)</f>
        <v>38.938900246261319</v>
      </c>
      <c r="AF217" s="3" t="s">
        <v>754</v>
      </c>
    </row>
    <row r="218" spans="1:32" ht="11.25" customHeight="1" x14ac:dyDescent="0.25">
      <c r="A218" s="3" t="s">
        <v>21</v>
      </c>
      <c r="B218" s="3" t="s">
        <v>22</v>
      </c>
      <c r="C218" s="3" t="s">
        <v>23</v>
      </c>
      <c r="D218" s="3" t="s">
        <v>24</v>
      </c>
      <c r="E218" s="3" t="s">
        <v>30</v>
      </c>
      <c r="F218" s="3" t="s">
        <v>25</v>
      </c>
      <c r="G218" s="3" t="s">
        <v>25</v>
      </c>
      <c r="H218" s="3" t="s">
        <v>25</v>
      </c>
      <c r="I218" s="6">
        <v>44713</v>
      </c>
      <c r="J218" s="4">
        <v>0</v>
      </c>
      <c r="K218" s="4">
        <v>0</v>
      </c>
      <c r="L218" s="4">
        <v>1820.7850000000001</v>
      </c>
      <c r="M218" s="4">
        <v>1820.7850000000001</v>
      </c>
      <c r="N218" s="4">
        <v>1820.7850000000001</v>
      </c>
      <c r="O218" s="4">
        <v>1820.7850000000001</v>
      </c>
      <c r="P218" s="4">
        <v>5009</v>
      </c>
      <c r="Q218" s="3" t="s">
        <v>26</v>
      </c>
      <c r="R218" s="3">
        <v>0</v>
      </c>
      <c r="S218" s="3">
        <v>0</v>
      </c>
      <c r="T218" s="3">
        <v>39</v>
      </c>
      <c r="U218" s="3">
        <v>80</v>
      </c>
      <c r="V218" s="4">
        <f>IF(ISERROR(VLOOKUP($S$218,'TAR FIN'!$A$1:$O$92,15,0)),0,VLOOKUP($S$218,'TAR FIN'!$A$1:$O$92,15,0))</f>
        <v>0</v>
      </c>
      <c r="W218" s="4">
        <f>IF(ISERROR(VLOOKUP($T$218,'TAR FIN'!$A$1:$O$92,15,0)),0,VLOOKUP($T$218,'TAR FIN'!$A$1:$O$92,15,0))</f>
        <v>161.61000000000001</v>
      </c>
      <c r="X218" s="4">
        <f>IF(ISERROR(VLOOKUP($U$218,'TAR FIN'!$A$1:$O$92,15,0)),0,VLOOKUP($U$218,'TAR FIN'!$A$1:$O$92,15,0))</f>
        <v>161.34</v>
      </c>
      <c r="Y218" s="4"/>
      <c r="Z218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8" s="4">
        <f>('TE BE'!$AB$13+'TE BF'!$AB$13+'TE CVA'!$AB$13)*(1-CUSTOS!$M$35)</f>
        <v>201.70530556101048</v>
      </c>
      <c r="AB218" s="4">
        <f t="shared" si="12"/>
        <v>0</v>
      </c>
      <c r="AC218" s="4">
        <f>(L218-M218)*(W218+X218)+($W$252+$X$252-$W$218-$X$218)*(L218)</f>
        <v>391978.59480000002</v>
      </c>
      <c r="AD218" s="4">
        <f t="shared" si="13"/>
        <v>0</v>
      </c>
      <c r="AE218" s="4">
        <f ca="1">(L218-M218)*(Z218+AA218)+($Z$252+$AA$252-$Z$218-$AA$218)*(L218)</f>
        <v>492356.70475617313</v>
      </c>
      <c r="AF218" s="3" t="s">
        <v>754</v>
      </c>
    </row>
    <row r="219" spans="1:32" ht="11.25" customHeight="1" x14ac:dyDescent="0.25">
      <c r="A219" s="3" t="s">
        <v>27</v>
      </c>
      <c r="B219" s="3" t="s">
        <v>22</v>
      </c>
      <c r="C219" s="3" t="s">
        <v>23</v>
      </c>
      <c r="D219" s="3" t="s">
        <v>24</v>
      </c>
      <c r="E219" s="3" t="s">
        <v>30</v>
      </c>
      <c r="F219" s="3" t="s">
        <v>25</v>
      </c>
      <c r="G219" s="3" t="s">
        <v>25</v>
      </c>
      <c r="H219" s="3" t="s">
        <v>25</v>
      </c>
      <c r="I219" s="6">
        <v>44713</v>
      </c>
      <c r="J219" s="4">
        <v>0</v>
      </c>
      <c r="K219" s="4">
        <v>0</v>
      </c>
      <c r="L219" s="4">
        <v>-0.25900000000000001</v>
      </c>
      <c r="M219" s="4">
        <v>-0.25900000000000001</v>
      </c>
      <c r="N219" s="4">
        <v>-0.25900000000000001</v>
      </c>
      <c r="O219" s="4">
        <v>-0.25900000000000001</v>
      </c>
      <c r="P219" s="4">
        <v>2</v>
      </c>
      <c r="Q219" s="3" t="s">
        <v>26</v>
      </c>
      <c r="R219" s="3">
        <v>0</v>
      </c>
      <c r="S219" s="3">
        <v>0</v>
      </c>
      <c r="T219" s="3">
        <v>39</v>
      </c>
      <c r="U219" s="3">
        <v>80</v>
      </c>
      <c r="V219" s="4">
        <f>IF(ISERROR(VLOOKUP($S$219,'TAR FIN'!$A$1:$O$92,15,0)),0,VLOOKUP($S$219,'TAR FIN'!$A$1:$O$92,15,0))</f>
        <v>0</v>
      </c>
      <c r="W219" s="4">
        <f>IF(ISERROR(VLOOKUP($T$219,'TAR FIN'!$A$1:$O$92,15,0)),0,VLOOKUP($T$219,'TAR FIN'!$A$1:$O$92,15,0))</f>
        <v>161.61000000000001</v>
      </c>
      <c r="X219" s="4">
        <f>IF(ISERROR(VLOOKUP($U$219,'TAR FIN'!$A$1:$O$92,15,0)),0,VLOOKUP($U$219,'TAR FIN'!$A$1:$O$92,15,0))</f>
        <v>161.34</v>
      </c>
      <c r="Y219" s="4"/>
      <c r="Z219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19" s="4">
        <f>('TE BE'!$AB$13+'TE BF'!$AB$13+'TE CVA'!$AB$13)*(1-CUSTOS!$M$35)</f>
        <v>201.70530556101048</v>
      </c>
      <c r="AB219" s="4">
        <f t="shared" si="12"/>
        <v>0</v>
      </c>
      <c r="AC219" s="4">
        <f>(L219-M219)*(W219+X219)+($W$252+$X$252-$W$219-$X$219)*(L219)</f>
        <v>-55.75752</v>
      </c>
      <c r="AD219" s="4">
        <f t="shared" si="13"/>
        <v>0</v>
      </c>
      <c r="AE219" s="4">
        <f ca="1">(L219-M219)*(Z219+AA219)+($Z$252+$AA$252-$Z$219-$AA$219)*(L219)</f>
        <v>-70.035938637372794</v>
      </c>
      <c r="AF219" s="3" t="s">
        <v>754</v>
      </c>
    </row>
    <row r="220" spans="1:32" ht="11.25" customHeight="1" x14ac:dyDescent="0.25">
      <c r="A220" s="3" t="s">
        <v>21</v>
      </c>
      <c r="B220" s="3" t="s">
        <v>22</v>
      </c>
      <c r="C220" s="3" t="s">
        <v>23</v>
      </c>
      <c r="D220" s="3" t="s">
        <v>24</v>
      </c>
      <c r="E220" s="3" t="s">
        <v>30</v>
      </c>
      <c r="F220" s="3" t="s">
        <v>25</v>
      </c>
      <c r="G220" s="3" t="s">
        <v>25</v>
      </c>
      <c r="H220" s="3" t="s">
        <v>25</v>
      </c>
      <c r="I220" s="6">
        <v>44743</v>
      </c>
      <c r="J220" s="4">
        <v>0</v>
      </c>
      <c r="K220" s="4">
        <v>0</v>
      </c>
      <c r="L220" s="4">
        <v>1813.701</v>
      </c>
      <c r="M220" s="4">
        <v>1813.701</v>
      </c>
      <c r="N220" s="4">
        <v>1813.701</v>
      </c>
      <c r="O220" s="4">
        <v>1813.701</v>
      </c>
      <c r="P220" s="4">
        <v>5311</v>
      </c>
      <c r="Q220" s="3" t="s">
        <v>26</v>
      </c>
      <c r="R220" s="3">
        <v>0</v>
      </c>
      <c r="S220" s="3">
        <v>0</v>
      </c>
      <c r="T220" s="3">
        <v>39</v>
      </c>
      <c r="U220" s="3">
        <v>80</v>
      </c>
      <c r="V220" s="4">
        <f>IF(ISERROR(VLOOKUP($S$220,'TAR FIN'!$A$1:$O$92,15,0)),0,VLOOKUP($S$220,'TAR FIN'!$A$1:$O$92,15,0))</f>
        <v>0</v>
      </c>
      <c r="W220" s="4">
        <f>IF(ISERROR(VLOOKUP($T$220,'TAR FIN'!$A$1:$O$92,15,0)),0,VLOOKUP($T$220,'TAR FIN'!$A$1:$O$92,15,0))</f>
        <v>161.61000000000001</v>
      </c>
      <c r="X220" s="4">
        <f>IF(ISERROR(VLOOKUP($U$220,'TAR FIN'!$A$1:$O$92,15,0)),0,VLOOKUP($U$220,'TAR FIN'!$A$1:$O$92,15,0))</f>
        <v>161.34</v>
      </c>
      <c r="Y220" s="4"/>
      <c r="Z220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0" s="4">
        <f>('TE BE'!$AB$13+'TE BF'!$AB$13+'TE CVA'!$AB$13)*(1-CUSTOS!$M$35)</f>
        <v>201.70530556101048</v>
      </c>
      <c r="AB220" s="4">
        <f t="shared" si="12"/>
        <v>0</v>
      </c>
      <c r="AC220" s="4">
        <f>(L220-M220)*(W220+X220)+($W$252+$X$252-$W$220-$X$220)*(L220)</f>
        <v>390453.55128000001</v>
      </c>
      <c r="AD220" s="4">
        <f t="shared" si="13"/>
        <v>0</v>
      </c>
      <c r="AE220" s="4">
        <f ca="1">(L220-M220)*(Z220+AA220)+($Z$252+$AA$252-$Z$220-$AA$220)*(L220)</f>
        <v>490441.12719128066</v>
      </c>
      <c r="AF220" s="3" t="s">
        <v>754</v>
      </c>
    </row>
    <row r="221" spans="1:32" ht="11.25" customHeight="1" x14ac:dyDescent="0.25">
      <c r="A221" s="3" t="s">
        <v>27</v>
      </c>
      <c r="B221" s="3" t="s">
        <v>22</v>
      </c>
      <c r="C221" s="3" t="s">
        <v>23</v>
      </c>
      <c r="D221" s="3" t="s">
        <v>24</v>
      </c>
      <c r="E221" s="3" t="s">
        <v>30</v>
      </c>
      <c r="F221" s="3" t="s">
        <v>25</v>
      </c>
      <c r="G221" s="3" t="s">
        <v>25</v>
      </c>
      <c r="H221" s="3" t="s">
        <v>25</v>
      </c>
      <c r="I221" s="6">
        <v>44743</v>
      </c>
      <c r="J221" s="4">
        <v>0</v>
      </c>
      <c r="K221" s="4">
        <v>0</v>
      </c>
      <c r="L221" s="4">
        <v>3.3000000000000002E-2</v>
      </c>
      <c r="M221" s="4">
        <v>3.3000000000000002E-2</v>
      </c>
      <c r="N221" s="4">
        <v>3.3000000000000002E-2</v>
      </c>
      <c r="O221" s="4">
        <v>3.3000000000000002E-2</v>
      </c>
      <c r="P221" s="4">
        <v>2</v>
      </c>
      <c r="Q221" s="3" t="s">
        <v>26</v>
      </c>
      <c r="R221" s="3">
        <v>0</v>
      </c>
      <c r="S221" s="3">
        <v>0</v>
      </c>
      <c r="T221" s="3">
        <v>39</v>
      </c>
      <c r="U221" s="3">
        <v>80</v>
      </c>
      <c r="V221" s="4">
        <f>IF(ISERROR(VLOOKUP($S$221,'TAR FIN'!$A$1:$O$92,15,0)),0,VLOOKUP($S$221,'TAR FIN'!$A$1:$O$92,15,0))</f>
        <v>0</v>
      </c>
      <c r="W221" s="4">
        <f>IF(ISERROR(VLOOKUP($T$221,'TAR FIN'!$A$1:$O$92,15,0)),0,VLOOKUP($T$221,'TAR FIN'!$A$1:$O$92,15,0))</f>
        <v>161.61000000000001</v>
      </c>
      <c r="X221" s="4">
        <f>IF(ISERROR(VLOOKUP($U$221,'TAR FIN'!$A$1:$O$92,15,0)),0,VLOOKUP($U$221,'TAR FIN'!$A$1:$O$92,15,0))</f>
        <v>161.34</v>
      </c>
      <c r="Y221" s="4"/>
      <c r="Z221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1" s="4">
        <f>('TE BE'!$AB$13+'TE BF'!$AB$13+'TE CVA'!$AB$13)*(1-CUSTOS!$M$35)</f>
        <v>201.70530556101048</v>
      </c>
      <c r="AB221" s="4">
        <f t="shared" si="12"/>
        <v>0</v>
      </c>
      <c r="AC221" s="4">
        <f>(L221-M221)*(W221+X221)+($W$252+$X$252-$W$221-$X$221)*(L221)</f>
        <v>7.1042400000000008</v>
      </c>
      <c r="AD221" s="4">
        <f t="shared" si="13"/>
        <v>0</v>
      </c>
      <c r="AE221" s="4">
        <f ca="1">(L221-M221)*(Z221+AA221)+($Z$252+$AA$252-$Z$221-$AA$221)*(L221)</f>
        <v>8.9234979731015542</v>
      </c>
      <c r="AF221" s="3" t="s">
        <v>754</v>
      </c>
    </row>
    <row r="222" spans="1:32" ht="11.25" customHeight="1" x14ac:dyDescent="0.25">
      <c r="A222" s="3" t="s">
        <v>21</v>
      </c>
      <c r="B222" s="3" t="s">
        <v>22</v>
      </c>
      <c r="C222" s="3" t="s">
        <v>23</v>
      </c>
      <c r="D222" s="3" t="s">
        <v>24</v>
      </c>
      <c r="E222" s="3" t="s">
        <v>30</v>
      </c>
      <c r="F222" s="3" t="s">
        <v>25</v>
      </c>
      <c r="G222" s="3" t="s">
        <v>25</v>
      </c>
      <c r="H222" s="3" t="s">
        <v>25</v>
      </c>
      <c r="I222" s="6">
        <v>44774</v>
      </c>
      <c r="J222" s="4">
        <v>0</v>
      </c>
      <c r="K222" s="4">
        <v>0</v>
      </c>
      <c r="L222" s="4">
        <v>1855.4280000000001</v>
      </c>
      <c r="M222" s="4">
        <v>1855.4280000000001</v>
      </c>
      <c r="N222" s="4">
        <v>1855.4280000000001</v>
      </c>
      <c r="O222" s="4">
        <v>1855.4280000000001</v>
      </c>
      <c r="P222" s="4">
        <v>4297</v>
      </c>
      <c r="Q222" s="3" t="s">
        <v>26</v>
      </c>
      <c r="R222" s="3">
        <v>0</v>
      </c>
      <c r="S222" s="3">
        <v>0</v>
      </c>
      <c r="T222" s="3">
        <v>39</v>
      </c>
      <c r="U222" s="3">
        <v>80</v>
      </c>
      <c r="V222" s="4">
        <f>IF(ISERROR(VLOOKUP($S$222,'TAR FIN'!$A$1:$O$92,15,0)),0,VLOOKUP($S$222,'TAR FIN'!$A$1:$O$92,15,0))</f>
        <v>0</v>
      </c>
      <c r="W222" s="4">
        <f>IF(ISERROR(VLOOKUP($T$222,'TAR FIN'!$A$1:$O$92,15,0)),0,VLOOKUP($T$222,'TAR FIN'!$A$1:$O$92,15,0))</f>
        <v>161.61000000000001</v>
      </c>
      <c r="X222" s="4">
        <f>IF(ISERROR(VLOOKUP($U$222,'TAR FIN'!$A$1:$O$92,15,0)),0,VLOOKUP($U$222,'TAR FIN'!$A$1:$O$92,15,0))</f>
        <v>161.34</v>
      </c>
      <c r="Y222" s="4"/>
      <c r="Z222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2" s="4">
        <f>('TE BE'!$AB$13+'TE BF'!$AB$13+'TE CVA'!$AB$13)*(1-CUSTOS!$M$35)</f>
        <v>201.70530556101048</v>
      </c>
      <c r="AB222" s="4">
        <f t="shared" si="12"/>
        <v>0</v>
      </c>
      <c r="AC222" s="4">
        <f>(L222-M222)*(W222+X222)+($W$252+$X$252-$W$222-$X$222)*(L222)</f>
        <v>399436.53984000004</v>
      </c>
      <c r="AD222" s="4">
        <f t="shared" si="13"/>
        <v>0</v>
      </c>
      <c r="AE222" s="4">
        <f ca="1">(L222-M222)*(Z222+AA222)+($Z$252+$AA$252-$Z$222-$AA$222)*(L222)</f>
        <v>501724.48476472334</v>
      </c>
      <c r="AF222" s="3" t="s">
        <v>754</v>
      </c>
    </row>
    <row r="223" spans="1:32" ht="11.25" customHeight="1" x14ac:dyDescent="0.25">
      <c r="A223" s="3" t="s">
        <v>27</v>
      </c>
      <c r="B223" s="3" t="s">
        <v>22</v>
      </c>
      <c r="C223" s="3" t="s">
        <v>23</v>
      </c>
      <c r="D223" s="3" t="s">
        <v>24</v>
      </c>
      <c r="E223" s="3" t="s">
        <v>30</v>
      </c>
      <c r="F223" s="3" t="s">
        <v>25</v>
      </c>
      <c r="G223" s="3" t="s">
        <v>25</v>
      </c>
      <c r="H223" s="3" t="s">
        <v>25</v>
      </c>
      <c r="I223" s="6">
        <v>44774</v>
      </c>
      <c r="J223" s="4">
        <v>0</v>
      </c>
      <c r="K223" s="4">
        <v>0</v>
      </c>
      <c r="L223" s="4">
        <v>-0.14799999999999999</v>
      </c>
      <c r="M223" s="4">
        <v>-0.14799999999999999</v>
      </c>
      <c r="N223" s="4">
        <v>-0.14799999999999999</v>
      </c>
      <c r="O223" s="4">
        <v>-0.14799999999999999</v>
      </c>
      <c r="P223" s="4">
        <v>13</v>
      </c>
      <c r="Q223" s="3" t="s">
        <v>26</v>
      </c>
      <c r="R223" s="3">
        <v>0</v>
      </c>
      <c r="S223" s="3">
        <v>0</v>
      </c>
      <c r="T223" s="3">
        <v>39</v>
      </c>
      <c r="U223" s="3">
        <v>80</v>
      </c>
      <c r="V223" s="4">
        <f>IF(ISERROR(VLOOKUP($S$223,'TAR FIN'!$A$1:$O$92,15,0)),0,VLOOKUP($S$223,'TAR FIN'!$A$1:$O$92,15,0))</f>
        <v>0</v>
      </c>
      <c r="W223" s="4">
        <f>IF(ISERROR(VLOOKUP($T$223,'TAR FIN'!$A$1:$O$92,15,0)),0,VLOOKUP($T$223,'TAR FIN'!$A$1:$O$92,15,0))</f>
        <v>161.61000000000001</v>
      </c>
      <c r="X223" s="4">
        <f>IF(ISERROR(VLOOKUP($U$223,'TAR FIN'!$A$1:$O$92,15,0)),0,VLOOKUP($U$223,'TAR FIN'!$A$1:$O$92,15,0))</f>
        <v>161.34</v>
      </c>
      <c r="Y223" s="4"/>
      <c r="Z223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3" s="4">
        <f>('TE BE'!$AB$13+'TE BF'!$AB$13+'TE CVA'!$AB$13)*(1-CUSTOS!$M$35)</f>
        <v>201.70530556101048</v>
      </c>
      <c r="AB223" s="4">
        <f t="shared" si="12"/>
        <v>0</v>
      </c>
      <c r="AC223" s="4">
        <f>(L223-M223)*(W223+X223)+($W$252+$X$252-$W$223-$X$223)*(L223)</f>
        <v>-31.861439999999998</v>
      </c>
      <c r="AD223" s="4">
        <f t="shared" si="13"/>
        <v>0</v>
      </c>
      <c r="AE223" s="4">
        <f ca="1">(L223-M223)*(Z223+AA223)+($Z$252+$AA$252-$Z$223-$AA$223)*(L223)</f>
        <v>-40.020536364213022</v>
      </c>
      <c r="AF223" s="3" t="s">
        <v>754</v>
      </c>
    </row>
    <row r="224" spans="1:32" ht="11.25" customHeight="1" x14ac:dyDescent="0.25">
      <c r="A224" s="3" t="s">
        <v>21</v>
      </c>
      <c r="B224" s="3" t="s">
        <v>22</v>
      </c>
      <c r="C224" s="3" t="s">
        <v>23</v>
      </c>
      <c r="D224" s="3" t="s">
        <v>24</v>
      </c>
      <c r="E224" s="3" t="s">
        <v>30</v>
      </c>
      <c r="F224" s="3" t="s">
        <v>25</v>
      </c>
      <c r="G224" s="3" t="s">
        <v>25</v>
      </c>
      <c r="H224" s="3" t="s">
        <v>25</v>
      </c>
      <c r="I224" s="6">
        <v>44805</v>
      </c>
      <c r="J224" s="4">
        <v>0</v>
      </c>
      <c r="K224" s="4">
        <v>0</v>
      </c>
      <c r="L224" s="4">
        <v>1857.8969999999999</v>
      </c>
      <c r="M224" s="4">
        <v>1857.8969999999999</v>
      </c>
      <c r="N224" s="4">
        <v>1857.8969999999999</v>
      </c>
      <c r="O224" s="4">
        <v>1857.8969999999999</v>
      </c>
      <c r="P224" s="4">
        <v>4429</v>
      </c>
      <c r="Q224" s="3" t="s">
        <v>26</v>
      </c>
      <c r="R224" s="3">
        <v>0</v>
      </c>
      <c r="S224" s="3">
        <v>0</v>
      </c>
      <c r="T224" s="3">
        <v>39</v>
      </c>
      <c r="U224" s="3">
        <v>80</v>
      </c>
      <c r="V224" s="4">
        <f>IF(ISERROR(VLOOKUP($S$224,'TAR FIN'!$A$1:$O$92,15,0)),0,VLOOKUP($S$224,'TAR FIN'!$A$1:$O$92,15,0))</f>
        <v>0</v>
      </c>
      <c r="W224" s="4">
        <f>IF(ISERROR(VLOOKUP($T$224,'TAR FIN'!$A$1:$O$92,15,0)),0,VLOOKUP($T$224,'TAR FIN'!$A$1:$O$92,15,0))</f>
        <v>161.61000000000001</v>
      </c>
      <c r="X224" s="4">
        <f>IF(ISERROR(VLOOKUP($U$224,'TAR FIN'!$A$1:$O$92,15,0)),0,VLOOKUP($U$224,'TAR FIN'!$A$1:$O$92,15,0))</f>
        <v>161.34</v>
      </c>
      <c r="Y224" s="4"/>
      <c r="Z224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4" s="4">
        <f>('TE BE'!$AB$13+'TE BF'!$AB$13+'TE CVA'!$AB$13)*(1-CUSTOS!$M$35)</f>
        <v>201.70530556101048</v>
      </c>
      <c r="AB224" s="4">
        <f t="shared" si="12"/>
        <v>0</v>
      </c>
      <c r="AC224" s="4">
        <f>(L224-M224)*(W224+X224)+($W$252+$X$252-$W$224-$X$224)*(L224)</f>
        <v>399968.06615999999</v>
      </c>
      <c r="AD224" s="4">
        <f t="shared" si="13"/>
        <v>0</v>
      </c>
      <c r="AE224" s="4">
        <f ca="1">(L224-M224)*(Z224+AA224)+($Z$252+$AA$252-$Z$224-$AA$224)*(L224)</f>
        <v>502392.12465852901</v>
      </c>
      <c r="AF224" s="3" t="s">
        <v>754</v>
      </c>
    </row>
    <row r="225" spans="1:32" ht="11.25" customHeight="1" x14ac:dyDescent="0.25">
      <c r="A225" s="3" t="s">
        <v>27</v>
      </c>
      <c r="B225" s="3" t="s">
        <v>22</v>
      </c>
      <c r="C225" s="3" t="s">
        <v>23</v>
      </c>
      <c r="D225" s="3" t="s">
        <v>24</v>
      </c>
      <c r="E225" s="3" t="s">
        <v>30</v>
      </c>
      <c r="F225" s="3" t="s">
        <v>25</v>
      </c>
      <c r="G225" s="3" t="s">
        <v>25</v>
      </c>
      <c r="H225" s="3" t="s">
        <v>25</v>
      </c>
      <c r="I225" s="6">
        <v>44805</v>
      </c>
      <c r="J225" s="4">
        <v>0</v>
      </c>
      <c r="K225" s="4">
        <v>0</v>
      </c>
      <c r="L225" s="4">
        <v>-0.4</v>
      </c>
      <c r="M225" s="4">
        <v>-0.4</v>
      </c>
      <c r="N225" s="4">
        <v>-0.4</v>
      </c>
      <c r="O225" s="4">
        <v>-0.4</v>
      </c>
      <c r="P225" s="4">
        <v>3</v>
      </c>
      <c r="Q225" s="3" t="s">
        <v>26</v>
      </c>
      <c r="R225" s="3">
        <v>0</v>
      </c>
      <c r="S225" s="3">
        <v>0</v>
      </c>
      <c r="T225" s="3">
        <v>39</v>
      </c>
      <c r="U225" s="3">
        <v>80</v>
      </c>
      <c r="V225" s="4">
        <f>IF(ISERROR(VLOOKUP($S$225,'TAR FIN'!$A$1:$O$92,15,0)),0,VLOOKUP($S$225,'TAR FIN'!$A$1:$O$92,15,0))</f>
        <v>0</v>
      </c>
      <c r="W225" s="4">
        <f>IF(ISERROR(VLOOKUP($T$225,'TAR FIN'!$A$1:$O$92,15,0)),0,VLOOKUP($T$225,'TAR FIN'!$A$1:$O$92,15,0))</f>
        <v>161.61000000000001</v>
      </c>
      <c r="X225" s="4">
        <f>IF(ISERROR(VLOOKUP($U$225,'TAR FIN'!$A$1:$O$92,15,0)),0,VLOOKUP($U$225,'TAR FIN'!$A$1:$O$92,15,0))</f>
        <v>161.34</v>
      </c>
      <c r="Y225" s="4"/>
      <c r="Z225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5" s="4">
        <f>('TE BE'!$AB$13+'TE BF'!$AB$13+'TE CVA'!$AB$13)*(1-CUSTOS!$M$35)</f>
        <v>201.70530556101048</v>
      </c>
      <c r="AB225" s="4">
        <f t="shared" si="12"/>
        <v>0</v>
      </c>
      <c r="AC225" s="4">
        <f>(L225-M225)*(W225+X225)+($W$252+$X$252-$W$225-$X$225)*(L225)</f>
        <v>-86.112000000000009</v>
      </c>
      <c r="AD225" s="4">
        <f t="shared" si="13"/>
        <v>0</v>
      </c>
      <c r="AE225" s="4">
        <f ca="1">(L225-M225)*(Z225+AA225)+($Z$252+$AA$252-$Z$225-$AA$225)*(L225)</f>
        <v>-108.16361179517035</v>
      </c>
      <c r="AF225" s="3" t="s">
        <v>754</v>
      </c>
    </row>
    <row r="226" spans="1:32" ht="11.25" customHeight="1" x14ac:dyDescent="0.25">
      <c r="A226" s="3" t="s">
        <v>55</v>
      </c>
      <c r="B226" s="3" t="s">
        <v>22</v>
      </c>
      <c r="C226" s="3" t="s">
        <v>23</v>
      </c>
      <c r="D226" s="3" t="s">
        <v>24</v>
      </c>
      <c r="E226" s="3" t="s">
        <v>30</v>
      </c>
      <c r="F226" s="3" t="s">
        <v>25</v>
      </c>
      <c r="G226" s="3" t="s">
        <v>25</v>
      </c>
      <c r="H226" s="3" t="s">
        <v>25</v>
      </c>
      <c r="I226" s="6">
        <v>44835</v>
      </c>
      <c r="J226" s="4">
        <v>0</v>
      </c>
      <c r="K226" s="4">
        <v>0</v>
      </c>
      <c r="L226" s="4">
        <v>1857.8969999999999</v>
      </c>
      <c r="M226" s="4">
        <v>1857.8969999999999</v>
      </c>
      <c r="N226" s="4">
        <v>1857.8969999999999</v>
      </c>
      <c r="O226" s="4">
        <v>1857.8969999999999</v>
      </c>
      <c r="P226" s="4">
        <v>4429</v>
      </c>
      <c r="Q226" s="3" t="s">
        <v>26</v>
      </c>
      <c r="R226" s="3">
        <v>0</v>
      </c>
      <c r="S226" s="3">
        <v>0</v>
      </c>
      <c r="T226" s="3">
        <v>39</v>
      </c>
      <c r="U226" s="3">
        <v>80</v>
      </c>
      <c r="V226" s="4">
        <f>IF(ISERROR(VLOOKUP($S$226,'TAR FIN'!$A$1:$O$92,15,0)),0,VLOOKUP($S$226,'TAR FIN'!$A$1:$O$92,15,0))</f>
        <v>0</v>
      </c>
      <c r="W226" s="4">
        <f>IF(ISERROR(VLOOKUP($T$226,'TAR FIN'!$A$1:$O$92,15,0)),0,VLOOKUP($T$226,'TAR FIN'!$A$1:$O$92,15,0))</f>
        <v>161.61000000000001</v>
      </c>
      <c r="X226" s="4">
        <f>IF(ISERROR(VLOOKUP($U$226,'TAR FIN'!$A$1:$O$92,15,0)),0,VLOOKUP($U$226,'TAR FIN'!$A$1:$O$92,15,0))</f>
        <v>161.34</v>
      </c>
      <c r="Y226" s="4"/>
      <c r="Z226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6" s="4">
        <f>('TE BE'!$AB$13+'TE BF'!$AB$13+'TE CVA'!$AB$13)*(1-CUSTOS!$M$35)</f>
        <v>201.70530556101048</v>
      </c>
      <c r="AB226" s="4">
        <f t="shared" si="12"/>
        <v>0</v>
      </c>
      <c r="AC226" s="4">
        <f>(L226-M226)*(W226+X226)+($W$252+$X$252-$W$226-$X$226)*(L226)</f>
        <v>399968.06615999999</v>
      </c>
      <c r="AD226" s="4">
        <f t="shared" si="13"/>
        <v>0</v>
      </c>
      <c r="AE226" s="4">
        <f ca="1">(L226-M226)*(Z226+AA226)+($Z$252+$AA$252-$Z$226-$AA$226)*(L226)</f>
        <v>502392.12465852901</v>
      </c>
      <c r="AF226" s="3" t="s">
        <v>754</v>
      </c>
    </row>
    <row r="227" spans="1:32" ht="11.25" customHeight="1" x14ac:dyDescent="0.25">
      <c r="A227" s="3" t="s">
        <v>55</v>
      </c>
      <c r="B227" s="3" t="s">
        <v>22</v>
      </c>
      <c r="C227" s="3" t="s">
        <v>23</v>
      </c>
      <c r="D227" s="3" t="s">
        <v>24</v>
      </c>
      <c r="E227" s="3" t="s">
        <v>30</v>
      </c>
      <c r="F227" s="3" t="s">
        <v>25</v>
      </c>
      <c r="G227" s="3" t="s">
        <v>25</v>
      </c>
      <c r="H227" s="3" t="s">
        <v>25</v>
      </c>
      <c r="I227" s="6">
        <v>44835</v>
      </c>
      <c r="J227" s="4">
        <v>0</v>
      </c>
      <c r="K227" s="4">
        <v>0</v>
      </c>
      <c r="L227" s="4">
        <v>-0.4</v>
      </c>
      <c r="M227" s="4">
        <v>-0.4</v>
      </c>
      <c r="N227" s="4">
        <v>-0.4</v>
      </c>
      <c r="O227" s="4">
        <v>-0.4</v>
      </c>
      <c r="P227" s="4">
        <v>3</v>
      </c>
      <c r="Q227" s="3" t="s">
        <v>26</v>
      </c>
      <c r="R227" s="3">
        <v>0</v>
      </c>
      <c r="S227" s="3">
        <v>0</v>
      </c>
      <c r="T227" s="3">
        <v>39</v>
      </c>
      <c r="U227" s="3">
        <v>80</v>
      </c>
      <c r="V227" s="4">
        <f>IF(ISERROR(VLOOKUP($S$227,'TAR FIN'!$A$1:$O$92,15,0)),0,VLOOKUP($S$227,'TAR FIN'!$A$1:$O$92,15,0))</f>
        <v>0</v>
      </c>
      <c r="W227" s="4">
        <f>IF(ISERROR(VLOOKUP($T$227,'TAR FIN'!$A$1:$O$92,15,0)),0,VLOOKUP($T$227,'TAR FIN'!$A$1:$O$92,15,0))</f>
        <v>161.61000000000001</v>
      </c>
      <c r="X227" s="4">
        <f>IF(ISERROR(VLOOKUP($U$227,'TAR FIN'!$A$1:$O$92,15,0)),0,VLOOKUP($U$227,'TAR FIN'!$A$1:$O$92,15,0))</f>
        <v>161.34</v>
      </c>
      <c r="Y227" s="4"/>
      <c r="Z227" s="4">
        <f ca="1">('TUSD BE'!$AM$22+'TUSD BF'!$AM$22+'TUSD CVA'!$AM$22-('TUSD BE'!$P$22+'TUSD BF'!$P$22+'TUSD CVA'!$P$22)-('TUSD BE'!$Q$22+'TUSD BF'!$Q$22+'TUSD CVA'!$Q$22)-('TUSD BE'!$R$22+'TUSD BF'!$R$22+'TUSD CVA'!$R$22))*(1-CUSTOS!$M$35)</f>
        <v>203.90823867087823</v>
      </c>
      <c r="AA227" s="4">
        <f>('TE BE'!$AB$13+'TE BF'!$AB$13+'TE CVA'!$AB$13)*(1-CUSTOS!$M$35)</f>
        <v>201.70530556101048</v>
      </c>
      <c r="AB227" s="4">
        <f t="shared" si="12"/>
        <v>0</v>
      </c>
      <c r="AC227" s="4">
        <f>(L227-M227)*(W227+X227)+($W$252+$X$252-$W$227-$X$227)*(L227)</f>
        <v>-86.112000000000009</v>
      </c>
      <c r="AD227" s="4">
        <f t="shared" si="13"/>
        <v>0</v>
      </c>
      <c r="AE227" s="4">
        <f ca="1">(L227-M227)*(Z227+AA227)+($Z$252+$AA$252-$Z$227-$AA$227)*(L227)</f>
        <v>-108.16361179517035</v>
      </c>
      <c r="AF227" s="3" t="s">
        <v>754</v>
      </c>
    </row>
    <row r="228" spans="1:32" ht="11.25" customHeight="1" x14ac:dyDescent="0.25">
      <c r="A228" s="3" t="s">
        <v>21</v>
      </c>
      <c r="B228" s="3" t="s">
        <v>22</v>
      </c>
      <c r="C228" s="3" t="s">
        <v>23</v>
      </c>
      <c r="D228" s="3" t="s">
        <v>24</v>
      </c>
      <c r="E228" s="3" t="s">
        <v>31</v>
      </c>
      <c r="F228" s="3" t="s">
        <v>25</v>
      </c>
      <c r="G228" s="3" t="s">
        <v>25</v>
      </c>
      <c r="H228" s="3" t="s">
        <v>25</v>
      </c>
      <c r="I228" s="6">
        <v>44501</v>
      </c>
      <c r="J228" s="4">
        <v>0</v>
      </c>
      <c r="K228" s="4">
        <v>0</v>
      </c>
      <c r="L228" s="4">
        <v>2145.4</v>
      </c>
      <c r="M228" s="4">
        <v>2145.4</v>
      </c>
      <c r="N228" s="4">
        <v>2145.4</v>
      </c>
      <c r="O228" s="4">
        <v>2145.4</v>
      </c>
      <c r="P228" s="4">
        <v>9435</v>
      </c>
      <c r="Q228" s="3" t="s">
        <v>26</v>
      </c>
      <c r="R228" s="3">
        <v>0</v>
      </c>
      <c r="S228" s="3">
        <v>0</v>
      </c>
      <c r="T228" s="3">
        <v>61</v>
      </c>
      <c r="U228" s="3">
        <v>65</v>
      </c>
      <c r="V228" s="4">
        <f>IF(ISERROR(VLOOKUP($S$228,'TAR FIN'!$A$1:$O$92,15,0)),0,VLOOKUP($S$228,'TAR FIN'!$A$1:$O$92,15,0))</f>
        <v>0</v>
      </c>
      <c r="W228" s="4">
        <f>IF(ISERROR(VLOOKUP($T$228,'TAR FIN'!$A$1:$O$92,15,0)),0,VLOOKUP($T$228,'TAR FIN'!$A$1:$O$92,15,0))</f>
        <v>242.41</v>
      </c>
      <c r="X228" s="4">
        <f>IF(ISERROR(VLOOKUP($U$228,'TAR FIN'!$A$1:$O$92,15,0)),0,VLOOKUP($U$228,'TAR FIN'!$A$1:$O$92,15,0))</f>
        <v>242</v>
      </c>
      <c r="Y228" s="4"/>
      <c r="Z228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28" s="4">
        <f>('TE BE'!$AB$14+'TE BF'!$AB$14+'TE CVA'!$AB$14)*(1-CUSTOS!$M$36)</f>
        <v>302.55795834151576</v>
      </c>
      <c r="AB228" s="4">
        <f t="shared" si="12"/>
        <v>0</v>
      </c>
      <c r="AC228" s="4">
        <f>(L228-M228)*(W228+X228)+($W$252+$X$252-$W$228-$X$228)*(L228)</f>
        <v>115465.42800000012</v>
      </c>
      <c r="AD228" s="4">
        <f t="shared" si="13"/>
        <v>0</v>
      </c>
      <c r="AE228" s="4">
        <f ca="1">(L228-M228)*(Z228+AA228)+($Z$252+$AA$252-$Z$228-$AA$228)*(L228)</f>
        <v>145033.88296584893</v>
      </c>
      <c r="AF228" s="3" t="s">
        <v>754</v>
      </c>
    </row>
    <row r="229" spans="1:32" ht="11.25" customHeight="1" x14ac:dyDescent="0.25">
      <c r="A229" s="3" t="s">
        <v>27</v>
      </c>
      <c r="B229" s="3" t="s">
        <v>22</v>
      </c>
      <c r="C229" s="3" t="s">
        <v>23</v>
      </c>
      <c r="D229" s="3" t="s">
        <v>24</v>
      </c>
      <c r="E229" s="3" t="s">
        <v>31</v>
      </c>
      <c r="F229" s="3" t="s">
        <v>25</v>
      </c>
      <c r="G229" s="3" t="s">
        <v>25</v>
      </c>
      <c r="H229" s="3" t="s">
        <v>25</v>
      </c>
      <c r="I229" s="6">
        <v>44501</v>
      </c>
      <c r="J229" s="4">
        <v>0</v>
      </c>
      <c r="K229" s="4">
        <v>0</v>
      </c>
      <c r="L229" s="4">
        <v>-1.8240000000000001</v>
      </c>
      <c r="M229" s="4">
        <v>-1.8240000000000001</v>
      </c>
      <c r="N229" s="4">
        <v>-1.8240000000000001</v>
      </c>
      <c r="O229" s="4">
        <v>-1.8240000000000001</v>
      </c>
      <c r="P229" s="4">
        <v>-6</v>
      </c>
      <c r="Q229" s="3" t="s">
        <v>26</v>
      </c>
      <c r="R229" s="3">
        <v>0</v>
      </c>
      <c r="S229" s="3">
        <v>0</v>
      </c>
      <c r="T229" s="3">
        <v>61</v>
      </c>
      <c r="U229" s="3">
        <v>65</v>
      </c>
      <c r="V229" s="4">
        <f>IF(ISERROR(VLOOKUP($S$229,'TAR FIN'!$A$1:$O$92,15,0)),0,VLOOKUP($S$229,'TAR FIN'!$A$1:$O$92,15,0))</f>
        <v>0</v>
      </c>
      <c r="W229" s="4">
        <f>IF(ISERROR(VLOOKUP($T$229,'TAR FIN'!$A$1:$O$92,15,0)),0,VLOOKUP($T$229,'TAR FIN'!$A$1:$O$92,15,0))</f>
        <v>242.41</v>
      </c>
      <c r="X229" s="4">
        <f>IF(ISERROR(VLOOKUP($U$229,'TAR FIN'!$A$1:$O$92,15,0)),0,VLOOKUP($U$229,'TAR FIN'!$A$1:$O$92,15,0))</f>
        <v>242</v>
      </c>
      <c r="Y229" s="4"/>
      <c r="Z229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29" s="4">
        <f>('TE BE'!$AB$14+'TE BF'!$AB$14+'TE CVA'!$AB$14)*(1-CUSTOS!$M$36)</f>
        <v>302.55795834151576</v>
      </c>
      <c r="AB229" s="4">
        <f t="shared" si="12"/>
        <v>0</v>
      </c>
      <c r="AC229" s="4">
        <f>(L229-M229)*(W229+X229)+($W$252+$X$252-$W$229-$X$229)*(L229)</f>
        <v>-98.16768000000009</v>
      </c>
      <c r="AD229" s="4">
        <f t="shared" si="13"/>
        <v>0</v>
      </c>
      <c r="AE229" s="4">
        <f ca="1">(L229-M229)*(Z229+AA229)+($Z$252+$AA$252-$Z$229-$AA$229)*(L229)</f>
        <v>-123.3065174464941</v>
      </c>
      <c r="AF229" s="3" t="s">
        <v>754</v>
      </c>
    </row>
    <row r="230" spans="1:32" ht="11.25" customHeight="1" x14ac:dyDescent="0.25">
      <c r="A230" s="3" t="s">
        <v>21</v>
      </c>
      <c r="B230" s="3" t="s">
        <v>22</v>
      </c>
      <c r="C230" s="3" t="s">
        <v>23</v>
      </c>
      <c r="D230" s="3" t="s">
        <v>24</v>
      </c>
      <c r="E230" s="3" t="s">
        <v>31</v>
      </c>
      <c r="F230" s="3" t="s">
        <v>25</v>
      </c>
      <c r="G230" s="3" t="s">
        <v>25</v>
      </c>
      <c r="H230" s="3" t="s">
        <v>25</v>
      </c>
      <c r="I230" s="6">
        <v>44531</v>
      </c>
      <c r="J230" s="4">
        <v>0</v>
      </c>
      <c r="K230" s="4">
        <v>0</v>
      </c>
      <c r="L230" s="4">
        <v>2095.386</v>
      </c>
      <c r="M230" s="4">
        <v>2095.386</v>
      </c>
      <c r="N230" s="4">
        <v>2095.386</v>
      </c>
      <c r="O230" s="4">
        <v>2095.386</v>
      </c>
      <c r="P230" s="4">
        <v>9714</v>
      </c>
      <c r="Q230" s="3" t="s">
        <v>26</v>
      </c>
      <c r="R230" s="3">
        <v>0</v>
      </c>
      <c r="S230" s="3">
        <v>0</v>
      </c>
      <c r="T230" s="3">
        <v>61</v>
      </c>
      <c r="U230" s="3">
        <v>65</v>
      </c>
      <c r="V230" s="4">
        <f>IF(ISERROR(VLOOKUP($S$230,'TAR FIN'!$A$1:$O$92,15,0)),0,VLOOKUP($S$230,'TAR FIN'!$A$1:$O$92,15,0))</f>
        <v>0</v>
      </c>
      <c r="W230" s="4">
        <f>IF(ISERROR(VLOOKUP($T$230,'TAR FIN'!$A$1:$O$92,15,0)),0,VLOOKUP($T$230,'TAR FIN'!$A$1:$O$92,15,0))</f>
        <v>242.41</v>
      </c>
      <c r="X230" s="4">
        <f>IF(ISERROR(VLOOKUP($U$230,'TAR FIN'!$A$1:$O$92,15,0)),0,VLOOKUP($U$230,'TAR FIN'!$A$1:$O$92,15,0))</f>
        <v>242</v>
      </c>
      <c r="Y230" s="4"/>
      <c r="Z230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0" s="4">
        <f>('TE BE'!$AB$14+'TE BF'!$AB$14+'TE CVA'!$AB$14)*(1-CUSTOS!$M$36)</f>
        <v>302.55795834151576</v>
      </c>
      <c r="AB230" s="4">
        <f t="shared" si="12"/>
        <v>0</v>
      </c>
      <c r="AC230" s="4">
        <f>(L230-M230)*(W230+X230)+($W$252+$X$252-$W$230-$X$230)*(L230)</f>
        <v>112773.6745200001</v>
      </c>
      <c r="AD230" s="4">
        <f t="shared" si="13"/>
        <v>0</v>
      </c>
      <c r="AE230" s="4">
        <f ca="1">(L230-M230)*(Z230+AA230)+($Z$252+$AA$252-$Z$230-$AA$230)*(L230)</f>
        <v>141652.82366564663</v>
      </c>
      <c r="AF230" s="3" t="s">
        <v>754</v>
      </c>
    </row>
    <row r="231" spans="1:32" ht="11.25" customHeight="1" x14ac:dyDescent="0.25">
      <c r="A231" s="3" t="s">
        <v>27</v>
      </c>
      <c r="B231" s="3" t="s">
        <v>22</v>
      </c>
      <c r="C231" s="3" t="s">
        <v>23</v>
      </c>
      <c r="D231" s="3" t="s">
        <v>24</v>
      </c>
      <c r="E231" s="3" t="s">
        <v>31</v>
      </c>
      <c r="F231" s="3" t="s">
        <v>25</v>
      </c>
      <c r="G231" s="3" t="s">
        <v>25</v>
      </c>
      <c r="H231" s="3" t="s">
        <v>25</v>
      </c>
      <c r="I231" s="6">
        <v>44531</v>
      </c>
      <c r="J231" s="4">
        <v>0</v>
      </c>
      <c r="K231" s="4">
        <v>0</v>
      </c>
      <c r="L231" s="4">
        <v>-0.437</v>
      </c>
      <c r="M231" s="4">
        <v>-0.437</v>
      </c>
      <c r="N231" s="4">
        <v>-0.437</v>
      </c>
      <c r="O231" s="4">
        <v>-0.437</v>
      </c>
      <c r="P231" s="4">
        <v>2</v>
      </c>
      <c r="Q231" s="3" t="s">
        <v>26</v>
      </c>
      <c r="R231" s="3">
        <v>0</v>
      </c>
      <c r="S231" s="3">
        <v>0</v>
      </c>
      <c r="T231" s="3">
        <v>61</v>
      </c>
      <c r="U231" s="3">
        <v>65</v>
      </c>
      <c r="V231" s="4">
        <f>IF(ISERROR(VLOOKUP($S$231,'TAR FIN'!$A$1:$O$92,15,0)),0,VLOOKUP($S$231,'TAR FIN'!$A$1:$O$92,15,0))</f>
        <v>0</v>
      </c>
      <c r="W231" s="4">
        <f>IF(ISERROR(VLOOKUP($T$231,'TAR FIN'!$A$1:$O$92,15,0)),0,VLOOKUP($T$231,'TAR FIN'!$A$1:$O$92,15,0))</f>
        <v>242.41</v>
      </c>
      <c r="X231" s="4">
        <f>IF(ISERROR(VLOOKUP($U$231,'TAR FIN'!$A$1:$O$92,15,0)),0,VLOOKUP($U$231,'TAR FIN'!$A$1:$O$92,15,0))</f>
        <v>242</v>
      </c>
      <c r="Y231" s="4"/>
      <c r="Z231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1" s="4">
        <f>('TE BE'!$AB$14+'TE BF'!$AB$14+'TE CVA'!$AB$14)*(1-CUSTOS!$M$36)</f>
        <v>302.55795834151576</v>
      </c>
      <c r="AB231" s="4">
        <f t="shared" si="12"/>
        <v>0</v>
      </c>
      <c r="AC231" s="4">
        <f>(L231-M231)*(W231+X231)+($W$252+$X$252-$W$231-$X$231)*(L231)</f>
        <v>-23.519340000000021</v>
      </c>
      <c r="AD231" s="4">
        <f t="shared" si="13"/>
        <v>0</v>
      </c>
      <c r="AE231" s="4">
        <f ca="1">(L231-M231)*(Z231+AA231)+($Z$252+$AA$252-$Z$231-$AA$231)*(L231)</f>
        <v>-29.542186471555876</v>
      </c>
      <c r="AF231" s="3" t="s">
        <v>754</v>
      </c>
    </row>
    <row r="232" spans="1:32" ht="11.25" customHeight="1" x14ac:dyDescent="0.25">
      <c r="A232" s="3" t="s">
        <v>21</v>
      </c>
      <c r="B232" s="3" t="s">
        <v>22</v>
      </c>
      <c r="C232" s="3" t="s">
        <v>23</v>
      </c>
      <c r="D232" s="3" t="s">
        <v>24</v>
      </c>
      <c r="E232" s="3" t="s">
        <v>31</v>
      </c>
      <c r="F232" s="3" t="s">
        <v>25</v>
      </c>
      <c r="G232" s="3" t="s">
        <v>25</v>
      </c>
      <c r="H232" s="3" t="s">
        <v>25</v>
      </c>
      <c r="I232" s="6">
        <v>44562</v>
      </c>
      <c r="J232" s="4">
        <v>0</v>
      </c>
      <c r="K232" s="4">
        <v>0</v>
      </c>
      <c r="L232" s="4">
        <v>2007.2349999999999</v>
      </c>
      <c r="M232" s="4">
        <v>2007.2349999999999</v>
      </c>
      <c r="N232" s="4">
        <v>2007.2349999999999</v>
      </c>
      <c r="O232" s="4">
        <v>2007.2349999999999</v>
      </c>
      <c r="P232" s="4">
        <v>10293</v>
      </c>
      <c r="Q232" s="3" t="s">
        <v>26</v>
      </c>
      <c r="R232" s="3">
        <v>0</v>
      </c>
      <c r="S232" s="3">
        <v>0</v>
      </c>
      <c r="T232" s="3">
        <v>61</v>
      </c>
      <c r="U232" s="3">
        <v>65</v>
      </c>
      <c r="V232" s="4">
        <f>IF(ISERROR(VLOOKUP($S$232,'TAR FIN'!$A$1:$O$92,15,0)),0,VLOOKUP($S$232,'TAR FIN'!$A$1:$O$92,15,0))</f>
        <v>0</v>
      </c>
      <c r="W232" s="4">
        <f>IF(ISERROR(VLOOKUP($T$232,'TAR FIN'!$A$1:$O$92,15,0)),0,VLOOKUP($T$232,'TAR FIN'!$A$1:$O$92,15,0))</f>
        <v>242.41</v>
      </c>
      <c r="X232" s="4">
        <f>IF(ISERROR(VLOOKUP($U$232,'TAR FIN'!$A$1:$O$92,15,0)),0,VLOOKUP($U$232,'TAR FIN'!$A$1:$O$92,15,0))</f>
        <v>242</v>
      </c>
      <c r="Y232" s="4"/>
      <c r="Z232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2" s="4">
        <f>('TE BE'!$AB$14+'TE BF'!$AB$14+'TE CVA'!$AB$14)*(1-CUSTOS!$M$36)</f>
        <v>302.55795834151576</v>
      </c>
      <c r="AB232" s="4">
        <f t="shared" si="12"/>
        <v>0</v>
      </c>
      <c r="AC232" s="4">
        <f>(L232-M232)*(W232+X232)+($W$252+$X$252-$W$232-$X$232)*(L232)</f>
        <v>108029.38770000009</v>
      </c>
      <c r="AD232" s="4">
        <f t="shared" si="13"/>
        <v>0</v>
      </c>
      <c r="AE232" s="4">
        <f ca="1">(L232-M232)*(Z232+AA232)+($Z$252+$AA$252-$Z$232-$AA$232)*(L232)</f>
        <v>135693.61707604909</v>
      </c>
      <c r="AF232" s="3" t="s">
        <v>754</v>
      </c>
    </row>
    <row r="233" spans="1:32" ht="11.25" customHeight="1" x14ac:dyDescent="0.25">
      <c r="A233" s="3" t="s">
        <v>27</v>
      </c>
      <c r="B233" s="3" t="s">
        <v>22</v>
      </c>
      <c r="C233" s="3" t="s">
        <v>23</v>
      </c>
      <c r="D233" s="3" t="s">
        <v>24</v>
      </c>
      <c r="E233" s="3" t="s">
        <v>31</v>
      </c>
      <c r="F233" s="3" t="s">
        <v>25</v>
      </c>
      <c r="G233" s="3" t="s">
        <v>25</v>
      </c>
      <c r="H233" s="3" t="s">
        <v>25</v>
      </c>
      <c r="I233" s="6">
        <v>44562</v>
      </c>
      <c r="J233" s="4">
        <v>0</v>
      </c>
      <c r="K233" s="4">
        <v>0</v>
      </c>
      <c r="L233" s="4">
        <v>-0.16500000000000001</v>
      </c>
      <c r="M233" s="4">
        <v>-0.16500000000000001</v>
      </c>
      <c r="N233" s="4">
        <v>-0.16500000000000001</v>
      </c>
      <c r="O233" s="4">
        <v>-0.16500000000000001</v>
      </c>
      <c r="P233" s="4">
        <v>3</v>
      </c>
      <c r="Q233" s="3" t="s">
        <v>26</v>
      </c>
      <c r="R233" s="3">
        <v>0</v>
      </c>
      <c r="S233" s="3">
        <v>0</v>
      </c>
      <c r="T233" s="3">
        <v>61</v>
      </c>
      <c r="U233" s="3">
        <v>65</v>
      </c>
      <c r="V233" s="4">
        <f>IF(ISERROR(VLOOKUP($S$233,'TAR FIN'!$A$1:$O$92,15,0)),0,VLOOKUP($S$233,'TAR FIN'!$A$1:$O$92,15,0))</f>
        <v>0</v>
      </c>
      <c r="W233" s="4">
        <f>IF(ISERROR(VLOOKUP($T$233,'TAR FIN'!$A$1:$O$92,15,0)),0,VLOOKUP($T$233,'TAR FIN'!$A$1:$O$92,15,0))</f>
        <v>242.41</v>
      </c>
      <c r="X233" s="4">
        <f>IF(ISERROR(VLOOKUP($U$233,'TAR FIN'!$A$1:$O$92,15,0)),0,VLOOKUP($U$233,'TAR FIN'!$A$1:$O$92,15,0))</f>
        <v>242</v>
      </c>
      <c r="Y233" s="4"/>
      <c r="Z233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3" s="4">
        <f>('TE BE'!$AB$14+'TE BF'!$AB$14+'TE CVA'!$AB$14)*(1-CUSTOS!$M$36)</f>
        <v>302.55795834151576</v>
      </c>
      <c r="AB233" s="4">
        <f t="shared" si="12"/>
        <v>0</v>
      </c>
      <c r="AC233" s="4">
        <f>(L233-M233)*(W233+X233)+($W$252+$X$252-$W$233-$X$233)*(L233)</f>
        <v>-8.880300000000009</v>
      </c>
      <c r="AD233" s="4">
        <f t="shared" si="13"/>
        <v>0</v>
      </c>
      <c r="AE233" s="4">
        <f ca="1">(L233-M233)*(Z233+AA233)+($Z$252+$AA$252-$Z$233-$AA$233)*(L233)</f>
        <v>-11.154372466376932</v>
      </c>
      <c r="AF233" s="3" t="s">
        <v>754</v>
      </c>
    </row>
    <row r="234" spans="1:32" ht="11.25" customHeight="1" x14ac:dyDescent="0.25">
      <c r="A234" s="3" t="s">
        <v>21</v>
      </c>
      <c r="B234" s="3" t="s">
        <v>22</v>
      </c>
      <c r="C234" s="3" t="s">
        <v>23</v>
      </c>
      <c r="D234" s="3" t="s">
        <v>24</v>
      </c>
      <c r="E234" s="3" t="s">
        <v>31</v>
      </c>
      <c r="F234" s="3" t="s">
        <v>25</v>
      </c>
      <c r="G234" s="3" t="s">
        <v>25</v>
      </c>
      <c r="H234" s="3" t="s">
        <v>25</v>
      </c>
      <c r="I234" s="6">
        <v>44593</v>
      </c>
      <c r="J234" s="4">
        <v>0</v>
      </c>
      <c r="K234" s="4">
        <v>0</v>
      </c>
      <c r="L234" s="4">
        <v>2077.3789999999999</v>
      </c>
      <c r="M234" s="4">
        <v>2077.3789999999999</v>
      </c>
      <c r="N234" s="4">
        <v>2077.3789999999999</v>
      </c>
      <c r="O234" s="4">
        <v>2077.3789999999999</v>
      </c>
      <c r="P234" s="4">
        <v>10155</v>
      </c>
      <c r="Q234" s="3" t="s">
        <v>26</v>
      </c>
      <c r="R234" s="3">
        <v>0</v>
      </c>
      <c r="S234" s="3">
        <v>0</v>
      </c>
      <c r="T234" s="3">
        <v>61</v>
      </c>
      <c r="U234" s="3">
        <v>65</v>
      </c>
      <c r="V234" s="4">
        <f>IF(ISERROR(VLOOKUP($S$234,'TAR FIN'!$A$1:$O$92,15,0)),0,VLOOKUP($S$234,'TAR FIN'!$A$1:$O$92,15,0))</f>
        <v>0</v>
      </c>
      <c r="W234" s="4">
        <f>IF(ISERROR(VLOOKUP($T$234,'TAR FIN'!$A$1:$O$92,15,0)),0,VLOOKUP($T$234,'TAR FIN'!$A$1:$O$92,15,0))</f>
        <v>242.41</v>
      </c>
      <c r="X234" s="4">
        <f>IF(ISERROR(VLOOKUP($U$234,'TAR FIN'!$A$1:$O$92,15,0)),0,VLOOKUP($U$234,'TAR FIN'!$A$1:$O$92,15,0))</f>
        <v>242</v>
      </c>
      <c r="Y234" s="4"/>
      <c r="Z234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4" s="4">
        <f>('TE BE'!$AB$14+'TE BF'!$AB$14+'TE CVA'!$AB$14)*(1-CUSTOS!$M$36)</f>
        <v>302.55795834151576</v>
      </c>
      <c r="AB234" s="4">
        <f t="shared" si="12"/>
        <v>0</v>
      </c>
      <c r="AC234" s="4">
        <f>(L234-M234)*(W234+X234)+($W$252+$X$252-$W$234-$X$234)*(L234)</f>
        <v>111804.5377800001</v>
      </c>
      <c r="AD234" s="4">
        <f t="shared" si="13"/>
        <v>0</v>
      </c>
      <c r="AE234" s="4">
        <f ca="1">(L234-M234)*(Z234+AA234)+($Z$252+$AA$252-$Z$234-$AA$234)*(L234)</f>
        <v>140435.50981714937</v>
      </c>
      <c r="AF234" s="3" t="s">
        <v>754</v>
      </c>
    </row>
    <row r="235" spans="1:32" ht="11.25" customHeight="1" x14ac:dyDescent="0.25">
      <c r="A235" s="3" t="s">
        <v>27</v>
      </c>
      <c r="B235" s="3" t="s">
        <v>22</v>
      </c>
      <c r="C235" s="3" t="s">
        <v>23</v>
      </c>
      <c r="D235" s="3" t="s">
        <v>24</v>
      </c>
      <c r="E235" s="3" t="s">
        <v>31</v>
      </c>
      <c r="F235" s="3" t="s">
        <v>25</v>
      </c>
      <c r="G235" s="3" t="s">
        <v>25</v>
      </c>
      <c r="H235" s="3" t="s">
        <v>25</v>
      </c>
      <c r="I235" s="6">
        <v>44593</v>
      </c>
      <c r="J235" s="4">
        <v>0</v>
      </c>
      <c r="K235" s="4">
        <v>0</v>
      </c>
      <c r="L235" s="4">
        <v>-0.8</v>
      </c>
      <c r="M235" s="4">
        <v>-0.8</v>
      </c>
      <c r="N235" s="4">
        <v>-0.8</v>
      </c>
      <c r="O235" s="4">
        <v>-0.8</v>
      </c>
      <c r="P235" s="4">
        <v>-3</v>
      </c>
      <c r="Q235" s="3" t="s">
        <v>26</v>
      </c>
      <c r="R235" s="3">
        <v>0</v>
      </c>
      <c r="S235" s="3">
        <v>0</v>
      </c>
      <c r="T235" s="3">
        <v>61</v>
      </c>
      <c r="U235" s="3">
        <v>65</v>
      </c>
      <c r="V235" s="4">
        <f>IF(ISERROR(VLOOKUP($S$235,'TAR FIN'!$A$1:$O$92,15,0)),0,VLOOKUP($S$235,'TAR FIN'!$A$1:$O$92,15,0))</f>
        <v>0</v>
      </c>
      <c r="W235" s="4">
        <f>IF(ISERROR(VLOOKUP($T$235,'TAR FIN'!$A$1:$O$92,15,0)),0,VLOOKUP($T$235,'TAR FIN'!$A$1:$O$92,15,0))</f>
        <v>242.41</v>
      </c>
      <c r="X235" s="4">
        <f>IF(ISERROR(VLOOKUP($U$235,'TAR FIN'!$A$1:$O$92,15,0)),0,VLOOKUP($U$235,'TAR FIN'!$A$1:$O$92,15,0))</f>
        <v>242</v>
      </c>
      <c r="Y235" s="4"/>
      <c r="Z235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5" s="4">
        <f>('TE BE'!$AB$14+'TE BF'!$AB$14+'TE CVA'!$AB$14)*(1-CUSTOS!$M$36)</f>
        <v>302.55795834151576</v>
      </c>
      <c r="AB235" s="4">
        <f t="shared" si="12"/>
        <v>0</v>
      </c>
      <c r="AC235" s="4">
        <f>(L235-M235)*(W235+X235)+($W$252+$X$252-$W$235-$X$235)*(L235)</f>
        <v>-43.05600000000004</v>
      </c>
      <c r="AD235" s="4">
        <f t="shared" si="13"/>
        <v>0</v>
      </c>
      <c r="AE235" s="4">
        <f ca="1">(L235-M235)*(Z235+AA235)+($Z$252+$AA$252-$Z$235-$AA$235)*(L235)</f>
        <v>-54.081805897585127</v>
      </c>
      <c r="AF235" s="3" t="s">
        <v>754</v>
      </c>
    </row>
    <row r="236" spans="1:32" ht="11.25" customHeight="1" x14ac:dyDescent="0.25">
      <c r="A236" s="3" t="s">
        <v>21</v>
      </c>
      <c r="B236" s="3" t="s">
        <v>22</v>
      </c>
      <c r="C236" s="3" t="s">
        <v>23</v>
      </c>
      <c r="D236" s="3" t="s">
        <v>24</v>
      </c>
      <c r="E236" s="3" t="s">
        <v>31</v>
      </c>
      <c r="F236" s="3" t="s">
        <v>25</v>
      </c>
      <c r="G236" s="3" t="s">
        <v>25</v>
      </c>
      <c r="H236" s="3" t="s">
        <v>25</v>
      </c>
      <c r="I236" s="6">
        <v>44621</v>
      </c>
      <c r="J236" s="4">
        <v>0</v>
      </c>
      <c r="K236" s="4">
        <v>0</v>
      </c>
      <c r="L236" s="4">
        <v>2154.9009999999998</v>
      </c>
      <c r="M236" s="4">
        <v>2154.9009999999998</v>
      </c>
      <c r="N236" s="4">
        <v>2154.9009999999998</v>
      </c>
      <c r="O236" s="4">
        <v>2154.9009999999998</v>
      </c>
      <c r="P236" s="4">
        <v>10453</v>
      </c>
      <c r="Q236" s="3" t="s">
        <v>26</v>
      </c>
      <c r="R236" s="3">
        <v>0</v>
      </c>
      <c r="S236" s="3">
        <v>0</v>
      </c>
      <c r="T236" s="3">
        <v>61</v>
      </c>
      <c r="U236" s="3">
        <v>65</v>
      </c>
      <c r="V236" s="4">
        <f>IF(ISERROR(VLOOKUP($S$236,'TAR FIN'!$A$1:$O$92,15,0)),0,VLOOKUP($S$236,'TAR FIN'!$A$1:$O$92,15,0))</f>
        <v>0</v>
      </c>
      <c r="W236" s="4">
        <f>IF(ISERROR(VLOOKUP($T$236,'TAR FIN'!$A$1:$O$92,15,0)),0,VLOOKUP($T$236,'TAR FIN'!$A$1:$O$92,15,0))</f>
        <v>242.41</v>
      </c>
      <c r="X236" s="4">
        <f>IF(ISERROR(VLOOKUP($U$236,'TAR FIN'!$A$1:$O$92,15,0)),0,VLOOKUP($U$236,'TAR FIN'!$A$1:$O$92,15,0))</f>
        <v>242</v>
      </c>
      <c r="Y236" s="4"/>
      <c r="Z236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6" s="4">
        <f>('TE BE'!$AB$14+'TE BF'!$AB$14+'TE CVA'!$AB$14)*(1-CUSTOS!$M$36)</f>
        <v>302.55795834151576</v>
      </c>
      <c r="AB236" s="4">
        <f t="shared" si="12"/>
        <v>0</v>
      </c>
      <c r="AC236" s="4">
        <f>(L236-M236)*(W236+X236)+($W$252+$X$252-$W$236-$X$236)*(L236)</f>
        <v>115976.7718200001</v>
      </c>
      <c r="AD236" s="4">
        <f t="shared" si="13"/>
        <v>0</v>
      </c>
      <c r="AE236" s="4">
        <f ca="1">(L236-M236)*(Z236+AA236)+($Z$252+$AA$252-$Z$236-$AA$236)*(L236)</f>
        <v>145676.17201314011</v>
      </c>
      <c r="AF236" s="3" t="s">
        <v>754</v>
      </c>
    </row>
    <row r="237" spans="1:32" ht="11.25" customHeight="1" x14ac:dyDescent="0.25">
      <c r="A237" s="3" t="s">
        <v>27</v>
      </c>
      <c r="B237" s="3" t="s">
        <v>22</v>
      </c>
      <c r="C237" s="3" t="s">
        <v>23</v>
      </c>
      <c r="D237" s="3" t="s">
        <v>24</v>
      </c>
      <c r="E237" s="3" t="s">
        <v>31</v>
      </c>
      <c r="F237" s="3" t="s">
        <v>25</v>
      </c>
      <c r="G237" s="3" t="s">
        <v>25</v>
      </c>
      <c r="H237" s="3" t="s">
        <v>25</v>
      </c>
      <c r="I237" s="6">
        <v>44621</v>
      </c>
      <c r="J237" s="4">
        <v>0</v>
      </c>
      <c r="K237" s="4">
        <v>0</v>
      </c>
      <c r="L237" s="4">
        <v>4.4999999999999998E-2</v>
      </c>
      <c r="M237" s="4">
        <v>4.4999999999999998E-2</v>
      </c>
      <c r="N237" s="4">
        <v>4.4999999999999998E-2</v>
      </c>
      <c r="O237" s="4">
        <v>4.4999999999999998E-2</v>
      </c>
      <c r="P237" s="4">
        <v>0</v>
      </c>
      <c r="Q237" s="3" t="s">
        <v>26</v>
      </c>
      <c r="R237" s="3">
        <v>0</v>
      </c>
      <c r="S237" s="3">
        <v>0</v>
      </c>
      <c r="T237" s="3">
        <v>61</v>
      </c>
      <c r="U237" s="3">
        <v>65</v>
      </c>
      <c r="V237" s="4">
        <f>IF(ISERROR(VLOOKUP($S$237,'TAR FIN'!$A$1:$O$92,15,0)),0,VLOOKUP($S$237,'TAR FIN'!$A$1:$O$92,15,0))</f>
        <v>0</v>
      </c>
      <c r="W237" s="4">
        <f>IF(ISERROR(VLOOKUP($T$237,'TAR FIN'!$A$1:$O$92,15,0)),0,VLOOKUP($T$237,'TAR FIN'!$A$1:$O$92,15,0))</f>
        <v>242.41</v>
      </c>
      <c r="X237" s="4">
        <f>IF(ISERROR(VLOOKUP($U$237,'TAR FIN'!$A$1:$O$92,15,0)),0,VLOOKUP($U$237,'TAR FIN'!$A$1:$O$92,15,0))</f>
        <v>242</v>
      </c>
      <c r="Y237" s="4"/>
      <c r="Z237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7" s="4">
        <f>('TE BE'!$AB$14+'TE BF'!$AB$14+'TE CVA'!$AB$14)*(1-CUSTOS!$M$36)</f>
        <v>302.55795834151576</v>
      </c>
      <c r="AB237" s="4">
        <f t="shared" si="12"/>
        <v>0</v>
      </c>
      <c r="AC237" s="4">
        <f>(L237-M237)*(W237+X237)+($W$252+$X$252-$W$237-$X$237)*(L237)</f>
        <v>2.4219000000000022</v>
      </c>
      <c r="AD237" s="4">
        <f t="shared" si="13"/>
        <v>0</v>
      </c>
      <c r="AE237" s="4">
        <f ca="1">(L237-M237)*(Z237+AA237)+($Z$252+$AA$252-$Z$237-$AA$237)*(L237)</f>
        <v>3.0421015817391632</v>
      </c>
      <c r="AF237" s="3" t="s">
        <v>754</v>
      </c>
    </row>
    <row r="238" spans="1:32" ht="11.25" customHeight="1" x14ac:dyDescent="0.25">
      <c r="A238" s="3" t="s">
        <v>21</v>
      </c>
      <c r="B238" s="3" t="s">
        <v>22</v>
      </c>
      <c r="C238" s="3" t="s">
        <v>23</v>
      </c>
      <c r="D238" s="3" t="s">
        <v>24</v>
      </c>
      <c r="E238" s="3" t="s">
        <v>31</v>
      </c>
      <c r="F238" s="3" t="s">
        <v>25</v>
      </c>
      <c r="G238" s="3" t="s">
        <v>25</v>
      </c>
      <c r="H238" s="3" t="s">
        <v>25</v>
      </c>
      <c r="I238" s="6">
        <v>44652</v>
      </c>
      <c r="J238" s="4">
        <v>0</v>
      </c>
      <c r="K238" s="4">
        <v>0</v>
      </c>
      <c r="L238" s="4">
        <v>2154.9009999999998</v>
      </c>
      <c r="M238" s="4">
        <v>2154.9009999999998</v>
      </c>
      <c r="N238" s="4">
        <v>2154.9009999999998</v>
      </c>
      <c r="O238" s="4">
        <v>2154.9009999999998</v>
      </c>
      <c r="P238" s="4">
        <v>10453</v>
      </c>
      <c r="Q238" s="3" t="s">
        <v>26</v>
      </c>
      <c r="R238" s="3">
        <v>0</v>
      </c>
      <c r="S238" s="3">
        <v>0</v>
      </c>
      <c r="T238" s="3">
        <v>61</v>
      </c>
      <c r="U238" s="3">
        <v>65</v>
      </c>
      <c r="V238" s="4">
        <f>IF(ISERROR(VLOOKUP($S$238,'TAR FIN'!$A$1:$O$92,15,0)),0,VLOOKUP($S$238,'TAR FIN'!$A$1:$O$92,15,0))</f>
        <v>0</v>
      </c>
      <c r="W238" s="4">
        <f>IF(ISERROR(VLOOKUP($T$238,'TAR FIN'!$A$1:$O$92,15,0)),0,VLOOKUP($T$238,'TAR FIN'!$A$1:$O$92,15,0))</f>
        <v>242.41</v>
      </c>
      <c r="X238" s="4">
        <f>IF(ISERROR(VLOOKUP($U$238,'TAR FIN'!$A$1:$O$92,15,0)),0,VLOOKUP($U$238,'TAR FIN'!$A$1:$O$92,15,0))</f>
        <v>242</v>
      </c>
      <c r="Y238" s="4"/>
      <c r="Z238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8" s="4">
        <f>('TE BE'!$AB$14+'TE BF'!$AB$14+'TE CVA'!$AB$14)*(1-CUSTOS!$M$36)</f>
        <v>302.55795834151576</v>
      </c>
      <c r="AB238" s="4">
        <f t="shared" si="12"/>
        <v>0</v>
      </c>
      <c r="AC238" s="4">
        <f>(L238-M238)*(W238+X238)+($W$252+$X$252-$W$238-$X$238)*(L238)</f>
        <v>115976.7718200001</v>
      </c>
      <c r="AD238" s="4">
        <f t="shared" si="13"/>
        <v>0</v>
      </c>
      <c r="AE238" s="4">
        <f ca="1">(L238-M238)*(Z238+AA238)+($Z$252+$AA$252-$Z$238-$AA$238)*(L238)</f>
        <v>145676.17201314011</v>
      </c>
      <c r="AF238" s="3" t="s">
        <v>754</v>
      </c>
    </row>
    <row r="239" spans="1:32" ht="11.25" customHeight="1" x14ac:dyDescent="0.25">
      <c r="A239" s="3" t="s">
        <v>27</v>
      </c>
      <c r="B239" s="3" t="s">
        <v>22</v>
      </c>
      <c r="C239" s="3" t="s">
        <v>23</v>
      </c>
      <c r="D239" s="3" t="s">
        <v>24</v>
      </c>
      <c r="E239" s="3" t="s">
        <v>31</v>
      </c>
      <c r="F239" s="3" t="s">
        <v>25</v>
      </c>
      <c r="G239" s="3" t="s">
        <v>25</v>
      </c>
      <c r="H239" s="3" t="s">
        <v>25</v>
      </c>
      <c r="I239" s="6">
        <v>44652</v>
      </c>
      <c r="J239" s="4">
        <v>0</v>
      </c>
      <c r="K239" s="4">
        <v>0</v>
      </c>
      <c r="L239" s="4">
        <v>4.4999999999999998E-2</v>
      </c>
      <c r="M239" s="4">
        <v>4.4999999999999998E-2</v>
      </c>
      <c r="N239" s="4">
        <v>4.4999999999999998E-2</v>
      </c>
      <c r="O239" s="4">
        <v>4.4999999999999998E-2</v>
      </c>
      <c r="P239" s="4">
        <v>0</v>
      </c>
      <c r="Q239" s="3" t="s">
        <v>26</v>
      </c>
      <c r="R239" s="3">
        <v>0</v>
      </c>
      <c r="S239" s="3">
        <v>0</v>
      </c>
      <c r="T239" s="3">
        <v>61</v>
      </c>
      <c r="U239" s="3">
        <v>65</v>
      </c>
      <c r="V239" s="4">
        <f>IF(ISERROR(VLOOKUP($S$239,'TAR FIN'!$A$1:$O$92,15,0)),0,VLOOKUP($S$239,'TAR FIN'!$A$1:$O$92,15,0))</f>
        <v>0</v>
      </c>
      <c r="W239" s="4">
        <f>IF(ISERROR(VLOOKUP($T$239,'TAR FIN'!$A$1:$O$92,15,0)),0,VLOOKUP($T$239,'TAR FIN'!$A$1:$O$92,15,0))</f>
        <v>242.41</v>
      </c>
      <c r="X239" s="4">
        <f>IF(ISERROR(VLOOKUP($U$239,'TAR FIN'!$A$1:$O$92,15,0)),0,VLOOKUP($U$239,'TAR FIN'!$A$1:$O$92,15,0))</f>
        <v>242</v>
      </c>
      <c r="Y239" s="4"/>
      <c r="Z239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39" s="4">
        <f>('TE BE'!$AB$14+'TE BF'!$AB$14+'TE CVA'!$AB$14)*(1-CUSTOS!$M$36)</f>
        <v>302.55795834151576</v>
      </c>
      <c r="AB239" s="4">
        <f t="shared" si="12"/>
        <v>0</v>
      </c>
      <c r="AC239" s="4">
        <f>(L239-M239)*(W239+X239)+($W$252+$X$252-$W$239-$X$239)*(L239)</f>
        <v>2.4219000000000022</v>
      </c>
      <c r="AD239" s="4">
        <f t="shared" si="13"/>
        <v>0</v>
      </c>
      <c r="AE239" s="4">
        <f ca="1">(L239-M239)*(Z239+AA239)+($Z$252+$AA$252-$Z$239-$AA$239)*(L239)</f>
        <v>3.0421015817391632</v>
      </c>
      <c r="AF239" s="3" t="s">
        <v>754</v>
      </c>
    </row>
    <row r="240" spans="1:32" ht="11.25" customHeight="1" x14ac:dyDescent="0.25">
      <c r="A240" s="3" t="s">
        <v>21</v>
      </c>
      <c r="B240" s="3" t="s">
        <v>22</v>
      </c>
      <c r="C240" s="3" t="s">
        <v>23</v>
      </c>
      <c r="D240" s="3" t="s">
        <v>24</v>
      </c>
      <c r="E240" s="3" t="s">
        <v>31</v>
      </c>
      <c r="F240" s="3" t="s">
        <v>25</v>
      </c>
      <c r="G240" s="3" t="s">
        <v>25</v>
      </c>
      <c r="H240" s="3" t="s">
        <v>25</v>
      </c>
      <c r="I240" s="6">
        <v>44682</v>
      </c>
      <c r="J240" s="4">
        <v>0</v>
      </c>
      <c r="K240" s="4">
        <v>0</v>
      </c>
      <c r="L240" s="4">
        <v>2075.8119999999999</v>
      </c>
      <c r="M240" s="4">
        <v>2075.8119999999999</v>
      </c>
      <c r="N240" s="4">
        <v>2075.8119999999999</v>
      </c>
      <c r="O240" s="4">
        <v>2075.8119999999999</v>
      </c>
      <c r="P240" s="4">
        <v>11083</v>
      </c>
      <c r="Q240" s="3" t="s">
        <v>26</v>
      </c>
      <c r="R240" s="3">
        <v>0</v>
      </c>
      <c r="S240" s="3">
        <v>0</v>
      </c>
      <c r="T240" s="3">
        <v>61</v>
      </c>
      <c r="U240" s="3">
        <v>65</v>
      </c>
      <c r="V240" s="4">
        <f>IF(ISERROR(VLOOKUP($S$240,'TAR FIN'!$A$1:$O$92,15,0)),0,VLOOKUP($S$240,'TAR FIN'!$A$1:$O$92,15,0))</f>
        <v>0</v>
      </c>
      <c r="W240" s="4">
        <f>IF(ISERROR(VLOOKUP($T$240,'TAR FIN'!$A$1:$O$92,15,0)),0,VLOOKUP($T$240,'TAR FIN'!$A$1:$O$92,15,0))</f>
        <v>242.41</v>
      </c>
      <c r="X240" s="4">
        <f>IF(ISERROR(VLOOKUP($U$240,'TAR FIN'!$A$1:$O$92,15,0)),0,VLOOKUP($U$240,'TAR FIN'!$A$1:$O$92,15,0))</f>
        <v>242</v>
      </c>
      <c r="Y240" s="4"/>
      <c r="Z240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0" s="4">
        <f>('TE BE'!$AB$14+'TE BF'!$AB$14+'TE CVA'!$AB$14)*(1-CUSTOS!$M$36)</f>
        <v>302.55795834151576</v>
      </c>
      <c r="AB240" s="4">
        <f t="shared" si="12"/>
        <v>0</v>
      </c>
      <c r="AC240" s="4">
        <f>(L240-M240)*(W240+X240)+($W$252+$X$252-$W$240-$X$240)*(L240)</f>
        <v>111720.2018400001</v>
      </c>
      <c r="AD240" s="4">
        <f t="shared" si="13"/>
        <v>0</v>
      </c>
      <c r="AE240" s="4">
        <f ca="1">(L240-M240)*(Z240+AA240)+($Z$252+$AA$252-$Z$240-$AA$240)*(L240)</f>
        <v>140329.57707984746</v>
      </c>
      <c r="AF240" s="3" t="s">
        <v>754</v>
      </c>
    </row>
    <row r="241" spans="1:32" ht="11.25" customHeight="1" x14ac:dyDescent="0.25">
      <c r="A241" s="3" t="s">
        <v>27</v>
      </c>
      <c r="B241" s="3" t="s">
        <v>22</v>
      </c>
      <c r="C241" s="3" t="s">
        <v>23</v>
      </c>
      <c r="D241" s="3" t="s">
        <v>24</v>
      </c>
      <c r="E241" s="3" t="s">
        <v>31</v>
      </c>
      <c r="F241" s="3" t="s">
        <v>25</v>
      </c>
      <c r="G241" s="3" t="s">
        <v>25</v>
      </c>
      <c r="H241" s="3" t="s">
        <v>25</v>
      </c>
      <c r="I241" s="6">
        <v>44682</v>
      </c>
      <c r="J241" s="4">
        <v>0</v>
      </c>
      <c r="K241" s="4">
        <v>0</v>
      </c>
      <c r="L241" s="4">
        <v>-1.6479999999999999</v>
      </c>
      <c r="M241" s="4">
        <v>-1.6479999999999999</v>
      </c>
      <c r="N241" s="4">
        <v>-1.6479999999999999</v>
      </c>
      <c r="O241" s="4">
        <v>-1.6479999999999999</v>
      </c>
      <c r="P241" s="4">
        <v>4</v>
      </c>
      <c r="Q241" s="3" t="s">
        <v>26</v>
      </c>
      <c r="R241" s="3">
        <v>0</v>
      </c>
      <c r="S241" s="3">
        <v>0</v>
      </c>
      <c r="T241" s="3">
        <v>61</v>
      </c>
      <c r="U241" s="3">
        <v>65</v>
      </c>
      <c r="V241" s="4">
        <f>IF(ISERROR(VLOOKUP($S$241,'TAR FIN'!$A$1:$O$92,15,0)),0,VLOOKUP($S$241,'TAR FIN'!$A$1:$O$92,15,0))</f>
        <v>0</v>
      </c>
      <c r="W241" s="4">
        <f>IF(ISERROR(VLOOKUP($T$241,'TAR FIN'!$A$1:$O$92,15,0)),0,VLOOKUP($T$241,'TAR FIN'!$A$1:$O$92,15,0))</f>
        <v>242.41</v>
      </c>
      <c r="X241" s="4">
        <f>IF(ISERROR(VLOOKUP($U$241,'TAR FIN'!$A$1:$O$92,15,0)),0,VLOOKUP($U$241,'TAR FIN'!$A$1:$O$92,15,0))</f>
        <v>242</v>
      </c>
      <c r="Y241" s="4"/>
      <c r="Z241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1" s="4">
        <f>('TE BE'!$AB$14+'TE BF'!$AB$14+'TE CVA'!$AB$14)*(1-CUSTOS!$M$36)</f>
        <v>302.55795834151576</v>
      </c>
      <c r="AB241" s="4">
        <f t="shared" si="12"/>
        <v>0</v>
      </c>
      <c r="AC241" s="4">
        <f>(L241-M241)*(W241+X241)+($W$252+$X$252-$W$241-$X$241)*(L241)</f>
        <v>-88.695360000000079</v>
      </c>
      <c r="AD241" s="4">
        <f t="shared" si="13"/>
        <v>0</v>
      </c>
      <c r="AE241" s="4">
        <f ca="1">(L241-M241)*(Z241+AA241)+($Z$252+$AA$252-$Z$241-$AA$241)*(L241)</f>
        <v>-111.40852014902535</v>
      </c>
      <c r="AF241" s="3" t="s">
        <v>754</v>
      </c>
    </row>
    <row r="242" spans="1:32" ht="11.25" customHeight="1" x14ac:dyDescent="0.25">
      <c r="A242" s="3" t="s">
        <v>21</v>
      </c>
      <c r="B242" s="3" t="s">
        <v>22</v>
      </c>
      <c r="C242" s="3" t="s">
        <v>23</v>
      </c>
      <c r="D242" s="3" t="s">
        <v>24</v>
      </c>
      <c r="E242" s="3" t="s">
        <v>31</v>
      </c>
      <c r="F242" s="3" t="s">
        <v>25</v>
      </c>
      <c r="G242" s="3" t="s">
        <v>25</v>
      </c>
      <c r="H242" s="3" t="s">
        <v>25</v>
      </c>
      <c r="I242" s="6">
        <v>44713</v>
      </c>
      <c r="J242" s="4">
        <v>0</v>
      </c>
      <c r="K242" s="4">
        <v>0</v>
      </c>
      <c r="L242" s="4">
        <v>2074.1880000000001</v>
      </c>
      <c r="M242" s="4">
        <v>2074.1880000000001</v>
      </c>
      <c r="N242" s="4">
        <v>2074.1880000000001</v>
      </c>
      <c r="O242" s="4">
        <v>2074.1880000000001</v>
      </c>
      <c r="P242" s="4">
        <v>11491</v>
      </c>
      <c r="Q242" s="3" t="s">
        <v>26</v>
      </c>
      <c r="R242" s="3">
        <v>0</v>
      </c>
      <c r="S242" s="3">
        <v>0</v>
      </c>
      <c r="T242" s="3">
        <v>61</v>
      </c>
      <c r="U242" s="3">
        <v>65</v>
      </c>
      <c r="V242" s="4">
        <f>IF(ISERROR(VLOOKUP($S$242,'TAR FIN'!$A$1:$O$92,15,0)),0,VLOOKUP($S$242,'TAR FIN'!$A$1:$O$92,15,0))</f>
        <v>0</v>
      </c>
      <c r="W242" s="4">
        <f>IF(ISERROR(VLOOKUP($T$242,'TAR FIN'!$A$1:$O$92,15,0)),0,VLOOKUP($T$242,'TAR FIN'!$A$1:$O$92,15,0))</f>
        <v>242.41</v>
      </c>
      <c r="X242" s="4">
        <f>IF(ISERROR(VLOOKUP($U$242,'TAR FIN'!$A$1:$O$92,15,0)),0,VLOOKUP($U$242,'TAR FIN'!$A$1:$O$92,15,0))</f>
        <v>242</v>
      </c>
      <c r="Y242" s="4"/>
      <c r="Z242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2" s="4">
        <f>('TE BE'!$AB$14+'TE BF'!$AB$14+'TE CVA'!$AB$14)*(1-CUSTOS!$M$36)</f>
        <v>302.55795834151576</v>
      </c>
      <c r="AB242" s="4">
        <f t="shared" si="12"/>
        <v>0</v>
      </c>
      <c r="AC242" s="4">
        <f>(L242-M242)*(W242+X242)+($W$252+$X$252-$W$242-$X$242)*(L242)</f>
        <v>111632.79816000011</v>
      </c>
      <c r="AD242" s="4">
        <f t="shared" si="13"/>
        <v>0</v>
      </c>
      <c r="AE242" s="4">
        <f ca="1">(L242-M242)*(Z242+AA242)+($Z$252+$AA$252-$Z$242-$AA$242)*(L242)</f>
        <v>140219.79101387539</v>
      </c>
      <c r="AF242" s="3" t="s">
        <v>754</v>
      </c>
    </row>
    <row r="243" spans="1:32" ht="11.25" customHeight="1" x14ac:dyDescent="0.25">
      <c r="A243" s="3" t="s">
        <v>27</v>
      </c>
      <c r="B243" s="3" t="s">
        <v>22</v>
      </c>
      <c r="C243" s="3" t="s">
        <v>23</v>
      </c>
      <c r="D243" s="3" t="s">
        <v>24</v>
      </c>
      <c r="E243" s="3" t="s">
        <v>31</v>
      </c>
      <c r="F243" s="3" t="s">
        <v>25</v>
      </c>
      <c r="G243" s="3" t="s">
        <v>25</v>
      </c>
      <c r="H243" s="3" t="s">
        <v>25</v>
      </c>
      <c r="I243" s="6">
        <v>44713</v>
      </c>
      <c r="J243" s="4">
        <v>0</v>
      </c>
      <c r="K243" s="4">
        <v>0</v>
      </c>
      <c r="L243" s="4">
        <v>-0.48</v>
      </c>
      <c r="M243" s="4">
        <v>-0.48</v>
      </c>
      <c r="N243" s="4">
        <v>-0.48</v>
      </c>
      <c r="O243" s="4">
        <v>-0.48</v>
      </c>
      <c r="P243" s="4">
        <v>0</v>
      </c>
      <c r="Q243" s="3" t="s">
        <v>26</v>
      </c>
      <c r="R243" s="3">
        <v>0</v>
      </c>
      <c r="S243" s="3">
        <v>0</v>
      </c>
      <c r="T243" s="3">
        <v>61</v>
      </c>
      <c r="U243" s="3">
        <v>65</v>
      </c>
      <c r="V243" s="4">
        <f>IF(ISERROR(VLOOKUP($S$243,'TAR FIN'!$A$1:$O$92,15,0)),0,VLOOKUP($S$243,'TAR FIN'!$A$1:$O$92,15,0))</f>
        <v>0</v>
      </c>
      <c r="W243" s="4">
        <f>IF(ISERROR(VLOOKUP($T$243,'TAR FIN'!$A$1:$O$92,15,0)),0,VLOOKUP($T$243,'TAR FIN'!$A$1:$O$92,15,0))</f>
        <v>242.41</v>
      </c>
      <c r="X243" s="4">
        <f>IF(ISERROR(VLOOKUP($U$243,'TAR FIN'!$A$1:$O$92,15,0)),0,VLOOKUP($U$243,'TAR FIN'!$A$1:$O$92,15,0))</f>
        <v>242</v>
      </c>
      <c r="Y243" s="4"/>
      <c r="Z243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3" s="4">
        <f>('TE BE'!$AB$14+'TE BF'!$AB$14+'TE CVA'!$AB$14)*(1-CUSTOS!$M$36)</f>
        <v>302.55795834151576</v>
      </c>
      <c r="AB243" s="4">
        <f t="shared" si="12"/>
        <v>0</v>
      </c>
      <c r="AC243" s="4">
        <f>(L243-M243)*(W243+X243)+($W$252+$X$252-$W$243-$X$243)*(L243)</f>
        <v>-25.833600000000022</v>
      </c>
      <c r="AD243" s="4">
        <f t="shared" si="13"/>
        <v>0</v>
      </c>
      <c r="AE243" s="4">
        <f ca="1">(L243-M243)*(Z243+AA243)+($Z$252+$AA$252-$Z$243-$AA$243)*(L243)</f>
        <v>-32.449083538551072</v>
      </c>
      <c r="AF243" s="3" t="s">
        <v>754</v>
      </c>
    </row>
    <row r="244" spans="1:32" ht="11.25" customHeight="1" x14ac:dyDescent="0.25">
      <c r="A244" s="3" t="s">
        <v>21</v>
      </c>
      <c r="B244" s="3" t="s">
        <v>22</v>
      </c>
      <c r="C244" s="3" t="s">
        <v>23</v>
      </c>
      <c r="D244" s="3" t="s">
        <v>24</v>
      </c>
      <c r="E244" s="3" t="s">
        <v>31</v>
      </c>
      <c r="F244" s="3" t="s">
        <v>25</v>
      </c>
      <c r="G244" s="3" t="s">
        <v>25</v>
      </c>
      <c r="H244" s="3" t="s">
        <v>25</v>
      </c>
      <c r="I244" s="6">
        <v>44743</v>
      </c>
      <c r="J244" s="4">
        <v>0</v>
      </c>
      <c r="K244" s="4">
        <v>0</v>
      </c>
      <c r="L244" s="4">
        <v>2027.6849999999999</v>
      </c>
      <c r="M244" s="4">
        <v>2027.6849999999999</v>
      </c>
      <c r="N244" s="4">
        <v>2027.6849999999999</v>
      </c>
      <c r="O244" s="4">
        <v>2027.6849999999999</v>
      </c>
      <c r="P244" s="4">
        <v>11515</v>
      </c>
      <c r="Q244" s="3" t="s">
        <v>26</v>
      </c>
      <c r="R244" s="3">
        <v>0</v>
      </c>
      <c r="S244" s="3">
        <v>0</v>
      </c>
      <c r="T244" s="3">
        <v>61</v>
      </c>
      <c r="U244" s="3">
        <v>65</v>
      </c>
      <c r="V244" s="4">
        <f>IF(ISERROR(VLOOKUP($S$244,'TAR FIN'!$A$1:$O$92,15,0)),0,VLOOKUP($S$244,'TAR FIN'!$A$1:$O$92,15,0))</f>
        <v>0</v>
      </c>
      <c r="W244" s="4">
        <f>IF(ISERROR(VLOOKUP($T$244,'TAR FIN'!$A$1:$O$92,15,0)),0,VLOOKUP($T$244,'TAR FIN'!$A$1:$O$92,15,0))</f>
        <v>242.41</v>
      </c>
      <c r="X244" s="4">
        <f>IF(ISERROR(VLOOKUP($U$244,'TAR FIN'!$A$1:$O$92,15,0)),0,VLOOKUP($U$244,'TAR FIN'!$A$1:$O$92,15,0))</f>
        <v>242</v>
      </c>
      <c r="Y244" s="4"/>
      <c r="Z244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4" s="4">
        <f>('TE BE'!$AB$14+'TE BF'!$AB$14+'TE CVA'!$AB$14)*(1-CUSTOS!$M$36)</f>
        <v>302.55795834151576</v>
      </c>
      <c r="AB244" s="4">
        <f t="shared" si="12"/>
        <v>0</v>
      </c>
      <c r="AC244" s="4">
        <f>(L244-M244)*(W244+X244)+($W$252+$X$252-$W$244-$X$244)*(L244)</f>
        <v>109130.0067000001</v>
      </c>
      <c r="AD244" s="4">
        <f t="shared" si="13"/>
        <v>0</v>
      </c>
      <c r="AE244" s="4">
        <f ca="1">(L244-M244)*(Z244+AA244)+($Z$252+$AA$252-$Z$244-$AA$244)*(L244)</f>
        <v>137076.08323930611</v>
      </c>
      <c r="AF244" s="3" t="s">
        <v>754</v>
      </c>
    </row>
    <row r="245" spans="1:32" ht="11.25" customHeight="1" x14ac:dyDescent="0.25">
      <c r="A245" s="3" t="s">
        <v>27</v>
      </c>
      <c r="B245" s="3" t="s">
        <v>22</v>
      </c>
      <c r="C245" s="3" t="s">
        <v>23</v>
      </c>
      <c r="D245" s="3" t="s">
        <v>24</v>
      </c>
      <c r="E245" s="3" t="s">
        <v>31</v>
      </c>
      <c r="F245" s="3" t="s">
        <v>25</v>
      </c>
      <c r="G245" s="3" t="s">
        <v>25</v>
      </c>
      <c r="H245" s="3" t="s">
        <v>25</v>
      </c>
      <c r="I245" s="6">
        <v>44743</v>
      </c>
      <c r="J245" s="4">
        <v>0</v>
      </c>
      <c r="K245" s="4">
        <v>0</v>
      </c>
      <c r="L245" s="4">
        <v>-0.54600000000000004</v>
      </c>
      <c r="M245" s="4">
        <v>-0.54600000000000004</v>
      </c>
      <c r="N245" s="4">
        <v>-0.54600000000000004</v>
      </c>
      <c r="O245" s="4">
        <v>-0.54600000000000004</v>
      </c>
      <c r="P245" s="4">
        <v>3</v>
      </c>
      <c r="Q245" s="3" t="s">
        <v>26</v>
      </c>
      <c r="R245" s="3">
        <v>0</v>
      </c>
      <c r="S245" s="3">
        <v>0</v>
      </c>
      <c r="T245" s="3">
        <v>61</v>
      </c>
      <c r="U245" s="3">
        <v>65</v>
      </c>
      <c r="V245" s="4">
        <f>IF(ISERROR(VLOOKUP($S$245,'TAR FIN'!$A$1:$O$92,15,0)),0,VLOOKUP($S$245,'TAR FIN'!$A$1:$O$92,15,0))</f>
        <v>0</v>
      </c>
      <c r="W245" s="4">
        <f>IF(ISERROR(VLOOKUP($T$245,'TAR FIN'!$A$1:$O$92,15,0)),0,VLOOKUP($T$245,'TAR FIN'!$A$1:$O$92,15,0))</f>
        <v>242.41</v>
      </c>
      <c r="X245" s="4">
        <f>IF(ISERROR(VLOOKUP($U$245,'TAR FIN'!$A$1:$O$92,15,0)),0,VLOOKUP($U$245,'TAR FIN'!$A$1:$O$92,15,0))</f>
        <v>242</v>
      </c>
      <c r="Y245" s="4"/>
      <c r="Z245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5" s="4">
        <f>('TE BE'!$AB$14+'TE BF'!$AB$14+'TE CVA'!$AB$14)*(1-CUSTOS!$M$36)</f>
        <v>302.55795834151576</v>
      </c>
      <c r="AB245" s="4">
        <f t="shared" si="12"/>
        <v>0</v>
      </c>
      <c r="AC245" s="4">
        <f>(L245-M245)*(W245+X245)+($W$252+$X$252-$W$245-$X$245)*(L245)</f>
        <v>-29.385720000000031</v>
      </c>
      <c r="AD245" s="4">
        <f t="shared" si="13"/>
        <v>0</v>
      </c>
      <c r="AE245" s="4">
        <f ca="1">(L245-M245)*(Z245+AA245)+($Z$252+$AA$252-$Z$245-$AA$245)*(L245)</f>
        <v>-36.910832525101853</v>
      </c>
      <c r="AF245" s="3" t="s">
        <v>754</v>
      </c>
    </row>
    <row r="246" spans="1:32" ht="11.25" customHeight="1" x14ac:dyDescent="0.25">
      <c r="A246" s="3" t="s">
        <v>21</v>
      </c>
      <c r="B246" s="3" t="s">
        <v>22</v>
      </c>
      <c r="C246" s="3" t="s">
        <v>23</v>
      </c>
      <c r="D246" s="3" t="s">
        <v>24</v>
      </c>
      <c r="E246" s="3" t="s">
        <v>31</v>
      </c>
      <c r="F246" s="3" t="s">
        <v>25</v>
      </c>
      <c r="G246" s="3" t="s">
        <v>25</v>
      </c>
      <c r="H246" s="3" t="s">
        <v>25</v>
      </c>
      <c r="I246" s="6">
        <v>44774</v>
      </c>
      <c r="J246" s="4">
        <v>0</v>
      </c>
      <c r="K246" s="4">
        <v>0</v>
      </c>
      <c r="L246" s="4">
        <v>2259.4780000000001</v>
      </c>
      <c r="M246" s="4">
        <v>2259.4780000000001</v>
      </c>
      <c r="N246" s="4">
        <v>2259.4780000000001</v>
      </c>
      <c r="O246" s="4">
        <v>2259.4780000000001</v>
      </c>
      <c r="P246" s="4">
        <v>10407</v>
      </c>
      <c r="Q246" s="3" t="s">
        <v>26</v>
      </c>
      <c r="R246" s="3">
        <v>0</v>
      </c>
      <c r="S246" s="3">
        <v>0</v>
      </c>
      <c r="T246" s="3">
        <v>61</v>
      </c>
      <c r="U246" s="3">
        <v>65</v>
      </c>
      <c r="V246" s="4">
        <f>IF(ISERROR(VLOOKUP($S$246,'TAR FIN'!$A$1:$O$92,15,0)),0,VLOOKUP($S$246,'TAR FIN'!$A$1:$O$92,15,0))</f>
        <v>0</v>
      </c>
      <c r="W246" s="4">
        <f>IF(ISERROR(VLOOKUP($T$246,'TAR FIN'!$A$1:$O$92,15,0)),0,VLOOKUP($T$246,'TAR FIN'!$A$1:$O$92,15,0))</f>
        <v>242.41</v>
      </c>
      <c r="X246" s="4">
        <f>IF(ISERROR(VLOOKUP($U$246,'TAR FIN'!$A$1:$O$92,15,0)),0,VLOOKUP($U$246,'TAR FIN'!$A$1:$O$92,15,0))</f>
        <v>242</v>
      </c>
      <c r="Y246" s="4"/>
      <c r="Z246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6" s="4">
        <f>('TE BE'!$AB$14+'TE BF'!$AB$14+'TE CVA'!$AB$14)*(1-CUSTOS!$M$36)</f>
        <v>302.55795834151576</v>
      </c>
      <c r="AB246" s="4">
        <f t="shared" si="12"/>
        <v>0</v>
      </c>
      <c r="AC246" s="4">
        <f>(L246-M246)*(W246+X246)+($W$252+$X$252-$W$246-$X$246)*(L246)</f>
        <v>121605.10596000012</v>
      </c>
      <c r="AD246" s="4">
        <f t="shared" si="13"/>
        <v>0</v>
      </c>
      <c r="AE246" s="4">
        <f ca="1">(L246-M246)*(Z246+AA246)+($Z$252+$AA$252-$Z$246-$AA$246)*(L246)</f>
        <v>152745.81328232982</v>
      </c>
      <c r="AF246" s="3" t="s">
        <v>754</v>
      </c>
    </row>
    <row r="247" spans="1:32" ht="11.25" customHeight="1" x14ac:dyDescent="0.25">
      <c r="A247" s="3" t="s">
        <v>27</v>
      </c>
      <c r="B247" s="3" t="s">
        <v>22</v>
      </c>
      <c r="C247" s="3" t="s">
        <v>23</v>
      </c>
      <c r="D247" s="3" t="s">
        <v>24</v>
      </c>
      <c r="E247" s="3" t="s">
        <v>31</v>
      </c>
      <c r="F247" s="3" t="s">
        <v>25</v>
      </c>
      <c r="G247" s="3" t="s">
        <v>25</v>
      </c>
      <c r="H247" s="3" t="s">
        <v>25</v>
      </c>
      <c r="I247" s="6">
        <v>44774</v>
      </c>
      <c r="J247" s="4">
        <v>0</v>
      </c>
      <c r="K247" s="4">
        <v>0</v>
      </c>
      <c r="L247" s="4">
        <v>-0.36599999999999999</v>
      </c>
      <c r="M247" s="4">
        <v>-0.36599999999999999</v>
      </c>
      <c r="N247" s="4">
        <v>-0.36599999999999999</v>
      </c>
      <c r="O247" s="4">
        <v>-0.36599999999999999</v>
      </c>
      <c r="P247" s="4">
        <v>-3</v>
      </c>
      <c r="Q247" s="3" t="s">
        <v>26</v>
      </c>
      <c r="R247" s="3">
        <v>0</v>
      </c>
      <c r="S247" s="3">
        <v>0</v>
      </c>
      <c r="T247" s="3">
        <v>61</v>
      </c>
      <c r="U247" s="3">
        <v>65</v>
      </c>
      <c r="V247" s="4">
        <f>IF(ISERROR(VLOOKUP($S$247,'TAR FIN'!$A$1:$O$92,15,0)),0,VLOOKUP($S$247,'TAR FIN'!$A$1:$O$92,15,0))</f>
        <v>0</v>
      </c>
      <c r="W247" s="4">
        <f>IF(ISERROR(VLOOKUP($T$247,'TAR FIN'!$A$1:$O$92,15,0)),0,VLOOKUP($T$247,'TAR FIN'!$A$1:$O$92,15,0))</f>
        <v>242.41</v>
      </c>
      <c r="X247" s="4">
        <f>IF(ISERROR(VLOOKUP($U$247,'TAR FIN'!$A$1:$O$92,15,0)),0,VLOOKUP($U$247,'TAR FIN'!$A$1:$O$92,15,0))</f>
        <v>242</v>
      </c>
      <c r="Y247" s="4"/>
      <c r="Z247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7" s="4">
        <f>('TE BE'!$AB$14+'TE BF'!$AB$14+'TE CVA'!$AB$14)*(1-CUSTOS!$M$36)</f>
        <v>302.55795834151576</v>
      </c>
      <c r="AB247" s="4">
        <f t="shared" si="12"/>
        <v>0</v>
      </c>
      <c r="AC247" s="4">
        <f>(L247-M247)*(W247+X247)+($W$252+$X$252-$W$247-$X$247)*(L247)</f>
        <v>-19.698120000000017</v>
      </c>
      <c r="AD247" s="4">
        <f t="shared" si="13"/>
        <v>0</v>
      </c>
      <c r="AE247" s="4">
        <f ca="1">(L247-M247)*(Z247+AA247)+($Z$252+$AA$252-$Z$247-$AA$247)*(L247)</f>
        <v>-24.742426198145196</v>
      </c>
      <c r="AF247" s="3" t="s">
        <v>754</v>
      </c>
    </row>
    <row r="248" spans="1:32" ht="11.25" customHeight="1" x14ac:dyDescent="0.25">
      <c r="A248" s="3" t="s">
        <v>21</v>
      </c>
      <c r="B248" s="3" t="s">
        <v>22</v>
      </c>
      <c r="C248" s="3" t="s">
        <v>23</v>
      </c>
      <c r="D248" s="3" t="s">
        <v>24</v>
      </c>
      <c r="E248" s="3" t="s">
        <v>31</v>
      </c>
      <c r="F248" s="3" t="s">
        <v>25</v>
      </c>
      <c r="G248" s="3" t="s">
        <v>25</v>
      </c>
      <c r="H248" s="3" t="s">
        <v>25</v>
      </c>
      <c r="I248" s="6">
        <v>44805</v>
      </c>
      <c r="J248" s="4">
        <v>0</v>
      </c>
      <c r="K248" s="4">
        <v>0</v>
      </c>
      <c r="L248" s="4">
        <v>2240.3069999999998</v>
      </c>
      <c r="M248" s="4">
        <v>2240.3069999999998</v>
      </c>
      <c r="N248" s="4">
        <v>2240.3069999999998</v>
      </c>
      <c r="O248" s="4">
        <v>2240.3069999999998</v>
      </c>
      <c r="P248" s="4">
        <v>10535</v>
      </c>
      <c r="Q248" s="3" t="s">
        <v>26</v>
      </c>
      <c r="R248" s="3">
        <v>0</v>
      </c>
      <c r="S248" s="3">
        <v>0</v>
      </c>
      <c r="T248" s="3">
        <v>61</v>
      </c>
      <c r="U248" s="3">
        <v>65</v>
      </c>
      <c r="V248" s="4">
        <f>IF(ISERROR(VLOOKUP($S$248,'TAR FIN'!$A$1:$O$92,15,0)),0,VLOOKUP($S$248,'TAR FIN'!$A$1:$O$92,15,0))</f>
        <v>0</v>
      </c>
      <c r="W248" s="4">
        <f>IF(ISERROR(VLOOKUP($T$248,'TAR FIN'!$A$1:$O$92,15,0)),0,VLOOKUP($T$248,'TAR FIN'!$A$1:$O$92,15,0))</f>
        <v>242.41</v>
      </c>
      <c r="X248" s="4">
        <f>IF(ISERROR(VLOOKUP($U$248,'TAR FIN'!$A$1:$O$92,15,0)),0,VLOOKUP($U$248,'TAR FIN'!$A$1:$O$92,15,0))</f>
        <v>242</v>
      </c>
      <c r="Y248" s="4"/>
      <c r="Z248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8" s="4">
        <f>('TE BE'!$AB$14+'TE BF'!$AB$14+'TE CVA'!$AB$14)*(1-CUSTOS!$M$36)</f>
        <v>302.55795834151576</v>
      </c>
      <c r="AB248" s="4">
        <f t="shared" si="12"/>
        <v>0</v>
      </c>
      <c r="AC248" s="4">
        <f>(L248-M248)*(W248+X248)+($W$252+$X$252-$W$248-$X$248)*(L248)</f>
        <v>120573.32274000011</v>
      </c>
      <c r="AD248" s="4">
        <f t="shared" si="13"/>
        <v>0</v>
      </c>
      <c r="AE248" s="4">
        <f ca="1">(L248-M248)*(Z248+AA248)+($Z$252+$AA$252-$Z$248-$AA$248)*(L248)</f>
        <v>151449.81040625155</v>
      </c>
      <c r="AF248" s="3" t="s">
        <v>754</v>
      </c>
    </row>
    <row r="249" spans="1:32" ht="11.25" customHeight="1" x14ac:dyDescent="0.25">
      <c r="A249" s="3" t="s">
        <v>27</v>
      </c>
      <c r="B249" s="3" t="s">
        <v>22</v>
      </c>
      <c r="C249" s="3" t="s">
        <v>23</v>
      </c>
      <c r="D249" s="3" t="s">
        <v>24</v>
      </c>
      <c r="E249" s="3" t="s">
        <v>31</v>
      </c>
      <c r="F249" s="3" t="s">
        <v>25</v>
      </c>
      <c r="G249" s="3" t="s">
        <v>25</v>
      </c>
      <c r="H249" s="3" t="s">
        <v>25</v>
      </c>
      <c r="I249" s="6">
        <v>44805</v>
      </c>
      <c r="J249" s="4">
        <v>0</v>
      </c>
      <c r="K249" s="4">
        <v>0</v>
      </c>
      <c r="L249" s="4">
        <v>-0.69499999999999995</v>
      </c>
      <c r="M249" s="4">
        <v>-0.69499999999999995</v>
      </c>
      <c r="N249" s="4">
        <v>-0.69499999999999995</v>
      </c>
      <c r="O249" s="4">
        <v>-0.69499999999999995</v>
      </c>
      <c r="P249" s="4">
        <v>-3</v>
      </c>
      <c r="Q249" s="3" t="s">
        <v>26</v>
      </c>
      <c r="R249" s="3">
        <v>0</v>
      </c>
      <c r="S249" s="3">
        <v>0</v>
      </c>
      <c r="T249" s="3">
        <v>61</v>
      </c>
      <c r="U249" s="3">
        <v>65</v>
      </c>
      <c r="V249" s="4">
        <f>IF(ISERROR(VLOOKUP($S$249,'TAR FIN'!$A$1:$O$92,15,0)),0,VLOOKUP($S$249,'TAR FIN'!$A$1:$O$92,15,0))</f>
        <v>0</v>
      </c>
      <c r="W249" s="4">
        <f>IF(ISERROR(VLOOKUP($T$249,'TAR FIN'!$A$1:$O$92,15,0)),0,VLOOKUP($T$249,'TAR FIN'!$A$1:$O$92,15,0))</f>
        <v>242.41</v>
      </c>
      <c r="X249" s="4">
        <f>IF(ISERROR(VLOOKUP($U$249,'TAR FIN'!$A$1:$O$92,15,0)),0,VLOOKUP($U$249,'TAR FIN'!$A$1:$O$92,15,0))</f>
        <v>242</v>
      </c>
      <c r="Y249" s="4"/>
      <c r="Z249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49" s="4">
        <f>('TE BE'!$AB$14+'TE BF'!$AB$14+'TE CVA'!$AB$14)*(1-CUSTOS!$M$36)</f>
        <v>302.55795834151576</v>
      </c>
      <c r="AB249" s="4">
        <f t="shared" si="12"/>
        <v>0</v>
      </c>
      <c r="AC249" s="4">
        <f>(L249-M249)*(W249+X249)+($W$252+$X$252-$W$249-$X$249)*(L249)</f>
        <v>-37.404900000000033</v>
      </c>
      <c r="AD249" s="4">
        <f t="shared" si="13"/>
        <v>0</v>
      </c>
      <c r="AE249" s="4">
        <f ca="1">(L249-M249)*(Z249+AA249)+($Z$252+$AA$252-$Z$249-$AA$249)*(L249)</f>
        <v>-46.983568873527076</v>
      </c>
      <c r="AF249" s="3" t="s">
        <v>754</v>
      </c>
    </row>
    <row r="250" spans="1:32" ht="11.25" customHeight="1" x14ac:dyDescent="0.25">
      <c r="A250" s="3" t="s">
        <v>55</v>
      </c>
      <c r="B250" s="3" t="s">
        <v>22</v>
      </c>
      <c r="C250" s="3" t="s">
        <v>23</v>
      </c>
      <c r="D250" s="3" t="s">
        <v>24</v>
      </c>
      <c r="E250" s="3" t="s">
        <v>31</v>
      </c>
      <c r="F250" s="3" t="s">
        <v>25</v>
      </c>
      <c r="G250" s="3" t="s">
        <v>25</v>
      </c>
      <c r="H250" s="3" t="s">
        <v>25</v>
      </c>
      <c r="I250" s="6">
        <v>44835</v>
      </c>
      <c r="J250" s="4">
        <v>0</v>
      </c>
      <c r="K250" s="4">
        <v>0</v>
      </c>
      <c r="L250" s="4">
        <v>2240.3069999999998</v>
      </c>
      <c r="M250" s="4">
        <v>2240.3069999999998</v>
      </c>
      <c r="N250" s="4">
        <v>2240.3069999999998</v>
      </c>
      <c r="O250" s="4">
        <v>2240.3069999999998</v>
      </c>
      <c r="P250" s="4">
        <v>10535</v>
      </c>
      <c r="Q250" s="3" t="s">
        <v>26</v>
      </c>
      <c r="R250" s="3">
        <v>0</v>
      </c>
      <c r="S250" s="3">
        <v>0</v>
      </c>
      <c r="T250" s="3">
        <v>61</v>
      </c>
      <c r="U250" s="3">
        <v>65</v>
      </c>
      <c r="V250" s="4">
        <f>IF(ISERROR(VLOOKUP($S$250,'TAR FIN'!$A$1:$O$92,15,0)),0,VLOOKUP($S$250,'TAR FIN'!$A$1:$O$92,15,0))</f>
        <v>0</v>
      </c>
      <c r="W250" s="4">
        <f>IF(ISERROR(VLOOKUP($T$250,'TAR FIN'!$A$1:$O$92,15,0)),0,VLOOKUP($T$250,'TAR FIN'!$A$1:$O$92,15,0))</f>
        <v>242.41</v>
      </c>
      <c r="X250" s="4">
        <f>IF(ISERROR(VLOOKUP($U$250,'TAR FIN'!$A$1:$O$92,15,0)),0,VLOOKUP($U$250,'TAR FIN'!$A$1:$O$92,15,0))</f>
        <v>242</v>
      </c>
      <c r="Y250" s="4"/>
      <c r="Z250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50" s="4">
        <f>('TE BE'!$AB$14+'TE BF'!$AB$14+'TE CVA'!$AB$14)*(1-CUSTOS!$M$36)</f>
        <v>302.55795834151576</v>
      </c>
      <c r="AB250" s="4">
        <f t="shared" si="12"/>
        <v>0</v>
      </c>
      <c r="AC250" s="4">
        <f>(L250-M250)*(W250+X250)+($W$252+$X$252-$W$250-$X$250)*(L250)</f>
        <v>120573.32274000011</v>
      </c>
      <c r="AD250" s="4">
        <f t="shared" si="13"/>
        <v>0</v>
      </c>
      <c r="AE250" s="4">
        <f ca="1">(L250-M250)*(Z250+AA250)+($Z$252+$AA$252-$Z$250-$AA$250)*(L250)</f>
        <v>151449.81040625155</v>
      </c>
      <c r="AF250" s="3" t="s">
        <v>754</v>
      </c>
    </row>
    <row r="251" spans="1:32" ht="11.25" customHeight="1" x14ac:dyDescent="0.25">
      <c r="A251" s="3" t="s">
        <v>55</v>
      </c>
      <c r="B251" s="3" t="s">
        <v>22</v>
      </c>
      <c r="C251" s="3" t="s">
        <v>23</v>
      </c>
      <c r="D251" s="3" t="s">
        <v>24</v>
      </c>
      <c r="E251" s="3" t="s">
        <v>31</v>
      </c>
      <c r="F251" s="3" t="s">
        <v>25</v>
      </c>
      <c r="G251" s="3" t="s">
        <v>25</v>
      </c>
      <c r="H251" s="3" t="s">
        <v>25</v>
      </c>
      <c r="I251" s="6">
        <v>44835</v>
      </c>
      <c r="J251" s="4">
        <v>0</v>
      </c>
      <c r="K251" s="4">
        <v>0</v>
      </c>
      <c r="L251" s="4">
        <v>-0.69499999999999995</v>
      </c>
      <c r="M251" s="4">
        <v>-0.69499999999999995</v>
      </c>
      <c r="N251" s="4">
        <v>-0.69499999999999995</v>
      </c>
      <c r="O251" s="4">
        <v>-0.69499999999999995</v>
      </c>
      <c r="P251" s="4">
        <v>-3</v>
      </c>
      <c r="Q251" s="3" t="s">
        <v>26</v>
      </c>
      <c r="R251" s="3">
        <v>0</v>
      </c>
      <c r="S251" s="3">
        <v>0</v>
      </c>
      <c r="T251" s="3">
        <v>61</v>
      </c>
      <c r="U251" s="3">
        <v>65</v>
      </c>
      <c r="V251" s="4">
        <f>IF(ISERROR(VLOOKUP($S$251,'TAR FIN'!$A$1:$O$92,15,0)),0,VLOOKUP($S$251,'TAR FIN'!$A$1:$O$92,15,0))</f>
        <v>0</v>
      </c>
      <c r="W251" s="4">
        <f>IF(ISERROR(VLOOKUP($T$251,'TAR FIN'!$A$1:$O$92,15,0)),0,VLOOKUP($T$251,'TAR FIN'!$A$1:$O$92,15,0))</f>
        <v>242.41</v>
      </c>
      <c r="X251" s="4">
        <f>IF(ISERROR(VLOOKUP($U$251,'TAR FIN'!$A$1:$O$92,15,0)),0,VLOOKUP($U$251,'TAR FIN'!$A$1:$O$92,15,0))</f>
        <v>242</v>
      </c>
      <c r="Y251" s="4"/>
      <c r="Z251" s="4">
        <f ca="1">('TUSD BE'!$AM$23+'TUSD BF'!$AM$23+'TUSD CVA'!$AM$23-('TUSD BE'!$P$23+'TUSD BF'!$P$23+'TUSD CVA'!$P$23)-('TUSD BE'!$Q$23+'TUSD BF'!$Q$23+'TUSD CVA'!$Q$23)-('TUSD BE'!$R$23+'TUSD BF'!$R$23+'TUSD CVA'!$R$23))*(1-CUSTOS!$M$36)</f>
        <v>305.86235800631738</v>
      </c>
      <c r="AA251" s="4">
        <f>('TE BE'!$AB$14+'TE BF'!$AB$14+'TE CVA'!$AB$14)*(1-CUSTOS!$M$36)</f>
        <v>302.55795834151576</v>
      </c>
      <c r="AB251" s="4">
        <f t="shared" si="12"/>
        <v>0</v>
      </c>
      <c r="AC251" s="4">
        <f>(L251-M251)*(W251+X251)+($W$252+$X$252-$W$251-$X$251)*(L251)</f>
        <v>-37.404900000000033</v>
      </c>
      <c r="AD251" s="4">
        <f t="shared" si="13"/>
        <v>0</v>
      </c>
      <c r="AE251" s="4">
        <f ca="1">(L251-M251)*(Z251+AA251)+($Z$252+$AA$252-$Z$251-$AA$251)*(L251)</f>
        <v>-46.983568873527076</v>
      </c>
      <c r="AF251" s="3" t="s">
        <v>754</v>
      </c>
    </row>
    <row r="252" spans="1:32" ht="11.25" customHeight="1" x14ac:dyDescent="0.25">
      <c r="A252" s="3" t="s">
        <v>21</v>
      </c>
      <c r="B252" s="3" t="s">
        <v>22</v>
      </c>
      <c r="C252" s="3" t="s">
        <v>23</v>
      </c>
      <c r="D252" s="3" t="s">
        <v>24</v>
      </c>
      <c r="E252" s="3" t="s">
        <v>32</v>
      </c>
      <c r="F252" s="3" t="s">
        <v>25</v>
      </c>
      <c r="G252" s="3" t="s">
        <v>25</v>
      </c>
      <c r="H252" s="3" t="s">
        <v>25</v>
      </c>
      <c r="I252" s="6">
        <v>44501</v>
      </c>
      <c r="J252" s="4">
        <v>0</v>
      </c>
      <c r="K252" s="4">
        <v>0</v>
      </c>
      <c r="L252" s="4">
        <v>2719.3229999999999</v>
      </c>
      <c r="M252" s="4">
        <v>2719.3229999999999</v>
      </c>
      <c r="N252" s="4">
        <v>2719.3229999999999</v>
      </c>
      <c r="O252" s="4">
        <v>2719.3229999999999</v>
      </c>
      <c r="P252" s="4">
        <v>13185</v>
      </c>
      <c r="Q252" s="3" t="s">
        <v>26</v>
      </c>
      <c r="R252" s="3">
        <v>0</v>
      </c>
      <c r="S252" s="3">
        <v>0</v>
      </c>
      <c r="T252" s="3">
        <v>12</v>
      </c>
      <c r="U252" s="3">
        <v>52</v>
      </c>
      <c r="V252" s="4">
        <f>IF(ISERROR(VLOOKUP($S$252,'TAR FIN'!$A$1:$O$92,15,0)),0,VLOOKUP($S$252,'TAR FIN'!$A$1:$O$92,15,0))</f>
        <v>0</v>
      </c>
      <c r="W252" s="4">
        <f>IF(ISERROR(VLOOKUP($T$252,'TAR FIN'!$A$1:$O$92,15,0)),0,VLOOKUP($T$252,'TAR FIN'!$A$1:$O$92,15,0))</f>
        <v>269.33999999999997</v>
      </c>
      <c r="X252" s="4">
        <f>IF(ISERROR(VLOOKUP($U$252,'TAR FIN'!$A$1:$O$92,15,0)),0,VLOOKUP($U$252,'TAR FIN'!$A$1:$O$92,15,0))</f>
        <v>268.89</v>
      </c>
      <c r="Y252" s="4"/>
      <c r="Z252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2" s="4">
        <f>('TE BE'!$AB$15+'TE BF'!$AB$15+'TE CVA'!$AB$15)*(1-CUSTOS!$M$37)</f>
        <v>336.17550926835082</v>
      </c>
      <c r="AB252" s="4">
        <f t="shared" si="12"/>
        <v>0</v>
      </c>
      <c r="AC252" s="4">
        <f>(L252-M252)*(W252+X252)+($W$252+$X$252-$W$252-$X$252)*(L252)</f>
        <v>1.5457561630682903E-10</v>
      </c>
      <c r="AD252" s="4">
        <f t="shared" si="13"/>
        <v>0</v>
      </c>
      <c r="AE252" s="4">
        <f ca="1">(L252-M252)*(Z252+AA252)+($Z$252+$AA$252-$Z$252-$AA$252)*(L252)</f>
        <v>0</v>
      </c>
      <c r="AF252" s="3" t="s">
        <v>754</v>
      </c>
    </row>
    <row r="253" spans="1:32" ht="11.25" customHeight="1" x14ac:dyDescent="0.25">
      <c r="A253" s="3" t="s">
        <v>27</v>
      </c>
      <c r="B253" s="3" t="s">
        <v>22</v>
      </c>
      <c r="C253" s="3" t="s">
        <v>23</v>
      </c>
      <c r="D253" s="3" t="s">
        <v>24</v>
      </c>
      <c r="E253" s="3" t="s">
        <v>32</v>
      </c>
      <c r="F253" s="3" t="s">
        <v>25</v>
      </c>
      <c r="G253" s="3" t="s">
        <v>25</v>
      </c>
      <c r="H253" s="3" t="s">
        <v>25</v>
      </c>
      <c r="I253" s="6">
        <v>44501</v>
      </c>
      <c r="J253" s="4">
        <v>0</v>
      </c>
      <c r="K253" s="4">
        <v>0</v>
      </c>
      <c r="L253" s="4">
        <v>-6.7809999999999997</v>
      </c>
      <c r="M253" s="4">
        <v>-6.7809999999999997</v>
      </c>
      <c r="N253" s="4">
        <v>-6.7809999999999997</v>
      </c>
      <c r="O253" s="4">
        <v>-6.7809999999999997</v>
      </c>
      <c r="P253" s="4">
        <v>-13</v>
      </c>
      <c r="Q253" s="3" t="s">
        <v>26</v>
      </c>
      <c r="R253" s="3">
        <v>0</v>
      </c>
      <c r="S253" s="3">
        <v>0</v>
      </c>
      <c r="T253" s="3">
        <v>12</v>
      </c>
      <c r="U253" s="3">
        <v>52</v>
      </c>
      <c r="V253" s="4">
        <f>IF(ISERROR(VLOOKUP($S$253,'TAR FIN'!$A$1:$O$92,15,0)),0,VLOOKUP($S$253,'TAR FIN'!$A$1:$O$92,15,0))</f>
        <v>0</v>
      </c>
      <c r="W253" s="4">
        <f>IF(ISERROR(VLOOKUP($T$253,'TAR FIN'!$A$1:$O$92,15,0)),0,VLOOKUP($T$253,'TAR FIN'!$A$1:$O$92,15,0))</f>
        <v>269.33999999999997</v>
      </c>
      <c r="X253" s="4">
        <f>IF(ISERROR(VLOOKUP($U$253,'TAR FIN'!$A$1:$O$92,15,0)),0,VLOOKUP($U$253,'TAR FIN'!$A$1:$O$92,15,0))</f>
        <v>268.89</v>
      </c>
      <c r="Y253" s="4"/>
      <c r="Z253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3" s="4">
        <f>('TE BE'!$AB$15+'TE BF'!$AB$15+'TE CVA'!$AB$15)*(1-CUSTOS!$M$37)</f>
        <v>336.17550926835082</v>
      </c>
      <c r="AB253" s="4">
        <f t="shared" si="12"/>
        <v>0</v>
      </c>
      <c r="AC253" s="4">
        <f>(L253-M253)*(W253+X253)+($W$252+$X$252-$W$253-$X$253)*(L253)</f>
        <v>-3.8545522329513913E-13</v>
      </c>
      <c r="AD253" s="4">
        <f t="shared" si="13"/>
        <v>0</v>
      </c>
      <c r="AE253" s="4">
        <f ca="1">(L253-M253)*(Z253+AA253)+($Z$252+$AA$252-$Z$253-$AA$253)*(L253)</f>
        <v>0</v>
      </c>
      <c r="AF253" s="3" t="s">
        <v>754</v>
      </c>
    </row>
    <row r="254" spans="1:32" ht="11.25" customHeight="1" x14ac:dyDescent="0.25">
      <c r="A254" s="3" t="s">
        <v>21</v>
      </c>
      <c r="B254" s="3" t="s">
        <v>22</v>
      </c>
      <c r="C254" s="3" t="s">
        <v>23</v>
      </c>
      <c r="D254" s="3" t="s">
        <v>24</v>
      </c>
      <c r="E254" s="3" t="s">
        <v>32</v>
      </c>
      <c r="F254" s="3" t="s">
        <v>25</v>
      </c>
      <c r="G254" s="3" t="s">
        <v>25</v>
      </c>
      <c r="H254" s="3" t="s">
        <v>25</v>
      </c>
      <c r="I254" s="6">
        <v>44531</v>
      </c>
      <c r="J254" s="4">
        <v>0</v>
      </c>
      <c r="K254" s="4">
        <v>0</v>
      </c>
      <c r="L254" s="4">
        <v>2468.0030000000002</v>
      </c>
      <c r="M254" s="4">
        <v>2468.0030000000002</v>
      </c>
      <c r="N254" s="4">
        <v>2468.0030000000002</v>
      </c>
      <c r="O254" s="4">
        <v>2468.0030000000002</v>
      </c>
      <c r="P254" s="4">
        <v>12705</v>
      </c>
      <c r="Q254" s="3" t="s">
        <v>26</v>
      </c>
      <c r="R254" s="3">
        <v>0</v>
      </c>
      <c r="S254" s="3">
        <v>0</v>
      </c>
      <c r="T254" s="3">
        <v>12</v>
      </c>
      <c r="U254" s="3">
        <v>52</v>
      </c>
      <c r="V254" s="4">
        <f>IF(ISERROR(VLOOKUP($S$254,'TAR FIN'!$A$1:$O$92,15,0)),0,VLOOKUP($S$254,'TAR FIN'!$A$1:$O$92,15,0))</f>
        <v>0</v>
      </c>
      <c r="W254" s="4">
        <f>IF(ISERROR(VLOOKUP($T$254,'TAR FIN'!$A$1:$O$92,15,0)),0,VLOOKUP($T$254,'TAR FIN'!$A$1:$O$92,15,0))</f>
        <v>269.33999999999997</v>
      </c>
      <c r="X254" s="4">
        <f>IF(ISERROR(VLOOKUP($U$254,'TAR FIN'!$A$1:$O$92,15,0)),0,VLOOKUP($U$254,'TAR FIN'!$A$1:$O$92,15,0))</f>
        <v>268.89</v>
      </c>
      <c r="Y254" s="4"/>
      <c r="Z254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4" s="4">
        <f>('TE BE'!$AB$15+'TE BF'!$AB$15+'TE CVA'!$AB$15)*(1-CUSTOS!$M$37)</f>
        <v>336.17550926835082</v>
      </c>
      <c r="AB254" s="4">
        <f t="shared" si="12"/>
        <v>0</v>
      </c>
      <c r="AC254" s="4">
        <f>(L254-M254)*(W254+X254)+($W$252+$X$252-$W$254-$X$254)*(L254)</f>
        <v>1.4028972827873077E-10</v>
      </c>
      <c r="AD254" s="4">
        <f t="shared" si="13"/>
        <v>0</v>
      </c>
      <c r="AE254" s="4">
        <f ca="1">(L254-M254)*(Z254+AA254)+($Z$252+$AA$252-$Z$254-$AA$254)*(L254)</f>
        <v>0</v>
      </c>
      <c r="AF254" s="3" t="s">
        <v>754</v>
      </c>
    </row>
    <row r="255" spans="1:32" ht="11.25" customHeight="1" x14ac:dyDescent="0.25">
      <c r="A255" s="3" t="s">
        <v>27</v>
      </c>
      <c r="B255" s="3" t="s">
        <v>22</v>
      </c>
      <c r="C255" s="3" t="s">
        <v>23</v>
      </c>
      <c r="D255" s="3" t="s">
        <v>24</v>
      </c>
      <c r="E255" s="3" t="s">
        <v>32</v>
      </c>
      <c r="F255" s="3" t="s">
        <v>25</v>
      </c>
      <c r="G255" s="3" t="s">
        <v>25</v>
      </c>
      <c r="H255" s="3" t="s">
        <v>25</v>
      </c>
      <c r="I255" s="6">
        <v>44531</v>
      </c>
      <c r="J255" s="4">
        <v>0</v>
      </c>
      <c r="K255" s="4">
        <v>0</v>
      </c>
      <c r="L255" s="4">
        <v>-2.0510000000000002</v>
      </c>
      <c r="M255" s="4">
        <v>-2.0510000000000002</v>
      </c>
      <c r="N255" s="4">
        <v>-2.0510000000000002</v>
      </c>
      <c r="O255" s="4">
        <v>-2.0510000000000002</v>
      </c>
      <c r="P255" s="4">
        <v>-4</v>
      </c>
      <c r="Q255" s="3" t="s">
        <v>26</v>
      </c>
      <c r="R255" s="3">
        <v>0</v>
      </c>
      <c r="S255" s="3">
        <v>0</v>
      </c>
      <c r="T255" s="3">
        <v>12</v>
      </c>
      <c r="U255" s="3">
        <v>52</v>
      </c>
      <c r="V255" s="4">
        <f>IF(ISERROR(VLOOKUP($S$255,'TAR FIN'!$A$1:$O$92,15,0)),0,VLOOKUP($S$255,'TAR FIN'!$A$1:$O$92,15,0))</f>
        <v>0</v>
      </c>
      <c r="W255" s="4">
        <f>IF(ISERROR(VLOOKUP($T$255,'TAR FIN'!$A$1:$O$92,15,0)),0,VLOOKUP($T$255,'TAR FIN'!$A$1:$O$92,15,0))</f>
        <v>269.33999999999997</v>
      </c>
      <c r="X255" s="4">
        <f>IF(ISERROR(VLOOKUP($U$255,'TAR FIN'!$A$1:$O$92,15,0)),0,VLOOKUP($U$255,'TAR FIN'!$A$1:$O$92,15,0))</f>
        <v>268.89</v>
      </c>
      <c r="Y255" s="4"/>
      <c r="Z255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5" s="4">
        <f>('TE BE'!$AB$15+'TE BF'!$AB$15+'TE CVA'!$AB$15)*(1-CUSTOS!$M$37)</f>
        <v>336.17550926835082</v>
      </c>
      <c r="AB255" s="4">
        <f t="shared" si="12"/>
        <v>0</v>
      </c>
      <c r="AC255" s="4">
        <f>(L255-M255)*(W255+X255)+($W$252+$X$252-$W$255-$X$255)*(L255)</f>
        <v>-1.1658585208351725E-13</v>
      </c>
      <c r="AD255" s="4">
        <f t="shared" si="13"/>
        <v>0</v>
      </c>
      <c r="AE255" s="4">
        <f ca="1">(L255-M255)*(Z255+AA255)+($Z$252+$AA$252-$Z$255-$AA$255)*(L255)</f>
        <v>0</v>
      </c>
      <c r="AF255" s="3" t="s">
        <v>754</v>
      </c>
    </row>
    <row r="256" spans="1:32" ht="11.25" customHeight="1" x14ac:dyDescent="0.25">
      <c r="A256" s="3" t="s">
        <v>21</v>
      </c>
      <c r="B256" s="3" t="s">
        <v>22</v>
      </c>
      <c r="C256" s="3" t="s">
        <v>23</v>
      </c>
      <c r="D256" s="3" t="s">
        <v>24</v>
      </c>
      <c r="E256" s="3" t="s">
        <v>32</v>
      </c>
      <c r="F256" s="3" t="s">
        <v>25</v>
      </c>
      <c r="G256" s="3" t="s">
        <v>25</v>
      </c>
      <c r="H256" s="3" t="s">
        <v>25</v>
      </c>
      <c r="I256" s="6">
        <v>44562</v>
      </c>
      <c r="J256" s="4">
        <v>0</v>
      </c>
      <c r="K256" s="4">
        <v>0</v>
      </c>
      <c r="L256" s="4">
        <v>2111.3409999999999</v>
      </c>
      <c r="M256" s="4">
        <v>2111.3409999999999</v>
      </c>
      <c r="N256" s="4">
        <v>2111.3409999999999</v>
      </c>
      <c r="O256" s="4">
        <v>2111.3409999999999</v>
      </c>
      <c r="P256" s="4">
        <v>11798</v>
      </c>
      <c r="Q256" s="3" t="s">
        <v>26</v>
      </c>
      <c r="R256" s="3">
        <v>0</v>
      </c>
      <c r="S256" s="3">
        <v>0</v>
      </c>
      <c r="T256" s="3">
        <v>12</v>
      </c>
      <c r="U256" s="3">
        <v>52</v>
      </c>
      <c r="V256" s="4">
        <f>IF(ISERROR(VLOOKUP($S$256,'TAR FIN'!$A$1:$O$92,15,0)),0,VLOOKUP($S$256,'TAR FIN'!$A$1:$O$92,15,0))</f>
        <v>0</v>
      </c>
      <c r="W256" s="4">
        <f>IF(ISERROR(VLOOKUP($T$256,'TAR FIN'!$A$1:$O$92,15,0)),0,VLOOKUP($T$256,'TAR FIN'!$A$1:$O$92,15,0))</f>
        <v>269.33999999999997</v>
      </c>
      <c r="X256" s="4">
        <f>IF(ISERROR(VLOOKUP($U$256,'TAR FIN'!$A$1:$O$92,15,0)),0,VLOOKUP($U$256,'TAR FIN'!$A$1:$O$92,15,0))</f>
        <v>268.89</v>
      </c>
      <c r="Y256" s="4"/>
      <c r="Z256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6" s="4">
        <f>('TE BE'!$AB$15+'TE BF'!$AB$15+'TE CVA'!$AB$15)*(1-CUSTOS!$M$37)</f>
        <v>336.17550926835082</v>
      </c>
      <c r="AB256" s="4">
        <f t="shared" si="12"/>
        <v>0</v>
      </c>
      <c r="AC256" s="4">
        <f>(L256-M256)*(W256+X256)+($W$252+$X$252-$W$256-$X$256)*(L256)</f>
        <v>1.2001584082099725E-10</v>
      </c>
      <c r="AD256" s="4">
        <f t="shared" si="13"/>
        <v>0</v>
      </c>
      <c r="AE256" s="4">
        <f ca="1">(L256-M256)*(Z256+AA256)+($Z$252+$AA$252-$Z$256-$AA$256)*(L256)</f>
        <v>0</v>
      </c>
      <c r="AF256" s="3" t="s">
        <v>754</v>
      </c>
    </row>
    <row r="257" spans="1:32" ht="11.25" customHeight="1" x14ac:dyDescent="0.25">
      <c r="A257" s="3" t="s">
        <v>27</v>
      </c>
      <c r="B257" s="3" t="s">
        <v>22</v>
      </c>
      <c r="C257" s="3" t="s">
        <v>23</v>
      </c>
      <c r="D257" s="3" t="s">
        <v>24</v>
      </c>
      <c r="E257" s="3" t="s">
        <v>32</v>
      </c>
      <c r="F257" s="3" t="s">
        <v>25</v>
      </c>
      <c r="G257" s="3" t="s">
        <v>25</v>
      </c>
      <c r="H257" s="3" t="s">
        <v>25</v>
      </c>
      <c r="I257" s="6">
        <v>44562</v>
      </c>
      <c r="J257" s="4">
        <v>0</v>
      </c>
      <c r="K257" s="4">
        <v>0</v>
      </c>
      <c r="L257" s="4">
        <v>-5.3890000000000002</v>
      </c>
      <c r="M257" s="4">
        <v>-5.3890000000000002</v>
      </c>
      <c r="N257" s="4">
        <v>-5.3890000000000002</v>
      </c>
      <c r="O257" s="4">
        <v>-5.3890000000000002</v>
      </c>
      <c r="P257" s="4">
        <v>-3</v>
      </c>
      <c r="Q257" s="3" t="s">
        <v>26</v>
      </c>
      <c r="R257" s="3">
        <v>0</v>
      </c>
      <c r="S257" s="3">
        <v>0</v>
      </c>
      <c r="T257" s="3">
        <v>12</v>
      </c>
      <c r="U257" s="3">
        <v>52</v>
      </c>
      <c r="V257" s="4">
        <f>IF(ISERROR(VLOOKUP($S$257,'TAR FIN'!$A$1:$O$92,15,0)),0,VLOOKUP($S$257,'TAR FIN'!$A$1:$O$92,15,0))</f>
        <v>0</v>
      </c>
      <c r="W257" s="4">
        <f>IF(ISERROR(VLOOKUP($T$257,'TAR FIN'!$A$1:$O$92,15,0)),0,VLOOKUP($T$257,'TAR FIN'!$A$1:$O$92,15,0))</f>
        <v>269.33999999999997</v>
      </c>
      <c r="X257" s="4">
        <f>IF(ISERROR(VLOOKUP($U$257,'TAR FIN'!$A$1:$O$92,15,0)),0,VLOOKUP($U$257,'TAR FIN'!$A$1:$O$92,15,0))</f>
        <v>268.89</v>
      </c>
      <c r="Y257" s="4"/>
      <c r="Z257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7" s="4">
        <f>('TE BE'!$AB$15+'TE BF'!$AB$15+'TE CVA'!$AB$15)*(1-CUSTOS!$M$37)</f>
        <v>336.17550926835082</v>
      </c>
      <c r="AB257" s="4">
        <f t="shared" si="12"/>
        <v>0</v>
      </c>
      <c r="AC257" s="4">
        <f>(L257-M257)*(W257+X257)+($W$252+$X$252-$W$257-$X$257)*(L257)</f>
        <v>-3.0632918424089441E-13</v>
      </c>
      <c r="AD257" s="4">
        <f t="shared" si="13"/>
        <v>0</v>
      </c>
      <c r="AE257" s="4">
        <f ca="1">(L257-M257)*(Z257+AA257)+($Z$252+$AA$252-$Z$257-$AA$257)*(L257)</f>
        <v>0</v>
      </c>
      <c r="AF257" s="3" t="s">
        <v>754</v>
      </c>
    </row>
    <row r="258" spans="1:32" ht="11.25" customHeight="1" x14ac:dyDescent="0.25">
      <c r="A258" s="3" t="s">
        <v>21</v>
      </c>
      <c r="B258" s="3" t="s">
        <v>22</v>
      </c>
      <c r="C258" s="3" t="s">
        <v>23</v>
      </c>
      <c r="D258" s="3" t="s">
        <v>24</v>
      </c>
      <c r="E258" s="3" t="s">
        <v>32</v>
      </c>
      <c r="F258" s="3" t="s">
        <v>25</v>
      </c>
      <c r="G258" s="3" t="s">
        <v>25</v>
      </c>
      <c r="H258" s="3" t="s">
        <v>25</v>
      </c>
      <c r="I258" s="6">
        <v>44593</v>
      </c>
      <c r="J258" s="4">
        <v>0</v>
      </c>
      <c r="K258" s="4">
        <v>0</v>
      </c>
      <c r="L258" s="4">
        <v>2431.8009999999999</v>
      </c>
      <c r="M258" s="4">
        <v>2431.8009999999999</v>
      </c>
      <c r="N258" s="4">
        <v>2431.8009999999999</v>
      </c>
      <c r="O258" s="4">
        <v>2431.8009999999999</v>
      </c>
      <c r="P258" s="4">
        <v>12459</v>
      </c>
      <c r="Q258" s="3" t="s">
        <v>26</v>
      </c>
      <c r="R258" s="3">
        <v>0</v>
      </c>
      <c r="S258" s="3">
        <v>0</v>
      </c>
      <c r="T258" s="3">
        <v>12</v>
      </c>
      <c r="U258" s="3">
        <v>52</v>
      </c>
      <c r="V258" s="4">
        <f>IF(ISERROR(VLOOKUP($S$258,'TAR FIN'!$A$1:$O$92,15,0)),0,VLOOKUP($S$258,'TAR FIN'!$A$1:$O$92,15,0))</f>
        <v>0</v>
      </c>
      <c r="W258" s="4">
        <f>IF(ISERROR(VLOOKUP($T$258,'TAR FIN'!$A$1:$O$92,15,0)),0,VLOOKUP($T$258,'TAR FIN'!$A$1:$O$92,15,0))</f>
        <v>269.33999999999997</v>
      </c>
      <c r="X258" s="4">
        <f>IF(ISERROR(VLOOKUP($U$258,'TAR FIN'!$A$1:$O$92,15,0)),0,VLOOKUP($U$258,'TAR FIN'!$A$1:$O$92,15,0))</f>
        <v>268.89</v>
      </c>
      <c r="Y258" s="4"/>
      <c r="Z258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8" s="4">
        <f>('TE BE'!$AB$15+'TE BF'!$AB$15+'TE CVA'!$AB$15)*(1-CUSTOS!$M$37)</f>
        <v>336.17550926835082</v>
      </c>
      <c r="AB258" s="4">
        <f t="shared" ref="AB258:AB321" si="14">(J258-K258)*V258</f>
        <v>0</v>
      </c>
      <c r="AC258" s="4">
        <f>(L258-M258)*(W258+X258)+($W$252+$X$252-$W$258-$X$258)*(L258)</f>
        <v>1.3823188282913179E-10</v>
      </c>
      <c r="AD258" s="4">
        <f t="shared" ref="AD258:AD321" si="15">(J258-K258)*Y258</f>
        <v>0</v>
      </c>
      <c r="AE258" s="4">
        <f ca="1">(L258-M258)*(Z258+AA258)+($Z$252+$AA$252-$Z$258-$AA$258)*(L258)</f>
        <v>0</v>
      </c>
      <c r="AF258" s="3" t="s">
        <v>754</v>
      </c>
    </row>
    <row r="259" spans="1:32" ht="11.25" customHeight="1" x14ac:dyDescent="0.25">
      <c r="A259" s="3" t="s">
        <v>27</v>
      </c>
      <c r="B259" s="3" t="s">
        <v>22</v>
      </c>
      <c r="C259" s="3" t="s">
        <v>23</v>
      </c>
      <c r="D259" s="3" t="s">
        <v>24</v>
      </c>
      <c r="E259" s="3" t="s">
        <v>32</v>
      </c>
      <c r="F259" s="3" t="s">
        <v>25</v>
      </c>
      <c r="G259" s="3" t="s">
        <v>25</v>
      </c>
      <c r="H259" s="3" t="s">
        <v>25</v>
      </c>
      <c r="I259" s="6">
        <v>44593</v>
      </c>
      <c r="J259" s="4">
        <v>0</v>
      </c>
      <c r="K259" s="4">
        <v>0</v>
      </c>
      <c r="L259" s="4">
        <v>-1.526</v>
      </c>
      <c r="M259" s="4">
        <v>-1.526</v>
      </c>
      <c r="N259" s="4">
        <v>-1.526</v>
      </c>
      <c r="O259" s="4">
        <v>-1.526</v>
      </c>
      <c r="P259" s="4">
        <v>-4</v>
      </c>
      <c r="Q259" s="3" t="s">
        <v>26</v>
      </c>
      <c r="R259" s="3">
        <v>0</v>
      </c>
      <c r="S259" s="3">
        <v>0</v>
      </c>
      <c r="T259" s="3">
        <v>12</v>
      </c>
      <c r="U259" s="3">
        <v>52</v>
      </c>
      <c r="V259" s="4">
        <f>IF(ISERROR(VLOOKUP($S$259,'TAR FIN'!$A$1:$O$92,15,0)),0,VLOOKUP($S$259,'TAR FIN'!$A$1:$O$92,15,0))</f>
        <v>0</v>
      </c>
      <c r="W259" s="4">
        <f>IF(ISERROR(VLOOKUP($T$259,'TAR FIN'!$A$1:$O$92,15,0)),0,VLOOKUP($T$259,'TAR FIN'!$A$1:$O$92,15,0))</f>
        <v>269.33999999999997</v>
      </c>
      <c r="X259" s="4">
        <f>IF(ISERROR(VLOOKUP($U$259,'TAR FIN'!$A$1:$O$92,15,0)),0,VLOOKUP($U$259,'TAR FIN'!$A$1:$O$92,15,0))</f>
        <v>268.89</v>
      </c>
      <c r="Y259" s="4"/>
      <c r="Z259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59" s="4">
        <f>('TE BE'!$AB$15+'TE BF'!$AB$15+'TE CVA'!$AB$15)*(1-CUSTOS!$M$37)</f>
        <v>336.17550926835082</v>
      </c>
      <c r="AB259" s="4">
        <f t="shared" si="14"/>
        <v>0</v>
      </c>
      <c r="AC259" s="4">
        <f>(L259-M259)*(W259+X259)+($W$252+$X$252-$W$259-$X$259)*(L259)</f>
        <v>-8.6743057181593032E-14</v>
      </c>
      <c r="AD259" s="4">
        <f t="shared" si="15"/>
        <v>0</v>
      </c>
      <c r="AE259" s="4">
        <f ca="1">(L259-M259)*(Z259+AA259)+($Z$252+$AA$252-$Z$259-$AA$259)*(L259)</f>
        <v>0</v>
      </c>
      <c r="AF259" s="3" t="s">
        <v>754</v>
      </c>
    </row>
    <row r="260" spans="1:32" ht="11.25" customHeight="1" x14ac:dyDescent="0.25">
      <c r="A260" s="3" t="s">
        <v>21</v>
      </c>
      <c r="B260" s="3" t="s">
        <v>22</v>
      </c>
      <c r="C260" s="3" t="s">
        <v>23</v>
      </c>
      <c r="D260" s="3" t="s">
        <v>24</v>
      </c>
      <c r="E260" s="3" t="s">
        <v>32</v>
      </c>
      <c r="F260" s="3" t="s">
        <v>25</v>
      </c>
      <c r="G260" s="3" t="s">
        <v>25</v>
      </c>
      <c r="H260" s="3" t="s">
        <v>25</v>
      </c>
      <c r="I260" s="6">
        <v>44621</v>
      </c>
      <c r="J260" s="4">
        <v>0</v>
      </c>
      <c r="K260" s="4">
        <v>0</v>
      </c>
      <c r="L260" s="4">
        <v>2401.2710000000002</v>
      </c>
      <c r="M260" s="4">
        <v>2401.2710000000002</v>
      </c>
      <c r="N260" s="4">
        <v>2401.2710000000002</v>
      </c>
      <c r="O260" s="4">
        <v>2401.2710000000002</v>
      </c>
      <c r="P260" s="4">
        <v>12885</v>
      </c>
      <c r="Q260" s="3" t="s">
        <v>26</v>
      </c>
      <c r="R260" s="3">
        <v>0</v>
      </c>
      <c r="S260" s="3">
        <v>0</v>
      </c>
      <c r="T260" s="3">
        <v>12</v>
      </c>
      <c r="U260" s="3">
        <v>52</v>
      </c>
      <c r="V260" s="4">
        <f>IF(ISERROR(VLOOKUP($S$260,'TAR FIN'!$A$1:$O$92,15,0)),0,VLOOKUP($S$260,'TAR FIN'!$A$1:$O$92,15,0))</f>
        <v>0</v>
      </c>
      <c r="W260" s="4">
        <f>IF(ISERROR(VLOOKUP($T$260,'TAR FIN'!$A$1:$O$92,15,0)),0,VLOOKUP($T$260,'TAR FIN'!$A$1:$O$92,15,0))</f>
        <v>269.33999999999997</v>
      </c>
      <c r="X260" s="4">
        <f>IF(ISERROR(VLOOKUP($U$260,'TAR FIN'!$A$1:$O$92,15,0)),0,VLOOKUP($U$260,'TAR FIN'!$A$1:$O$92,15,0))</f>
        <v>268.89</v>
      </c>
      <c r="Y260" s="4"/>
      <c r="Z260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0" s="4">
        <f>('TE BE'!$AB$15+'TE BF'!$AB$15+'TE CVA'!$AB$15)*(1-CUSTOS!$M$37)</f>
        <v>336.17550926835082</v>
      </c>
      <c r="AB260" s="4">
        <f t="shared" si="14"/>
        <v>0</v>
      </c>
      <c r="AC260" s="4">
        <f>(L260-M260)*(W260+X260)+($W$252+$X$252-$W$260-$X$260)*(L260)</f>
        <v>1.3649645325131133E-10</v>
      </c>
      <c r="AD260" s="4">
        <f t="shared" si="15"/>
        <v>0</v>
      </c>
      <c r="AE260" s="4">
        <f ca="1">(L260-M260)*(Z260+AA260)+($Z$252+$AA$252-$Z$260-$AA$260)*(L260)</f>
        <v>0</v>
      </c>
      <c r="AF260" s="3" t="s">
        <v>754</v>
      </c>
    </row>
    <row r="261" spans="1:32" ht="11.25" customHeight="1" x14ac:dyDescent="0.25">
      <c r="A261" s="3" t="s">
        <v>27</v>
      </c>
      <c r="B261" s="3" t="s">
        <v>22</v>
      </c>
      <c r="C261" s="3" t="s">
        <v>23</v>
      </c>
      <c r="D261" s="3" t="s">
        <v>24</v>
      </c>
      <c r="E261" s="3" t="s">
        <v>32</v>
      </c>
      <c r="F261" s="3" t="s">
        <v>25</v>
      </c>
      <c r="G261" s="3" t="s">
        <v>25</v>
      </c>
      <c r="H261" s="3" t="s">
        <v>25</v>
      </c>
      <c r="I261" s="6">
        <v>44621</v>
      </c>
      <c r="J261" s="4">
        <v>0</v>
      </c>
      <c r="K261" s="4">
        <v>0</v>
      </c>
      <c r="L261" s="4">
        <v>-1</v>
      </c>
      <c r="M261" s="4">
        <v>-1</v>
      </c>
      <c r="N261" s="4">
        <v>-1</v>
      </c>
      <c r="O261" s="4">
        <v>-1</v>
      </c>
      <c r="P261" s="4">
        <v>0</v>
      </c>
      <c r="Q261" s="3" t="s">
        <v>26</v>
      </c>
      <c r="R261" s="3">
        <v>0</v>
      </c>
      <c r="S261" s="3">
        <v>0</v>
      </c>
      <c r="T261" s="3">
        <v>12</v>
      </c>
      <c r="U261" s="3">
        <v>52</v>
      </c>
      <c r="V261" s="4">
        <f>IF(ISERROR(VLOOKUP($S$261,'TAR FIN'!$A$1:$O$92,15,0)),0,VLOOKUP($S$261,'TAR FIN'!$A$1:$O$92,15,0))</f>
        <v>0</v>
      </c>
      <c r="W261" s="4">
        <f>IF(ISERROR(VLOOKUP($T$261,'TAR FIN'!$A$1:$O$92,15,0)),0,VLOOKUP($T$261,'TAR FIN'!$A$1:$O$92,15,0))</f>
        <v>269.33999999999997</v>
      </c>
      <c r="X261" s="4">
        <f>IF(ISERROR(VLOOKUP($U$261,'TAR FIN'!$A$1:$O$92,15,0)),0,VLOOKUP($U$261,'TAR FIN'!$A$1:$O$92,15,0))</f>
        <v>268.89</v>
      </c>
      <c r="Y261" s="4"/>
      <c r="Z261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1" s="4">
        <f>('TE BE'!$AB$15+'TE BF'!$AB$15+'TE CVA'!$AB$15)*(1-CUSTOS!$M$37)</f>
        <v>336.17550926835082</v>
      </c>
      <c r="AB261" s="4">
        <f t="shared" si="14"/>
        <v>0</v>
      </c>
      <c r="AC261" s="4">
        <f>(L261-M261)*(W261+X261)+($W$252+$X$252-$W$261-$X$261)*(L261)</f>
        <v>-5.6843418860808015E-14</v>
      </c>
      <c r="AD261" s="4">
        <f t="shared" si="15"/>
        <v>0</v>
      </c>
      <c r="AE261" s="4">
        <f ca="1">(L261-M261)*(Z261+AA261)+($Z$252+$AA$252-$Z$261-$AA$261)*(L261)</f>
        <v>0</v>
      </c>
      <c r="AF261" s="3" t="s">
        <v>754</v>
      </c>
    </row>
    <row r="262" spans="1:32" ht="11.25" customHeight="1" x14ac:dyDescent="0.25">
      <c r="A262" s="3" t="s">
        <v>21</v>
      </c>
      <c r="B262" s="3" t="s">
        <v>22</v>
      </c>
      <c r="C262" s="3" t="s">
        <v>23</v>
      </c>
      <c r="D262" s="3" t="s">
        <v>24</v>
      </c>
      <c r="E262" s="3" t="s">
        <v>32</v>
      </c>
      <c r="F262" s="3" t="s">
        <v>25</v>
      </c>
      <c r="G262" s="3" t="s">
        <v>25</v>
      </c>
      <c r="H262" s="3" t="s">
        <v>25</v>
      </c>
      <c r="I262" s="6">
        <v>44652</v>
      </c>
      <c r="J262" s="4">
        <v>0</v>
      </c>
      <c r="K262" s="4">
        <v>0</v>
      </c>
      <c r="L262" s="4">
        <v>2401.2710000000002</v>
      </c>
      <c r="M262" s="4">
        <v>2401.2710000000002</v>
      </c>
      <c r="N262" s="4">
        <v>2401.2710000000002</v>
      </c>
      <c r="O262" s="4">
        <v>2401.2710000000002</v>
      </c>
      <c r="P262" s="4">
        <v>12885</v>
      </c>
      <c r="Q262" s="3" t="s">
        <v>26</v>
      </c>
      <c r="R262" s="3">
        <v>0</v>
      </c>
      <c r="S262" s="3">
        <v>0</v>
      </c>
      <c r="T262" s="3">
        <v>12</v>
      </c>
      <c r="U262" s="3">
        <v>52</v>
      </c>
      <c r="V262" s="4">
        <f>IF(ISERROR(VLOOKUP($S$262,'TAR FIN'!$A$1:$O$92,15,0)),0,VLOOKUP($S$262,'TAR FIN'!$A$1:$O$92,15,0))</f>
        <v>0</v>
      </c>
      <c r="W262" s="4">
        <f>IF(ISERROR(VLOOKUP($T$262,'TAR FIN'!$A$1:$O$92,15,0)),0,VLOOKUP($T$262,'TAR FIN'!$A$1:$O$92,15,0))</f>
        <v>269.33999999999997</v>
      </c>
      <c r="X262" s="4">
        <f>IF(ISERROR(VLOOKUP($U$262,'TAR FIN'!$A$1:$O$92,15,0)),0,VLOOKUP($U$262,'TAR FIN'!$A$1:$O$92,15,0))</f>
        <v>268.89</v>
      </c>
      <c r="Y262" s="4"/>
      <c r="Z262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2" s="4">
        <f>('TE BE'!$AB$15+'TE BF'!$AB$15+'TE CVA'!$AB$15)*(1-CUSTOS!$M$37)</f>
        <v>336.17550926835082</v>
      </c>
      <c r="AB262" s="4">
        <f t="shared" si="14"/>
        <v>0</v>
      </c>
      <c r="AC262" s="4">
        <f>(L262-M262)*(W262+X262)+($W$252+$X$252-$W$262-$X$262)*(L262)</f>
        <v>1.3649645325131133E-10</v>
      </c>
      <c r="AD262" s="4">
        <f t="shared" si="15"/>
        <v>0</v>
      </c>
      <c r="AE262" s="4">
        <f ca="1">(L262-M262)*(Z262+AA262)+($Z$252+$AA$252-$Z$262-$AA$262)*(L262)</f>
        <v>0</v>
      </c>
      <c r="AF262" s="3" t="s">
        <v>754</v>
      </c>
    </row>
    <row r="263" spans="1:32" ht="11.25" customHeight="1" x14ac:dyDescent="0.25">
      <c r="A263" s="3" t="s">
        <v>27</v>
      </c>
      <c r="B263" s="3" t="s">
        <v>22</v>
      </c>
      <c r="C263" s="3" t="s">
        <v>23</v>
      </c>
      <c r="D263" s="3" t="s">
        <v>24</v>
      </c>
      <c r="E263" s="3" t="s">
        <v>32</v>
      </c>
      <c r="F263" s="3" t="s">
        <v>25</v>
      </c>
      <c r="G263" s="3" t="s">
        <v>25</v>
      </c>
      <c r="H263" s="3" t="s">
        <v>25</v>
      </c>
      <c r="I263" s="6">
        <v>44652</v>
      </c>
      <c r="J263" s="4">
        <v>0</v>
      </c>
      <c r="K263" s="4">
        <v>0</v>
      </c>
      <c r="L263" s="4">
        <v>-1</v>
      </c>
      <c r="M263" s="4">
        <v>-1</v>
      </c>
      <c r="N263" s="4">
        <v>-1</v>
      </c>
      <c r="O263" s="4">
        <v>-1</v>
      </c>
      <c r="P263" s="4">
        <v>0</v>
      </c>
      <c r="Q263" s="3" t="s">
        <v>26</v>
      </c>
      <c r="R263" s="3">
        <v>0</v>
      </c>
      <c r="S263" s="3">
        <v>0</v>
      </c>
      <c r="T263" s="3">
        <v>12</v>
      </c>
      <c r="U263" s="3">
        <v>52</v>
      </c>
      <c r="V263" s="4">
        <f>IF(ISERROR(VLOOKUP($S$263,'TAR FIN'!$A$1:$O$92,15,0)),0,VLOOKUP($S$263,'TAR FIN'!$A$1:$O$92,15,0))</f>
        <v>0</v>
      </c>
      <c r="W263" s="4">
        <f>IF(ISERROR(VLOOKUP($T$263,'TAR FIN'!$A$1:$O$92,15,0)),0,VLOOKUP($T$263,'TAR FIN'!$A$1:$O$92,15,0))</f>
        <v>269.33999999999997</v>
      </c>
      <c r="X263" s="4">
        <f>IF(ISERROR(VLOOKUP($U$263,'TAR FIN'!$A$1:$O$92,15,0)),0,VLOOKUP($U$263,'TAR FIN'!$A$1:$O$92,15,0))</f>
        <v>268.89</v>
      </c>
      <c r="Y263" s="4"/>
      <c r="Z263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3" s="4">
        <f>('TE BE'!$AB$15+'TE BF'!$AB$15+'TE CVA'!$AB$15)*(1-CUSTOS!$M$37)</f>
        <v>336.17550926835082</v>
      </c>
      <c r="AB263" s="4">
        <f t="shared" si="14"/>
        <v>0</v>
      </c>
      <c r="AC263" s="4">
        <f>(L263-M263)*(W263+X263)+($W$252+$X$252-$W$263-$X$263)*(L263)</f>
        <v>-5.6843418860808015E-14</v>
      </c>
      <c r="AD263" s="4">
        <f t="shared" si="15"/>
        <v>0</v>
      </c>
      <c r="AE263" s="4">
        <f ca="1">(L263-M263)*(Z263+AA263)+($Z$252+$AA$252-$Z$263-$AA$263)*(L263)</f>
        <v>0</v>
      </c>
      <c r="AF263" s="3" t="s">
        <v>754</v>
      </c>
    </row>
    <row r="264" spans="1:32" ht="11.25" customHeight="1" x14ac:dyDescent="0.25">
      <c r="A264" s="3" t="s">
        <v>21</v>
      </c>
      <c r="B264" s="3" t="s">
        <v>22</v>
      </c>
      <c r="C264" s="3" t="s">
        <v>23</v>
      </c>
      <c r="D264" s="3" t="s">
        <v>24</v>
      </c>
      <c r="E264" s="3" t="s">
        <v>32</v>
      </c>
      <c r="F264" s="3" t="s">
        <v>25</v>
      </c>
      <c r="G264" s="3" t="s">
        <v>25</v>
      </c>
      <c r="H264" s="3" t="s">
        <v>25</v>
      </c>
      <c r="I264" s="6">
        <v>44682</v>
      </c>
      <c r="J264" s="4">
        <v>0</v>
      </c>
      <c r="K264" s="4">
        <v>0</v>
      </c>
      <c r="L264" s="4">
        <v>2022.807</v>
      </c>
      <c r="M264" s="4">
        <v>2022.807</v>
      </c>
      <c r="N264" s="4">
        <v>2022.807</v>
      </c>
      <c r="O264" s="4">
        <v>2022.807</v>
      </c>
      <c r="P264" s="4">
        <v>11976</v>
      </c>
      <c r="Q264" s="3" t="s">
        <v>26</v>
      </c>
      <c r="R264" s="3">
        <v>0</v>
      </c>
      <c r="S264" s="3">
        <v>0</v>
      </c>
      <c r="T264" s="3">
        <v>12</v>
      </c>
      <c r="U264" s="3">
        <v>52</v>
      </c>
      <c r="V264" s="4">
        <f>IF(ISERROR(VLOOKUP($S$264,'TAR FIN'!$A$1:$O$92,15,0)),0,VLOOKUP($S$264,'TAR FIN'!$A$1:$O$92,15,0))</f>
        <v>0</v>
      </c>
      <c r="W264" s="4">
        <f>IF(ISERROR(VLOOKUP($T$264,'TAR FIN'!$A$1:$O$92,15,0)),0,VLOOKUP($T$264,'TAR FIN'!$A$1:$O$92,15,0))</f>
        <v>269.33999999999997</v>
      </c>
      <c r="X264" s="4">
        <f>IF(ISERROR(VLOOKUP($U$264,'TAR FIN'!$A$1:$O$92,15,0)),0,VLOOKUP($U$264,'TAR FIN'!$A$1:$O$92,15,0))</f>
        <v>268.89</v>
      </c>
      <c r="Y264" s="4"/>
      <c r="Z264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4" s="4">
        <f>('TE BE'!$AB$15+'TE BF'!$AB$15+'TE CVA'!$AB$15)*(1-CUSTOS!$M$37)</f>
        <v>336.17550926835082</v>
      </c>
      <c r="AB264" s="4">
        <f t="shared" si="14"/>
        <v>0</v>
      </c>
      <c r="AC264" s="4">
        <f>(L264-M264)*(W264+X264)+($W$252+$X$252-$W$264-$X$264)*(L264)</f>
        <v>1.1498326557557448E-10</v>
      </c>
      <c r="AD264" s="4">
        <f t="shared" si="15"/>
        <v>0</v>
      </c>
      <c r="AE264" s="4">
        <f ca="1">(L264-M264)*(Z264+AA264)+($Z$252+$AA$252-$Z$264-$AA$264)*(L264)</f>
        <v>0</v>
      </c>
      <c r="AF264" s="3" t="s">
        <v>754</v>
      </c>
    </row>
    <row r="265" spans="1:32" ht="11.25" customHeight="1" x14ac:dyDescent="0.25">
      <c r="A265" s="3" t="s">
        <v>27</v>
      </c>
      <c r="B265" s="3" t="s">
        <v>22</v>
      </c>
      <c r="C265" s="3" t="s">
        <v>23</v>
      </c>
      <c r="D265" s="3" t="s">
        <v>24</v>
      </c>
      <c r="E265" s="3" t="s">
        <v>32</v>
      </c>
      <c r="F265" s="3" t="s">
        <v>25</v>
      </c>
      <c r="G265" s="3" t="s">
        <v>25</v>
      </c>
      <c r="H265" s="3" t="s">
        <v>25</v>
      </c>
      <c r="I265" s="6">
        <v>44682</v>
      </c>
      <c r="J265" s="4">
        <v>0</v>
      </c>
      <c r="K265" s="4">
        <v>0</v>
      </c>
      <c r="L265" s="4">
        <v>-9.1880000000000006</v>
      </c>
      <c r="M265" s="4">
        <v>-9.1880000000000006</v>
      </c>
      <c r="N265" s="4">
        <v>-9.1880000000000006</v>
      </c>
      <c r="O265" s="4">
        <v>-9.1880000000000006</v>
      </c>
      <c r="P265" s="4">
        <v>-12</v>
      </c>
      <c r="Q265" s="3" t="s">
        <v>26</v>
      </c>
      <c r="R265" s="3">
        <v>0</v>
      </c>
      <c r="S265" s="3">
        <v>0</v>
      </c>
      <c r="T265" s="3">
        <v>12</v>
      </c>
      <c r="U265" s="3">
        <v>52</v>
      </c>
      <c r="V265" s="4">
        <f>IF(ISERROR(VLOOKUP($S$265,'TAR FIN'!$A$1:$O$92,15,0)),0,VLOOKUP($S$265,'TAR FIN'!$A$1:$O$92,15,0))</f>
        <v>0</v>
      </c>
      <c r="W265" s="4">
        <f>IF(ISERROR(VLOOKUP($T$265,'TAR FIN'!$A$1:$O$92,15,0)),0,VLOOKUP($T$265,'TAR FIN'!$A$1:$O$92,15,0))</f>
        <v>269.33999999999997</v>
      </c>
      <c r="X265" s="4">
        <f>IF(ISERROR(VLOOKUP($U$265,'TAR FIN'!$A$1:$O$92,15,0)),0,VLOOKUP($U$265,'TAR FIN'!$A$1:$O$92,15,0))</f>
        <v>268.89</v>
      </c>
      <c r="Y265" s="4"/>
      <c r="Z265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5" s="4">
        <f>('TE BE'!$AB$15+'TE BF'!$AB$15+'TE CVA'!$AB$15)*(1-CUSTOS!$M$37)</f>
        <v>336.17550926835082</v>
      </c>
      <c r="AB265" s="4">
        <f t="shared" si="14"/>
        <v>0</v>
      </c>
      <c r="AC265" s="4">
        <f>(L265-M265)*(W265+X265)+($W$252+$X$252-$W$265-$X$265)*(L265)</f>
        <v>-5.2227733249310408E-13</v>
      </c>
      <c r="AD265" s="4">
        <f t="shared" si="15"/>
        <v>0</v>
      </c>
      <c r="AE265" s="4">
        <f ca="1">(L265-M265)*(Z265+AA265)+($Z$252+$AA$252-$Z$265-$AA$265)*(L265)</f>
        <v>0</v>
      </c>
      <c r="AF265" s="3" t="s">
        <v>754</v>
      </c>
    </row>
    <row r="266" spans="1:32" ht="11.25" customHeight="1" x14ac:dyDescent="0.25">
      <c r="A266" s="3" t="s">
        <v>21</v>
      </c>
      <c r="B266" s="3" t="s">
        <v>22</v>
      </c>
      <c r="C266" s="3" t="s">
        <v>23</v>
      </c>
      <c r="D266" s="3" t="s">
        <v>24</v>
      </c>
      <c r="E266" s="3" t="s">
        <v>32</v>
      </c>
      <c r="F266" s="3" t="s">
        <v>25</v>
      </c>
      <c r="G266" s="3" t="s">
        <v>25</v>
      </c>
      <c r="H266" s="3" t="s">
        <v>25</v>
      </c>
      <c r="I266" s="6">
        <v>44713</v>
      </c>
      <c r="J266" s="4">
        <v>0</v>
      </c>
      <c r="K266" s="4">
        <v>0</v>
      </c>
      <c r="L266" s="4">
        <v>1881.3389999999999</v>
      </c>
      <c r="M266" s="4">
        <v>1881.3389999999999</v>
      </c>
      <c r="N266" s="4">
        <v>1881.3389999999999</v>
      </c>
      <c r="O266" s="4">
        <v>1881.3389999999999</v>
      </c>
      <c r="P266" s="4">
        <v>11750</v>
      </c>
      <c r="Q266" s="3" t="s">
        <v>26</v>
      </c>
      <c r="R266" s="3">
        <v>0</v>
      </c>
      <c r="S266" s="3">
        <v>0</v>
      </c>
      <c r="T266" s="3">
        <v>12</v>
      </c>
      <c r="U266" s="3">
        <v>52</v>
      </c>
      <c r="V266" s="4">
        <f>IF(ISERROR(VLOOKUP($S$266,'TAR FIN'!$A$1:$O$92,15,0)),0,VLOOKUP($S$266,'TAR FIN'!$A$1:$O$92,15,0))</f>
        <v>0</v>
      </c>
      <c r="W266" s="4">
        <f>IF(ISERROR(VLOOKUP($T$266,'TAR FIN'!$A$1:$O$92,15,0)),0,VLOOKUP($T$266,'TAR FIN'!$A$1:$O$92,15,0))</f>
        <v>269.33999999999997</v>
      </c>
      <c r="X266" s="4">
        <f>IF(ISERROR(VLOOKUP($U$266,'TAR FIN'!$A$1:$O$92,15,0)),0,VLOOKUP($U$266,'TAR FIN'!$A$1:$O$92,15,0))</f>
        <v>268.89</v>
      </c>
      <c r="Y266" s="4"/>
      <c r="Z266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6" s="4">
        <f>('TE BE'!$AB$15+'TE BF'!$AB$15+'TE CVA'!$AB$15)*(1-CUSTOS!$M$37)</f>
        <v>336.17550926835082</v>
      </c>
      <c r="AB266" s="4">
        <f t="shared" si="14"/>
        <v>0</v>
      </c>
      <c r="AC266" s="4">
        <f>(L266-M266)*(W266+X266)+($W$252+$X$252-$W$266-$X$266)*(L266)</f>
        <v>1.0694174079617369E-10</v>
      </c>
      <c r="AD266" s="4">
        <f t="shared" si="15"/>
        <v>0</v>
      </c>
      <c r="AE266" s="4">
        <f ca="1">(L266-M266)*(Z266+AA266)+($Z$252+$AA$252-$Z$266-$AA$266)*(L266)</f>
        <v>0</v>
      </c>
      <c r="AF266" s="3" t="s">
        <v>754</v>
      </c>
    </row>
    <row r="267" spans="1:32" ht="11.25" customHeight="1" x14ac:dyDescent="0.25">
      <c r="A267" s="3" t="s">
        <v>27</v>
      </c>
      <c r="B267" s="3" t="s">
        <v>22</v>
      </c>
      <c r="C267" s="3" t="s">
        <v>23</v>
      </c>
      <c r="D267" s="3" t="s">
        <v>24</v>
      </c>
      <c r="E267" s="3" t="s">
        <v>32</v>
      </c>
      <c r="F267" s="3" t="s">
        <v>25</v>
      </c>
      <c r="G267" s="3" t="s">
        <v>25</v>
      </c>
      <c r="H267" s="3" t="s">
        <v>25</v>
      </c>
      <c r="I267" s="6">
        <v>44713</v>
      </c>
      <c r="J267" s="4">
        <v>0</v>
      </c>
      <c r="K267" s="4">
        <v>0</v>
      </c>
      <c r="L267" s="4">
        <v>-1.528</v>
      </c>
      <c r="M267" s="4">
        <v>-1.528</v>
      </c>
      <c r="N267" s="4">
        <v>-1.528</v>
      </c>
      <c r="O267" s="4">
        <v>-1.528</v>
      </c>
      <c r="P267" s="4">
        <v>-4</v>
      </c>
      <c r="Q267" s="3" t="s">
        <v>26</v>
      </c>
      <c r="R267" s="3">
        <v>0</v>
      </c>
      <c r="S267" s="3">
        <v>0</v>
      </c>
      <c r="T267" s="3">
        <v>12</v>
      </c>
      <c r="U267" s="3">
        <v>52</v>
      </c>
      <c r="V267" s="4">
        <f>IF(ISERROR(VLOOKUP($S$267,'TAR FIN'!$A$1:$O$92,15,0)),0,VLOOKUP($S$267,'TAR FIN'!$A$1:$O$92,15,0))</f>
        <v>0</v>
      </c>
      <c r="W267" s="4">
        <f>IF(ISERROR(VLOOKUP($T$267,'TAR FIN'!$A$1:$O$92,15,0)),0,VLOOKUP($T$267,'TAR FIN'!$A$1:$O$92,15,0))</f>
        <v>269.33999999999997</v>
      </c>
      <c r="X267" s="4">
        <f>IF(ISERROR(VLOOKUP($U$267,'TAR FIN'!$A$1:$O$92,15,0)),0,VLOOKUP($U$267,'TAR FIN'!$A$1:$O$92,15,0))</f>
        <v>268.89</v>
      </c>
      <c r="Y267" s="4"/>
      <c r="Z267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7" s="4">
        <f>('TE BE'!$AB$15+'TE BF'!$AB$15+'TE CVA'!$AB$15)*(1-CUSTOS!$M$37)</f>
        <v>336.17550926835082</v>
      </c>
      <c r="AB267" s="4">
        <f t="shared" si="14"/>
        <v>0</v>
      </c>
      <c r="AC267" s="4">
        <f>(L267-M267)*(W267+X267)+($W$252+$X$252-$W$267-$X$267)*(L267)</f>
        <v>-8.6856744019314648E-14</v>
      </c>
      <c r="AD267" s="4">
        <f t="shared" si="15"/>
        <v>0</v>
      </c>
      <c r="AE267" s="4">
        <f ca="1">(L267-M267)*(Z267+AA267)+($Z$252+$AA$252-$Z$267-$AA$267)*(L267)</f>
        <v>0</v>
      </c>
      <c r="AF267" s="3" t="s">
        <v>754</v>
      </c>
    </row>
    <row r="268" spans="1:32" ht="11.25" customHeight="1" x14ac:dyDescent="0.25">
      <c r="A268" s="3" t="s">
        <v>21</v>
      </c>
      <c r="B268" s="3" t="s">
        <v>22</v>
      </c>
      <c r="C268" s="3" t="s">
        <v>23</v>
      </c>
      <c r="D268" s="3" t="s">
        <v>24</v>
      </c>
      <c r="E268" s="3" t="s">
        <v>32</v>
      </c>
      <c r="F268" s="3" t="s">
        <v>25</v>
      </c>
      <c r="G268" s="3" t="s">
        <v>25</v>
      </c>
      <c r="H268" s="3" t="s">
        <v>25</v>
      </c>
      <c r="I268" s="6">
        <v>44743</v>
      </c>
      <c r="J268" s="4">
        <v>0</v>
      </c>
      <c r="K268" s="4">
        <v>0</v>
      </c>
      <c r="L268" s="4">
        <v>2822.0010000000002</v>
      </c>
      <c r="M268" s="4">
        <v>2822.0010000000002</v>
      </c>
      <c r="N268" s="4">
        <v>2822.0010000000002</v>
      </c>
      <c r="O268" s="4">
        <v>2822.0010000000002</v>
      </c>
      <c r="P268" s="4">
        <v>11437</v>
      </c>
      <c r="Q268" s="3" t="s">
        <v>26</v>
      </c>
      <c r="R268" s="3">
        <v>0</v>
      </c>
      <c r="S268" s="3">
        <v>0</v>
      </c>
      <c r="T268" s="3">
        <v>12</v>
      </c>
      <c r="U268" s="3">
        <v>52</v>
      </c>
      <c r="V268" s="4">
        <f>IF(ISERROR(VLOOKUP($S$268,'TAR FIN'!$A$1:$O$92,15,0)),0,VLOOKUP($S$268,'TAR FIN'!$A$1:$O$92,15,0))</f>
        <v>0</v>
      </c>
      <c r="W268" s="4">
        <f>IF(ISERROR(VLOOKUP($T$268,'TAR FIN'!$A$1:$O$92,15,0)),0,VLOOKUP($T$268,'TAR FIN'!$A$1:$O$92,15,0))</f>
        <v>269.33999999999997</v>
      </c>
      <c r="X268" s="4">
        <f>IF(ISERROR(VLOOKUP($U$268,'TAR FIN'!$A$1:$O$92,15,0)),0,VLOOKUP($U$268,'TAR FIN'!$A$1:$O$92,15,0))</f>
        <v>268.89</v>
      </c>
      <c r="Y268" s="4"/>
      <c r="Z268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8" s="4">
        <f>('TE BE'!$AB$15+'TE BF'!$AB$15+'TE CVA'!$AB$15)*(1-CUSTOS!$M$37)</f>
        <v>336.17550926835082</v>
      </c>
      <c r="AB268" s="4">
        <f t="shared" si="14"/>
        <v>0</v>
      </c>
      <c r="AC268" s="4">
        <f>(L268-M268)*(W268+X268)+($W$252+$X$252-$W$268-$X$268)*(L268)</f>
        <v>1.6041218486861909E-10</v>
      </c>
      <c r="AD268" s="4">
        <f t="shared" si="15"/>
        <v>0</v>
      </c>
      <c r="AE268" s="4">
        <f ca="1">(L268-M268)*(Z268+AA268)+($Z$252+$AA$252-$Z$268-$AA$268)*(L268)</f>
        <v>0</v>
      </c>
      <c r="AF268" s="3" t="s">
        <v>754</v>
      </c>
    </row>
    <row r="269" spans="1:32" ht="11.25" customHeight="1" x14ac:dyDescent="0.25">
      <c r="A269" s="3" t="s">
        <v>27</v>
      </c>
      <c r="B269" s="3" t="s">
        <v>22</v>
      </c>
      <c r="C269" s="3" t="s">
        <v>23</v>
      </c>
      <c r="D269" s="3" t="s">
        <v>24</v>
      </c>
      <c r="E269" s="3" t="s">
        <v>32</v>
      </c>
      <c r="F269" s="3" t="s">
        <v>25</v>
      </c>
      <c r="G269" s="3" t="s">
        <v>25</v>
      </c>
      <c r="H269" s="3" t="s">
        <v>25</v>
      </c>
      <c r="I269" s="6">
        <v>44743</v>
      </c>
      <c r="J269" s="4">
        <v>0</v>
      </c>
      <c r="K269" s="4">
        <v>0</v>
      </c>
      <c r="L269" s="4">
        <v>-1.2849999999999999</v>
      </c>
      <c r="M269" s="4">
        <v>-1.2849999999999999</v>
      </c>
      <c r="N269" s="4">
        <v>-1.2849999999999999</v>
      </c>
      <c r="O269" s="4">
        <v>-1.2849999999999999</v>
      </c>
      <c r="P269" s="4">
        <v>-4</v>
      </c>
      <c r="Q269" s="3" t="s">
        <v>26</v>
      </c>
      <c r="R269" s="3">
        <v>0</v>
      </c>
      <c r="S269" s="3">
        <v>0</v>
      </c>
      <c r="T269" s="3">
        <v>12</v>
      </c>
      <c r="U269" s="3">
        <v>52</v>
      </c>
      <c r="V269" s="4">
        <f>IF(ISERROR(VLOOKUP($S$269,'TAR FIN'!$A$1:$O$92,15,0)),0,VLOOKUP($S$269,'TAR FIN'!$A$1:$O$92,15,0))</f>
        <v>0</v>
      </c>
      <c r="W269" s="4">
        <f>IF(ISERROR(VLOOKUP($T$269,'TAR FIN'!$A$1:$O$92,15,0)),0,VLOOKUP($T$269,'TAR FIN'!$A$1:$O$92,15,0))</f>
        <v>269.33999999999997</v>
      </c>
      <c r="X269" s="4">
        <f>IF(ISERROR(VLOOKUP($U$269,'TAR FIN'!$A$1:$O$92,15,0)),0,VLOOKUP($U$269,'TAR FIN'!$A$1:$O$92,15,0))</f>
        <v>268.89</v>
      </c>
      <c r="Y269" s="4"/>
      <c r="Z269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69" s="4">
        <f>('TE BE'!$AB$15+'TE BF'!$AB$15+'TE CVA'!$AB$15)*(1-CUSTOS!$M$37)</f>
        <v>336.17550926835082</v>
      </c>
      <c r="AB269" s="4">
        <f t="shared" si="14"/>
        <v>0</v>
      </c>
      <c r="AC269" s="4">
        <f>(L269-M269)*(W269+X269)+($W$252+$X$252-$W$269-$X$269)*(L269)</f>
        <v>-7.3043793236138295E-14</v>
      </c>
      <c r="AD269" s="4">
        <f t="shared" si="15"/>
        <v>0</v>
      </c>
      <c r="AE269" s="4">
        <f ca="1">(L269-M269)*(Z269+AA269)+($Z$252+$AA$252-$Z$269-$AA$269)*(L269)</f>
        <v>0</v>
      </c>
      <c r="AF269" s="3" t="s">
        <v>754</v>
      </c>
    </row>
    <row r="270" spans="1:32" ht="11.25" customHeight="1" x14ac:dyDescent="0.25">
      <c r="A270" s="3" t="s">
        <v>21</v>
      </c>
      <c r="B270" s="3" t="s">
        <v>22</v>
      </c>
      <c r="C270" s="3" t="s">
        <v>23</v>
      </c>
      <c r="D270" s="3" t="s">
        <v>24</v>
      </c>
      <c r="E270" s="3" t="s">
        <v>32</v>
      </c>
      <c r="F270" s="3" t="s">
        <v>25</v>
      </c>
      <c r="G270" s="3" t="s">
        <v>25</v>
      </c>
      <c r="H270" s="3" t="s">
        <v>25</v>
      </c>
      <c r="I270" s="6">
        <v>44774</v>
      </c>
      <c r="J270" s="4">
        <v>0</v>
      </c>
      <c r="K270" s="4">
        <v>0</v>
      </c>
      <c r="L270" s="4">
        <v>2604.6489999999999</v>
      </c>
      <c r="M270" s="4">
        <v>2604.6489999999999</v>
      </c>
      <c r="N270" s="4">
        <v>2604.6489999999999</v>
      </c>
      <c r="O270" s="4">
        <v>2604.6489999999999</v>
      </c>
      <c r="P270" s="4">
        <v>13729</v>
      </c>
      <c r="Q270" s="3" t="s">
        <v>26</v>
      </c>
      <c r="R270" s="3">
        <v>0</v>
      </c>
      <c r="S270" s="3">
        <v>0</v>
      </c>
      <c r="T270" s="3">
        <v>12</v>
      </c>
      <c r="U270" s="3">
        <v>52</v>
      </c>
      <c r="V270" s="4">
        <f>IF(ISERROR(VLOOKUP($S$270,'TAR FIN'!$A$1:$O$92,15,0)),0,VLOOKUP($S$270,'TAR FIN'!$A$1:$O$92,15,0))</f>
        <v>0</v>
      </c>
      <c r="W270" s="4">
        <f>IF(ISERROR(VLOOKUP($T$270,'TAR FIN'!$A$1:$O$92,15,0)),0,VLOOKUP($T$270,'TAR FIN'!$A$1:$O$92,15,0))</f>
        <v>269.33999999999997</v>
      </c>
      <c r="X270" s="4">
        <f>IF(ISERROR(VLOOKUP($U$270,'TAR FIN'!$A$1:$O$92,15,0)),0,VLOOKUP($U$270,'TAR FIN'!$A$1:$O$92,15,0))</f>
        <v>268.89</v>
      </c>
      <c r="Y270" s="4"/>
      <c r="Z270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0" s="4">
        <f>('TE BE'!$AB$15+'TE BF'!$AB$15+'TE CVA'!$AB$15)*(1-CUSTOS!$M$37)</f>
        <v>336.17550926835082</v>
      </c>
      <c r="AB270" s="4">
        <f t="shared" si="14"/>
        <v>0</v>
      </c>
      <c r="AC270" s="4">
        <f>(L270-M270)*(W270+X270)+($W$252+$X$252-$W$270-$X$270)*(L270)</f>
        <v>1.4805715409238473E-10</v>
      </c>
      <c r="AD270" s="4">
        <f t="shared" si="15"/>
        <v>0</v>
      </c>
      <c r="AE270" s="4">
        <f ca="1">(L270-M270)*(Z270+AA270)+($Z$252+$AA$252-$Z$270-$AA$270)*(L270)</f>
        <v>0</v>
      </c>
      <c r="AF270" s="3" t="s">
        <v>754</v>
      </c>
    </row>
    <row r="271" spans="1:32" ht="11.25" customHeight="1" x14ac:dyDescent="0.25">
      <c r="A271" s="3" t="s">
        <v>27</v>
      </c>
      <c r="B271" s="3" t="s">
        <v>22</v>
      </c>
      <c r="C271" s="3" t="s">
        <v>23</v>
      </c>
      <c r="D271" s="3" t="s">
        <v>24</v>
      </c>
      <c r="E271" s="3" t="s">
        <v>32</v>
      </c>
      <c r="F271" s="3" t="s">
        <v>25</v>
      </c>
      <c r="G271" s="3" t="s">
        <v>25</v>
      </c>
      <c r="H271" s="3" t="s">
        <v>25</v>
      </c>
      <c r="I271" s="6">
        <v>44774</v>
      </c>
      <c r="J271" s="4">
        <v>0</v>
      </c>
      <c r="K271" s="4">
        <v>0</v>
      </c>
      <c r="L271" s="4">
        <v>-1002.128</v>
      </c>
      <c r="M271" s="4">
        <v>-1002.128</v>
      </c>
      <c r="N271" s="4">
        <v>-1002.128</v>
      </c>
      <c r="O271" s="4">
        <v>-1002.128</v>
      </c>
      <c r="P271" s="4">
        <v>-3</v>
      </c>
      <c r="Q271" s="3" t="s">
        <v>26</v>
      </c>
      <c r="R271" s="3">
        <v>0</v>
      </c>
      <c r="S271" s="3">
        <v>0</v>
      </c>
      <c r="T271" s="3">
        <v>12</v>
      </c>
      <c r="U271" s="3">
        <v>52</v>
      </c>
      <c r="V271" s="4">
        <f>IF(ISERROR(VLOOKUP($S$271,'TAR FIN'!$A$1:$O$92,15,0)),0,VLOOKUP($S$271,'TAR FIN'!$A$1:$O$92,15,0))</f>
        <v>0</v>
      </c>
      <c r="W271" s="4">
        <f>IF(ISERROR(VLOOKUP($T$271,'TAR FIN'!$A$1:$O$92,15,0)),0,VLOOKUP($T$271,'TAR FIN'!$A$1:$O$92,15,0))</f>
        <v>269.33999999999997</v>
      </c>
      <c r="X271" s="4">
        <f>IF(ISERROR(VLOOKUP($U$271,'TAR FIN'!$A$1:$O$92,15,0)),0,VLOOKUP($U$271,'TAR FIN'!$A$1:$O$92,15,0))</f>
        <v>268.89</v>
      </c>
      <c r="Y271" s="4"/>
      <c r="Z271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1" s="4">
        <f>('TE BE'!$AB$15+'TE BF'!$AB$15+'TE CVA'!$AB$15)*(1-CUSTOS!$M$37)</f>
        <v>336.17550926835082</v>
      </c>
      <c r="AB271" s="4">
        <f t="shared" si="14"/>
        <v>0</v>
      </c>
      <c r="AC271" s="4">
        <f>(L271-M271)*(W271+X271)+($W$252+$X$252-$W$271-$X$271)*(L271)</f>
        <v>-5.6964381656143817E-11</v>
      </c>
      <c r="AD271" s="4">
        <f t="shared" si="15"/>
        <v>0</v>
      </c>
      <c r="AE271" s="4">
        <f ca="1">(L271-M271)*(Z271+AA271)+($Z$252+$AA$252-$Z$271-$AA$271)*(L271)</f>
        <v>0</v>
      </c>
      <c r="AF271" s="3" t="s">
        <v>754</v>
      </c>
    </row>
    <row r="272" spans="1:32" ht="11.25" customHeight="1" x14ac:dyDescent="0.25">
      <c r="A272" s="3" t="s">
        <v>21</v>
      </c>
      <c r="B272" s="3" t="s">
        <v>22</v>
      </c>
      <c r="C272" s="3" t="s">
        <v>23</v>
      </c>
      <c r="D272" s="3" t="s">
        <v>24</v>
      </c>
      <c r="E272" s="3" t="s">
        <v>32</v>
      </c>
      <c r="F272" s="3" t="s">
        <v>25</v>
      </c>
      <c r="G272" s="3" t="s">
        <v>25</v>
      </c>
      <c r="H272" s="3" t="s">
        <v>25</v>
      </c>
      <c r="I272" s="6">
        <v>44805</v>
      </c>
      <c r="J272" s="4">
        <v>0</v>
      </c>
      <c r="K272" s="4">
        <v>0</v>
      </c>
      <c r="L272" s="4">
        <v>2634.4989999999998</v>
      </c>
      <c r="M272" s="4">
        <v>2634.4989999999998</v>
      </c>
      <c r="N272" s="4">
        <v>2634.4989999999998</v>
      </c>
      <c r="O272" s="4">
        <v>2634.4989999999998</v>
      </c>
      <c r="P272" s="4">
        <v>13544</v>
      </c>
      <c r="Q272" s="3" t="s">
        <v>26</v>
      </c>
      <c r="R272" s="3">
        <v>0</v>
      </c>
      <c r="S272" s="3">
        <v>0</v>
      </c>
      <c r="T272" s="3">
        <v>12</v>
      </c>
      <c r="U272" s="3">
        <v>52</v>
      </c>
      <c r="V272" s="4">
        <f>IF(ISERROR(VLOOKUP($S$272,'TAR FIN'!$A$1:$O$92,15,0)),0,VLOOKUP($S$272,'TAR FIN'!$A$1:$O$92,15,0))</f>
        <v>0</v>
      </c>
      <c r="W272" s="4">
        <f>IF(ISERROR(VLOOKUP($T$272,'TAR FIN'!$A$1:$O$92,15,0)),0,VLOOKUP($T$272,'TAR FIN'!$A$1:$O$92,15,0))</f>
        <v>269.33999999999997</v>
      </c>
      <c r="X272" s="4">
        <f>IF(ISERROR(VLOOKUP($U$272,'TAR FIN'!$A$1:$O$92,15,0)),0,VLOOKUP($U$272,'TAR FIN'!$A$1:$O$92,15,0))</f>
        <v>268.89</v>
      </c>
      <c r="Y272" s="4"/>
      <c r="Z272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2" s="4">
        <f>('TE BE'!$AB$15+'TE BF'!$AB$15+'TE CVA'!$AB$15)*(1-CUSTOS!$M$37)</f>
        <v>336.17550926835082</v>
      </c>
      <c r="AB272" s="4">
        <f t="shared" si="14"/>
        <v>0</v>
      </c>
      <c r="AC272" s="4">
        <f>(L272-M272)*(W272+X272)+($W$252+$X$252-$W$272-$X$272)*(L272)</f>
        <v>1.4975393014537984E-10</v>
      </c>
      <c r="AD272" s="4">
        <f t="shared" si="15"/>
        <v>0</v>
      </c>
      <c r="AE272" s="4">
        <f ca="1">(L272-M272)*(Z272+AA272)+($Z$252+$AA$252-$Z$272-$AA$272)*(L272)</f>
        <v>0</v>
      </c>
      <c r="AF272" s="3" t="s">
        <v>754</v>
      </c>
    </row>
    <row r="273" spans="1:32" ht="11.25" customHeight="1" x14ac:dyDescent="0.25">
      <c r="A273" s="3" t="s">
        <v>27</v>
      </c>
      <c r="B273" s="3" t="s">
        <v>22</v>
      </c>
      <c r="C273" s="3" t="s">
        <v>23</v>
      </c>
      <c r="D273" s="3" t="s">
        <v>24</v>
      </c>
      <c r="E273" s="3" t="s">
        <v>32</v>
      </c>
      <c r="F273" s="3" t="s">
        <v>25</v>
      </c>
      <c r="G273" s="3" t="s">
        <v>25</v>
      </c>
      <c r="H273" s="3" t="s">
        <v>25</v>
      </c>
      <c r="I273" s="6">
        <v>44805</v>
      </c>
      <c r="J273" s="4">
        <v>0</v>
      </c>
      <c r="K273" s="4">
        <v>0</v>
      </c>
      <c r="L273" s="4">
        <v>-2.8319999999999999</v>
      </c>
      <c r="M273" s="4">
        <v>-2.8319999999999999</v>
      </c>
      <c r="N273" s="4">
        <v>-2.8319999999999999</v>
      </c>
      <c r="O273" s="4">
        <v>-2.8319999999999999</v>
      </c>
      <c r="P273" s="4">
        <v>-5</v>
      </c>
      <c r="Q273" s="3" t="s">
        <v>26</v>
      </c>
      <c r="R273" s="3">
        <v>0</v>
      </c>
      <c r="S273" s="3">
        <v>0</v>
      </c>
      <c r="T273" s="3">
        <v>12</v>
      </c>
      <c r="U273" s="3">
        <v>52</v>
      </c>
      <c r="V273" s="4">
        <f>IF(ISERROR(VLOOKUP($S$273,'TAR FIN'!$A$1:$O$92,15,0)),0,VLOOKUP($S$273,'TAR FIN'!$A$1:$O$92,15,0))</f>
        <v>0</v>
      </c>
      <c r="W273" s="4">
        <f>IF(ISERROR(VLOOKUP($T$273,'TAR FIN'!$A$1:$O$92,15,0)),0,VLOOKUP($T$273,'TAR FIN'!$A$1:$O$92,15,0))</f>
        <v>269.33999999999997</v>
      </c>
      <c r="X273" s="4">
        <f>IF(ISERROR(VLOOKUP($U$273,'TAR FIN'!$A$1:$O$92,15,0)),0,VLOOKUP($U$273,'TAR FIN'!$A$1:$O$92,15,0))</f>
        <v>268.89</v>
      </c>
      <c r="Y273" s="4"/>
      <c r="Z273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3" s="4">
        <f>('TE BE'!$AB$15+'TE BF'!$AB$15+'TE CVA'!$AB$15)*(1-CUSTOS!$M$37)</f>
        <v>336.17550926835082</v>
      </c>
      <c r="AB273" s="4">
        <f t="shared" si="14"/>
        <v>0</v>
      </c>
      <c r="AC273" s="4">
        <f>(L273-M273)*(W273+X273)+($W$252+$X$252-$W$273-$X$273)*(L273)</f>
        <v>-1.6098056221380829E-13</v>
      </c>
      <c r="AD273" s="4">
        <f t="shared" si="15"/>
        <v>0</v>
      </c>
      <c r="AE273" s="4">
        <f ca="1">(L273-M273)*(Z273+AA273)+($Z$252+$AA$252-$Z$273-$AA$273)*(L273)</f>
        <v>0</v>
      </c>
      <c r="AF273" s="3" t="s">
        <v>754</v>
      </c>
    </row>
    <row r="274" spans="1:32" ht="11.25" customHeight="1" x14ac:dyDescent="0.25">
      <c r="A274" s="3" t="s">
        <v>55</v>
      </c>
      <c r="B274" s="3" t="s">
        <v>22</v>
      </c>
      <c r="C274" s="3" t="s">
        <v>23</v>
      </c>
      <c r="D274" s="3" t="s">
        <v>24</v>
      </c>
      <c r="E274" s="3" t="s">
        <v>32</v>
      </c>
      <c r="F274" s="3" t="s">
        <v>25</v>
      </c>
      <c r="G274" s="3" t="s">
        <v>25</v>
      </c>
      <c r="H274" s="3" t="s">
        <v>25</v>
      </c>
      <c r="I274" s="6">
        <v>44835</v>
      </c>
      <c r="J274" s="4">
        <v>0</v>
      </c>
      <c r="K274" s="4">
        <v>0</v>
      </c>
      <c r="L274" s="4">
        <v>2634.4989999999998</v>
      </c>
      <c r="M274" s="4">
        <v>2634.4989999999998</v>
      </c>
      <c r="N274" s="4">
        <v>2634.4989999999998</v>
      </c>
      <c r="O274" s="4">
        <v>2634.4989999999998</v>
      </c>
      <c r="P274" s="4">
        <v>13544</v>
      </c>
      <c r="Q274" s="3" t="s">
        <v>26</v>
      </c>
      <c r="R274" s="3">
        <v>0</v>
      </c>
      <c r="S274" s="3">
        <v>0</v>
      </c>
      <c r="T274" s="3">
        <v>12</v>
      </c>
      <c r="U274" s="3">
        <v>52</v>
      </c>
      <c r="V274" s="4">
        <f>IF(ISERROR(VLOOKUP($S$274,'TAR FIN'!$A$1:$O$92,15,0)),0,VLOOKUP($S$274,'TAR FIN'!$A$1:$O$92,15,0))</f>
        <v>0</v>
      </c>
      <c r="W274" s="4">
        <f>IF(ISERROR(VLOOKUP($T$274,'TAR FIN'!$A$1:$O$92,15,0)),0,VLOOKUP($T$274,'TAR FIN'!$A$1:$O$92,15,0))</f>
        <v>269.33999999999997</v>
      </c>
      <c r="X274" s="4">
        <f>IF(ISERROR(VLOOKUP($U$274,'TAR FIN'!$A$1:$O$92,15,0)),0,VLOOKUP($U$274,'TAR FIN'!$A$1:$O$92,15,0))</f>
        <v>268.89</v>
      </c>
      <c r="Y274" s="4"/>
      <c r="Z274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4" s="4">
        <f>('TE BE'!$AB$15+'TE BF'!$AB$15+'TE CVA'!$AB$15)*(1-CUSTOS!$M$37)</f>
        <v>336.17550926835082</v>
      </c>
      <c r="AB274" s="4">
        <f t="shared" si="14"/>
        <v>0</v>
      </c>
      <c r="AC274" s="4">
        <f>(L274-M274)*(W274+X274)+($W$252+$X$252-$W$274-$X$274)*(L274)</f>
        <v>1.4975393014537984E-10</v>
      </c>
      <c r="AD274" s="4">
        <f t="shared" si="15"/>
        <v>0</v>
      </c>
      <c r="AE274" s="4">
        <f ca="1">(L274-M274)*(Z274+AA274)+($Z$252+$AA$252-$Z$274-$AA$274)*(L274)</f>
        <v>0</v>
      </c>
      <c r="AF274" s="3" t="s">
        <v>754</v>
      </c>
    </row>
    <row r="275" spans="1:32" ht="11.25" customHeight="1" x14ac:dyDescent="0.25">
      <c r="A275" s="3" t="s">
        <v>55</v>
      </c>
      <c r="B275" s="3" t="s">
        <v>22</v>
      </c>
      <c r="C275" s="3" t="s">
        <v>23</v>
      </c>
      <c r="D275" s="3" t="s">
        <v>24</v>
      </c>
      <c r="E275" s="3" t="s">
        <v>32</v>
      </c>
      <c r="F275" s="3" t="s">
        <v>25</v>
      </c>
      <c r="G275" s="3" t="s">
        <v>25</v>
      </c>
      <c r="H275" s="3" t="s">
        <v>25</v>
      </c>
      <c r="I275" s="6">
        <v>44835</v>
      </c>
      <c r="J275" s="4">
        <v>0</v>
      </c>
      <c r="K275" s="4">
        <v>0</v>
      </c>
      <c r="L275" s="4">
        <v>-2.8319999999999999</v>
      </c>
      <c r="M275" s="4">
        <v>-2.8319999999999999</v>
      </c>
      <c r="N275" s="4">
        <v>-2.8319999999999999</v>
      </c>
      <c r="O275" s="4">
        <v>-2.8319999999999999</v>
      </c>
      <c r="P275" s="4">
        <v>-5</v>
      </c>
      <c r="Q275" s="3" t="s">
        <v>26</v>
      </c>
      <c r="R275" s="3">
        <v>0</v>
      </c>
      <c r="S275" s="3">
        <v>0</v>
      </c>
      <c r="T275" s="3">
        <v>12</v>
      </c>
      <c r="U275" s="3">
        <v>52</v>
      </c>
      <c r="V275" s="4">
        <f>IF(ISERROR(VLOOKUP($S$275,'TAR FIN'!$A$1:$O$92,15,0)),0,VLOOKUP($S$275,'TAR FIN'!$A$1:$O$92,15,0))</f>
        <v>0</v>
      </c>
      <c r="W275" s="4">
        <f>IF(ISERROR(VLOOKUP($T$275,'TAR FIN'!$A$1:$O$92,15,0)),0,VLOOKUP($T$275,'TAR FIN'!$A$1:$O$92,15,0))</f>
        <v>269.33999999999997</v>
      </c>
      <c r="X275" s="4">
        <f>IF(ISERROR(VLOOKUP($U$275,'TAR FIN'!$A$1:$O$92,15,0)),0,VLOOKUP($U$275,'TAR FIN'!$A$1:$O$92,15,0))</f>
        <v>268.89</v>
      </c>
      <c r="Y275" s="4"/>
      <c r="Z275" s="4">
        <f ca="1">('TUSD BE'!$AM$24+'TUSD BF'!$AM$24+'TUSD CVA'!$AM$24-('TUSD BE'!$P$24+'TUSD BF'!$P$24+'TUSD CVA'!$P$24)-('TUSD BE'!$Q$24+'TUSD BF'!$Q$24+'TUSD CVA'!$Q$24)-('TUSD BE'!$R$24+'TUSD BF'!$R$24+'TUSD CVA'!$R$24))*(1-CUSTOS!$M$37)</f>
        <v>339.84706445146372</v>
      </c>
      <c r="AA275" s="4">
        <f>('TE BE'!$AB$15+'TE BF'!$AB$15+'TE CVA'!$AB$15)*(1-CUSTOS!$M$37)</f>
        <v>336.17550926835082</v>
      </c>
      <c r="AB275" s="4">
        <f t="shared" si="14"/>
        <v>0</v>
      </c>
      <c r="AC275" s="4">
        <f>(L275-M275)*(W275+X275)+($W$252+$X$252-$W$275-$X$275)*(L275)</f>
        <v>-1.6098056221380829E-13</v>
      </c>
      <c r="AD275" s="4">
        <f t="shared" si="15"/>
        <v>0</v>
      </c>
      <c r="AE275" s="4">
        <f ca="1">(L275-M275)*(Z275+AA275)+($Z$252+$AA$252-$Z$275-$AA$275)*(L275)</f>
        <v>0</v>
      </c>
      <c r="AF275" s="3" t="s">
        <v>754</v>
      </c>
    </row>
    <row r="276" spans="1:32" ht="11.25" customHeight="1" x14ac:dyDescent="0.25">
      <c r="A276" s="3" t="s">
        <v>21</v>
      </c>
      <c r="B276" s="3" t="s">
        <v>43</v>
      </c>
      <c r="C276" s="3" t="s">
        <v>33</v>
      </c>
      <c r="D276" s="3" t="s">
        <v>44</v>
      </c>
      <c r="E276" s="3" t="s">
        <v>25</v>
      </c>
      <c r="F276" s="3" t="s">
        <v>25</v>
      </c>
      <c r="G276" s="3" t="s">
        <v>25</v>
      </c>
      <c r="H276" s="3" t="s">
        <v>35</v>
      </c>
      <c r="I276" s="6">
        <v>44501</v>
      </c>
      <c r="J276" s="4">
        <v>0</v>
      </c>
      <c r="K276" s="4">
        <v>0</v>
      </c>
      <c r="L276" s="4">
        <v>0.129</v>
      </c>
      <c r="M276" s="4">
        <v>0.129</v>
      </c>
      <c r="N276" s="4">
        <v>0.129</v>
      </c>
      <c r="O276" s="4">
        <v>0.129</v>
      </c>
      <c r="P276" s="4">
        <v>0</v>
      </c>
      <c r="Q276" s="3" t="s">
        <v>26</v>
      </c>
      <c r="R276" s="3">
        <v>0</v>
      </c>
      <c r="S276" s="3">
        <v>0</v>
      </c>
      <c r="T276" s="3">
        <v>70</v>
      </c>
      <c r="U276" s="3">
        <v>69</v>
      </c>
      <c r="V276" s="4">
        <f>IF(ISERROR(VLOOKUP($S$276,'TAR FIN'!$A$1:$O$92,15,0)),0,VLOOKUP($S$276,'TAR FIN'!$A$1:$O$92,15,0))</f>
        <v>0</v>
      </c>
      <c r="W276" s="4">
        <f>IF(ISERROR(VLOOKUP($T$276,'TAR FIN'!$A$1:$O$92,15,0)),0,VLOOKUP($T$276,'TAR FIN'!$A$1:$O$92,15,0))</f>
        <v>212.32</v>
      </c>
      <c r="X276" s="4">
        <f>IF(ISERROR(VLOOKUP($U$276,'TAR FIN'!$A$1:$O$92,15,0)),0,VLOOKUP($U$276,'TAR FIN'!$A$1:$O$92,15,0))</f>
        <v>223.44</v>
      </c>
      <c r="Y276" s="4"/>
      <c r="Z276" s="4">
        <f ca="1">('TUSD BE'!$AM$32+'TUSD BF'!$AM$32+'TUSD CVA'!$AM$32)*(1-CUSTOS!$M$38)</f>
        <v>289.86989370710444</v>
      </c>
      <c r="AA276" s="4">
        <f>('TE BE'!$AB$23+'TE BF'!$AB$23+'TE CVA'!$AB$23)*(1-CUSTOS!$M$38)</f>
        <v>298.34420421092244</v>
      </c>
      <c r="AB276" s="4">
        <f t="shared" si="14"/>
        <v>0</v>
      </c>
      <c r="AC276" s="4">
        <f>(L276*W276+M276*X276)/(1-CUSTOS!$M$38)*CUSTOS!$M$38</f>
        <v>3.5880663829787234</v>
      </c>
      <c r="AD276" s="4">
        <f t="shared" si="15"/>
        <v>0</v>
      </c>
      <c r="AE276" s="4">
        <f ca="1">(L276*Z276+N276*AA276)/(1-CUSTOS!$M$38)*CUSTOS!$M$38</f>
        <v>4.8433799126441794</v>
      </c>
      <c r="AF276" s="3" t="s">
        <v>752</v>
      </c>
    </row>
    <row r="277" spans="1:32" ht="11.25" customHeight="1" x14ac:dyDescent="0.25">
      <c r="A277" s="3" t="s">
        <v>21</v>
      </c>
      <c r="B277" s="3" t="s">
        <v>43</v>
      </c>
      <c r="C277" s="3" t="s">
        <v>33</v>
      </c>
      <c r="D277" s="3" t="s">
        <v>44</v>
      </c>
      <c r="E277" s="3" t="s">
        <v>25</v>
      </c>
      <c r="F277" s="3" t="s">
        <v>25</v>
      </c>
      <c r="G277" s="3" t="s">
        <v>25</v>
      </c>
      <c r="H277" s="3" t="s">
        <v>35</v>
      </c>
      <c r="I277" s="6">
        <v>44531</v>
      </c>
      <c r="J277" s="4">
        <v>0</v>
      </c>
      <c r="K277" s="4">
        <v>0</v>
      </c>
      <c r="L277" s="4">
        <v>0.115</v>
      </c>
      <c r="M277" s="4">
        <v>0.115</v>
      </c>
      <c r="N277" s="4">
        <v>0.115</v>
      </c>
      <c r="O277" s="4">
        <v>0.115</v>
      </c>
      <c r="P277" s="4">
        <v>0</v>
      </c>
      <c r="Q277" s="3" t="s">
        <v>26</v>
      </c>
      <c r="R277" s="3">
        <v>0</v>
      </c>
      <c r="S277" s="3">
        <v>0</v>
      </c>
      <c r="T277" s="3">
        <v>70</v>
      </c>
      <c r="U277" s="3">
        <v>69</v>
      </c>
      <c r="V277" s="4">
        <f>IF(ISERROR(VLOOKUP($S$277,'TAR FIN'!$A$1:$O$92,15,0)),0,VLOOKUP($S$277,'TAR FIN'!$A$1:$O$92,15,0))</f>
        <v>0</v>
      </c>
      <c r="W277" s="4">
        <f>IF(ISERROR(VLOOKUP($T$277,'TAR FIN'!$A$1:$O$92,15,0)),0,VLOOKUP($T$277,'TAR FIN'!$A$1:$O$92,15,0))</f>
        <v>212.32</v>
      </c>
      <c r="X277" s="4">
        <f>IF(ISERROR(VLOOKUP($U$277,'TAR FIN'!$A$1:$O$92,15,0)),0,VLOOKUP($U$277,'TAR FIN'!$A$1:$O$92,15,0))</f>
        <v>223.44</v>
      </c>
      <c r="Y277" s="4"/>
      <c r="Z277" s="4">
        <f ca="1">('TUSD BE'!$AM$32+'TUSD BF'!$AM$32+'TUSD CVA'!$AM$32)*(1-CUSTOS!$M$38)</f>
        <v>289.86989370710444</v>
      </c>
      <c r="AA277" s="4">
        <f>('TE BE'!$AB$23+'TE BF'!$AB$23+'TE CVA'!$AB$23)*(1-CUSTOS!$M$38)</f>
        <v>298.34420421092244</v>
      </c>
      <c r="AB277" s="4">
        <f t="shared" si="14"/>
        <v>0</v>
      </c>
      <c r="AC277" s="4">
        <f>(L277*W277+M277*X277)/(1-CUSTOS!$M$38)*CUSTOS!$M$38</f>
        <v>3.1986638297872343</v>
      </c>
      <c r="AD277" s="4">
        <f t="shared" si="15"/>
        <v>0</v>
      </c>
      <c r="AE277" s="4">
        <f ca="1">(L277*Z277+N277*AA277)/(1-CUSTOS!$M$38)*CUSTOS!$M$38</f>
        <v>4.3177417825897715</v>
      </c>
      <c r="AF277" s="3" t="s">
        <v>752</v>
      </c>
    </row>
    <row r="278" spans="1:32" ht="11.25" customHeight="1" x14ac:dyDescent="0.25">
      <c r="A278" s="3" t="s">
        <v>21</v>
      </c>
      <c r="B278" s="3" t="s">
        <v>43</v>
      </c>
      <c r="C278" s="3" t="s">
        <v>33</v>
      </c>
      <c r="D278" s="3" t="s">
        <v>44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44562</v>
      </c>
      <c r="J278" s="4">
        <v>0</v>
      </c>
      <c r="K278" s="4">
        <v>0</v>
      </c>
      <c r="L278" s="4">
        <v>0.17699999999999999</v>
      </c>
      <c r="M278" s="4">
        <v>0.17699999999999999</v>
      </c>
      <c r="N278" s="4">
        <v>0.17699999999999999</v>
      </c>
      <c r="O278" s="4">
        <v>0.17699999999999999</v>
      </c>
      <c r="P278" s="4">
        <v>0</v>
      </c>
      <c r="Q278" s="3" t="s">
        <v>26</v>
      </c>
      <c r="R278" s="3">
        <v>0</v>
      </c>
      <c r="S278" s="3">
        <v>0</v>
      </c>
      <c r="T278" s="3">
        <v>70</v>
      </c>
      <c r="U278" s="3">
        <v>69</v>
      </c>
      <c r="V278" s="4">
        <f>IF(ISERROR(VLOOKUP($S$278,'TAR FIN'!$A$1:$O$92,15,0)),0,VLOOKUP($S$278,'TAR FIN'!$A$1:$O$92,15,0))</f>
        <v>0</v>
      </c>
      <c r="W278" s="4">
        <f>IF(ISERROR(VLOOKUP($T$278,'TAR FIN'!$A$1:$O$92,15,0)),0,VLOOKUP($T$278,'TAR FIN'!$A$1:$O$92,15,0))</f>
        <v>212.32</v>
      </c>
      <c r="X278" s="4">
        <f>IF(ISERROR(VLOOKUP($U$278,'TAR FIN'!$A$1:$O$92,15,0)),0,VLOOKUP($U$278,'TAR FIN'!$A$1:$O$92,15,0))</f>
        <v>223.44</v>
      </c>
      <c r="Y278" s="4"/>
      <c r="Z278" s="4">
        <f ca="1">('TUSD BE'!$AM$32+'TUSD BF'!$AM$32+'TUSD CVA'!$AM$32)*(1-CUSTOS!$M$38)</f>
        <v>289.86989370710444</v>
      </c>
      <c r="AA278" s="4">
        <f>('TE BE'!$AB$23+'TE BF'!$AB$23+'TE CVA'!$AB$23)*(1-CUSTOS!$M$38)</f>
        <v>298.34420421092244</v>
      </c>
      <c r="AB278" s="4">
        <f t="shared" si="14"/>
        <v>0</v>
      </c>
      <c r="AC278" s="4">
        <f>(L278*W278+M278*X278)/(1-CUSTOS!$M$38)*CUSTOS!$M$38</f>
        <v>4.9231608510638285</v>
      </c>
      <c r="AD278" s="4">
        <f t="shared" si="15"/>
        <v>0</v>
      </c>
      <c r="AE278" s="4">
        <f ca="1">(L278*Z278+N278*AA278)/(1-CUSTOS!$M$38)*CUSTOS!$M$38</f>
        <v>6.6455677871164314</v>
      </c>
      <c r="AF278" s="3" t="s">
        <v>752</v>
      </c>
    </row>
    <row r="279" spans="1:32" ht="11.25" customHeight="1" x14ac:dyDescent="0.25">
      <c r="A279" s="3" t="s">
        <v>21</v>
      </c>
      <c r="B279" s="3" t="s">
        <v>43</v>
      </c>
      <c r="C279" s="3" t="s">
        <v>33</v>
      </c>
      <c r="D279" s="3" t="s">
        <v>44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44593</v>
      </c>
      <c r="J279" s="4">
        <v>0</v>
      </c>
      <c r="K279" s="4">
        <v>0</v>
      </c>
      <c r="L279" s="4">
        <v>0.13400000000000001</v>
      </c>
      <c r="M279" s="4">
        <v>0.13400000000000001</v>
      </c>
      <c r="N279" s="4">
        <v>0.13400000000000001</v>
      </c>
      <c r="O279" s="4">
        <v>0.13400000000000001</v>
      </c>
      <c r="P279" s="4">
        <v>0</v>
      </c>
      <c r="Q279" s="3" t="s">
        <v>26</v>
      </c>
      <c r="R279" s="3">
        <v>0</v>
      </c>
      <c r="S279" s="3">
        <v>0</v>
      </c>
      <c r="T279" s="3">
        <v>70</v>
      </c>
      <c r="U279" s="3">
        <v>69</v>
      </c>
      <c r="V279" s="4">
        <f>IF(ISERROR(VLOOKUP($S$279,'TAR FIN'!$A$1:$O$92,15,0)),0,VLOOKUP($S$279,'TAR FIN'!$A$1:$O$92,15,0))</f>
        <v>0</v>
      </c>
      <c r="W279" s="4">
        <f>IF(ISERROR(VLOOKUP($T$279,'TAR FIN'!$A$1:$O$92,15,0)),0,VLOOKUP($T$279,'TAR FIN'!$A$1:$O$92,15,0))</f>
        <v>212.32</v>
      </c>
      <c r="X279" s="4">
        <f>IF(ISERROR(VLOOKUP($U$279,'TAR FIN'!$A$1:$O$92,15,0)),0,VLOOKUP($U$279,'TAR FIN'!$A$1:$O$92,15,0))</f>
        <v>223.44</v>
      </c>
      <c r="Y279" s="4"/>
      <c r="Z279" s="4">
        <f ca="1">('TUSD BE'!$AM$32+'TUSD BF'!$AM$32+'TUSD CVA'!$AM$32)*(1-CUSTOS!$M$38)</f>
        <v>289.86989370710444</v>
      </c>
      <c r="AA279" s="4">
        <f>('TE BE'!$AB$23+'TE BF'!$AB$23+'TE CVA'!$AB$23)*(1-CUSTOS!$M$38)</f>
        <v>298.34420421092244</v>
      </c>
      <c r="AB279" s="4">
        <f t="shared" si="14"/>
        <v>0</v>
      </c>
      <c r="AC279" s="4">
        <f>(L279*W279+M279*X279)/(1-CUSTOS!$M$38)*CUSTOS!$M$38</f>
        <v>3.7271387234042557</v>
      </c>
      <c r="AD279" s="4">
        <f t="shared" si="15"/>
        <v>0</v>
      </c>
      <c r="AE279" s="4">
        <f ca="1">(L279*Z279+N279*AA279)/(1-CUSTOS!$M$38)*CUSTOS!$M$38</f>
        <v>5.0311078162350391</v>
      </c>
      <c r="AF279" s="3" t="s">
        <v>752</v>
      </c>
    </row>
    <row r="280" spans="1:32" ht="11.25" customHeight="1" x14ac:dyDescent="0.25">
      <c r="A280" s="3" t="s">
        <v>21</v>
      </c>
      <c r="B280" s="3" t="s">
        <v>43</v>
      </c>
      <c r="C280" s="3" t="s">
        <v>33</v>
      </c>
      <c r="D280" s="3" t="s">
        <v>44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44621</v>
      </c>
      <c r="J280" s="4">
        <v>0</v>
      </c>
      <c r="K280" s="4">
        <v>0</v>
      </c>
      <c r="L280" s="4">
        <v>0.11700000000000001</v>
      </c>
      <c r="M280" s="4">
        <v>0.11700000000000001</v>
      </c>
      <c r="N280" s="4">
        <v>0.11700000000000001</v>
      </c>
      <c r="O280" s="4">
        <v>0.11700000000000001</v>
      </c>
      <c r="P280" s="4">
        <v>0</v>
      </c>
      <c r="Q280" s="3" t="s">
        <v>26</v>
      </c>
      <c r="R280" s="3">
        <v>0</v>
      </c>
      <c r="S280" s="3">
        <v>0</v>
      </c>
      <c r="T280" s="3">
        <v>70</v>
      </c>
      <c r="U280" s="3">
        <v>69</v>
      </c>
      <c r="V280" s="4">
        <f>IF(ISERROR(VLOOKUP($S$280,'TAR FIN'!$A$1:$O$92,15,0)),0,VLOOKUP($S$280,'TAR FIN'!$A$1:$O$92,15,0))</f>
        <v>0</v>
      </c>
      <c r="W280" s="4">
        <f>IF(ISERROR(VLOOKUP($T$280,'TAR FIN'!$A$1:$O$92,15,0)),0,VLOOKUP($T$280,'TAR FIN'!$A$1:$O$92,15,0))</f>
        <v>212.32</v>
      </c>
      <c r="X280" s="4">
        <f>IF(ISERROR(VLOOKUP($U$280,'TAR FIN'!$A$1:$O$92,15,0)),0,VLOOKUP($U$280,'TAR FIN'!$A$1:$O$92,15,0))</f>
        <v>223.44</v>
      </c>
      <c r="Y280" s="4"/>
      <c r="Z280" s="4">
        <f ca="1">('TUSD BE'!$AM$32+'TUSD BF'!$AM$32+'TUSD CVA'!$AM$32)*(1-CUSTOS!$M$38)</f>
        <v>289.86989370710444</v>
      </c>
      <c r="AA280" s="4">
        <f>('TE BE'!$AB$23+'TE BF'!$AB$23+'TE CVA'!$AB$23)*(1-CUSTOS!$M$38)</f>
        <v>298.34420421092244</v>
      </c>
      <c r="AB280" s="4">
        <f t="shared" si="14"/>
        <v>0</v>
      </c>
      <c r="AC280" s="4">
        <f>(L280*W280+M280*X280)/(1-CUSTOS!$M$38)*CUSTOS!$M$38</f>
        <v>3.2542927659574472</v>
      </c>
      <c r="AD280" s="4">
        <f t="shared" si="15"/>
        <v>0</v>
      </c>
      <c r="AE280" s="4">
        <f ca="1">(L280*Z280+N280*AA280)/(1-CUSTOS!$M$38)*CUSTOS!$M$38</f>
        <v>4.3928329440261171</v>
      </c>
      <c r="AF280" s="3" t="s">
        <v>752</v>
      </c>
    </row>
    <row r="281" spans="1:32" ht="11.25" customHeight="1" x14ac:dyDescent="0.25">
      <c r="A281" s="3" t="s">
        <v>21</v>
      </c>
      <c r="B281" s="3" t="s">
        <v>43</v>
      </c>
      <c r="C281" s="3" t="s">
        <v>33</v>
      </c>
      <c r="D281" s="3" t="s">
        <v>44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44652</v>
      </c>
      <c r="J281" s="4">
        <v>0</v>
      </c>
      <c r="K281" s="4">
        <v>0</v>
      </c>
      <c r="L281" s="4">
        <v>0.11700000000000001</v>
      </c>
      <c r="M281" s="4">
        <v>0.11700000000000001</v>
      </c>
      <c r="N281" s="4">
        <v>0.11700000000000001</v>
      </c>
      <c r="O281" s="4">
        <v>0.11700000000000001</v>
      </c>
      <c r="P281" s="4">
        <v>0</v>
      </c>
      <c r="Q281" s="3" t="s">
        <v>26</v>
      </c>
      <c r="R281" s="3">
        <v>0</v>
      </c>
      <c r="S281" s="3">
        <v>0</v>
      </c>
      <c r="T281" s="3">
        <v>70</v>
      </c>
      <c r="U281" s="3">
        <v>69</v>
      </c>
      <c r="V281" s="4">
        <f>IF(ISERROR(VLOOKUP($S$281,'TAR FIN'!$A$1:$O$92,15,0)),0,VLOOKUP($S$281,'TAR FIN'!$A$1:$O$92,15,0))</f>
        <v>0</v>
      </c>
      <c r="W281" s="4">
        <f>IF(ISERROR(VLOOKUP($T$281,'TAR FIN'!$A$1:$O$92,15,0)),0,VLOOKUP($T$281,'TAR FIN'!$A$1:$O$92,15,0))</f>
        <v>212.32</v>
      </c>
      <c r="X281" s="4">
        <f>IF(ISERROR(VLOOKUP($U$281,'TAR FIN'!$A$1:$O$92,15,0)),0,VLOOKUP($U$281,'TAR FIN'!$A$1:$O$92,15,0))</f>
        <v>223.44</v>
      </c>
      <c r="Y281" s="4"/>
      <c r="Z281" s="4">
        <f ca="1">('TUSD BE'!$AM$32+'TUSD BF'!$AM$32+'TUSD CVA'!$AM$32)*(1-CUSTOS!$M$38)</f>
        <v>289.86989370710444</v>
      </c>
      <c r="AA281" s="4">
        <f>('TE BE'!$AB$23+'TE BF'!$AB$23+'TE CVA'!$AB$23)*(1-CUSTOS!$M$38)</f>
        <v>298.34420421092244</v>
      </c>
      <c r="AB281" s="4">
        <f t="shared" si="14"/>
        <v>0</v>
      </c>
      <c r="AC281" s="4">
        <f>(L281*W281+M281*X281)/(1-CUSTOS!$M$38)*CUSTOS!$M$38</f>
        <v>3.2542927659574472</v>
      </c>
      <c r="AD281" s="4">
        <f t="shared" si="15"/>
        <v>0</v>
      </c>
      <c r="AE281" s="4">
        <f ca="1">(L281*Z281+N281*AA281)/(1-CUSTOS!$M$38)*CUSTOS!$M$38</f>
        <v>4.3928329440261171</v>
      </c>
      <c r="AF281" s="3" t="s">
        <v>752</v>
      </c>
    </row>
    <row r="282" spans="1:32" ht="11.25" customHeight="1" x14ac:dyDescent="0.25">
      <c r="A282" s="3" t="s">
        <v>21</v>
      </c>
      <c r="B282" s="3" t="s">
        <v>43</v>
      </c>
      <c r="C282" s="3" t="s">
        <v>33</v>
      </c>
      <c r="D282" s="3" t="s">
        <v>44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44682</v>
      </c>
      <c r="J282" s="4">
        <v>0</v>
      </c>
      <c r="K282" s="4">
        <v>0</v>
      </c>
      <c r="L282" s="4">
        <v>0.127</v>
      </c>
      <c r="M282" s="4">
        <v>0.127</v>
      </c>
      <c r="N282" s="4">
        <v>0.127</v>
      </c>
      <c r="O282" s="4">
        <v>0.127</v>
      </c>
      <c r="P282" s="4">
        <v>0</v>
      </c>
      <c r="Q282" s="3" t="s">
        <v>26</v>
      </c>
      <c r="R282" s="3">
        <v>0</v>
      </c>
      <c r="S282" s="3">
        <v>0</v>
      </c>
      <c r="T282" s="3">
        <v>70</v>
      </c>
      <c r="U282" s="3">
        <v>69</v>
      </c>
      <c r="V282" s="4">
        <f>IF(ISERROR(VLOOKUP($S$282,'TAR FIN'!$A$1:$O$92,15,0)),0,VLOOKUP($S$282,'TAR FIN'!$A$1:$O$92,15,0))</f>
        <v>0</v>
      </c>
      <c r="W282" s="4">
        <f>IF(ISERROR(VLOOKUP($T$282,'TAR FIN'!$A$1:$O$92,15,0)),0,VLOOKUP($T$282,'TAR FIN'!$A$1:$O$92,15,0))</f>
        <v>212.32</v>
      </c>
      <c r="X282" s="4">
        <f>IF(ISERROR(VLOOKUP($U$282,'TAR FIN'!$A$1:$O$92,15,0)),0,VLOOKUP($U$282,'TAR FIN'!$A$1:$O$92,15,0))</f>
        <v>223.44</v>
      </c>
      <c r="Y282" s="4"/>
      <c r="Z282" s="4">
        <f ca="1">('TUSD BE'!$AM$32+'TUSD BF'!$AM$32+'TUSD CVA'!$AM$32)*(1-CUSTOS!$M$38)</f>
        <v>289.86989370710444</v>
      </c>
      <c r="AA282" s="4">
        <f>('TE BE'!$AB$23+'TE BF'!$AB$23+'TE CVA'!$AB$23)*(1-CUSTOS!$M$38)</f>
        <v>298.34420421092244</v>
      </c>
      <c r="AB282" s="4">
        <f t="shared" si="14"/>
        <v>0</v>
      </c>
      <c r="AC282" s="4">
        <f>(L282*W282+M282*X282)/(1-CUSTOS!$M$38)*CUSTOS!$M$38</f>
        <v>3.5324374468085109</v>
      </c>
      <c r="AD282" s="4">
        <f t="shared" si="15"/>
        <v>0</v>
      </c>
      <c r="AE282" s="4">
        <f ca="1">(L282*Z282+N282*AA282)/(1-CUSTOS!$M$38)*CUSTOS!$M$38</f>
        <v>4.7682887512078347</v>
      </c>
      <c r="AF282" s="3" t="s">
        <v>752</v>
      </c>
    </row>
    <row r="283" spans="1:32" ht="11.25" customHeight="1" x14ac:dyDescent="0.25">
      <c r="A283" s="3" t="s">
        <v>21</v>
      </c>
      <c r="B283" s="3" t="s">
        <v>43</v>
      </c>
      <c r="C283" s="3" t="s">
        <v>33</v>
      </c>
      <c r="D283" s="3" t="s">
        <v>44</v>
      </c>
      <c r="E283" s="3" t="s">
        <v>25</v>
      </c>
      <c r="F283" s="3" t="s">
        <v>25</v>
      </c>
      <c r="G283" s="3" t="s">
        <v>25</v>
      </c>
      <c r="H283" s="3" t="s">
        <v>36</v>
      </c>
      <c r="I283" s="6">
        <v>44501</v>
      </c>
      <c r="J283" s="4">
        <v>0</v>
      </c>
      <c r="K283" s="4">
        <v>0</v>
      </c>
      <c r="L283" s="4">
        <v>0.01</v>
      </c>
      <c r="M283" s="4">
        <v>0.01</v>
      </c>
      <c r="N283" s="4">
        <v>0.01</v>
      </c>
      <c r="O283" s="4">
        <v>0.01</v>
      </c>
      <c r="P283" s="4">
        <v>0</v>
      </c>
      <c r="Q283" s="3" t="s">
        <v>26</v>
      </c>
      <c r="R283" s="3">
        <v>0</v>
      </c>
      <c r="S283" s="3">
        <v>0</v>
      </c>
      <c r="T283" s="3">
        <v>22</v>
      </c>
      <c r="U283" s="3">
        <v>47</v>
      </c>
      <c r="V283" s="4">
        <f>IF(ISERROR(VLOOKUP($S$283,'TAR FIN'!$A$1:$O$92,15,0)),0,VLOOKUP($S$283,'TAR FIN'!$A$1:$O$92,15,0))</f>
        <v>0</v>
      </c>
      <c r="W283" s="4">
        <f>IF(ISERROR(VLOOKUP($T$283,'TAR FIN'!$A$1:$O$92,15,0)),0,VLOOKUP($T$283,'TAR FIN'!$A$1:$O$92,15,0))</f>
        <v>431.37</v>
      </c>
      <c r="X283" s="4">
        <f>IF(ISERROR(VLOOKUP($U$283,'TAR FIN'!$A$1:$O$92,15,0)),0,VLOOKUP($U$283,'TAR FIN'!$A$1:$O$92,15,0))</f>
        <v>223.44</v>
      </c>
      <c r="Y283" s="4"/>
      <c r="Z283" s="4">
        <f ca="1">('TUSD BE'!$AM$31+'TUSD BF'!$AM$31+'TUSD CVA'!$AM$31)*(1-CUSTOS!$M$38)</f>
        <v>592.61092339289291</v>
      </c>
      <c r="AA283" s="4">
        <f>('TE BE'!$AB$22+'TE BF'!$AB$22+'TE CVA'!$AB$22)*(1-CUSTOS!$M$38)</f>
        <v>298.34420421092244</v>
      </c>
      <c r="AB283" s="4">
        <f t="shared" si="14"/>
        <v>0</v>
      </c>
      <c r="AC283" s="4">
        <f>(L283*W283+M283*X283)/(1-CUSTOS!$M$38)*CUSTOS!$M$38</f>
        <v>0.41796382978723406</v>
      </c>
      <c r="AD283" s="4">
        <f t="shared" si="15"/>
        <v>0</v>
      </c>
      <c r="AE283" s="4">
        <f ca="1">(L283*Z283+N283*AA283)/(1-CUSTOS!$M$38)*CUSTOS!$M$38</f>
        <v>0.5686947623003078</v>
      </c>
      <c r="AF283" s="3" t="s">
        <v>752</v>
      </c>
    </row>
    <row r="284" spans="1:32" ht="11.25" customHeight="1" x14ac:dyDescent="0.25">
      <c r="A284" s="3" t="s">
        <v>21</v>
      </c>
      <c r="B284" s="3" t="s">
        <v>43</v>
      </c>
      <c r="C284" s="3" t="s">
        <v>33</v>
      </c>
      <c r="D284" s="3" t="s">
        <v>44</v>
      </c>
      <c r="E284" s="3" t="s">
        <v>25</v>
      </c>
      <c r="F284" s="3" t="s">
        <v>25</v>
      </c>
      <c r="G284" s="3" t="s">
        <v>25</v>
      </c>
      <c r="H284" s="3" t="s">
        <v>36</v>
      </c>
      <c r="I284" s="6">
        <v>44531</v>
      </c>
      <c r="J284" s="4">
        <v>0</v>
      </c>
      <c r="K284" s="4">
        <v>0</v>
      </c>
      <c r="L284" s="4">
        <v>8.9999999999999993E-3</v>
      </c>
      <c r="M284" s="4">
        <v>8.9999999999999993E-3</v>
      </c>
      <c r="N284" s="4">
        <v>8.9999999999999993E-3</v>
      </c>
      <c r="O284" s="4">
        <v>8.9999999999999993E-3</v>
      </c>
      <c r="P284" s="4">
        <v>0</v>
      </c>
      <c r="Q284" s="3" t="s">
        <v>26</v>
      </c>
      <c r="R284" s="3">
        <v>0</v>
      </c>
      <c r="S284" s="3">
        <v>0</v>
      </c>
      <c r="T284" s="3">
        <v>22</v>
      </c>
      <c r="U284" s="3">
        <v>47</v>
      </c>
      <c r="V284" s="4">
        <f>IF(ISERROR(VLOOKUP($S$284,'TAR FIN'!$A$1:$O$92,15,0)),0,VLOOKUP($S$284,'TAR FIN'!$A$1:$O$92,15,0))</f>
        <v>0</v>
      </c>
      <c r="W284" s="4">
        <f>IF(ISERROR(VLOOKUP($T$284,'TAR FIN'!$A$1:$O$92,15,0)),0,VLOOKUP($T$284,'TAR FIN'!$A$1:$O$92,15,0))</f>
        <v>431.37</v>
      </c>
      <c r="X284" s="4">
        <f>IF(ISERROR(VLOOKUP($U$284,'TAR FIN'!$A$1:$O$92,15,0)),0,VLOOKUP($U$284,'TAR FIN'!$A$1:$O$92,15,0))</f>
        <v>223.44</v>
      </c>
      <c r="Y284" s="4"/>
      <c r="Z284" s="4">
        <f ca="1">('TUSD BE'!$AM$31+'TUSD BF'!$AM$31+'TUSD CVA'!$AM$31)*(1-CUSTOS!$M$38)</f>
        <v>592.61092339289291</v>
      </c>
      <c r="AA284" s="4">
        <f>('TE BE'!$AB$22+'TE BF'!$AB$22+'TE CVA'!$AB$22)*(1-CUSTOS!$M$38)</f>
        <v>298.34420421092244</v>
      </c>
      <c r="AB284" s="4">
        <f t="shared" si="14"/>
        <v>0</v>
      </c>
      <c r="AC284" s="4">
        <f>(L284*W284+M284*X284)/(1-CUSTOS!$M$38)*CUSTOS!$M$38</f>
        <v>0.37616744680851061</v>
      </c>
      <c r="AD284" s="4">
        <f t="shared" si="15"/>
        <v>0</v>
      </c>
      <c r="AE284" s="4">
        <f ca="1">(L284*Z284+N284*AA284)/(1-CUSTOS!$M$38)*CUSTOS!$M$38</f>
        <v>0.51182528607027677</v>
      </c>
      <c r="AF284" s="3" t="s">
        <v>752</v>
      </c>
    </row>
    <row r="285" spans="1:32" ht="11.25" customHeight="1" x14ac:dyDescent="0.25">
      <c r="A285" s="3" t="s">
        <v>21</v>
      </c>
      <c r="B285" s="3" t="s">
        <v>43</v>
      </c>
      <c r="C285" s="3" t="s">
        <v>33</v>
      </c>
      <c r="D285" s="3" t="s">
        <v>44</v>
      </c>
      <c r="E285" s="3" t="s">
        <v>25</v>
      </c>
      <c r="F285" s="3" t="s">
        <v>25</v>
      </c>
      <c r="G285" s="3" t="s">
        <v>25</v>
      </c>
      <c r="H285" s="3" t="s">
        <v>36</v>
      </c>
      <c r="I285" s="6">
        <v>44562</v>
      </c>
      <c r="J285" s="4">
        <v>0</v>
      </c>
      <c r="K285" s="4">
        <v>0</v>
      </c>
      <c r="L285" s="4">
        <v>1.2999999999999999E-2</v>
      </c>
      <c r="M285" s="4">
        <v>1.2999999999999999E-2</v>
      </c>
      <c r="N285" s="4">
        <v>1.2999999999999999E-2</v>
      </c>
      <c r="O285" s="4">
        <v>1.2999999999999999E-2</v>
      </c>
      <c r="P285" s="4">
        <v>0</v>
      </c>
      <c r="Q285" s="3" t="s">
        <v>26</v>
      </c>
      <c r="R285" s="3">
        <v>0</v>
      </c>
      <c r="S285" s="3">
        <v>0</v>
      </c>
      <c r="T285" s="3">
        <v>22</v>
      </c>
      <c r="U285" s="3">
        <v>47</v>
      </c>
      <c r="V285" s="4">
        <f>IF(ISERROR(VLOOKUP($S$285,'TAR FIN'!$A$1:$O$92,15,0)),0,VLOOKUP($S$285,'TAR FIN'!$A$1:$O$92,15,0))</f>
        <v>0</v>
      </c>
      <c r="W285" s="4">
        <f>IF(ISERROR(VLOOKUP($T$285,'TAR FIN'!$A$1:$O$92,15,0)),0,VLOOKUP($T$285,'TAR FIN'!$A$1:$O$92,15,0))</f>
        <v>431.37</v>
      </c>
      <c r="X285" s="4">
        <f>IF(ISERROR(VLOOKUP($U$285,'TAR FIN'!$A$1:$O$92,15,0)),0,VLOOKUP($U$285,'TAR FIN'!$A$1:$O$92,15,0))</f>
        <v>223.44</v>
      </c>
      <c r="Y285" s="4"/>
      <c r="Z285" s="4">
        <f ca="1">('TUSD BE'!$AM$31+'TUSD BF'!$AM$31+'TUSD CVA'!$AM$31)*(1-CUSTOS!$M$38)</f>
        <v>592.61092339289291</v>
      </c>
      <c r="AA285" s="4">
        <f>('TE BE'!$AB$22+'TE BF'!$AB$22+'TE CVA'!$AB$22)*(1-CUSTOS!$M$38)</f>
        <v>298.34420421092244</v>
      </c>
      <c r="AB285" s="4">
        <f t="shared" si="14"/>
        <v>0</v>
      </c>
      <c r="AC285" s="4">
        <f>(L285*W285+M285*X285)/(1-CUSTOS!$M$38)*CUSTOS!$M$38</f>
        <v>0.54335297872340427</v>
      </c>
      <c r="AD285" s="4">
        <f t="shared" si="15"/>
        <v>0</v>
      </c>
      <c r="AE285" s="4">
        <f ca="1">(L285*Z285+N285*AA285)/(1-CUSTOS!$M$38)*CUSTOS!$M$38</f>
        <v>0.73930319099039987</v>
      </c>
      <c r="AF285" s="3" t="s">
        <v>752</v>
      </c>
    </row>
    <row r="286" spans="1:32" ht="11.25" customHeight="1" x14ac:dyDescent="0.25">
      <c r="A286" s="3" t="s">
        <v>21</v>
      </c>
      <c r="B286" s="3" t="s">
        <v>43</v>
      </c>
      <c r="C286" s="3" t="s">
        <v>33</v>
      </c>
      <c r="D286" s="3" t="s">
        <v>44</v>
      </c>
      <c r="E286" s="3" t="s">
        <v>25</v>
      </c>
      <c r="F286" s="3" t="s">
        <v>25</v>
      </c>
      <c r="G286" s="3" t="s">
        <v>25</v>
      </c>
      <c r="H286" s="3" t="s">
        <v>36</v>
      </c>
      <c r="I286" s="6">
        <v>44593</v>
      </c>
      <c r="J286" s="4">
        <v>0</v>
      </c>
      <c r="K286" s="4">
        <v>0</v>
      </c>
      <c r="L286" s="4">
        <v>1.2E-2</v>
      </c>
      <c r="M286" s="4">
        <v>1.2E-2</v>
      </c>
      <c r="N286" s="4">
        <v>1.2E-2</v>
      </c>
      <c r="O286" s="4">
        <v>1.2E-2</v>
      </c>
      <c r="P286" s="4">
        <v>0</v>
      </c>
      <c r="Q286" s="3" t="s">
        <v>26</v>
      </c>
      <c r="R286" s="3">
        <v>0</v>
      </c>
      <c r="S286" s="3">
        <v>0</v>
      </c>
      <c r="T286" s="3">
        <v>22</v>
      </c>
      <c r="U286" s="3">
        <v>47</v>
      </c>
      <c r="V286" s="4">
        <f>IF(ISERROR(VLOOKUP($S$286,'TAR FIN'!$A$1:$O$92,15,0)),0,VLOOKUP($S$286,'TAR FIN'!$A$1:$O$92,15,0))</f>
        <v>0</v>
      </c>
      <c r="W286" s="4">
        <f>IF(ISERROR(VLOOKUP($T$286,'TAR FIN'!$A$1:$O$92,15,0)),0,VLOOKUP($T$286,'TAR FIN'!$A$1:$O$92,15,0))</f>
        <v>431.37</v>
      </c>
      <c r="X286" s="4">
        <f>IF(ISERROR(VLOOKUP($U$286,'TAR FIN'!$A$1:$O$92,15,0)),0,VLOOKUP($U$286,'TAR FIN'!$A$1:$O$92,15,0))</f>
        <v>223.44</v>
      </c>
      <c r="Y286" s="4"/>
      <c r="Z286" s="4">
        <f ca="1">('TUSD BE'!$AM$31+'TUSD BF'!$AM$31+'TUSD CVA'!$AM$31)*(1-CUSTOS!$M$38)</f>
        <v>592.61092339289291</v>
      </c>
      <c r="AA286" s="4">
        <f>('TE BE'!$AB$22+'TE BF'!$AB$22+'TE CVA'!$AB$22)*(1-CUSTOS!$M$38)</f>
        <v>298.34420421092244</v>
      </c>
      <c r="AB286" s="4">
        <f t="shared" si="14"/>
        <v>0</v>
      </c>
      <c r="AC286" s="4">
        <f>(L286*W286+M286*X286)/(1-CUSTOS!$M$38)*CUSTOS!$M$38</f>
        <v>0.50155659574468092</v>
      </c>
      <c r="AD286" s="4">
        <f t="shared" si="15"/>
        <v>0</v>
      </c>
      <c r="AE286" s="4">
        <f ca="1">(L286*Z286+N286*AA286)/(1-CUSTOS!$M$38)*CUSTOS!$M$38</f>
        <v>0.68243371476036918</v>
      </c>
      <c r="AF286" s="3" t="s">
        <v>752</v>
      </c>
    </row>
    <row r="287" spans="1:32" ht="11.25" customHeight="1" x14ac:dyDescent="0.25">
      <c r="A287" s="3" t="s">
        <v>21</v>
      </c>
      <c r="B287" s="3" t="s">
        <v>43</v>
      </c>
      <c r="C287" s="3" t="s">
        <v>33</v>
      </c>
      <c r="D287" s="3" t="s">
        <v>44</v>
      </c>
      <c r="E287" s="3" t="s">
        <v>25</v>
      </c>
      <c r="F287" s="3" t="s">
        <v>25</v>
      </c>
      <c r="G287" s="3" t="s">
        <v>25</v>
      </c>
      <c r="H287" s="3" t="s">
        <v>36</v>
      </c>
      <c r="I287" s="6">
        <v>44621</v>
      </c>
      <c r="J287" s="4">
        <v>0</v>
      </c>
      <c r="K287" s="4">
        <v>0</v>
      </c>
      <c r="L287" s="4">
        <v>0.01</v>
      </c>
      <c r="M287" s="4">
        <v>0.01</v>
      </c>
      <c r="N287" s="4">
        <v>0.01</v>
      </c>
      <c r="O287" s="4">
        <v>0.01</v>
      </c>
      <c r="P287" s="4">
        <v>0</v>
      </c>
      <c r="Q287" s="3" t="s">
        <v>26</v>
      </c>
      <c r="R287" s="3">
        <v>0</v>
      </c>
      <c r="S287" s="3">
        <v>0</v>
      </c>
      <c r="T287" s="3">
        <v>22</v>
      </c>
      <c r="U287" s="3">
        <v>47</v>
      </c>
      <c r="V287" s="4">
        <f>IF(ISERROR(VLOOKUP($S$287,'TAR FIN'!$A$1:$O$92,15,0)),0,VLOOKUP($S$287,'TAR FIN'!$A$1:$O$92,15,0))</f>
        <v>0</v>
      </c>
      <c r="W287" s="4">
        <f>IF(ISERROR(VLOOKUP($T$287,'TAR FIN'!$A$1:$O$92,15,0)),0,VLOOKUP($T$287,'TAR FIN'!$A$1:$O$92,15,0))</f>
        <v>431.37</v>
      </c>
      <c r="X287" s="4">
        <f>IF(ISERROR(VLOOKUP($U$287,'TAR FIN'!$A$1:$O$92,15,0)),0,VLOOKUP($U$287,'TAR FIN'!$A$1:$O$92,15,0))</f>
        <v>223.44</v>
      </c>
      <c r="Y287" s="4"/>
      <c r="Z287" s="4">
        <f ca="1">('TUSD BE'!$AM$31+'TUSD BF'!$AM$31+'TUSD CVA'!$AM$31)*(1-CUSTOS!$M$38)</f>
        <v>592.61092339289291</v>
      </c>
      <c r="AA287" s="4">
        <f>('TE BE'!$AB$22+'TE BF'!$AB$22+'TE CVA'!$AB$22)*(1-CUSTOS!$M$38)</f>
        <v>298.34420421092244</v>
      </c>
      <c r="AB287" s="4">
        <f t="shared" si="14"/>
        <v>0</v>
      </c>
      <c r="AC287" s="4">
        <f>(L287*W287+M287*X287)/(1-CUSTOS!$M$38)*CUSTOS!$M$38</f>
        <v>0.41796382978723406</v>
      </c>
      <c r="AD287" s="4">
        <f t="shared" si="15"/>
        <v>0</v>
      </c>
      <c r="AE287" s="4">
        <f ca="1">(L287*Z287+N287*AA287)/(1-CUSTOS!$M$38)*CUSTOS!$M$38</f>
        <v>0.5686947623003078</v>
      </c>
      <c r="AF287" s="3" t="s">
        <v>752</v>
      </c>
    </row>
    <row r="288" spans="1:32" ht="11.25" customHeight="1" x14ac:dyDescent="0.25">
      <c r="A288" s="3" t="s">
        <v>21</v>
      </c>
      <c r="B288" s="3" t="s">
        <v>43</v>
      </c>
      <c r="C288" s="3" t="s">
        <v>33</v>
      </c>
      <c r="D288" s="3" t="s">
        <v>44</v>
      </c>
      <c r="E288" s="3" t="s">
        <v>25</v>
      </c>
      <c r="F288" s="3" t="s">
        <v>25</v>
      </c>
      <c r="G288" s="3" t="s">
        <v>25</v>
      </c>
      <c r="H288" s="3" t="s">
        <v>36</v>
      </c>
      <c r="I288" s="6">
        <v>44652</v>
      </c>
      <c r="J288" s="4">
        <v>0</v>
      </c>
      <c r="K288" s="4">
        <v>0</v>
      </c>
      <c r="L288" s="4">
        <v>0.01</v>
      </c>
      <c r="M288" s="4">
        <v>0.01</v>
      </c>
      <c r="N288" s="4">
        <v>0.01</v>
      </c>
      <c r="O288" s="4">
        <v>0.01</v>
      </c>
      <c r="P288" s="4">
        <v>0</v>
      </c>
      <c r="Q288" s="3" t="s">
        <v>26</v>
      </c>
      <c r="R288" s="3">
        <v>0</v>
      </c>
      <c r="S288" s="3">
        <v>0</v>
      </c>
      <c r="T288" s="3">
        <v>22</v>
      </c>
      <c r="U288" s="3">
        <v>47</v>
      </c>
      <c r="V288" s="4">
        <f>IF(ISERROR(VLOOKUP($S$288,'TAR FIN'!$A$1:$O$92,15,0)),0,VLOOKUP($S$288,'TAR FIN'!$A$1:$O$92,15,0))</f>
        <v>0</v>
      </c>
      <c r="W288" s="4">
        <f>IF(ISERROR(VLOOKUP($T$288,'TAR FIN'!$A$1:$O$92,15,0)),0,VLOOKUP($T$288,'TAR FIN'!$A$1:$O$92,15,0))</f>
        <v>431.37</v>
      </c>
      <c r="X288" s="4">
        <f>IF(ISERROR(VLOOKUP($U$288,'TAR FIN'!$A$1:$O$92,15,0)),0,VLOOKUP($U$288,'TAR FIN'!$A$1:$O$92,15,0))</f>
        <v>223.44</v>
      </c>
      <c r="Y288" s="4"/>
      <c r="Z288" s="4">
        <f ca="1">('TUSD BE'!$AM$31+'TUSD BF'!$AM$31+'TUSD CVA'!$AM$31)*(1-CUSTOS!$M$38)</f>
        <v>592.61092339289291</v>
      </c>
      <c r="AA288" s="4">
        <f>('TE BE'!$AB$22+'TE BF'!$AB$22+'TE CVA'!$AB$22)*(1-CUSTOS!$M$38)</f>
        <v>298.34420421092244</v>
      </c>
      <c r="AB288" s="4">
        <f t="shared" si="14"/>
        <v>0</v>
      </c>
      <c r="AC288" s="4">
        <f>(L288*W288+M288*X288)/(1-CUSTOS!$M$38)*CUSTOS!$M$38</f>
        <v>0.41796382978723406</v>
      </c>
      <c r="AD288" s="4">
        <f t="shared" si="15"/>
        <v>0</v>
      </c>
      <c r="AE288" s="4">
        <f ca="1">(L288*Z288+N288*AA288)/(1-CUSTOS!$M$38)*CUSTOS!$M$38</f>
        <v>0.5686947623003078</v>
      </c>
      <c r="AF288" s="3" t="s">
        <v>752</v>
      </c>
    </row>
    <row r="289" spans="1:32" ht="11.25" customHeight="1" x14ac:dyDescent="0.25">
      <c r="A289" s="3" t="s">
        <v>21</v>
      </c>
      <c r="B289" s="3" t="s">
        <v>43</v>
      </c>
      <c r="C289" s="3" t="s">
        <v>33</v>
      </c>
      <c r="D289" s="3" t="s">
        <v>44</v>
      </c>
      <c r="E289" s="3" t="s">
        <v>25</v>
      </c>
      <c r="F289" s="3" t="s">
        <v>25</v>
      </c>
      <c r="G289" s="3" t="s">
        <v>25</v>
      </c>
      <c r="H289" s="3" t="s">
        <v>36</v>
      </c>
      <c r="I289" s="6">
        <v>44682</v>
      </c>
      <c r="J289" s="4">
        <v>0</v>
      </c>
      <c r="K289" s="4">
        <v>0</v>
      </c>
      <c r="L289" s="4">
        <v>1.0999999999999999E-2</v>
      </c>
      <c r="M289" s="4">
        <v>1.0999999999999999E-2</v>
      </c>
      <c r="N289" s="4">
        <v>1.0999999999999999E-2</v>
      </c>
      <c r="O289" s="4">
        <v>1.0999999999999999E-2</v>
      </c>
      <c r="P289" s="4">
        <v>0</v>
      </c>
      <c r="Q289" s="3" t="s">
        <v>26</v>
      </c>
      <c r="R289" s="3">
        <v>0</v>
      </c>
      <c r="S289" s="3">
        <v>0</v>
      </c>
      <c r="T289" s="3">
        <v>22</v>
      </c>
      <c r="U289" s="3">
        <v>47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431.37</v>
      </c>
      <c r="X289" s="4">
        <f>IF(ISERROR(VLOOKUP($U$289,'TAR FIN'!$A$1:$O$92,15,0)),0,VLOOKUP($U$289,'TAR FIN'!$A$1:$O$92,15,0))</f>
        <v>223.44</v>
      </c>
      <c r="Y289" s="4"/>
      <c r="Z289" s="4">
        <f ca="1">('TUSD BE'!$AM$31+'TUSD BF'!$AM$31+'TUSD CVA'!$AM$31)*(1-CUSTOS!$M$38)</f>
        <v>592.61092339289291</v>
      </c>
      <c r="AA289" s="4">
        <f>('TE BE'!$AB$22+'TE BF'!$AB$22+'TE CVA'!$AB$22)*(1-CUSTOS!$M$38)</f>
        <v>298.34420421092244</v>
      </c>
      <c r="AB289" s="4">
        <f t="shared" si="14"/>
        <v>0</v>
      </c>
      <c r="AC289" s="4">
        <f>(L289*W289+M289*X289)/(1-CUSTOS!$M$38)*CUSTOS!$M$38</f>
        <v>0.45976021276595747</v>
      </c>
      <c r="AD289" s="4">
        <f t="shared" si="15"/>
        <v>0</v>
      </c>
      <c r="AE289" s="4">
        <f ca="1">(L289*Z289+N289*AA289)/(1-CUSTOS!$M$38)*CUSTOS!$M$38</f>
        <v>0.62556423853033838</v>
      </c>
      <c r="AF289" s="3" t="s">
        <v>752</v>
      </c>
    </row>
    <row r="290" spans="1:32" ht="11.25" customHeight="1" x14ac:dyDescent="0.25">
      <c r="A290" s="3" t="s">
        <v>21</v>
      </c>
      <c r="B290" s="3" t="s">
        <v>43</v>
      </c>
      <c r="C290" s="3" t="s">
        <v>33</v>
      </c>
      <c r="D290" s="3" t="s">
        <v>44</v>
      </c>
      <c r="E290" s="3" t="s">
        <v>25</v>
      </c>
      <c r="F290" s="3" t="s">
        <v>25</v>
      </c>
      <c r="G290" s="3" t="s">
        <v>25</v>
      </c>
      <c r="H290" s="3" t="s">
        <v>34</v>
      </c>
      <c r="I290" s="6">
        <v>44501</v>
      </c>
      <c r="J290" s="4">
        <v>0</v>
      </c>
      <c r="K290" s="4">
        <v>0</v>
      </c>
      <c r="L290" s="4">
        <v>1.4999999999999999E-2</v>
      </c>
      <c r="M290" s="4">
        <v>1.4999999999999999E-2</v>
      </c>
      <c r="N290" s="4">
        <v>1.4999999999999999E-2</v>
      </c>
      <c r="O290" s="4">
        <v>1.4999999999999999E-2</v>
      </c>
      <c r="P290" s="4">
        <v>0</v>
      </c>
      <c r="Q290" s="3" t="s">
        <v>26</v>
      </c>
      <c r="R290" s="3">
        <v>0</v>
      </c>
      <c r="S290" s="3">
        <v>0</v>
      </c>
      <c r="T290" s="3">
        <v>14</v>
      </c>
      <c r="U290" s="3">
        <v>62</v>
      </c>
      <c r="V290" s="4">
        <f>IF(ISERROR(VLOOKUP($S$290,'TAR FIN'!$A$1:$O$92,15,0)),0,VLOOKUP($S$290,'TAR FIN'!$A$1:$O$92,15,0))</f>
        <v>0</v>
      </c>
      <c r="W290" s="4">
        <f>IF(ISERROR(VLOOKUP($T$290,'TAR FIN'!$A$1:$O$92,15,0)),0,VLOOKUP($T$290,'TAR FIN'!$A$1:$O$92,15,0))</f>
        <v>650.42999999999995</v>
      </c>
      <c r="X290" s="4">
        <f>IF(ISERROR(VLOOKUP($U$290,'TAR FIN'!$A$1:$O$92,15,0)),0,VLOOKUP($U$290,'TAR FIN'!$A$1:$O$92,15,0))</f>
        <v>381.72</v>
      </c>
      <c r="Y290" s="4"/>
      <c r="Z290" s="4">
        <f ca="1">('TUSD BE'!$AM$30+'TUSD BF'!$AM$30+'TUSD CVA'!$AM$30)*(1-CUSTOS!$M$38)</f>
        <v>895.35195307868128</v>
      </c>
      <c r="AA290" s="4">
        <f>('TE BE'!$AB$21+'TE BF'!$AB$21+'TE CVA'!$AB$21)*(1-CUSTOS!$M$38)</f>
        <v>510.27349822685011</v>
      </c>
      <c r="AB290" s="4">
        <f t="shared" si="14"/>
        <v>0</v>
      </c>
      <c r="AC290" s="4">
        <f>(L290*W290+M290*X290)/(1-CUSTOS!$M$38)*CUSTOS!$M$38</f>
        <v>0.98822872340425527</v>
      </c>
      <c r="AD290" s="4">
        <f t="shared" si="15"/>
        <v>0</v>
      </c>
      <c r="AE290" s="4">
        <f ca="1">(L290*Z290+N290*AA290)/(1-CUSTOS!$M$38)*CUSTOS!$M$38</f>
        <v>1.3458116023138067</v>
      </c>
      <c r="AF290" s="3" t="s">
        <v>752</v>
      </c>
    </row>
    <row r="291" spans="1:32" ht="11.25" customHeight="1" x14ac:dyDescent="0.25">
      <c r="A291" s="3" t="s">
        <v>21</v>
      </c>
      <c r="B291" s="3" t="s">
        <v>43</v>
      </c>
      <c r="C291" s="3" t="s">
        <v>33</v>
      </c>
      <c r="D291" s="3" t="s">
        <v>44</v>
      </c>
      <c r="E291" s="3" t="s">
        <v>25</v>
      </c>
      <c r="F291" s="3" t="s">
        <v>25</v>
      </c>
      <c r="G291" s="3" t="s">
        <v>25</v>
      </c>
      <c r="H291" s="3" t="s">
        <v>34</v>
      </c>
      <c r="I291" s="6">
        <v>44531</v>
      </c>
      <c r="J291" s="4">
        <v>0</v>
      </c>
      <c r="K291" s="4">
        <v>0</v>
      </c>
      <c r="L291" s="4">
        <v>1.2999999999999999E-2</v>
      </c>
      <c r="M291" s="4">
        <v>1.2999999999999999E-2</v>
      </c>
      <c r="N291" s="4">
        <v>1.2999999999999999E-2</v>
      </c>
      <c r="O291" s="4">
        <v>1.2999999999999999E-2</v>
      </c>
      <c r="P291" s="4">
        <v>0</v>
      </c>
      <c r="Q291" s="3" t="s">
        <v>26</v>
      </c>
      <c r="R291" s="3">
        <v>0</v>
      </c>
      <c r="S291" s="3">
        <v>0</v>
      </c>
      <c r="T291" s="3">
        <v>14</v>
      </c>
      <c r="U291" s="3">
        <v>62</v>
      </c>
      <c r="V291" s="4">
        <f>IF(ISERROR(VLOOKUP($S$291,'TAR FIN'!$A$1:$O$92,15,0)),0,VLOOKUP($S$291,'TAR FIN'!$A$1:$O$92,15,0))</f>
        <v>0</v>
      </c>
      <c r="W291" s="4">
        <f>IF(ISERROR(VLOOKUP($T$291,'TAR FIN'!$A$1:$O$92,15,0)),0,VLOOKUP($T$291,'TAR FIN'!$A$1:$O$92,15,0))</f>
        <v>650.42999999999995</v>
      </c>
      <c r="X291" s="4">
        <f>IF(ISERROR(VLOOKUP($U$291,'TAR FIN'!$A$1:$O$92,15,0)),0,VLOOKUP($U$291,'TAR FIN'!$A$1:$O$92,15,0))</f>
        <v>381.72</v>
      </c>
      <c r="Y291" s="4"/>
      <c r="Z291" s="4">
        <f ca="1">('TUSD BE'!$AM$30+'TUSD BF'!$AM$30+'TUSD CVA'!$AM$30)*(1-CUSTOS!$M$38)</f>
        <v>895.35195307868128</v>
      </c>
      <c r="AA291" s="4">
        <f>('TE BE'!$AB$21+'TE BF'!$AB$21+'TE CVA'!$AB$21)*(1-CUSTOS!$M$38)</f>
        <v>510.27349822685011</v>
      </c>
      <c r="AB291" s="4">
        <f t="shared" si="14"/>
        <v>0</v>
      </c>
      <c r="AC291" s="4">
        <f>(L291*W291+M291*X291)/(1-CUSTOS!$M$38)*CUSTOS!$M$38</f>
        <v>0.85646489361702116</v>
      </c>
      <c r="AD291" s="4">
        <f t="shared" si="15"/>
        <v>0</v>
      </c>
      <c r="AE291" s="4">
        <f ca="1">(L291*Z291+N291*AA291)/(1-CUSTOS!$M$38)*CUSTOS!$M$38</f>
        <v>1.1663700553386323</v>
      </c>
      <c r="AF291" s="3" t="s">
        <v>752</v>
      </c>
    </row>
    <row r="292" spans="1:32" ht="11.25" customHeight="1" x14ac:dyDescent="0.25">
      <c r="A292" s="3" t="s">
        <v>21</v>
      </c>
      <c r="B292" s="3" t="s">
        <v>43</v>
      </c>
      <c r="C292" s="3" t="s">
        <v>33</v>
      </c>
      <c r="D292" s="3" t="s">
        <v>44</v>
      </c>
      <c r="E292" s="3" t="s">
        <v>25</v>
      </c>
      <c r="F292" s="3" t="s">
        <v>25</v>
      </c>
      <c r="G292" s="3" t="s">
        <v>25</v>
      </c>
      <c r="H292" s="3" t="s">
        <v>34</v>
      </c>
      <c r="I292" s="6">
        <v>44562</v>
      </c>
      <c r="J292" s="4">
        <v>0</v>
      </c>
      <c r="K292" s="4">
        <v>0</v>
      </c>
      <c r="L292" s="4">
        <v>1.9E-2</v>
      </c>
      <c r="M292" s="4">
        <v>1.9E-2</v>
      </c>
      <c r="N292" s="4">
        <v>1.9E-2</v>
      </c>
      <c r="O292" s="4">
        <v>1.9E-2</v>
      </c>
      <c r="P292" s="4">
        <v>0</v>
      </c>
      <c r="Q292" s="3" t="s">
        <v>26</v>
      </c>
      <c r="R292" s="3">
        <v>0</v>
      </c>
      <c r="S292" s="3">
        <v>0</v>
      </c>
      <c r="T292" s="3">
        <v>14</v>
      </c>
      <c r="U292" s="3">
        <v>62</v>
      </c>
      <c r="V292" s="4">
        <f>IF(ISERROR(VLOOKUP($S$292,'TAR FIN'!$A$1:$O$92,15,0)),0,VLOOKUP($S$292,'TAR FIN'!$A$1:$O$92,15,0))</f>
        <v>0</v>
      </c>
      <c r="W292" s="4">
        <f>IF(ISERROR(VLOOKUP($T$292,'TAR FIN'!$A$1:$O$92,15,0)),0,VLOOKUP($T$292,'TAR FIN'!$A$1:$O$92,15,0))</f>
        <v>650.42999999999995</v>
      </c>
      <c r="X292" s="4">
        <f>IF(ISERROR(VLOOKUP($U$292,'TAR FIN'!$A$1:$O$92,15,0)),0,VLOOKUP($U$292,'TAR FIN'!$A$1:$O$92,15,0))</f>
        <v>381.72</v>
      </c>
      <c r="Y292" s="4"/>
      <c r="Z292" s="4">
        <f ca="1">('TUSD BE'!$AM$30+'TUSD BF'!$AM$30+'TUSD CVA'!$AM$30)*(1-CUSTOS!$M$38)</f>
        <v>895.35195307868128</v>
      </c>
      <c r="AA292" s="4">
        <f>('TE BE'!$AB$21+'TE BF'!$AB$21+'TE CVA'!$AB$21)*(1-CUSTOS!$M$38)</f>
        <v>510.27349822685011</v>
      </c>
      <c r="AB292" s="4">
        <f t="shared" si="14"/>
        <v>0</v>
      </c>
      <c r="AC292" s="4">
        <f>(L292*W292+M292*X292)/(1-CUSTOS!$M$38)*CUSTOS!$M$38</f>
        <v>1.2517563829787233</v>
      </c>
      <c r="AD292" s="4">
        <f t="shared" si="15"/>
        <v>0</v>
      </c>
      <c r="AE292" s="4">
        <f ca="1">(L292*Z292+N292*AA292)/(1-CUSTOS!$M$38)*CUSTOS!$M$38</f>
        <v>1.7046946962641552</v>
      </c>
      <c r="AF292" s="3" t="s">
        <v>752</v>
      </c>
    </row>
    <row r="293" spans="1:32" ht="11.25" customHeight="1" x14ac:dyDescent="0.25">
      <c r="A293" s="3" t="s">
        <v>21</v>
      </c>
      <c r="B293" s="3" t="s">
        <v>43</v>
      </c>
      <c r="C293" s="3" t="s">
        <v>33</v>
      </c>
      <c r="D293" s="3" t="s">
        <v>44</v>
      </c>
      <c r="E293" s="3" t="s">
        <v>25</v>
      </c>
      <c r="F293" s="3" t="s">
        <v>25</v>
      </c>
      <c r="G293" s="3" t="s">
        <v>25</v>
      </c>
      <c r="H293" s="3" t="s">
        <v>34</v>
      </c>
      <c r="I293" s="6">
        <v>44593</v>
      </c>
      <c r="J293" s="4">
        <v>0</v>
      </c>
      <c r="K293" s="4">
        <v>0</v>
      </c>
      <c r="L293" s="4">
        <v>1.7999999999999999E-2</v>
      </c>
      <c r="M293" s="4">
        <v>1.7999999999999999E-2</v>
      </c>
      <c r="N293" s="4">
        <v>1.7999999999999999E-2</v>
      </c>
      <c r="O293" s="4">
        <v>1.7999999999999999E-2</v>
      </c>
      <c r="P293" s="4">
        <v>0</v>
      </c>
      <c r="Q293" s="3" t="s">
        <v>26</v>
      </c>
      <c r="R293" s="3">
        <v>0</v>
      </c>
      <c r="S293" s="3">
        <v>0</v>
      </c>
      <c r="T293" s="3">
        <v>14</v>
      </c>
      <c r="U293" s="3">
        <v>62</v>
      </c>
      <c r="V293" s="4">
        <f>IF(ISERROR(VLOOKUP($S$293,'TAR FIN'!$A$1:$O$92,15,0)),0,VLOOKUP($S$293,'TAR FIN'!$A$1:$O$92,15,0))</f>
        <v>0</v>
      </c>
      <c r="W293" s="4">
        <f>IF(ISERROR(VLOOKUP($T$293,'TAR FIN'!$A$1:$O$92,15,0)),0,VLOOKUP($T$293,'TAR FIN'!$A$1:$O$92,15,0))</f>
        <v>650.42999999999995</v>
      </c>
      <c r="X293" s="4">
        <f>IF(ISERROR(VLOOKUP($U$293,'TAR FIN'!$A$1:$O$92,15,0)),0,VLOOKUP($U$293,'TAR FIN'!$A$1:$O$92,15,0))</f>
        <v>381.72</v>
      </c>
      <c r="Y293" s="4"/>
      <c r="Z293" s="4">
        <f ca="1">('TUSD BE'!$AM$30+'TUSD BF'!$AM$30+'TUSD CVA'!$AM$30)*(1-CUSTOS!$M$38)</f>
        <v>895.35195307868128</v>
      </c>
      <c r="AA293" s="4">
        <f>('TE BE'!$AB$21+'TE BF'!$AB$21+'TE CVA'!$AB$21)*(1-CUSTOS!$M$38)</f>
        <v>510.27349822685011</v>
      </c>
      <c r="AB293" s="4">
        <f t="shared" si="14"/>
        <v>0</v>
      </c>
      <c r="AC293" s="4">
        <f>(L293*W293+M293*X293)/(1-CUSTOS!$M$38)*CUSTOS!$M$38</f>
        <v>1.1858744680851063</v>
      </c>
      <c r="AD293" s="4">
        <f t="shared" si="15"/>
        <v>0</v>
      </c>
      <c r="AE293" s="4">
        <f ca="1">(L293*Z293+N293*AA293)/(1-CUSTOS!$M$38)*CUSTOS!$M$38</f>
        <v>1.614973922776568</v>
      </c>
      <c r="AF293" s="3" t="s">
        <v>752</v>
      </c>
    </row>
    <row r="294" spans="1:32" ht="11.25" customHeight="1" x14ac:dyDescent="0.25">
      <c r="A294" s="3" t="s">
        <v>21</v>
      </c>
      <c r="B294" s="3" t="s">
        <v>43</v>
      </c>
      <c r="C294" s="3" t="s">
        <v>33</v>
      </c>
      <c r="D294" s="3" t="s">
        <v>44</v>
      </c>
      <c r="E294" s="3" t="s">
        <v>25</v>
      </c>
      <c r="F294" s="3" t="s">
        <v>25</v>
      </c>
      <c r="G294" s="3" t="s">
        <v>25</v>
      </c>
      <c r="H294" s="3" t="s">
        <v>34</v>
      </c>
      <c r="I294" s="6">
        <v>44621</v>
      </c>
      <c r="J294" s="4">
        <v>0</v>
      </c>
      <c r="K294" s="4">
        <v>0</v>
      </c>
      <c r="L294" s="4">
        <v>1.4999999999999999E-2</v>
      </c>
      <c r="M294" s="4">
        <v>1.4999999999999999E-2</v>
      </c>
      <c r="N294" s="4">
        <v>1.4999999999999999E-2</v>
      </c>
      <c r="O294" s="4">
        <v>1.4999999999999999E-2</v>
      </c>
      <c r="P294" s="4">
        <v>0</v>
      </c>
      <c r="Q294" s="3" t="s">
        <v>26</v>
      </c>
      <c r="R294" s="3">
        <v>0</v>
      </c>
      <c r="S294" s="3">
        <v>0</v>
      </c>
      <c r="T294" s="3">
        <v>14</v>
      </c>
      <c r="U294" s="3">
        <v>62</v>
      </c>
      <c r="V294" s="4">
        <f>IF(ISERROR(VLOOKUP($S$294,'TAR FIN'!$A$1:$O$92,15,0)),0,VLOOKUP($S$294,'TAR FIN'!$A$1:$O$92,15,0))</f>
        <v>0</v>
      </c>
      <c r="W294" s="4">
        <f>IF(ISERROR(VLOOKUP($T$294,'TAR FIN'!$A$1:$O$92,15,0)),0,VLOOKUP($T$294,'TAR FIN'!$A$1:$O$92,15,0))</f>
        <v>650.42999999999995</v>
      </c>
      <c r="X294" s="4">
        <f>IF(ISERROR(VLOOKUP($U$294,'TAR FIN'!$A$1:$O$92,15,0)),0,VLOOKUP($U$294,'TAR FIN'!$A$1:$O$92,15,0))</f>
        <v>381.72</v>
      </c>
      <c r="Y294" s="4"/>
      <c r="Z294" s="4">
        <f ca="1">('TUSD BE'!$AM$30+'TUSD BF'!$AM$30+'TUSD CVA'!$AM$30)*(1-CUSTOS!$M$38)</f>
        <v>895.35195307868128</v>
      </c>
      <c r="AA294" s="4">
        <f>('TE BE'!$AB$21+'TE BF'!$AB$21+'TE CVA'!$AB$21)*(1-CUSTOS!$M$38)</f>
        <v>510.27349822685011</v>
      </c>
      <c r="AB294" s="4">
        <f t="shared" si="14"/>
        <v>0</v>
      </c>
      <c r="AC294" s="4">
        <f>(L294*W294+M294*X294)/(1-CUSTOS!$M$38)*CUSTOS!$M$38</f>
        <v>0.98822872340425527</v>
      </c>
      <c r="AD294" s="4">
        <f t="shared" si="15"/>
        <v>0</v>
      </c>
      <c r="AE294" s="4">
        <f ca="1">(L294*Z294+N294*AA294)/(1-CUSTOS!$M$38)*CUSTOS!$M$38</f>
        <v>1.3458116023138067</v>
      </c>
      <c r="AF294" s="3" t="s">
        <v>752</v>
      </c>
    </row>
    <row r="295" spans="1:32" ht="11.25" customHeight="1" x14ac:dyDescent="0.25">
      <c r="A295" s="3" t="s">
        <v>21</v>
      </c>
      <c r="B295" s="3" t="s">
        <v>43</v>
      </c>
      <c r="C295" s="3" t="s">
        <v>33</v>
      </c>
      <c r="D295" s="3" t="s">
        <v>44</v>
      </c>
      <c r="E295" s="3" t="s">
        <v>25</v>
      </c>
      <c r="F295" s="3" t="s">
        <v>25</v>
      </c>
      <c r="G295" s="3" t="s">
        <v>25</v>
      </c>
      <c r="H295" s="3" t="s">
        <v>34</v>
      </c>
      <c r="I295" s="6">
        <v>44652</v>
      </c>
      <c r="J295" s="4">
        <v>0</v>
      </c>
      <c r="K295" s="4">
        <v>0</v>
      </c>
      <c r="L295" s="4">
        <v>1.4999999999999999E-2</v>
      </c>
      <c r="M295" s="4">
        <v>1.4999999999999999E-2</v>
      </c>
      <c r="N295" s="4">
        <v>1.4999999999999999E-2</v>
      </c>
      <c r="O295" s="4">
        <v>1.4999999999999999E-2</v>
      </c>
      <c r="P295" s="4">
        <v>0</v>
      </c>
      <c r="Q295" s="3" t="s">
        <v>26</v>
      </c>
      <c r="R295" s="3">
        <v>0</v>
      </c>
      <c r="S295" s="3">
        <v>0</v>
      </c>
      <c r="T295" s="3">
        <v>14</v>
      </c>
      <c r="U295" s="3">
        <v>62</v>
      </c>
      <c r="V295" s="4">
        <f>IF(ISERROR(VLOOKUP($S$295,'TAR FIN'!$A$1:$O$92,15,0)),0,VLOOKUP($S$295,'TAR FIN'!$A$1:$O$92,15,0))</f>
        <v>0</v>
      </c>
      <c r="W295" s="4">
        <f>IF(ISERROR(VLOOKUP($T$295,'TAR FIN'!$A$1:$O$92,15,0)),0,VLOOKUP($T$295,'TAR FIN'!$A$1:$O$92,15,0))</f>
        <v>650.42999999999995</v>
      </c>
      <c r="X295" s="4">
        <f>IF(ISERROR(VLOOKUP($U$295,'TAR FIN'!$A$1:$O$92,15,0)),0,VLOOKUP($U$295,'TAR FIN'!$A$1:$O$92,15,0))</f>
        <v>381.72</v>
      </c>
      <c r="Y295" s="4"/>
      <c r="Z295" s="4">
        <f ca="1">('TUSD BE'!$AM$30+'TUSD BF'!$AM$30+'TUSD CVA'!$AM$30)*(1-CUSTOS!$M$38)</f>
        <v>895.35195307868128</v>
      </c>
      <c r="AA295" s="4">
        <f>('TE BE'!$AB$21+'TE BF'!$AB$21+'TE CVA'!$AB$21)*(1-CUSTOS!$M$38)</f>
        <v>510.27349822685011</v>
      </c>
      <c r="AB295" s="4">
        <f t="shared" si="14"/>
        <v>0</v>
      </c>
      <c r="AC295" s="4">
        <f>(L295*W295+M295*X295)/(1-CUSTOS!$M$38)*CUSTOS!$M$38</f>
        <v>0.98822872340425527</v>
      </c>
      <c r="AD295" s="4">
        <f t="shared" si="15"/>
        <v>0</v>
      </c>
      <c r="AE295" s="4">
        <f ca="1">(L295*Z295+N295*AA295)/(1-CUSTOS!$M$38)*CUSTOS!$M$38</f>
        <v>1.3458116023138067</v>
      </c>
      <c r="AF295" s="3" t="s">
        <v>752</v>
      </c>
    </row>
    <row r="296" spans="1:32" ht="11.25" customHeight="1" x14ac:dyDescent="0.25">
      <c r="A296" s="3" t="s">
        <v>21</v>
      </c>
      <c r="B296" s="3" t="s">
        <v>43</v>
      </c>
      <c r="C296" s="3" t="s">
        <v>33</v>
      </c>
      <c r="D296" s="3" t="s">
        <v>44</v>
      </c>
      <c r="E296" s="3" t="s">
        <v>25</v>
      </c>
      <c r="F296" s="3" t="s">
        <v>25</v>
      </c>
      <c r="G296" s="3" t="s">
        <v>25</v>
      </c>
      <c r="H296" s="3" t="s">
        <v>34</v>
      </c>
      <c r="I296" s="6">
        <v>44682</v>
      </c>
      <c r="J296" s="4">
        <v>0</v>
      </c>
      <c r="K296" s="4">
        <v>0</v>
      </c>
      <c r="L296" s="4">
        <v>1.7000000000000001E-2</v>
      </c>
      <c r="M296" s="4">
        <v>1.7000000000000001E-2</v>
      </c>
      <c r="N296" s="4">
        <v>1.7000000000000001E-2</v>
      </c>
      <c r="O296" s="4">
        <v>1.7000000000000001E-2</v>
      </c>
      <c r="P296" s="4">
        <v>0</v>
      </c>
      <c r="Q296" s="3" t="s">
        <v>26</v>
      </c>
      <c r="R296" s="3">
        <v>0</v>
      </c>
      <c r="S296" s="3">
        <v>0</v>
      </c>
      <c r="T296" s="3">
        <v>14</v>
      </c>
      <c r="U296" s="3">
        <v>62</v>
      </c>
      <c r="V296" s="4">
        <f>IF(ISERROR(VLOOKUP($S$296,'TAR FIN'!$A$1:$O$92,15,0)),0,VLOOKUP($S$296,'TAR FIN'!$A$1:$O$92,15,0))</f>
        <v>0</v>
      </c>
      <c r="W296" s="4">
        <f>IF(ISERROR(VLOOKUP($T$296,'TAR FIN'!$A$1:$O$92,15,0)),0,VLOOKUP($T$296,'TAR FIN'!$A$1:$O$92,15,0))</f>
        <v>650.42999999999995</v>
      </c>
      <c r="X296" s="4">
        <f>IF(ISERROR(VLOOKUP($U$296,'TAR FIN'!$A$1:$O$92,15,0)),0,VLOOKUP($U$296,'TAR FIN'!$A$1:$O$92,15,0))</f>
        <v>381.72</v>
      </c>
      <c r="Y296" s="4"/>
      <c r="Z296" s="4">
        <f ca="1">('TUSD BE'!$AM$30+'TUSD BF'!$AM$30+'TUSD CVA'!$AM$30)*(1-CUSTOS!$M$38)</f>
        <v>895.35195307868128</v>
      </c>
      <c r="AA296" s="4">
        <f>('TE BE'!$AB$21+'TE BF'!$AB$21+'TE CVA'!$AB$21)*(1-CUSTOS!$M$38)</f>
        <v>510.27349822685011</v>
      </c>
      <c r="AB296" s="4">
        <f t="shared" si="14"/>
        <v>0</v>
      </c>
      <c r="AC296" s="4">
        <f>(L296*W296+M296*X296)/(1-CUSTOS!$M$38)*CUSTOS!$M$38</f>
        <v>1.1199925531914894</v>
      </c>
      <c r="AD296" s="4">
        <f t="shared" si="15"/>
        <v>0</v>
      </c>
      <c r="AE296" s="4">
        <f ca="1">(L296*Z296+N296*AA296)/(1-CUSTOS!$M$38)*CUSTOS!$M$38</f>
        <v>1.5252531492889811</v>
      </c>
      <c r="AF296" s="3" t="s">
        <v>752</v>
      </c>
    </row>
    <row r="297" spans="1:32" ht="11.25" customHeight="1" x14ac:dyDescent="0.25">
      <c r="A297" s="3" t="s">
        <v>21</v>
      </c>
      <c r="B297" s="3" t="s">
        <v>43</v>
      </c>
      <c r="C297" s="3" t="s">
        <v>23</v>
      </c>
      <c r="D297" s="3" t="s">
        <v>44</v>
      </c>
      <c r="E297" s="3" t="s">
        <v>52</v>
      </c>
      <c r="F297" s="3" t="s">
        <v>53</v>
      </c>
      <c r="G297" s="3" t="s">
        <v>25</v>
      </c>
      <c r="H297" s="3" t="s">
        <v>25</v>
      </c>
      <c r="I297" s="6">
        <v>44501</v>
      </c>
      <c r="J297" s="4">
        <v>0</v>
      </c>
      <c r="K297" s="4">
        <v>0</v>
      </c>
      <c r="L297" s="4">
        <v>33.698999999999998</v>
      </c>
      <c r="M297" s="4">
        <v>33.698999999999998</v>
      </c>
      <c r="N297" s="4">
        <v>33.698999999999998</v>
      </c>
      <c r="O297" s="4">
        <v>33.698999999999998</v>
      </c>
      <c r="P297" s="4">
        <v>0</v>
      </c>
      <c r="Q297" s="3" t="s">
        <v>26</v>
      </c>
      <c r="R297" s="3">
        <v>0</v>
      </c>
      <c r="S297" s="3">
        <v>0</v>
      </c>
      <c r="T297" s="3">
        <v>45</v>
      </c>
      <c r="U297" s="3">
        <v>77</v>
      </c>
      <c r="V297" s="4">
        <f>IF(ISERROR(VLOOKUP($S$297,'TAR FIN'!$A$1:$O$92,15,0)),0,VLOOKUP($S$297,'TAR FIN'!$A$1:$O$92,15,0))</f>
        <v>0</v>
      </c>
      <c r="W297" s="4">
        <f>IF(ISERROR(VLOOKUP($T$297,'TAR FIN'!$A$1:$O$92,15,0)),0,VLOOKUP($T$297,'TAR FIN'!$A$1:$O$92,15,0))</f>
        <v>273.93</v>
      </c>
      <c r="X297" s="4">
        <f>IF(ISERROR(VLOOKUP($U$297,'TAR FIN'!$A$1:$O$92,15,0)),0,VLOOKUP($U$297,'TAR FIN'!$A$1:$O$92,15,0))</f>
        <v>236.63</v>
      </c>
      <c r="Y297" s="4"/>
      <c r="Z297" s="4">
        <f ca="1">('TUSD BE'!$AM$33+'TUSD BF'!$AM$33+'TUSD CVA'!$AM$33)*(1-CUSTOS!$M$38)</f>
        <v>375.01673922321953</v>
      </c>
      <c r="AA297" s="4">
        <f>('TE BE'!$AB$24+'TE BF'!$AB$24+'TE CVA'!$AB$24)*(1-CUSTOS!$M$38)</f>
        <v>316.00497871224974</v>
      </c>
      <c r="AB297" s="4">
        <f t="shared" si="14"/>
        <v>0</v>
      </c>
      <c r="AC297" s="4">
        <f>(L297-M297)*(W297+X297)+($W$178+$X$178-$W$297-$X$297)*(L297)</f>
        <v>2345.7873899999986</v>
      </c>
      <c r="AD297" s="4">
        <f t="shared" si="15"/>
        <v>0</v>
      </c>
      <c r="AE297" s="4">
        <f ca="1">(L297-M297)*(Z297+AA297)+($Z$178+$AA$178-$Z$297-$AA$297)*(L297)</f>
        <v>1486.3877152791965</v>
      </c>
      <c r="AF297" s="3" t="s">
        <v>752</v>
      </c>
    </row>
    <row r="298" spans="1:32" ht="11.25" customHeight="1" x14ac:dyDescent="0.25">
      <c r="A298" s="3" t="s">
        <v>21</v>
      </c>
      <c r="B298" s="3" t="s">
        <v>43</v>
      </c>
      <c r="C298" s="3" t="s">
        <v>23</v>
      </c>
      <c r="D298" s="3" t="s">
        <v>44</v>
      </c>
      <c r="E298" s="3" t="s">
        <v>52</v>
      </c>
      <c r="F298" s="3" t="s">
        <v>53</v>
      </c>
      <c r="G298" s="3" t="s">
        <v>25</v>
      </c>
      <c r="H298" s="3" t="s">
        <v>25</v>
      </c>
      <c r="I298" s="6">
        <v>44531</v>
      </c>
      <c r="J298" s="4">
        <v>0</v>
      </c>
      <c r="K298" s="4">
        <v>0</v>
      </c>
      <c r="L298" s="4">
        <v>27.946999999999999</v>
      </c>
      <c r="M298" s="4">
        <v>27.946999999999999</v>
      </c>
      <c r="N298" s="4">
        <v>27.946999999999999</v>
      </c>
      <c r="O298" s="4">
        <v>27.946999999999999</v>
      </c>
      <c r="P298" s="4">
        <v>0</v>
      </c>
      <c r="Q298" s="3" t="s">
        <v>26</v>
      </c>
      <c r="R298" s="3">
        <v>0</v>
      </c>
      <c r="S298" s="3">
        <v>0</v>
      </c>
      <c r="T298" s="3">
        <v>45</v>
      </c>
      <c r="U298" s="3">
        <v>77</v>
      </c>
      <c r="V298" s="4">
        <f>IF(ISERROR(VLOOKUP($S$298,'TAR FIN'!$A$1:$O$92,15,0)),0,VLOOKUP($S$298,'TAR FIN'!$A$1:$O$92,15,0))</f>
        <v>0</v>
      </c>
      <c r="W298" s="4">
        <f>IF(ISERROR(VLOOKUP($T$298,'TAR FIN'!$A$1:$O$92,15,0)),0,VLOOKUP($T$298,'TAR FIN'!$A$1:$O$92,15,0))</f>
        <v>273.93</v>
      </c>
      <c r="X298" s="4">
        <f>IF(ISERROR(VLOOKUP($U$298,'TAR FIN'!$A$1:$O$92,15,0)),0,VLOOKUP($U$298,'TAR FIN'!$A$1:$O$92,15,0))</f>
        <v>236.63</v>
      </c>
      <c r="Y298" s="4"/>
      <c r="Z298" s="4">
        <f ca="1">('TUSD BE'!$AM$33+'TUSD BF'!$AM$33+'TUSD CVA'!$AM$33)*(1-CUSTOS!$M$38)</f>
        <v>375.01673922321953</v>
      </c>
      <c r="AA298" s="4">
        <f>('TE BE'!$AB$24+'TE BF'!$AB$24+'TE CVA'!$AB$24)*(1-CUSTOS!$M$38)</f>
        <v>316.00497871224974</v>
      </c>
      <c r="AB298" s="4">
        <f t="shared" si="14"/>
        <v>0</v>
      </c>
      <c r="AC298" s="4">
        <f>(L298-M298)*(W298+X298)+($W$178+$X$178-$W$298-$X$298)*(L298)</f>
        <v>1945.3906699999986</v>
      </c>
      <c r="AD298" s="4">
        <f t="shared" si="15"/>
        <v>0</v>
      </c>
      <c r="AE298" s="4">
        <f ca="1">(L298-M298)*(Z298+AA298)+($Z$178+$AA$178-$Z$298-$AA$298)*(L298)</f>
        <v>1232.6798266686758</v>
      </c>
      <c r="AF298" s="3" t="s">
        <v>752</v>
      </c>
    </row>
    <row r="299" spans="1:32" ht="11.25" customHeight="1" x14ac:dyDescent="0.25">
      <c r="A299" s="3" t="s">
        <v>21</v>
      </c>
      <c r="B299" s="3" t="s">
        <v>43</v>
      </c>
      <c r="C299" s="3" t="s">
        <v>23</v>
      </c>
      <c r="D299" s="3" t="s">
        <v>44</v>
      </c>
      <c r="E299" s="3" t="s">
        <v>52</v>
      </c>
      <c r="F299" s="3" t="s">
        <v>53</v>
      </c>
      <c r="G299" s="3" t="s">
        <v>25</v>
      </c>
      <c r="H299" s="3" t="s">
        <v>25</v>
      </c>
      <c r="I299" s="6">
        <v>44562</v>
      </c>
      <c r="J299" s="4">
        <v>0</v>
      </c>
      <c r="K299" s="4">
        <v>0</v>
      </c>
      <c r="L299" s="4">
        <v>52.139000000000003</v>
      </c>
      <c r="M299" s="4">
        <v>52.139000000000003</v>
      </c>
      <c r="N299" s="4">
        <v>52.139000000000003</v>
      </c>
      <c r="O299" s="4">
        <v>52.139000000000003</v>
      </c>
      <c r="P299" s="4">
        <v>0</v>
      </c>
      <c r="Q299" s="3" t="s">
        <v>26</v>
      </c>
      <c r="R299" s="3">
        <v>0</v>
      </c>
      <c r="S299" s="3">
        <v>0</v>
      </c>
      <c r="T299" s="3">
        <v>45</v>
      </c>
      <c r="U299" s="3">
        <v>77</v>
      </c>
      <c r="V299" s="4">
        <f>IF(ISERROR(VLOOKUP($S$299,'TAR FIN'!$A$1:$O$92,15,0)),0,VLOOKUP($S$299,'TAR FIN'!$A$1:$O$92,15,0))</f>
        <v>0</v>
      </c>
      <c r="W299" s="4">
        <f>IF(ISERROR(VLOOKUP($T$299,'TAR FIN'!$A$1:$O$92,15,0)),0,VLOOKUP($T$299,'TAR FIN'!$A$1:$O$92,15,0))</f>
        <v>273.93</v>
      </c>
      <c r="X299" s="4">
        <f>IF(ISERROR(VLOOKUP($U$299,'TAR FIN'!$A$1:$O$92,15,0)),0,VLOOKUP($U$299,'TAR FIN'!$A$1:$O$92,15,0))</f>
        <v>236.63</v>
      </c>
      <c r="Y299" s="4"/>
      <c r="Z299" s="4">
        <f ca="1">('TUSD BE'!$AM$33+'TUSD BF'!$AM$33+'TUSD CVA'!$AM$33)*(1-CUSTOS!$M$38)</f>
        <v>375.01673922321953</v>
      </c>
      <c r="AA299" s="4">
        <f>('TE BE'!$AB$24+'TE BF'!$AB$24+'TE CVA'!$AB$24)*(1-CUSTOS!$M$38)</f>
        <v>316.00497871224974</v>
      </c>
      <c r="AB299" s="4">
        <f t="shared" si="14"/>
        <v>0</v>
      </c>
      <c r="AC299" s="4">
        <f>(L299-M299)*(W299+X299)+($W$178+$X$178-$W$299-$X$299)*(L299)</f>
        <v>3629.3957899999978</v>
      </c>
      <c r="AD299" s="4">
        <f t="shared" si="15"/>
        <v>0</v>
      </c>
      <c r="AE299" s="4">
        <f ca="1">(L299-M299)*(Z299+AA299)+($Z$178+$AA$178-$Z$299-$AA$299)*(L299)</f>
        <v>2299.7349798789883</v>
      </c>
      <c r="AF299" s="3" t="s">
        <v>752</v>
      </c>
    </row>
    <row r="300" spans="1:32" ht="11.25" customHeight="1" x14ac:dyDescent="0.25">
      <c r="A300" s="3" t="s">
        <v>21</v>
      </c>
      <c r="B300" s="3" t="s">
        <v>43</v>
      </c>
      <c r="C300" s="3" t="s">
        <v>23</v>
      </c>
      <c r="D300" s="3" t="s">
        <v>44</v>
      </c>
      <c r="E300" s="3" t="s">
        <v>52</v>
      </c>
      <c r="F300" s="3" t="s">
        <v>53</v>
      </c>
      <c r="G300" s="3" t="s">
        <v>25</v>
      </c>
      <c r="H300" s="3" t="s">
        <v>25</v>
      </c>
      <c r="I300" s="6">
        <v>44593</v>
      </c>
      <c r="J300" s="4">
        <v>0</v>
      </c>
      <c r="K300" s="4">
        <v>0</v>
      </c>
      <c r="L300" s="4">
        <v>56.188000000000002</v>
      </c>
      <c r="M300" s="4">
        <v>56.188000000000002</v>
      </c>
      <c r="N300" s="4">
        <v>56.188000000000002</v>
      </c>
      <c r="O300" s="4">
        <v>56.188000000000002</v>
      </c>
      <c r="P300" s="4">
        <v>0</v>
      </c>
      <c r="Q300" s="3" t="s">
        <v>26</v>
      </c>
      <c r="R300" s="3">
        <v>0</v>
      </c>
      <c r="S300" s="3">
        <v>0</v>
      </c>
      <c r="T300" s="3">
        <v>45</v>
      </c>
      <c r="U300" s="3">
        <v>77</v>
      </c>
      <c r="V300" s="4">
        <f>IF(ISERROR(VLOOKUP($S$300,'TAR FIN'!$A$1:$O$92,15,0)),0,VLOOKUP($S$300,'TAR FIN'!$A$1:$O$92,15,0))</f>
        <v>0</v>
      </c>
      <c r="W300" s="4">
        <f>IF(ISERROR(VLOOKUP($T$300,'TAR FIN'!$A$1:$O$92,15,0)),0,VLOOKUP($T$300,'TAR FIN'!$A$1:$O$92,15,0))</f>
        <v>273.93</v>
      </c>
      <c r="X300" s="4">
        <f>IF(ISERROR(VLOOKUP($U$300,'TAR FIN'!$A$1:$O$92,15,0)),0,VLOOKUP($U$300,'TAR FIN'!$A$1:$O$92,15,0))</f>
        <v>236.63</v>
      </c>
      <c r="Y300" s="4"/>
      <c r="Z300" s="4">
        <f ca="1">('TUSD BE'!$AM$33+'TUSD BF'!$AM$33+'TUSD CVA'!$AM$33)*(1-CUSTOS!$M$38)</f>
        <v>375.01673922321953</v>
      </c>
      <c r="AA300" s="4">
        <f>('TE BE'!$AB$24+'TE BF'!$AB$24+'TE CVA'!$AB$24)*(1-CUSTOS!$M$38)</f>
        <v>316.00497871224974</v>
      </c>
      <c r="AB300" s="4">
        <f t="shared" si="14"/>
        <v>0</v>
      </c>
      <c r="AC300" s="4">
        <f>(L300-M300)*(W300+X300)+($W$178+$X$178-$W$300-$X$300)*(L300)</f>
        <v>3911.2466799999979</v>
      </c>
      <c r="AD300" s="4">
        <f t="shared" si="15"/>
        <v>0</v>
      </c>
      <c r="AE300" s="4">
        <f ca="1">(L300-M300)*(Z300+AA300)+($Z$178+$AA$178-$Z$300-$AA$300)*(L300)</f>
        <v>2478.327337490949</v>
      </c>
      <c r="AF300" s="3" t="s">
        <v>752</v>
      </c>
    </row>
    <row r="301" spans="1:32" ht="11.25" customHeight="1" x14ac:dyDescent="0.25">
      <c r="A301" s="3" t="s">
        <v>21</v>
      </c>
      <c r="B301" s="3" t="s">
        <v>43</v>
      </c>
      <c r="C301" s="3" t="s">
        <v>23</v>
      </c>
      <c r="D301" s="3" t="s">
        <v>44</v>
      </c>
      <c r="E301" s="3" t="s">
        <v>52</v>
      </c>
      <c r="F301" s="3" t="s">
        <v>53</v>
      </c>
      <c r="G301" s="3" t="s">
        <v>25</v>
      </c>
      <c r="H301" s="3" t="s">
        <v>25</v>
      </c>
      <c r="I301" s="6">
        <v>44621</v>
      </c>
      <c r="J301" s="4">
        <v>0</v>
      </c>
      <c r="K301" s="4">
        <v>0</v>
      </c>
      <c r="L301" s="4">
        <v>23.486000000000001</v>
      </c>
      <c r="M301" s="4">
        <v>23.486000000000001</v>
      </c>
      <c r="N301" s="4">
        <v>23.486000000000001</v>
      </c>
      <c r="O301" s="4">
        <v>23.486000000000001</v>
      </c>
      <c r="P301" s="4">
        <v>0</v>
      </c>
      <c r="Q301" s="3" t="s">
        <v>26</v>
      </c>
      <c r="R301" s="3">
        <v>0</v>
      </c>
      <c r="S301" s="3">
        <v>0</v>
      </c>
      <c r="T301" s="3">
        <v>45</v>
      </c>
      <c r="U301" s="3">
        <v>77</v>
      </c>
      <c r="V301" s="4">
        <f>IF(ISERROR(VLOOKUP($S$301,'TAR FIN'!$A$1:$O$92,15,0)),0,VLOOKUP($S$301,'TAR FIN'!$A$1:$O$92,15,0))</f>
        <v>0</v>
      </c>
      <c r="W301" s="4">
        <f>IF(ISERROR(VLOOKUP($T$301,'TAR FIN'!$A$1:$O$92,15,0)),0,VLOOKUP($T$301,'TAR FIN'!$A$1:$O$92,15,0))</f>
        <v>273.93</v>
      </c>
      <c r="X301" s="4">
        <f>IF(ISERROR(VLOOKUP($U$301,'TAR FIN'!$A$1:$O$92,15,0)),0,VLOOKUP($U$301,'TAR FIN'!$A$1:$O$92,15,0))</f>
        <v>236.63</v>
      </c>
      <c r="Y301" s="4"/>
      <c r="Z301" s="4">
        <f ca="1">('TUSD BE'!$AM$33+'TUSD BF'!$AM$33+'TUSD CVA'!$AM$33)*(1-CUSTOS!$M$38)</f>
        <v>375.01673922321953</v>
      </c>
      <c r="AA301" s="4">
        <f>('TE BE'!$AB$24+'TE BF'!$AB$24+'TE CVA'!$AB$24)*(1-CUSTOS!$M$38)</f>
        <v>316.00497871224974</v>
      </c>
      <c r="AB301" s="4">
        <f t="shared" si="14"/>
        <v>0</v>
      </c>
      <c r="AC301" s="4">
        <f>(L301-M301)*(W301+X301)+($W$178+$X$178-$W$301-$X$301)*(L301)</f>
        <v>1634.860459999999</v>
      </c>
      <c r="AD301" s="4">
        <f t="shared" si="15"/>
        <v>0</v>
      </c>
      <c r="AE301" s="4">
        <f ca="1">(L301-M301)*(Z301+AA301)+($Z$178+$AA$178-$Z$301-$AA$301)*(L301)</f>
        <v>1035.9150681339866</v>
      </c>
      <c r="AF301" s="3" t="s">
        <v>752</v>
      </c>
    </row>
    <row r="302" spans="1:32" ht="11.25" customHeight="1" x14ac:dyDescent="0.25">
      <c r="A302" s="3" t="s">
        <v>27</v>
      </c>
      <c r="B302" s="3" t="s">
        <v>43</v>
      </c>
      <c r="C302" s="3" t="s">
        <v>23</v>
      </c>
      <c r="D302" s="3" t="s">
        <v>44</v>
      </c>
      <c r="E302" s="3" t="s">
        <v>52</v>
      </c>
      <c r="F302" s="3" t="s">
        <v>53</v>
      </c>
      <c r="G302" s="3" t="s">
        <v>25</v>
      </c>
      <c r="H302" s="3" t="s">
        <v>25</v>
      </c>
      <c r="I302" s="6">
        <v>44621</v>
      </c>
      <c r="J302" s="4">
        <v>0</v>
      </c>
      <c r="K302" s="4">
        <v>0</v>
      </c>
      <c r="L302" s="4">
        <v>-7.391</v>
      </c>
      <c r="M302" s="4">
        <v>-7.391</v>
      </c>
      <c r="N302" s="4">
        <v>-7.391</v>
      </c>
      <c r="O302" s="4">
        <v>-7.391</v>
      </c>
      <c r="P302" s="4">
        <v>0</v>
      </c>
      <c r="Q302" s="3" t="s">
        <v>26</v>
      </c>
      <c r="R302" s="3">
        <v>0</v>
      </c>
      <c r="S302" s="3">
        <v>0</v>
      </c>
      <c r="T302" s="3">
        <v>45</v>
      </c>
      <c r="U302" s="3">
        <v>77</v>
      </c>
      <c r="V302" s="4">
        <f>IF(ISERROR(VLOOKUP($S$302,'TAR FIN'!$A$1:$O$92,15,0)),0,VLOOKUP($S$302,'TAR FIN'!$A$1:$O$92,15,0))</f>
        <v>0</v>
      </c>
      <c r="W302" s="4">
        <f>IF(ISERROR(VLOOKUP($T$302,'TAR FIN'!$A$1:$O$92,15,0)),0,VLOOKUP($T$302,'TAR FIN'!$A$1:$O$92,15,0))</f>
        <v>273.93</v>
      </c>
      <c r="X302" s="4">
        <f>IF(ISERROR(VLOOKUP($U$302,'TAR FIN'!$A$1:$O$92,15,0)),0,VLOOKUP($U$302,'TAR FIN'!$A$1:$O$92,15,0))</f>
        <v>236.63</v>
      </c>
      <c r="Y302" s="4"/>
      <c r="Z302" s="4">
        <f ca="1">('TUSD BE'!$AM$33+'TUSD BF'!$AM$33+'TUSD CVA'!$AM$33)*(1-CUSTOS!$M$38)</f>
        <v>375.01673922321953</v>
      </c>
      <c r="AA302" s="4">
        <f>('TE BE'!$AB$24+'TE BF'!$AB$24+'TE CVA'!$AB$24)*(1-CUSTOS!$M$38)</f>
        <v>316.00497871224974</v>
      </c>
      <c r="AB302" s="4">
        <f t="shared" si="14"/>
        <v>0</v>
      </c>
      <c r="AC302" s="4">
        <f>(L302-M302)*(W302+X302)+($W$178+$X$178-$W$302-$X$302)*(L302)</f>
        <v>-514.4875099999997</v>
      </c>
      <c r="AD302" s="4">
        <f t="shared" si="15"/>
        <v>0</v>
      </c>
      <c r="AE302" s="4">
        <f ca="1">(L302-M302)*(Z302+AA302)+($Z$178+$AA$178-$Z$302-$AA$302)*(L302)</f>
        <v>-326.00052237836559</v>
      </c>
      <c r="AF302" s="3" t="s">
        <v>752</v>
      </c>
    </row>
    <row r="303" spans="1:32" ht="11.25" customHeight="1" x14ac:dyDescent="0.25">
      <c r="A303" s="3" t="s">
        <v>21</v>
      </c>
      <c r="B303" s="3" t="s">
        <v>43</v>
      </c>
      <c r="C303" s="3" t="s">
        <v>23</v>
      </c>
      <c r="D303" s="3" t="s">
        <v>44</v>
      </c>
      <c r="E303" s="3" t="s">
        <v>52</v>
      </c>
      <c r="F303" s="3" t="s">
        <v>53</v>
      </c>
      <c r="G303" s="3" t="s">
        <v>25</v>
      </c>
      <c r="H303" s="3" t="s">
        <v>25</v>
      </c>
      <c r="I303" s="6">
        <v>44652</v>
      </c>
      <c r="J303" s="4">
        <v>0</v>
      </c>
      <c r="K303" s="4">
        <v>0</v>
      </c>
      <c r="L303" s="4">
        <v>23.486000000000001</v>
      </c>
      <c r="M303" s="4">
        <v>23.486000000000001</v>
      </c>
      <c r="N303" s="4">
        <v>23.486000000000001</v>
      </c>
      <c r="O303" s="4">
        <v>23.486000000000001</v>
      </c>
      <c r="P303" s="4">
        <v>0</v>
      </c>
      <c r="Q303" s="3" t="s">
        <v>26</v>
      </c>
      <c r="R303" s="3">
        <v>0</v>
      </c>
      <c r="S303" s="3">
        <v>0</v>
      </c>
      <c r="T303" s="3">
        <v>45</v>
      </c>
      <c r="U303" s="3">
        <v>77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273.93</v>
      </c>
      <c r="X303" s="4">
        <f>IF(ISERROR(VLOOKUP($U$303,'TAR FIN'!$A$1:$O$92,15,0)),0,VLOOKUP($U$303,'TAR FIN'!$A$1:$O$92,15,0))</f>
        <v>236.63</v>
      </c>
      <c r="Y303" s="4"/>
      <c r="Z303" s="4">
        <f ca="1">('TUSD BE'!$AM$33+'TUSD BF'!$AM$33+'TUSD CVA'!$AM$33)*(1-CUSTOS!$M$38)</f>
        <v>375.01673922321953</v>
      </c>
      <c r="AA303" s="4">
        <f>('TE BE'!$AB$24+'TE BF'!$AB$24+'TE CVA'!$AB$24)*(1-CUSTOS!$M$38)</f>
        <v>316.00497871224974</v>
      </c>
      <c r="AB303" s="4">
        <f t="shared" si="14"/>
        <v>0</v>
      </c>
      <c r="AC303" s="4">
        <f>(L303-M303)*(W303+X303)+($W$178+$X$178-$W$303-$X$303)*(L303)</f>
        <v>1634.860459999999</v>
      </c>
      <c r="AD303" s="4">
        <f t="shared" si="15"/>
        <v>0</v>
      </c>
      <c r="AE303" s="4">
        <f ca="1">(L303-M303)*(Z303+AA303)+($Z$178+$AA$178-$Z$303-$AA$303)*(L303)</f>
        <v>1035.9150681339866</v>
      </c>
      <c r="AF303" s="3" t="s">
        <v>752</v>
      </c>
    </row>
    <row r="304" spans="1:32" ht="11.25" customHeight="1" x14ac:dyDescent="0.25">
      <c r="A304" s="3" t="s">
        <v>27</v>
      </c>
      <c r="B304" s="3" t="s">
        <v>43</v>
      </c>
      <c r="C304" s="3" t="s">
        <v>23</v>
      </c>
      <c r="D304" s="3" t="s">
        <v>44</v>
      </c>
      <c r="E304" s="3" t="s">
        <v>52</v>
      </c>
      <c r="F304" s="3" t="s">
        <v>53</v>
      </c>
      <c r="G304" s="3" t="s">
        <v>25</v>
      </c>
      <c r="H304" s="3" t="s">
        <v>25</v>
      </c>
      <c r="I304" s="6">
        <v>44652</v>
      </c>
      <c r="J304" s="4">
        <v>0</v>
      </c>
      <c r="K304" s="4">
        <v>0</v>
      </c>
      <c r="L304" s="4">
        <v>-7.391</v>
      </c>
      <c r="M304" s="4">
        <v>-7.391</v>
      </c>
      <c r="N304" s="4">
        <v>-7.391</v>
      </c>
      <c r="O304" s="4">
        <v>-7.391</v>
      </c>
      <c r="P304" s="4">
        <v>0</v>
      </c>
      <c r="Q304" s="3" t="s">
        <v>26</v>
      </c>
      <c r="R304" s="3">
        <v>0</v>
      </c>
      <c r="S304" s="3">
        <v>0</v>
      </c>
      <c r="T304" s="3">
        <v>45</v>
      </c>
      <c r="U304" s="3">
        <v>77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273.93</v>
      </c>
      <c r="X304" s="4">
        <f>IF(ISERROR(VLOOKUP($U$304,'TAR FIN'!$A$1:$O$92,15,0)),0,VLOOKUP($U$304,'TAR FIN'!$A$1:$O$92,15,0))</f>
        <v>236.63</v>
      </c>
      <c r="Y304" s="4"/>
      <c r="Z304" s="4">
        <f ca="1">('TUSD BE'!$AM$33+'TUSD BF'!$AM$33+'TUSD CVA'!$AM$33)*(1-CUSTOS!$M$38)</f>
        <v>375.01673922321953</v>
      </c>
      <c r="AA304" s="4">
        <f>('TE BE'!$AB$24+'TE BF'!$AB$24+'TE CVA'!$AB$24)*(1-CUSTOS!$M$38)</f>
        <v>316.00497871224974</v>
      </c>
      <c r="AB304" s="4">
        <f t="shared" si="14"/>
        <v>0</v>
      </c>
      <c r="AC304" s="4">
        <f>(L304-M304)*(W304+X304)+($W$178+$X$178-$W$304-$X$304)*(L304)</f>
        <v>-514.4875099999997</v>
      </c>
      <c r="AD304" s="4">
        <f t="shared" si="15"/>
        <v>0</v>
      </c>
      <c r="AE304" s="4">
        <f ca="1">(L304-M304)*(Z304+AA304)+($Z$178+$AA$178-$Z$304-$AA$304)*(L304)</f>
        <v>-326.00052237836559</v>
      </c>
      <c r="AF304" s="3" t="s">
        <v>752</v>
      </c>
    </row>
    <row r="305" spans="1:32" ht="11.25" customHeight="1" x14ac:dyDescent="0.25">
      <c r="A305" s="3" t="s">
        <v>21</v>
      </c>
      <c r="B305" s="3" t="s">
        <v>43</v>
      </c>
      <c r="C305" s="3" t="s">
        <v>23</v>
      </c>
      <c r="D305" s="3" t="s">
        <v>44</v>
      </c>
      <c r="E305" s="3" t="s">
        <v>52</v>
      </c>
      <c r="F305" s="3" t="s">
        <v>53</v>
      </c>
      <c r="G305" s="3" t="s">
        <v>25</v>
      </c>
      <c r="H305" s="3" t="s">
        <v>25</v>
      </c>
      <c r="I305" s="6">
        <v>44682</v>
      </c>
      <c r="J305" s="4">
        <v>0</v>
      </c>
      <c r="K305" s="4">
        <v>0</v>
      </c>
      <c r="L305" s="4">
        <v>12.192</v>
      </c>
      <c r="M305" s="4">
        <v>12.192</v>
      </c>
      <c r="N305" s="4">
        <v>12.192</v>
      </c>
      <c r="O305" s="4">
        <v>12.192</v>
      </c>
      <c r="P305" s="4">
        <v>0</v>
      </c>
      <c r="Q305" s="3" t="s">
        <v>26</v>
      </c>
      <c r="R305" s="3">
        <v>0</v>
      </c>
      <c r="S305" s="3">
        <v>0</v>
      </c>
      <c r="T305" s="3">
        <v>45</v>
      </c>
      <c r="U305" s="3">
        <v>77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273.93</v>
      </c>
      <c r="X305" s="4">
        <f>IF(ISERROR(VLOOKUP($U$305,'TAR FIN'!$A$1:$O$92,15,0)),0,VLOOKUP($U$305,'TAR FIN'!$A$1:$O$92,15,0))</f>
        <v>236.63</v>
      </c>
      <c r="Y305" s="4"/>
      <c r="Z305" s="4">
        <f ca="1">('TUSD BE'!$AM$33+'TUSD BF'!$AM$33+'TUSD CVA'!$AM$33)*(1-CUSTOS!$M$38)</f>
        <v>375.01673922321953</v>
      </c>
      <c r="AA305" s="4">
        <f>('TE BE'!$AB$24+'TE BF'!$AB$24+'TE CVA'!$AB$24)*(1-CUSTOS!$M$38)</f>
        <v>316.00497871224974</v>
      </c>
      <c r="AB305" s="4">
        <f t="shared" si="14"/>
        <v>0</v>
      </c>
      <c r="AC305" s="4">
        <f>(L305-M305)*(W305+X305)+($W$178+$X$178-$W$305-$X$305)*(L305)</f>
        <v>848.68511999999953</v>
      </c>
      <c r="AD305" s="4">
        <f t="shared" si="15"/>
        <v>0</v>
      </c>
      <c r="AE305" s="4">
        <f ca="1">(L305-M305)*(Z305+AA305)+($Z$178+$AA$178-$Z$305-$AA$305)*(L305)</f>
        <v>537.761922451229</v>
      </c>
      <c r="AF305" s="3" t="s">
        <v>752</v>
      </c>
    </row>
    <row r="306" spans="1:32" ht="11.25" customHeight="1" x14ac:dyDescent="0.25">
      <c r="A306" s="3" t="s">
        <v>27</v>
      </c>
      <c r="B306" s="3" t="s">
        <v>43</v>
      </c>
      <c r="C306" s="3" t="s">
        <v>23</v>
      </c>
      <c r="D306" s="3" t="s">
        <v>44</v>
      </c>
      <c r="E306" s="3" t="s">
        <v>52</v>
      </c>
      <c r="F306" s="3" t="s">
        <v>53</v>
      </c>
      <c r="G306" s="3" t="s">
        <v>25</v>
      </c>
      <c r="H306" s="3" t="s">
        <v>25</v>
      </c>
      <c r="I306" s="6">
        <v>44682</v>
      </c>
      <c r="J306" s="4">
        <v>0</v>
      </c>
      <c r="K306" s="4">
        <v>0</v>
      </c>
      <c r="L306" s="4">
        <v>-18.808</v>
      </c>
      <c r="M306" s="4">
        <v>-18.808</v>
      </c>
      <c r="N306" s="4">
        <v>-18.808</v>
      </c>
      <c r="O306" s="4">
        <v>-18.808</v>
      </c>
      <c r="P306" s="4">
        <v>0</v>
      </c>
      <c r="Q306" s="3" t="s">
        <v>26</v>
      </c>
      <c r="R306" s="3">
        <v>0</v>
      </c>
      <c r="S306" s="3">
        <v>0</v>
      </c>
      <c r="T306" s="3">
        <v>45</v>
      </c>
      <c r="U306" s="3">
        <v>77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273.93</v>
      </c>
      <c r="X306" s="4">
        <f>IF(ISERROR(VLOOKUP($U$306,'TAR FIN'!$A$1:$O$92,15,0)),0,VLOOKUP($U$306,'TAR FIN'!$A$1:$O$92,15,0))</f>
        <v>236.63</v>
      </c>
      <c r="Y306" s="4"/>
      <c r="Z306" s="4">
        <f ca="1">('TUSD BE'!$AM$33+'TUSD BF'!$AM$33+'TUSD CVA'!$AM$33)*(1-CUSTOS!$M$38)</f>
        <v>375.01673922321953</v>
      </c>
      <c r="AA306" s="4">
        <f>('TE BE'!$AB$24+'TE BF'!$AB$24+'TE CVA'!$AB$24)*(1-CUSTOS!$M$38)</f>
        <v>316.00497871224974</v>
      </c>
      <c r="AB306" s="4">
        <f t="shared" si="14"/>
        <v>0</v>
      </c>
      <c r="AC306" s="4">
        <f>(L306-M306)*(W306+X306)+($W$178+$X$178-$W$306-$X$306)*(L306)</f>
        <v>-1309.2248799999991</v>
      </c>
      <c r="AD306" s="4">
        <f t="shared" si="15"/>
        <v>0</v>
      </c>
      <c r="AE306" s="4">
        <f ca="1">(L306-M306)*(Z306+AA306)+($Z$178+$AA$178-$Z$306-$AA$306)*(L306)</f>
        <v>-829.57892367640363</v>
      </c>
      <c r="AF306" s="3" t="s">
        <v>752</v>
      </c>
    </row>
    <row r="307" spans="1:32" ht="11.25" customHeight="1" x14ac:dyDescent="0.25">
      <c r="A307" s="3" t="s">
        <v>21</v>
      </c>
      <c r="B307" s="3" t="s">
        <v>43</v>
      </c>
      <c r="C307" s="3" t="s">
        <v>23</v>
      </c>
      <c r="D307" s="3" t="s">
        <v>44</v>
      </c>
      <c r="E307" s="3" t="s">
        <v>52</v>
      </c>
      <c r="F307" s="3" t="s">
        <v>53</v>
      </c>
      <c r="G307" s="3" t="s">
        <v>25</v>
      </c>
      <c r="H307" s="3" t="s">
        <v>25</v>
      </c>
      <c r="I307" s="6">
        <v>44713</v>
      </c>
      <c r="J307" s="4">
        <v>0</v>
      </c>
      <c r="K307" s="4">
        <v>0</v>
      </c>
      <c r="L307" s="4">
        <v>8.4719999999999995</v>
      </c>
      <c r="M307" s="4">
        <v>8.4719999999999995</v>
      </c>
      <c r="N307" s="4">
        <v>8.4719999999999995</v>
      </c>
      <c r="O307" s="4">
        <v>8.4719999999999995</v>
      </c>
      <c r="P307" s="4">
        <v>0</v>
      </c>
      <c r="Q307" s="3" t="s">
        <v>26</v>
      </c>
      <c r="R307" s="3">
        <v>0</v>
      </c>
      <c r="S307" s="3">
        <v>0</v>
      </c>
      <c r="T307" s="3">
        <v>45</v>
      </c>
      <c r="U307" s="3">
        <v>77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273.93</v>
      </c>
      <c r="X307" s="4">
        <f>IF(ISERROR(VLOOKUP($U$307,'TAR FIN'!$A$1:$O$92,15,0)),0,VLOOKUP($U$307,'TAR FIN'!$A$1:$O$92,15,0))</f>
        <v>236.63</v>
      </c>
      <c r="Y307" s="4"/>
      <c r="Z307" s="4">
        <f ca="1">('TUSD BE'!$AM$33+'TUSD BF'!$AM$33+'TUSD CVA'!$AM$33)*(1-CUSTOS!$M$38)</f>
        <v>375.01673922321953</v>
      </c>
      <c r="AA307" s="4">
        <f>('TE BE'!$AB$24+'TE BF'!$AB$24+'TE CVA'!$AB$24)*(1-CUSTOS!$M$38)</f>
        <v>316.00497871224974</v>
      </c>
      <c r="AB307" s="4">
        <f t="shared" si="14"/>
        <v>0</v>
      </c>
      <c r="AC307" s="4">
        <f>(L307-M307)*(W307+X307)+($W$178+$X$178-$W$307-$X$307)*(L307)</f>
        <v>589.73591999999962</v>
      </c>
      <c r="AD307" s="4">
        <f t="shared" si="15"/>
        <v>0</v>
      </c>
      <c r="AE307" s="4">
        <f ca="1">(L307-M307)*(Z307+AA307)+($Z$178+$AA$178-$Z$307-$AA$307)*(L307)</f>
        <v>373.681020915913</v>
      </c>
      <c r="AF307" s="3" t="s">
        <v>752</v>
      </c>
    </row>
    <row r="308" spans="1:32" ht="11.25" customHeight="1" x14ac:dyDescent="0.25">
      <c r="A308" s="3" t="s">
        <v>27</v>
      </c>
      <c r="B308" s="3" t="s">
        <v>43</v>
      </c>
      <c r="C308" s="3" t="s">
        <v>23</v>
      </c>
      <c r="D308" s="3" t="s">
        <v>44</v>
      </c>
      <c r="E308" s="3" t="s">
        <v>52</v>
      </c>
      <c r="F308" s="3" t="s">
        <v>53</v>
      </c>
      <c r="G308" s="3" t="s">
        <v>25</v>
      </c>
      <c r="H308" s="3" t="s">
        <v>25</v>
      </c>
      <c r="I308" s="6">
        <v>44713</v>
      </c>
      <c r="J308" s="4">
        <v>0</v>
      </c>
      <c r="K308" s="4">
        <v>0</v>
      </c>
      <c r="L308" s="4">
        <v>-1.696</v>
      </c>
      <c r="M308" s="4">
        <v>-1.696</v>
      </c>
      <c r="N308" s="4">
        <v>-1.696</v>
      </c>
      <c r="O308" s="4">
        <v>-1.696</v>
      </c>
      <c r="P308" s="4">
        <v>0</v>
      </c>
      <c r="Q308" s="3" t="s">
        <v>26</v>
      </c>
      <c r="R308" s="3">
        <v>0</v>
      </c>
      <c r="S308" s="3">
        <v>0</v>
      </c>
      <c r="T308" s="3">
        <v>45</v>
      </c>
      <c r="U308" s="3">
        <v>77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273.93</v>
      </c>
      <c r="X308" s="4">
        <f>IF(ISERROR(VLOOKUP($U$308,'TAR FIN'!$A$1:$O$92,15,0)),0,VLOOKUP($U$308,'TAR FIN'!$A$1:$O$92,15,0))</f>
        <v>236.63</v>
      </c>
      <c r="Y308" s="4"/>
      <c r="Z308" s="4">
        <f ca="1">('TUSD BE'!$AM$33+'TUSD BF'!$AM$33+'TUSD CVA'!$AM$33)*(1-CUSTOS!$M$38)</f>
        <v>375.01673922321953</v>
      </c>
      <c r="AA308" s="4">
        <f>('TE BE'!$AB$24+'TE BF'!$AB$24+'TE CVA'!$AB$24)*(1-CUSTOS!$M$38)</f>
        <v>316.00497871224974</v>
      </c>
      <c r="AB308" s="4">
        <f t="shared" si="14"/>
        <v>0</v>
      </c>
      <c r="AC308" s="4">
        <f>(L308-M308)*(W308+X308)+($W$178+$X$178-$W$308-$X$308)*(L308)</f>
        <v>-118.05855999999993</v>
      </c>
      <c r="AD308" s="4">
        <f t="shared" si="15"/>
        <v>0</v>
      </c>
      <c r="AE308" s="4">
        <f ca="1">(L308-M308)*(Z308+AA308)+($Z$178+$AA$178-$Z$308-$AA$308)*(L308)</f>
        <v>-74.806776613950476</v>
      </c>
      <c r="AF308" s="3" t="s">
        <v>752</v>
      </c>
    </row>
    <row r="309" spans="1:32" ht="11.25" customHeight="1" x14ac:dyDescent="0.25">
      <c r="A309" s="3" t="s">
        <v>21</v>
      </c>
      <c r="B309" s="3" t="s">
        <v>43</v>
      </c>
      <c r="C309" s="3" t="s">
        <v>23</v>
      </c>
      <c r="D309" s="3" t="s">
        <v>44</v>
      </c>
      <c r="E309" s="3" t="s">
        <v>52</v>
      </c>
      <c r="F309" s="3" t="s">
        <v>53</v>
      </c>
      <c r="G309" s="3" t="s">
        <v>25</v>
      </c>
      <c r="H309" s="3" t="s">
        <v>25</v>
      </c>
      <c r="I309" s="6">
        <v>44743</v>
      </c>
      <c r="J309" s="4">
        <v>0</v>
      </c>
      <c r="K309" s="4">
        <v>0</v>
      </c>
      <c r="L309" s="4">
        <v>7.734</v>
      </c>
      <c r="M309" s="4">
        <v>7.734</v>
      </c>
      <c r="N309" s="4">
        <v>7.734</v>
      </c>
      <c r="O309" s="4">
        <v>7.734</v>
      </c>
      <c r="P309" s="4">
        <v>0</v>
      </c>
      <c r="Q309" s="3" t="s">
        <v>26</v>
      </c>
      <c r="R309" s="3">
        <v>0</v>
      </c>
      <c r="S309" s="3">
        <v>0</v>
      </c>
      <c r="T309" s="3">
        <v>45</v>
      </c>
      <c r="U309" s="3">
        <v>77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273.93</v>
      </c>
      <c r="X309" s="4">
        <f>IF(ISERROR(VLOOKUP($U$309,'TAR FIN'!$A$1:$O$92,15,0)),0,VLOOKUP($U$309,'TAR FIN'!$A$1:$O$92,15,0))</f>
        <v>236.63</v>
      </c>
      <c r="Y309" s="4"/>
      <c r="Z309" s="4">
        <f ca="1">('TUSD BE'!$AM$33+'TUSD BF'!$AM$33+'TUSD CVA'!$AM$33)*(1-CUSTOS!$M$38)</f>
        <v>375.01673922321953</v>
      </c>
      <c r="AA309" s="4">
        <f>('TE BE'!$AB$24+'TE BF'!$AB$24+'TE CVA'!$AB$24)*(1-CUSTOS!$M$38)</f>
        <v>316.00497871224974</v>
      </c>
      <c r="AB309" s="4">
        <f t="shared" si="14"/>
        <v>0</v>
      </c>
      <c r="AC309" s="4">
        <f>(L309-M309)*(W309+X309)+($W$178+$X$178-$W$309-$X$309)*(L309)</f>
        <v>538.36373999999967</v>
      </c>
      <c r="AD309" s="4">
        <f t="shared" si="15"/>
        <v>0</v>
      </c>
      <c r="AE309" s="4">
        <f ca="1">(L309-M309)*(Z309+AA309)+($Z$178+$AA$178-$Z$309-$AA$309)*(L309)</f>
        <v>341.12948722422936</v>
      </c>
      <c r="AF309" s="3" t="s">
        <v>752</v>
      </c>
    </row>
    <row r="310" spans="1:32" ht="11.25" customHeight="1" x14ac:dyDescent="0.25">
      <c r="A310" s="3" t="s">
        <v>21</v>
      </c>
      <c r="B310" s="3" t="s">
        <v>43</v>
      </c>
      <c r="C310" s="3" t="s">
        <v>23</v>
      </c>
      <c r="D310" s="3" t="s">
        <v>44</v>
      </c>
      <c r="E310" s="3" t="s">
        <v>52</v>
      </c>
      <c r="F310" s="3" t="s">
        <v>53</v>
      </c>
      <c r="G310" s="3" t="s">
        <v>25</v>
      </c>
      <c r="H310" s="3" t="s">
        <v>25</v>
      </c>
      <c r="I310" s="6">
        <v>44774</v>
      </c>
      <c r="J310" s="4">
        <v>0</v>
      </c>
      <c r="K310" s="4">
        <v>0</v>
      </c>
      <c r="L310" s="4">
        <v>11.044</v>
      </c>
      <c r="M310" s="4">
        <v>11.044</v>
      </c>
      <c r="N310" s="4">
        <v>11.044</v>
      </c>
      <c r="O310" s="4">
        <v>11.044</v>
      </c>
      <c r="P310" s="4">
        <v>0</v>
      </c>
      <c r="Q310" s="3" t="s">
        <v>26</v>
      </c>
      <c r="R310" s="3">
        <v>0</v>
      </c>
      <c r="S310" s="3">
        <v>0</v>
      </c>
      <c r="T310" s="3">
        <v>45</v>
      </c>
      <c r="U310" s="3">
        <v>77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273.93</v>
      </c>
      <c r="X310" s="4">
        <f>IF(ISERROR(VLOOKUP($U$310,'TAR FIN'!$A$1:$O$92,15,0)),0,VLOOKUP($U$310,'TAR FIN'!$A$1:$O$92,15,0))</f>
        <v>236.63</v>
      </c>
      <c r="Y310" s="4"/>
      <c r="Z310" s="4">
        <f ca="1">('TUSD BE'!$AM$33+'TUSD BF'!$AM$33+'TUSD CVA'!$AM$33)*(1-CUSTOS!$M$38)</f>
        <v>375.01673922321953</v>
      </c>
      <c r="AA310" s="4">
        <f>('TE BE'!$AB$24+'TE BF'!$AB$24+'TE CVA'!$AB$24)*(1-CUSTOS!$M$38)</f>
        <v>316.00497871224974</v>
      </c>
      <c r="AB310" s="4">
        <f t="shared" si="14"/>
        <v>0</v>
      </c>
      <c r="AC310" s="4">
        <f>(L310-M310)*(W310+X310)+($W$178+$X$178-$W$310-$X$310)*(L310)</f>
        <v>768.77283999999952</v>
      </c>
      <c r="AD310" s="4">
        <f t="shared" si="15"/>
        <v>0</v>
      </c>
      <c r="AE310" s="4">
        <f ca="1">(L310-M310)*(Z310+AA310)+($Z$178+$AA$178-$Z$310-$AA$310)*(L310)</f>
        <v>487.12620337527665</v>
      </c>
      <c r="AF310" s="3" t="s">
        <v>752</v>
      </c>
    </row>
    <row r="311" spans="1:32" ht="11.25" customHeight="1" x14ac:dyDescent="0.25">
      <c r="A311" s="3" t="s">
        <v>21</v>
      </c>
      <c r="B311" s="3" t="s">
        <v>43</v>
      </c>
      <c r="C311" s="3" t="s">
        <v>23</v>
      </c>
      <c r="D311" s="3" t="s">
        <v>44</v>
      </c>
      <c r="E311" s="3" t="s">
        <v>52</v>
      </c>
      <c r="F311" s="3" t="s">
        <v>53</v>
      </c>
      <c r="G311" s="3" t="s">
        <v>25</v>
      </c>
      <c r="H311" s="3" t="s">
        <v>25</v>
      </c>
      <c r="I311" s="6">
        <v>44805</v>
      </c>
      <c r="J311" s="4">
        <v>0</v>
      </c>
      <c r="K311" s="4">
        <v>0</v>
      </c>
      <c r="L311" s="4">
        <v>24.166</v>
      </c>
      <c r="M311" s="4">
        <v>24.166</v>
      </c>
      <c r="N311" s="4">
        <v>24.166</v>
      </c>
      <c r="O311" s="4">
        <v>24.166</v>
      </c>
      <c r="P311" s="4">
        <v>0</v>
      </c>
      <c r="Q311" s="3" t="s">
        <v>26</v>
      </c>
      <c r="R311" s="3">
        <v>0</v>
      </c>
      <c r="S311" s="3">
        <v>0</v>
      </c>
      <c r="T311" s="3">
        <v>45</v>
      </c>
      <c r="U311" s="3">
        <v>77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273.93</v>
      </c>
      <c r="X311" s="4">
        <f>IF(ISERROR(VLOOKUP($U$311,'TAR FIN'!$A$1:$O$92,15,0)),0,VLOOKUP($U$311,'TAR FIN'!$A$1:$O$92,15,0))</f>
        <v>236.63</v>
      </c>
      <c r="Y311" s="4"/>
      <c r="Z311" s="4">
        <f ca="1">('TUSD BE'!$AM$33+'TUSD BF'!$AM$33+'TUSD CVA'!$AM$33)*(1-CUSTOS!$M$38)</f>
        <v>375.01673922321953</v>
      </c>
      <c r="AA311" s="4">
        <f>('TE BE'!$AB$24+'TE BF'!$AB$24+'TE CVA'!$AB$24)*(1-CUSTOS!$M$38)</f>
        <v>316.00497871224974</v>
      </c>
      <c r="AB311" s="4">
        <f t="shared" si="14"/>
        <v>0</v>
      </c>
      <c r="AC311" s="4">
        <f>(L311-M311)*(W311+X311)+($W$178+$X$178-$W$311-$X$311)*(L311)</f>
        <v>1682.1952599999991</v>
      </c>
      <c r="AD311" s="4">
        <f t="shared" si="15"/>
        <v>0</v>
      </c>
      <c r="AE311" s="4">
        <f ca="1">(L311-M311)*(Z311+AA311)+($Z$178+$AA$178-$Z$311-$AA$311)*(L311)</f>
        <v>1065.9083512103346</v>
      </c>
      <c r="AF311" s="3" t="s">
        <v>752</v>
      </c>
    </row>
    <row r="312" spans="1:32" ht="11.25" customHeight="1" x14ac:dyDescent="0.25">
      <c r="A312" s="3" t="s">
        <v>27</v>
      </c>
      <c r="B312" s="3" t="s">
        <v>43</v>
      </c>
      <c r="C312" s="3" t="s">
        <v>23</v>
      </c>
      <c r="D312" s="3" t="s">
        <v>44</v>
      </c>
      <c r="E312" s="3" t="s">
        <v>52</v>
      </c>
      <c r="F312" s="3" t="s">
        <v>53</v>
      </c>
      <c r="G312" s="3" t="s">
        <v>25</v>
      </c>
      <c r="H312" s="3" t="s">
        <v>25</v>
      </c>
      <c r="I312" s="6">
        <v>44805</v>
      </c>
      <c r="J312" s="4">
        <v>0</v>
      </c>
      <c r="K312" s="4">
        <v>0</v>
      </c>
      <c r="L312" s="4">
        <v>8.843</v>
      </c>
      <c r="M312" s="4">
        <v>8.843</v>
      </c>
      <c r="N312" s="4">
        <v>8.843</v>
      </c>
      <c r="O312" s="4">
        <v>8.843</v>
      </c>
      <c r="P312" s="4">
        <v>0</v>
      </c>
      <c r="Q312" s="3" t="s">
        <v>26</v>
      </c>
      <c r="R312" s="3">
        <v>0</v>
      </c>
      <c r="S312" s="3">
        <v>0</v>
      </c>
      <c r="T312" s="3">
        <v>45</v>
      </c>
      <c r="U312" s="3">
        <v>77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273.93</v>
      </c>
      <c r="X312" s="4">
        <f>IF(ISERROR(VLOOKUP($U$312,'TAR FIN'!$A$1:$O$92,15,0)),0,VLOOKUP($U$312,'TAR FIN'!$A$1:$O$92,15,0))</f>
        <v>236.63</v>
      </c>
      <c r="Y312" s="4"/>
      <c r="Z312" s="4">
        <f ca="1">('TUSD BE'!$AM$33+'TUSD BF'!$AM$33+'TUSD CVA'!$AM$33)*(1-CUSTOS!$M$38)</f>
        <v>375.01673922321953</v>
      </c>
      <c r="AA312" s="4">
        <f>('TE BE'!$AB$24+'TE BF'!$AB$24+'TE CVA'!$AB$24)*(1-CUSTOS!$M$38)</f>
        <v>316.00497871224974</v>
      </c>
      <c r="AB312" s="4">
        <f t="shared" si="14"/>
        <v>0</v>
      </c>
      <c r="AC312" s="4">
        <f>(L312-M312)*(W312+X312)+($W$178+$X$178-$W$312-$X$312)*(L312)</f>
        <v>615.56122999999957</v>
      </c>
      <c r="AD312" s="4">
        <f t="shared" si="15"/>
        <v>0</v>
      </c>
      <c r="AE312" s="4">
        <f ca="1">(L312-M312)*(Z312+AA312)+($Z$178+$AA$178-$Z$312-$AA$312)*(L312)</f>
        <v>390.04500330021466</v>
      </c>
      <c r="AF312" s="3" t="s">
        <v>752</v>
      </c>
    </row>
    <row r="313" spans="1:32" ht="11.25" customHeight="1" x14ac:dyDescent="0.25">
      <c r="A313" s="3" t="s">
        <v>55</v>
      </c>
      <c r="B313" s="3" t="s">
        <v>43</v>
      </c>
      <c r="C313" s="3" t="s">
        <v>23</v>
      </c>
      <c r="D313" s="3" t="s">
        <v>44</v>
      </c>
      <c r="E313" s="3" t="s">
        <v>52</v>
      </c>
      <c r="F313" s="3" t="s">
        <v>53</v>
      </c>
      <c r="G313" s="3" t="s">
        <v>25</v>
      </c>
      <c r="H313" s="3" t="s">
        <v>25</v>
      </c>
      <c r="I313" s="6">
        <v>44835</v>
      </c>
      <c r="J313" s="4">
        <v>0</v>
      </c>
      <c r="K313" s="4">
        <v>0</v>
      </c>
      <c r="L313" s="4">
        <v>24.166</v>
      </c>
      <c r="M313" s="4">
        <v>24.166</v>
      </c>
      <c r="N313" s="4">
        <v>24.166</v>
      </c>
      <c r="O313" s="4">
        <v>24.166</v>
      </c>
      <c r="P313" s="4">
        <v>0</v>
      </c>
      <c r="Q313" s="3" t="s">
        <v>26</v>
      </c>
      <c r="R313" s="3">
        <v>0</v>
      </c>
      <c r="S313" s="3">
        <v>0</v>
      </c>
      <c r="T313" s="3">
        <v>45</v>
      </c>
      <c r="U313" s="3">
        <v>77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273.93</v>
      </c>
      <c r="X313" s="4">
        <f>IF(ISERROR(VLOOKUP($U$313,'TAR FIN'!$A$1:$O$92,15,0)),0,VLOOKUP($U$313,'TAR FIN'!$A$1:$O$92,15,0))</f>
        <v>236.63</v>
      </c>
      <c r="Y313" s="4"/>
      <c r="Z313" s="4">
        <f ca="1">('TUSD BE'!$AM$33+'TUSD BF'!$AM$33+'TUSD CVA'!$AM$33)*(1-CUSTOS!$M$38)</f>
        <v>375.01673922321953</v>
      </c>
      <c r="AA313" s="4">
        <f>('TE BE'!$AB$24+'TE BF'!$AB$24+'TE CVA'!$AB$24)*(1-CUSTOS!$M$38)</f>
        <v>316.00497871224974</v>
      </c>
      <c r="AB313" s="4">
        <f t="shared" si="14"/>
        <v>0</v>
      </c>
      <c r="AC313" s="4">
        <f>(L313-M313)*(W313+X313)+($W$178+$X$178-$W$313-$X$313)*(L313)</f>
        <v>1682.1952599999991</v>
      </c>
      <c r="AD313" s="4">
        <f t="shared" si="15"/>
        <v>0</v>
      </c>
      <c r="AE313" s="4">
        <f ca="1">(L313-M313)*(Z313+AA313)+($Z$178+$AA$178-$Z$313-$AA$313)*(L313)</f>
        <v>1065.9083512103346</v>
      </c>
      <c r="AF313" s="3" t="s">
        <v>752</v>
      </c>
    </row>
    <row r="314" spans="1:32" ht="11.25" customHeight="1" x14ac:dyDescent="0.25">
      <c r="A314" s="3" t="s">
        <v>55</v>
      </c>
      <c r="B314" s="3" t="s">
        <v>43</v>
      </c>
      <c r="C314" s="3" t="s">
        <v>23</v>
      </c>
      <c r="D314" s="3" t="s">
        <v>44</v>
      </c>
      <c r="E314" s="3" t="s">
        <v>52</v>
      </c>
      <c r="F314" s="3" t="s">
        <v>53</v>
      </c>
      <c r="G314" s="3" t="s">
        <v>25</v>
      </c>
      <c r="H314" s="3" t="s">
        <v>25</v>
      </c>
      <c r="I314" s="6">
        <v>44835</v>
      </c>
      <c r="J314" s="4">
        <v>0</v>
      </c>
      <c r="K314" s="4">
        <v>0</v>
      </c>
      <c r="L314" s="4">
        <v>8.843</v>
      </c>
      <c r="M314" s="4">
        <v>8.843</v>
      </c>
      <c r="N314" s="4">
        <v>8.843</v>
      </c>
      <c r="O314" s="4">
        <v>8.843</v>
      </c>
      <c r="P314" s="4">
        <v>0</v>
      </c>
      <c r="Q314" s="3" t="s">
        <v>26</v>
      </c>
      <c r="R314" s="3">
        <v>0</v>
      </c>
      <c r="S314" s="3">
        <v>0</v>
      </c>
      <c r="T314" s="3">
        <v>45</v>
      </c>
      <c r="U314" s="3">
        <v>77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273.93</v>
      </c>
      <c r="X314" s="4">
        <f>IF(ISERROR(VLOOKUP($U$314,'TAR FIN'!$A$1:$O$92,15,0)),0,VLOOKUP($U$314,'TAR FIN'!$A$1:$O$92,15,0))</f>
        <v>236.63</v>
      </c>
      <c r="Y314" s="4"/>
      <c r="Z314" s="4">
        <f ca="1">('TUSD BE'!$AM$33+'TUSD BF'!$AM$33+'TUSD CVA'!$AM$33)*(1-CUSTOS!$M$38)</f>
        <v>375.01673922321953</v>
      </c>
      <c r="AA314" s="4">
        <f>('TE BE'!$AB$24+'TE BF'!$AB$24+'TE CVA'!$AB$24)*(1-CUSTOS!$M$38)</f>
        <v>316.00497871224974</v>
      </c>
      <c r="AB314" s="4">
        <f t="shared" si="14"/>
        <v>0</v>
      </c>
      <c r="AC314" s="4">
        <f>(L314-M314)*(W314+X314)+($W$178+$X$178-$W$314-$X$314)*(L314)</f>
        <v>615.56122999999957</v>
      </c>
      <c r="AD314" s="4">
        <f t="shared" si="15"/>
        <v>0</v>
      </c>
      <c r="AE314" s="4">
        <f ca="1">(L314-M314)*(Z314+AA314)+($Z$178+$AA$178-$Z$314-$AA$314)*(L314)</f>
        <v>390.04500330021466</v>
      </c>
      <c r="AF314" s="3" t="s">
        <v>752</v>
      </c>
    </row>
    <row r="315" spans="1:32" ht="11.25" customHeight="1" x14ac:dyDescent="0.25">
      <c r="A315" s="3" t="s">
        <v>21</v>
      </c>
      <c r="B315" s="3" t="s">
        <v>43</v>
      </c>
      <c r="C315" s="3" t="s">
        <v>23</v>
      </c>
      <c r="D315" s="3" t="s">
        <v>44</v>
      </c>
      <c r="E315" s="3" t="s">
        <v>52</v>
      </c>
      <c r="F315" s="3" t="s">
        <v>54</v>
      </c>
      <c r="G315" s="3" t="s">
        <v>25</v>
      </c>
      <c r="H315" s="3" t="s">
        <v>25</v>
      </c>
      <c r="I315" s="6">
        <v>44501</v>
      </c>
      <c r="J315" s="4">
        <v>0</v>
      </c>
      <c r="K315" s="4">
        <v>0</v>
      </c>
      <c r="L315" s="4">
        <v>51.384999999999998</v>
      </c>
      <c r="M315" s="4">
        <v>16.957049999999999</v>
      </c>
      <c r="N315" s="4">
        <v>51.384999999999998</v>
      </c>
      <c r="O315" s="4">
        <v>16.957049999999999</v>
      </c>
      <c r="P315" s="4">
        <v>0</v>
      </c>
      <c r="Q315" s="3" t="s">
        <v>26</v>
      </c>
      <c r="R315" s="3">
        <v>0</v>
      </c>
      <c r="S315" s="3">
        <v>0</v>
      </c>
      <c r="T315" s="3">
        <v>25</v>
      </c>
      <c r="U315" s="3">
        <v>77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261.48</v>
      </c>
      <c r="X315" s="4">
        <f>IF(ISERROR(VLOOKUP($U$315,'TAR FIN'!$A$1:$O$92,15,0)),0,VLOOKUP($U$315,'TAR FIN'!$A$1:$O$92,15,0))</f>
        <v>236.63</v>
      </c>
      <c r="Y315" s="4"/>
      <c r="Z315" s="4">
        <f ca="1">('TUSD BE'!$AM$33+'TUSD BF'!$AM$33+'TUSD CVA'!$AM$33)*(1-CUSTOS!$M$38)</f>
        <v>375.01673922321953</v>
      </c>
      <c r="AA315" s="4">
        <f>('TE BE'!$AB$24+'TE BF'!$AB$24+'TE CVA'!$AB$24)*(1-CUSTOS!$M$38)</f>
        <v>316.00497871224974</v>
      </c>
      <c r="AB315" s="4">
        <f t="shared" si="14"/>
        <v>0</v>
      </c>
      <c r="AC315" s="4">
        <f>(L315-M315)*(W315+X315)+($W$178+$X$178-$W$315-$X$315)*(L315)</f>
        <v>21365.559274499996</v>
      </c>
      <c r="AD315" s="4">
        <f t="shared" si="15"/>
        <v>0</v>
      </c>
      <c r="AE315" s="4">
        <f ca="1">(L315-M315)*(Z315+AA315)+($Z$178+$AA$178-$Z$315-$AA$315)*(L315)</f>
        <v>26056.938875876062</v>
      </c>
      <c r="AF315" s="3" t="s">
        <v>753</v>
      </c>
    </row>
    <row r="316" spans="1:32" ht="11.25" customHeight="1" x14ac:dyDescent="0.25">
      <c r="A316" s="3" t="s">
        <v>21</v>
      </c>
      <c r="B316" s="3" t="s">
        <v>43</v>
      </c>
      <c r="C316" s="3" t="s">
        <v>23</v>
      </c>
      <c r="D316" s="3" t="s">
        <v>44</v>
      </c>
      <c r="E316" s="3" t="s">
        <v>52</v>
      </c>
      <c r="F316" s="3" t="s">
        <v>54</v>
      </c>
      <c r="G316" s="3" t="s">
        <v>25</v>
      </c>
      <c r="H316" s="3" t="s">
        <v>25</v>
      </c>
      <c r="I316" s="6">
        <v>44531</v>
      </c>
      <c r="J316" s="4">
        <v>0</v>
      </c>
      <c r="K316" s="4">
        <v>0</v>
      </c>
      <c r="L316" s="4">
        <v>56.213999999999999</v>
      </c>
      <c r="M316" s="4">
        <v>18.550619999999999</v>
      </c>
      <c r="N316" s="4">
        <v>56.213999999999999</v>
      </c>
      <c r="O316" s="4">
        <v>18.550619999999999</v>
      </c>
      <c r="P316" s="4">
        <v>0</v>
      </c>
      <c r="Q316" s="3" t="s">
        <v>26</v>
      </c>
      <c r="R316" s="3">
        <v>0</v>
      </c>
      <c r="S316" s="3">
        <v>0</v>
      </c>
      <c r="T316" s="3">
        <v>25</v>
      </c>
      <c r="U316" s="3">
        <v>77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261.48</v>
      </c>
      <c r="X316" s="4">
        <f>IF(ISERROR(VLOOKUP($U$316,'TAR FIN'!$A$1:$O$92,15,0)),0,VLOOKUP($U$316,'TAR FIN'!$A$1:$O$92,15,0))</f>
        <v>236.63</v>
      </c>
      <c r="Y316" s="4"/>
      <c r="Z316" s="4">
        <f ca="1">('TUSD BE'!$AM$33+'TUSD BF'!$AM$33+'TUSD CVA'!$AM$33)*(1-CUSTOS!$M$38)</f>
        <v>375.01673922321953</v>
      </c>
      <c r="AA316" s="4">
        <f>('TE BE'!$AB$24+'TE BF'!$AB$24+'TE CVA'!$AB$24)*(1-CUSTOS!$M$38)</f>
        <v>316.00497871224974</v>
      </c>
      <c r="AB316" s="4">
        <f t="shared" si="14"/>
        <v>0</v>
      </c>
      <c r="AC316" s="4">
        <f>(L316-M316)*(W316+X316)+($W$178+$X$178-$W$316-$X$316)*(L316)</f>
        <v>23373.427051799998</v>
      </c>
      <c r="AD316" s="4">
        <f t="shared" si="15"/>
        <v>0</v>
      </c>
      <c r="AE316" s="4">
        <f ca="1">(L316-M316)*(Z316+AA316)+($Z$178+$AA$178-$Z$316-$AA$316)*(L316)</f>
        <v>28505.687690347324</v>
      </c>
      <c r="AF316" s="3" t="s">
        <v>753</v>
      </c>
    </row>
    <row r="317" spans="1:32" ht="11.25" customHeight="1" x14ac:dyDescent="0.25">
      <c r="A317" s="3" t="s">
        <v>21</v>
      </c>
      <c r="B317" s="3" t="s">
        <v>43</v>
      </c>
      <c r="C317" s="3" t="s">
        <v>23</v>
      </c>
      <c r="D317" s="3" t="s">
        <v>44</v>
      </c>
      <c r="E317" s="3" t="s">
        <v>52</v>
      </c>
      <c r="F317" s="3" t="s">
        <v>54</v>
      </c>
      <c r="G317" s="3" t="s">
        <v>25</v>
      </c>
      <c r="H317" s="3" t="s">
        <v>25</v>
      </c>
      <c r="I317" s="6">
        <v>44562</v>
      </c>
      <c r="J317" s="4">
        <v>0</v>
      </c>
      <c r="K317" s="4">
        <v>0</v>
      </c>
      <c r="L317" s="4">
        <v>114.125</v>
      </c>
      <c r="M317" s="4">
        <v>37.661250000000003</v>
      </c>
      <c r="N317" s="4">
        <v>114.125</v>
      </c>
      <c r="O317" s="4">
        <v>37.661250000000003</v>
      </c>
      <c r="P317" s="4">
        <v>0</v>
      </c>
      <c r="Q317" s="3" t="s">
        <v>26</v>
      </c>
      <c r="R317" s="3">
        <v>0</v>
      </c>
      <c r="S317" s="3">
        <v>0</v>
      </c>
      <c r="T317" s="3">
        <v>25</v>
      </c>
      <c r="U317" s="3">
        <v>77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261.48</v>
      </c>
      <c r="X317" s="4">
        <f>IF(ISERROR(VLOOKUP($U$317,'TAR FIN'!$A$1:$O$92,15,0)),0,VLOOKUP($U$317,'TAR FIN'!$A$1:$O$92,15,0))</f>
        <v>236.63</v>
      </c>
      <c r="Y317" s="4"/>
      <c r="Z317" s="4">
        <f ca="1">('TUSD BE'!$AM$33+'TUSD BF'!$AM$33+'TUSD CVA'!$AM$33)*(1-CUSTOS!$M$38)</f>
        <v>375.01673922321953</v>
      </c>
      <c r="AA317" s="4">
        <f>('TE BE'!$AB$24+'TE BF'!$AB$24+'TE CVA'!$AB$24)*(1-CUSTOS!$M$38)</f>
        <v>316.00497871224974</v>
      </c>
      <c r="AB317" s="4">
        <f t="shared" si="14"/>
        <v>0</v>
      </c>
      <c r="AC317" s="4">
        <f>(L317-M317)*(W317+X317)+($W$178+$X$178-$W$317-$X$317)*(L317)</f>
        <v>47452.456012499999</v>
      </c>
      <c r="AD317" s="4">
        <f t="shared" si="15"/>
        <v>0</v>
      </c>
      <c r="AE317" s="4">
        <f ca="1">(L317-M317)*(Z317+AA317)+($Z$178+$AA$178-$Z$317-$AA$317)*(L317)</f>
        <v>57871.91104815327</v>
      </c>
      <c r="AF317" s="3" t="s">
        <v>753</v>
      </c>
    </row>
    <row r="318" spans="1:32" ht="11.25" customHeight="1" x14ac:dyDescent="0.25">
      <c r="A318" s="3" t="s">
        <v>21</v>
      </c>
      <c r="B318" s="3" t="s">
        <v>43</v>
      </c>
      <c r="C318" s="3" t="s">
        <v>23</v>
      </c>
      <c r="D318" s="3" t="s">
        <v>44</v>
      </c>
      <c r="E318" s="3" t="s">
        <v>52</v>
      </c>
      <c r="F318" s="3" t="s">
        <v>54</v>
      </c>
      <c r="G318" s="3" t="s">
        <v>25</v>
      </c>
      <c r="H318" s="3" t="s">
        <v>25</v>
      </c>
      <c r="I318" s="6">
        <v>44593</v>
      </c>
      <c r="J318" s="4">
        <v>0</v>
      </c>
      <c r="K318" s="4">
        <v>0</v>
      </c>
      <c r="L318" s="4">
        <v>101.014</v>
      </c>
      <c r="M318" s="4">
        <v>33.334620000000001</v>
      </c>
      <c r="N318" s="4">
        <v>101.014</v>
      </c>
      <c r="O318" s="4">
        <v>33.334620000000001</v>
      </c>
      <c r="P318" s="4">
        <v>0</v>
      </c>
      <c r="Q318" s="3" t="s">
        <v>26</v>
      </c>
      <c r="R318" s="3">
        <v>0</v>
      </c>
      <c r="S318" s="3">
        <v>0</v>
      </c>
      <c r="T318" s="3">
        <v>25</v>
      </c>
      <c r="U318" s="3">
        <v>77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261.48</v>
      </c>
      <c r="X318" s="4">
        <f>IF(ISERROR(VLOOKUP($U$318,'TAR FIN'!$A$1:$O$92,15,0)),0,VLOOKUP($U$318,'TAR FIN'!$A$1:$O$92,15,0))</f>
        <v>236.63</v>
      </c>
      <c r="Y318" s="4"/>
      <c r="Z318" s="4">
        <f ca="1">('TUSD BE'!$AM$33+'TUSD BF'!$AM$33+'TUSD CVA'!$AM$33)*(1-CUSTOS!$M$38)</f>
        <v>375.01673922321953</v>
      </c>
      <c r="AA318" s="4">
        <f>('TE BE'!$AB$24+'TE BF'!$AB$24+'TE CVA'!$AB$24)*(1-CUSTOS!$M$38)</f>
        <v>316.00497871224974</v>
      </c>
      <c r="AB318" s="4">
        <f t="shared" si="14"/>
        <v>0</v>
      </c>
      <c r="AC318" s="4">
        <f>(L318-M318)*(W318+X318)+($W$178+$X$178-$W$318-$X$318)*(L318)</f>
        <v>42000.984811799994</v>
      </c>
      <c r="AD318" s="4">
        <f t="shared" si="15"/>
        <v>0</v>
      </c>
      <c r="AE318" s="4">
        <f ca="1">(L318-M318)*(Z318+AA318)+($Z$178+$AA$178-$Z$318-$AA$318)*(L318)</f>
        <v>51223.423637398941</v>
      </c>
      <c r="AF318" s="3" t="s">
        <v>753</v>
      </c>
    </row>
    <row r="319" spans="1:32" ht="11.25" customHeight="1" x14ac:dyDescent="0.25">
      <c r="A319" s="3" t="s">
        <v>21</v>
      </c>
      <c r="B319" s="3" t="s">
        <v>43</v>
      </c>
      <c r="C319" s="3" t="s">
        <v>23</v>
      </c>
      <c r="D319" s="3" t="s">
        <v>44</v>
      </c>
      <c r="E319" s="3" t="s">
        <v>52</v>
      </c>
      <c r="F319" s="3" t="s">
        <v>54</v>
      </c>
      <c r="G319" s="3" t="s">
        <v>25</v>
      </c>
      <c r="H319" s="3" t="s">
        <v>25</v>
      </c>
      <c r="I319" s="6">
        <v>44621</v>
      </c>
      <c r="J319" s="4">
        <v>0</v>
      </c>
      <c r="K319" s="4">
        <v>0</v>
      </c>
      <c r="L319" s="4">
        <v>40.966000000000001</v>
      </c>
      <c r="M319" s="4">
        <v>13.51878</v>
      </c>
      <c r="N319" s="4">
        <v>40.966000000000001</v>
      </c>
      <c r="O319" s="4">
        <v>13.51878</v>
      </c>
      <c r="P319" s="4">
        <v>0</v>
      </c>
      <c r="Q319" s="3" t="s">
        <v>26</v>
      </c>
      <c r="R319" s="3">
        <v>0</v>
      </c>
      <c r="S319" s="3">
        <v>0</v>
      </c>
      <c r="T319" s="3">
        <v>25</v>
      </c>
      <c r="U319" s="3">
        <v>77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261.48</v>
      </c>
      <c r="X319" s="4">
        <f>IF(ISERROR(VLOOKUP($U$319,'TAR FIN'!$A$1:$O$92,15,0)),0,VLOOKUP($U$319,'TAR FIN'!$A$1:$O$92,15,0))</f>
        <v>236.63</v>
      </c>
      <c r="Y319" s="4"/>
      <c r="Z319" s="4">
        <f ca="1">('TUSD BE'!$AM$33+'TUSD BF'!$AM$33+'TUSD CVA'!$AM$33)*(1-CUSTOS!$M$38)</f>
        <v>375.01673922321953</v>
      </c>
      <c r="AA319" s="4">
        <f>('TE BE'!$AB$24+'TE BF'!$AB$24+'TE CVA'!$AB$24)*(1-CUSTOS!$M$38)</f>
        <v>316.00497871224974</v>
      </c>
      <c r="AB319" s="4">
        <f t="shared" si="14"/>
        <v>0</v>
      </c>
      <c r="AC319" s="4">
        <f>(L319-M319)*(W319+X319)+($W$178+$X$178-$W$319-$X$319)*(L319)</f>
        <v>17033.404714199998</v>
      </c>
      <c r="AD319" s="4">
        <f t="shared" si="15"/>
        <v>0</v>
      </c>
      <c r="AE319" s="4">
        <f ca="1">(L319-M319)*(Z319+AA319)+($Z$178+$AA$178-$Z$319-$AA$319)*(L319)</f>
        <v>20773.543991225823</v>
      </c>
      <c r="AF319" s="3" t="s">
        <v>753</v>
      </c>
    </row>
    <row r="320" spans="1:32" ht="11.25" customHeight="1" x14ac:dyDescent="0.25">
      <c r="A320" s="3" t="s">
        <v>27</v>
      </c>
      <c r="B320" s="3" t="s">
        <v>43</v>
      </c>
      <c r="C320" s="3" t="s">
        <v>23</v>
      </c>
      <c r="D320" s="3" t="s">
        <v>44</v>
      </c>
      <c r="E320" s="3" t="s">
        <v>52</v>
      </c>
      <c r="F320" s="3" t="s">
        <v>54</v>
      </c>
      <c r="G320" s="3" t="s">
        <v>25</v>
      </c>
      <c r="H320" s="3" t="s">
        <v>25</v>
      </c>
      <c r="I320" s="6">
        <v>44621</v>
      </c>
      <c r="J320" s="4">
        <v>0</v>
      </c>
      <c r="K320" s="4">
        <v>0</v>
      </c>
      <c r="L320" s="4">
        <v>7.3369999999999997</v>
      </c>
      <c r="M320" s="4">
        <v>2.4212099999999999</v>
      </c>
      <c r="N320" s="4">
        <v>7.3369999999999997</v>
      </c>
      <c r="O320" s="4">
        <v>2.4212099999999999</v>
      </c>
      <c r="P320" s="4">
        <v>0</v>
      </c>
      <c r="Q320" s="3" t="s">
        <v>26</v>
      </c>
      <c r="R320" s="3">
        <v>0</v>
      </c>
      <c r="S320" s="3">
        <v>0</v>
      </c>
      <c r="T320" s="3">
        <v>25</v>
      </c>
      <c r="U320" s="3">
        <v>77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261.48</v>
      </c>
      <c r="X320" s="4">
        <f>IF(ISERROR(VLOOKUP($U$320,'TAR FIN'!$A$1:$O$92,15,0)),0,VLOOKUP($U$320,'TAR FIN'!$A$1:$O$92,15,0))</f>
        <v>236.63</v>
      </c>
      <c r="Y320" s="4"/>
      <c r="Z320" s="4">
        <f ca="1">('TUSD BE'!$AM$33+'TUSD BF'!$AM$33+'TUSD CVA'!$AM$33)*(1-CUSTOS!$M$38)</f>
        <v>375.01673922321953</v>
      </c>
      <c r="AA320" s="4">
        <f>('TE BE'!$AB$24+'TE BF'!$AB$24+'TE CVA'!$AB$24)*(1-CUSTOS!$M$38)</f>
        <v>316.00497871224974</v>
      </c>
      <c r="AB320" s="4">
        <f t="shared" si="14"/>
        <v>0</v>
      </c>
      <c r="AC320" s="4">
        <f>(L320-M320)*(W320+X320)+($W$178+$X$178-$W$320-$X$320)*(L320)</f>
        <v>3050.6783768999994</v>
      </c>
      <c r="AD320" s="4">
        <f t="shared" si="15"/>
        <v>0</v>
      </c>
      <c r="AE320" s="4">
        <f ca="1">(L320-M320)*(Z320+AA320)+($Z$178+$AA$178-$Z$320-$AA$320)*(L320)</f>
        <v>3720.5363536499494</v>
      </c>
      <c r="AF320" s="3" t="s">
        <v>753</v>
      </c>
    </row>
    <row r="321" spans="1:32" ht="11.25" customHeight="1" x14ac:dyDescent="0.25">
      <c r="A321" s="3" t="s">
        <v>21</v>
      </c>
      <c r="B321" s="3" t="s">
        <v>43</v>
      </c>
      <c r="C321" s="3" t="s">
        <v>23</v>
      </c>
      <c r="D321" s="3" t="s">
        <v>44</v>
      </c>
      <c r="E321" s="3" t="s">
        <v>52</v>
      </c>
      <c r="F321" s="3" t="s">
        <v>54</v>
      </c>
      <c r="G321" s="3" t="s">
        <v>25</v>
      </c>
      <c r="H321" s="3" t="s">
        <v>25</v>
      </c>
      <c r="I321" s="6">
        <v>44652</v>
      </c>
      <c r="J321" s="4">
        <v>0</v>
      </c>
      <c r="K321" s="4">
        <v>0</v>
      </c>
      <c r="L321" s="4">
        <v>40.966000000000001</v>
      </c>
      <c r="M321" s="4">
        <v>13.51878</v>
      </c>
      <c r="N321" s="4">
        <v>40.966000000000001</v>
      </c>
      <c r="O321" s="4">
        <v>13.51878</v>
      </c>
      <c r="P321" s="4">
        <v>0</v>
      </c>
      <c r="Q321" s="3" t="s">
        <v>26</v>
      </c>
      <c r="R321" s="3">
        <v>0</v>
      </c>
      <c r="S321" s="3">
        <v>0</v>
      </c>
      <c r="T321" s="3">
        <v>25</v>
      </c>
      <c r="U321" s="3">
        <v>77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261.48</v>
      </c>
      <c r="X321" s="4">
        <f>IF(ISERROR(VLOOKUP($U$321,'TAR FIN'!$A$1:$O$92,15,0)),0,VLOOKUP($U$321,'TAR FIN'!$A$1:$O$92,15,0))</f>
        <v>236.63</v>
      </c>
      <c r="Y321" s="4"/>
      <c r="Z321" s="4">
        <f ca="1">('TUSD BE'!$AM$33+'TUSD BF'!$AM$33+'TUSD CVA'!$AM$33)*(1-CUSTOS!$M$38)</f>
        <v>375.01673922321953</v>
      </c>
      <c r="AA321" s="4">
        <f>('TE BE'!$AB$24+'TE BF'!$AB$24+'TE CVA'!$AB$24)*(1-CUSTOS!$M$38)</f>
        <v>316.00497871224974</v>
      </c>
      <c r="AB321" s="4">
        <f t="shared" si="14"/>
        <v>0</v>
      </c>
      <c r="AC321" s="4">
        <f>(L321-M321)*(W321+X321)+($W$178+$X$178-$W$321-$X$321)*(L321)</f>
        <v>17033.404714199998</v>
      </c>
      <c r="AD321" s="4">
        <f t="shared" si="15"/>
        <v>0</v>
      </c>
      <c r="AE321" s="4">
        <f ca="1">(L321-M321)*(Z321+AA321)+($Z$178+$AA$178-$Z$321-$AA$321)*(L321)</f>
        <v>20773.543991225823</v>
      </c>
      <c r="AF321" s="3" t="s">
        <v>753</v>
      </c>
    </row>
    <row r="322" spans="1:32" ht="11.25" customHeight="1" x14ac:dyDescent="0.25">
      <c r="A322" s="3" t="s">
        <v>27</v>
      </c>
      <c r="B322" s="3" t="s">
        <v>43</v>
      </c>
      <c r="C322" s="3" t="s">
        <v>23</v>
      </c>
      <c r="D322" s="3" t="s">
        <v>44</v>
      </c>
      <c r="E322" s="3" t="s">
        <v>52</v>
      </c>
      <c r="F322" s="3" t="s">
        <v>54</v>
      </c>
      <c r="G322" s="3" t="s">
        <v>25</v>
      </c>
      <c r="H322" s="3" t="s">
        <v>25</v>
      </c>
      <c r="I322" s="6">
        <v>44652</v>
      </c>
      <c r="J322" s="4">
        <v>0</v>
      </c>
      <c r="K322" s="4">
        <v>0</v>
      </c>
      <c r="L322" s="4">
        <v>7.3369999999999997</v>
      </c>
      <c r="M322" s="4">
        <v>2.4212099999999999</v>
      </c>
      <c r="N322" s="4">
        <v>7.3369999999999997</v>
      </c>
      <c r="O322" s="4">
        <v>2.4212099999999999</v>
      </c>
      <c r="P322" s="4">
        <v>0</v>
      </c>
      <c r="Q322" s="3" t="s">
        <v>26</v>
      </c>
      <c r="R322" s="3">
        <v>0</v>
      </c>
      <c r="S322" s="3">
        <v>0</v>
      </c>
      <c r="T322" s="3">
        <v>25</v>
      </c>
      <c r="U322" s="3">
        <v>77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261.48</v>
      </c>
      <c r="X322" s="4">
        <f>IF(ISERROR(VLOOKUP($U$322,'TAR FIN'!$A$1:$O$92,15,0)),0,VLOOKUP($U$322,'TAR FIN'!$A$1:$O$92,15,0))</f>
        <v>236.63</v>
      </c>
      <c r="Y322" s="4"/>
      <c r="Z322" s="4">
        <f ca="1">('TUSD BE'!$AM$33+'TUSD BF'!$AM$33+'TUSD CVA'!$AM$33)*(1-CUSTOS!$M$38)</f>
        <v>375.01673922321953</v>
      </c>
      <c r="AA322" s="4">
        <f>('TE BE'!$AB$24+'TE BF'!$AB$24+'TE CVA'!$AB$24)*(1-CUSTOS!$M$38)</f>
        <v>316.00497871224974</v>
      </c>
      <c r="AB322" s="4">
        <f t="shared" ref="AB322:AB368" si="16">(J322-K322)*V322</f>
        <v>0</v>
      </c>
      <c r="AC322" s="4">
        <f>(L322-M322)*(W322+X322)+($W$178+$X$178-$W$322-$X$322)*(L322)</f>
        <v>3050.6783768999994</v>
      </c>
      <c r="AD322" s="4">
        <f t="shared" ref="AD322:AD368" si="17">(J322-K322)*Y322</f>
        <v>0</v>
      </c>
      <c r="AE322" s="4">
        <f ca="1">(L322-M322)*(Z322+AA322)+($Z$178+$AA$178-$Z$322-$AA$322)*(L322)</f>
        <v>3720.5363536499494</v>
      </c>
      <c r="AF322" s="3" t="s">
        <v>753</v>
      </c>
    </row>
    <row r="323" spans="1:32" ht="11.25" customHeight="1" x14ac:dyDescent="0.25">
      <c r="A323" s="3" t="s">
        <v>21</v>
      </c>
      <c r="B323" s="3" t="s">
        <v>43</v>
      </c>
      <c r="C323" s="3" t="s">
        <v>23</v>
      </c>
      <c r="D323" s="3" t="s">
        <v>44</v>
      </c>
      <c r="E323" s="3" t="s">
        <v>52</v>
      </c>
      <c r="F323" s="3" t="s">
        <v>54</v>
      </c>
      <c r="G323" s="3" t="s">
        <v>25</v>
      </c>
      <c r="H323" s="3" t="s">
        <v>25</v>
      </c>
      <c r="I323" s="6">
        <v>44682</v>
      </c>
      <c r="J323" s="4">
        <v>0</v>
      </c>
      <c r="K323" s="4">
        <v>0</v>
      </c>
      <c r="L323" s="4">
        <v>28.706</v>
      </c>
      <c r="M323" s="4">
        <v>9.4729799999999997</v>
      </c>
      <c r="N323" s="4">
        <v>28.706</v>
      </c>
      <c r="O323" s="4">
        <v>9.4729799999999997</v>
      </c>
      <c r="P323" s="4">
        <v>0</v>
      </c>
      <c r="Q323" s="3" t="s">
        <v>26</v>
      </c>
      <c r="R323" s="3">
        <v>0</v>
      </c>
      <c r="S323" s="3">
        <v>0</v>
      </c>
      <c r="T323" s="3">
        <v>25</v>
      </c>
      <c r="U323" s="3">
        <v>77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261.48</v>
      </c>
      <c r="X323" s="4">
        <f>IF(ISERROR(VLOOKUP($U$323,'TAR FIN'!$A$1:$O$92,15,0)),0,VLOOKUP($U$323,'TAR FIN'!$A$1:$O$92,15,0))</f>
        <v>236.63</v>
      </c>
      <c r="Y323" s="4"/>
      <c r="Z323" s="4">
        <f ca="1">('TUSD BE'!$AM$33+'TUSD BF'!$AM$33+'TUSD CVA'!$AM$33)*(1-CUSTOS!$M$38)</f>
        <v>375.01673922321953</v>
      </c>
      <c r="AA323" s="4">
        <f>('TE BE'!$AB$24+'TE BF'!$AB$24+'TE CVA'!$AB$24)*(1-CUSTOS!$M$38)</f>
        <v>316.00497871224974</v>
      </c>
      <c r="AB323" s="4">
        <f t="shared" si="16"/>
        <v>0</v>
      </c>
      <c r="AC323" s="4">
        <f>(L323-M323)*(W323+X323)+($W$178+$X$178-$W$323-$X$323)*(L323)</f>
        <v>11935.773952199997</v>
      </c>
      <c r="AD323" s="4">
        <f t="shared" si="17"/>
        <v>0</v>
      </c>
      <c r="AE323" s="4">
        <f ca="1">(L323-M323)*(Z323+AA323)+($Z$178+$AA$178-$Z$323-$AA$323)*(L323)</f>
        <v>14556.592145001427</v>
      </c>
      <c r="AF323" s="3" t="s">
        <v>753</v>
      </c>
    </row>
    <row r="324" spans="1:32" ht="11.25" customHeight="1" x14ac:dyDescent="0.25">
      <c r="A324" s="3" t="s">
        <v>27</v>
      </c>
      <c r="B324" s="3" t="s">
        <v>43</v>
      </c>
      <c r="C324" s="3" t="s">
        <v>23</v>
      </c>
      <c r="D324" s="3" t="s">
        <v>44</v>
      </c>
      <c r="E324" s="3" t="s">
        <v>52</v>
      </c>
      <c r="F324" s="3" t="s">
        <v>54</v>
      </c>
      <c r="G324" s="3" t="s">
        <v>25</v>
      </c>
      <c r="H324" s="3" t="s">
        <v>25</v>
      </c>
      <c r="I324" s="6">
        <v>44682</v>
      </c>
      <c r="J324" s="4">
        <v>0</v>
      </c>
      <c r="K324" s="4">
        <v>0</v>
      </c>
      <c r="L324" s="4">
        <v>18.808</v>
      </c>
      <c r="M324" s="4">
        <v>6.2066400000000002</v>
      </c>
      <c r="N324" s="4">
        <v>18.808</v>
      </c>
      <c r="O324" s="4">
        <v>6.2066400000000002</v>
      </c>
      <c r="P324" s="4">
        <v>0</v>
      </c>
      <c r="Q324" s="3" t="s">
        <v>26</v>
      </c>
      <c r="R324" s="3">
        <v>0</v>
      </c>
      <c r="S324" s="3">
        <v>0</v>
      </c>
      <c r="T324" s="3">
        <v>25</v>
      </c>
      <c r="U324" s="3">
        <v>77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261.48</v>
      </c>
      <c r="X324" s="4">
        <f>IF(ISERROR(VLOOKUP($U$324,'TAR FIN'!$A$1:$O$92,15,0)),0,VLOOKUP($U$324,'TAR FIN'!$A$1:$O$92,15,0))</f>
        <v>236.63</v>
      </c>
      <c r="Y324" s="4"/>
      <c r="Z324" s="4">
        <f ca="1">('TUSD BE'!$AM$33+'TUSD BF'!$AM$33+'TUSD CVA'!$AM$33)*(1-CUSTOS!$M$38)</f>
        <v>375.01673922321953</v>
      </c>
      <c r="AA324" s="4">
        <f>('TE BE'!$AB$24+'TE BF'!$AB$24+'TE CVA'!$AB$24)*(1-CUSTOS!$M$38)</f>
        <v>316.00497871224974</v>
      </c>
      <c r="AB324" s="4">
        <f t="shared" si="16"/>
        <v>0</v>
      </c>
      <c r="AC324" s="4">
        <f>(L324-M324)*(W324+X324)+($W$178+$X$178-$W$324-$X$324)*(L324)</f>
        <v>7820.2479095999988</v>
      </c>
      <c r="AD324" s="4">
        <f t="shared" si="17"/>
        <v>0</v>
      </c>
      <c r="AE324" s="4">
        <f ca="1">(L324-M324)*(Z324+AA324)+($Z$178+$AA$178-$Z$324-$AA$324)*(L324)</f>
        <v>9537.3923591997082</v>
      </c>
      <c r="AF324" s="3" t="s">
        <v>753</v>
      </c>
    </row>
    <row r="325" spans="1:32" ht="11.25" customHeight="1" x14ac:dyDescent="0.25">
      <c r="A325" s="3" t="s">
        <v>21</v>
      </c>
      <c r="B325" s="3" t="s">
        <v>43</v>
      </c>
      <c r="C325" s="3" t="s">
        <v>23</v>
      </c>
      <c r="D325" s="3" t="s">
        <v>44</v>
      </c>
      <c r="E325" s="3" t="s">
        <v>52</v>
      </c>
      <c r="F325" s="3" t="s">
        <v>54</v>
      </c>
      <c r="G325" s="3" t="s">
        <v>25</v>
      </c>
      <c r="H325" s="3" t="s">
        <v>25</v>
      </c>
      <c r="I325" s="6">
        <v>44713</v>
      </c>
      <c r="J325" s="4">
        <v>0</v>
      </c>
      <c r="K325" s="4">
        <v>0</v>
      </c>
      <c r="L325" s="4">
        <v>12.865</v>
      </c>
      <c r="M325" s="4">
        <v>4.2454499999999999</v>
      </c>
      <c r="N325" s="4">
        <v>12.865</v>
      </c>
      <c r="O325" s="4">
        <v>4.2454499999999999</v>
      </c>
      <c r="P325" s="4">
        <v>0</v>
      </c>
      <c r="Q325" s="3" t="s">
        <v>26</v>
      </c>
      <c r="R325" s="3">
        <v>0</v>
      </c>
      <c r="S325" s="3">
        <v>0</v>
      </c>
      <c r="T325" s="3">
        <v>25</v>
      </c>
      <c r="U325" s="3">
        <v>77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261.48</v>
      </c>
      <c r="X325" s="4">
        <f>IF(ISERROR(VLOOKUP($U$325,'TAR FIN'!$A$1:$O$92,15,0)),0,VLOOKUP($U$325,'TAR FIN'!$A$1:$O$92,15,0))</f>
        <v>236.63</v>
      </c>
      <c r="Y325" s="4"/>
      <c r="Z325" s="4">
        <f ca="1">('TUSD BE'!$AM$33+'TUSD BF'!$AM$33+'TUSD CVA'!$AM$33)*(1-CUSTOS!$M$38)</f>
        <v>375.01673922321953</v>
      </c>
      <c r="AA325" s="4">
        <f>('TE BE'!$AB$24+'TE BF'!$AB$24+'TE CVA'!$AB$24)*(1-CUSTOS!$M$38)</f>
        <v>316.00497871224974</v>
      </c>
      <c r="AB325" s="4">
        <f t="shared" si="16"/>
        <v>0</v>
      </c>
      <c r="AC325" s="4">
        <f>(L325-M325)*(W325+X325)+($W$178+$X$178-$W$325-$X$325)*(L325)</f>
        <v>5349.1859504999993</v>
      </c>
      <c r="AD325" s="4">
        <f t="shared" si="17"/>
        <v>0</v>
      </c>
      <c r="AE325" s="4">
        <f ca="1">(L325-M325)*(Z325+AA325)+($Z$178+$AA$178-$Z$325-$AA$325)*(L325)</f>
        <v>6523.7426999736417</v>
      </c>
      <c r="AF325" s="3" t="s">
        <v>753</v>
      </c>
    </row>
    <row r="326" spans="1:32" ht="11.25" customHeight="1" x14ac:dyDescent="0.25">
      <c r="A326" s="3" t="s">
        <v>27</v>
      </c>
      <c r="B326" s="3" t="s">
        <v>43</v>
      </c>
      <c r="C326" s="3" t="s">
        <v>23</v>
      </c>
      <c r="D326" s="3" t="s">
        <v>44</v>
      </c>
      <c r="E326" s="3" t="s">
        <v>52</v>
      </c>
      <c r="F326" s="3" t="s">
        <v>54</v>
      </c>
      <c r="G326" s="3" t="s">
        <v>25</v>
      </c>
      <c r="H326" s="3" t="s">
        <v>25</v>
      </c>
      <c r="I326" s="6">
        <v>44713</v>
      </c>
      <c r="J326" s="4">
        <v>0</v>
      </c>
      <c r="K326" s="4">
        <v>0</v>
      </c>
      <c r="L326" s="4">
        <v>-12.435</v>
      </c>
      <c r="M326" s="4">
        <v>-4.1035500000000003</v>
      </c>
      <c r="N326" s="4">
        <v>-12.435</v>
      </c>
      <c r="O326" s="4">
        <v>-4.1035500000000003</v>
      </c>
      <c r="P326" s="4">
        <v>0</v>
      </c>
      <c r="Q326" s="3" t="s">
        <v>26</v>
      </c>
      <c r="R326" s="3">
        <v>0</v>
      </c>
      <c r="S326" s="3">
        <v>0</v>
      </c>
      <c r="T326" s="3">
        <v>25</v>
      </c>
      <c r="U326" s="3">
        <v>77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261.48</v>
      </c>
      <c r="X326" s="4">
        <f>IF(ISERROR(VLOOKUP($U$326,'TAR FIN'!$A$1:$O$92,15,0)),0,VLOOKUP($U$326,'TAR FIN'!$A$1:$O$92,15,0))</f>
        <v>236.63</v>
      </c>
      <c r="Y326" s="4"/>
      <c r="Z326" s="4">
        <f ca="1">('TUSD BE'!$AM$33+'TUSD BF'!$AM$33+'TUSD CVA'!$AM$33)*(1-CUSTOS!$M$38)</f>
        <v>375.01673922321953</v>
      </c>
      <c r="AA326" s="4">
        <f>('TE BE'!$AB$24+'TE BF'!$AB$24+'TE CVA'!$AB$24)*(1-CUSTOS!$M$38)</f>
        <v>316.00497871224974</v>
      </c>
      <c r="AB326" s="4">
        <f t="shared" si="16"/>
        <v>0</v>
      </c>
      <c r="AC326" s="4">
        <f>(L326-M326)*(W326+X326)+($W$178+$X$178-$W$326-$X$326)*(L326)</f>
        <v>-5170.3946594999998</v>
      </c>
      <c r="AD326" s="4">
        <f t="shared" si="17"/>
        <v>0</v>
      </c>
      <c r="AE326" s="4">
        <f ca="1">(L326-M326)*(Z326+AA326)+($Z$178+$AA$178-$Z$326-$AA$326)*(L326)</f>
        <v>-6305.693002267566</v>
      </c>
      <c r="AF326" s="3" t="s">
        <v>753</v>
      </c>
    </row>
    <row r="327" spans="1:32" ht="11.25" customHeight="1" x14ac:dyDescent="0.25">
      <c r="A327" s="3" t="s">
        <v>21</v>
      </c>
      <c r="B327" s="3" t="s">
        <v>43</v>
      </c>
      <c r="C327" s="3" t="s">
        <v>23</v>
      </c>
      <c r="D327" s="3" t="s">
        <v>44</v>
      </c>
      <c r="E327" s="3" t="s">
        <v>52</v>
      </c>
      <c r="F327" s="3" t="s">
        <v>54</v>
      </c>
      <c r="G327" s="3" t="s">
        <v>25</v>
      </c>
      <c r="H327" s="3" t="s">
        <v>25</v>
      </c>
      <c r="I327" s="6">
        <v>44743</v>
      </c>
      <c r="J327" s="4">
        <v>0</v>
      </c>
      <c r="K327" s="4">
        <v>0</v>
      </c>
      <c r="L327" s="4">
        <v>11.131</v>
      </c>
      <c r="M327" s="4">
        <v>3.6732300000000002</v>
      </c>
      <c r="N327" s="4">
        <v>11.131</v>
      </c>
      <c r="O327" s="4">
        <v>3.6732300000000002</v>
      </c>
      <c r="P327" s="4">
        <v>0</v>
      </c>
      <c r="Q327" s="3" t="s">
        <v>26</v>
      </c>
      <c r="R327" s="3">
        <v>0</v>
      </c>
      <c r="S327" s="3">
        <v>0</v>
      </c>
      <c r="T327" s="3">
        <v>25</v>
      </c>
      <c r="U327" s="3">
        <v>77</v>
      </c>
      <c r="V327" s="4">
        <f>IF(ISERROR(VLOOKUP($S$327,'TAR FIN'!$A$1:$O$92,15,0)),0,VLOOKUP($S$327,'TAR FIN'!$A$1:$O$92,15,0))</f>
        <v>0</v>
      </c>
      <c r="W327" s="4">
        <f>IF(ISERROR(VLOOKUP($T$327,'TAR FIN'!$A$1:$O$92,15,0)),0,VLOOKUP($T$327,'TAR FIN'!$A$1:$O$92,15,0))</f>
        <v>261.48</v>
      </c>
      <c r="X327" s="4">
        <f>IF(ISERROR(VLOOKUP($U$327,'TAR FIN'!$A$1:$O$92,15,0)),0,VLOOKUP($U$327,'TAR FIN'!$A$1:$O$92,15,0))</f>
        <v>236.63</v>
      </c>
      <c r="Y327" s="4"/>
      <c r="Z327" s="4">
        <f ca="1">('TUSD BE'!$AM$33+'TUSD BF'!$AM$33+'TUSD CVA'!$AM$33)*(1-CUSTOS!$M$38)</f>
        <v>375.01673922321953</v>
      </c>
      <c r="AA327" s="4">
        <f>('TE BE'!$AB$24+'TE BF'!$AB$24+'TE CVA'!$AB$24)*(1-CUSTOS!$M$38)</f>
        <v>316.00497871224974</v>
      </c>
      <c r="AB327" s="4">
        <f t="shared" si="16"/>
        <v>0</v>
      </c>
      <c r="AC327" s="4">
        <f>(L327-M327)*(W327+X327)+($W$178+$X$178-$W$327-$X$327)*(L327)</f>
        <v>4628.1996746999994</v>
      </c>
      <c r="AD327" s="4">
        <f t="shared" si="17"/>
        <v>0</v>
      </c>
      <c r="AE327" s="4">
        <f ca="1">(L327-M327)*(Z327+AA327)+($Z$178+$AA$178-$Z$327-$AA$327)*(L327)</f>
        <v>5644.4446166658845</v>
      </c>
      <c r="AF327" s="3" t="s">
        <v>753</v>
      </c>
    </row>
    <row r="328" spans="1:32" ht="11.25" customHeight="1" x14ac:dyDescent="0.25">
      <c r="A328" s="3" t="s">
        <v>21</v>
      </c>
      <c r="B328" s="3" t="s">
        <v>43</v>
      </c>
      <c r="C328" s="3" t="s">
        <v>23</v>
      </c>
      <c r="D328" s="3" t="s">
        <v>44</v>
      </c>
      <c r="E328" s="3" t="s">
        <v>52</v>
      </c>
      <c r="F328" s="3" t="s">
        <v>54</v>
      </c>
      <c r="G328" s="3" t="s">
        <v>25</v>
      </c>
      <c r="H328" s="3" t="s">
        <v>25</v>
      </c>
      <c r="I328" s="6">
        <v>44774</v>
      </c>
      <c r="J328" s="4">
        <v>0</v>
      </c>
      <c r="K328" s="4">
        <v>0</v>
      </c>
      <c r="L328" s="4">
        <v>17.03</v>
      </c>
      <c r="M328" s="4">
        <v>5.6199000000000003</v>
      </c>
      <c r="N328" s="4">
        <v>17.03</v>
      </c>
      <c r="O328" s="4">
        <v>5.6199000000000003</v>
      </c>
      <c r="P328" s="4">
        <v>0</v>
      </c>
      <c r="Q328" s="3" t="s">
        <v>26</v>
      </c>
      <c r="R328" s="3">
        <v>0</v>
      </c>
      <c r="S328" s="3">
        <v>0</v>
      </c>
      <c r="T328" s="3">
        <v>25</v>
      </c>
      <c r="U328" s="3">
        <v>77</v>
      </c>
      <c r="V328" s="4">
        <f>IF(ISERROR(VLOOKUP($S$328,'TAR FIN'!$A$1:$O$92,15,0)),0,VLOOKUP($S$328,'TAR FIN'!$A$1:$O$92,15,0))</f>
        <v>0</v>
      </c>
      <c r="W328" s="4">
        <f>IF(ISERROR(VLOOKUP($T$328,'TAR FIN'!$A$1:$O$92,15,0)),0,VLOOKUP($T$328,'TAR FIN'!$A$1:$O$92,15,0))</f>
        <v>261.48</v>
      </c>
      <c r="X328" s="4">
        <f>IF(ISERROR(VLOOKUP($U$328,'TAR FIN'!$A$1:$O$92,15,0)),0,VLOOKUP($U$328,'TAR FIN'!$A$1:$O$92,15,0))</f>
        <v>236.63</v>
      </c>
      <c r="Y328" s="4"/>
      <c r="Z328" s="4">
        <f ca="1">('TUSD BE'!$AM$33+'TUSD BF'!$AM$33+'TUSD CVA'!$AM$33)*(1-CUSTOS!$M$38)</f>
        <v>375.01673922321953</v>
      </c>
      <c r="AA328" s="4">
        <f>('TE BE'!$AB$24+'TE BF'!$AB$24+'TE CVA'!$AB$24)*(1-CUSTOS!$M$38)</f>
        <v>316.00497871224974</v>
      </c>
      <c r="AB328" s="4">
        <f t="shared" si="16"/>
        <v>0</v>
      </c>
      <c r="AC328" s="4">
        <f>(L328-M328)*(W328+X328)+($W$178+$X$178-$W$328-$X$328)*(L328)</f>
        <v>7080.9667109999991</v>
      </c>
      <c r="AD328" s="4">
        <f t="shared" si="17"/>
        <v>0</v>
      </c>
      <c r="AE328" s="4">
        <f ca="1">(L328-M328)*(Z328+AA328)+($Z$178+$AA$178-$Z$328-$AA$328)*(L328)</f>
        <v>8635.7822138010979</v>
      </c>
      <c r="AF328" s="3" t="s">
        <v>753</v>
      </c>
    </row>
    <row r="329" spans="1:32" ht="11.25" customHeight="1" x14ac:dyDescent="0.25">
      <c r="A329" s="3" t="s">
        <v>21</v>
      </c>
      <c r="B329" s="3" t="s">
        <v>43</v>
      </c>
      <c r="C329" s="3" t="s">
        <v>23</v>
      </c>
      <c r="D329" s="3" t="s">
        <v>44</v>
      </c>
      <c r="E329" s="3" t="s">
        <v>52</v>
      </c>
      <c r="F329" s="3" t="s">
        <v>54</v>
      </c>
      <c r="G329" s="3" t="s">
        <v>25</v>
      </c>
      <c r="H329" s="3" t="s">
        <v>25</v>
      </c>
      <c r="I329" s="6">
        <v>44805</v>
      </c>
      <c r="J329" s="4">
        <v>0</v>
      </c>
      <c r="K329" s="4">
        <v>0</v>
      </c>
      <c r="L329" s="4">
        <v>26.576000000000001</v>
      </c>
      <c r="M329" s="4">
        <v>8.7700800000000001</v>
      </c>
      <c r="N329" s="4">
        <v>26.576000000000001</v>
      </c>
      <c r="O329" s="4">
        <v>8.7700800000000001</v>
      </c>
      <c r="P329" s="4">
        <v>0</v>
      </c>
      <c r="Q329" s="3" t="s">
        <v>26</v>
      </c>
      <c r="R329" s="3">
        <v>0</v>
      </c>
      <c r="S329" s="3">
        <v>0</v>
      </c>
      <c r="T329" s="3">
        <v>25</v>
      </c>
      <c r="U329" s="3">
        <v>77</v>
      </c>
      <c r="V329" s="4">
        <f>IF(ISERROR(VLOOKUP($S$329,'TAR FIN'!$A$1:$O$92,15,0)),0,VLOOKUP($S$329,'TAR FIN'!$A$1:$O$92,15,0))</f>
        <v>0</v>
      </c>
      <c r="W329" s="4">
        <f>IF(ISERROR(VLOOKUP($T$329,'TAR FIN'!$A$1:$O$92,15,0)),0,VLOOKUP($T$329,'TAR FIN'!$A$1:$O$92,15,0))</f>
        <v>261.48</v>
      </c>
      <c r="X329" s="4">
        <f>IF(ISERROR(VLOOKUP($U$329,'TAR FIN'!$A$1:$O$92,15,0)),0,VLOOKUP($U$329,'TAR FIN'!$A$1:$O$92,15,0))</f>
        <v>236.63</v>
      </c>
      <c r="Y329" s="4"/>
      <c r="Z329" s="4">
        <f ca="1">('TUSD BE'!$AM$33+'TUSD BF'!$AM$33+'TUSD CVA'!$AM$33)*(1-CUSTOS!$M$38)</f>
        <v>375.01673922321953</v>
      </c>
      <c r="AA329" s="4">
        <f>('TE BE'!$AB$24+'TE BF'!$AB$24+'TE CVA'!$AB$24)*(1-CUSTOS!$M$38)</f>
        <v>316.00497871224974</v>
      </c>
      <c r="AB329" s="4">
        <f t="shared" si="16"/>
        <v>0</v>
      </c>
      <c r="AC329" s="4">
        <f>(L329-M329)*(W329+X329)+($W$178+$X$178-$W$329-$X$329)*(L329)</f>
        <v>11050.133371199998</v>
      </c>
      <c r="AD329" s="4">
        <f t="shared" si="17"/>
        <v>0</v>
      </c>
      <c r="AE329" s="4">
        <f ca="1">(L329-M329)*(Z329+AA329)+($Z$178+$AA$178-$Z$329-$AA$329)*(L329)</f>
        <v>13476.485502875981</v>
      </c>
      <c r="AF329" s="3" t="s">
        <v>753</v>
      </c>
    </row>
    <row r="330" spans="1:32" ht="11.25" customHeight="1" x14ac:dyDescent="0.25">
      <c r="A330" s="3" t="s">
        <v>27</v>
      </c>
      <c r="B330" s="3" t="s">
        <v>43</v>
      </c>
      <c r="C330" s="3" t="s">
        <v>23</v>
      </c>
      <c r="D330" s="3" t="s">
        <v>44</v>
      </c>
      <c r="E330" s="3" t="s">
        <v>52</v>
      </c>
      <c r="F330" s="3" t="s">
        <v>54</v>
      </c>
      <c r="G330" s="3" t="s">
        <v>25</v>
      </c>
      <c r="H330" s="3" t="s">
        <v>25</v>
      </c>
      <c r="I330" s="6">
        <v>44805</v>
      </c>
      <c r="J330" s="4">
        <v>0</v>
      </c>
      <c r="K330" s="4">
        <v>0</v>
      </c>
      <c r="L330" s="4">
        <v>4.5650000000000004</v>
      </c>
      <c r="M330" s="4">
        <v>1.5064500000000001</v>
      </c>
      <c r="N330" s="4">
        <v>4.5650000000000004</v>
      </c>
      <c r="O330" s="4">
        <v>1.5064500000000001</v>
      </c>
      <c r="P330" s="4">
        <v>0</v>
      </c>
      <c r="Q330" s="3" t="s">
        <v>26</v>
      </c>
      <c r="R330" s="3">
        <v>0</v>
      </c>
      <c r="S330" s="3">
        <v>0</v>
      </c>
      <c r="T330" s="3">
        <v>25</v>
      </c>
      <c r="U330" s="3">
        <v>77</v>
      </c>
      <c r="V330" s="4">
        <f>IF(ISERROR(VLOOKUP($S$330,'TAR FIN'!$A$1:$O$92,15,0)),0,VLOOKUP($S$330,'TAR FIN'!$A$1:$O$92,15,0))</f>
        <v>0</v>
      </c>
      <c r="W330" s="4">
        <f>IF(ISERROR(VLOOKUP($T$330,'TAR FIN'!$A$1:$O$92,15,0)),0,VLOOKUP($T$330,'TAR FIN'!$A$1:$O$92,15,0))</f>
        <v>261.48</v>
      </c>
      <c r="X330" s="4">
        <f>IF(ISERROR(VLOOKUP($U$330,'TAR FIN'!$A$1:$O$92,15,0)),0,VLOOKUP($U$330,'TAR FIN'!$A$1:$O$92,15,0))</f>
        <v>236.63</v>
      </c>
      <c r="Y330" s="4"/>
      <c r="Z330" s="4">
        <f ca="1">('TUSD BE'!$AM$33+'TUSD BF'!$AM$33+'TUSD CVA'!$AM$33)*(1-CUSTOS!$M$38)</f>
        <v>375.01673922321953</v>
      </c>
      <c r="AA330" s="4">
        <f>('TE BE'!$AB$24+'TE BF'!$AB$24+'TE CVA'!$AB$24)*(1-CUSTOS!$M$38)</f>
        <v>316.00497871224974</v>
      </c>
      <c r="AB330" s="4">
        <f t="shared" si="16"/>
        <v>0</v>
      </c>
      <c r="AC330" s="4">
        <f>(L330-M330)*(W330+X330)+($W$178+$X$178-$W$330-$X$330)*(L330)</f>
        <v>1898.0982405</v>
      </c>
      <c r="AD330" s="4">
        <f t="shared" si="17"/>
        <v>0</v>
      </c>
      <c r="AE330" s="4">
        <f ca="1">(L330-M330)*(Z330+AA330)+($Z$178+$AA$178-$Z$330-$AA$330)*(L330)</f>
        <v>2314.8764419261315</v>
      </c>
      <c r="AF330" s="3" t="s">
        <v>753</v>
      </c>
    </row>
    <row r="331" spans="1:32" ht="11.25" customHeight="1" x14ac:dyDescent="0.25">
      <c r="A331" s="3" t="s">
        <v>55</v>
      </c>
      <c r="B331" s="3" t="s">
        <v>43</v>
      </c>
      <c r="C331" s="3" t="s">
        <v>23</v>
      </c>
      <c r="D331" s="3" t="s">
        <v>44</v>
      </c>
      <c r="E331" s="3" t="s">
        <v>52</v>
      </c>
      <c r="F331" s="3" t="s">
        <v>54</v>
      </c>
      <c r="G331" s="3" t="s">
        <v>25</v>
      </c>
      <c r="H331" s="3" t="s">
        <v>25</v>
      </c>
      <c r="I331" s="6">
        <v>44835</v>
      </c>
      <c r="J331" s="4">
        <v>0</v>
      </c>
      <c r="K331" s="4">
        <v>0</v>
      </c>
      <c r="L331" s="4">
        <v>26.576000000000001</v>
      </c>
      <c r="M331" s="4">
        <v>8.7700800000000001</v>
      </c>
      <c r="N331" s="4">
        <v>26.576000000000001</v>
      </c>
      <c r="O331" s="4">
        <v>8.7700800000000001</v>
      </c>
      <c r="P331" s="4">
        <v>0</v>
      </c>
      <c r="Q331" s="3" t="s">
        <v>26</v>
      </c>
      <c r="R331" s="3">
        <v>0</v>
      </c>
      <c r="S331" s="3">
        <v>0</v>
      </c>
      <c r="T331" s="3">
        <v>25</v>
      </c>
      <c r="U331" s="3">
        <v>77</v>
      </c>
      <c r="V331" s="4">
        <f>IF(ISERROR(VLOOKUP($S$331,'TAR FIN'!$A$1:$O$92,15,0)),0,VLOOKUP($S$331,'TAR FIN'!$A$1:$O$92,15,0))</f>
        <v>0</v>
      </c>
      <c r="W331" s="4">
        <f>IF(ISERROR(VLOOKUP($T$331,'TAR FIN'!$A$1:$O$92,15,0)),0,VLOOKUP($T$331,'TAR FIN'!$A$1:$O$92,15,0))</f>
        <v>261.48</v>
      </c>
      <c r="X331" s="4">
        <f>IF(ISERROR(VLOOKUP($U$331,'TAR FIN'!$A$1:$O$92,15,0)),0,VLOOKUP($U$331,'TAR FIN'!$A$1:$O$92,15,0))</f>
        <v>236.63</v>
      </c>
      <c r="Y331" s="4"/>
      <c r="Z331" s="4">
        <f ca="1">('TUSD BE'!$AM$33+'TUSD BF'!$AM$33+'TUSD CVA'!$AM$33)*(1-CUSTOS!$M$38)</f>
        <v>375.01673922321953</v>
      </c>
      <c r="AA331" s="4">
        <f>('TE BE'!$AB$24+'TE BF'!$AB$24+'TE CVA'!$AB$24)*(1-CUSTOS!$M$38)</f>
        <v>316.00497871224974</v>
      </c>
      <c r="AB331" s="4">
        <f t="shared" si="16"/>
        <v>0</v>
      </c>
      <c r="AC331" s="4">
        <f>(L331-M331)*(W331+X331)+($W$178+$X$178-$W$331-$X$331)*(L331)</f>
        <v>11050.133371199998</v>
      </c>
      <c r="AD331" s="4">
        <f t="shared" si="17"/>
        <v>0</v>
      </c>
      <c r="AE331" s="4">
        <f ca="1">(L331-M331)*(Z331+AA331)+($Z$178+$AA$178-$Z$331-$AA$331)*(L331)</f>
        <v>13476.485502875981</v>
      </c>
      <c r="AF331" s="3" t="s">
        <v>753</v>
      </c>
    </row>
    <row r="332" spans="1:32" ht="11.25" customHeight="1" x14ac:dyDescent="0.25">
      <c r="A332" s="3" t="s">
        <v>55</v>
      </c>
      <c r="B332" s="3" t="s">
        <v>43</v>
      </c>
      <c r="C332" s="3" t="s">
        <v>23</v>
      </c>
      <c r="D332" s="3" t="s">
        <v>44</v>
      </c>
      <c r="E332" s="3" t="s">
        <v>52</v>
      </c>
      <c r="F332" s="3" t="s">
        <v>54</v>
      </c>
      <c r="G332" s="3" t="s">
        <v>25</v>
      </c>
      <c r="H332" s="3" t="s">
        <v>25</v>
      </c>
      <c r="I332" s="6">
        <v>44835</v>
      </c>
      <c r="J332" s="4">
        <v>0</v>
      </c>
      <c r="K332" s="4">
        <v>0</v>
      </c>
      <c r="L332" s="4">
        <v>4.5650000000000004</v>
      </c>
      <c r="M332" s="4">
        <v>1.5064500000000001</v>
      </c>
      <c r="N332" s="4">
        <v>4.5650000000000004</v>
      </c>
      <c r="O332" s="4">
        <v>1.5064500000000001</v>
      </c>
      <c r="P332" s="4">
        <v>0</v>
      </c>
      <c r="Q332" s="3" t="s">
        <v>26</v>
      </c>
      <c r="R332" s="3">
        <v>0</v>
      </c>
      <c r="S332" s="3">
        <v>0</v>
      </c>
      <c r="T332" s="3">
        <v>25</v>
      </c>
      <c r="U332" s="3">
        <v>77</v>
      </c>
      <c r="V332" s="4">
        <f>IF(ISERROR(VLOOKUP($S$332,'TAR FIN'!$A$1:$O$92,15,0)),0,VLOOKUP($S$332,'TAR FIN'!$A$1:$O$92,15,0))</f>
        <v>0</v>
      </c>
      <c r="W332" s="4">
        <f>IF(ISERROR(VLOOKUP($T$332,'TAR FIN'!$A$1:$O$92,15,0)),0,VLOOKUP($T$332,'TAR FIN'!$A$1:$O$92,15,0))</f>
        <v>261.48</v>
      </c>
      <c r="X332" s="4">
        <f>IF(ISERROR(VLOOKUP($U$332,'TAR FIN'!$A$1:$O$92,15,0)),0,VLOOKUP($U$332,'TAR FIN'!$A$1:$O$92,15,0))</f>
        <v>236.63</v>
      </c>
      <c r="Y332" s="4"/>
      <c r="Z332" s="4">
        <f ca="1">('TUSD BE'!$AM$33+'TUSD BF'!$AM$33+'TUSD CVA'!$AM$33)*(1-CUSTOS!$M$38)</f>
        <v>375.01673922321953</v>
      </c>
      <c r="AA332" s="4">
        <f>('TE BE'!$AB$24+'TE BF'!$AB$24+'TE CVA'!$AB$24)*(1-CUSTOS!$M$38)</f>
        <v>316.00497871224974</v>
      </c>
      <c r="AB332" s="4">
        <f t="shared" si="16"/>
        <v>0</v>
      </c>
      <c r="AC332" s="4">
        <f>(L332-M332)*(W332+X332)+($W$178+$X$178-$W$332-$X$332)*(L332)</f>
        <v>1898.0982405</v>
      </c>
      <c r="AD332" s="4">
        <f t="shared" si="17"/>
        <v>0</v>
      </c>
      <c r="AE332" s="4">
        <f ca="1">(L332-M332)*(Z332+AA332)+($Z$178+$AA$178-$Z$332-$AA$332)*(L332)</f>
        <v>2314.8764419261315</v>
      </c>
      <c r="AF332" s="3" t="s">
        <v>753</v>
      </c>
    </row>
    <row r="333" spans="1:32" ht="11.25" customHeight="1" x14ac:dyDescent="0.25">
      <c r="A333" s="3" t="s">
        <v>21</v>
      </c>
      <c r="B333" s="3" t="s">
        <v>43</v>
      </c>
      <c r="C333" s="3" t="s">
        <v>23</v>
      </c>
      <c r="D333" s="3" t="s">
        <v>44</v>
      </c>
      <c r="E333" s="3" t="s">
        <v>25</v>
      </c>
      <c r="F333" s="3" t="s">
        <v>25</v>
      </c>
      <c r="G333" s="3" t="s">
        <v>25</v>
      </c>
      <c r="H333" s="3" t="s">
        <v>25</v>
      </c>
      <c r="I333" s="6">
        <v>44501</v>
      </c>
      <c r="J333" s="4">
        <v>0</v>
      </c>
      <c r="K333" s="4">
        <v>0</v>
      </c>
      <c r="L333" s="4">
        <v>4749.16</v>
      </c>
      <c r="M333" s="4">
        <v>4749.16</v>
      </c>
      <c r="N333" s="4">
        <v>4749.16</v>
      </c>
      <c r="O333" s="4">
        <v>4749.16</v>
      </c>
      <c r="P333" s="4">
        <v>20785</v>
      </c>
      <c r="Q333" s="3" t="s">
        <v>26</v>
      </c>
      <c r="R333" s="3">
        <v>0</v>
      </c>
      <c r="S333" s="3">
        <v>0</v>
      </c>
      <c r="T333" s="3">
        <v>45</v>
      </c>
      <c r="U333" s="3">
        <v>77</v>
      </c>
      <c r="V333" s="4">
        <f>IF(ISERROR(VLOOKUP($S$333,'TAR FIN'!$A$1:$O$92,15,0)),0,VLOOKUP($S$333,'TAR FIN'!$A$1:$O$92,15,0))</f>
        <v>0</v>
      </c>
      <c r="W333" s="4">
        <f>IF(ISERROR(VLOOKUP($T$333,'TAR FIN'!$A$1:$O$92,15,0)),0,VLOOKUP($T$333,'TAR FIN'!$A$1:$O$92,15,0))</f>
        <v>273.93</v>
      </c>
      <c r="X333" s="4">
        <f>IF(ISERROR(VLOOKUP($U$333,'TAR FIN'!$A$1:$O$92,15,0)),0,VLOOKUP($U$333,'TAR FIN'!$A$1:$O$92,15,0))</f>
        <v>236.63</v>
      </c>
      <c r="Y333" s="4"/>
      <c r="Z333" s="4">
        <f ca="1">('TUSD BE'!$AM$33+'TUSD BF'!$AM$33+'TUSD CVA'!$AM$33)*(1-CUSTOS!$M$38)</f>
        <v>375.01673922321953</v>
      </c>
      <c r="AA333" s="4">
        <f>('TE BE'!$AB$24+'TE BF'!$AB$24+'TE CVA'!$AB$24)*(1-CUSTOS!$M$38)</f>
        <v>316.00497871224974</v>
      </c>
      <c r="AB333" s="4">
        <f t="shared" si="16"/>
        <v>0</v>
      </c>
      <c r="AC333" s="4">
        <f>(L333-M333)*(W333+X333)+($W$178+$X$178-$W$333-$X$333)*(L333)</f>
        <v>330589.0275999998</v>
      </c>
      <c r="AD333" s="4">
        <f t="shared" si="17"/>
        <v>0</v>
      </c>
      <c r="AE333" s="4">
        <f ca="1">(L333-M333)*(Z333+AA333)+($Z$178+$AA$178-$Z$333-$AA$333)*(L333)</f>
        <v>209474.8533159841</v>
      </c>
      <c r="AF333" s="3" t="s">
        <v>752</v>
      </c>
    </row>
    <row r="334" spans="1:32" ht="11.25" customHeight="1" x14ac:dyDescent="0.25">
      <c r="A334" s="3" t="s">
        <v>27</v>
      </c>
      <c r="B334" s="3" t="s">
        <v>43</v>
      </c>
      <c r="C334" s="3" t="s">
        <v>23</v>
      </c>
      <c r="D334" s="3" t="s">
        <v>44</v>
      </c>
      <c r="E334" s="3" t="s">
        <v>25</v>
      </c>
      <c r="F334" s="3" t="s">
        <v>25</v>
      </c>
      <c r="G334" s="3" t="s">
        <v>25</v>
      </c>
      <c r="H334" s="3" t="s">
        <v>25</v>
      </c>
      <c r="I334" s="6">
        <v>44501</v>
      </c>
      <c r="J334" s="4">
        <v>0</v>
      </c>
      <c r="K334" s="4">
        <v>0</v>
      </c>
      <c r="L334" s="4">
        <v>-12.611000000000001</v>
      </c>
      <c r="M334" s="4">
        <v>-12.611000000000001</v>
      </c>
      <c r="N334" s="4">
        <v>-12.611000000000001</v>
      </c>
      <c r="O334" s="4">
        <v>-12.611000000000001</v>
      </c>
      <c r="P334" s="4">
        <v>-141</v>
      </c>
      <c r="Q334" s="3" t="s">
        <v>26</v>
      </c>
      <c r="R334" s="3">
        <v>0</v>
      </c>
      <c r="S334" s="3">
        <v>0</v>
      </c>
      <c r="T334" s="3">
        <v>45</v>
      </c>
      <c r="U334" s="3">
        <v>77</v>
      </c>
      <c r="V334" s="4">
        <f>IF(ISERROR(VLOOKUP($S$334,'TAR FIN'!$A$1:$O$92,15,0)),0,VLOOKUP($S$334,'TAR FIN'!$A$1:$O$92,15,0))</f>
        <v>0</v>
      </c>
      <c r="W334" s="4">
        <f>IF(ISERROR(VLOOKUP($T$334,'TAR FIN'!$A$1:$O$92,15,0)),0,VLOOKUP($T$334,'TAR FIN'!$A$1:$O$92,15,0))</f>
        <v>273.93</v>
      </c>
      <c r="X334" s="4">
        <f>IF(ISERROR(VLOOKUP($U$334,'TAR FIN'!$A$1:$O$92,15,0)),0,VLOOKUP($U$334,'TAR FIN'!$A$1:$O$92,15,0))</f>
        <v>236.63</v>
      </c>
      <c r="Y334" s="4"/>
      <c r="Z334" s="4">
        <f ca="1">('TUSD BE'!$AM$33+'TUSD BF'!$AM$33+'TUSD CVA'!$AM$33)*(1-CUSTOS!$M$38)</f>
        <v>375.01673922321953</v>
      </c>
      <c r="AA334" s="4">
        <f>('TE BE'!$AB$24+'TE BF'!$AB$24+'TE CVA'!$AB$24)*(1-CUSTOS!$M$38)</f>
        <v>316.00497871224974</v>
      </c>
      <c r="AB334" s="4">
        <f t="shared" si="16"/>
        <v>0</v>
      </c>
      <c r="AC334" s="4">
        <f>(L334-M334)*(W334+X334)+($W$178+$X$178-$W$334-$X$334)*(L334)</f>
        <v>-877.85170999999946</v>
      </c>
      <c r="AD334" s="4">
        <f t="shared" si="17"/>
        <v>0</v>
      </c>
      <c r="AE334" s="4">
        <f ca="1">(L334-M334)*(Z334+AA334)+($Z$178+$AA$178-$Z$334-$AA$334)*(L334)</f>
        <v>-556.24307775856698</v>
      </c>
      <c r="AF334" s="3" t="s">
        <v>752</v>
      </c>
    </row>
    <row r="335" spans="1:32" ht="11.25" customHeight="1" x14ac:dyDescent="0.25">
      <c r="A335" s="3" t="s">
        <v>28</v>
      </c>
      <c r="B335" s="3" t="s">
        <v>43</v>
      </c>
      <c r="C335" s="3" t="s">
        <v>23</v>
      </c>
      <c r="D335" s="3" t="s">
        <v>44</v>
      </c>
      <c r="E335" s="3" t="s">
        <v>25</v>
      </c>
      <c r="F335" s="3" t="s">
        <v>25</v>
      </c>
      <c r="G335" s="3" t="s">
        <v>25</v>
      </c>
      <c r="H335" s="3" t="s">
        <v>25</v>
      </c>
      <c r="I335" s="6">
        <v>44501</v>
      </c>
      <c r="J335" s="4">
        <v>0</v>
      </c>
      <c r="K335" s="4">
        <v>0</v>
      </c>
      <c r="L335" s="4">
        <v>10.558</v>
      </c>
      <c r="M335" s="4">
        <v>10.558</v>
      </c>
      <c r="N335" s="4">
        <v>10.558</v>
      </c>
      <c r="O335" s="4">
        <v>10.558</v>
      </c>
      <c r="P335" s="4">
        <v>18</v>
      </c>
      <c r="Q335" s="3" t="s">
        <v>26</v>
      </c>
      <c r="R335" s="3">
        <v>0</v>
      </c>
      <c r="S335" s="3">
        <v>0</v>
      </c>
      <c r="T335" s="3">
        <v>45</v>
      </c>
      <c r="U335" s="3">
        <v>77</v>
      </c>
      <c r="V335" s="4">
        <f>IF(ISERROR(VLOOKUP($S$335,'TAR FIN'!$A$1:$O$92,15,0)),0,VLOOKUP($S$335,'TAR FIN'!$A$1:$O$92,15,0))</f>
        <v>0</v>
      </c>
      <c r="W335" s="4">
        <f>IF(ISERROR(VLOOKUP($T$335,'TAR FIN'!$A$1:$O$92,15,0)),0,VLOOKUP($T$335,'TAR FIN'!$A$1:$O$92,15,0))</f>
        <v>273.93</v>
      </c>
      <c r="X335" s="4">
        <f>IF(ISERROR(VLOOKUP($U$335,'TAR FIN'!$A$1:$O$92,15,0)),0,VLOOKUP($U$335,'TAR FIN'!$A$1:$O$92,15,0))</f>
        <v>236.63</v>
      </c>
      <c r="Y335" s="4"/>
      <c r="Z335" s="4">
        <f ca="1">('TUSD BE'!$AM$33+'TUSD BF'!$AM$33+'TUSD CVA'!$AM$33)*(1-CUSTOS!$M$38)</f>
        <v>375.01673922321953</v>
      </c>
      <c r="AA335" s="4">
        <f>('TE BE'!$AB$24+'TE BF'!$AB$24+'TE CVA'!$AB$24)*(1-CUSTOS!$M$38)</f>
        <v>316.00497871224974</v>
      </c>
      <c r="AB335" s="4">
        <f t="shared" si="16"/>
        <v>0</v>
      </c>
      <c r="AC335" s="4">
        <f>(L335-M335)*(W335+X335)+($W$178+$X$178-$W$335-$X$335)*(L335)</f>
        <v>734.9423799999995</v>
      </c>
      <c r="AD335" s="4">
        <f t="shared" si="17"/>
        <v>0</v>
      </c>
      <c r="AE335" s="4">
        <f ca="1">(L335-M335)*(Z335+AA335)+($Z$178+$AA$178-$Z$335-$AA$335)*(L335)</f>
        <v>465.68982752953372</v>
      </c>
      <c r="AF335" s="3" t="s">
        <v>752</v>
      </c>
    </row>
    <row r="336" spans="1:32" ht="11.25" customHeight="1" x14ac:dyDescent="0.25">
      <c r="A336" s="3" t="s">
        <v>21</v>
      </c>
      <c r="B336" s="3" t="s">
        <v>43</v>
      </c>
      <c r="C336" s="3" t="s">
        <v>23</v>
      </c>
      <c r="D336" s="3" t="s">
        <v>44</v>
      </c>
      <c r="E336" s="3" t="s">
        <v>25</v>
      </c>
      <c r="F336" s="3" t="s">
        <v>25</v>
      </c>
      <c r="G336" s="3" t="s">
        <v>25</v>
      </c>
      <c r="H336" s="3" t="s">
        <v>25</v>
      </c>
      <c r="I336" s="6">
        <v>44531</v>
      </c>
      <c r="J336" s="4">
        <v>0</v>
      </c>
      <c r="K336" s="4">
        <v>0</v>
      </c>
      <c r="L336" s="4">
        <v>4572.6369999999997</v>
      </c>
      <c r="M336" s="4">
        <v>4572.6369999999997</v>
      </c>
      <c r="N336" s="4">
        <v>4572.6369999999997</v>
      </c>
      <c r="O336" s="4">
        <v>4572.6369999999997</v>
      </c>
      <c r="P336" s="4">
        <v>20901</v>
      </c>
      <c r="Q336" s="3" t="s">
        <v>26</v>
      </c>
      <c r="R336" s="3">
        <v>0</v>
      </c>
      <c r="S336" s="3">
        <v>0</v>
      </c>
      <c r="T336" s="3">
        <v>45</v>
      </c>
      <c r="U336" s="3">
        <v>77</v>
      </c>
      <c r="V336" s="4">
        <f>IF(ISERROR(VLOOKUP($S$336,'TAR FIN'!$A$1:$O$92,15,0)),0,VLOOKUP($S$336,'TAR FIN'!$A$1:$O$92,15,0))</f>
        <v>0</v>
      </c>
      <c r="W336" s="4">
        <f>IF(ISERROR(VLOOKUP($T$336,'TAR FIN'!$A$1:$O$92,15,0)),0,VLOOKUP($T$336,'TAR FIN'!$A$1:$O$92,15,0))</f>
        <v>273.93</v>
      </c>
      <c r="X336" s="4">
        <f>IF(ISERROR(VLOOKUP($U$336,'TAR FIN'!$A$1:$O$92,15,0)),0,VLOOKUP($U$336,'TAR FIN'!$A$1:$O$92,15,0))</f>
        <v>236.63</v>
      </c>
      <c r="Y336" s="4"/>
      <c r="Z336" s="4">
        <f ca="1">('TUSD BE'!$AM$33+'TUSD BF'!$AM$33+'TUSD CVA'!$AM$33)*(1-CUSTOS!$M$38)</f>
        <v>375.01673922321953</v>
      </c>
      <c r="AA336" s="4">
        <f>('TE BE'!$AB$24+'TE BF'!$AB$24+'TE CVA'!$AB$24)*(1-CUSTOS!$M$38)</f>
        <v>316.00497871224974</v>
      </c>
      <c r="AB336" s="4">
        <f t="shared" si="16"/>
        <v>0</v>
      </c>
      <c r="AC336" s="4">
        <f>(L336-M336)*(W336+X336)+($W$178+$X$178-$W$336-$X$336)*(L336)</f>
        <v>318301.2615699998</v>
      </c>
      <c r="AD336" s="4">
        <f t="shared" si="17"/>
        <v>0</v>
      </c>
      <c r="AE336" s="4">
        <f ca="1">(L336-M336)*(Z336+AA336)+($Z$178+$AA$178-$Z$336-$AA$336)*(L336)</f>
        <v>201688.8175682103</v>
      </c>
      <c r="AF336" s="3" t="s">
        <v>752</v>
      </c>
    </row>
    <row r="337" spans="1:32" ht="11.25" customHeight="1" x14ac:dyDescent="0.25">
      <c r="A337" s="3" t="s">
        <v>27</v>
      </c>
      <c r="B337" s="3" t="s">
        <v>43</v>
      </c>
      <c r="C337" s="3" t="s">
        <v>23</v>
      </c>
      <c r="D337" s="3" t="s">
        <v>44</v>
      </c>
      <c r="E337" s="3" t="s">
        <v>25</v>
      </c>
      <c r="F337" s="3" t="s">
        <v>25</v>
      </c>
      <c r="G337" s="3" t="s">
        <v>25</v>
      </c>
      <c r="H337" s="3" t="s">
        <v>25</v>
      </c>
      <c r="I337" s="6">
        <v>44531</v>
      </c>
      <c r="J337" s="4">
        <v>0</v>
      </c>
      <c r="K337" s="4">
        <v>0</v>
      </c>
      <c r="L337" s="4">
        <v>-1.2390000000000001</v>
      </c>
      <c r="M337" s="4">
        <v>-1.2390000000000001</v>
      </c>
      <c r="N337" s="4">
        <v>-1.2390000000000001</v>
      </c>
      <c r="O337" s="4">
        <v>-1.2390000000000001</v>
      </c>
      <c r="P337" s="4">
        <v>-1</v>
      </c>
      <c r="Q337" s="3" t="s">
        <v>26</v>
      </c>
      <c r="R337" s="3">
        <v>0</v>
      </c>
      <c r="S337" s="3">
        <v>0</v>
      </c>
      <c r="T337" s="3">
        <v>45</v>
      </c>
      <c r="U337" s="3">
        <v>77</v>
      </c>
      <c r="V337" s="4">
        <f>IF(ISERROR(VLOOKUP($S$337,'TAR FIN'!$A$1:$O$92,15,0)),0,VLOOKUP($S$337,'TAR FIN'!$A$1:$O$92,15,0))</f>
        <v>0</v>
      </c>
      <c r="W337" s="4">
        <f>IF(ISERROR(VLOOKUP($T$337,'TAR FIN'!$A$1:$O$92,15,0)),0,VLOOKUP($T$337,'TAR FIN'!$A$1:$O$92,15,0))</f>
        <v>273.93</v>
      </c>
      <c r="X337" s="4">
        <f>IF(ISERROR(VLOOKUP($U$337,'TAR FIN'!$A$1:$O$92,15,0)),0,VLOOKUP($U$337,'TAR FIN'!$A$1:$O$92,15,0))</f>
        <v>236.63</v>
      </c>
      <c r="Y337" s="4"/>
      <c r="Z337" s="4">
        <f ca="1">('TUSD BE'!$AM$33+'TUSD BF'!$AM$33+'TUSD CVA'!$AM$33)*(1-CUSTOS!$M$38)</f>
        <v>375.01673922321953</v>
      </c>
      <c r="AA337" s="4">
        <f>('TE BE'!$AB$24+'TE BF'!$AB$24+'TE CVA'!$AB$24)*(1-CUSTOS!$M$38)</f>
        <v>316.00497871224974</v>
      </c>
      <c r="AB337" s="4">
        <f t="shared" si="16"/>
        <v>0</v>
      </c>
      <c r="AC337" s="4">
        <f>(L337-M337)*(W337+X337)+($W$178+$X$178-$W$337-$X$337)*(L337)</f>
        <v>-86.246789999999947</v>
      </c>
      <c r="AD337" s="4">
        <f t="shared" si="17"/>
        <v>0</v>
      </c>
      <c r="AE337" s="4">
        <f ca="1">(L337-M337)*(Z337+AA337)+($Z$178+$AA$178-$Z$337-$AA$337)*(L337)</f>
        <v>-54.649526075875386</v>
      </c>
      <c r="AF337" s="3" t="s">
        <v>752</v>
      </c>
    </row>
    <row r="338" spans="1:32" ht="11.25" customHeight="1" x14ac:dyDescent="0.25">
      <c r="A338" s="3" t="s">
        <v>28</v>
      </c>
      <c r="B338" s="3" t="s">
        <v>43</v>
      </c>
      <c r="C338" s="3" t="s">
        <v>23</v>
      </c>
      <c r="D338" s="3" t="s">
        <v>44</v>
      </c>
      <c r="E338" s="3" t="s">
        <v>25</v>
      </c>
      <c r="F338" s="3" t="s">
        <v>25</v>
      </c>
      <c r="G338" s="3" t="s">
        <v>25</v>
      </c>
      <c r="H338" s="3" t="s">
        <v>25</v>
      </c>
      <c r="I338" s="6">
        <v>44531</v>
      </c>
      <c r="J338" s="4">
        <v>0</v>
      </c>
      <c r="K338" s="4">
        <v>0</v>
      </c>
      <c r="L338" s="4">
        <v>12.677</v>
      </c>
      <c r="M338" s="4">
        <v>12.677</v>
      </c>
      <c r="N338" s="4">
        <v>12.677</v>
      </c>
      <c r="O338" s="4">
        <v>12.677</v>
      </c>
      <c r="P338" s="4">
        <v>22</v>
      </c>
      <c r="Q338" s="3" t="s">
        <v>26</v>
      </c>
      <c r="R338" s="3">
        <v>0</v>
      </c>
      <c r="S338" s="3">
        <v>0</v>
      </c>
      <c r="T338" s="3">
        <v>45</v>
      </c>
      <c r="U338" s="3">
        <v>77</v>
      </c>
      <c r="V338" s="4">
        <f>IF(ISERROR(VLOOKUP($S$338,'TAR FIN'!$A$1:$O$92,15,0)),0,VLOOKUP($S$338,'TAR FIN'!$A$1:$O$92,15,0))</f>
        <v>0</v>
      </c>
      <c r="W338" s="4">
        <f>IF(ISERROR(VLOOKUP($T$338,'TAR FIN'!$A$1:$O$92,15,0)),0,VLOOKUP($T$338,'TAR FIN'!$A$1:$O$92,15,0))</f>
        <v>273.93</v>
      </c>
      <c r="X338" s="4">
        <f>IF(ISERROR(VLOOKUP($U$338,'TAR FIN'!$A$1:$O$92,15,0)),0,VLOOKUP($U$338,'TAR FIN'!$A$1:$O$92,15,0))</f>
        <v>236.63</v>
      </c>
      <c r="Y338" s="4"/>
      <c r="Z338" s="4">
        <f ca="1">('TUSD BE'!$AM$33+'TUSD BF'!$AM$33+'TUSD CVA'!$AM$33)*(1-CUSTOS!$M$38)</f>
        <v>375.01673922321953</v>
      </c>
      <c r="AA338" s="4">
        <f>('TE BE'!$AB$24+'TE BF'!$AB$24+'TE CVA'!$AB$24)*(1-CUSTOS!$M$38)</f>
        <v>316.00497871224974</v>
      </c>
      <c r="AB338" s="4">
        <f t="shared" si="16"/>
        <v>0</v>
      </c>
      <c r="AC338" s="4">
        <f>(L338-M338)*(W338+X338)+($W$178+$X$178-$W$338-$X$338)*(L338)</f>
        <v>882.44596999999942</v>
      </c>
      <c r="AD338" s="4">
        <f t="shared" si="17"/>
        <v>0</v>
      </c>
      <c r="AE338" s="4">
        <f ca="1">(L338-M338)*(Z338+AA338)+($Z$178+$AA$178-$Z$338-$AA$338)*(L338)</f>
        <v>559.15419052774189</v>
      </c>
      <c r="AF338" s="3" t="s">
        <v>752</v>
      </c>
    </row>
    <row r="339" spans="1:32" ht="11.25" customHeight="1" x14ac:dyDescent="0.25">
      <c r="A339" s="3" t="s">
        <v>21</v>
      </c>
      <c r="B339" s="3" t="s">
        <v>43</v>
      </c>
      <c r="C339" s="3" t="s">
        <v>23</v>
      </c>
      <c r="D339" s="3" t="s">
        <v>44</v>
      </c>
      <c r="E339" s="3" t="s">
        <v>25</v>
      </c>
      <c r="F339" s="3" t="s">
        <v>25</v>
      </c>
      <c r="G339" s="3" t="s">
        <v>25</v>
      </c>
      <c r="H339" s="3" t="s">
        <v>25</v>
      </c>
      <c r="I339" s="6">
        <v>44562</v>
      </c>
      <c r="J339" s="4">
        <v>0</v>
      </c>
      <c r="K339" s="4">
        <v>0</v>
      </c>
      <c r="L339" s="4">
        <v>4610.8729999999996</v>
      </c>
      <c r="M339" s="4">
        <v>4610.8729999999996</v>
      </c>
      <c r="N339" s="4">
        <v>4610.8729999999996</v>
      </c>
      <c r="O339" s="4">
        <v>4610.8729999999996</v>
      </c>
      <c r="P339" s="4">
        <v>21236</v>
      </c>
      <c r="Q339" s="3" t="s">
        <v>26</v>
      </c>
      <c r="R339" s="3">
        <v>0</v>
      </c>
      <c r="S339" s="3">
        <v>0</v>
      </c>
      <c r="T339" s="3">
        <v>45</v>
      </c>
      <c r="U339" s="3">
        <v>77</v>
      </c>
      <c r="V339" s="4">
        <f>IF(ISERROR(VLOOKUP($S$339,'TAR FIN'!$A$1:$O$92,15,0)),0,VLOOKUP($S$339,'TAR FIN'!$A$1:$O$92,15,0))</f>
        <v>0</v>
      </c>
      <c r="W339" s="4">
        <f>IF(ISERROR(VLOOKUP($T$339,'TAR FIN'!$A$1:$O$92,15,0)),0,VLOOKUP($T$339,'TAR FIN'!$A$1:$O$92,15,0))</f>
        <v>273.93</v>
      </c>
      <c r="X339" s="4">
        <f>IF(ISERROR(VLOOKUP($U$339,'TAR FIN'!$A$1:$O$92,15,0)),0,VLOOKUP($U$339,'TAR FIN'!$A$1:$O$92,15,0))</f>
        <v>236.63</v>
      </c>
      <c r="Y339" s="4"/>
      <c r="Z339" s="4">
        <f ca="1">('TUSD BE'!$AM$33+'TUSD BF'!$AM$33+'TUSD CVA'!$AM$33)*(1-CUSTOS!$M$38)</f>
        <v>375.01673922321953</v>
      </c>
      <c r="AA339" s="4">
        <f>('TE BE'!$AB$24+'TE BF'!$AB$24+'TE CVA'!$AB$24)*(1-CUSTOS!$M$38)</f>
        <v>316.00497871224974</v>
      </c>
      <c r="AB339" s="4">
        <f t="shared" si="16"/>
        <v>0</v>
      </c>
      <c r="AC339" s="4">
        <f>(L339-M339)*(W339+X339)+($W$178+$X$178-$W$339-$X$339)*(L339)</f>
        <v>320962.86952999979</v>
      </c>
      <c r="AD339" s="4">
        <f t="shared" si="17"/>
        <v>0</v>
      </c>
      <c r="AE339" s="4">
        <f ca="1">(L339-M339)*(Z339+AA339)+($Z$178+$AA$178-$Z$339-$AA$339)*(L339)</f>
        <v>203375.32223248566</v>
      </c>
      <c r="AF339" s="3" t="s">
        <v>752</v>
      </c>
    </row>
    <row r="340" spans="1:32" ht="11.25" customHeight="1" x14ac:dyDescent="0.25">
      <c r="A340" s="3" t="s">
        <v>27</v>
      </c>
      <c r="B340" s="3" t="s">
        <v>43</v>
      </c>
      <c r="C340" s="3" t="s">
        <v>23</v>
      </c>
      <c r="D340" s="3" t="s">
        <v>44</v>
      </c>
      <c r="E340" s="3" t="s">
        <v>25</v>
      </c>
      <c r="F340" s="3" t="s">
        <v>25</v>
      </c>
      <c r="G340" s="3" t="s">
        <v>25</v>
      </c>
      <c r="H340" s="3" t="s">
        <v>25</v>
      </c>
      <c r="I340" s="6">
        <v>44562</v>
      </c>
      <c r="J340" s="4">
        <v>0</v>
      </c>
      <c r="K340" s="4">
        <v>0</v>
      </c>
      <c r="L340" s="4">
        <v>-35.445999999999998</v>
      </c>
      <c r="M340" s="4">
        <v>-35.445999999999998</v>
      </c>
      <c r="N340" s="4">
        <v>-35.445999999999998</v>
      </c>
      <c r="O340" s="4">
        <v>-35.445999999999998</v>
      </c>
      <c r="P340" s="4">
        <v>-10</v>
      </c>
      <c r="Q340" s="3" t="s">
        <v>26</v>
      </c>
      <c r="R340" s="3">
        <v>0</v>
      </c>
      <c r="S340" s="3">
        <v>0</v>
      </c>
      <c r="T340" s="3">
        <v>45</v>
      </c>
      <c r="U340" s="3">
        <v>77</v>
      </c>
      <c r="V340" s="4">
        <f>IF(ISERROR(VLOOKUP($S$340,'TAR FIN'!$A$1:$O$92,15,0)),0,VLOOKUP($S$340,'TAR FIN'!$A$1:$O$92,15,0))</f>
        <v>0</v>
      </c>
      <c r="W340" s="4">
        <f>IF(ISERROR(VLOOKUP($T$340,'TAR FIN'!$A$1:$O$92,15,0)),0,VLOOKUP($T$340,'TAR FIN'!$A$1:$O$92,15,0))</f>
        <v>273.93</v>
      </c>
      <c r="X340" s="4">
        <f>IF(ISERROR(VLOOKUP($U$340,'TAR FIN'!$A$1:$O$92,15,0)),0,VLOOKUP($U$340,'TAR FIN'!$A$1:$O$92,15,0))</f>
        <v>236.63</v>
      </c>
      <c r="Y340" s="4"/>
      <c r="Z340" s="4">
        <f ca="1">('TUSD BE'!$AM$33+'TUSD BF'!$AM$33+'TUSD CVA'!$AM$33)*(1-CUSTOS!$M$38)</f>
        <v>375.01673922321953</v>
      </c>
      <c r="AA340" s="4">
        <f>('TE BE'!$AB$24+'TE BF'!$AB$24+'TE CVA'!$AB$24)*(1-CUSTOS!$M$38)</f>
        <v>316.00497871224974</v>
      </c>
      <c r="AB340" s="4">
        <f t="shared" si="16"/>
        <v>0</v>
      </c>
      <c r="AC340" s="4">
        <f>(L340-M340)*(W340+X340)+($W$178+$X$178-$W$340-$X$340)*(L340)</f>
        <v>-2467.3960599999982</v>
      </c>
      <c r="AD340" s="4">
        <f t="shared" si="17"/>
        <v>0</v>
      </c>
      <c r="AE340" s="4">
        <f ca="1">(L340-M340)*(Z340+AA340)+($Z$178+$AA$178-$Z$340-$AA$340)*(L340)</f>
        <v>-1563.4439881238729</v>
      </c>
      <c r="AF340" s="3" t="s">
        <v>752</v>
      </c>
    </row>
    <row r="341" spans="1:32" ht="11.25" customHeight="1" x14ac:dyDescent="0.25">
      <c r="A341" s="3" t="s">
        <v>28</v>
      </c>
      <c r="B341" s="3" t="s">
        <v>43</v>
      </c>
      <c r="C341" s="3" t="s">
        <v>23</v>
      </c>
      <c r="D341" s="3" t="s">
        <v>44</v>
      </c>
      <c r="E341" s="3" t="s">
        <v>25</v>
      </c>
      <c r="F341" s="3" t="s">
        <v>25</v>
      </c>
      <c r="G341" s="3" t="s">
        <v>25</v>
      </c>
      <c r="H341" s="3" t="s">
        <v>25</v>
      </c>
      <c r="I341" s="6">
        <v>44562</v>
      </c>
      <c r="J341" s="4">
        <v>0</v>
      </c>
      <c r="K341" s="4">
        <v>0</v>
      </c>
      <c r="L341" s="4">
        <v>12.787000000000001</v>
      </c>
      <c r="M341" s="4">
        <v>12.787000000000001</v>
      </c>
      <c r="N341" s="4">
        <v>12.787000000000001</v>
      </c>
      <c r="O341" s="4">
        <v>12.787000000000001</v>
      </c>
      <c r="P341" s="4">
        <v>23</v>
      </c>
      <c r="Q341" s="3" t="s">
        <v>26</v>
      </c>
      <c r="R341" s="3">
        <v>0</v>
      </c>
      <c r="S341" s="3">
        <v>0</v>
      </c>
      <c r="T341" s="3">
        <v>45</v>
      </c>
      <c r="U341" s="3">
        <v>77</v>
      </c>
      <c r="V341" s="4">
        <f>IF(ISERROR(VLOOKUP($S$341,'TAR FIN'!$A$1:$O$92,15,0)),0,VLOOKUP($S$341,'TAR FIN'!$A$1:$O$92,15,0))</f>
        <v>0</v>
      </c>
      <c r="W341" s="4">
        <f>IF(ISERROR(VLOOKUP($T$341,'TAR FIN'!$A$1:$O$92,15,0)),0,VLOOKUP($T$341,'TAR FIN'!$A$1:$O$92,15,0))</f>
        <v>273.93</v>
      </c>
      <c r="X341" s="4">
        <f>IF(ISERROR(VLOOKUP($U$341,'TAR FIN'!$A$1:$O$92,15,0)),0,VLOOKUP($U$341,'TAR FIN'!$A$1:$O$92,15,0))</f>
        <v>236.63</v>
      </c>
      <c r="Y341" s="4"/>
      <c r="Z341" s="4">
        <f ca="1">('TUSD BE'!$AM$33+'TUSD BF'!$AM$33+'TUSD CVA'!$AM$33)*(1-CUSTOS!$M$38)</f>
        <v>375.01673922321953</v>
      </c>
      <c r="AA341" s="4">
        <f>('TE BE'!$AB$24+'TE BF'!$AB$24+'TE CVA'!$AB$24)*(1-CUSTOS!$M$38)</f>
        <v>316.00497871224974</v>
      </c>
      <c r="AB341" s="4">
        <f t="shared" si="16"/>
        <v>0</v>
      </c>
      <c r="AC341" s="4">
        <f>(L341-M341)*(W341+X341)+($W$178+$X$178-$W$341-$X$341)*(L341)</f>
        <v>890.10306999999955</v>
      </c>
      <c r="AD341" s="4">
        <f t="shared" si="17"/>
        <v>0</v>
      </c>
      <c r="AE341" s="4">
        <f ca="1">(L341-M341)*(Z341+AA341)+($Z$178+$AA$178-$Z$341-$AA$341)*(L341)</f>
        <v>564.00604514303359</v>
      </c>
      <c r="AF341" s="3" t="s">
        <v>752</v>
      </c>
    </row>
    <row r="342" spans="1:32" ht="11.25" customHeight="1" x14ac:dyDescent="0.25">
      <c r="A342" s="3" t="s">
        <v>21</v>
      </c>
      <c r="B342" s="3" t="s">
        <v>43</v>
      </c>
      <c r="C342" s="3" t="s">
        <v>23</v>
      </c>
      <c r="D342" s="3" t="s">
        <v>44</v>
      </c>
      <c r="E342" s="3" t="s">
        <v>25</v>
      </c>
      <c r="F342" s="3" t="s">
        <v>25</v>
      </c>
      <c r="G342" s="3" t="s">
        <v>25</v>
      </c>
      <c r="H342" s="3" t="s">
        <v>25</v>
      </c>
      <c r="I342" s="6">
        <v>44593</v>
      </c>
      <c r="J342" s="4">
        <v>0</v>
      </c>
      <c r="K342" s="4">
        <v>0</v>
      </c>
      <c r="L342" s="4">
        <v>4667.0829999999996</v>
      </c>
      <c r="M342" s="4">
        <v>4667.0829999999996</v>
      </c>
      <c r="N342" s="4">
        <v>4667.0829999999996</v>
      </c>
      <c r="O342" s="4">
        <v>4667.0829999999996</v>
      </c>
      <c r="P342" s="4">
        <v>21352</v>
      </c>
      <c r="Q342" s="3" t="s">
        <v>26</v>
      </c>
      <c r="R342" s="3">
        <v>0</v>
      </c>
      <c r="S342" s="3">
        <v>0</v>
      </c>
      <c r="T342" s="3">
        <v>45</v>
      </c>
      <c r="U342" s="3">
        <v>77</v>
      </c>
      <c r="V342" s="4">
        <f>IF(ISERROR(VLOOKUP($S$342,'TAR FIN'!$A$1:$O$92,15,0)),0,VLOOKUP($S$342,'TAR FIN'!$A$1:$O$92,15,0))</f>
        <v>0</v>
      </c>
      <c r="W342" s="4">
        <f>IF(ISERROR(VLOOKUP($T$342,'TAR FIN'!$A$1:$O$92,15,0)),0,VLOOKUP($T$342,'TAR FIN'!$A$1:$O$92,15,0))</f>
        <v>273.93</v>
      </c>
      <c r="X342" s="4">
        <f>IF(ISERROR(VLOOKUP($U$342,'TAR FIN'!$A$1:$O$92,15,0)),0,VLOOKUP($U$342,'TAR FIN'!$A$1:$O$92,15,0))</f>
        <v>236.63</v>
      </c>
      <c r="Y342" s="4"/>
      <c r="Z342" s="4">
        <f ca="1">('TUSD BE'!$AM$33+'TUSD BF'!$AM$33+'TUSD CVA'!$AM$33)*(1-CUSTOS!$M$38)</f>
        <v>375.01673922321953</v>
      </c>
      <c r="AA342" s="4">
        <f>('TE BE'!$AB$24+'TE BF'!$AB$24+'TE CVA'!$AB$24)*(1-CUSTOS!$M$38)</f>
        <v>316.00497871224974</v>
      </c>
      <c r="AB342" s="4">
        <f t="shared" si="16"/>
        <v>0</v>
      </c>
      <c r="AC342" s="4">
        <f>(L342-M342)*(W342+X342)+($W$178+$X$178-$W$342-$X$342)*(L342)</f>
        <v>324875.64762999979</v>
      </c>
      <c r="AD342" s="4">
        <f t="shared" si="17"/>
        <v>0</v>
      </c>
      <c r="AE342" s="4">
        <f ca="1">(L342-M342)*(Z342+AA342)+($Z$178+$AA$178-$Z$342-$AA$342)*(L342)</f>
        <v>205854.61994089966</v>
      </c>
      <c r="AF342" s="3" t="s">
        <v>752</v>
      </c>
    </row>
    <row r="343" spans="1:32" ht="11.25" customHeight="1" x14ac:dyDescent="0.25">
      <c r="A343" s="3" t="s">
        <v>27</v>
      </c>
      <c r="B343" s="3" t="s">
        <v>43</v>
      </c>
      <c r="C343" s="3" t="s">
        <v>23</v>
      </c>
      <c r="D343" s="3" t="s">
        <v>44</v>
      </c>
      <c r="E343" s="3" t="s">
        <v>25</v>
      </c>
      <c r="F343" s="3" t="s">
        <v>25</v>
      </c>
      <c r="G343" s="3" t="s">
        <v>25</v>
      </c>
      <c r="H343" s="3" t="s">
        <v>25</v>
      </c>
      <c r="I343" s="6">
        <v>44593</v>
      </c>
      <c r="J343" s="4">
        <v>0</v>
      </c>
      <c r="K343" s="4">
        <v>0</v>
      </c>
      <c r="L343" s="4">
        <v>-10.644</v>
      </c>
      <c r="M343" s="4">
        <v>-10.644</v>
      </c>
      <c r="N343" s="4">
        <v>-10.644</v>
      </c>
      <c r="O343" s="4">
        <v>-10.644</v>
      </c>
      <c r="P343" s="4">
        <v>-119</v>
      </c>
      <c r="Q343" s="3" t="s">
        <v>26</v>
      </c>
      <c r="R343" s="3">
        <v>0</v>
      </c>
      <c r="S343" s="3">
        <v>0</v>
      </c>
      <c r="T343" s="3">
        <v>45</v>
      </c>
      <c r="U343" s="3">
        <v>77</v>
      </c>
      <c r="V343" s="4">
        <f>IF(ISERROR(VLOOKUP($S$343,'TAR FIN'!$A$1:$O$92,15,0)),0,VLOOKUP($S$343,'TAR FIN'!$A$1:$O$92,15,0))</f>
        <v>0</v>
      </c>
      <c r="W343" s="4">
        <f>IF(ISERROR(VLOOKUP($T$343,'TAR FIN'!$A$1:$O$92,15,0)),0,VLOOKUP($T$343,'TAR FIN'!$A$1:$O$92,15,0))</f>
        <v>273.93</v>
      </c>
      <c r="X343" s="4">
        <f>IF(ISERROR(VLOOKUP($U$343,'TAR FIN'!$A$1:$O$92,15,0)),0,VLOOKUP($U$343,'TAR FIN'!$A$1:$O$92,15,0))</f>
        <v>236.63</v>
      </c>
      <c r="Y343" s="4"/>
      <c r="Z343" s="4">
        <f ca="1">('TUSD BE'!$AM$33+'TUSD BF'!$AM$33+'TUSD CVA'!$AM$33)*(1-CUSTOS!$M$38)</f>
        <v>375.01673922321953</v>
      </c>
      <c r="AA343" s="4">
        <f>('TE BE'!$AB$24+'TE BF'!$AB$24+'TE CVA'!$AB$24)*(1-CUSTOS!$M$38)</f>
        <v>316.00497871224974</v>
      </c>
      <c r="AB343" s="4">
        <f t="shared" si="16"/>
        <v>0</v>
      </c>
      <c r="AC343" s="4">
        <f>(L343-M343)*(W343+X343)+($W$178+$X$178-$W$343-$X$343)*(L343)</f>
        <v>-740.92883999999958</v>
      </c>
      <c r="AD343" s="4">
        <f t="shared" si="17"/>
        <v>0</v>
      </c>
      <c r="AE343" s="4">
        <f ca="1">(L343-M343)*(Z343+AA343)+($Z$178+$AA$178-$Z$343-$AA$343)*(L343)</f>
        <v>-469.48309568330717</v>
      </c>
      <c r="AF343" s="3" t="s">
        <v>752</v>
      </c>
    </row>
    <row r="344" spans="1:32" ht="11.25" customHeight="1" x14ac:dyDescent="0.25">
      <c r="A344" s="3" t="s">
        <v>28</v>
      </c>
      <c r="B344" s="3" t="s">
        <v>43</v>
      </c>
      <c r="C344" s="3" t="s">
        <v>23</v>
      </c>
      <c r="D344" s="3" t="s">
        <v>44</v>
      </c>
      <c r="E344" s="3" t="s">
        <v>25</v>
      </c>
      <c r="F344" s="3" t="s">
        <v>25</v>
      </c>
      <c r="G344" s="3" t="s">
        <v>25</v>
      </c>
      <c r="H344" s="3" t="s">
        <v>25</v>
      </c>
      <c r="I344" s="6">
        <v>44593</v>
      </c>
      <c r="J344" s="4">
        <v>0</v>
      </c>
      <c r="K344" s="4">
        <v>0</v>
      </c>
      <c r="L344" s="4">
        <v>15.285</v>
      </c>
      <c r="M344" s="4">
        <v>15.285</v>
      </c>
      <c r="N344" s="4">
        <v>15.285</v>
      </c>
      <c r="O344" s="4">
        <v>15.285</v>
      </c>
      <c r="P344" s="4">
        <v>23</v>
      </c>
      <c r="Q344" s="3" t="s">
        <v>26</v>
      </c>
      <c r="R344" s="3">
        <v>0</v>
      </c>
      <c r="S344" s="3">
        <v>0</v>
      </c>
      <c r="T344" s="3">
        <v>45</v>
      </c>
      <c r="U344" s="3">
        <v>77</v>
      </c>
      <c r="V344" s="4">
        <f>IF(ISERROR(VLOOKUP($S$344,'TAR FIN'!$A$1:$O$92,15,0)),0,VLOOKUP($S$344,'TAR FIN'!$A$1:$O$92,15,0))</f>
        <v>0</v>
      </c>
      <c r="W344" s="4">
        <f>IF(ISERROR(VLOOKUP($T$344,'TAR FIN'!$A$1:$O$92,15,0)),0,VLOOKUP($T$344,'TAR FIN'!$A$1:$O$92,15,0))</f>
        <v>273.93</v>
      </c>
      <c r="X344" s="4">
        <f>IF(ISERROR(VLOOKUP($U$344,'TAR FIN'!$A$1:$O$92,15,0)),0,VLOOKUP($U$344,'TAR FIN'!$A$1:$O$92,15,0))</f>
        <v>236.63</v>
      </c>
      <c r="Y344" s="4"/>
      <c r="Z344" s="4">
        <f ca="1">('TUSD BE'!$AM$33+'TUSD BF'!$AM$33+'TUSD CVA'!$AM$33)*(1-CUSTOS!$M$38)</f>
        <v>375.01673922321953</v>
      </c>
      <c r="AA344" s="4">
        <f>('TE BE'!$AB$24+'TE BF'!$AB$24+'TE CVA'!$AB$24)*(1-CUSTOS!$M$38)</f>
        <v>316.00497871224974</v>
      </c>
      <c r="AB344" s="4">
        <f t="shared" si="16"/>
        <v>0</v>
      </c>
      <c r="AC344" s="4">
        <f>(L344-M344)*(W344+X344)+($W$178+$X$178-$W$344-$X$344)*(L344)</f>
        <v>1063.9888499999993</v>
      </c>
      <c r="AD344" s="4">
        <f t="shared" si="17"/>
        <v>0</v>
      </c>
      <c r="AE344" s="4">
        <f ca="1">(L344-M344)*(Z344+AA344)+($Z$178+$AA$178-$Z$344-$AA$344)*(L344)</f>
        <v>674.18725267938271</v>
      </c>
      <c r="AF344" s="3" t="s">
        <v>752</v>
      </c>
    </row>
    <row r="345" spans="1:32" ht="11.25" customHeight="1" x14ac:dyDescent="0.25">
      <c r="A345" s="3" t="s">
        <v>21</v>
      </c>
      <c r="B345" s="3" t="s">
        <v>43</v>
      </c>
      <c r="C345" s="3" t="s">
        <v>23</v>
      </c>
      <c r="D345" s="3" t="s">
        <v>44</v>
      </c>
      <c r="E345" s="3" t="s">
        <v>25</v>
      </c>
      <c r="F345" s="3" t="s">
        <v>25</v>
      </c>
      <c r="G345" s="3" t="s">
        <v>25</v>
      </c>
      <c r="H345" s="3" t="s">
        <v>25</v>
      </c>
      <c r="I345" s="6">
        <v>44621</v>
      </c>
      <c r="J345" s="4">
        <v>0</v>
      </c>
      <c r="K345" s="4">
        <v>0</v>
      </c>
      <c r="L345" s="4">
        <v>4556.893</v>
      </c>
      <c r="M345" s="4">
        <v>4556.893</v>
      </c>
      <c r="N345" s="4">
        <v>4556.893</v>
      </c>
      <c r="O345" s="4">
        <v>4556.893</v>
      </c>
      <c r="P345" s="4">
        <v>21403</v>
      </c>
      <c r="Q345" s="3" t="s">
        <v>26</v>
      </c>
      <c r="R345" s="3">
        <v>0</v>
      </c>
      <c r="S345" s="3">
        <v>0</v>
      </c>
      <c r="T345" s="3">
        <v>45</v>
      </c>
      <c r="U345" s="3">
        <v>77</v>
      </c>
      <c r="V345" s="4">
        <f>IF(ISERROR(VLOOKUP($S$345,'TAR FIN'!$A$1:$O$92,15,0)),0,VLOOKUP($S$345,'TAR FIN'!$A$1:$O$92,15,0))</f>
        <v>0</v>
      </c>
      <c r="W345" s="4">
        <f>IF(ISERROR(VLOOKUP($T$345,'TAR FIN'!$A$1:$O$92,15,0)),0,VLOOKUP($T$345,'TAR FIN'!$A$1:$O$92,15,0))</f>
        <v>273.93</v>
      </c>
      <c r="X345" s="4">
        <f>IF(ISERROR(VLOOKUP($U$345,'TAR FIN'!$A$1:$O$92,15,0)),0,VLOOKUP($U$345,'TAR FIN'!$A$1:$O$92,15,0))</f>
        <v>236.63</v>
      </c>
      <c r="Y345" s="4"/>
      <c r="Z345" s="4">
        <f ca="1">('TUSD BE'!$AM$33+'TUSD BF'!$AM$33+'TUSD CVA'!$AM$33)*(1-CUSTOS!$M$38)</f>
        <v>375.01673922321953</v>
      </c>
      <c r="AA345" s="4">
        <f>('TE BE'!$AB$24+'TE BF'!$AB$24+'TE CVA'!$AB$24)*(1-CUSTOS!$M$38)</f>
        <v>316.00497871224974</v>
      </c>
      <c r="AB345" s="4">
        <f t="shared" si="16"/>
        <v>0</v>
      </c>
      <c r="AC345" s="4">
        <f>(L345-M345)*(W345+X345)+($W$178+$X$178-$W$345-$X$345)*(L345)</f>
        <v>317205.32172999979</v>
      </c>
      <c r="AD345" s="4">
        <f t="shared" si="17"/>
        <v>0</v>
      </c>
      <c r="AE345" s="4">
        <f ca="1">(L345-M345)*(Z345+AA345)+($Z$178+$AA$178-$Z$345-$AA$345)*(L345)</f>
        <v>200994.38484945439</v>
      </c>
      <c r="AF345" s="3" t="s">
        <v>752</v>
      </c>
    </row>
    <row r="346" spans="1:32" ht="11.25" customHeight="1" x14ac:dyDescent="0.25">
      <c r="A346" s="3" t="s">
        <v>27</v>
      </c>
      <c r="B346" s="3" t="s">
        <v>43</v>
      </c>
      <c r="C346" s="3" t="s">
        <v>23</v>
      </c>
      <c r="D346" s="3" t="s">
        <v>44</v>
      </c>
      <c r="E346" s="3" t="s">
        <v>25</v>
      </c>
      <c r="F346" s="3" t="s">
        <v>25</v>
      </c>
      <c r="G346" s="3" t="s">
        <v>25</v>
      </c>
      <c r="H346" s="3" t="s">
        <v>25</v>
      </c>
      <c r="I346" s="6">
        <v>44621</v>
      </c>
      <c r="J346" s="4">
        <v>0</v>
      </c>
      <c r="K346" s="4">
        <v>0</v>
      </c>
      <c r="L346" s="4">
        <v>-10.068</v>
      </c>
      <c r="M346" s="4">
        <v>-10.068</v>
      </c>
      <c r="N346" s="4">
        <v>-10.068</v>
      </c>
      <c r="O346" s="4">
        <v>-10.068</v>
      </c>
      <c r="P346" s="4">
        <v>-23</v>
      </c>
      <c r="Q346" s="3" t="s">
        <v>26</v>
      </c>
      <c r="R346" s="3">
        <v>0</v>
      </c>
      <c r="S346" s="3">
        <v>0</v>
      </c>
      <c r="T346" s="3">
        <v>45</v>
      </c>
      <c r="U346" s="3">
        <v>77</v>
      </c>
      <c r="V346" s="4">
        <f>IF(ISERROR(VLOOKUP($S$346,'TAR FIN'!$A$1:$O$92,15,0)),0,VLOOKUP($S$346,'TAR FIN'!$A$1:$O$92,15,0))</f>
        <v>0</v>
      </c>
      <c r="W346" s="4">
        <f>IF(ISERROR(VLOOKUP($T$346,'TAR FIN'!$A$1:$O$92,15,0)),0,VLOOKUP($T$346,'TAR FIN'!$A$1:$O$92,15,0))</f>
        <v>273.93</v>
      </c>
      <c r="X346" s="4">
        <f>IF(ISERROR(VLOOKUP($U$346,'TAR FIN'!$A$1:$O$92,15,0)),0,VLOOKUP($U$346,'TAR FIN'!$A$1:$O$92,15,0))</f>
        <v>236.63</v>
      </c>
      <c r="Y346" s="4"/>
      <c r="Z346" s="4">
        <f ca="1">('TUSD BE'!$AM$33+'TUSD BF'!$AM$33+'TUSD CVA'!$AM$33)*(1-CUSTOS!$M$38)</f>
        <v>375.01673922321953</v>
      </c>
      <c r="AA346" s="4">
        <f>('TE BE'!$AB$24+'TE BF'!$AB$24+'TE CVA'!$AB$24)*(1-CUSTOS!$M$38)</f>
        <v>316.00497871224974</v>
      </c>
      <c r="AB346" s="4">
        <f t="shared" si="16"/>
        <v>0</v>
      </c>
      <c r="AC346" s="4">
        <f>(L346-M346)*(W346+X346)+($W$178+$X$178-$W$346-$X$346)*(L346)</f>
        <v>-700.83347999999955</v>
      </c>
      <c r="AD346" s="4">
        <f t="shared" si="17"/>
        <v>0</v>
      </c>
      <c r="AE346" s="4">
        <f ca="1">(L346-M346)*(Z346+AA346)+($Z$178+$AA$178-$Z$346-$AA$346)*(L346)</f>
        <v>-444.07702060687114</v>
      </c>
      <c r="AF346" s="3" t="s">
        <v>752</v>
      </c>
    </row>
    <row r="347" spans="1:32" ht="11.25" customHeight="1" x14ac:dyDescent="0.25">
      <c r="A347" s="3" t="s">
        <v>28</v>
      </c>
      <c r="B347" s="3" t="s">
        <v>43</v>
      </c>
      <c r="C347" s="3" t="s">
        <v>23</v>
      </c>
      <c r="D347" s="3" t="s">
        <v>44</v>
      </c>
      <c r="E347" s="3" t="s">
        <v>25</v>
      </c>
      <c r="F347" s="3" t="s">
        <v>25</v>
      </c>
      <c r="G347" s="3" t="s">
        <v>25</v>
      </c>
      <c r="H347" s="3" t="s">
        <v>25</v>
      </c>
      <c r="I347" s="6">
        <v>44621</v>
      </c>
      <c r="J347" s="4">
        <v>0</v>
      </c>
      <c r="K347" s="4">
        <v>0</v>
      </c>
      <c r="L347" s="4">
        <v>14.442</v>
      </c>
      <c r="M347" s="4">
        <v>14.442</v>
      </c>
      <c r="N347" s="4">
        <v>14.442</v>
      </c>
      <c r="O347" s="4">
        <v>14.442</v>
      </c>
      <c r="P347" s="4">
        <v>24</v>
      </c>
      <c r="Q347" s="3" t="s">
        <v>26</v>
      </c>
      <c r="R347" s="3">
        <v>0</v>
      </c>
      <c r="S347" s="3">
        <v>0</v>
      </c>
      <c r="T347" s="3">
        <v>45</v>
      </c>
      <c r="U347" s="3">
        <v>77</v>
      </c>
      <c r="V347" s="4">
        <f>IF(ISERROR(VLOOKUP($S$347,'TAR FIN'!$A$1:$O$92,15,0)),0,VLOOKUP($S$347,'TAR FIN'!$A$1:$O$92,15,0))</f>
        <v>0</v>
      </c>
      <c r="W347" s="4">
        <f>IF(ISERROR(VLOOKUP($T$347,'TAR FIN'!$A$1:$O$92,15,0)),0,VLOOKUP($T$347,'TAR FIN'!$A$1:$O$92,15,0))</f>
        <v>273.93</v>
      </c>
      <c r="X347" s="4">
        <f>IF(ISERROR(VLOOKUP($U$347,'TAR FIN'!$A$1:$O$92,15,0)),0,VLOOKUP($U$347,'TAR FIN'!$A$1:$O$92,15,0))</f>
        <v>236.63</v>
      </c>
      <c r="Y347" s="4"/>
      <c r="Z347" s="4">
        <f ca="1">('TUSD BE'!$AM$33+'TUSD BF'!$AM$33+'TUSD CVA'!$AM$33)*(1-CUSTOS!$M$38)</f>
        <v>375.01673922321953</v>
      </c>
      <c r="AA347" s="4">
        <f>('TE BE'!$AB$24+'TE BF'!$AB$24+'TE CVA'!$AB$24)*(1-CUSTOS!$M$38)</f>
        <v>316.00497871224974</v>
      </c>
      <c r="AB347" s="4">
        <f t="shared" si="16"/>
        <v>0</v>
      </c>
      <c r="AC347" s="4">
        <f>(L347-M347)*(W347+X347)+($W$178+$X$178-$W$347-$X$347)*(L347)</f>
        <v>1005.3076199999994</v>
      </c>
      <c r="AD347" s="4">
        <f t="shared" si="17"/>
        <v>0</v>
      </c>
      <c r="AE347" s="4">
        <f ca="1">(L347-M347)*(Z347+AA347)+($Z$178+$AA$178-$Z$347-$AA$347)*(L347)</f>
        <v>637.00440321855717</v>
      </c>
      <c r="AF347" s="3" t="s">
        <v>752</v>
      </c>
    </row>
    <row r="348" spans="1:32" ht="11.25" customHeight="1" x14ac:dyDescent="0.25">
      <c r="A348" s="3" t="s">
        <v>21</v>
      </c>
      <c r="B348" s="3" t="s">
        <v>43</v>
      </c>
      <c r="C348" s="3" t="s">
        <v>23</v>
      </c>
      <c r="D348" s="3" t="s">
        <v>44</v>
      </c>
      <c r="E348" s="3" t="s">
        <v>25</v>
      </c>
      <c r="F348" s="3" t="s">
        <v>25</v>
      </c>
      <c r="G348" s="3" t="s">
        <v>25</v>
      </c>
      <c r="H348" s="3" t="s">
        <v>25</v>
      </c>
      <c r="I348" s="6">
        <v>44652</v>
      </c>
      <c r="J348" s="4">
        <v>0</v>
      </c>
      <c r="K348" s="4">
        <v>0</v>
      </c>
      <c r="L348" s="4">
        <v>4556.893</v>
      </c>
      <c r="M348" s="4">
        <v>4556.893</v>
      </c>
      <c r="N348" s="4">
        <v>4556.893</v>
      </c>
      <c r="O348" s="4">
        <v>4556.893</v>
      </c>
      <c r="P348" s="4">
        <v>21403</v>
      </c>
      <c r="Q348" s="3" t="s">
        <v>26</v>
      </c>
      <c r="R348" s="3">
        <v>0</v>
      </c>
      <c r="S348" s="3">
        <v>0</v>
      </c>
      <c r="T348" s="3">
        <v>45</v>
      </c>
      <c r="U348" s="3">
        <v>77</v>
      </c>
      <c r="V348" s="4">
        <f>IF(ISERROR(VLOOKUP($S$348,'TAR FIN'!$A$1:$O$92,15,0)),0,VLOOKUP($S$348,'TAR FIN'!$A$1:$O$92,15,0))</f>
        <v>0</v>
      </c>
      <c r="W348" s="4">
        <f>IF(ISERROR(VLOOKUP($T$348,'TAR FIN'!$A$1:$O$92,15,0)),0,VLOOKUP($T$348,'TAR FIN'!$A$1:$O$92,15,0))</f>
        <v>273.93</v>
      </c>
      <c r="X348" s="4">
        <f>IF(ISERROR(VLOOKUP($U$348,'TAR FIN'!$A$1:$O$92,15,0)),0,VLOOKUP($U$348,'TAR FIN'!$A$1:$O$92,15,0))</f>
        <v>236.63</v>
      </c>
      <c r="Y348" s="4"/>
      <c r="Z348" s="4">
        <f ca="1">('TUSD BE'!$AM$33+'TUSD BF'!$AM$33+'TUSD CVA'!$AM$33)*(1-CUSTOS!$M$38)</f>
        <v>375.01673922321953</v>
      </c>
      <c r="AA348" s="4">
        <f>('TE BE'!$AB$24+'TE BF'!$AB$24+'TE CVA'!$AB$24)*(1-CUSTOS!$M$38)</f>
        <v>316.00497871224974</v>
      </c>
      <c r="AB348" s="4">
        <f t="shared" si="16"/>
        <v>0</v>
      </c>
      <c r="AC348" s="4">
        <f>(L348-M348)*(W348+X348)+($W$178+$X$178-$W$348-$X$348)*(L348)</f>
        <v>317205.32172999979</v>
      </c>
      <c r="AD348" s="4">
        <f t="shared" si="17"/>
        <v>0</v>
      </c>
      <c r="AE348" s="4">
        <f ca="1">(L348-M348)*(Z348+AA348)+($Z$178+$AA$178-$Z$348-$AA$348)*(L348)</f>
        <v>200994.38484945439</v>
      </c>
      <c r="AF348" s="3" t="s">
        <v>752</v>
      </c>
    </row>
    <row r="349" spans="1:32" ht="11.25" customHeight="1" x14ac:dyDescent="0.25">
      <c r="A349" s="3" t="s">
        <v>27</v>
      </c>
      <c r="B349" s="3" t="s">
        <v>43</v>
      </c>
      <c r="C349" s="3" t="s">
        <v>23</v>
      </c>
      <c r="D349" s="3" t="s">
        <v>44</v>
      </c>
      <c r="E349" s="3" t="s">
        <v>25</v>
      </c>
      <c r="F349" s="3" t="s">
        <v>25</v>
      </c>
      <c r="G349" s="3" t="s">
        <v>25</v>
      </c>
      <c r="H349" s="3" t="s">
        <v>25</v>
      </c>
      <c r="I349" s="6">
        <v>44652</v>
      </c>
      <c r="J349" s="4">
        <v>0</v>
      </c>
      <c r="K349" s="4">
        <v>0</v>
      </c>
      <c r="L349" s="4">
        <v>-10.068</v>
      </c>
      <c r="M349" s="4">
        <v>-10.068</v>
      </c>
      <c r="N349" s="4">
        <v>-10.068</v>
      </c>
      <c r="O349" s="4">
        <v>-10.068</v>
      </c>
      <c r="P349" s="4">
        <v>-23</v>
      </c>
      <c r="Q349" s="3" t="s">
        <v>26</v>
      </c>
      <c r="R349" s="3">
        <v>0</v>
      </c>
      <c r="S349" s="3">
        <v>0</v>
      </c>
      <c r="T349" s="3">
        <v>45</v>
      </c>
      <c r="U349" s="3">
        <v>77</v>
      </c>
      <c r="V349" s="4">
        <f>IF(ISERROR(VLOOKUP($S$349,'TAR FIN'!$A$1:$O$92,15,0)),0,VLOOKUP($S$349,'TAR FIN'!$A$1:$O$92,15,0))</f>
        <v>0</v>
      </c>
      <c r="W349" s="4">
        <f>IF(ISERROR(VLOOKUP($T$349,'TAR FIN'!$A$1:$O$92,15,0)),0,VLOOKUP($T$349,'TAR FIN'!$A$1:$O$92,15,0))</f>
        <v>273.93</v>
      </c>
      <c r="X349" s="4">
        <f>IF(ISERROR(VLOOKUP($U$349,'TAR FIN'!$A$1:$O$92,15,0)),0,VLOOKUP($U$349,'TAR FIN'!$A$1:$O$92,15,0))</f>
        <v>236.63</v>
      </c>
      <c r="Y349" s="4"/>
      <c r="Z349" s="4">
        <f ca="1">('TUSD BE'!$AM$33+'TUSD BF'!$AM$33+'TUSD CVA'!$AM$33)*(1-CUSTOS!$M$38)</f>
        <v>375.01673922321953</v>
      </c>
      <c r="AA349" s="4">
        <f>('TE BE'!$AB$24+'TE BF'!$AB$24+'TE CVA'!$AB$24)*(1-CUSTOS!$M$38)</f>
        <v>316.00497871224974</v>
      </c>
      <c r="AB349" s="4">
        <f t="shared" si="16"/>
        <v>0</v>
      </c>
      <c r="AC349" s="4">
        <f>(L349-M349)*(W349+X349)+($W$178+$X$178-$W$349-$X$349)*(L349)</f>
        <v>-700.83347999999955</v>
      </c>
      <c r="AD349" s="4">
        <f t="shared" si="17"/>
        <v>0</v>
      </c>
      <c r="AE349" s="4">
        <f ca="1">(L349-M349)*(Z349+AA349)+($Z$178+$AA$178-$Z$349-$AA$349)*(L349)</f>
        <v>-444.07702060687114</v>
      </c>
      <c r="AF349" s="3" t="s">
        <v>752</v>
      </c>
    </row>
    <row r="350" spans="1:32" ht="11.25" customHeight="1" x14ac:dyDescent="0.25">
      <c r="A350" s="3" t="s">
        <v>28</v>
      </c>
      <c r="B350" s="3" t="s">
        <v>43</v>
      </c>
      <c r="C350" s="3" t="s">
        <v>23</v>
      </c>
      <c r="D350" s="3" t="s">
        <v>44</v>
      </c>
      <c r="E350" s="3" t="s">
        <v>25</v>
      </c>
      <c r="F350" s="3" t="s">
        <v>25</v>
      </c>
      <c r="G350" s="3" t="s">
        <v>25</v>
      </c>
      <c r="H350" s="3" t="s">
        <v>25</v>
      </c>
      <c r="I350" s="6">
        <v>44652</v>
      </c>
      <c r="J350" s="4">
        <v>0</v>
      </c>
      <c r="K350" s="4">
        <v>0</v>
      </c>
      <c r="L350" s="4">
        <v>14.442</v>
      </c>
      <c r="M350" s="4">
        <v>14.442</v>
      </c>
      <c r="N350" s="4">
        <v>14.442</v>
      </c>
      <c r="O350" s="4">
        <v>14.442</v>
      </c>
      <c r="P350" s="4">
        <v>24</v>
      </c>
      <c r="Q350" s="3" t="s">
        <v>26</v>
      </c>
      <c r="R350" s="3">
        <v>0</v>
      </c>
      <c r="S350" s="3">
        <v>0</v>
      </c>
      <c r="T350" s="3">
        <v>45</v>
      </c>
      <c r="U350" s="3">
        <v>77</v>
      </c>
      <c r="V350" s="4">
        <f>IF(ISERROR(VLOOKUP($S$350,'TAR FIN'!$A$1:$O$92,15,0)),0,VLOOKUP($S$350,'TAR FIN'!$A$1:$O$92,15,0))</f>
        <v>0</v>
      </c>
      <c r="W350" s="4">
        <f>IF(ISERROR(VLOOKUP($T$350,'TAR FIN'!$A$1:$O$92,15,0)),0,VLOOKUP($T$350,'TAR FIN'!$A$1:$O$92,15,0))</f>
        <v>273.93</v>
      </c>
      <c r="X350" s="4">
        <f>IF(ISERROR(VLOOKUP($U$350,'TAR FIN'!$A$1:$O$92,15,0)),0,VLOOKUP($U$350,'TAR FIN'!$A$1:$O$92,15,0))</f>
        <v>236.63</v>
      </c>
      <c r="Y350" s="4"/>
      <c r="Z350" s="4">
        <f ca="1">('TUSD BE'!$AM$33+'TUSD BF'!$AM$33+'TUSD CVA'!$AM$33)*(1-CUSTOS!$M$38)</f>
        <v>375.01673922321953</v>
      </c>
      <c r="AA350" s="4">
        <f>('TE BE'!$AB$24+'TE BF'!$AB$24+'TE CVA'!$AB$24)*(1-CUSTOS!$M$38)</f>
        <v>316.00497871224974</v>
      </c>
      <c r="AB350" s="4">
        <f t="shared" si="16"/>
        <v>0</v>
      </c>
      <c r="AC350" s="4">
        <f>(L350-M350)*(W350+X350)+($W$178+$X$178-$W$350-$X$350)*(L350)</f>
        <v>1005.3076199999994</v>
      </c>
      <c r="AD350" s="4">
        <f t="shared" si="17"/>
        <v>0</v>
      </c>
      <c r="AE350" s="4">
        <f ca="1">(L350-M350)*(Z350+AA350)+($Z$178+$AA$178-$Z$350-$AA$350)*(L350)</f>
        <v>637.00440321855717</v>
      </c>
      <c r="AF350" s="3" t="s">
        <v>752</v>
      </c>
    </row>
    <row r="351" spans="1:32" ht="11.25" customHeight="1" x14ac:dyDescent="0.25">
      <c r="A351" s="3" t="s">
        <v>21</v>
      </c>
      <c r="B351" s="3" t="s">
        <v>43</v>
      </c>
      <c r="C351" s="3" t="s">
        <v>23</v>
      </c>
      <c r="D351" s="3" t="s">
        <v>44</v>
      </c>
      <c r="E351" s="3" t="s">
        <v>25</v>
      </c>
      <c r="F351" s="3" t="s">
        <v>25</v>
      </c>
      <c r="G351" s="3" t="s">
        <v>25</v>
      </c>
      <c r="H351" s="3" t="s">
        <v>25</v>
      </c>
      <c r="I351" s="6">
        <v>44682</v>
      </c>
      <c r="J351" s="4">
        <v>0</v>
      </c>
      <c r="K351" s="4">
        <v>0</v>
      </c>
      <c r="L351" s="4">
        <v>4387.3059999999996</v>
      </c>
      <c r="M351" s="4">
        <v>4387.3059999999996</v>
      </c>
      <c r="N351" s="4">
        <v>4387.3059999999996</v>
      </c>
      <c r="O351" s="4">
        <v>4387.3059999999996</v>
      </c>
      <c r="P351" s="4">
        <v>21390</v>
      </c>
      <c r="Q351" s="3" t="s">
        <v>26</v>
      </c>
      <c r="R351" s="3">
        <v>0</v>
      </c>
      <c r="S351" s="3">
        <v>0</v>
      </c>
      <c r="T351" s="3">
        <v>45</v>
      </c>
      <c r="U351" s="3">
        <v>77</v>
      </c>
      <c r="V351" s="4">
        <f>IF(ISERROR(VLOOKUP($S$351,'TAR FIN'!$A$1:$O$92,15,0)),0,VLOOKUP($S$351,'TAR FIN'!$A$1:$O$92,15,0))</f>
        <v>0</v>
      </c>
      <c r="W351" s="4">
        <f>IF(ISERROR(VLOOKUP($T$351,'TAR FIN'!$A$1:$O$92,15,0)),0,VLOOKUP($T$351,'TAR FIN'!$A$1:$O$92,15,0))</f>
        <v>273.93</v>
      </c>
      <c r="X351" s="4">
        <f>IF(ISERROR(VLOOKUP($U$351,'TAR FIN'!$A$1:$O$92,15,0)),0,VLOOKUP($U$351,'TAR FIN'!$A$1:$O$92,15,0))</f>
        <v>236.63</v>
      </c>
      <c r="Y351" s="4"/>
      <c r="Z351" s="4">
        <f ca="1">('TUSD BE'!$AM$33+'TUSD BF'!$AM$33+'TUSD CVA'!$AM$33)*(1-CUSTOS!$M$38)</f>
        <v>375.01673922321953</v>
      </c>
      <c r="AA351" s="4">
        <f>('TE BE'!$AB$24+'TE BF'!$AB$24+'TE CVA'!$AB$24)*(1-CUSTOS!$M$38)</f>
        <v>316.00497871224974</v>
      </c>
      <c r="AB351" s="4">
        <f t="shared" si="16"/>
        <v>0</v>
      </c>
      <c r="AC351" s="4">
        <f>(L351-M351)*(W351+X351)+($W$178+$X$178-$W$351-$X$351)*(L351)</f>
        <v>305400.37065999978</v>
      </c>
      <c r="AD351" s="4">
        <f t="shared" si="17"/>
        <v>0</v>
      </c>
      <c r="AE351" s="4">
        <f ca="1">(L351-M351)*(Z351+AA351)+($Z$178+$AA$178-$Z$351-$AA$351)*(L351)</f>
        <v>193514.28058905932</v>
      </c>
      <c r="AF351" s="3" t="s">
        <v>752</v>
      </c>
    </row>
    <row r="352" spans="1:32" ht="11.25" customHeight="1" x14ac:dyDescent="0.25">
      <c r="A352" s="3" t="s">
        <v>27</v>
      </c>
      <c r="B352" s="3" t="s">
        <v>43</v>
      </c>
      <c r="C352" s="3" t="s">
        <v>23</v>
      </c>
      <c r="D352" s="3" t="s">
        <v>44</v>
      </c>
      <c r="E352" s="3" t="s">
        <v>25</v>
      </c>
      <c r="F352" s="3" t="s">
        <v>25</v>
      </c>
      <c r="G352" s="3" t="s">
        <v>25</v>
      </c>
      <c r="H352" s="3" t="s">
        <v>25</v>
      </c>
      <c r="I352" s="6">
        <v>44682</v>
      </c>
      <c r="J352" s="4">
        <v>0</v>
      </c>
      <c r="K352" s="4">
        <v>0</v>
      </c>
      <c r="L352" s="4">
        <v>-14.311999999999999</v>
      </c>
      <c r="M352" s="4">
        <v>-14.311999999999999</v>
      </c>
      <c r="N352" s="4">
        <v>-14.311999999999999</v>
      </c>
      <c r="O352" s="4">
        <v>-14.311999999999999</v>
      </c>
      <c r="P352" s="4">
        <v>0</v>
      </c>
      <c r="Q352" s="3" t="s">
        <v>26</v>
      </c>
      <c r="R352" s="3">
        <v>0</v>
      </c>
      <c r="S352" s="3">
        <v>0</v>
      </c>
      <c r="T352" s="3">
        <v>45</v>
      </c>
      <c r="U352" s="3">
        <v>77</v>
      </c>
      <c r="V352" s="4">
        <f>IF(ISERROR(VLOOKUP($S$352,'TAR FIN'!$A$1:$O$92,15,0)),0,VLOOKUP($S$352,'TAR FIN'!$A$1:$O$92,15,0))</f>
        <v>0</v>
      </c>
      <c r="W352" s="4">
        <f>IF(ISERROR(VLOOKUP($T$352,'TAR FIN'!$A$1:$O$92,15,0)),0,VLOOKUP($T$352,'TAR FIN'!$A$1:$O$92,15,0))</f>
        <v>273.93</v>
      </c>
      <c r="X352" s="4">
        <f>IF(ISERROR(VLOOKUP($U$352,'TAR FIN'!$A$1:$O$92,15,0)),0,VLOOKUP($U$352,'TAR FIN'!$A$1:$O$92,15,0))</f>
        <v>236.63</v>
      </c>
      <c r="Y352" s="4"/>
      <c r="Z352" s="4">
        <f ca="1">('TUSD BE'!$AM$33+'TUSD BF'!$AM$33+'TUSD CVA'!$AM$33)*(1-CUSTOS!$M$38)</f>
        <v>375.01673922321953</v>
      </c>
      <c r="AA352" s="4">
        <f>('TE BE'!$AB$24+'TE BF'!$AB$24+'TE CVA'!$AB$24)*(1-CUSTOS!$M$38)</f>
        <v>316.00497871224974</v>
      </c>
      <c r="AB352" s="4">
        <f t="shared" si="16"/>
        <v>0</v>
      </c>
      <c r="AC352" s="4">
        <f>(L352-M352)*(W352+X352)+($W$178+$X$178-$W$352-$X$352)*(L352)</f>
        <v>-996.25831999999934</v>
      </c>
      <c r="AD352" s="4">
        <f t="shared" si="17"/>
        <v>0</v>
      </c>
      <c r="AE352" s="4">
        <f ca="1">(L352-M352)*(Z352+AA352)+($Z$178+$AA$178-$Z$352-$AA$352)*(L352)</f>
        <v>-631.27039321866698</v>
      </c>
      <c r="AF352" s="3" t="s">
        <v>752</v>
      </c>
    </row>
    <row r="353" spans="1:32" ht="11.25" customHeight="1" x14ac:dyDescent="0.25">
      <c r="A353" s="3" t="s">
        <v>28</v>
      </c>
      <c r="B353" s="3" t="s">
        <v>43</v>
      </c>
      <c r="C353" s="3" t="s">
        <v>23</v>
      </c>
      <c r="D353" s="3" t="s">
        <v>44</v>
      </c>
      <c r="E353" s="3" t="s">
        <v>25</v>
      </c>
      <c r="F353" s="3" t="s">
        <v>25</v>
      </c>
      <c r="G353" s="3" t="s">
        <v>25</v>
      </c>
      <c r="H353" s="3" t="s">
        <v>25</v>
      </c>
      <c r="I353" s="6">
        <v>44682</v>
      </c>
      <c r="J353" s="4">
        <v>0</v>
      </c>
      <c r="K353" s="4">
        <v>0</v>
      </c>
      <c r="L353" s="4">
        <v>64.147999999999996</v>
      </c>
      <c r="M353" s="4">
        <v>64.147999999999996</v>
      </c>
      <c r="N353" s="4">
        <v>64.147999999999996</v>
      </c>
      <c r="O353" s="4">
        <v>64.147999999999996</v>
      </c>
      <c r="P353" s="4">
        <v>120</v>
      </c>
      <c r="Q353" s="3" t="s">
        <v>26</v>
      </c>
      <c r="R353" s="3">
        <v>0</v>
      </c>
      <c r="S353" s="3">
        <v>0</v>
      </c>
      <c r="T353" s="3">
        <v>45</v>
      </c>
      <c r="U353" s="3">
        <v>77</v>
      </c>
      <c r="V353" s="4">
        <f>IF(ISERROR(VLOOKUP($S$353,'TAR FIN'!$A$1:$O$92,15,0)),0,VLOOKUP($S$353,'TAR FIN'!$A$1:$O$92,15,0))</f>
        <v>0</v>
      </c>
      <c r="W353" s="4">
        <f>IF(ISERROR(VLOOKUP($T$353,'TAR FIN'!$A$1:$O$92,15,0)),0,VLOOKUP($T$353,'TAR FIN'!$A$1:$O$92,15,0))</f>
        <v>273.93</v>
      </c>
      <c r="X353" s="4">
        <f>IF(ISERROR(VLOOKUP($U$353,'TAR FIN'!$A$1:$O$92,15,0)),0,VLOOKUP($U$353,'TAR FIN'!$A$1:$O$92,15,0))</f>
        <v>236.63</v>
      </c>
      <c r="Y353" s="4"/>
      <c r="Z353" s="4">
        <f ca="1">('TUSD BE'!$AM$33+'TUSD BF'!$AM$33+'TUSD CVA'!$AM$33)*(1-CUSTOS!$M$38)</f>
        <v>375.01673922321953</v>
      </c>
      <c r="AA353" s="4">
        <f>('TE BE'!$AB$24+'TE BF'!$AB$24+'TE CVA'!$AB$24)*(1-CUSTOS!$M$38)</f>
        <v>316.00497871224974</v>
      </c>
      <c r="AB353" s="4">
        <f t="shared" si="16"/>
        <v>0</v>
      </c>
      <c r="AC353" s="4">
        <f>(L353-M353)*(W353+X353)+($W$178+$X$178-$W$353-$X$353)*(L353)</f>
        <v>4465.3422799999971</v>
      </c>
      <c r="AD353" s="4">
        <f t="shared" si="17"/>
        <v>0</v>
      </c>
      <c r="AE353" s="4">
        <f ca="1">(L353-M353)*(Z353+AA353)+($Z$178+$AA$178-$Z$353-$AA$353)*(L353)</f>
        <v>2829.4251805611411</v>
      </c>
      <c r="AF353" s="3" t="s">
        <v>752</v>
      </c>
    </row>
    <row r="354" spans="1:32" ht="11.25" customHeight="1" x14ac:dyDescent="0.25">
      <c r="A354" s="3" t="s">
        <v>21</v>
      </c>
      <c r="B354" s="3" t="s">
        <v>43</v>
      </c>
      <c r="C354" s="3" t="s">
        <v>23</v>
      </c>
      <c r="D354" s="3" t="s">
        <v>44</v>
      </c>
      <c r="E354" s="3" t="s">
        <v>25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4146.3980000000001</v>
      </c>
      <c r="M354" s="4">
        <v>4146.3980000000001</v>
      </c>
      <c r="N354" s="4">
        <v>4146.3980000000001</v>
      </c>
      <c r="O354" s="4">
        <v>4146.3980000000001</v>
      </c>
      <c r="P354" s="4">
        <v>21395</v>
      </c>
      <c r="Q354" s="3" t="s">
        <v>26</v>
      </c>
      <c r="R354" s="3">
        <v>0</v>
      </c>
      <c r="S354" s="3">
        <v>0</v>
      </c>
      <c r="T354" s="3">
        <v>45</v>
      </c>
      <c r="U354" s="3">
        <v>77</v>
      </c>
      <c r="V354" s="4">
        <f>IF(ISERROR(VLOOKUP($S$354,'TAR FIN'!$A$1:$O$92,15,0)),0,VLOOKUP($S$354,'TAR FIN'!$A$1:$O$92,15,0))</f>
        <v>0</v>
      </c>
      <c r="W354" s="4">
        <f>IF(ISERROR(VLOOKUP($T$354,'TAR FIN'!$A$1:$O$92,15,0)),0,VLOOKUP($T$354,'TAR FIN'!$A$1:$O$92,15,0))</f>
        <v>273.93</v>
      </c>
      <c r="X354" s="4">
        <f>IF(ISERROR(VLOOKUP($U$354,'TAR FIN'!$A$1:$O$92,15,0)),0,VLOOKUP($U$354,'TAR FIN'!$A$1:$O$92,15,0))</f>
        <v>236.63</v>
      </c>
      <c r="Y354" s="4"/>
      <c r="Z354" s="4">
        <f ca="1">('TUSD BE'!$AM$33+'TUSD BF'!$AM$33+'TUSD CVA'!$AM$33)*(1-CUSTOS!$M$38)</f>
        <v>375.01673922321953</v>
      </c>
      <c r="AA354" s="4">
        <f>('TE BE'!$AB$24+'TE BF'!$AB$24+'TE CVA'!$AB$24)*(1-CUSTOS!$M$38)</f>
        <v>316.00497871224974</v>
      </c>
      <c r="AB354" s="4">
        <f t="shared" si="16"/>
        <v>0</v>
      </c>
      <c r="AC354" s="4">
        <f>(L354-M354)*(W354+X354)+($W$178+$X$178-$W$354-$X$354)*(L354)</f>
        <v>288630.76477999985</v>
      </c>
      <c r="AD354" s="4">
        <f t="shared" si="17"/>
        <v>0</v>
      </c>
      <c r="AE354" s="4">
        <f ca="1">(L354-M354)*(Z354+AA354)+($Z$178+$AA$178-$Z$354-$AA$354)*(L354)</f>
        <v>182888.3661194169</v>
      </c>
      <c r="AF354" s="3" t="s">
        <v>752</v>
      </c>
    </row>
    <row r="355" spans="1:32" ht="11.25" customHeight="1" x14ac:dyDescent="0.25">
      <c r="A355" s="3" t="s">
        <v>27</v>
      </c>
      <c r="B355" s="3" t="s">
        <v>43</v>
      </c>
      <c r="C355" s="3" t="s">
        <v>23</v>
      </c>
      <c r="D355" s="3" t="s">
        <v>44</v>
      </c>
      <c r="E355" s="3" t="s">
        <v>25</v>
      </c>
      <c r="F355" s="3" t="s">
        <v>25</v>
      </c>
      <c r="G355" s="3" t="s">
        <v>25</v>
      </c>
      <c r="H355" s="3" t="s">
        <v>25</v>
      </c>
      <c r="I355" s="6">
        <v>44713</v>
      </c>
      <c r="J355" s="4">
        <v>0</v>
      </c>
      <c r="K355" s="4">
        <v>0</v>
      </c>
      <c r="L355" s="4">
        <v>-4.468</v>
      </c>
      <c r="M355" s="4">
        <v>-4.468</v>
      </c>
      <c r="N355" s="4">
        <v>-4.468</v>
      </c>
      <c r="O355" s="4">
        <v>-4.468</v>
      </c>
      <c r="P355" s="4">
        <v>-1</v>
      </c>
      <c r="Q355" s="3" t="s">
        <v>26</v>
      </c>
      <c r="R355" s="3">
        <v>0</v>
      </c>
      <c r="S355" s="3">
        <v>0</v>
      </c>
      <c r="T355" s="3">
        <v>45</v>
      </c>
      <c r="U355" s="3">
        <v>77</v>
      </c>
      <c r="V355" s="4">
        <f>IF(ISERROR(VLOOKUP($S$355,'TAR FIN'!$A$1:$O$92,15,0)),0,VLOOKUP($S$355,'TAR FIN'!$A$1:$O$92,15,0))</f>
        <v>0</v>
      </c>
      <c r="W355" s="4">
        <f>IF(ISERROR(VLOOKUP($T$355,'TAR FIN'!$A$1:$O$92,15,0)),0,VLOOKUP($T$355,'TAR FIN'!$A$1:$O$92,15,0))</f>
        <v>273.93</v>
      </c>
      <c r="X355" s="4">
        <f>IF(ISERROR(VLOOKUP($U$355,'TAR FIN'!$A$1:$O$92,15,0)),0,VLOOKUP($U$355,'TAR FIN'!$A$1:$O$92,15,0))</f>
        <v>236.63</v>
      </c>
      <c r="Y355" s="4"/>
      <c r="Z355" s="4">
        <f ca="1">('TUSD BE'!$AM$33+'TUSD BF'!$AM$33+'TUSD CVA'!$AM$33)*(1-CUSTOS!$M$38)</f>
        <v>375.01673922321953</v>
      </c>
      <c r="AA355" s="4">
        <f>('TE BE'!$AB$24+'TE BF'!$AB$24+'TE CVA'!$AB$24)*(1-CUSTOS!$M$38)</f>
        <v>316.00497871224974</v>
      </c>
      <c r="AB355" s="4">
        <f t="shared" si="16"/>
        <v>0</v>
      </c>
      <c r="AC355" s="4">
        <f>(L355-M355)*(W355+X355)+($W$178+$X$178-$W$355-$X$355)*(L355)</f>
        <v>-311.01747999999981</v>
      </c>
      <c r="AD355" s="4">
        <f t="shared" si="17"/>
        <v>0</v>
      </c>
      <c r="AE355" s="4">
        <f ca="1">(L355-M355)*(Z355+AA355)+($Z$178+$AA$178-$Z$355-$AA$355)*(L355)</f>
        <v>-197.07351291929879</v>
      </c>
      <c r="AF355" s="3" t="s">
        <v>752</v>
      </c>
    </row>
    <row r="356" spans="1:32" ht="11.25" customHeight="1" x14ac:dyDescent="0.25">
      <c r="A356" s="3" t="s">
        <v>28</v>
      </c>
      <c r="B356" s="3" t="s">
        <v>43</v>
      </c>
      <c r="C356" s="3" t="s">
        <v>23</v>
      </c>
      <c r="D356" s="3" t="s">
        <v>44</v>
      </c>
      <c r="E356" s="3" t="s">
        <v>25</v>
      </c>
      <c r="F356" s="3" t="s">
        <v>25</v>
      </c>
      <c r="G356" s="3" t="s">
        <v>25</v>
      </c>
      <c r="H356" s="3" t="s">
        <v>25</v>
      </c>
      <c r="I356" s="6">
        <v>44713</v>
      </c>
      <c r="J356" s="4">
        <v>0</v>
      </c>
      <c r="K356" s="4">
        <v>0</v>
      </c>
      <c r="L356" s="4">
        <v>15.835000000000001</v>
      </c>
      <c r="M356" s="4">
        <v>15.835000000000001</v>
      </c>
      <c r="N356" s="4">
        <v>15.835000000000001</v>
      </c>
      <c r="O356" s="4">
        <v>15.835000000000001</v>
      </c>
      <c r="P356" s="4">
        <v>33</v>
      </c>
      <c r="Q356" s="3" t="s">
        <v>26</v>
      </c>
      <c r="R356" s="3">
        <v>0</v>
      </c>
      <c r="S356" s="3">
        <v>0</v>
      </c>
      <c r="T356" s="3">
        <v>45</v>
      </c>
      <c r="U356" s="3">
        <v>77</v>
      </c>
      <c r="V356" s="4">
        <f>IF(ISERROR(VLOOKUP($S$356,'TAR FIN'!$A$1:$O$92,15,0)),0,VLOOKUP($S$356,'TAR FIN'!$A$1:$O$92,15,0))</f>
        <v>0</v>
      </c>
      <c r="W356" s="4">
        <f>IF(ISERROR(VLOOKUP($T$356,'TAR FIN'!$A$1:$O$92,15,0)),0,VLOOKUP($T$356,'TAR FIN'!$A$1:$O$92,15,0))</f>
        <v>273.93</v>
      </c>
      <c r="X356" s="4">
        <f>IF(ISERROR(VLOOKUP($U$356,'TAR FIN'!$A$1:$O$92,15,0)),0,VLOOKUP($U$356,'TAR FIN'!$A$1:$O$92,15,0))</f>
        <v>236.63</v>
      </c>
      <c r="Y356" s="4"/>
      <c r="Z356" s="4">
        <f ca="1">('TUSD BE'!$AM$33+'TUSD BF'!$AM$33+'TUSD CVA'!$AM$33)*(1-CUSTOS!$M$38)</f>
        <v>375.01673922321953</v>
      </c>
      <c r="AA356" s="4">
        <f>('TE BE'!$AB$24+'TE BF'!$AB$24+'TE CVA'!$AB$24)*(1-CUSTOS!$M$38)</f>
        <v>316.00497871224974</v>
      </c>
      <c r="AB356" s="4">
        <f t="shared" si="16"/>
        <v>0</v>
      </c>
      <c r="AC356" s="4">
        <f>(L356-M356)*(W356+X356)+($W$178+$X$178-$W$356-$X$356)*(L356)</f>
        <v>1102.2743499999995</v>
      </c>
      <c r="AD356" s="4">
        <f t="shared" si="17"/>
        <v>0</v>
      </c>
      <c r="AE356" s="4">
        <f ca="1">(L356-M356)*(Z356+AA356)+($Z$178+$AA$178-$Z$356-$AA$356)*(L356)</f>
        <v>698.44652575584075</v>
      </c>
      <c r="AF356" s="3" t="s">
        <v>752</v>
      </c>
    </row>
    <row r="357" spans="1:32" ht="11.25" customHeight="1" x14ac:dyDescent="0.25">
      <c r="A357" s="3" t="s">
        <v>21</v>
      </c>
      <c r="B357" s="3" t="s">
        <v>43</v>
      </c>
      <c r="C357" s="3" t="s">
        <v>23</v>
      </c>
      <c r="D357" s="3" t="s">
        <v>44</v>
      </c>
      <c r="E357" s="3" t="s">
        <v>25</v>
      </c>
      <c r="F357" s="3" t="s">
        <v>25</v>
      </c>
      <c r="G357" s="3" t="s">
        <v>25</v>
      </c>
      <c r="H357" s="3" t="s">
        <v>25</v>
      </c>
      <c r="I357" s="6">
        <v>44743</v>
      </c>
      <c r="J357" s="4">
        <v>0</v>
      </c>
      <c r="K357" s="4">
        <v>0</v>
      </c>
      <c r="L357" s="4">
        <v>4019.98</v>
      </c>
      <c r="M357" s="4">
        <v>4019.98</v>
      </c>
      <c r="N357" s="4">
        <v>4019.98</v>
      </c>
      <c r="O357" s="4">
        <v>4019.98</v>
      </c>
      <c r="P357" s="4">
        <v>21381</v>
      </c>
      <c r="Q357" s="3" t="s">
        <v>26</v>
      </c>
      <c r="R357" s="3">
        <v>0</v>
      </c>
      <c r="S357" s="3">
        <v>0</v>
      </c>
      <c r="T357" s="3">
        <v>45</v>
      </c>
      <c r="U357" s="3">
        <v>77</v>
      </c>
      <c r="V357" s="4">
        <f>IF(ISERROR(VLOOKUP($S$357,'TAR FIN'!$A$1:$O$92,15,0)),0,VLOOKUP($S$357,'TAR FIN'!$A$1:$O$92,15,0))</f>
        <v>0</v>
      </c>
      <c r="W357" s="4">
        <f>IF(ISERROR(VLOOKUP($T$357,'TAR FIN'!$A$1:$O$92,15,0)),0,VLOOKUP($T$357,'TAR FIN'!$A$1:$O$92,15,0))</f>
        <v>273.93</v>
      </c>
      <c r="X357" s="4">
        <f>IF(ISERROR(VLOOKUP($U$357,'TAR FIN'!$A$1:$O$92,15,0)),0,VLOOKUP($U$357,'TAR FIN'!$A$1:$O$92,15,0))</f>
        <v>236.63</v>
      </c>
      <c r="Y357" s="4"/>
      <c r="Z357" s="4">
        <f ca="1">('TUSD BE'!$AM$33+'TUSD BF'!$AM$33+'TUSD CVA'!$AM$33)*(1-CUSTOS!$M$38)</f>
        <v>375.01673922321953</v>
      </c>
      <c r="AA357" s="4">
        <f>('TE BE'!$AB$24+'TE BF'!$AB$24+'TE CVA'!$AB$24)*(1-CUSTOS!$M$38)</f>
        <v>316.00497871224974</v>
      </c>
      <c r="AB357" s="4">
        <f t="shared" si="16"/>
        <v>0</v>
      </c>
      <c r="AC357" s="4">
        <f>(L357-M357)*(W357+X357)+($W$178+$X$178-$W$357-$X$357)*(L357)</f>
        <v>279830.80779999983</v>
      </c>
      <c r="AD357" s="4">
        <f t="shared" si="17"/>
        <v>0</v>
      </c>
      <c r="AE357" s="4">
        <f ca="1">(L357-M357)*(Z357+AA357)+($Z$178+$AA$178-$Z$357-$AA$357)*(L357)</f>
        <v>177312.35014890842</v>
      </c>
      <c r="AF357" s="3" t="s">
        <v>752</v>
      </c>
    </row>
    <row r="358" spans="1:32" ht="11.25" customHeight="1" x14ac:dyDescent="0.25">
      <c r="A358" s="3" t="s">
        <v>27</v>
      </c>
      <c r="B358" s="3" t="s">
        <v>43</v>
      </c>
      <c r="C358" s="3" t="s">
        <v>23</v>
      </c>
      <c r="D358" s="3" t="s">
        <v>44</v>
      </c>
      <c r="E358" s="3" t="s">
        <v>25</v>
      </c>
      <c r="F358" s="3" t="s">
        <v>25</v>
      </c>
      <c r="G358" s="3" t="s">
        <v>25</v>
      </c>
      <c r="H358" s="3" t="s">
        <v>25</v>
      </c>
      <c r="I358" s="6">
        <v>44743</v>
      </c>
      <c r="J358" s="4">
        <v>0</v>
      </c>
      <c r="K358" s="4">
        <v>0</v>
      </c>
      <c r="L358" s="4">
        <v>-7.952</v>
      </c>
      <c r="M358" s="4">
        <v>-7.952</v>
      </c>
      <c r="N358" s="4">
        <v>-7.952</v>
      </c>
      <c r="O358" s="4">
        <v>-7.952</v>
      </c>
      <c r="P358" s="4">
        <v>-17</v>
      </c>
      <c r="Q358" s="3" t="s">
        <v>26</v>
      </c>
      <c r="R358" s="3">
        <v>0</v>
      </c>
      <c r="S358" s="3">
        <v>0</v>
      </c>
      <c r="T358" s="3">
        <v>45</v>
      </c>
      <c r="U358" s="3">
        <v>77</v>
      </c>
      <c r="V358" s="4">
        <f>IF(ISERROR(VLOOKUP($S$358,'TAR FIN'!$A$1:$O$92,15,0)),0,VLOOKUP($S$358,'TAR FIN'!$A$1:$O$92,15,0))</f>
        <v>0</v>
      </c>
      <c r="W358" s="4">
        <f>IF(ISERROR(VLOOKUP($T$358,'TAR FIN'!$A$1:$O$92,15,0)),0,VLOOKUP($T$358,'TAR FIN'!$A$1:$O$92,15,0))</f>
        <v>273.93</v>
      </c>
      <c r="X358" s="4">
        <f>IF(ISERROR(VLOOKUP($U$358,'TAR FIN'!$A$1:$O$92,15,0)),0,VLOOKUP($U$358,'TAR FIN'!$A$1:$O$92,15,0))</f>
        <v>236.63</v>
      </c>
      <c r="Y358" s="4"/>
      <c r="Z358" s="4">
        <f ca="1">('TUSD BE'!$AM$33+'TUSD BF'!$AM$33+'TUSD CVA'!$AM$33)*(1-CUSTOS!$M$38)</f>
        <v>375.01673922321953</v>
      </c>
      <c r="AA358" s="4">
        <f>('TE BE'!$AB$24+'TE BF'!$AB$24+'TE CVA'!$AB$24)*(1-CUSTOS!$M$38)</f>
        <v>316.00497871224974</v>
      </c>
      <c r="AB358" s="4">
        <f t="shared" si="16"/>
        <v>0</v>
      </c>
      <c r="AC358" s="4">
        <f>(L358-M358)*(W358+X358)+($W$178+$X$178-$W$358-$X$358)*(L358)</f>
        <v>-553.53871999999967</v>
      </c>
      <c r="AD358" s="4">
        <f t="shared" si="17"/>
        <v>0</v>
      </c>
      <c r="AE358" s="4">
        <f ca="1">(L358-M358)*(Z358+AA358)+($Z$178+$AA$178-$Z$358-$AA$358)*(L358)</f>
        <v>-350.74498091635274</v>
      </c>
      <c r="AF358" s="3" t="s">
        <v>752</v>
      </c>
    </row>
    <row r="359" spans="1:32" ht="11.25" customHeight="1" x14ac:dyDescent="0.25">
      <c r="A359" s="3" t="s">
        <v>28</v>
      </c>
      <c r="B359" s="3" t="s">
        <v>43</v>
      </c>
      <c r="C359" s="3" t="s">
        <v>23</v>
      </c>
      <c r="D359" s="3" t="s">
        <v>44</v>
      </c>
      <c r="E359" s="3" t="s">
        <v>25</v>
      </c>
      <c r="F359" s="3" t="s">
        <v>25</v>
      </c>
      <c r="G359" s="3" t="s">
        <v>25</v>
      </c>
      <c r="H359" s="3" t="s">
        <v>25</v>
      </c>
      <c r="I359" s="6">
        <v>44743</v>
      </c>
      <c r="J359" s="4">
        <v>0</v>
      </c>
      <c r="K359" s="4">
        <v>0</v>
      </c>
      <c r="L359" s="4">
        <v>30.071999999999999</v>
      </c>
      <c r="M359" s="4">
        <v>30.071999999999999</v>
      </c>
      <c r="N359" s="4">
        <v>30.071999999999999</v>
      </c>
      <c r="O359" s="4">
        <v>30.071999999999999</v>
      </c>
      <c r="P359" s="4">
        <v>36</v>
      </c>
      <c r="Q359" s="3" t="s">
        <v>26</v>
      </c>
      <c r="R359" s="3">
        <v>0</v>
      </c>
      <c r="S359" s="3">
        <v>0</v>
      </c>
      <c r="T359" s="3">
        <v>45</v>
      </c>
      <c r="U359" s="3">
        <v>77</v>
      </c>
      <c r="V359" s="4">
        <f>IF(ISERROR(VLOOKUP($S$359,'TAR FIN'!$A$1:$O$92,15,0)),0,VLOOKUP($S$359,'TAR FIN'!$A$1:$O$92,15,0))</f>
        <v>0</v>
      </c>
      <c r="W359" s="4">
        <f>IF(ISERROR(VLOOKUP($T$359,'TAR FIN'!$A$1:$O$92,15,0)),0,VLOOKUP($T$359,'TAR FIN'!$A$1:$O$92,15,0))</f>
        <v>273.93</v>
      </c>
      <c r="X359" s="4">
        <f>IF(ISERROR(VLOOKUP($U$359,'TAR FIN'!$A$1:$O$92,15,0)),0,VLOOKUP($U$359,'TAR FIN'!$A$1:$O$92,15,0))</f>
        <v>236.63</v>
      </c>
      <c r="Y359" s="4"/>
      <c r="Z359" s="4">
        <f ca="1">('TUSD BE'!$AM$33+'TUSD BF'!$AM$33+'TUSD CVA'!$AM$33)*(1-CUSTOS!$M$38)</f>
        <v>375.01673922321953</v>
      </c>
      <c r="AA359" s="4">
        <f>('TE BE'!$AB$24+'TE BF'!$AB$24+'TE CVA'!$AB$24)*(1-CUSTOS!$M$38)</f>
        <v>316.00497871224974</v>
      </c>
      <c r="AB359" s="4">
        <f t="shared" si="16"/>
        <v>0</v>
      </c>
      <c r="AC359" s="4">
        <f>(L359-M359)*(W359+X359)+($W$178+$X$178-$W$359-$X$359)*(L359)</f>
        <v>2093.3119199999987</v>
      </c>
      <c r="AD359" s="4">
        <f t="shared" si="17"/>
        <v>0</v>
      </c>
      <c r="AE359" s="4">
        <f ca="1">(L359-M359)*(Z359+AA359)+($Z$178+$AA$178-$Z$359-$AA$359)*(L359)</f>
        <v>1326.4088362822636</v>
      </c>
      <c r="AF359" s="3" t="s">
        <v>752</v>
      </c>
    </row>
    <row r="360" spans="1:32" ht="11.25" customHeight="1" x14ac:dyDescent="0.25">
      <c r="A360" s="3" t="s">
        <v>21</v>
      </c>
      <c r="B360" s="3" t="s">
        <v>43</v>
      </c>
      <c r="C360" s="3" t="s">
        <v>23</v>
      </c>
      <c r="D360" s="3" t="s">
        <v>44</v>
      </c>
      <c r="E360" s="3" t="s">
        <v>25</v>
      </c>
      <c r="F360" s="3" t="s">
        <v>25</v>
      </c>
      <c r="G360" s="3" t="s">
        <v>25</v>
      </c>
      <c r="H360" s="3" t="s">
        <v>25</v>
      </c>
      <c r="I360" s="6">
        <v>44774</v>
      </c>
      <c r="J360" s="4">
        <v>0</v>
      </c>
      <c r="K360" s="4">
        <v>0</v>
      </c>
      <c r="L360" s="4">
        <v>4611.3069999999998</v>
      </c>
      <c r="M360" s="4">
        <v>4611.3069999999998</v>
      </c>
      <c r="N360" s="4">
        <v>4611.3069999999998</v>
      </c>
      <c r="O360" s="4">
        <v>4611.3069999999998</v>
      </c>
      <c r="P360" s="4">
        <v>21359</v>
      </c>
      <c r="Q360" s="3" t="s">
        <v>26</v>
      </c>
      <c r="R360" s="3">
        <v>0</v>
      </c>
      <c r="S360" s="3">
        <v>0</v>
      </c>
      <c r="T360" s="3">
        <v>45</v>
      </c>
      <c r="U360" s="3">
        <v>77</v>
      </c>
      <c r="V360" s="4">
        <f>IF(ISERROR(VLOOKUP($S$360,'TAR FIN'!$A$1:$O$92,15,0)),0,VLOOKUP($S$360,'TAR FIN'!$A$1:$O$92,15,0))</f>
        <v>0</v>
      </c>
      <c r="W360" s="4">
        <f>IF(ISERROR(VLOOKUP($T$360,'TAR FIN'!$A$1:$O$92,15,0)),0,VLOOKUP($T$360,'TAR FIN'!$A$1:$O$92,15,0))</f>
        <v>273.93</v>
      </c>
      <c r="X360" s="4">
        <f>IF(ISERROR(VLOOKUP($U$360,'TAR FIN'!$A$1:$O$92,15,0)),0,VLOOKUP($U$360,'TAR FIN'!$A$1:$O$92,15,0))</f>
        <v>236.63</v>
      </c>
      <c r="Y360" s="4"/>
      <c r="Z360" s="4">
        <f ca="1">('TUSD BE'!$AM$33+'TUSD BF'!$AM$33+'TUSD CVA'!$AM$33)*(1-CUSTOS!$M$38)</f>
        <v>375.01673922321953</v>
      </c>
      <c r="AA360" s="4">
        <f>('TE BE'!$AB$24+'TE BF'!$AB$24+'TE CVA'!$AB$24)*(1-CUSTOS!$M$38)</f>
        <v>316.00497871224974</v>
      </c>
      <c r="AB360" s="4">
        <f t="shared" si="16"/>
        <v>0</v>
      </c>
      <c r="AC360" s="4">
        <f>(L360-M360)*(W360+X360)+($W$178+$X$178-$W$360-$X$360)*(L360)</f>
        <v>320993.0802699998</v>
      </c>
      <c r="AD360" s="4">
        <f t="shared" si="17"/>
        <v>0</v>
      </c>
      <c r="AE360" s="4">
        <f ca="1">(L360-M360)*(Z360+AA360)+($Z$178+$AA$178-$Z$360-$AA$360)*(L360)</f>
        <v>203394.46500433146</v>
      </c>
      <c r="AF360" s="3" t="s">
        <v>752</v>
      </c>
    </row>
    <row r="361" spans="1:32" ht="11.25" customHeight="1" x14ac:dyDescent="0.25">
      <c r="A361" s="3" t="s">
        <v>27</v>
      </c>
      <c r="B361" s="3" t="s">
        <v>43</v>
      </c>
      <c r="C361" s="3" t="s">
        <v>23</v>
      </c>
      <c r="D361" s="3" t="s">
        <v>44</v>
      </c>
      <c r="E361" s="3" t="s">
        <v>25</v>
      </c>
      <c r="F361" s="3" t="s">
        <v>25</v>
      </c>
      <c r="G361" s="3" t="s">
        <v>25</v>
      </c>
      <c r="H361" s="3" t="s">
        <v>25</v>
      </c>
      <c r="I361" s="6">
        <v>44774</v>
      </c>
      <c r="J361" s="4">
        <v>0</v>
      </c>
      <c r="K361" s="4">
        <v>0</v>
      </c>
      <c r="L361" s="4">
        <v>-6.3239999999999998</v>
      </c>
      <c r="M361" s="4">
        <v>-6.3239999999999998</v>
      </c>
      <c r="N361" s="4">
        <v>-6.3239999999999998</v>
      </c>
      <c r="O361" s="4">
        <v>-6.3239999999999998</v>
      </c>
      <c r="P361" s="4">
        <v>-87</v>
      </c>
      <c r="Q361" s="3" t="s">
        <v>26</v>
      </c>
      <c r="R361" s="3">
        <v>0</v>
      </c>
      <c r="S361" s="3">
        <v>0</v>
      </c>
      <c r="T361" s="3">
        <v>45</v>
      </c>
      <c r="U361" s="3">
        <v>77</v>
      </c>
      <c r="V361" s="4">
        <f>IF(ISERROR(VLOOKUP($S$361,'TAR FIN'!$A$1:$O$92,15,0)),0,VLOOKUP($S$361,'TAR FIN'!$A$1:$O$92,15,0))</f>
        <v>0</v>
      </c>
      <c r="W361" s="4">
        <f>IF(ISERROR(VLOOKUP($T$361,'TAR FIN'!$A$1:$O$92,15,0)),0,VLOOKUP($T$361,'TAR FIN'!$A$1:$O$92,15,0))</f>
        <v>273.93</v>
      </c>
      <c r="X361" s="4">
        <f>IF(ISERROR(VLOOKUP($U$361,'TAR FIN'!$A$1:$O$92,15,0)),0,VLOOKUP($U$361,'TAR FIN'!$A$1:$O$92,15,0))</f>
        <v>236.63</v>
      </c>
      <c r="Y361" s="4"/>
      <c r="Z361" s="4">
        <f ca="1">('TUSD BE'!$AM$33+'TUSD BF'!$AM$33+'TUSD CVA'!$AM$33)*(1-CUSTOS!$M$38)</f>
        <v>375.01673922321953</v>
      </c>
      <c r="AA361" s="4">
        <f>('TE BE'!$AB$24+'TE BF'!$AB$24+'TE CVA'!$AB$24)*(1-CUSTOS!$M$38)</f>
        <v>316.00497871224974</v>
      </c>
      <c r="AB361" s="4">
        <f t="shared" si="16"/>
        <v>0</v>
      </c>
      <c r="AC361" s="4">
        <f>(L361-M361)*(W361+X361)+($W$178+$X$178-$W$361-$X$361)*(L361)</f>
        <v>-440.21363999999971</v>
      </c>
      <c r="AD361" s="4">
        <f t="shared" si="17"/>
        <v>0</v>
      </c>
      <c r="AE361" s="4">
        <f ca="1">(L361-M361)*(Z361+AA361)+($Z$178+$AA$178-$Z$361-$AA$361)*(L361)</f>
        <v>-278.93753261003707</v>
      </c>
      <c r="AF361" s="3" t="s">
        <v>752</v>
      </c>
    </row>
    <row r="362" spans="1:32" ht="11.25" customHeight="1" x14ac:dyDescent="0.25">
      <c r="A362" s="3" t="s">
        <v>28</v>
      </c>
      <c r="B362" s="3" t="s">
        <v>43</v>
      </c>
      <c r="C362" s="3" t="s">
        <v>23</v>
      </c>
      <c r="D362" s="3" t="s">
        <v>44</v>
      </c>
      <c r="E362" s="3" t="s">
        <v>25</v>
      </c>
      <c r="F362" s="3" t="s">
        <v>25</v>
      </c>
      <c r="G362" s="3" t="s">
        <v>25</v>
      </c>
      <c r="H362" s="3" t="s">
        <v>25</v>
      </c>
      <c r="I362" s="6">
        <v>44774</v>
      </c>
      <c r="J362" s="4">
        <v>0</v>
      </c>
      <c r="K362" s="4">
        <v>0</v>
      </c>
      <c r="L362" s="4">
        <v>29.541</v>
      </c>
      <c r="M362" s="4">
        <v>29.541</v>
      </c>
      <c r="N362" s="4">
        <v>29.541</v>
      </c>
      <c r="O362" s="4">
        <v>29.541</v>
      </c>
      <c r="P362" s="4">
        <v>39</v>
      </c>
      <c r="Q362" s="3" t="s">
        <v>26</v>
      </c>
      <c r="R362" s="3">
        <v>0</v>
      </c>
      <c r="S362" s="3">
        <v>0</v>
      </c>
      <c r="T362" s="3">
        <v>45</v>
      </c>
      <c r="U362" s="3">
        <v>77</v>
      </c>
      <c r="V362" s="4">
        <f>IF(ISERROR(VLOOKUP($S$362,'TAR FIN'!$A$1:$O$92,15,0)),0,VLOOKUP($S$362,'TAR FIN'!$A$1:$O$92,15,0))</f>
        <v>0</v>
      </c>
      <c r="W362" s="4">
        <f>IF(ISERROR(VLOOKUP($T$362,'TAR FIN'!$A$1:$O$92,15,0)),0,VLOOKUP($T$362,'TAR FIN'!$A$1:$O$92,15,0))</f>
        <v>273.93</v>
      </c>
      <c r="X362" s="4">
        <f>IF(ISERROR(VLOOKUP($U$362,'TAR FIN'!$A$1:$O$92,15,0)),0,VLOOKUP($U$362,'TAR FIN'!$A$1:$O$92,15,0))</f>
        <v>236.63</v>
      </c>
      <c r="Y362" s="4"/>
      <c r="Z362" s="4">
        <f ca="1">('TUSD BE'!$AM$33+'TUSD BF'!$AM$33+'TUSD CVA'!$AM$33)*(1-CUSTOS!$M$38)</f>
        <v>375.01673922321953</v>
      </c>
      <c r="AA362" s="4">
        <f>('TE BE'!$AB$24+'TE BF'!$AB$24+'TE CVA'!$AB$24)*(1-CUSTOS!$M$38)</f>
        <v>316.00497871224974</v>
      </c>
      <c r="AB362" s="4">
        <f t="shared" si="16"/>
        <v>0</v>
      </c>
      <c r="AC362" s="4">
        <f>(L362-M362)*(W362+X362)+($W$178+$X$178-$W$362-$X$362)*(L362)</f>
        <v>2056.3490099999985</v>
      </c>
      <c r="AD362" s="4">
        <f t="shared" si="17"/>
        <v>0</v>
      </c>
      <c r="AE362" s="4">
        <f ca="1">(L362-M362)*(Z362+AA362)+($Z$178+$AA$178-$Z$362-$AA$362)*(L362)</f>
        <v>1302.987610821174</v>
      </c>
      <c r="AF362" s="3" t="s">
        <v>752</v>
      </c>
    </row>
    <row r="363" spans="1:32" ht="11.25" customHeight="1" x14ac:dyDescent="0.25">
      <c r="A363" s="3" t="s">
        <v>21</v>
      </c>
      <c r="B363" s="3" t="s">
        <v>43</v>
      </c>
      <c r="C363" s="3" t="s">
        <v>23</v>
      </c>
      <c r="D363" s="3" t="s">
        <v>44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44805</v>
      </c>
      <c r="J363" s="4">
        <v>0</v>
      </c>
      <c r="K363" s="4">
        <v>0</v>
      </c>
      <c r="L363" s="4">
        <v>4477.0479999999998</v>
      </c>
      <c r="M363" s="4">
        <v>4477.0479999999998</v>
      </c>
      <c r="N363" s="4">
        <v>4477.0479999999998</v>
      </c>
      <c r="O363" s="4">
        <v>4477.0479999999998</v>
      </c>
      <c r="P363" s="4">
        <v>21315</v>
      </c>
      <c r="Q363" s="3" t="s">
        <v>26</v>
      </c>
      <c r="R363" s="3">
        <v>0</v>
      </c>
      <c r="S363" s="3">
        <v>0</v>
      </c>
      <c r="T363" s="3">
        <v>45</v>
      </c>
      <c r="U363" s="3">
        <v>77</v>
      </c>
      <c r="V363" s="4">
        <f>IF(ISERROR(VLOOKUP($S$363,'TAR FIN'!$A$1:$O$92,15,0)),0,VLOOKUP($S$363,'TAR FIN'!$A$1:$O$92,15,0))</f>
        <v>0</v>
      </c>
      <c r="W363" s="4">
        <f>IF(ISERROR(VLOOKUP($T$363,'TAR FIN'!$A$1:$O$92,15,0)),0,VLOOKUP($T$363,'TAR FIN'!$A$1:$O$92,15,0))</f>
        <v>273.93</v>
      </c>
      <c r="X363" s="4">
        <f>IF(ISERROR(VLOOKUP($U$363,'TAR FIN'!$A$1:$O$92,15,0)),0,VLOOKUP($U$363,'TAR FIN'!$A$1:$O$92,15,0))</f>
        <v>236.63</v>
      </c>
      <c r="Y363" s="4"/>
      <c r="Z363" s="4">
        <f ca="1">('TUSD BE'!$AM$33+'TUSD BF'!$AM$33+'TUSD CVA'!$AM$33)*(1-CUSTOS!$M$38)</f>
        <v>375.01673922321953</v>
      </c>
      <c r="AA363" s="4">
        <f>('TE BE'!$AB$24+'TE BF'!$AB$24+'TE CVA'!$AB$24)*(1-CUSTOS!$M$38)</f>
        <v>316.00497871224974</v>
      </c>
      <c r="AB363" s="4">
        <f t="shared" si="16"/>
        <v>0</v>
      </c>
      <c r="AC363" s="4">
        <f>(L363-M363)*(W363+X363)+($W$178+$X$178-$W$363-$X$363)*(L363)</f>
        <v>311647.31127999979</v>
      </c>
      <c r="AD363" s="4">
        <f t="shared" si="17"/>
        <v>0</v>
      </c>
      <c r="AE363" s="4">
        <f ca="1">(L363-M363)*(Z363+AA363)+($Z$178+$AA$178-$Z$363-$AA$363)*(L363)</f>
        <v>197472.60001529113</v>
      </c>
      <c r="AF363" s="3" t="s">
        <v>752</v>
      </c>
    </row>
    <row r="364" spans="1:32" ht="11.25" customHeight="1" x14ac:dyDescent="0.25">
      <c r="A364" s="3" t="s">
        <v>27</v>
      </c>
      <c r="B364" s="3" t="s">
        <v>43</v>
      </c>
      <c r="C364" s="3" t="s">
        <v>23</v>
      </c>
      <c r="D364" s="3" t="s">
        <v>44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44805</v>
      </c>
      <c r="J364" s="4">
        <v>0</v>
      </c>
      <c r="K364" s="4">
        <v>0</v>
      </c>
      <c r="L364" s="4">
        <v>-17.190999999999999</v>
      </c>
      <c r="M364" s="4">
        <v>-17.190999999999999</v>
      </c>
      <c r="N364" s="4">
        <v>-17.190999999999999</v>
      </c>
      <c r="O364" s="4">
        <v>-17.190999999999999</v>
      </c>
      <c r="P364" s="4">
        <v>-48</v>
      </c>
      <c r="Q364" s="3" t="s">
        <v>26</v>
      </c>
      <c r="R364" s="3">
        <v>0</v>
      </c>
      <c r="S364" s="3">
        <v>0</v>
      </c>
      <c r="T364" s="3">
        <v>45</v>
      </c>
      <c r="U364" s="3">
        <v>77</v>
      </c>
      <c r="V364" s="4">
        <f>IF(ISERROR(VLOOKUP($S$364,'TAR FIN'!$A$1:$O$92,15,0)),0,VLOOKUP($S$364,'TAR FIN'!$A$1:$O$92,15,0))</f>
        <v>0</v>
      </c>
      <c r="W364" s="4">
        <f>IF(ISERROR(VLOOKUP($T$364,'TAR FIN'!$A$1:$O$92,15,0)),0,VLOOKUP($T$364,'TAR FIN'!$A$1:$O$92,15,0))</f>
        <v>273.93</v>
      </c>
      <c r="X364" s="4">
        <f>IF(ISERROR(VLOOKUP($U$364,'TAR FIN'!$A$1:$O$92,15,0)),0,VLOOKUP($U$364,'TAR FIN'!$A$1:$O$92,15,0))</f>
        <v>236.63</v>
      </c>
      <c r="Y364" s="4"/>
      <c r="Z364" s="4">
        <f ca="1">('TUSD BE'!$AM$33+'TUSD BF'!$AM$33+'TUSD CVA'!$AM$33)*(1-CUSTOS!$M$38)</f>
        <v>375.01673922321953</v>
      </c>
      <c r="AA364" s="4">
        <f>('TE BE'!$AB$24+'TE BF'!$AB$24+'TE CVA'!$AB$24)*(1-CUSTOS!$M$38)</f>
        <v>316.00497871224974</v>
      </c>
      <c r="AB364" s="4">
        <f t="shared" si="16"/>
        <v>0</v>
      </c>
      <c r="AC364" s="4">
        <f>(L364-M364)*(W364+X364)+($W$178+$X$178-$W$364-$X$364)*(L364)</f>
        <v>-1196.6655099999991</v>
      </c>
      <c r="AD364" s="4">
        <f t="shared" si="17"/>
        <v>0</v>
      </c>
      <c r="AE364" s="4">
        <f ca="1">(L364-M364)*(Z364+AA364)+($Z$178+$AA$178-$Z$364-$AA$364)*(L364)</f>
        <v>-758.25666083161718</v>
      </c>
      <c r="AF364" s="3" t="s">
        <v>752</v>
      </c>
    </row>
    <row r="365" spans="1:32" ht="11.25" customHeight="1" x14ac:dyDescent="0.25">
      <c r="A365" s="3" t="s">
        <v>28</v>
      </c>
      <c r="B365" s="3" t="s">
        <v>43</v>
      </c>
      <c r="C365" s="3" t="s">
        <v>23</v>
      </c>
      <c r="D365" s="3" t="s">
        <v>44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44805</v>
      </c>
      <c r="J365" s="4">
        <v>0</v>
      </c>
      <c r="K365" s="4">
        <v>0</v>
      </c>
      <c r="L365" s="4">
        <v>33.85</v>
      </c>
      <c r="M365" s="4">
        <v>33.85</v>
      </c>
      <c r="N365" s="4">
        <v>33.85</v>
      </c>
      <c r="O365" s="4">
        <v>33.85</v>
      </c>
      <c r="P365" s="4">
        <v>40</v>
      </c>
      <c r="Q365" s="3" t="s">
        <v>26</v>
      </c>
      <c r="R365" s="3">
        <v>0</v>
      </c>
      <c r="S365" s="3">
        <v>0</v>
      </c>
      <c r="T365" s="3">
        <v>45</v>
      </c>
      <c r="U365" s="3">
        <v>77</v>
      </c>
      <c r="V365" s="4">
        <f>IF(ISERROR(VLOOKUP($S$365,'TAR FIN'!$A$1:$O$92,15,0)),0,VLOOKUP($S$365,'TAR FIN'!$A$1:$O$92,15,0))</f>
        <v>0</v>
      </c>
      <c r="W365" s="4">
        <f>IF(ISERROR(VLOOKUP($T$365,'TAR FIN'!$A$1:$O$92,15,0)),0,VLOOKUP($T$365,'TAR FIN'!$A$1:$O$92,15,0))</f>
        <v>273.93</v>
      </c>
      <c r="X365" s="4">
        <f>IF(ISERROR(VLOOKUP($U$365,'TAR FIN'!$A$1:$O$92,15,0)),0,VLOOKUP($U$365,'TAR FIN'!$A$1:$O$92,15,0))</f>
        <v>236.63</v>
      </c>
      <c r="Y365" s="4"/>
      <c r="Z365" s="4">
        <f ca="1">('TUSD BE'!$AM$33+'TUSD BF'!$AM$33+'TUSD CVA'!$AM$33)*(1-CUSTOS!$M$38)</f>
        <v>375.01673922321953</v>
      </c>
      <c r="AA365" s="4">
        <f>('TE BE'!$AB$24+'TE BF'!$AB$24+'TE CVA'!$AB$24)*(1-CUSTOS!$M$38)</f>
        <v>316.00497871224974</v>
      </c>
      <c r="AB365" s="4">
        <f t="shared" si="16"/>
        <v>0</v>
      </c>
      <c r="AC365" s="4">
        <f>(L365-M365)*(W365+X365)+($W$178+$X$178-$W$365-$X$365)*(L365)</f>
        <v>2356.2984999999985</v>
      </c>
      <c r="AD365" s="4">
        <f t="shared" si="17"/>
        <v>0</v>
      </c>
      <c r="AE365" s="4">
        <f ca="1">(L365-M365)*(Z365+AA365)+($Z$178+$AA$178-$Z$365-$AA$365)*(L365)</f>
        <v>1493.047988432915</v>
      </c>
      <c r="AF365" s="3" t="s">
        <v>752</v>
      </c>
    </row>
    <row r="366" spans="1:32" ht="11.25" customHeight="1" x14ac:dyDescent="0.25">
      <c r="A366" s="3" t="s">
        <v>55</v>
      </c>
      <c r="B366" s="3" t="s">
        <v>43</v>
      </c>
      <c r="C366" s="3" t="s">
        <v>23</v>
      </c>
      <c r="D366" s="3" t="s">
        <v>44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44835</v>
      </c>
      <c r="J366" s="4">
        <v>0</v>
      </c>
      <c r="K366" s="4">
        <v>0</v>
      </c>
      <c r="L366" s="4">
        <v>4477.0479999999998</v>
      </c>
      <c r="M366" s="4">
        <v>4477.0479999999998</v>
      </c>
      <c r="N366" s="4">
        <v>4477.0479999999998</v>
      </c>
      <c r="O366" s="4">
        <v>4477.0479999999998</v>
      </c>
      <c r="P366" s="4">
        <v>21315</v>
      </c>
      <c r="Q366" s="3" t="s">
        <v>26</v>
      </c>
      <c r="R366" s="3">
        <v>0</v>
      </c>
      <c r="S366" s="3">
        <v>0</v>
      </c>
      <c r="T366" s="3">
        <v>45</v>
      </c>
      <c r="U366" s="3">
        <v>77</v>
      </c>
      <c r="V366" s="4">
        <f>IF(ISERROR(VLOOKUP($S$366,'TAR FIN'!$A$1:$O$92,15,0)),0,VLOOKUP($S$366,'TAR FIN'!$A$1:$O$92,15,0))</f>
        <v>0</v>
      </c>
      <c r="W366" s="4">
        <f>IF(ISERROR(VLOOKUP($T$366,'TAR FIN'!$A$1:$O$92,15,0)),0,VLOOKUP($T$366,'TAR FIN'!$A$1:$O$92,15,0))</f>
        <v>273.93</v>
      </c>
      <c r="X366" s="4">
        <f>IF(ISERROR(VLOOKUP($U$366,'TAR FIN'!$A$1:$O$92,15,0)),0,VLOOKUP($U$366,'TAR FIN'!$A$1:$O$92,15,0))</f>
        <v>236.63</v>
      </c>
      <c r="Y366" s="4"/>
      <c r="Z366" s="4">
        <f ca="1">('TUSD BE'!$AM$33+'TUSD BF'!$AM$33+'TUSD CVA'!$AM$33)*(1-CUSTOS!$M$38)</f>
        <v>375.01673922321953</v>
      </c>
      <c r="AA366" s="4">
        <f>('TE BE'!$AB$24+'TE BF'!$AB$24+'TE CVA'!$AB$24)*(1-CUSTOS!$M$38)</f>
        <v>316.00497871224974</v>
      </c>
      <c r="AB366" s="4">
        <f t="shared" si="16"/>
        <v>0</v>
      </c>
      <c r="AC366" s="4">
        <f>(L366-M366)*(W366+X366)+($W$178+$X$178-$W$366-$X$366)*(L366)</f>
        <v>311647.31127999979</v>
      </c>
      <c r="AD366" s="4">
        <f t="shared" si="17"/>
        <v>0</v>
      </c>
      <c r="AE366" s="4">
        <f ca="1">(L366-M366)*(Z366+AA366)+($Z$178+$AA$178-$Z$366-$AA$366)*(L366)</f>
        <v>197472.60001529113</v>
      </c>
      <c r="AF366" s="3" t="s">
        <v>752</v>
      </c>
    </row>
    <row r="367" spans="1:32" ht="11.25" customHeight="1" x14ac:dyDescent="0.25">
      <c r="A367" s="3" t="s">
        <v>55</v>
      </c>
      <c r="B367" s="3" t="s">
        <v>43</v>
      </c>
      <c r="C367" s="3" t="s">
        <v>23</v>
      </c>
      <c r="D367" s="3" t="s">
        <v>44</v>
      </c>
      <c r="E367" s="3" t="s">
        <v>25</v>
      </c>
      <c r="F367" s="3" t="s">
        <v>25</v>
      </c>
      <c r="G367" s="3" t="s">
        <v>25</v>
      </c>
      <c r="H367" s="3" t="s">
        <v>25</v>
      </c>
      <c r="I367" s="6">
        <v>44835</v>
      </c>
      <c r="J367" s="4">
        <v>0</v>
      </c>
      <c r="K367" s="4">
        <v>0</v>
      </c>
      <c r="L367" s="4">
        <v>-17.190999999999999</v>
      </c>
      <c r="M367" s="4">
        <v>-17.190999999999999</v>
      </c>
      <c r="N367" s="4">
        <v>-17.190999999999999</v>
      </c>
      <c r="O367" s="4">
        <v>-17.190999999999999</v>
      </c>
      <c r="P367" s="4">
        <v>-48</v>
      </c>
      <c r="Q367" s="3" t="s">
        <v>26</v>
      </c>
      <c r="R367" s="3">
        <v>0</v>
      </c>
      <c r="S367" s="3">
        <v>0</v>
      </c>
      <c r="T367" s="3">
        <v>45</v>
      </c>
      <c r="U367" s="3">
        <v>77</v>
      </c>
      <c r="V367" s="4">
        <f>IF(ISERROR(VLOOKUP($S$367,'TAR FIN'!$A$1:$O$92,15,0)),0,VLOOKUP($S$367,'TAR FIN'!$A$1:$O$92,15,0))</f>
        <v>0</v>
      </c>
      <c r="W367" s="4">
        <f>IF(ISERROR(VLOOKUP($T$367,'TAR FIN'!$A$1:$O$92,15,0)),0,VLOOKUP($T$367,'TAR FIN'!$A$1:$O$92,15,0))</f>
        <v>273.93</v>
      </c>
      <c r="X367" s="4">
        <f>IF(ISERROR(VLOOKUP($U$367,'TAR FIN'!$A$1:$O$92,15,0)),0,VLOOKUP($U$367,'TAR FIN'!$A$1:$O$92,15,0))</f>
        <v>236.63</v>
      </c>
      <c r="Y367" s="4"/>
      <c r="Z367" s="4">
        <f ca="1">('TUSD BE'!$AM$33+'TUSD BF'!$AM$33+'TUSD CVA'!$AM$33)*(1-CUSTOS!$M$38)</f>
        <v>375.01673922321953</v>
      </c>
      <c r="AA367" s="4">
        <f>('TE BE'!$AB$24+'TE BF'!$AB$24+'TE CVA'!$AB$24)*(1-CUSTOS!$M$38)</f>
        <v>316.00497871224974</v>
      </c>
      <c r="AB367" s="4">
        <f t="shared" si="16"/>
        <v>0</v>
      </c>
      <c r="AC367" s="4">
        <f>(L367-M367)*(W367+X367)+($W$178+$X$178-$W$367-$X$367)*(L367)</f>
        <v>-1196.6655099999991</v>
      </c>
      <c r="AD367" s="4">
        <f t="shared" si="17"/>
        <v>0</v>
      </c>
      <c r="AE367" s="4">
        <f ca="1">(L367-M367)*(Z367+AA367)+($Z$178+$AA$178-$Z$367-$AA$367)*(L367)</f>
        <v>-758.25666083161718</v>
      </c>
      <c r="AF367" s="3" t="s">
        <v>752</v>
      </c>
    </row>
    <row r="368" spans="1:32" ht="11.25" customHeight="1" x14ac:dyDescent="0.25">
      <c r="A368" s="3" t="s">
        <v>55</v>
      </c>
      <c r="B368" s="3" t="s">
        <v>43</v>
      </c>
      <c r="C368" s="3" t="s">
        <v>23</v>
      </c>
      <c r="D368" s="3" t="s">
        <v>44</v>
      </c>
      <c r="E368" s="3" t="s">
        <v>25</v>
      </c>
      <c r="F368" s="3" t="s">
        <v>25</v>
      </c>
      <c r="G368" s="3" t="s">
        <v>25</v>
      </c>
      <c r="H368" s="3" t="s">
        <v>25</v>
      </c>
      <c r="I368" s="6">
        <v>44835</v>
      </c>
      <c r="J368" s="4">
        <v>0</v>
      </c>
      <c r="K368" s="4">
        <v>0</v>
      </c>
      <c r="L368" s="4">
        <v>33.85</v>
      </c>
      <c r="M368" s="4">
        <v>33.85</v>
      </c>
      <c r="N368" s="4">
        <v>33.85</v>
      </c>
      <c r="O368" s="4">
        <v>33.85</v>
      </c>
      <c r="P368" s="4">
        <v>40</v>
      </c>
      <c r="Q368" s="3" t="s">
        <v>26</v>
      </c>
      <c r="R368" s="3">
        <v>0</v>
      </c>
      <c r="S368" s="3">
        <v>0</v>
      </c>
      <c r="T368" s="3">
        <v>45</v>
      </c>
      <c r="U368" s="3">
        <v>77</v>
      </c>
      <c r="V368" s="4">
        <f>IF(ISERROR(VLOOKUP($S$368,'TAR FIN'!$A$1:$O$92,15,0)),0,VLOOKUP($S$368,'TAR FIN'!$A$1:$O$92,15,0))</f>
        <v>0</v>
      </c>
      <c r="W368" s="4">
        <f>IF(ISERROR(VLOOKUP($T$368,'TAR FIN'!$A$1:$O$92,15,0)),0,VLOOKUP($T$368,'TAR FIN'!$A$1:$O$92,15,0))</f>
        <v>273.93</v>
      </c>
      <c r="X368" s="4">
        <f>IF(ISERROR(VLOOKUP($U$368,'TAR FIN'!$A$1:$O$92,15,0)),0,VLOOKUP($U$368,'TAR FIN'!$A$1:$O$92,15,0))</f>
        <v>236.63</v>
      </c>
      <c r="Y368" s="4"/>
      <c r="Z368" s="4">
        <f ca="1">('TUSD BE'!$AM$33+'TUSD BF'!$AM$33+'TUSD CVA'!$AM$33)*(1-CUSTOS!$M$38)</f>
        <v>375.01673922321953</v>
      </c>
      <c r="AA368" s="4">
        <f>('TE BE'!$AB$24+'TE BF'!$AB$24+'TE CVA'!$AB$24)*(1-CUSTOS!$M$38)</f>
        <v>316.00497871224974</v>
      </c>
      <c r="AB368" s="4">
        <f t="shared" si="16"/>
        <v>0</v>
      </c>
      <c r="AC368" s="4">
        <f>(L368-M368)*(W368+X368)+($W$178+$X$178-$W$368-$X$368)*(L368)</f>
        <v>2356.2984999999985</v>
      </c>
      <c r="AD368" s="4">
        <f t="shared" si="17"/>
        <v>0</v>
      </c>
      <c r="AE368" s="4">
        <f ca="1">(L368-M368)*(Z368+AA368)+($Z$178+$AA$178-$Z$368-$AA$368)*(L368)</f>
        <v>1493.047988432915</v>
      </c>
      <c r="AF368" s="3" t="s">
        <v>752</v>
      </c>
    </row>
    <row r="369" spans="1:32" ht="11.25" customHeight="1" x14ac:dyDescent="0.25">
      <c r="A369" s="3" t="s">
        <v>21</v>
      </c>
      <c r="B369" s="3" t="s">
        <v>37</v>
      </c>
      <c r="C369" s="3" t="s">
        <v>23</v>
      </c>
      <c r="D369" s="3" t="s">
        <v>49</v>
      </c>
      <c r="E369" s="3" t="s">
        <v>50</v>
      </c>
      <c r="F369" s="3" t="s">
        <v>25</v>
      </c>
      <c r="G369" s="3" t="s">
        <v>25</v>
      </c>
      <c r="H369" s="3" t="s">
        <v>25</v>
      </c>
      <c r="I369" s="6">
        <v>44501</v>
      </c>
      <c r="J369" s="4">
        <v>0</v>
      </c>
      <c r="K369" s="64">
        <v>0</v>
      </c>
      <c r="L369" s="4">
        <v>846.09400000000005</v>
      </c>
      <c r="M369" s="64">
        <v>846.09400000000005</v>
      </c>
      <c r="N369" s="4">
        <v>846.09400000000005</v>
      </c>
      <c r="O369" s="64">
        <v>846.09400000000005</v>
      </c>
      <c r="P369" s="4">
        <v>281</v>
      </c>
      <c r="Q369" s="3" t="s">
        <v>26</v>
      </c>
      <c r="R369" s="3">
        <v>0</v>
      </c>
      <c r="S369" s="3">
        <v>0</v>
      </c>
      <c r="T369" s="3">
        <v>33</v>
      </c>
      <c r="U369" s="3">
        <v>87</v>
      </c>
      <c r="V369" s="64">
        <f>IF(ISERROR(VLOOKUP($S$369,'TAR FIN'!$A$1:$O$92,15,0)),0,VLOOKUP($S$369,'TAR FIN'!$A$1:$O$92,15,0))</f>
        <v>0</v>
      </c>
      <c r="W369" s="64">
        <f>IF(ISERROR(VLOOKUP($T$369,'TAR FIN'!$A$1:$O$92,15,0)),0,VLOOKUP($T$369,'TAR FIN'!$A$1:$O$92,15,0))*(1-0.06)</f>
        <v>292.60319999999996</v>
      </c>
      <c r="X369" s="64">
        <f>IF(ISERROR(VLOOKUP($U$369,'TAR FIN'!$A$1:$O$92,15,0)),0,VLOOKUP($U$369,'TAR FIN'!$A$1:$O$92,15,0))*(1-0.06)</f>
        <v>252.75659999999996</v>
      </c>
      <c r="Y369" s="64"/>
      <c r="Z369" s="64">
        <f ca="1">('TUSD BE'!$AM$48+'TUSD BF'!$AM$48+'TUSD CVA'!$AM$48)*1*(1-0.03)</f>
        <v>386.98535856013081</v>
      </c>
      <c r="AA369" s="64">
        <f>('TE BE'!$AB$39+'TE BF'!$AB$39+'TE CVA'!$AB$39)*1*(1-0.03)</f>
        <v>326.09024399030028</v>
      </c>
      <c r="AB369" s="64">
        <f>(SUBSIDIO!$J$369*SUBSIDIO!$V$369)*(0.06)/(1-0.06)</f>
        <v>0</v>
      </c>
      <c r="AC369" s="64">
        <f>((SUBSIDIO!$L$369*SUBSIDIO!$W$369)+(SUBSIDIO!$N$369*SUBSIDIO!$X$369))*(0.06)/(1-0.06)</f>
        <v>29452.701358799997</v>
      </c>
      <c r="AD369" s="64">
        <f>(SUBSIDIO!$J$369*SUBSIDIO!$Y$369)*(0.03)/(1-0.03)</f>
        <v>0</v>
      </c>
      <c r="AE369" s="64">
        <f ca="1">((SUBSIDIO!$L$369*SUBSIDIO!$Z$369)+(SUBSIDIO!$N$369*SUBSIDIO!$AA$369))*(0.03)/(1-0.03)</f>
        <v>18659.65944941148</v>
      </c>
      <c r="AF369" s="3" t="s">
        <v>751</v>
      </c>
    </row>
    <row r="370" spans="1:32" ht="11.25" customHeight="1" x14ac:dyDescent="0.25">
      <c r="A370" s="3" t="s">
        <v>27</v>
      </c>
      <c r="B370" s="3" t="s">
        <v>37</v>
      </c>
      <c r="C370" s="3" t="s">
        <v>23</v>
      </c>
      <c r="D370" s="3" t="s">
        <v>49</v>
      </c>
      <c r="E370" s="3" t="s">
        <v>50</v>
      </c>
      <c r="F370" s="3" t="s">
        <v>25</v>
      </c>
      <c r="G370" s="3" t="s">
        <v>25</v>
      </c>
      <c r="H370" s="3" t="s">
        <v>25</v>
      </c>
      <c r="I370" s="6">
        <v>44501</v>
      </c>
      <c r="J370" s="4">
        <v>0</v>
      </c>
      <c r="K370" s="64">
        <v>0</v>
      </c>
      <c r="L370" s="4">
        <v>-10.592000000000001</v>
      </c>
      <c r="M370" s="64">
        <v>-10.592000000000001</v>
      </c>
      <c r="N370" s="4">
        <v>-10.592000000000001</v>
      </c>
      <c r="O370" s="64">
        <v>-10.592000000000001</v>
      </c>
      <c r="P370" s="4">
        <v>0</v>
      </c>
      <c r="Q370" s="3" t="s">
        <v>26</v>
      </c>
      <c r="R370" s="3">
        <v>0</v>
      </c>
      <c r="S370" s="3">
        <v>0</v>
      </c>
      <c r="T370" s="3">
        <v>33</v>
      </c>
      <c r="U370" s="3">
        <v>87</v>
      </c>
      <c r="V370" s="64">
        <f>IF(ISERROR(VLOOKUP($S$370,'TAR FIN'!$A$1:$O$92,15,0)),0,VLOOKUP($S$370,'TAR FIN'!$A$1:$O$92,15,0))</f>
        <v>0</v>
      </c>
      <c r="W370" s="64">
        <f>IF(ISERROR(VLOOKUP($T$370,'TAR FIN'!$A$1:$O$92,15,0)),0,VLOOKUP($T$370,'TAR FIN'!$A$1:$O$92,15,0))*(1-0.06)</f>
        <v>292.60319999999996</v>
      </c>
      <c r="X370" s="64">
        <f>IF(ISERROR(VLOOKUP($U$370,'TAR FIN'!$A$1:$O$92,15,0)),0,VLOOKUP($U$370,'TAR FIN'!$A$1:$O$92,15,0))*(1-0.06)</f>
        <v>252.75659999999996</v>
      </c>
      <c r="Y370" s="64"/>
      <c r="Z370" s="64">
        <f ca="1">('TUSD BE'!$AM$48+'TUSD BF'!$AM$48+'TUSD CVA'!$AM$48)*1*(1-0.03)</f>
        <v>386.98535856013081</v>
      </c>
      <c r="AA370" s="64">
        <f>('TE BE'!$AB$39+'TE BF'!$AB$39+'TE CVA'!$AB$39)*1*(1-0.03)</f>
        <v>326.09024399030028</v>
      </c>
      <c r="AB370" s="64">
        <f>(SUBSIDIO!$J$370*SUBSIDIO!$V$370)*(0.06)/(1-0.06)</f>
        <v>0</v>
      </c>
      <c r="AC370" s="64">
        <f>((SUBSIDIO!$L$370*SUBSIDIO!$W$370)+(SUBSIDIO!$N$370*SUBSIDIO!$X$370))*(0.06)/(1-0.06)</f>
        <v>-368.70963839999996</v>
      </c>
      <c r="AD370" s="64">
        <f>(SUBSIDIO!$J$370*SUBSIDIO!$Y$370)*(0.03)/(1-0.03)</f>
        <v>0</v>
      </c>
      <c r="AE370" s="64">
        <f ca="1">((SUBSIDIO!$L$370*SUBSIDIO!$Z$370)+(SUBSIDIO!$N$370*SUBSIDIO!$AA$370))*(0.03)/(1-0.03)</f>
        <v>-233.59474584167521</v>
      </c>
      <c r="AF370" s="3" t="s">
        <v>751</v>
      </c>
    </row>
    <row r="371" spans="1:32" ht="11.25" customHeight="1" x14ac:dyDescent="0.25">
      <c r="A371" s="3" t="s">
        <v>21</v>
      </c>
      <c r="B371" s="3" t="s">
        <v>37</v>
      </c>
      <c r="C371" s="3" t="s">
        <v>23</v>
      </c>
      <c r="D371" s="3" t="s">
        <v>49</v>
      </c>
      <c r="E371" s="3" t="s">
        <v>50</v>
      </c>
      <c r="F371" s="3" t="s">
        <v>25</v>
      </c>
      <c r="G371" s="3" t="s">
        <v>25</v>
      </c>
      <c r="H371" s="3" t="s">
        <v>25</v>
      </c>
      <c r="I371" s="6">
        <v>44531</v>
      </c>
      <c r="J371" s="4">
        <v>0</v>
      </c>
      <c r="K371" s="64">
        <v>0</v>
      </c>
      <c r="L371" s="4">
        <v>825.83399999999995</v>
      </c>
      <c r="M371" s="64">
        <v>825.83399999999995</v>
      </c>
      <c r="N371" s="4">
        <v>825.83399999999995</v>
      </c>
      <c r="O371" s="64">
        <v>825.83399999999995</v>
      </c>
      <c r="P371" s="4">
        <v>280</v>
      </c>
      <c r="Q371" s="3" t="s">
        <v>26</v>
      </c>
      <c r="R371" s="3">
        <v>0</v>
      </c>
      <c r="S371" s="3">
        <v>0</v>
      </c>
      <c r="T371" s="3">
        <v>33</v>
      </c>
      <c r="U371" s="3">
        <v>87</v>
      </c>
      <c r="V371" s="64">
        <f>IF(ISERROR(VLOOKUP($S$371,'TAR FIN'!$A$1:$O$92,15,0)),0,VLOOKUP($S$371,'TAR FIN'!$A$1:$O$92,15,0))</f>
        <v>0</v>
      </c>
      <c r="W371" s="64">
        <f>IF(ISERROR(VLOOKUP($T$371,'TAR FIN'!$A$1:$O$92,15,0)),0,VLOOKUP($T$371,'TAR FIN'!$A$1:$O$92,15,0))*(1-0.06)</f>
        <v>292.60319999999996</v>
      </c>
      <c r="X371" s="64">
        <f>IF(ISERROR(VLOOKUP($U$371,'TAR FIN'!$A$1:$O$92,15,0)),0,VLOOKUP($U$371,'TAR FIN'!$A$1:$O$92,15,0))*(1-0.06)</f>
        <v>252.75659999999996</v>
      </c>
      <c r="Y371" s="64"/>
      <c r="Z371" s="64">
        <f ca="1">('TUSD BE'!$AM$48+'TUSD BF'!$AM$48+'TUSD CVA'!$AM$48)*1*(1-0.03)</f>
        <v>386.98535856013081</v>
      </c>
      <c r="AA371" s="64">
        <f>('TE BE'!$AB$39+'TE BF'!$AB$39+'TE CVA'!$AB$39)*1*(1-0.03)</f>
        <v>326.09024399030028</v>
      </c>
      <c r="AB371" s="64">
        <f>(SUBSIDIO!$J$371*SUBSIDIO!$V$371)*(0.06)/(1-0.06)</f>
        <v>0</v>
      </c>
      <c r="AC371" s="64">
        <f>((SUBSIDIO!$L$371*SUBSIDIO!$W$371)+(SUBSIDIO!$N$371*SUBSIDIO!$X$371))*(0.06)/(1-0.06)</f>
        <v>28747.44670679999</v>
      </c>
      <c r="AD371" s="64">
        <f>(SUBSIDIO!$J$371*SUBSIDIO!$Y$371)*(0.03)/(1-0.03)</f>
        <v>0</v>
      </c>
      <c r="AE371" s="64">
        <f ca="1">((SUBSIDIO!$L$371*SUBSIDIO!$Z$371)+(SUBSIDIO!$N$371*SUBSIDIO!$AA$371))*(0.03)/(1-0.03)</f>
        <v>18212.847747112351</v>
      </c>
      <c r="AF371" s="3" t="s">
        <v>751</v>
      </c>
    </row>
    <row r="372" spans="1:32" ht="11.25" customHeight="1" x14ac:dyDescent="0.25">
      <c r="A372" s="3" t="s">
        <v>27</v>
      </c>
      <c r="B372" s="3" t="s">
        <v>37</v>
      </c>
      <c r="C372" s="3" t="s">
        <v>23</v>
      </c>
      <c r="D372" s="3" t="s">
        <v>49</v>
      </c>
      <c r="E372" s="3" t="s">
        <v>50</v>
      </c>
      <c r="F372" s="3" t="s">
        <v>25</v>
      </c>
      <c r="G372" s="3" t="s">
        <v>25</v>
      </c>
      <c r="H372" s="3" t="s">
        <v>25</v>
      </c>
      <c r="I372" s="6">
        <v>44531</v>
      </c>
      <c r="J372" s="4">
        <v>0</v>
      </c>
      <c r="K372" s="64">
        <v>0</v>
      </c>
      <c r="L372" s="4">
        <v>-1.276</v>
      </c>
      <c r="M372" s="64">
        <v>-1.276</v>
      </c>
      <c r="N372" s="4">
        <v>-1.276</v>
      </c>
      <c r="O372" s="64">
        <v>-1.276</v>
      </c>
      <c r="P372" s="4">
        <v>-1</v>
      </c>
      <c r="Q372" s="3" t="s">
        <v>26</v>
      </c>
      <c r="R372" s="3">
        <v>0</v>
      </c>
      <c r="S372" s="3">
        <v>0</v>
      </c>
      <c r="T372" s="3">
        <v>33</v>
      </c>
      <c r="U372" s="3">
        <v>87</v>
      </c>
      <c r="V372" s="64">
        <f>IF(ISERROR(VLOOKUP($S$372,'TAR FIN'!$A$1:$O$92,15,0)),0,VLOOKUP($S$372,'TAR FIN'!$A$1:$O$92,15,0))</f>
        <v>0</v>
      </c>
      <c r="W372" s="64">
        <f>IF(ISERROR(VLOOKUP($T$372,'TAR FIN'!$A$1:$O$92,15,0)),0,VLOOKUP($T$372,'TAR FIN'!$A$1:$O$92,15,0))*(1-0.06)</f>
        <v>292.60319999999996</v>
      </c>
      <c r="X372" s="64">
        <f>IF(ISERROR(VLOOKUP($U$372,'TAR FIN'!$A$1:$O$92,15,0)),0,VLOOKUP($U$372,'TAR FIN'!$A$1:$O$92,15,0))*(1-0.06)</f>
        <v>252.75659999999996</v>
      </c>
      <c r="Y372" s="64"/>
      <c r="Z372" s="64">
        <f ca="1">('TUSD BE'!$AM$48+'TUSD BF'!$AM$48+'TUSD CVA'!$AM$48)*1*(1-0.03)</f>
        <v>386.98535856013081</v>
      </c>
      <c r="AA372" s="64">
        <f>('TE BE'!$AB$39+'TE BF'!$AB$39+'TE CVA'!$AB$39)*1*(1-0.03)</f>
        <v>326.09024399030028</v>
      </c>
      <c r="AB372" s="64">
        <f>(SUBSIDIO!$J$372*SUBSIDIO!$V$372)*(0.06)/(1-0.06)</f>
        <v>0</v>
      </c>
      <c r="AC372" s="64">
        <f>((SUBSIDIO!$L$372*SUBSIDIO!$W$372)+(SUBSIDIO!$N$372*SUBSIDIO!$X$372))*(0.06)/(1-0.06)</f>
        <v>-44.4178152</v>
      </c>
      <c r="AD372" s="64">
        <f>(SUBSIDIO!$J$372*SUBSIDIO!$Y$372)*(0.03)/(1-0.03)</f>
        <v>0</v>
      </c>
      <c r="AE372" s="64">
        <f ca="1">((SUBSIDIO!$L$372*SUBSIDIO!$Z$372)+(SUBSIDIO!$N$372*SUBSIDIO!$AA$372))*(0.03)/(1-0.03)</f>
        <v>-28.140756768691237</v>
      </c>
      <c r="AF372" s="3" t="s">
        <v>751</v>
      </c>
    </row>
    <row r="373" spans="1:32" ht="11.25" customHeight="1" x14ac:dyDescent="0.25">
      <c r="A373" s="3" t="s">
        <v>21</v>
      </c>
      <c r="B373" s="3" t="s">
        <v>37</v>
      </c>
      <c r="C373" s="3" t="s">
        <v>23</v>
      </c>
      <c r="D373" s="3" t="s">
        <v>49</v>
      </c>
      <c r="E373" s="3" t="s">
        <v>50</v>
      </c>
      <c r="F373" s="3" t="s">
        <v>25</v>
      </c>
      <c r="G373" s="3" t="s">
        <v>25</v>
      </c>
      <c r="H373" s="3" t="s">
        <v>25</v>
      </c>
      <c r="I373" s="6">
        <v>44562</v>
      </c>
      <c r="J373" s="4">
        <v>0</v>
      </c>
      <c r="K373" s="64">
        <v>0</v>
      </c>
      <c r="L373" s="4">
        <v>770.93499999999995</v>
      </c>
      <c r="M373" s="64">
        <v>770.93499999999995</v>
      </c>
      <c r="N373" s="4">
        <v>770.93499999999995</v>
      </c>
      <c r="O373" s="64">
        <v>770.93499999999995</v>
      </c>
      <c r="P373" s="4">
        <v>279</v>
      </c>
      <c r="Q373" s="3" t="s">
        <v>26</v>
      </c>
      <c r="R373" s="3">
        <v>0</v>
      </c>
      <c r="S373" s="3">
        <v>0</v>
      </c>
      <c r="T373" s="3">
        <v>33</v>
      </c>
      <c r="U373" s="3">
        <v>87</v>
      </c>
      <c r="V373" s="64">
        <f>IF(ISERROR(VLOOKUP($S$373,'TAR FIN'!$A$1:$O$92,15,0)),0,VLOOKUP($S$373,'TAR FIN'!$A$1:$O$92,15,0))</f>
        <v>0</v>
      </c>
      <c r="W373" s="64">
        <f>IF(ISERROR(VLOOKUP($T$373,'TAR FIN'!$A$1:$O$92,15,0)),0,VLOOKUP($T$373,'TAR FIN'!$A$1:$O$92,15,0))*(1-0.06)</f>
        <v>292.60319999999996</v>
      </c>
      <c r="X373" s="64">
        <f>IF(ISERROR(VLOOKUP($U$373,'TAR FIN'!$A$1:$O$92,15,0)),0,VLOOKUP($U$373,'TAR FIN'!$A$1:$O$92,15,0))*(1-0.06)</f>
        <v>252.75659999999996</v>
      </c>
      <c r="Y373" s="64"/>
      <c r="Z373" s="64">
        <f ca="1">('TUSD BE'!$AM$48+'TUSD BF'!$AM$48+'TUSD CVA'!$AM$48)*1*(1-0.03)</f>
        <v>386.98535856013081</v>
      </c>
      <c r="AA373" s="64">
        <f>('TE BE'!$AB$39+'TE BF'!$AB$39+'TE CVA'!$AB$39)*1*(1-0.03)</f>
        <v>326.09024399030028</v>
      </c>
      <c r="AB373" s="64">
        <f>(SUBSIDIO!$J$373*SUBSIDIO!$V$373)*(0.06)/(1-0.06)</f>
        <v>0</v>
      </c>
      <c r="AC373" s="64">
        <f>((SUBSIDIO!$L$373*SUBSIDIO!$W$373)+(SUBSIDIO!$N$373*SUBSIDIO!$X$373))*(0.06)/(1-0.06)</f>
        <v>26836.401536999998</v>
      </c>
      <c r="AD373" s="64">
        <f>(SUBSIDIO!$J$373*SUBSIDIO!$Y$373)*(0.03)/(1-0.03)</f>
        <v>0</v>
      </c>
      <c r="AE373" s="64">
        <f ca="1">((SUBSIDIO!$L$373*SUBSIDIO!$Z$373)+(SUBSIDIO!$N$373*SUBSIDIO!$AA$373))*(0.03)/(1-0.03)</f>
        <v>17002.111535635566</v>
      </c>
      <c r="AF373" s="3" t="s">
        <v>751</v>
      </c>
    </row>
    <row r="374" spans="1:32" ht="11.25" customHeight="1" x14ac:dyDescent="0.25">
      <c r="A374" s="3" t="s">
        <v>21</v>
      </c>
      <c r="B374" s="3" t="s">
        <v>37</v>
      </c>
      <c r="C374" s="3" t="s">
        <v>23</v>
      </c>
      <c r="D374" s="3" t="s">
        <v>49</v>
      </c>
      <c r="E374" s="3" t="s">
        <v>50</v>
      </c>
      <c r="F374" s="3" t="s">
        <v>25</v>
      </c>
      <c r="G374" s="3" t="s">
        <v>25</v>
      </c>
      <c r="H374" s="3" t="s">
        <v>25</v>
      </c>
      <c r="I374" s="6">
        <v>44593</v>
      </c>
      <c r="J374" s="4">
        <v>0</v>
      </c>
      <c r="K374" s="64">
        <v>0</v>
      </c>
      <c r="L374" s="4">
        <v>771.96199999999999</v>
      </c>
      <c r="M374" s="64">
        <v>771.96199999999999</v>
      </c>
      <c r="N374" s="4">
        <v>771.96199999999999</v>
      </c>
      <c r="O374" s="64">
        <v>771.96199999999999</v>
      </c>
      <c r="P374" s="4">
        <v>282</v>
      </c>
      <c r="Q374" s="3" t="s">
        <v>26</v>
      </c>
      <c r="R374" s="3">
        <v>0</v>
      </c>
      <c r="S374" s="3">
        <v>0</v>
      </c>
      <c r="T374" s="3">
        <v>33</v>
      </c>
      <c r="U374" s="3">
        <v>87</v>
      </c>
      <c r="V374" s="64">
        <f>IF(ISERROR(VLOOKUP($S$374,'TAR FIN'!$A$1:$O$92,15,0)),0,VLOOKUP($S$374,'TAR FIN'!$A$1:$O$92,15,0))</f>
        <v>0</v>
      </c>
      <c r="W374" s="64">
        <f>IF(ISERROR(VLOOKUP($T$374,'TAR FIN'!$A$1:$O$92,15,0)),0,VLOOKUP($T$374,'TAR FIN'!$A$1:$O$92,15,0))*(1-0.06)</f>
        <v>292.60319999999996</v>
      </c>
      <c r="X374" s="64">
        <f>IF(ISERROR(VLOOKUP($U$374,'TAR FIN'!$A$1:$O$92,15,0)),0,VLOOKUP($U$374,'TAR FIN'!$A$1:$O$92,15,0))*(1-0.06)</f>
        <v>252.75659999999996</v>
      </c>
      <c r="Y374" s="64"/>
      <c r="Z374" s="64">
        <f ca="1">('TUSD BE'!$AM$48+'TUSD BF'!$AM$48+'TUSD CVA'!$AM$48)*1*(1-0.03)</f>
        <v>386.98535856013081</v>
      </c>
      <c r="AA374" s="64">
        <f>('TE BE'!$AB$39+'TE BF'!$AB$39+'TE CVA'!$AB$39)*1*(1-0.03)</f>
        <v>326.09024399030028</v>
      </c>
      <c r="AB374" s="64">
        <f>(SUBSIDIO!$J$374*SUBSIDIO!$V$374)*(0.06)/(1-0.06)</f>
        <v>0</v>
      </c>
      <c r="AC374" s="64">
        <f>((SUBSIDIO!$L$374*SUBSIDIO!$W$374)+(SUBSIDIO!$N$374*SUBSIDIO!$X$374))*(0.06)/(1-0.06)</f>
        <v>26872.151612399997</v>
      </c>
      <c r="AD374" s="64">
        <f>(SUBSIDIO!$J$374*SUBSIDIO!$Y$374)*(0.03)/(1-0.03)</f>
        <v>0</v>
      </c>
      <c r="AE374" s="64">
        <f ca="1">((SUBSIDIO!$L$374*SUBSIDIO!$Z$374)+(SUBSIDIO!$N$374*SUBSIDIO!$AA$374))*(0.03)/(1-0.03)</f>
        <v>17024.760875135133</v>
      </c>
      <c r="AF374" s="3" t="s">
        <v>751</v>
      </c>
    </row>
    <row r="375" spans="1:32" ht="11.25" customHeight="1" x14ac:dyDescent="0.25">
      <c r="A375" s="3" t="s">
        <v>21</v>
      </c>
      <c r="B375" s="3" t="s">
        <v>37</v>
      </c>
      <c r="C375" s="3" t="s">
        <v>23</v>
      </c>
      <c r="D375" s="3" t="s">
        <v>49</v>
      </c>
      <c r="E375" s="3" t="s">
        <v>50</v>
      </c>
      <c r="F375" s="3" t="s">
        <v>25</v>
      </c>
      <c r="G375" s="3" t="s">
        <v>25</v>
      </c>
      <c r="H375" s="3" t="s">
        <v>25</v>
      </c>
      <c r="I375" s="6">
        <v>44621</v>
      </c>
      <c r="J375" s="4">
        <v>0</v>
      </c>
      <c r="K375" s="64">
        <v>0</v>
      </c>
      <c r="L375" s="4">
        <v>825.13499999999999</v>
      </c>
      <c r="M375" s="64">
        <v>825.13499999999999</v>
      </c>
      <c r="N375" s="4">
        <v>825.13499999999999</v>
      </c>
      <c r="O375" s="64">
        <v>825.13499999999999</v>
      </c>
      <c r="P375" s="4">
        <v>288</v>
      </c>
      <c r="Q375" s="3" t="s">
        <v>26</v>
      </c>
      <c r="R375" s="3">
        <v>0</v>
      </c>
      <c r="S375" s="3">
        <v>0</v>
      </c>
      <c r="T375" s="3">
        <v>33</v>
      </c>
      <c r="U375" s="3">
        <v>87</v>
      </c>
      <c r="V375" s="64">
        <f>IF(ISERROR(VLOOKUP($S$375,'TAR FIN'!$A$1:$O$92,15,0)),0,VLOOKUP($S$375,'TAR FIN'!$A$1:$O$92,15,0))</f>
        <v>0</v>
      </c>
      <c r="W375" s="64">
        <f>IF(ISERROR(VLOOKUP($T$375,'TAR FIN'!$A$1:$O$92,15,0)),0,VLOOKUP($T$375,'TAR FIN'!$A$1:$O$92,15,0))*(1-0.06)</f>
        <v>292.60319999999996</v>
      </c>
      <c r="X375" s="64">
        <f>IF(ISERROR(VLOOKUP($U$375,'TAR FIN'!$A$1:$O$92,15,0)),0,VLOOKUP($U$375,'TAR FIN'!$A$1:$O$92,15,0))*(1-0.06)</f>
        <v>252.75659999999996</v>
      </c>
      <c r="Y375" s="64"/>
      <c r="Z375" s="64">
        <f ca="1">('TUSD BE'!$AM$48+'TUSD BF'!$AM$48+'TUSD CVA'!$AM$48)*1*(1-0.03)</f>
        <v>386.98535856013081</v>
      </c>
      <c r="AA375" s="64">
        <f>('TE BE'!$AB$39+'TE BF'!$AB$39+'TE CVA'!$AB$39)*1*(1-0.03)</f>
        <v>326.09024399030028</v>
      </c>
      <c r="AB375" s="64">
        <f>(SUBSIDIO!$J$375*SUBSIDIO!$V$375)*(0.06)/(1-0.06)</f>
        <v>0</v>
      </c>
      <c r="AC375" s="64">
        <f>((SUBSIDIO!$L$375*SUBSIDIO!$W$375)+(SUBSIDIO!$N$375*SUBSIDIO!$X$375))*(0.06)/(1-0.06)</f>
        <v>28723.114376999998</v>
      </c>
      <c r="AD375" s="64">
        <f>(SUBSIDIO!$J$375*SUBSIDIO!$Y$375)*(0.03)/(1-0.03)</f>
        <v>0</v>
      </c>
      <c r="AE375" s="64">
        <f ca="1">((SUBSIDIO!$L$375*SUBSIDIO!$Z$375)+(SUBSIDIO!$N$375*SUBSIDIO!$AA$375))*(0.03)/(1-0.03)</f>
        <v>18197.432081766492</v>
      </c>
      <c r="AF375" s="3" t="s">
        <v>751</v>
      </c>
    </row>
    <row r="376" spans="1:32" ht="11.25" customHeight="1" x14ac:dyDescent="0.25">
      <c r="A376" s="3" t="s">
        <v>21</v>
      </c>
      <c r="B376" s="3" t="s">
        <v>37</v>
      </c>
      <c r="C376" s="3" t="s">
        <v>23</v>
      </c>
      <c r="D376" s="3" t="s">
        <v>49</v>
      </c>
      <c r="E376" s="3" t="s">
        <v>50</v>
      </c>
      <c r="F376" s="3" t="s">
        <v>25</v>
      </c>
      <c r="G376" s="3" t="s">
        <v>25</v>
      </c>
      <c r="H376" s="3" t="s">
        <v>25</v>
      </c>
      <c r="I376" s="6">
        <v>44652</v>
      </c>
      <c r="J376" s="4">
        <v>0</v>
      </c>
      <c r="K376" s="64">
        <v>0</v>
      </c>
      <c r="L376" s="4">
        <v>825.13499999999999</v>
      </c>
      <c r="M376" s="64">
        <v>825.13499999999999</v>
      </c>
      <c r="N376" s="4">
        <v>825.13499999999999</v>
      </c>
      <c r="O376" s="64">
        <v>825.13499999999999</v>
      </c>
      <c r="P376" s="4">
        <v>288</v>
      </c>
      <c r="Q376" s="3" t="s">
        <v>26</v>
      </c>
      <c r="R376" s="3">
        <v>0</v>
      </c>
      <c r="S376" s="3">
        <v>0</v>
      </c>
      <c r="T376" s="3">
        <v>33</v>
      </c>
      <c r="U376" s="3">
        <v>87</v>
      </c>
      <c r="V376" s="64">
        <f>IF(ISERROR(VLOOKUP($S$376,'TAR FIN'!$A$1:$O$92,15,0)),0,VLOOKUP($S$376,'TAR FIN'!$A$1:$O$92,15,0))</f>
        <v>0</v>
      </c>
      <c r="W376" s="64">
        <f>IF(ISERROR(VLOOKUP($T$376,'TAR FIN'!$A$1:$O$92,15,0)),0,VLOOKUP($T$376,'TAR FIN'!$A$1:$O$92,15,0))*(1-0.06)</f>
        <v>292.60319999999996</v>
      </c>
      <c r="X376" s="64">
        <f>IF(ISERROR(VLOOKUP($U$376,'TAR FIN'!$A$1:$O$92,15,0)),0,VLOOKUP($U$376,'TAR FIN'!$A$1:$O$92,15,0))*(1-0.06)</f>
        <v>252.75659999999996</v>
      </c>
      <c r="Y376" s="64"/>
      <c r="Z376" s="64">
        <f ca="1">('TUSD BE'!$AM$48+'TUSD BF'!$AM$48+'TUSD CVA'!$AM$48)*1*(1-0.03)</f>
        <v>386.98535856013081</v>
      </c>
      <c r="AA376" s="64">
        <f>('TE BE'!$AB$39+'TE BF'!$AB$39+'TE CVA'!$AB$39)*1*(1-0.03)</f>
        <v>326.09024399030028</v>
      </c>
      <c r="AB376" s="64">
        <f>(SUBSIDIO!$J$376*SUBSIDIO!$V$376)*(0.06)/(1-0.06)</f>
        <v>0</v>
      </c>
      <c r="AC376" s="64">
        <f>((SUBSIDIO!$L$376*SUBSIDIO!$W$376)+(SUBSIDIO!$N$376*SUBSIDIO!$X$376))*(0.06)/(1-0.06)</f>
        <v>28723.114376999998</v>
      </c>
      <c r="AD376" s="64">
        <f>(SUBSIDIO!$J$376*SUBSIDIO!$Y$376)*(0.03)/(1-0.03)</f>
        <v>0</v>
      </c>
      <c r="AE376" s="64">
        <f ca="1">((SUBSIDIO!$L$376*SUBSIDIO!$Z$376)+(SUBSIDIO!$N$376*SUBSIDIO!$AA$376))*(0.03)/(1-0.03)</f>
        <v>18197.432081766492</v>
      </c>
      <c r="AF376" s="3" t="s">
        <v>751</v>
      </c>
    </row>
    <row r="377" spans="1:32" ht="11.25" customHeight="1" x14ac:dyDescent="0.25">
      <c r="A377" s="3" t="s">
        <v>21</v>
      </c>
      <c r="B377" s="3" t="s">
        <v>37</v>
      </c>
      <c r="C377" s="3" t="s">
        <v>23</v>
      </c>
      <c r="D377" s="3" t="s">
        <v>49</v>
      </c>
      <c r="E377" s="3" t="s">
        <v>50</v>
      </c>
      <c r="F377" s="3" t="s">
        <v>25</v>
      </c>
      <c r="G377" s="3" t="s">
        <v>25</v>
      </c>
      <c r="H377" s="3" t="s">
        <v>25</v>
      </c>
      <c r="I377" s="6">
        <v>44682</v>
      </c>
      <c r="J377" s="4">
        <v>0</v>
      </c>
      <c r="K377" s="64">
        <v>0</v>
      </c>
      <c r="L377" s="4">
        <v>801.51499999999999</v>
      </c>
      <c r="M377" s="64">
        <v>801.51499999999999</v>
      </c>
      <c r="N377" s="4">
        <v>801.51499999999999</v>
      </c>
      <c r="O377" s="64">
        <v>801.51499999999999</v>
      </c>
      <c r="P377" s="4">
        <v>288</v>
      </c>
      <c r="Q377" s="3" t="s">
        <v>26</v>
      </c>
      <c r="R377" s="3">
        <v>0</v>
      </c>
      <c r="S377" s="3">
        <v>0</v>
      </c>
      <c r="T377" s="3">
        <v>33</v>
      </c>
      <c r="U377" s="3">
        <v>87</v>
      </c>
      <c r="V377" s="64">
        <f>IF(ISERROR(VLOOKUP($S$377,'TAR FIN'!$A$1:$O$92,15,0)),0,VLOOKUP($S$377,'TAR FIN'!$A$1:$O$92,15,0))</f>
        <v>0</v>
      </c>
      <c r="W377" s="64">
        <f>IF(ISERROR(VLOOKUP($T$377,'TAR FIN'!$A$1:$O$92,15,0)),0,VLOOKUP($T$377,'TAR FIN'!$A$1:$O$92,15,0))*(1-0.06)</f>
        <v>292.60319999999996</v>
      </c>
      <c r="X377" s="64">
        <f>IF(ISERROR(VLOOKUP($U$377,'TAR FIN'!$A$1:$O$92,15,0)),0,VLOOKUP($U$377,'TAR FIN'!$A$1:$O$92,15,0))*(1-0.06)</f>
        <v>252.75659999999996</v>
      </c>
      <c r="Y377" s="64"/>
      <c r="Z377" s="64">
        <f ca="1">('TUSD BE'!$AM$48+'TUSD BF'!$AM$48+'TUSD CVA'!$AM$48)*1*(1-0.03)</f>
        <v>386.98535856013081</v>
      </c>
      <c r="AA377" s="64">
        <f>('TE BE'!$AB$39+'TE BF'!$AB$39+'TE CVA'!$AB$39)*1*(1-0.03)</f>
        <v>326.09024399030028</v>
      </c>
      <c r="AB377" s="64">
        <f>(SUBSIDIO!$J$377*SUBSIDIO!$V$377)*(0.06)/(1-0.06)</f>
        <v>0</v>
      </c>
      <c r="AC377" s="64">
        <f>((SUBSIDIO!$L$377*SUBSIDIO!$W$377)+(SUBSIDIO!$N$377*SUBSIDIO!$X$377))*(0.06)/(1-0.06)</f>
        <v>27900.897453000001</v>
      </c>
      <c r="AD377" s="64">
        <f>(SUBSIDIO!$J$377*SUBSIDIO!$Y$377)*(0.03)/(1-0.03)</f>
        <v>0</v>
      </c>
      <c r="AE377" s="64">
        <f ca="1">((SUBSIDIO!$L$377*SUBSIDIO!$Z$377)+(SUBSIDIO!$N$377*SUBSIDIO!$AA$377))*(0.03)/(1-0.03)</f>
        <v>17676.519327161095</v>
      </c>
      <c r="AF377" s="3" t="s">
        <v>751</v>
      </c>
    </row>
    <row r="378" spans="1:32" ht="11.25" customHeight="1" x14ac:dyDescent="0.25">
      <c r="A378" s="3" t="s">
        <v>27</v>
      </c>
      <c r="B378" s="3" t="s">
        <v>37</v>
      </c>
      <c r="C378" s="3" t="s">
        <v>23</v>
      </c>
      <c r="D378" s="3" t="s">
        <v>49</v>
      </c>
      <c r="E378" s="3" t="s">
        <v>50</v>
      </c>
      <c r="F378" s="3" t="s">
        <v>25</v>
      </c>
      <c r="G378" s="3" t="s">
        <v>25</v>
      </c>
      <c r="H378" s="3" t="s">
        <v>25</v>
      </c>
      <c r="I378" s="6">
        <v>44682</v>
      </c>
      <c r="J378" s="4">
        <v>0</v>
      </c>
      <c r="K378" s="64">
        <v>0</v>
      </c>
      <c r="L378" s="4">
        <v>69.284000000000006</v>
      </c>
      <c r="M378" s="64">
        <v>69.284000000000006</v>
      </c>
      <c r="N378" s="4">
        <v>69.284000000000006</v>
      </c>
      <c r="O378" s="64">
        <v>69.284000000000006</v>
      </c>
      <c r="P378" s="4">
        <v>16</v>
      </c>
      <c r="Q378" s="3" t="s">
        <v>26</v>
      </c>
      <c r="R378" s="3">
        <v>0</v>
      </c>
      <c r="S378" s="3">
        <v>0</v>
      </c>
      <c r="T378" s="3">
        <v>33</v>
      </c>
      <c r="U378" s="3">
        <v>87</v>
      </c>
      <c r="V378" s="64">
        <f>IF(ISERROR(VLOOKUP($S$378,'TAR FIN'!$A$1:$O$92,15,0)),0,VLOOKUP($S$378,'TAR FIN'!$A$1:$O$92,15,0))</f>
        <v>0</v>
      </c>
      <c r="W378" s="64">
        <f>IF(ISERROR(VLOOKUP($T$378,'TAR FIN'!$A$1:$O$92,15,0)),0,VLOOKUP($T$378,'TAR FIN'!$A$1:$O$92,15,0))*(1-0.06)</f>
        <v>292.60319999999996</v>
      </c>
      <c r="X378" s="64">
        <f>IF(ISERROR(VLOOKUP($U$378,'TAR FIN'!$A$1:$O$92,15,0)),0,VLOOKUP($U$378,'TAR FIN'!$A$1:$O$92,15,0))*(1-0.06)</f>
        <v>252.75659999999996</v>
      </c>
      <c r="Y378" s="64"/>
      <c r="Z378" s="64">
        <f ca="1">('TUSD BE'!$AM$48+'TUSD BF'!$AM$48+'TUSD CVA'!$AM$48)*1*(1-0.03)</f>
        <v>386.98535856013081</v>
      </c>
      <c r="AA378" s="64">
        <f>('TE BE'!$AB$39+'TE BF'!$AB$39+'TE CVA'!$AB$39)*1*(1-0.03)</f>
        <v>326.09024399030028</v>
      </c>
      <c r="AB378" s="64">
        <f>(SUBSIDIO!$J$378*SUBSIDIO!$V$378)*(0.06)/(1-0.06)</f>
        <v>0</v>
      </c>
      <c r="AC378" s="64">
        <f>((SUBSIDIO!$L$378*SUBSIDIO!$W$378)+(SUBSIDIO!$N$378*SUBSIDIO!$X$378))*(0.06)/(1-0.06)</f>
        <v>2411.7898968</v>
      </c>
      <c r="AD378" s="64">
        <f>(SUBSIDIO!$J$378*SUBSIDIO!$Y$378)*(0.03)/(1-0.03)</f>
        <v>0</v>
      </c>
      <c r="AE378" s="64">
        <f ca="1">((SUBSIDIO!$L$378*SUBSIDIO!$Z$378)+(SUBSIDIO!$N$378*SUBSIDIO!$AA$378))*(0.03)/(1-0.03)</f>
        <v>1527.9813416630125</v>
      </c>
      <c r="AF378" s="3" t="s">
        <v>751</v>
      </c>
    </row>
    <row r="379" spans="1:32" ht="11.25" customHeight="1" x14ac:dyDescent="0.25">
      <c r="A379" s="3" t="s">
        <v>21</v>
      </c>
      <c r="B379" s="3" t="s">
        <v>37</v>
      </c>
      <c r="C379" s="3" t="s">
        <v>23</v>
      </c>
      <c r="D379" s="3" t="s">
        <v>49</v>
      </c>
      <c r="E379" s="3" t="s">
        <v>50</v>
      </c>
      <c r="F379" s="3" t="s">
        <v>25</v>
      </c>
      <c r="G379" s="3" t="s">
        <v>25</v>
      </c>
      <c r="H379" s="3" t="s">
        <v>25</v>
      </c>
      <c r="I379" s="6">
        <v>44713</v>
      </c>
      <c r="J379" s="4">
        <v>0</v>
      </c>
      <c r="K379" s="64">
        <v>0</v>
      </c>
      <c r="L379" s="4">
        <v>794.80899999999997</v>
      </c>
      <c r="M379" s="64">
        <v>794.80899999999997</v>
      </c>
      <c r="N379" s="4">
        <v>794.80899999999997</v>
      </c>
      <c r="O379" s="64">
        <v>794.80899999999997</v>
      </c>
      <c r="P379" s="4">
        <v>288</v>
      </c>
      <c r="Q379" s="3" t="s">
        <v>26</v>
      </c>
      <c r="R379" s="3">
        <v>0</v>
      </c>
      <c r="S379" s="3">
        <v>0</v>
      </c>
      <c r="T379" s="3">
        <v>33</v>
      </c>
      <c r="U379" s="3">
        <v>87</v>
      </c>
      <c r="V379" s="64">
        <f>IF(ISERROR(VLOOKUP($S$379,'TAR FIN'!$A$1:$O$92,15,0)),0,VLOOKUP($S$379,'TAR FIN'!$A$1:$O$92,15,0))</f>
        <v>0</v>
      </c>
      <c r="W379" s="64">
        <f>IF(ISERROR(VLOOKUP($T$379,'TAR FIN'!$A$1:$O$92,15,0)),0,VLOOKUP($T$379,'TAR FIN'!$A$1:$O$92,15,0))*(1-0.06)</f>
        <v>292.60319999999996</v>
      </c>
      <c r="X379" s="64">
        <f>IF(ISERROR(VLOOKUP($U$379,'TAR FIN'!$A$1:$O$92,15,0)),0,VLOOKUP($U$379,'TAR FIN'!$A$1:$O$92,15,0))*(1-0.06)</f>
        <v>252.75659999999996</v>
      </c>
      <c r="Y379" s="64"/>
      <c r="Z379" s="64">
        <f ca="1">('TUSD BE'!$AM$48+'TUSD BF'!$AM$48+'TUSD CVA'!$AM$48)*1*(1-0.03)</f>
        <v>386.98535856013081</v>
      </c>
      <c r="AA379" s="64">
        <f>('TE BE'!$AB$39+'TE BF'!$AB$39+'TE CVA'!$AB$39)*1*(1-0.03)</f>
        <v>326.09024399030028</v>
      </c>
      <c r="AB379" s="64">
        <f>(SUBSIDIO!$J$379*SUBSIDIO!$V$379)*(0.06)/(1-0.06)</f>
        <v>0</v>
      </c>
      <c r="AC379" s="64">
        <f>((SUBSIDIO!$L$379*SUBSIDIO!$W$379)+(SUBSIDIO!$N$379*SUBSIDIO!$X$379))*(0.06)/(1-0.06)</f>
        <v>27667.460251799996</v>
      </c>
      <c r="AD379" s="64">
        <f>(SUBSIDIO!$J$379*SUBSIDIO!$Y$379)*(0.03)/(1-0.03)</f>
        <v>0</v>
      </c>
      <c r="AE379" s="64">
        <f ca="1">((SUBSIDIO!$L$379*SUBSIDIO!$Z$379)+(SUBSIDIO!$N$379*SUBSIDIO!$AA$379))*(0.03)/(1-0.03)</f>
        <v>17528.625976933163</v>
      </c>
      <c r="AF379" s="3" t="s">
        <v>751</v>
      </c>
    </row>
    <row r="380" spans="1:32" ht="11.25" customHeight="1" x14ac:dyDescent="0.25">
      <c r="A380" s="3" t="s">
        <v>27</v>
      </c>
      <c r="B380" s="3" t="s">
        <v>37</v>
      </c>
      <c r="C380" s="3" t="s">
        <v>23</v>
      </c>
      <c r="D380" s="3" t="s">
        <v>49</v>
      </c>
      <c r="E380" s="3" t="s">
        <v>50</v>
      </c>
      <c r="F380" s="3" t="s">
        <v>25</v>
      </c>
      <c r="G380" s="3" t="s">
        <v>25</v>
      </c>
      <c r="H380" s="3" t="s">
        <v>25</v>
      </c>
      <c r="I380" s="6">
        <v>44713</v>
      </c>
      <c r="J380" s="4">
        <v>0</v>
      </c>
      <c r="K380" s="64">
        <v>0</v>
      </c>
      <c r="L380" s="4">
        <v>-4.0949999999999998</v>
      </c>
      <c r="M380" s="64">
        <v>-4.0949999999999998</v>
      </c>
      <c r="N380" s="4">
        <v>-4.0949999999999998</v>
      </c>
      <c r="O380" s="64">
        <v>-4.0949999999999998</v>
      </c>
      <c r="P380" s="4">
        <v>1</v>
      </c>
      <c r="Q380" s="3" t="s">
        <v>26</v>
      </c>
      <c r="R380" s="3">
        <v>0</v>
      </c>
      <c r="S380" s="3">
        <v>0</v>
      </c>
      <c r="T380" s="3">
        <v>33</v>
      </c>
      <c r="U380" s="3">
        <v>87</v>
      </c>
      <c r="V380" s="64">
        <f>IF(ISERROR(VLOOKUP($S$380,'TAR FIN'!$A$1:$O$92,15,0)),0,VLOOKUP($S$380,'TAR FIN'!$A$1:$O$92,15,0))</f>
        <v>0</v>
      </c>
      <c r="W380" s="64">
        <f>IF(ISERROR(VLOOKUP($T$380,'TAR FIN'!$A$1:$O$92,15,0)),0,VLOOKUP($T$380,'TAR FIN'!$A$1:$O$92,15,0))*(1-0.06)</f>
        <v>292.60319999999996</v>
      </c>
      <c r="X380" s="64">
        <f>IF(ISERROR(VLOOKUP($U$380,'TAR FIN'!$A$1:$O$92,15,0)),0,VLOOKUP($U$380,'TAR FIN'!$A$1:$O$92,15,0))*(1-0.06)</f>
        <v>252.75659999999996</v>
      </c>
      <c r="Y380" s="64"/>
      <c r="Z380" s="64">
        <f ca="1">('TUSD BE'!$AM$48+'TUSD BF'!$AM$48+'TUSD CVA'!$AM$48)*1*(1-0.03)</f>
        <v>386.98535856013081</v>
      </c>
      <c r="AA380" s="64">
        <f>('TE BE'!$AB$39+'TE BF'!$AB$39+'TE CVA'!$AB$39)*1*(1-0.03)</f>
        <v>326.09024399030028</v>
      </c>
      <c r="AB380" s="64">
        <f>(SUBSIDIO!$J$380*SUBSIDIO!$V$380)*(0.06)/(1-0.06)</f>
        <v>0</v>
      </c>
      <c r="AC380" s="64">
        <f>((SUBSIDIO!$L$380*SUBSIDIO!$W$380)+(SUBSIDIO!$N$380*SUBSIDIO!$X$380))*(0.06)/(1-0.06)</f>
        <v>-142.54776899999996</v>
      </c>
      <c r="AD380" s="64">
        <f>(SUBSIDIO!$J$380*SUBSIDIO!$Y$380)*(0.03)/(1-0.03)</f>
        <v>0</v>
      </c>
      <c r="AE380" s="64">
        <f ca="1">((SUBSIDIO!$L$380*SUBSIDIO!$Z$380)+(SUBSIDIO!$N$380*SUBSIDIO!$AA$380))*(0.03)/(1-0.03)</f>
        <v>-90.310657498268512</v>
      </c>
      <c r="AF380" s="3" t="s">
        <v>751</v>
      </c>
    </row>
    <row r="381" spans="1:32" ht="11.25" customHeight="1" x14ac:dyDescent="0.25">
      <c r="A381" s="3" t="s">
        <v>21</v>
      </c>
      <c r="B381" s="3" t="s">
        <v>37</v>
      </c>
      <c r="C381" s="3" t="s">
        <v>23</v>
      </c>
      <c r="D381" s="3" t="s">
        <v>49</v>
      </c>
      <c r="E381" s="3" t="s">
        <v>50</v>
      </c>
      <c r="F381" s="3" t="s">
        <v>25</v>
      </c>
      <c r="G381" s="3" t="s">
        <v>25</v>
      </c>
      <c r="H381" s="3" t="s">
        <v>25</v>
      </c>
      <c r="I381" s="6">
        <v>44743</v>
      </c>
      <c r="J381" s="4">
        <v>0</v>
      </c>
      <c r="K381" s="64">
        <v>0</v>
      </c>
      <c r="L381" s="4">
        <v>772.72500000000002</v>
      </c>
      <c r="M381" s="64">
        <v>772.72500000000002</v>
      </c>
      <c r="N381" s="4">
        <v>772.72500000000002</v>
      </c>
      <c r="O381" s="64">
        <v>772.72500000000002</v>
      </c>
      <c r="P381" s="4">
        <v>293</v>
      </c>
      <c r="Q381" s="3" t="s">
        <v>26</v>
      </c>
      <c r="R381" s="3">
        <v>0</v>
      </c>
      <c r="S381" s="3">
        <v>0</v>
      </c>
      <c r="T381" s="3">
        <v>33</v>
      </c>
      <c r="U381" s="3">
        <v>87</v>
      </c>
      <c r="V381" s="64">
        <f>IF(ISERROR(VLOOKUP($S$381,'TAR FIN'!$A$1:$O$92,15,0)),0,VLOOKUP($S$381,'TAR FIN'!$A$1:$O$92,15,0))</f>
        <v>0</v>
      </c>
      <c r="W381" s="64">
        <f>IF(ISERROR(VLOOKUP($T$381,'TAR FIN'!$A$1:$O$92,15,0)),0,VLOOKUP($T$381,'TAR FIN'!$A$1:$O$92,15,0))*(1-0.06)</f>
        <v>292.60319999999996</v>
      </c>
      <c r="X381" s="64">
        <f>IF(ISERROR(VLOOKUP($U$381,'TAR FIN'!$A$1:$O$92,15,0)),0,VLOOKUP($U$381,'TAR FIN'!$A$1:$O$92,15,0))*(1-0.06)</f>
        <v>252.75659999999996</v>
      </c>
      <c r="Y381" s="64"/>
      <c r="Z381" s="64">
        <f ca="1">('TUSD BE'!$AM$48+'TUSD BF'!$AM$48+'TUSD CVA'!$AM$48)*1*(1-0.03)</f>
        <v>386.98535856013081</v>
      </c>
      <c r="AA381" s="64">
        <f>('TE BE'!$AB$39+'TE BF'!$AB$39+'TE CVA'!$AB$39)*1*(1-0.03)</f>
        <v>326.09024399030028</v>
      </c>
      <c r="AB381" s="64">
        <f>(SUBSIDIO!$J$381*SUBSIDIO!$V$381)*(0.06)/(1-0.06)</f>
        <v>0</v>
      </c>
      <c r="AC381" s="64">
        <f>((SUBSIDIO!$L$381*SUBSIDIO!$W$381)+(SUBSIDIO!$N$381*SUBSIDIO!$X$381))*(0.06)/(1-0.06)</f>
        <v>26898.711794999996</v>
      </c>
      <c r="AD381" s="64">
        <f>(SUBSIDIO!$J$381*SUBSIDIO!$Y$381)*(0.03)/(1-0.03)</f>
        <v>0</v>
      </c>
      <c r="AE381" s="64">
        <f ca="1">((SUBSIDIO!$L$381*SUBSIDIO!$Z$381)+(SUBSIDIO!$N$381*SUBSIDIO!$AA$381))*(0.03)/(1-0.03)</f>
        <v>17041.587989096348</v>
      </c>
      <c r="AF381" s="3" t="s">
        <v>751</v>
      </c>
    </row>
    <row r="382" spans="1:32" ht="11.25" customHeight="1" x14ac:dyDescent="0.25">
      <c r="A382" s="3" t="s">
        <v>27</v>
      </c>
      <c r="B382" s="3" t="s">
        <v>37</v>
      </c>
      <c r="C382" s="3" t="s">
        <v>23</v>
      </c>
      <c r="D382" s="3" t="s">
        <v>49</v>
      </c>
      <c r="E382" s="3" t="s">
        <v>50</v>
      </c>
      <c r="F382" s="3" t="s">
        <v>25</v>
      </c>
      <c r="G382" s="3" t="s">
        <v>25</v>
      </c>
      <c r="H382" s="3" t="s">
        <v>25</v>
      </c>
      <c r="I382" s="6">
        <v>44743</v>
      </c>
      <c r="J382" s="4">
        <v>0</v>
      </c>
      <c r="K382" s="64">
        <v>0</v>
      </c>
      <c r="L382" s="4">
        <v>4.7789999999999999</v>
      </c>
      <c r="M382" s="64">
        <v>4.7789999999999999</v>
      </c>
      <c r="N382" s="4">
        <v>4.7789999999999999</v>
      </c>
      <c r="O382" s="64">
        <v>4.7789999999999999</v>
      </c>
      <c r="P382" s="4">
        <v>3</v>
      </c>
      <c r="Q382" s="3" t="s">
        <v>26</v>
      </c>
      <c r="R382" s="3">
        <v>0</v>
      </c>
      <c r="S382" s="3">
        <v>0</v>
      </c>
      <c r="T382" s="3">
        <v>33</v>
      </c>
      <c r="U382" s="3">
        <v>87</v>
      </c>
      <c r="V382" s="64">
        <f>IF(ISERROR(VLOOKUP($S$382,'TAR FIN'!$A$1:$O$92,15,0)),0,VLOOKUP($S$382,'TAR FIN'!$A$1:$O$92,15,0))</f>
        <v>0</v>
      </c>
      <c r="W382" s="64">
        <f>IF(ISERROR(VLOOKUP($T$382,'TAR FIN'!$A$1:$O$92,15,0)),0,VLOOKUP($T$382,'TAR FIN'!$A$1:$O$92,15,0))*(1-0.06)</f>
        <v>292.60319999999996</v>
      </c>
      <c r="X382" s="64">
        <f>IF(ISERROR(VLOOKUP($U$382,'TAR FIN'!$A$1:$O$92,15,0)),0,VLOOKUP($U$382,'TAR FIN'!$A$1:$O$92,15,0))*(1-0.06)</f>
        <v>252.75659999999996</v>
      </c>
      <c r="Y382" s="64"/>
      <c r="Z382" s="64">
        <f ca="1">('TUSD BE'!$AM$48+'TUSD BF'!$AM$48+'TUSD CVA'!$AM$48)*1*(1-0.03)</f>
        <v>386.98535856013081</v>
      </c>
      <c r="AA382" s="64">
        <f>('TE BE'!$AB$39+'TE BF'!$AB$39+'TE CVA'!$AB$39)*1*(1-0.03)</f>
        <v>326.09024399030028</v>
      </c>
      <c r="AB382" s="64">
        <f>(SUBSIDIO!$J$382*SUBSIDIO!$V$382)*(0.06)/(1-0.06)</f>
        <v>0</v>
      </c>
      <c r="AC382" s="64">
        <f>((SUBSIDIO!$L$382*SUBSIDIO!$W$382)+(SUBSIDIO!$N$382*SUBSIDIO!$X$382))*(0.06)/(1-0.06)</f>
        <v>166.35794579999995</v>
      </c>
      <c r="AD382" s="64">
        <f>(SUBSIDIO!$J$382*SUBSIDIO!$Y$382)*(0.03)/(1-0.03)</f>
        <v>0</v>
      </c>
      <c r="AE382" s="64">
        <f ca="1">((SUBSIDIO!$L$382*SUBSIDIO!$Z$382)+(SUBSIDIO!$N$382*SUBSIDIO!$AA$382))*(0.03)/(1-0.03)</f>
        <v>105.39551457490236</v>
      </c>
      <c r="AF382" s="3" t="s">
        <v>751</v>
      </c>
    </row>
    <row r="383" spans="1:32" ht="11.25" customHeight="1" x14ac:dyDescent="0.25">
      <c r="A383" s="3" t="s">
        <v>21</v>
      </c>
      <c r="B383" s="3" t="s">
        <v>37</v>
      </c>
      <c r="C383" s="3" t="s">
        <v>23</v>
      </c>
      <c r="D383" s="3" t="s">
        <v>49</v>
      </c>
      <c r="E383" s="3" t="s">
        <v>50</v>
      </c>
      <c r="F383" s="3" t="s">
        <v>25</v>
      </c>
      <c r="G383" s="3" t="s">
        <v>25</v>
      </c>
      <c r="H383" s="3" t="s">
        <v>25</v>
      </c>
      <c r="I383" s="6">
        <v>44774</v>
      </c>
      <c r="J383" s="4">
        <v>0</v>
      </c>
      <c r="K383" s="64">
        <v>0</v>
      </c>
      <c r="L383" s="4">
        <v>860.15499999999997</v>
      </c>
      <c r="M383" s="64">
        <v>860.15499999999997</v>
      </c>
      <c r="N383" s="4">
        <v>860.15499999999997</v>
      </c>
      <c r="O383" s="64">
        <v>860.15499999999997</v>
      </c>
      <c r="P383" s="4">
        <v>297</v>
      </c>
      <c r="Q383" s="3" t="s">
        <v>26</v>
      </c>
      <c r="R383" s="3">
        <v>0</v>
      </c>
      <c r="S383" s="3">
        <v>0</v>
      </c>
      <c r="T383" s="3">
        <v>33</v>
      </c>
      <c r="U383" s="3">
        <v>87</v>
      </c>
      <c r="V383" s="64">
        <f>IF(ISERROR(VLOOKUP($S$383,'TAR FIN'!$A$1:$O$92,15,0)),0,VLOOKUP($S$383,'TAR FIN'!$A$1:$O$92,15,0))</f>
        <v>0</v>
      </c>
      <c r="W383" s="64">
        <f>IF(ISERROR(VLOOKUP($T$383,'TAR FIN'!$A$1:$O$92,15,0)),0,VLOOKUP($T$383,'TAR FIN'!$A$1:$O$92,15,0))*(1-0.06)</f>
        <v>292.60319999999996</v>
      </c>
      <c r="X383" s="64">
        <f>IF(ISERROR(VLOOKUP($U$383,'TAR FIN'!$A$1:$O$92,15,0)),0,VLOOKUP($U$383,'TAR FIN'!$A$1:$O$92,15,0))*(1-0.06)</f>
        <v>252.75659999999996</v>
      </c>
      <c r="Y383" s="64"/>
      <c r="Z383" s="64">
        <f ca="1">('TUSD BE'!$AM$48+'TUSD BF'!$AM$48+'TUSD CVA'!$AM$48)*1*(1-0.03)</f>
        <v>386.98535856013081</v>
      </c>
      <c r="AA383" s="64">
        <f>('TE BE'!$AB$39+'TE BF'!$AB$39+'TE CVA'!$AB$39)*1*(1-0.03)</f>
        <v>326.09024399030028</v>
      </c>
      <c r="AB383" s="64">
        <f>(SUBSIDIO!$J$383*SUBSIDIO!$V$383)*(0.06)/(1-0.06)</f>
        <v>0</v>
      </c>
      <c r="AC383" s="64">
        <f>((SUBSIDIO!$L$383*SUBSIDIO!$W$383)+(SUBSIDIO!$N$383*SUBSIDIO!$X$383))*(0.06)/(1-0.06)</f>
        <v>29942.167580999994</v>
      </c>
      <c r="AD383" s="64">
        <f>(SUBSIDIO!$J$383*SUBSIDIO!$Y$383)*(0.03)/(1-0.03)</f>
        <v>0</v>
      </c>
      <c r="AE383" s="64">
        <f ca="1">((SUBSIDIO!$L$383*SUBSIDIO!$Z$383)+(SUBSIDIO!$N$383*SUBSIDIO!$AA$383))*(0.03)/(1-0.03)</f>
        <v>18969.75912098245</v>
      </c>
      <c r="AF383" s="3" t="s">
        <v>751</v>
      </c>
    </row>
    <row r="384" spans="1:32" ht="11.25" customHeight="1" x14ac:dyDescent="0.25">
      <c r="A384" s="3" t="s">
        <v>27</v>
      </c>
      <c r="B384" s="3" t="s">
        <v>37</v>
      </c>
      <c r="C384" s="3" t="s">
        <v>23</v>
      </c>
      <c r="D384" s="3" t="s">
        <v>49</v>
      </c>
      <c r="E384" s="3" t="s">
        <v>50</v>
      </c>
      <c r="F384" s="3" t="s">
        <v>25</v>
      </c>
      <c r="G384" s="3" t="s">
        <v>25</v>
      </c>
      <c r="H384" s="3" t="s">
        <v>25</v>
      </c>
      <c r="I384" s="6">
        <v>44774</v>
      </c>
      <c r="J384" s="4">
        <v>0</v>
      </c>
      <c r="K384" s="64">
        <v>0</v>
      </c>
      <c r="L384" s="4">
        <v>4.7990000000000004</v>
      </c>
      <c r="M384" s="64">
        <v>4.7990000000000004</v>
      </c>
      <c r="N384" s="4">
        <v>4.7990000000000004</v>
      </c>
      <c r="O384" s="64">
        <v>4.7990000000000004</v>
      </c>
      <c r="P384" s="4">
        <v>3</v>
      </c>
      <c r="Q384" s="3" t="s">
        <v>26</v>
      </c>
      <c r="R384" s="3">
        <v>0</v>
      </c>
      <c r="S384" s="3">
        <v>0</v>
      </c>
      <c r="T384" s="3">
        <v>33</v>
      </c>
      <c r="U384" s="3">
        <v>87</v>
      </c>
      <c r="V384" s="64">
        <f>IF(ISERROR(VLOOKUP($S$384,'TAR FIN'!$A$1:$O$92,15,0)),0,VLOOKUP($S$384,'TAR FIN'!$A$1:$O$92,15,0))</f>
        <v>0</v>
      </c>
      <c r="W384" s="64">
        <f>IF(ISERROR(VLOOKUP($T$384,'TAR FIN'!$A$1:$O$92,15,0)),0,VLOOKUP($T$384,'TAR FIN'!$A$1:$O$92,15,0))*(1-0.06)</f>
        <v>292.60319999999996</v>
      </c>
      <c r="X384" s="64">
        <f>IF(ISERROR(VLOOKUP($U$384,'TAR FIN'!$A$1:$O$92,15,0)),0,VLOOKUP($U$384,'TAR FIN'!$A$1:$O$92,15,0))*(1-0.06)</f>
        <v>252.75659999999996</v>
      </c>
      <c r="Y384" s="64"/>
      <c r="Z384" s="64">
        <f ca="1">('TUSD BE'!$AM$48+'TUSD BF'!$AM$48+'TUSD CVA'!$AM$48)*1*(1-0.03)</f>
        <v>386.98535856013081</v>
      </c>
      <c r="AA384" s="64">
        <f>('TE BE'!$AB$39+'TE BF'!$AB$39+'TE CVA'!$AB$39)*1*(1-0.03)</f>
        <v>326.09024399030028</v>
      </c>
      <c r="AB384" s="64">
        <f>(SUBSIDIO!$J$384*SUBSIDIO!$V$384)*(0.06)/(1-0.06)</f>
        <v>0</v>
      </c>
      <c r="AC384" s="64">
        <f>((SUBSIDIO!$L$384*SUBSIDIO!$W$384)+(SUBSIDIO!$N$384*SUBSIDIO!$X$384))*(0.06)/(1-0.06)</f>
        <v>167.0541498</v>
      </c>
      <c r="AD384" s="64">
        <f>(SUBSIDIO!$J$384*SUBSIDIO!$Y$384)*(0.03)/(1-0.03)</f>
        <v>0</v>
      </c>
      <c r="AE384" s="64">
        <f ca="1">((SUBSIDIO!$L$384*SUBSIDIO!$Z$384)+(SUBSIDIO!$N$384*SUBSIDIO!$AA$384))*(0.03)/(1-0.03)</f>
        <v>105.83659226720161</v>
      </c>
      <c r="AF384" s="3" t="s">
        <v>751</v>
      </c>
    </row>
    <row r="385" spans="1:32" ht="11.25" customHeight="1" x14ac:dyDescent="0.25">
      <c r="A385" s="3" t="s">
        <v>21</v>
      </c>
      <c r="B385" s="3" t="s">
        <v>37</v>
      </c>
      <c r="C385" s="3" t="s">
        <v>23</v>
      </c>
      <c r="D385" s="3" t="s">
        <v>49</v>
      </c>
      <c r="E385" s="3" t="s">
        <v>50</v>
      </c>
      <c r="F385" s="3" t="s">
        <v>25</v>
      </c>
      <c r="G385" s="3" t="s">
        <v>25</v>
      </c>
      <c r="H385" s="3" t="s">
        <v>25</v>
      </c>
      <c r="I385" s="6">
        <v>44805</v>
      </c>
      <c r="J385" s="4">
        <v>0</v>
      </c>
      <c r="K385" s="64">
        <v>0</v>
      </c>
      <c r="L385" s="4">
        <v>807.41300000000001</v>
      </c>
      <c r="M385" s="64">
        <v>807.41300000000001</v>
      </c>
      <c r="N385" s="4">
        <v>807.41300000000001</v>
      </c>
      <c r="O385" s="64">
        <v>807.41300000000001</v>
      </c>
      <c r="P385" s="4">
        <v>300</v>
      </c>
      <c r="Q385" s="3" t="s">
        <v>26</v>
      </c>
      <c r="R385" s="3">
        <v>0</v>
      </c>
      <c r="S385" s="3">
        <v>0</v>
      </c>
      <c r="T385" s="3">
        <v>33</v>
      </c>
      <c r="U385" s="3">
        <v>87</v>
      </c>
      <c r="V385" s="64">
        <f>IF(ISERROR(VLOOKUP($S$385,'TAR FIN'!$A$1:$O$92,15,0)),0,VLOOKUP($S$385,'TAR FIN'!$A$1:$O$92,15,0))</f>
        <v>0</v>
      </c>
      <c r="W385" s="64">
        <f>IF(ISERROR(VLOOKUP($T$385,'TAR FIN'!$A$1:$O$92,15,0)),0,VLOOKUP($T$385,'TAR FIN'!$A$1:$O$92,15,0))*(1-0.06)</f>
        <v>292.60319999999996</v>
      </c>
      <c r="X385" s="64">
        <f>IF(ISERROR(VLOOKUP($U$385,'TAR FIN'!$A$1:$O$92,15,0)),0,VLOOKUP($U$385,'TAR FIN'!$A$1:$O$92,15,0))*(1-0.06)</f>
        <v>252.75659999999996</v>
      </c>
      <c r="Y385" s="64"/>
      <c r="Z385" s="64">
        <f ca="1">('TUSD BE'!$AM$48+'TUSD BF'!$AM$48+'TUSD CVA'!$AM$48)*1*(1-0.03)</f>
        <v>386.98535856013081</v>
      </c>
      <c r="AA385" s="64">
        <f>('TE BE'!$AB$39+'TE BF'!$AB$39+'TE CVA'!$AB$39)*1*(1-0.03)</f>
        <v>326.09024399030028</v>
      </c>
      <c r="AB385" s="64">
        <f>(SUBSIDIO!$J$385*SUBSIDIO!$V$385)*(0.06)/(1-0.06)</f>
        <v>0</v>
      </c>
      <c r="AC385" s="64">
        <f>((SUBSIDIO!$L$385*SUBSIDIO!$W$385)+(SUBSIDIO!$N$385*SUBSIDIO!$X$385))*(0.06)/(1-0.06)</f>
        <v>28106.208012599996</v>
      </c>
      <c r="AD385" s="64">
        <f>(SUBSIDIO!$J$385*SUBSIDIO!$Y$385)*(0.03)/(1-0.03)</f>
        <v>0</v>
      </c>
      <c r="AE385" s="64">
        <f ca="1">((SUBSIDIO!$L$385*SUBSIDIO!$Z$385)+(SUBSIDIO!$N$385*SUBSIDIO!$AA$385))*(0.03)/(1-0.03)</f>
        <v>17806.593138620141</v>
      </c>
      <c r="AF385" s="3" t="s">
        <v>751</v>
      </c>
    </row>
    <row r="386" spans="1:32" ht="11.25" customHeight="1" x14ac:dyDescent="0.25">
      <c r="A386" s="3" t="s">
        <v>27</v>
      </c>
      <c r="B386" s="3" t="s">
        <v>37</v>
      </c>
      <c r="C386" s="3" t="s">
        <v>23</v>
      </c>
      <c r="D386" s="3" t="s">
        <v>49</v>
      </c>
      <c r="E386" s="3" t="s">
        <v>50</v>
      </c>
      <c r="F386" s="3" t="s">
        <v>25</v>
      </c>
      <c r="G386" s="3" t="s">
        <v>25</v>
      </c>
      <c r="H386" s="3" t="s">
        <v>25</v>
      </c>
      <c r="I386" s="6">
        <v>44805</v>
      </c>
      <c r="J386" s="4">
        <v>0</v>
      </c>
      <c r="K386" s="64">
        <v>0</v>
      </c>
      <c r="L386" s="4">
        <v>0.92600000000000005</v>
      </c>
      <c r="M386" s="64">
        <v>0.92600000000000005</v>
      </c>
      <c r="N386" s="4">
        <v>0.92600000000000005</v>
      </c>
      <c r="O386" s="64">
        <v>0.92600000000000005</v>
      </c>
      <c r="P386" s="4">
        <v>1</v>
      </c>
      <c r="Q386" s="3" t="s">
        <v>26</v>
      </c>
      <c r="R386" s="3">
        <v>0</v>
      </c>
      <c r="S386" s="3">
        <v>0</v>
      </c>
      <c r="T386" s="3">
        <v>33</v>
      </c>
      <c r="U386" s="3">
        <v>87</v>
      </c>
      <c r="V386" s="64">
        <f>IF(ISERROR(VLOOKUP($S$386,'TAR FIN'!$A$1:$O$92,15,0)),0,VLOOKUP($S$386,'TAR FIN'!$A$1:$O$92,15,0))</f>
        <v>0</v>
      </c>
      <c r="W386" s="64">
        <f>IF(ISERROR(VLOOKUP($T$386,'TAR FIN'!$A$1:$O$92,15,0)),0,VLOOKUP($T$386,'TAR FIN'!$A$1:$O$92,15,0))*(1-0.06)</f>
        <v>292.60319999999996</v>
      </c>
      <c r="X386" s="64">
        <f>IF(ISERROR(VLOOKUP($U$386,'TAR FIN'!$A$1:$O$92,15,0)),0,VLOOKUP($U$386,'TAR FIN'!$A$1:$O$92,15,0))*(1-0.06)</f>
        <v>252.75659999999996</v>
      </c>
      <c r="Y386" s="64"/>
      <c r="Z386" s="64">
        <f ca="1">('TUSD BE'!$AM$48+'TUSD BF'!$AM$48+'TUSD CVA'!$AM$48)*1*(1-0.03)</f>
        <v>386.98535856013081</v>
      </c>
      <c r="AA386" s="64">
        <f>('TE BE'!$AB$39+'TE BF'!$AB$39+'TE CVA'!$AB$39)*1*(1-0.03)</f>
        <v>326.09024399030028</v>
      </c>
      <c r="AB386" s="64">
        <f>(SUBSIDIO!$J$386*SUBSIDIO!$V$386)*(0.06)/(1-0.06)</f>
        <v>0</v>
      </c>
      <c r="AC386" s="64">
        <f>((SUBSIDIO!$L$386*SUBSIDIO!$W$386)+(SUBSIDIO!$N$386*SUBSIDIO!$X$386))*(0.06)/(1-0.06)</f>
        <v>32.234245199999997</v>
      </c>
      <c r="AD386" s="64">
        <f>(SUBSIDIO!$J$386*SUBSIDIO!$Y$386)*(0.03)/(1-0.03)</f>
        <v>0</v>
      </c>
      <c r="AE386" s="64">
        <f ca="1">((SUBSIDIO!$L$386*SUBSIDIO!$Z$386)+(SUBSIDIO!$N$386*SUBSIDIO!$AA$386))*(0.03)/(1-0.03)</f>
        <v>20.421897153454616</v>
      </c>
      <c r="AF386" s="3" t="s">
        <v>751</v>
      </c>
    </row>
    <row r="387" spans="1:32" ht="11.25" customHeight="1" x14ac:dyDescent="0.25">
      <c r="A387" s="3" t="s">
        <v>55</v>
      </c>
      <c r="B387" s="3" t="s">
        <v>37</v>
      </c>
      <c r="C387" s="3" t="s">
        <v>23</v>
      </c>
      <c r="D387" s="3" t="s">
        <v>49</v>
      </c>
      <c r="E387" s="3" t="s">
        <v>50</v>
      </c>
      <c r="F387" s="3" t="s">
        <v>25</v>
      </c>
      <c r="G387" s="3" t="s">
        <v>25</v>
      </c>
      <c r="H387" s="3" t="s">
        <v>25</v>
      </c>
      <c r="I387" s="6">
        <v>44835</v>
      </c>
      <c r="J387" s="4">
        <v>0</v>
      </c>
      <c r="K387" s="64">
        <v>0</v>
      </c>
      <c r="L387" s="4">
        <v>807.41300000000001</v>
      </c>
      <c r="M387" s="64">
        <v>807.41300000000001</v>
      </c>
      <c r="N387" s="4">
        <v>807.41300000000001</v>
      </c>
      <c r="O387" s="64">
        <v>807.41300000000001</v>
      </c>
      <c r="P387" s="4">
        <v>300</v>
      </c>
      <c r="Q387" s="3" t="s">
        <v>26</v>
      </c>
      <c r="R387" s="3">
        <v>0</v>
      </c>
      <c r="S387" s="3">
        <v>0</v>
      </c>
      <c r="T387" s="3">
        <v>33</v>
      </c>
      <c r="U387" s="3">
        <v>87</v>
      </c>
      <c r="V387" s="64">
        <f>IF(ISERROR(VLOOKUP($S$387,'TAR FIN'!$A$1:$O$92,15,0)),0,VLOOKUP($S$387,'TAR FIN'!$A$1:$O$92,15,0))</f>
        <v>0</v>
      </c>
      <c r="W387" s="64">
        <f>IF(ISERROR(VLOOKUP($T$387,'TAR FIN'!$A$1:$O$92,15,0)),0,VLOOKUP($T$387,'TAR FIN'!$A$1:$O$92,15,0))*(1-0.06)</f>
        <v>292.60319999999996</v>
      </c>
      <c r="X387" s="64">
        <f>IF(ISERROR(VLOOKUP($U$387,'TAR FIN'!$A$1:$O$92,15,0)),0,VLOOKUP($U$387,'TAR FIN'!$A$1:$O$92,15,0))*(1-0.06)</f>
        <v>252.75659999999996</v>
      </c>
      <c r="Y387" s="64"/>
      <c r="Z387" s="64">
        <f ca="1">('TUSD BE'!$AM$48+'TUSD BF'!$AM$48+'TUSD CVA'!$AM$48)*1*(1-0.03)</f>
        <v>386.98535856013081</v>
      </c>
      <c r="AA387" s="64">
        <f>('TE BE'!$AB$39+'TE BF'!$AB$39+'TE CVA'!$AB$39)*1*(1-0.03)</f>
        <v>326.09024399030028</v>
      </c>
      <c r="AB387" s="64">
        <f>(SUBSIDIO!$J$387*SUBSIDIO!$V$387)*(0.06)/(1-0.06)</f>
        <v>0</v>
      </c>
      <c r="AC387" s="64">
        <f>((SUBSIDIO!$L$387*SUBSIDIO!$W$387)+(SUBSIDIO!$N$387*SUBSIDIO!$X$387))*(0.06)/(1-0.06)</f>
        <v>28106.208012599996</v>
      </c>
      <c r="AD387" s="64">
        <f>(SUBSIDIO!$J$387*SUBSIDIO!$Y$387)*(0.03)/(1-0.03)</f>
        <v>0</v>
      </c>
      <c r="AE387" s="64">
        <f ca="1">((SUBSIDIO!$L$387*SUBSIDIO!$Z$387)+(SUBSIDIO!$N$387*SUBSIDIO!$AA$387))*(0.03)/(1-0.03)</f>
        <v>17806.593138620141</v>
      </c>
      <c r="AF387" s="3" t="s">
        <v>751</v>
      </c>
    </row>
    <row r="388" spans="1:32" ht="11.25" customHeight="1" x14ac:dyDescent="0.25">
      <c r="A388" s="3" t="s">
        <v>55</v>
      </c>
      <c r="B388" s="3" t="s">
        <v>37</v>
      </c>
      <c r="C388" s="3" t="s">
        <v>23</v>
      </c>
      <c r="D388" s="3" t="s">
        <v>49</v>
      </c>
      <c r="E388" s="3" t="s">
        <v>50</v>
      </c>
      <c r="F388" s="3" t="s">
        <v>25</v>
      </c>
      <c r="G388" s="3" t="s">
        <v>25</v>
      </c>
      <c r="H388" s="3" t="s">
        <v>25</v>
      </c>
      <c r="I388" s="6">
        <v>44835</v>
      </c>
      <c r="J388" s="4">
        <v>0</v>
      </c>
      <c r="K388" s="64">
        <v>0</v>
      </c>
      <c r="L388" s="4">
        <v>0.92600000000000005</v>
      </c>
      <c r="M388" s="64">
        <v>0.92600000000000005</v>
      </c>
      <c r="N388" s="4">
        <v>0.92600000000000005</v>
      </c>
      <c r="O388" s="64">
        <v>0.92600000000000005</v>
      </c>
      <c r="P388" s="4">
        <v>1</v>
      </c>
      <c r="Q388" s="3" t="s">
        <v>26</v>
      </c>
      <c r="R388" s="3">
        <v>0</v>
      </c>
      <c r="S388" s="3">
        <v>0</v>
      </c>
      <c r="T388" s="3">
        <v>33</v>
      </c>
      <c r="U388" s="3">
        <v>87</v>
      </c>
      <c r="V388" s="64">
        <f>IF(ISERROR(VLOOKUP($S$388,'TAR FIN'!$A$1:$O$92,15,0)),0,VLOOKUP($S$388,'TAR FIN'!$A$1:$O$92,15,0))</f>
        <v>0</v>
      </c>
      <c r="W388" s="64">
        <f>IF(ISERROR(VLOOKUP($T$388,'TAR FIN'!$A$1:$O$92,15,0)),0,VLOOKUP($T$388,'TAR FIN'!$A$1:$O$92,15,0))*(1-0.06)</f>
        <v>292.60319999999996</v>
      </c>
      <c r="X388" s="64">
        <f>IF(ISERROR(VLOOKUP($U$388,'TAR FIN'!$A$1:$O$92,15,0)),0,VLOOKUP($U$388,'TAR FIN'!$A$1:$O$92,15,0))*(1-0.06)</f>
        <v>252.75659999999996</v>
      </c>
      <c r="Y388" s="64"/>
      <c r="Z388" s="64">
        <f ca="1">('TUSD BE'!$AM$48+'TUSD BF'!$AM$48+'TUSD CVA'!$AM$48)*1*(1-0.03)</f>
        <v>386.98535856013081</v>
      </c>
      <c r="AA388" s="64">
        <f>('TE BE'!$AB$39+'TE BF'!$AB$39+'TE CVA'!$AB$39)*1*(1-0.03)</f>
        <v>326.09024399030028</v>
      </c>
      <c r="AB388" s="64">
        <f>(SUBSIDIO!$J$388*SUBSIDIO!$V$388)*(0.06)/(1-0.06)</f>
        <v>0</v>
      </c>
      <c r="AC388" s="64">
        <f>((SUBSIDIO!$L$388*SUBSIDIO!$W$388)+(SUBSIDIO!$N$388*SUBSIDIO!$X$388))*(0.06)/(1-0.06)</f>
        <v>32.234245199999997</v>
      </c>
      <c r="AD388" s="64">
        <f>(SUBSIDIO!$J$388*SUBSIDIO!$Y$388)*(0.03)/(1-0.03)</f>
        <v>0</v>
      </c>
      <c r="AE388" s="64">
        <f ca="1">((SUBSIDIO!$L$388*SUBSIDIO!$Z$388)+(SUBSIDIO!$N$388*SUBSIDIO!$AA$388))*(0.03)/(1-0.03)</f>
        <v>20.421897153454616</v>
      </c>
      <c r="AF388" s="3" t="s">
        <v>751</v>
      </c>
    </row>
    <row r="389" spans="1:32" ht="11.25" customHeight="1" x14ac:dyDescent="0.25"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2" ht="11.25" customHeight="1" x14ac:dyDescent="0.25"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2" ht="11.25" customHeight="1" x14ac:dyDescent="0.25"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2" ht="11.25" customHeight="1" x14ac:dyDescent="0.25"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2" ht="11.25" customHeight="1" x14ac:dyDescent="0.25"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2" ht="11.25" customHeight="1" x14ac:dyDescent="0.25"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2" ht="11.25" customHeight="1" x14ac:dyDescent="0.25"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2" ht="11.25" customHeight="1" x14ac:dyDescent="0.25"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2" ht="11.25" customHeight="1" x14ac:dyDescent="0.25"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2" ht="11.25" customHeight="1" x14ac:dyDescent="0.25"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2" ht="11.25" customHeight="1" x14ac:dyDescent="0.25"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2" ht="11.25" customHeight="1" x14ac:dyDescent="0.25"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22:31" ht="11.25" customHeight="1" x14ac:dyDescent="0.25"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22:31" ht="11.25" customHeight="1" x14ac:dyDescent="0.25"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22:31" ht="11.25" customHeight="1" x14ac:dyDescent="0.25"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22:31" ht="11.25" customHeight="1" x14ac:dyDescent="0.25"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22:31" ht="11.25" customHeight="1" x14ac:dyDescent="0.25"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22:31" ht="11.25" customHeight="1" x14ac:dyDescent="0.25"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22:31" ht="11.25" customHeight="1" x14ac:dyDescent="0.25"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22:31" ht="11.25" customHeight="1" x14ac:dyDescent="0.25"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22:31" ht="11.25" customHeight="1" x14ac:dyDescent="0.25"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22:31" ht="11.25" customHeight="1" x14ac:dyDescent="0.25"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22:31" ht="11.25" customHeight="1" x14ac:dyDescent="0.25"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22:31" ht="11.25" customHeight="1" x14ac:dyDescent="0.25"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22:31" ht="11.25" customHeight="1" x14ac:dyDescent="0.25"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22:31" ht="11.25" customHeight="1" x14ac:dyDescent="0.25"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22:31" ht="11.25" customHeight="1" x14ac:dyDescent="0.25"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22:31" ht="11.25" customHeight="1" x14ac:dyDescent="0.25"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22:31" ht="11.25" customHeight="1" x14ac:dyDescent="0.25"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22:31" ht="11.25" customHeight="1" x14ac:dyDescent="0.25"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22:31" ht="11.25" customHeight="1" x14ac:dyDescent="0.25"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22:31" ht="11.25" customHeight="1" x14ac:dyDescent="0.25"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22:31" ht="11.25" customHeight="1" x14ac:dyDescent="0.25"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22:31" ht="11.25" customHeight="1" x14ac:dyDescent="0.25"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22:31" ht="11.25" customHeight="1" x14ac:dyDescent="0.25"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22:31" ht="11.25" customHeight="1" x14ac:dyDescent="0.25"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22:31" ht="11.25" customHeight="1" x14ac:dyDescent="0.25"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22:31" ht="11.25" customHeight="1" x14ac:dyDescent="0.25"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22:31" ht="11.25" customHeight="1" x14ac:dyDescent="0.25"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22:31" ht="11.25" customHeight="1" x14ac:dyDescent="0.25"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22:31" ht="11.25" customHeight="1" x14ac:dyDescent="0.25"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22:31" ht="11.25" customHeight="1" x14ac:dyDescent="0.25"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22:31" ht="11.25" customHeight="1" x14ac:dyDescent="0.25"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22:31" ht="11.25" customHeight="1" x14ac:dyDescent="0.25"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22:31" ht="11.25" customHeight="1" x14ac:dyDescent="0.25"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22:31" ht="11.25" customHeight="1" x14ac:dyDescent="0.25"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22:31" ht="11.25" customHeight="1" x14ac:dyDescent="0.25"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22:31" ht="11.25" customHeight="1" x14ac:dyDescent="0.25"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22:31" ht="11.25" customHeight="1" x14ac:dyDescent="0.25"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22:31" ht="11.25" customHeight="1" x14ac:dyDescent="0.25"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22:31" ht="11.25" customHeight="1" x14ac:dyDescent="0.25"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22:31" ht="11.25" customHeight="1" x14ac:dyDescent="0.25"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22:31" ht="11.25" customHeight="1" x14ac:dyDescent="0.25"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22:31" ht="11.25" customHeight="1" x14ac:dyDescent="0.25"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22:31" ht="11.25" customHeight="1" x14ac:dyDescent="0.25"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22:31" ht="11.25" customHeight="1" x14ac:dyDescent="0.25"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22:31" ht="11.25" customHeight="1" x14ac:dyDescent="0.25"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22:31" ht="11.25" customHeight="1" x14ac:dyDescent="0.25"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22:31" ht="11.25" customHeight="1" x14ac:dyDescent="0.25"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22:31" ht="11.25" customHeight="1" x14ac:dyDescent="0.25"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22:31" ht="11.25" customHeight="1" x14ac:dyDescent="0.25"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22:31" ht="11.25" customHeight="1" x14ac:dyDescent="0.25"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22:31" ht="11.25" customHeight="1" x14ac:dyDescent="0.25"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22:31" ht="11.25" customHeight="1" x14ac:dyDescent="0.25"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22:31" ht="11.25" customHeight="1" x14ac:dyDescent="0.25"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22:31" ht="11.25" customHeight="1" x14ac:dyDescent="0.25"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22:31" ht="11.25" customHeight="1" x14ac:dyDescent="0.25"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22:31" ht="11.25" customHeight="1" x14ac:dyDescent="0.25"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22:31" ht="11.25" customHeight="1" x14ac:dyDescent="0.25"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22:31" ht="11.25" customHeight="1" x14ac:dyDescent="0.25"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22:31" ht="11.25" customHeight="1" x14ac:dyDescent="0.25"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22:31" ht="11.25" customHeight="1" x14ac:dyDescent="0.25"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22:31" ht="11.25" customHeight="1" x14ac:dyDescent="0.25"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22:31" ht="11.25" customHeight="1" x14ac:dyDescent="0.25"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22:31" ht="11.25" customHeight="1" x14ac:dyDescent="0.25"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22:31" ht="11.25" customHeight="1" x14ac:dyDescent="0.25"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22:31" ht="11.25" customHeight="1" x14ac:dyDescent="0.25"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22:31" ht="11.25" customHeight="1" x14ac:dyDescent="0.25"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22:31" ht="11.25" customHeight="1" x14ac:dyDescent="0.25"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22:31" ht="11.25" customHeight="1" x14ac:dyDescent="0.25"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22:31" ht="11.25" customHeight="1" x14ac:dyDescent="0.25"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22:31" ht="11.25" customHeight="1" x14ac:dyDescent="0.25"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22:31" ht="11.25" customHeight="1" x14ac:dyDescent="0.25"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22:31" ht="11.25" customHeight="1" x14ac:dyDescent="0.25"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22:31" ht="11.25" customHeight="1" x14ac:dyDescent="0.25"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22:31" ht="11.25" customHeight="1" x14ac:dyDescent="0.25"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22:31" ht="11.25" customHeight="1" x14ac:dyDescent="0.25"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22:31" ht="11.25" customHeight="1" x14ac:dyDescent="0.25"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22:31" ht="11.25" customHeight="1" x14ac:dyDescent="0.25"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22:31" ht="11.25" customHeight="1" x14ac:dyDescent="0.25"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22:31" ht="11.25" customHeight="1" x14ac:dyDescent="0.25"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22:31" ht="11.25" customHeight="1" x14ac:dyDescent="0.25"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22:31" ht="11.25" customHeight="1" x14ac:dyDescent="0.25"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22:31" ht="11.25" customHeight="1" x14ac:dyDescent="0.25"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22:31" ht="11.25" customHeight="1" x14ac:dyDescent="0.25"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22:31" ht="11.25" customHeight="1" x14ac:dyDescent="0.25"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22:31" ht="11.25" customHeight="1" x14ac:dyDescent="0.25"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22:31" ht="11.25" customHeight="1" x14ac:dyDescent="0.25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22:31" ht="11.25" customHeight="1" x14ac:dyDescent="0.25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22:31" ht="11.25" customHeight="1" x14ac:dyDescent="0.25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22:31" ht="11.25" customHeight="1" x14ac:dyDescent="0.25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22:31" ht="11.25" customHeight="1" x14ac:dyDescent="0.25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22:31" ht="11.25" customHeight="1" x14ac:dyDescent="0.25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22:31" ht="11.25" customHeight="1" x14ac:dyDescent="0.25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22:31" ht="11.25" customHeight="1" x14ac:dyDescent="0.25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22:31" ht="11.25" customHeight="1" x14ac:dyDescent="0.25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22:31" ht="11.25" customHeight="1" x14ac:dyDescent="0.25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22:31" ht="11.25" customHeight="1" x14ac:dyDescent="0.25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25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25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25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25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25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25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25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25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25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25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25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25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25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25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25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25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25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25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25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25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25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25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25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25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25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25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25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25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25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25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25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25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25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25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25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25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25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25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25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25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25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25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25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25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25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25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25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25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25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25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25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25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25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25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25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25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25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25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25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25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25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25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25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25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25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25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25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25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25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25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25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25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25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25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25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25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25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25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25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25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25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25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25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25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25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25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25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25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25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25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25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25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25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25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25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25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25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25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25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2:31" ht="11.25" customHeight="1" x14ac:dyDescent="0.25"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2:31" ht="11.25" customHeight="1" x14ac:dyDescent="0.25"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22:31" ht="11.25" customHeight="1" x14ac:dyDescent="0.25"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2:31" ht="11.25" customHeight="1" x14ac:dyDescent="0.25"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22:31" ht="11.25" customHeight="1" x14ac:dyDescent="0.25"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2:31" ht="11.25" customHeight="1" x14ac:dyDescent="0.25"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2:31" ht="11.25" customHeight="1" x14ac:dyDescent="0.25"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22:31" ht="11.25" customHeight="1" x14ac:dyDescent="0.25"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22:31" ht="11.25" customHeight="1" x14ac:dyDescent="0.25"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22:31" ht="11.25" customHeight="1" x14ac:dyDescent="0.25"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2:31" ht="11.25" customHeight="1" x14ac:dyDescent="0.25"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22:31" ht="11.25" customHeight="1" x14ac:dyDescent="0.25"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22:31" ht="11.25" customHeight="1" x14ac:dyDescent="0.25"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22:31" ht="11.25" customHeight="1" x14ac:dyDescent="0.25"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22:31" ht="11.25" customHeight="1" x14ac:dyDescent="0.25"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22:31" ht="11.25" customHeight="1" x14ac:dyDescent="0.25"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22:31" ht="11.25" customHeight="1" x14ac:dyDescent="0.25"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22:31" ht="11.25" customHeight="1" x14ac:dyDescent="0.25"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22:31" ht="11.25" customHeight="1" x14ac:dyDescent="0.25"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22:31" ht="11.25" customHeight="1" x14ac:dyDescent="0.25"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22:31" ht="11.25" customHeight="1" x14ac:dyDescent="0.25"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22:31" ht="11.25" customHeight="1" x14ac:dyDescent="0.25"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22:31" ht="11.25" customHeight="1" x14ac:dyDescent="0.25"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22:31" ht="11.25" customHeight="1" x14ac:dyDescent="0.25"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22:31" ht="11.25" customHeight="1" x14ac:dyDescent="0.25"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22:31" ht="11.25" customHeight="1" x14ac:dyDescent="0.25"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22:31" ht="11.25" customHeight="1" x14ac:dyDescent="0.25"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22:31" ht="11.25" customHeight="1" x14ac:dyDescent="0.25"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22:31" ht="11.25" customHeight="1" x14ac:dyDescent="0.25"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22:31" ht="11.25" customHeight="1" x14ac:dyDescent="0.25"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22:31" ht="11.25" customHeight="1" x14ac:dyDescent="0.25"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22:31" ht="11.25" customHeight="1" x14ac:dyDescent="0.25"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22:31" ht="11.25" customHeight="1" x14ac:dyDescent="0.25"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22:31" ht="11.25" customHeight="1" x14ac:dyDescent="0.25"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22:31" ht="11.25" customHeight="1" x14ac:dyDescent="0.25"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22:31" ht="11.25" customHeight="1" x14ac:dyDescent="0.25"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22:31" ht="11.25" customHeight="1" x14ac:dyDescent="0.25"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22:31" ht="11.25" customHeight="1" x14ac:dyDescent="0.25"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22:31" ht="11.25" customHeight="1" x14ac:dyDescent="0.25"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22:31" ht="11.25" customHeight="1" x14ac:dyDescent="0.25"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22:31" ht="11.25" customHeight="1" x14ac:dyDescent="0.25"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22:31" ht="11.25" customHeight="1" x14ac:dyDescent="0.25"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22:31" ht="11.25" customHeight="1" x14ac:dyDescent="0.25"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22:31" ht="11.25" customHeight="1" x14ac:dyDescent="0.25"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22:31" ht="11.25" customHeight="1" x14ac:dyDescent="0.25"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22:31" ht="11.25" customHeight="1" x14ac:dyDescent="0.25"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22:31" ht="11.25" customHeight="1" x14ac:dyDescent="0.25"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22:31" ht="11.25" customHeight="1" x14ac:dyDescent="0.25"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22:31" ht="11.25" customHeight="1" x14ac:dyDescent="0.25"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22:31" ht="11.25" customHeight="1" x14ac:dyDescent="0.25"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22:31" ht="11.25" customHeight="1" x14ac:dyDescent="0.25"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22:31" ht="11.25" customHeight="1" x14ac:dyDescent="0.25"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22:31" ht="11.25" customHeight="1" x14ac:dyDescent="0.25"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22:31" ht="11.25" customHeight="1" x14ac:dyDescent="0.25"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22:31" ht="11.25" customHeight="1" x14ac:dyDescent="0.25"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22:31" ht="11.25" customHeight="1" x14ac:dyDescent="0.25"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22:31" ht="11.25" customHeight="1" x14ac:dyDescent="0.25"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22:31" ht="11.25" customHeight="1" x14ac:dyDescent="0.25"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22:31" ht="11.25" customHeight="1" x14ac:dyDescent="0.25"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22:31" ht="11.25" customHeight="1" x14ac:dyDescent="0.25"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22:31" ht="11.25" customHeight="1" x14ac:dyDescent="0.25"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22:31" ht="11.25" customHeight="1" x14ac:dyDescent="0.25"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22:31" ht="11.25" customHeight="1" x14ac:dyDescent="0.25"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22:31" ht="11.25" customHeight="1" x14ac:dyDescent="0.25"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22:31" ht="11.25" customHeight="1" x14ac:dyDescent="0.25"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22:31" ht="11.25" customHeight="1" x14ac:dyDescent="0.25"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22:31" ht="11.25" customHeight="1" x14ac:dyDescent="0.25"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22:31" ht="11.25" customHeight="1" x14ac:dyDescent="0.25"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22:31" ht="11.25" customHeight="1" x14ac:dyDescent="0.25"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22:31" ht="11.25" customHeight="1" x14ac:dyDescent="0.25"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22:31" ht="11.25" customHeight="1" x14ac:dyDescent="0.25"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22:31" ht="11.25" customHeight="1" x14ac:dyDescent="0.25"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22:31" ht="11.25" customHeight="1" x14ac:dyDescent="0.25"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22:31" ht="11.25" customHeight="1" x14ac:dyDescent="0.25"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22:31" ht="11.25" customHeight="1" x14ac:dyDescent="0.25"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22:31" ht="11.25" customHeight="1" x14ac:dyDescent="0.25"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22:31" ht="11.25" customHeight="1" x14ac:dyDescent="0.25"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22:31" ht="11.25" customHeight="1" x14ac:dyDescent="0.25"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22:31" ht="11.25" customHeight="1" x14ac:dyDescent="0.25"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22:31" ht="11.25" customHeight="1" x14ac:dyDescent="0.25"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22:31" ht="11.25" customHeight="1" x14ac:dyDescent="0.25"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22:31" ht="11.25" customHeight="1" x14ac:dyDescent="0.25"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22:31" ht="11.25" customHeight="1" x14ac:dyDescent="0.25"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22:31" ht="11.25" customHeight="1" x14ac:dyDescent="0.25"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22:31" ht="11.25" customHeight="1" x14ac:dyDescent="0.25"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22:31" ht="11.25" customHeight="1" x14ac:dyDescent="0.25"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22:31" ht="11.25" customHeight="1" x14ac:dyDescent="0.25"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22:31" ht="11.25" customHeight="1" x14ac:dyDescent="0.25"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22:31" ht="11.25" customHeight="1" x14ac:dyDescent="0.25"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22:31" ht="11.25" customHeight="1" x14ac:dyDescent="0.25"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22:31" ht="11.25" customHeight="1" x14ac:dyDescent="0.25"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22:31" ht="11.25" customHeight="1" x14ac:dyDescent="0.25"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22:31" ht="11.25" customHeight="1" x14ac:dyDescent="0.25"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22:31" ht="11.25" customHeight="1" x14ac:dyDescent="0.25"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22:31" ht="11.25" customHeight="1" x14ac:dyDescent="0.25"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22:31" ht="11.25" customHeight="1" x14ac:dyDescent="0.25"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22:31" ht="11.25" customHeight="1" x14ac:dyDescent="0.25"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22:31" ht="11.25" customHeight="1" x14ac:dyDescent="0.25"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22:31" ht="11.25" customHeight="1" x14ac:dyDescent="0.25"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22:31" ht="11.25" customHeight="1" x14ac:dyDescent="0.25"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22:31" ht="11.25" customHeight="1" x14ac:dyDescent="0.25"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22:31" ht="11.25" customHeight="1" x14ac:dyDescent="0.25"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22:31" ht="11.25" customHeight="1" x14ac:dyDescent="0.25"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22:31" ht="11.25" customHeight="1" x14ac:dyDescent="0.25"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22:31" ht="11.25" customHeight="1" x14ac:dyDescent="0.25"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22:31" ht="11.25" customHeight="1" x14ac:dyDescent="0.25"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22:31" ht="11.25" customHeight="1" x14ac:dyDescent="0.25"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22:31" ht="11.25" customHeight="1" x14ac:dyDescent="0.25"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22:31" ht="11.25" customHeight="1" x14ac:dyDescent="0.25"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22:31" ht="11.25" customHeight="1" x14ac:dyDescent="0.25"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22:31" ht="11.25" customHeight="1" x14ac:dyDescent="0.25"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22:31" ht="11.25" customHeight="1" x14ac:dyDescent="0.25"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22:31" ht="11.25" customHeight="1" x14ac:dyDescent="0.25"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22:31" ht="11.25" customHeight="1" x14ac:dyDescent="0.25"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22:31" ht="11.25" customHeight="1" x14ac:dyDescent="0.25"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22:31" ht="11.25" customHeight="1" x14ac:dyDescent="0.25"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22:31" ht="11.25" customHeight="1" x14ac:dyDescent="0.25"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22:31" ht="11.25" customHeight="1" x14ac:dyDescent="0.25"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22:31" ht="11.25" customHeight="1" x14ac:dyDescent="0.25"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22:31" ht="11.25" customHeight="1" x14ac:dyDescent="0.25"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22:31" ht="11.25" customHeight="1" x14ac:dyDescent="0.25"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22:31" ht="11.25" customHeight="1" x14ac:dyDescent="0.25"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22:31" ht="11.25" customHeight="1" x14ac:dyDescent="0.25"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22:31" ht="11.25" customHeight="1" x14ac:dyDescent="0.25"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22:31" ht="11.25" customHeight="1" x14ac:dyDescent="0.25"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22:31" ht="11.25" customHeight="1" x14ac:dyDescent="0.25"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22:31" ht="11.25" customHeight="1" x14ac:dyDescent="0.25"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22:31" ht="11.25" customHeight="1" x14ac:dyDescent="0.25"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22:31" ht="11.25" customHeight="1" x14ac:dyDescent="0.25"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22:31" ht="11.25" customHeight="1" x14ac:dyDescent="0.25"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22:31" ht="11.25" customHeight="1" x14ac:dyDescent="0.25"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22:31" ht="11.25" customHeight="1" x14ac:dyDescent="0.25"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22:31" ht="11.25" customHeight="1" x14ac:dyDescent="0.25"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22:31" ht="11.25" customHeight="1" x14ac:dyDescent="0.25"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22:31" ht="11.25" customHeight="1" x14ac:dyDescent="0.25"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22:31" ht="11.25" customHeight="1" x14ac:dyDescent="0.25"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22:31" ht="11.25" customHeight="1" x14ac:dyDescent="0.25"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22:31" ht="11.25" customHeight="1" x14ac:dyDescent="0.25"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22:31" ht="11.25" customHeight="1" x14ac:dyDescent="0.25"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22:31" ht="11.25" customHeight="1" x14ac:dyDescent="0.25"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22:31" ht="11.25" customHeight="1" x14ac:dyDescent="0.25"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2:31" ht="11.25" customHeight="1" x14ac:dyDescent="0.25"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22:31" ht="11.25" customHeight="1" x14ac:dyDescent="0.25"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22:31" ht="11.25" customHeight="1" x14ac:dyDescent="0.25"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22:31" ht="11.25" customHeight="1" x14ac:dyDescent="0.25"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22:31" ht="11.25" customHeight="1" x14ac:dyDescent="0.25"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22:31" ht="11.25" customHeight="1" x14ac:dyDescent="0.25"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22:31" ht="11.25" customHeight="1" x14ac:dyDescent="0.25"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22:31" ht="11.25" customHeight="1" x14ac:dyDescent="0.25"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22:31" ht="11.25" customHeight="1" x14ac:dyDescent="0.25"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22:31" ht="11.25" customHeight="1" x14ac:dyDescent="0.25"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22:31" ht="11.25" customHeight="1" x14ac:dyDescent="0.25"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22:31" ht="11.25" customHeight="1" x14ac:dyDescent="0.25"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22:31" ht="11.25" customHeight="1" x14ac:dyDescent="0.25"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22:31" ht="11.25" customHeight="1" x14ac:dyDescent="0.25"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22:31" ht="11.25" customHeight="1" x14ac:dyDescent="0.25"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22:31" ht="11.25" customHeight="1" x14ac:dyDescent="0.25"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22:31" ht="11.25" customHeight="1" x14ac:dyDescent="0.25"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22:31" ht="11.25" customHeight="1" x14ac:dyDescent="0.25"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22:31" ht="11.25" customHeight="1" x14ac:dyDescent="0.25"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22:31" ht="11.25" customHeight="1" x14ac:dyDescent="0.25"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22:31" ht="11.25" customHeight="1" x14ac:dyDescent="0.25"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22:31" ht="11.25" customHeight="1" x14ac:dyDescent="0.25"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22:31" ht="11.25" customHeight="1" x14ac:dyDescent="0.25"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22:31" ht="11.25" customHeight="1" x14ac:dyDescent="0.25"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22:31" ht="11.25" customHeight="1" x14ac:dyDescent="0.25"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22:31" ht="11.25" customHeight="1" x14ac:dyDescent="0.25"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22:31" ht="11.25" customHeight="1" x14ac:dyDescent="0.25"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22:31" ht="11.25" customHeight="1" x14ac:dyDescent="0.25"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22:31" ht="11.25" customHeight="1" x14ac:dyDescent="0.25"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22:31" ht="11.25" customHeight="1" x14ac:dyDescent="0.25"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22:31" ht="11.25" customHeight="1" x14ac:dyDescent="0.25"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22:31" ht="11.25" customHeight="1" x14ac:dyDescent="0.25"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22:31" ht="11.25" customHeight="1" x14ac:dyDescent="0.25"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22:31" ht="11.25" customHeight="1" x14ac:dyDescent="0.25"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22:31" ht="11.25" customHeight="1" x14ac:dyDescent="0.25"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22:31" ht="11.25" customHeight="1" x14ac:dyDescent="0.25"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22:31" ht="11.25" customHeight="1" x14ac:dyDescent="0.25"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22:31" ht="11.25" customHeight="1" x14ac:dyDescent="0.25"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22:31" ht="11.25" customHeight="1" x14ac:dyDescent="0.25"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22:31" ht="11.25" customHeight="1" x14ac:dyDescent="0.25"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22:31" ht="11.25" customHeight="1" x14ac:dyDescent="0.25"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22:31" ht="11.25" customHeight="1" x14ac:dyDescent="0.25"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22:31" ht="11.25" customHeight="1" x14ac:dyDescent="0.25"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22:31" ht="11.25" customHeight="1" x14ac:dyDescent="0.25"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22:31" ht="11.25" customHeight="1" x14ac:dyDescent="0.25"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22:31" ht="11.25" customHeight="1" x14ac:dyDescent="0.25"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22:31" ht="11.25" customHeight="1" x14ac:dyDescent="0.25"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22:31" ht="11.25" customHeight="1" x14ac:dyDescent="0.25"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22:31" ht="11.25" customHeight="1" x14ac:dyDescent="0.25"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22:31" ht="11.25" customHeight="1" x14ac:dyDescent="0.25"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22:31" ht="11.25" customHeight="1" x14ac:dyDescent="0.25"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22:31" ht="11.25" customHeight="1" x14ac:dyDescent="0.25"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22:31" ht="11.25" customHeight="1" x14ac:dyDescent="0.25"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22:31" ht="11.25" customHeight="1" x14ac:dyDescent="0.25"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22:31" ht="11.25" customHeight="1" x14ac:dyDescent="0.25"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22:31" ht="11.25" customHeight="1" x14ac:dyDescent="0.25"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22:31" ht="11.25" customHeight="1" x14ac:dyDescent="0.25"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22:31" ht="11.25" customHeight="1" x14ac:dyDescent="0.25"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22:31" ht="11.25" customHeight="1" x14ac:dyDescent="0.25"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22:31" ht="11.25" customHeight="1" x14ac:dyDescent="0.25"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22:31" ht="11.25" customHeight="1" x14ac:dyDescent="0.25"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22:31" ht="11.25" customHeight="1" x14ac:dyDescent="0.25"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22:31" ht="11.25" customHeight="1" x14ac:dyDescent="0.25"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22:31" ht="11.25" customHeight="1" x14ac:dyDescent="0.25"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22:31" ht="11.25" customHeight="1" x14ac:dyDescent="0.25"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22:31" ht="11.25" customHeight="1" x14ac:dyDescent="0.25"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22:31" ht="11.25" customHeight="1" x14ac:dyDescent="0.25"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22:31" ht="11.25" customHeight="1" x14ac:dyDescent="0.25"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22:31" ht="11.25" customHeight="1" x14ac:dyDescent="0.25"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22:31" ht="11.25" customHeight="1" x14ac:dyDescent="0.25"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22:31" ht="11.25" customHeight="1" x14ac:dyDescent="0.25"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22:31" ht="11.25" customHeight="1" x14ac:dyDescent="0.25"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22:31" ht="11.25" customHeight="1" x14ac:dyDescent="0.25"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22:31" ht="11.25" customHeight="1" x14ac:dyDescent="0.25"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22:31" ht="11.25" customHeight="1" x14ac:dyDescent="0.25"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22:31" ht="11.25" customHeight="1" x14ac:dyDescent="0.25"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22:31" ht="11.25" customHeight="1" x14ac:dyDescent="0.25"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22:31" ht="11.25" customHeight="1" x14ac:dyDescent="0.25"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22:31" ht="11.25" customHeight="1" x14ac:dyDescent="0.25"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22:31" ht="11.25" customHeight="1" x14ac:dyDescent="0.25"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22:31" ht="11.25" customHeight="1" x14ac:dyDescent="0.25"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22:31" ht="11.25" customHeight="1" x14ac:dyDescent="0.25"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22:31" ht="11.25" customHeight="1" x14ac:dyDescent="0.25"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22:31" ht="11.25" customHeight="1" x14ac:dyDescent="0.25"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22:31" ht="11.25" customHeight="1" x14ac:dyDescent="0.25"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22:31" ht="11.25" customHeight="1" x14ac:dyDescent="0.25"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22:31" ht="11.25" customHeight="1" x14ac:dyDescent="0.25"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22:31" ht="11.25" customHeight="1" x14ac:dyDescent="0.25"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22:31" ht="11.25" customHeight="1" x14ac:dyDescent="0.25"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22:31" ht="11.25" customHeight="1" x14ac:dyDescent="0.25"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22:31" ht="11.25" customHeight="1" x14ac:dyDescent="0.25"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22:31" ht="11.25" customHeight="1" x14ac:dyDescent="0.25"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22:31" ht="11.25" customHeight="1" x14ac:dyDescent="0.25"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22:31" ht="11.25" customHeight="1" x14ac:dyDescent="0.25"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22:31" ht="11.25" customHeight="1" x14ac:dyDescent="0.25"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22:31" ht="11.25" customHeight="1" x14ac:dyDescent="0.25"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22:31" ht="11.25" customHeight="1" x14ac:dyDescent="0.25"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22:31" ht="11.25" customHeight="1" x14ac:dyDescent="0.25"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22:31" ht="11.25" customHeight="1" x14ac:dyDescent="0.25"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22:31" ht="11.25" customHeight="1" x14ac:dyDescent="0.25"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22:31" ht="11.25" customHeight="1" x14ac:dyDescent="0.25"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22:31" ht="11.25" customHeight="1" x14ac:dyDescent="0.25"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22:31" ht="11.25" customHeight="1" x14ac:dyDescent="0.25"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22:31" ht="11.25" customHeight="1" x14ac:dyDescent="0.25"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22:31" ht="11.25" customHeight="1" x14ac:dyDescent="0.25"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22:31" ht="11.25" customHeight="1" x14ac:dyDescent="0.25"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22:31" ht="11.25" customHeight="1" x14ac:dyDescent="0.25"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22:31" ht="11.25" customHeight="1" x14ac:dyDescent="0.25"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22:31" ht="11.25" customHeight="1" x14ac:dyDescent="0.25"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22:31" ht="11.25" customHeight="1" x14ac:dyDescent="0.25"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22:31" ht="11.25" customHeight="1" x14ac:dyDescent="0.25"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22:31" ht="11.25" customHeight="1" x14ac:dyDescent="0.25"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22:31" ht="11.25" customHeight="1" x14ac:dyDescent="0.25"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22:31" ht="11.25" customHeight="1" x14ac:dyDescent="0.25"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22:31" ht="11.25" customHeight="1" x14ac:dyDescent="0.25"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22:31" ht="11.25" customHeight="1" x14ac:dyDescent="0.25"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22:31" ht="11.25" customHeight="1" x14ac:dyDescent="0.25"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22:31" ht="11.25" customHeight="1" x14ac:dyDescent="0.25"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22:31" ht="11.25" customHeight="1" x14ac:dyDescent="0.25"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22:31" ht="11.25" customHeight="1" x14ac:dyDescent="0.25"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22:31" ht="11.25" customHeight="1" x14ac:dyDescent="0.25"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22:31" ht="11.25" customHeight="1" x14ac:dyDescent="0.25"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22:31" ht="11.25" customHeight="1" x14ac:dyDescent="0.25"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22:31" ht="11.25" customHeight="1" x14ac:dyDescent="0.25"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22:31" ht="11.25" customHeight="1" x14ac:dyDescent="0.25"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22:31" ht="11.25" customHeight="1" x14ac:dyDescent="0.25"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22:31" ht="11.25" customHeight="1" x14ac:dyDescent="0.25"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22:31" ht="11.25" customHeight="1" x14ac:dyDescent="0.25"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22:31" ht="11.25" customHeight="1" x14ac:dyDescent="0.25"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22:31" ht="11.25" customHeight="1" x14ac:dyDescent="0.25"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22:31" ht="11.25" customHeight="1" x14ac:dyDescent="0.25"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22:31" ht="11.25" customHeight="1" x14ac:dyDescent="0.25"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22:31" ht="11.25" customHeight="1" x14ac:dyDescent="0.25"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22:31" ht="11.25" customHeight="1" x14ac:dyDescent="0.25"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22:31" ht="11.25" customHeight="1" x14ac:dyDescent="0.25"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22:31" ht="11.25" customHeight="1" x14ac:dyDescent="0.25"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22:31" ht="11.25" customHeight="1" x14ac:dyDescent="0.25"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22:31" ht="11.25" customHeight="1" x14ac:dyDescent="0.25"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22:31" ht="11.25" customHeight="1" x14ac:dyDescent="0.25"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22:31" ht="11.25" customHeight="1" x14ac:dyDescent="0.25"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22:31" ht="11.25" customHeight="1" x14ac:dyDescent="0.25"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22:31" ht="11.25" customHeight="1" x14ac:dyDescent="0.25"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22:31" ht="11.25" customHeight="1" x14ac:dyDescent="0.25"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22:31" ht="11.25" customHeight="1" x14ac:dyDescent="0.25"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22:31" ht="11.25" customHeight="1" x14ac:dyDescent="0.25"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22:31" ht="11.25" customHeight="1" x14ac:dyDescent="0.25"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22:31" ht="11.25" customHeight="1" x14ac:dyDescent="0.25"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22:31" ht="11.25" customHeight="1" x14ac:dyDescent="0.25"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22:31" ht="11.25" customHeight="1" x14ac:dyDescent="0.25"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22:31" ht="11.25" customHeight="1" x14ac:dyDescent="0.25"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22:31" ht="11.25" customHeight="1" x14ac:dyDescent="0.25"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22:31" ht="11.25" customHeight="1" x14ac:dyDescent="0.25"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22:31" ht="11.25" customHeight="1" x14ac:dyDescent="0.25"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22:31" ht="11.25" customHeight="1" x14ac:dyDescent="0.25"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22:31" ht="11.25" customHeight="1" x14ac:dyDescent="0.25"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22:31" ht="11.25" customHeight="1" x14ac:dyDescent="0.25"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22:31" ht="11.25" customHeight="1" x14ac:dyDescent="0.25"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22:31" ht="11.25" customHeight="1" x14ac:dyDescent="0.25"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22:31" ht="11.25" customHeight="1" x14ac:dyDescent="0.25"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22:31" ht="11.25" customHeight="1" x14ac:dyDescent="0.25"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22:31" ht="11.25" customHeight="1" x14ac:dyDescent="0.25"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22:31" ht="11.25" customHeight="1" x14ac:dyDescent="0.25"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22:31" ht="11.25" customHeight="1" x14ac:dyDescent="0.25"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22:31" ht="11.25" customHeight="1" x14ac:dyDescent="0.25"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22:31" ht="11.25" customHeight="1" x14ac:dyDescent="0.25"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22:31" ht="11.25" customHeight="1" x14ac:dyDescent="0.25"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22:31" ht="11.25" customHeight="1" x14ac:dyDescent="0.25"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22:31" ht="11.25" customHeight="1" x14ac:dyDescent="0.25"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22:31" ht="11.25" customHeight="1" x14ac:dyDescent="0.25"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22:31" ht="11.25" customHeight="1" x14ac:dyDescent="0.25"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22:31" ht="11.25" customHeight="1" x14ac:dyDescent="0.25"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22:31" ht="11.25" customHeight="1" x14ac:dyDescent="0.25"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22:31" ht="11.25" customHeight="1" x14ac:dyDescent="0.25"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22:31" ht="11.25" customHeight="1" x14ac:dyDescent="0.25"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22:31" ht="11.25" customHeight="1" x14ac:dyDescent="0.25"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22:31" ht="11.25" customHeight="1" x14ac:dyDescent="0.25"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22:31" ht="11.25" customHeight="1" x14ac:dyDescent="0.25"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22:31" ht="11.25" customHeight="1" x14ac:dyDescent="0.25"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22:31" ht="11.25" customHeight="1" x14ac:dyDescent="0.25"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22:31" ht="11.25" customHeight="1" x14ac:dyDescent="0.25"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22:31" ht="11.25" customHeight="1" x14ac:dyDescent="0.25"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22:31" ht="11.25" customHeight="1" x14ac:dyDescent="0.25"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22:31" ht="11.25" customHeight="1" x14ac:dyDescent="0.25"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22:31" ht="11.25" customHeight="1" x14ac:dyDescent="0.25"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22:31" ht="11.25" customHeight="1" x14ac:dyDescent="0.25"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22:31" ht="11.25" customHeight="1" x14ac:dyDescent="0.25"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22:31" ht="11.25" customHeight="1" x14ac:dyDescent="0.25"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22:31" ht="11.25" customHeight="1" x14ac:dyDescent="0.25"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22:31" ht="11.25" customHeight="1" x14ac:dyDescent="0.25"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22:31" ht="11.25" customHeight="1" x14ac:dyDescent="0.25"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22:31" ht="11.25" customHeight="1" x14ac:dyDescent="0.25"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22:31" ht="11.25" customHeight="1" x14ac:dyDescent="0.25"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22:31" ht="11.25" customHeight="1" x14ac:dyDescent="0.25"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22:31" ht="11.25" customHeight="1" x14ac:dyDescent="0.25"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22:31" ht="11.25" customHeight="1" x14ac:dyDescent="0.25"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22:31" ht="11.25" customHeight="1" x14ac:dyDescent="0.25"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22:31" ht="11.25" customHeight="1" x14ac:dyDescent="0.25"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22:31" ht="11.25" customHeight="1" x14ac:dyDescent="0.25"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22:31" ht="11.25" customHeight="1" x14ac:dyDescent="0.25"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22:31" ht="11.25" customHeight="1" x14ac:dyDescent="0.25"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22:31" ht="11.25" customHeight="1" x14ac:dyDescent="0.25"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22:31" ht="11.25" customHeight="1" x14ac:dyDescent="0.25"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22:31" ht="11.25" customHeight="1" x14ac:dyDescent="0.25"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22:31" ht="11.25" customHeight="1" x14ac:dyDescent="0.25"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22:31" ht="11.25" customHeight="1" x14ac:dyDescent="0.25"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22:31" ht="11.25" customHeight="1" x14ac:dyDescent="0.25"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22:31" ht="11.25" customHeight="1" x14ac:dyDescent="0.25"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22:31" ht="11.25" customHeight="1" x14ac:dyDescent="0.25"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22:31" ht="11.25" customHeight="1" x14ac:dyDescent="0.25"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22:31" ht="11.25" customHeight="1" x14ac:dyDescent="0.25"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22:31" ht="11.25" customHeight="1" x14ac:dyDescent="0.25"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22:31" ht="11.25" customHeight="1" x14ac:dyDescent="0.25"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22:31" ht="11.25" customHeight="1" x14ac:dyDescent="0.25"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22:31" ht="11.25" customHeight="1" x14ac:dyDescent="0.25"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22:31" ht="11.25" customHeight="1" x14ac:dyDescent="0.25"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22:31" ht="11.25" customHeight="1" x14ac:dyDescent="0.25"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22:31" ht="11.25" customHeight="1" x14ac:dyDescent="0.25"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22:31" ht="11.25" customHeight="1" x14ac:dyDescent="0.25"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22:31" ht="11.25" customHeight="1" x14ac:dyDescent="0.25"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22:31" ht="11.25" customHeight="1" x14ac:dyDescent="0.25"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22:31" ht="11.25" customHeight="1" x14ac:dyDescent="0.25"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22:31" ht="11.25" customHeight="1" x14ac:dyDescent="0.25"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22:31" ht="11.25" customHeight="1" x14ac:dyDescent="0.25"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22:31" ht="11.25" customHeight="1" x14ac:dyDescent="0.25"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22:31" ht="11.25" customHeight="1" x14ac:dyDescent="0.25"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22:31" ht="11.25" customHeight="1" x14ac:dyDescent="0.25"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22:31" ht="11.25" customHeight="1" x14ac:dyDescent="0.25"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22:31" ht="11.25" customHeight="1" x14ac:dyDescent="0.25"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22:31" ht="11.25" customHeight="1" x14ac:dyDescent="0.25"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22:31" ht="11.25" customHeight="1" x14ac:dyDescent="0.25"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22:31" ht="11.25" customHeight="1" x14ac:dyDescent="0.25"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22:31" ht="11.25" customHeight="1" x14ac:dyDescent="0.25"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22:31" ht="11.25" customHeight="1" x14ac:dyDescent="0.25"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22:31" ht="11.25" customHeight="1" x14ac:dyDescent="0.25"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22:31" ht="11.25" customHeight="1" x14ac:dyDescent="0.25"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22:31" ht="11.25" customHeight="1" x14ac:dyDescent="0.25"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22:31" ht="11.25" customHeight="1" x14ac:dyDescent="0.25"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22:31" ht="11.25" customHeight="1" x14ac:dyDescent="0.25"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22:31" ht="11.25" customHeight="1" x14ac:dyDescent="0.25"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22:31" ht="11.25" customHeight="1" x14ac:dyDescent="0.25"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22:31" ht="11.25" customHeight="1" x14ac:dyDescent="0.25"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22:31" ht="11.25" customHeight="1" x14ac:dyDescent="0.25"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22:31" ht="11.25" customHeight="1" x14ac:dyDescent="0.25"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22:31" ht="11.25" customHeight="1" x14ac:dyDescent="0.25"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22:31" ht="11.25" customHeight="1" x14ac:dyDescent="0.25"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22:31" ht="11.25" customHeight="1" x14ac:dyDescent="0.25"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22:31" ht="11.25" customHeight="1" x14ac:dyDescent="0.25"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22:31" ht="11.25" customHeight="1" x14ac:dyDescent="0.25"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22:31" ht="11.25" customHeight="1" x14ac:dyDescent="0.25"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22:31" ht="11.25" customHeight="1" x14ac:dyDescent="0.25"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22:31" ht="11.25" customHeight="1" x14ac:dyDescent="0.25"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22:31" ht="11.25" customHeight="1" x14ac:dyDescent="0.25"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22:31" ht="11.25" customHeight="1" x14ac:dyDescent="0.25"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22:31" ht="11.25" customHeight="1" x14ac:dyDescent="0.25"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22:31" ht="11.25" customHeight="1" x14ac:dyDescent="0.25"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22:31" ht="11.25" customHeight="1" x14ac:dyDescent="0.25"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22:31" ht="11.25" customHeight="1" x14ac:dyDescent="0.25"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22:31" ht="11.25" customHeight="1" x14ac:dyDescent="0.25"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22:31" ht="11.25" customHeight="1" x14ac:dyDescent="0.25"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22:31" ht="11.25" customHeight="1" x14ac:dyDescent="0.25"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22:31" ht="11.25" customHeight="1" x14ac:dyDescent="0.25"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22:31" ht="11.25" customHeight="1" x14ac:dyDescent="0.25"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22:31" ht="11.25" customHeight="1" x14ac:dyDescent="0.25"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22:31" ht="11.25" customHeight="1" x14ac:dyDescent="0.25"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22:31" ht="11.25" customHeight="1" x14ac:dyDescent="0.25"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22:31" ht="11.25" customHeight="1" x14ac:dyDescent="0.25"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22:31" ht="11.25" customHeight="1" x14ac:dyDescent="0.25"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22:31" ht="11.25" customHeight="1" x14ac:dyDescent="0.25"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22:31" ht="11.25" customHeight="1" x14ac:dyDescent="0.25"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22:31" ht="11.25" customHeight="1" x14ac:dyDescent="0.25"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22:31" ht="11.25" customHeight="1" x14ac:dyDescent="0.25"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22:31" ht="11.25" customHeight="1" x14ac:dyDescent="0.25"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22:31" ht="11.25" customHeight="1" x14ac:dyDescent="0.25"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 spans="22:31" ht="11.25" customHeight="1" x14ac:dyDescent="0.25"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22:31" ht="11.25" customHeight="1" x14ac:dyDescent="0.25"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22:31" ht="11.25" customHeight="1" x14ac:dyDescent="0.25"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22:31" ht="11.25" customHeight="1" x14ac:dyDescent="0.25"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22:31" ht="11.25" customHeight="1" x14ac:dyDescent="0.25"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22:31" ht="11.25" customHeight="1" x14ac:dyDescent="0.25"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22:31" ht="11.25" customHeight="1" x14ac:dyDescent="0.25"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22:31" ht="11.25" customHeight="1" x14ac:dyDescent="0.25"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22:31" ht="11.25" customHeight="1" x14ac:dyDescent="0.25"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22:31" ht="11.25" customHeight="1" x14ac:dyDescent="0.25"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22:31" ht="11.25" customHeight="1" x14ac:dyDescent="0.25"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22:31" ht="11.25" customHeight="1" x14ac:dyDescent="0.25"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22:31" ht="11.25" customHeight="1" x14ac:dyDescent="0.25"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22:31" ht="11.25" customHeight="1" x14ac:dyDescent="0.25"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22:31" ht="11.25" customHeight="1" x14ac:dyDescent="0.25"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22:31" ht="11.25" customHeight="1" x14ac:dyDescent="0.25"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22:31" ht="11.25" customHeight="1" x14ac:dyDescent="0.25"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 spans="22:31" ht="11.25" customHeight="1" x14ac:dyDescent="0.25"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22:31" ht="11.25" customHeight="1" x14ac:dyDescent="0.25"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22:31" ht="11.25" customHeight="1" x14ac:dyDescent="0.25"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22:31" ht="11.25" customHeight="1" x14ac:dyDescent="0.25"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22:31" ht="11.25" customHeight="1" x14ac:dyDescent="0.25"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22:31" ht="11.25" customHeight="1" x14ac:dyDescent="0.25"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22:31" ht="11.25" customHeight="1" x14ac:dyDescent="0.25"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22:31" ht="11.25" customHeight="1" x14ac:dyDescent="0.25"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22:31" ht="11.25" customHeight="1" x14ac:dyDescent="0.25"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22:31" ht="11.25" customHeight="1" x14ac:dyDescent="0.25"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 spans="22:31" ht="11.25" customHeight="1" x14ac:dyDescent="0.25"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22:31" ht="11.25" customHeight="1" x14ac:dyDescent="0.25"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22:31" ht="11.25" customHeight="1" x14ac:dyDescent="0.25"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22:31" ht="11.25" customHeight="1" x14ac:dyDescent="0.25"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22:31" ht="11.25" customHeight="1" x14ac:dyDescent="0.25"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22:31" ht="11.25" customHeight="1" x14ac:dyDescent="0.25"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22:31" ht="11.25" customHeight="1" x14ac:dyDescent="0.25"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22:31" ht="11.25" customHeight="1" x14ac:dyDescent="0.25"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22:31" ht="11.25" customHeight="1" x14ac:dyDescent="0.25"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22:31" ht="11.25" customHeight="1" x14ac:dyDescent="0.25"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22:31" ht="11.25" customHeight="1" x14ac:dyDescent="0.25"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</row>
    <row r="1048" spans="22:31" ht="11.25" customHeight="1" x14ac:dyDescent="0.25"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22:31" ht="11.25" customHeight="1" x14ac:dyDescent="0.25"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22:31" ht="11.25" customHeight="1" x14ac:dyDescent="0.25"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22:31" ht="11.25" customHeight="1" x14ac:dyDescent="0.25"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22:31" ht="11.25" customHeight="1" x14ac:dyDescent="0.25"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22:31" ht="11.25" customHeight="1" x14ac:dyDescent="0.25"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22:31" ht="11.25" customHeight="1" x14ac:dyDescent="0.25"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22:31" ht="11.25" customHeight="1" x14ac:dyDescent="0.25"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22:31" ht="11.25" customHeight="1" x14ac:dyDescent="0.25"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22:31" ht="11.25" customHeight="1" x14ac:dyDescent="0.25"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22:31" ht="11.25" customHeight="1" x14ac:dyDescent="0.25"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22:31" ht="11.25" customHeight="1" x14ac:dyDescent="0.25"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22:31" ht="11.25" customHeight="1" x14ac:dyDescent="0.25"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22:31" ht="11.25" customHeight="1" x14ac:dyDescent="0.25"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22:31" ht="11.25" customHeight="1" x14ac:dyDescent="0.25"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22:31" ht="11.25" customHeight="1" x14ac:dyDescent="0.25"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22:31" ht="11.25" customHeight="1" x14ac:dyDescent="0.25"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22:31" ht="11.25" customHeight="1" x14ac:dyDescent="0.25"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22:31" ht="11.25" customHeight="1" x14ac:dyDescent="0.25"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22:31" ht="11.25" customHeight="1" x14ac:dyDescent="0.25"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22:31" ht="11.25" customHeight="1" x14ac:dyDescent="0.25"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22:31" ht="11.25" customHeight="1" x14ac:dyDescent="0.25"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22:31" ht="11.25" customHeight="1" x14ac:dyDescent="0.25"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22:31" ht="11.25" customHeight="1" x14ac:dyDescent="0.25"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22:31" ht="11.25" customHeight="1" x14ac:dyDescent="0.25"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22:31" ht="11.25" customHeight="1" x14ac:dyDescent="0.25"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  <row r="1074" spans="22:31" ht="11.25" customHeight="1" x14ac:dyDescent="0.25"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</row>
    <row r="1075" spans="22:31" ht="11.25" customHeight="1" x14ac:dyDescent="0.25"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</row>
    <row r="1076" spans="22:31" ht="11.25" customHeight="1" x14ac:dyDescent="0.25"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</row>
    <row r="1077" spans="22:31" ht="11.25" customHeight="1" x14ac:dyDescent="0.25"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</row>
    <row r="1078" spans="22:31" ht="11.25" customHeight="1" x14ac:dyDescent="0.25"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</row>
    <row r="1079" spans="22:31" ht="11.25" customHeight="1" x14ac:dyDescent="0.25"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</row>
    <row r="1080" spans="22:31" ht="11.25" customHeight="1" x14ac:dyDescent="0.25"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</row>
    <row r="1081" spans="22:31" ht="11.25" customHeight="1" x14ac:dyDescent="0.25"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</row>
    <row r="1082" spans="22:31" ht="11.25" customHeight="1" x14ac:dyDescent="0.25"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</row>
    <row r="1083" spans="22:31" ht="11.25" customHeight="1" x14ac:dyDescent="0.25"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</row>
    <row r="1084" spans="22:31" ht="11.25" customHeight="1" x14ac:dyDescent="0.25"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</row>
    <row r="1085" spans="22:31" ht="11.25" customHeight="1" x14ac:dyDescent="0.25"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</row>
    <row r="1086" spans="22:31" ht="11.25" customHeight="1" x14ac:dyDescent="0.25"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</row>
    <row r="1087" spans="22:31" ht="11.25" customHeight="1" x14ac:dyDescent="0.25"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</row>
    <row r="1088" spans="22:31" ht="11.25" customHeight="1" x14ac:dyDescent="0.25"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</row>
    <row r="1089" spans="22:31" ht="11.25" customHeight="1" x14ac:dyDescent="0.25"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</row>
    <row r="1090" spans="22:31" ht="11.25" customHeight="1" x14ac:dyDescent="0.25"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</row>
    <row r="1091" spans="22:31" ht="11.25" customHeight="1" x14ac:dyDescent="0.25"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</row>
    <row r="1092" spans="22:31" ht="11.25" customHeight="1" x14ac:dyDescent="0.25"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</row>
    <row r="1093" spans="22:31" ht="11.25" customHeight="1" x14ac:dyDescent="0.25"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</row>
    <row r="1094" spans="22:31" ht="11.25" customHeight="1" x14ac:dyDescent="0.25"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</row>
    <row r="1095" spans="22:31" ht="11.25" customHeight="1" x14ac:dyDescent="0.25"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</row>
    <row r="1096" spans="22:31" ht="11.25" customHeight="1" x14ac:dyDescent="0.25"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</row>
    <row r="1097" spans="22:31" ht="11.25" customHeight="1" x14ac:dyDescent="0.25"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</row>
    <row r="1098" spans="22:31" ht="11.25" customHeight="1" x14ac:dyDescent="0.25"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</row>
    <row r="1099" spans="22:31" ht="11.25" customHeight="1" x14ac:dyDescent="0.25"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</row>
    <row r="1100" spans="22:31" ht="11.25" customHeight="1" x14ac:dyDescent="0.25"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</row>
    <row r="1101" spans="22:31" ht="11.25" customHeight="1" x14ac:dyDescent="0.25"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</row>
    <row r="1102" spans="22:31" ht="11.25" customHeight="1" x14ac:dyDescent="0.25"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</row>
    <row r="1103" spans="22:31" ht="11.25" customHeight="1" x14ac:dyDescent="0.25"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</row>
    <row r="1104" spans="22:31" ht="11.25" customHeight="1" x14ac:dyDescent="0.25"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</row>
    <row r="1105" spans="22:31" ht="11.25" customHeight="1" x14ac:dyDescent="0.25"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</row>
    <row r="1106" spans="22:31" ht="11.25" customHeight="1" x14ac:dyDescent="0.25"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</row>
    <row r="1107" spans="22:31" ht="11.25" customHeight="1" x14ac:dyDescent="0.25"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</row>
    <row r="1108" spans="22:31" ht="11.25" customHeight="1" x14ac:dyDescent="0.25"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</row>
    <row r="1109" spans="22:31" ht="11.25" customHeight="1" x14ac:dyDescent="0.25"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</row>
    <row r="1110" spans="22:31" ht="11.25" customHeight="1" x14ac:dyDescent="0.25"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</row>
    <row r="1111" spans="22:31" ht="11.25" customHeight="1" x14ac:dyDescent="0.25"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</row>
    <row r="1112" spans="22:31" ht="11.25" customHeight="1" x14ac:dyDescent="0.25"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</row>
    <row r="1113" spans="22:31" ht="11.25" customHeight="1" x14ac:dyDescent="0.25"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</row>
    <row r="1114" spans="22:31" ht="11.25" customHeight="1" x14ac:dyDescent="0.25"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</row>
    <row r="1115" spans="22:31" ht="11.25" customHeight="1" x14ac:dyDescent="0.25"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</row>
    <row r="1116" spans="22:31" ht="11.25" customHeight="1" x14ac:dyDescent="0.25"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</row>
    <row r="1117" spans="22:31" ht="11.25" customHeight="1" x14ac:dyDescent="0.25"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</row>
    <row r="1118" spans="22:31" ht="11.25" customHeight="1" x14ac:dyDescent="0.25"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</row>
    <row r="1119" spans="22:31" ht="11.25" customHeight="1" x14ac:dyDescent="0.25"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</row>
    <row r="1120" spans="22:31" ht="11.25" customHeight="1" x14ac:dyDescent="0.25"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</row>
    <row r="1121" spans="22:31" ht="11.25" customHeight="1" x14ac:dyDescent="0.25"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</row>
    <row r="1122" spans="22:31" ht="11.25" customHeight="1" x14ac:dyDescent="0.25"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</row>
    <row r="1123" spans="22:31" ht="11.25" customHeight="1" x14ac:dyDescent="0.25"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</row>
    <row r="1124" spans="22:31" ht="11.25" customHeight="1" x14ac:dyDescent="0.25"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</row>
    <row r="1125" spans="22:31" ht="11.25" customHeight="1" x14ac:dyDescent="0.25"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</row>
    <row r="1126" spans="22:31" ht="11.25" customHeight="1" x14ac:dyDescent="0.25"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</row>
    <row r="1127" spans="22:31" ht="11.25" customHeight="1" x14ac:dyDescent="0.25"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</row>
    <row r="1128" spans="22:31" ht="11.25" customHeight="1" x14ac:dyDescent="0.25"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</row>
    <row r="1129" spans="22:31" ht="11.25" customHeight="1" x14ac:dyDescent="0.25"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</row>
    <row r="1130" spans="22:31" ht="11.25" customHeight="1" x14ac:dyDescent="0.25"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</row>
    <row r="1131" spans="22:31" ht="11.25" customHeight="1" x14ac:dyDescent="0.25"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</row>
    <row r="1132" spans="22:31" ht="11.25" customHeight="1" x14ac:dyDescent="0.25"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</row>
    <row r="1133" spans="22:31" ht="11.25" customHeight="1" x14ac:dyDescent="0.25"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</row>
    <row r="1134" spans="22:31" ht="11.25" customHeight="1" x14ac:dyDescent="0.25"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</row>
    <row r="1135" spans="22:31" ht="11.25" customHeight="1" x14ac:dyDescent="0.25"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</row>
    <row r="1136" spans="22:31" ht="11.25" customHeight="1" x14ac:dyDescent="0.25"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</row>
    <row r="1137" spans="22:31" ht="11.25" customHeight="1" x14ac:dyDescent="0.25"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</row>
    <row r="1138" spans="22:31" ht="11.25" customHeight="1" x14ac:dyDescent="0.25"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</row>
    <row r="1139" spans="22:31" ht="11.25" customHeight="1" x14ac:dyDescent="0.25"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</row>
    <row r="1140" spans="22:31" ht="11.25" customHeight="1" x14ac:dyDescent="0.25"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</row>
    <row r="1141" spans="22:31" ht="11.25" customHeight="1" x14ac:dyDescent="0.25"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</row>
    <row r="1142" spans="22:31" ht="11.25" customHeight="1" x14ac:dyDescent="0.25"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</row>
    <row r="1143" spans="22:31" ht="11.25" customHeight="1" x14ac:dyDescent="0.25"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</row>
    <row r="1144" spans="22:31" ht="11.25" customHeight="1" x14ac:dyDescent="0.25"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</row>
    <row r="1145" spans="22:31" ht="11.25" customHeight="1" x14ac:dyDescent="0.25"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</row>
    <row r="1146" spans="22:31" ht="11.25" customHeight="1" x14ac:dyDescent="0.25"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</row>
    <row r="1147" spans="22:31" ht="11.25" customHeight="1" x14ac:dyDescent="0.25"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</row>
    <row r="1148" spans="22:31" ht="11.25" customHeight="1" x14ac:dyDescent="0.25"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</row>
    <row r="1149" spans="22:31" ht="11.25" customHeight="1" x14ac:dyDescent="0.25"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</row>
    <row r="1150" spans="22:31" ht="11.25" customHeight="1" x14ac:dyDescent="0.25"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</row>
    <row r="1151" spans="22:31" ht="11.25" customHeight="1" x14ac:dyDescent="0.25"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</row>
    <row r="1152" spans="22:31" ht="11.25" customHeight="1" x14ac:dyDescent="0.25"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</row>
    <row r="1153" spans="22:31" ht="11.25" customHeight="1" x14ac:dyDescent="0.25"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</row>
    <row r="1154" spans="22:31" ht="11.25" customHeight="1" x14ac:dyDescent="0.25"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</row>
    <row r="1155" spans="22:31" ht="11.25" customHeight="1" x14ac:dyDescent="0.25"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</row>
    <row r="1156" spans="22:31" ht="11.25" customHeight="1" x14ac:dyDescent="0.25"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</row>
    <row r="1157" spans="22:31" ht="11.25" customHeight="1" x14ac:dyDescent="0.25"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6E0BB-1131-4B0B-9CBE-7CEFAF432603}">
  <dimension ref="A1:J826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736</v>
      </c>
      <c r="B1" s="18" t="s">
        <v>737</v>
      </c>
      <c r="C1" s="18" t="s">
        <v>738</v>
      </c>
      <c r="D1" s="18" t="s">
        <v>739</v>
      </c>
      <c r="E1" s="18" t="s">
        <v>740</v>
      </c>
      <c r="F1" s="18" t="s">
        <v>741</v>
      </c>
      <c r="G1" s="18" t="s">
        <v>742</v>
      </c>
      <c r="H1" s="19" t="s">
        <v>743</v>
      </c>
      <c r="I1" s="19" t="s">
        <v>744</v>
      </c>
      <c r="J1" s="19" t="s">
        <v>745</v>
      </c>
    </row>
    <row r="2" spans="1:10" ht="11.25" customHeight="1" x14ac:dyDescent="0.2">
      <c r="A2" s="20" t="s">
        <v>26</v>
      </c>
      <c r="B2" s="18">
        <v>25713086.384000007</v>
      </c>
      <c r="C2" s="18">
        <v>33402514.889376376</v>
      </c>
      <c r="D2" s="18">
        <v>300346508.09744465</v>
      </c>
      <c r="E2" s="18">
        <v>331033874.03059655</v>
      </c>
      <c r="F2" s="18">
        <v>297289247.24491042</v>
      </c>
      <c r="G2" s="18">
        <v>372777081.26553643</v>
      </c>
      <c r="H2" s="19">
        <v>0.11769871240734897</v>
      </c>
      <c r="I2" s="19">
        <v>0.25392049904327152</v>
      </c>
      <c r="J2" s="19">
        <v>0.18266598225129993</v>
      </c>
    </row>
    <row r="3" spans="1:10" ht="11.25" customHeight="1" x14ac:dyDescent="0.2">
      <c r="A3" s="21" t="s">
        <v>39</v>
      </c>
      <c r="B3" s="18">
        <v>25713086.384000007</v>
      </c>
      <c r="C3" s="18">
        <v>33402514.889376376</v>
      </c>
      <c r="D3" s="18">
        <v>34144780.084731199</v>
      </c>
      <c r="E3" s="18">
        <v>33035048.25423108</v>
      </c>
      <c r="F3" s="18">
        <v>64859675.671964027</v>
      </c>
      <c r="G3" s="18">
        <v>81088099.31492275</v>
      </c>
      <c r="H3" s="19">
        <v>0.10992200462596613</v>
      </c>
      <c r="I3" s="19">
        <v>0.25020821450042452</v>
      </c>
      <c r="J3" s="19">
        <v>0.18287820563449686</v>
      </c>
    </row>
    <row r="4" spans="1:10" ht="11.25" customHeight="1" x14ac:dyDescent="0.2">
      <c r="A4" s="22" t="s">
        <v>40</v>
      </c>
      <c r="B4" s="18">
        <v>8217530.2279999973</v>
      </c>
      <c r="C4" s="18">
        <v>10667282.516421886</v>
      </c>
      <c r="D4" s="18">
        <v>4961085.4242039993</v>
      </c>
      <c r="E4" s="18">
        <v>3810133.3445730563</v>
      </c>
      <c r="F4" s="18">
        <v>15246594.864278801</v>
      </c>
      <c r="G4" s="18">
        <v>19062006.952948134</v>
      </c>
      <c r="H4" s="19">
        <v>9.8553614663899447E-2</v>
      </c>
      <c r="I4" s="19">
        <v>0.25024683364601286</v>
      </c>
      <c r="J4" s="19">
        <v>0.17991818546056937</v>
      </c>
    </row>
    <row r="5" spans="1:10" ht="11.25" customHeight="1" x14ac:dyDescent="0.2">
      <c r="A5" s="23" t="s">
        <v>42</v>
      </c>
      <c r="B5" s="18">
        <v>4189905.4400000004</v>
      </c>
      <c r="C5" s="18">
        <v>5438832.9807340717</v>
      </c>
      <c r="D5" s="18">
        <v>2492201.9062800007</v>
      </c>
      <c r="E5" s="18">
        <v>1914020.9798039352</v>
      </c>
      <c r="F5" s="18">
        <v>7665893.6564300004</v>
      </c>
      <c r="G5" s="18">
        <v>9584280.8886467759</v>
      </c>
      <c r="H5" s="19">
        <v>0.10037950297691878</v>
      </c>
      <c r="I5" s="19">
        <v>0.25024965362096707</v>
      </c>
      <c r="J5" s="19">
        <v>0.18045258332402936</v>
      </c>
    </row>
    <row r="6" spans="1:10" ht="11.25" customHeight="1" x14ac:dyDescent="0.2">
      <c r="A6" s="24" t="s">
        <v>25</v>
      </c>
      <c r="B6" s="18">
        <v>4189905.4400000004</v>
      </c>
      <c r="C6" s="18">
        <v>5438832.9807340717</v>
      </c>
      <c r="D6" s="18">
        <v>2492201.9062800007</v>
      </c>
      <c r="E6" s="18">
        <v>1914020.9798039352</v>
      </c>
      <c r="F6" s="18">
        <v>7665893.6564300004</v>
      </c>
      <c r="G6" s="18">
        <v>9584280.8886467759</v>
      </c>
      <c r="H6" s="19">
        <v>0.10037950297691878</v>
      </c>
      <c r="I6" s="19">
        <v>0.25024965362096707</v>
      </c>
      <c r="J6" s="19">
        <v>0.18045258332402936</v>
      </c>
    </row>
    <row r="7" spans="1:10" ht="11.25" customHeight="1" x14ac:dyDescent="0.2">
      <c r="A7" s="25" t="s">
        <v>25</v>
      </c>
      <c r="B7" s="18">
        <v>4189905.4400000004</v>
      </c>
      <c r="C7" s="18">
        <v>5438832.9807340717</v>
      </c>
      <c r="D7" s="18">
        <v>2492201.9062800007</v>
      </c>
      <c r="E7" s="18">
        <v>1914020.9798039352</v>
      </c>
      <c r="F7" s="18">
        <v>7665893.6564300004</v>
      </c>
      <c r="G7" s="18">
        <v>9584280.8886467759</v>
      </c>
      <c r="H7" s="19">
        <v>0.10037950297691878</v>
      </c>
      <c r="I7" s="19">
        <v>0.25024965362096707</v>
      </c>
      <c r="J7" s="19">
        <v>0.18045258332402936</v>
      </c>
    </row>
    <row r="8" spans="1:10" ht="11.25" customHeight="1" x14ac:dyDescent="0.2">
      <c r="A8" s="26" t="s">
        <v>25</v>
      </c>
      <c r="B8" s="18">
        <v>4189905.4400000004</v>
      </c>
      <c r="C8" s="18">
        <v>5438832.9807340717</v>
      </c>
      <c r="D8" s="18">
        <v>2492201.9062800007</v>
      </c>
      <c r="E8" s="18">
        <v>1914020.9798039352</v>
      </c>
      <c r="F8" s="18">
        <v>7665893.6564300004</v>
      </c>
      <c r="G8" s="18">
        <v>9584280.8886467759</v>
      </c>
      <c r="H8" s="19">
        <v>0.10037950297691878</v>
      </c>
      <c r="I8" s="19">
        <v>0.25024965362096707</v>
      </c>
      <c r="J8" s="19">
        <v>0.18045258332402936</v>
      </c>
    </row>
    <row r="9" spans="1:10" ht="11.25" customHeight="1" x14ac:dyDescent="0.2">
      <c r="A9" s="27" t="s">
        <v>35</v>
      </c>
      <c r="B9" s="18">
        <v>1180657.4400000004</v>
      </c>
      <c r="C9" s="18">
        <v>1534247.9548472152</v>
      </c>
      <c r="D9" s="18">
        <v>2271160.11791</v>
      </c>
      <c r="E9" s="18">
        <v>1744260.0068717413</v>
      </c>
      <c r="F9" s="18">
        <v>6572980.2113000005</v>
      </c>
      <c r="G9" s="18">
        <v>8216547.6039085556</v>
      </c>
      <c r="H9" s="19">
        <v>-5.0208214450354394E-2</v>
      </c>
      <c r="I9" s="19">
        <v>0.25004904012688201</v>
      </c>
      <c r="J9" s="19">
        <v>0.14666209037485389</v>
      </c>
    </row>
    <row r="10" spans="1:10" ht="11.25" customHeight="1" x14ac:dyDescent="0.2">
      <c r="A10" s="28">
        <v>44501</v>
      </c>
      <c r="B10" s="18">
        <v>100957.44</v>
      </c>
      <c r="C10" s="18">
        <v>131192.7919131314</v>
      </c>
      <c r="D10" s="18">
        <v>190180.83081000001</v>
      </c>
      <c r="E10" s="18">
        <v>146059.63473891426</v>
      </c>
      <c r="F10" s="18">
        <v>550403.65830000001</v>
      </c>
      <c r="G10" s="18">
        <v>688031.56474023953</v>
      </c>
      <c r="H10" s="19">
        <v>-4.7695014878399111E-2</v>
      </c>
      <c r="I10" s="19">
        <v>0.25004904012688223</v>
      </c>
      <c r="J10" s="19">
        <v>0.14704206409911458</v>
      </c>
    </row>
    <row r="11" spans="1:10" ht="11.25" customHeight="1" x14ac:dyDescent="0.2">
      <c r="A11" s="28">
        <v>44531</v>
      </c>
      <c r="B11" s="18">
        <v>91470.720000000001</v>
      </c>
      <c r="C11" s="18">
        <v>118864.93095609699</v>
      </c>
      <c r="D11" s="18">
        <v>191038.39156000002</v>
      </c>
      <c r="E11" s="18">
        <v>146718.24480691089</v>
      </c>
      <c r="F11" s="18">
        <v>552885.53080000007</v>
      </c>
      <c r="G11" s="18">
        <v>691134.02707658184</v>
      </c>
      <c r="H11" s="19">
        <v>-5.9912884591679205E-2</v>
      </c>
      <c r="I11" s="19">
        <v>0.25004904012688223</v>
      </c>
      <c r="J11" s="19">
        <v>0.14522784122346288</v>
      </c>
    </row>
    <row r="12" spans="1:10" ht="11.25" customHeight="1" x14ac:dyDescent="0.2">
      <c r="A12" s="28">
        <v>44562</v>
      </c>
      <c r="B12" s="18">
        <v>95291.760000000009</v>
      </c>
      <c r="C12" s="18">
        <v>123830.31939712474</v>
      </c>
      <c r="D12" s="18">
        <v>187698.68591999999</v>
      </c>
      <c r="E12" s="18">
        <v>144153.33758762744</v>
      </c>
      <c r="F12" s="18">
        <v>543220.06559999997</v>
      </c>
      <c r="G12" s="18">
        <v>679051.72158094204</v>
      </c>
      <c r="H12" s="19">
        <v>-5.3029313008998713E-2</v>
      </c>
      <c r="I12" s="19">
        <v>0.25004904012688245</v>
      </c>
      <c r="J12" s="19">
        <v>0.146239808573011</v>
      </c>
    </row>
    <row r="13" spans="1:10" ht="11.25" customHeight="1" x14ac:dyDescent="0.2">
      <c r="A13" s="28">
        <v>44593</v>
      </c>
      <c r="B13" s="18">
        <v>97517.040000000008</v>
      </c>
      <c r="C13" s="18">
        <v>126722.03986852788</v>
      </c>
      <c r="D13" s="18">
        <v>174263.18734</v>
      </c>
      <c r="E13" s="18">
        <v>133834.82122206106</v>
      </c>
      <c r="F13" s="18">
        <v>504336.29619999998</v>
      </c>
      <c r="G13" s="18">
        <v>630445.10296595702</v>
      </c>
      <c r="H13" s="19">
        <v>-4.1295742369699684E-2</v>
      </c>
      <c r="I13" s="19">
        <v>0.25004904012688245</v>
      </c>
      <c r="J13" s="19">
        <v>0.14802602061934444</v>
      </c>
    </row>
    <row r="14" spans="1:10" ht="11.25" customHeight="1" x14ac:dyDescent="0.2">
      <c r="A14" s="28">
        <v>44621</v>
      </c>
      <c r="B14" s="18">
        <v>96287.28</v>
      </c>
      <c r="C14" s="18">
        <v>125123.98381854194</v>
      </c>
      <c r="D14" s="18">
        <v>185790.99707000001</v>
      </c>
      <c r="E14" s="18">
        <v>142688.22496066208</v>
      </c>
      <c r="F14" s="18">
        <v>537699.01010000007</v>
      </c>
      <c r="G14" s="18">
        <v>672150.13145267975</v>
      </c>
      <c r="H14" s="19">
        <v>-5.0574856167516113E-2</v>
      </c>
      <c r="I14" s="19">
        <v>0.25004904012688201</v>
      </c>
      <c r="J14" s="19">
        <v>0.14660695647812028</v>
      </c>
    </row>
    <row r="15" spans="1:10" ht="11.25" customHeight="1" x14ac:dyDescent="0.2">
      <c r="A15" s="28">
        <v>44652</v>
      </c>
      <c r="B15" s="18">
        <v>96287.28</v>
      </c>
      <c r="C15" s="18">
        <v>125123.98381854194</v>
      </c>
      <c r="D15" s="18">
        <v>185790.99707000001</v>
      </c>
      <c r="E15" s="18">
        <v>142688.22496066208</v>
      </c>
      <c r="F15" s="18">
        <v>537699.01010000007</v>
      </c>
      <c r="G15" s="18">
        <v>672150.13145267975</v>
      </c>
      <c r="H15" s="19">
        <v>-5.0574856167516113E-2</v>
      </c>
      <c r="I15" s="19">
        <v>0.25004904012688201</v>
      </c>
      <c r="J15" s="19">
        <v>0.14660695647812028</v>
      </c>
    </row>
    <row r="16" spans="1:10" ht="11.25" customHeight="1" x14ac:dyDescent="0.2">
      <c r="A16" s="28">
        <v>44682</v>
      </c>
      <c r="B16" s="18">
        <v>115963.44</v>
      </c>
      <c r="C16" s="18">
        <v>150692.88061831697</v>
      </c>
      <c r="D16" s="18">
        <v>227972.98475</v>
      </c>
      <c r="E16" s="18">
        <v>175084.15932934411</v>
      </c>
      <c r="F16" s="18">
        <v>659778.1925</v>
      </c>
      <c r="G16" s="18">
        <v>824755.09623127431</v>
      </c>
      <c r="H16" s="19">
        <v>-5.2798667124421494E-2</v>
      </c>
      <c r="I16" s="19">
        <v>0.25004904012688223</v>
      </c>
      <c r="J16" s="19">
        <v>0.146274166387244</v>
      </c>
    </row>
    <row r="17" spans="1:10" ht="11.25" customHeight="1" x14ac:dyDescent="0.2">
      <c r="A17" s="28">
        <v>44713</v>
      </c>
      <c r="B17" s="18">
        <v>94706.16</v>
      </c>
      <c r="C17" s="18">
        <v>123069.34032570287</v>
      </c>
      <c r="D17" s="18">
        <v>173478.79341000001</v>
      </c>
      <c r="E17" s="18">
        <v>133232.40356293492</v>
      </c>
      <c r="F17" s="18">
        <v>502066.17629999999</v>
      </c>
      <c r="G17" s="18">
        <v>627607.34176398907</v>
      </c>
      <c r="H17" s="19">
        <v>-4.4309754780295973E-2</v>
      </c>
      <c r="I17" s="19">
        <v>0.25004904012688223</v>
      </c>
      <c r="J17" s="19">
        <v>0.14755960953334668</v>
      </c>
    </row>
    <row r="18" spans="1:10" ht="11.25" customHeight="1" x14ac:dyDescent="0.2">
      <c r="A18" s="28">
        <v>44743</v>
      </c>
      <c r="B18" s="18">
        <v>95833.44</v>
      </c>
      <c r="C18" s="18">
        <v>124534.22503818996</v>
      </c>
      <c r="D18" s="18">
        <v>181298.51923000001</v>
      </c>
      <c r="E18" s="18">
        <v>139237.98410521745</v>
      </c>
      <c r="F18" s="18">
        <v>524697.29890000005</v>
      </c>
      <c r="G18" s="18">
        <v>655897.3548471129</v>
      </c>
      <c r="H18" s="19">
        <v>-4.8207179437954939E-2</v>
      </c>
      <c r="I18" s="19">
        <v>0.25004904012688223</v>
      </c>
      <c r="J18" s="19">
        <v>0.14696433768872885</v>
      </c>
    </row>
    <row r="19" spans="1:10" ht="11.25" customHeight="1" x14ac:dyDescent="0.2">
      <c r="A19" s="28">
        <v>44774</v>
      </c>
      <c r="B19" s="18">
        <v>99991.200000000012</v>
      </c>
      <c r="C19" s="18">
        <v>129937.17644528529</v>
      </c>
      <c r="D19" s="18">
        <v>193082.06190999999</v>
      </c>
      <c r="E19" s="18">
        <v>148287.79176690901</v>
      </c>
      <c r="F19" s="18">
        <v>558800.13130000001</v>
      </c>
      <c r="G19" s="18">
        <v>698527.56775434071</v>
      </c>
      <c r="H19" s="19">
        <v>-5.066410221470663E-2</v>
      </c>
      <c r="I19" s="19">
        <v>0.25004904012688223</v>
      </c>
      <c r="J19" s="19">
        <v>0.14659354752936893</v>
      </c>
    </row>
    <row r="20" spans="1:10" ht="11.25" customHeight="1" x14ac:dyDescent="0.2">
      <c r="A20" s="28">
        <v>44805</v>
      </c>
      <c r="B20" s="18">
        <v>98175.84</v>
      </c>
      <c r="C20" s="18">
        <v>127578.14132387747</v>
      </c>
      <c r="D20" s="18">
        <v>190282.33442000003</v>
      </c>
      <c r="E20" s="18">
        <v>146137.589915249</v>
      </c>
      <c r="F20" s="18">
        <v>550697.42060000007</v>
      </c>
      <c r="G20" s="18">
        <v>688398.78202137991</v>
      </c>
      <c r="H20" s="19">
        <v>-5.11077323792819E-2</v>
      </c>
      <c r="I20" s="19">
        <v>0.25004904012688201</v>
      </c>
      <c r="J20" s="19">
        <v>0.1465269599228205</v>
      </c>
    </row>
    <row r="21" spans="1:10" ht="11.25" customHeight="1" x14ac:dyDescent="0.2">
      <c r="A21" s="28">
        <v>44835</v>
      </c>
      <c r="B21" s="18">
        <v>98175.84</v>
      </c>
      <c r="C21" s="18">
        <v>127578.14132387747</v>
      </c>
      <c r="D21" s="18">
        <v>190282.33442000003</v>
      </c>
      <c r="E21" s="18">
        <v>146137.589915249</v>
      </c>
      <c r="F21" s="18">
        <v>550697.42060000007</v>
      </c>
      <c r="G21" s="18">
        <v>688398.78202137991</v>
      </c>
      <c r="H21" s="19">
        <v>-5.11077323792819E-2</v>
      </c>
      <c r="I21" s="19">
        <v>0.25004904012688201</v>
      </c>
      <c r="J21" s="19">
        <v>0.1465269599228205</v>
      </c>
    </row>
    <row r="22" spans="1:10" ht="11.25" customHeight="1" x14ac:dyDescent="0.2">
      <c r="A22" s="27" t="s">
        <v>34</v>
      </c>
      <c r="B22" s="18">
        <v>3009248</v>
      </c>
      <c r="C22" s="18">
        <v>3904585.0258868551</v>
      </c>
      <c r="D22" s="18">
        <v>221041.78836999999</v>
      </c>
      <c r="E22" s="18">
        <v>169760.97293219407</v>
      </c>
      <c r="F22" s="18">
        <v>1092913.4451299999</v>
      </c>
      <c r="G22" s="18">
        <v>1367733.2847382196</v>
      </c>
      <c r="H22" s="19">
        <v>0.26129426947634893</v>
      </c>
      <c r="I22" s="19">
        <v>0.25145617965705447</v>
      </c>
      <c r="J22" s="19">
        <v>0.25880718292104055</v>
      </c>
    </row>
    <row r="23" spans="1:10" ht="11.25" customHeight="1" x14ac:dyDescent="0.2">
      <c r="A23" s="28">
        <v>44501</v>
      </c>
      <c r="B23" s="18">
        <v>261580</v>
      </c>
      <c r="C23" s="18">
        <v>339407.50349305989</v>
      </c>
      <c r="D23" s="18">
        <v>16882.673470000002</v>
      </c>
      <c r="E23" s="18">
        <v>12965.960396440221</v>
      </c>
      <c r="F23" s="18">
        <v>83474.265029999995</v>
      </c>
      <c r="G23" s="18">
        <v>104464.38481412426</v>
      </c>
      <c r="H23" s="19">
        <v>0.26542440858761229</v>
      </c>
      <c r="I23" s="19">
        <v>0.25145617965705469</v>
      </c>
      <c r="J23" s="19">
        <v>0.26220288704692241</v>
      </c>
    </row>
    <row r="24" spans="1:10" ht="11.25" customHeight="1" x14ac:dyDescent="0.2">
      <c r="A24" s="28">
        <v>44531</v>
      </c>
      <c r="B24" s="18">
        <v>221408</v>
      </c>
      <c r="C24" s="18">
        <v>287283.18882709456</v>
      </c>
      <c r="D24" s="18">
        <v>19491.588210000002</v>
      </c>
      <c r="E24" s="18">
        <v>14969.617296909144</v>
      </c>
      <c r="F24" s="18">
        <v>96373.717290000001</v>
      </c>
      <c r="G24" s="18">
        <v>120607.48405909241</v>
      </c>
      <c r="H24" s="19">
        <v>0.25468378078139398</v>
      </c>
      <c r="I24" s="19">
        <v>0.25145617965705447</v>
      </c>
      <c r="J24" s="19">
        <v>0.2537615141412255</v>
      </c>
    </row>
    <row r="25" spans="1:10" ht="11.25" customHeight="1" x14ac:dyDescent="0.2">
      <c r="A25" s="28">
        <v>44562</v>
      </c>
      <c r="B25" s="18">
        <v>239888</v>
      </c>
      <c r="C25" s="18">
        <v>311261.51539851347</v>
      </c>
      <c r="D25" s="18">
        <v>17587.759480000001</v>
      </c>
      <c r="E25" s="18">
        <v>13507.469257462104</v>
      </c>
      <c r="F25" s="18">
        <v>86960.474519999989</v>
      </c>
      <c r="G25" s="18">
        <v>108827.22322396384</v>
      </c>
      <c r="H25" s="19">
        <v>0.26135751696346676</v>
      </c>
      <c r="I25" s="19">
        <v>0.25145617965705469</v>
      </c>
      <c r="J25" s="19">
        <v>0.25885770740351166</v>
      </c>
    </row>
    <row r="26" spans="1:10" ht="11.25" customHeight="1" x14ac:dyDescent="0.2">
      <c r="A26" s="28">
        <v>44593</v>
      </c>
      <c r="B26" s="18">
        <v>245388</v>
      </c>
      <c r="C26" s="18">
        <v>318397.92211619765</v>
      </c>
      <c r="D26" s="18">
        <v>17009.618780000001</v>
      </c>
      <c r="E26" s="18">
        <v>13063.454899600438</v>
      </c>
      <c r="F26" s="18">
        <v>84101.930219999995</v>
      </c>
      <c r="G26" s="18">
        <v>105249.88029490538</v>
      </c>
      <c r="H26" s="19">
        <v>0.26320268665891611</v>
      </c>
      <c r="I26" s="19">
        <v>0.25145617965705447</v>
      </c>
      <c r="J26" s="19">
        <v>0.26035158940626335</v>
      </c>
    </row>
    <row r="27" spans="1:10" ht="11.25" customHeight="1" x14ac:dyDescent="0.2">
      <c r="A27" s="28">
        <v>44621</v>
      </c>
      <c r="B27" s="18">
        <v>246576</v>
      </c>
      <c r="C27" s="18">
        <v>319939.3859672175</v>
      </c>
      <c r="D27" s="18">
        <v>18186.955379999999</v>
      </c>
      <c r="E27" s="18">
        <v>13967.654092696577</v>
      </c>
      <c r="F27" s="18">
        <v>89923.123619999998</v>
      </c>
      <c r="G27" s="18">
        <v>112534.84874831424</v>
      </c>
      <c r="H27" s="19">
        <v>0.26115467921362057</v>
      </c>
      <c r="I27" s="19">
        <v>0.25145617965705447</v>
      </c>
      <c r="J27" s="19">
        <v>0.25869583059736678</v>
      </c>
    </row>
    <row r="28" spans="1:10" ht="11.25" customHeight="1" x14ac:dyDescent="0.2">
      <c r="A28" s="28">
        <v>44652</v>
      </c>
      <c r="B28" s="18">
        <v>246576</v>
      </c>
      <c r="C28" s="18">
        <v>319939.3859672175</v>
      </c>
      <c r="D28" s="18">
        <v>18186.955379999999</v>
      </c>
      <c r="E28" s="18">
        <v>13967.654092696577</v>
      </c>
      <c r="F28" s="18">
        <v>89923.123619999998</v>
      </c>
      <c r="G28" s="18">
        <v>112534.84874831424</v>
      </c>
      <c r="H28" s="19">
        <v>0.26115467921362057</v>
      </c>
      <c r="I28" s="19">
        <v>0.25145617965705447</v>
      </c>
      <c r="J28" s="19">
        <v>0.25869583059736678</v>
      </c>
    </row>
    <row r="29" spans="1:10" ht="11.25" customHeight="1" x14ac:dyDescent="0.2">
      <c r="A29" s="28">
        <v>44682</v>
      </c>
      <c r="B29" s="18">
        <v>296164</v>
      </c>
      <c r="C29" s="18">
        <v>384281.2289338581</v>
      </c>
      <c r="D29" s="18">
        <v>22435.017440000003</v>
      </c>
      <c r="E29" s="18">
        <v>17230.182656638546</v>
      </c>
      <c r="F29" s="18">
        <v>110927.13455999999</v>
      </c>
      <c r="G29" s="18">
        <v>138820.44803676163</v>
      </c>
      <c r="H29" s="19">
        <v>0.26024058334113054</v>
      </c>
      <c r="I29" s="19">
        <v>0.25145617965705469</v>
      </c>
      <c r="J29" s="19">
        <v>0.25797197006821193</v>
      </c>
    </row>
    <row r="30" spans="1:10" ht="11.25" customHeight="1" x14ac:dyDescent="0.2">
      <c r="A30" s="28">
        <v>44713</v>
      </c>
      <c r="B30" s="18">
        <v>248424</v>
      </c>
      <c r="C30" s="18">
        <v>322337.21862435935</v>
      </c>
      <c r="D30" s="18">
        <v>17002.512650000001</v>
      </c>
      <c r="E30" s="18">
        <v>13057.997363487115</v>
      </c>
      <c r="F30" s="18">
        <v>84066.794849999991</v>
      </c>
      <c r="G30" s="18">
        <v>105205.90991899434</v>
      </c>
      <c r="H30" s="19">
        <v>0.26360856961606349</v>
      </c>
      <c r="I30" s="19">
        <v>0.25145617965705447</v>
      </c>
      <c r="J30" s="19">
        <v>0.2606854450477305</v>
      </c>
    </row>
    <row r="31" spans="1:10" ht="11.25" customHeight="1" x14ac:dyDescent="0.2">
      <c r="A31" s="28">
        <v>44743</v>
      </c>
      <c r="B31" s="18">
        <v>246708</v>
      </c>
      <c r="C31" s="18">
        <v>320110.65972844185</v>
      </c>
      <c r="D31" s="18">
        <v>16924.520680000001</v>
      </c>
      <c r="E31" s="18">
        <v>12998.099220218677</v>
      </c>
      <c r="F31" s="18">
        <v>83681.173320000002</v>
      </c>
      <c r="G31" s="18">
        <v>104723.32147226704</v>
      </c>
      <c r="H31" s="19">
        <v>0.26353440042016474</v>
      </c>
      <c r="I31" s="19">
        <v>0.25145617965705447</v>
      </c>
      <c r="J31" s="19">
        <v>0.26062429436176382</v>
      </c>
    </row>
    <row r="32" spans="1:10" ht="11.25" customHeight="1" x14ac:dyDescent="0.2">
      <c r="A32" s="28">
        <v>44774</v>
      </c>
      <c r="B32" s="18">
        <v>255992</v>
      </c>
      <c r="C32" s="18">
        <v>332156.91426789283</v>
      </c>
      <c r="D32" s="18">
        <v>19919.973800000003</v>
      </c>
      <c r="E32" s="18">
        <v>15298.619134456721</v>
      </c>
      <c r="F32" s="18">
        <v>98491.816200000001</v>
      </c>
      <c r="G32" s="18">
        <v>123258.1920291368</v>
      </c>
      <c r="H32" s="19">
        <v>0.25929849515776837</v>
      </c>
      <c r="I32" s="19">
        <v>0.25145617965705469</v>
      </c>
      <c r="J32" s="19">
        <v>0.25723547144511127</v>
      </c>
    </row>
    <row r="33" spans="1:10" ht="11.25" customHeight="1" x14ac:dyDescent="0.2">
      <c r="A33" s="28">
        <v>44805</v>
      </c>
      <c r="B33" s="18">
        <v>250272</v>
      </c>
      <c r="C33" s="18">
        <v>324735.05128150125</v>
      </c>
      <c r="D33" s="18">
        <v>18707.106549999997</v>
      </c>
      <c r="E33" s="18">
        <v>14367.132260793969</v>
      </c>
      <c r="F33" s="18">
        <v>92494.945949999994</v>
      </c>
      <c r="G33" s="18">
        <v>115753.37169617273</v>
      </c>
      <c r="H33" s="19">
        <v>0.26070083246135023</v>
      </c>
      <c r="I33" s="19">
        <v>0.25145617965705447</v>
      </c>
      <c r="J33" s="19">
        <v>0.25833528601189992</v>
      </c>
    </row>
    <row r="34" spans="1:10" ht="11.25" customHeight="1" x14ac:dyDescent="0.2">
      <c r="A34" s="28">
        <v>44835</v>
      </c>
      <c r="B34" s="18">
        <v>250272</v>
      </c>
      <c r="C34" s="18">
        <v>324735.05128150125</v>
      </c>
      <c r="D34" s="18">
        <v>18707.106549999997</v>
      </c>
      <c r="E34" s="18">
        <v>14367.132260793969</v>
      </c>
      <c r="F34" s="18">
        <v>92494.945949999994</v>
      </c>
      <c r="G34" s="18">
        <v>115753.37169617273</v>
      </c>
      <c r="H34" s="19">
        <v>0.26070083246135023</v>
      </c>
      <c r="I34" s="19">
        <v>0.25145617965705447</v>
      </c>
      <c r="J34" s="19">
        <v>0.25833528601189992</v>
      </c>
    </row>
    <row r="35" spans="1:10" ht="11.25" customHeight="1" x14ac:dyDescent="0.2">
      <c r="A35" s="23" t="s">
        <v>51</v>
      </c>
      <c r="B35" s="18">
        <v>12803.76</v>
      </c>
      <c r="C35" s="18">
        <v>16629.26416597543</v>
      </c>
      <c r="D35" s="18">
        <v>9082.5114400000002</v>
      </c>
      <c r="E35" s="18">
        <v>6975.4049227166179</v>
      </c>
      <c r="F35" s="18">
        <v>27023.765809999997</v>
      </c>
      <c r="G35" s="18">
        <v>33783.536879676314</v>
      </c>
      <c r="H35" s="19">
        <v>7.8514865056066752E-2</v>
      </c>
      <c r="I35" s="19">
        <v>0.25014171293531939</v>
      </c>
      <c r="J35" s="19">
        <v>0.17334210307452524</v>
      </c>
    </row>
    <row r="36" spans="1:10" ht="11.25" customHeight="1" x14ac:dyDescent="0.2">
      <c r="A36" s="24" t="s">
        <v>25</v>
      </c>
      <c r="B36" s="18">
        <v>12803.76</v>
      </c>
      <c r="C36" s="18">
        <v>16629.26416597543</v>
      </c>
      <c r="D36" s="18">
        <v>9082.5114400000002</v>
      </c>
      <c r="E36" s="18">
        <v>6975.4049227166179</v>
      </c>
      <c r="F36" s="18">
        <v>27023.765809999997</v>
      </c>
      <c r="G36" s="18">
        <v>33783.536879676314</v>
      </c>
      <c r="H36" s="19">
        <v>7.8514865056066752E-2</v>
      </c>
      <c r="I36" s="19">
        <v>0.25014171293531939</v>
      </c>
      <c r="J36" s="19">
        <v>0.17334210307452524</v>
      </c>
    </row>
    <row r="37" spans="1:10" ht="11.25" customHeight="1" x14ac:dyDescent="0.2">
      <c r="A37" s="25" t="s">
        <v>25</v>
      </c>
      <c r="B37" s="18">
        <v>12803.76</v>
      </c>
      <c r="C37" s="18">
        <v>16629.26416597543</v>
      </c>
      <c r="D37" s="18">
        <v>9082.5114400000002</v>
      </c>
      <c r="E37" s="18">
        <v>6975.4049227166179</v>
      </c>
      <c r="F37" s="18">
        <v>27023.765809999997</v>
      </c>
      <c r="G37" s="18">
        <v>33783.536879676314</v>
      </c>
      <c r="H37" s="19">
        <v>7.8514865056066752E-2</v>
      </c>
      <c r="I37" s="19">
        <v>0.25014171293531939</v>
      </c>
      <c r="J37" s="19">
        <v>0.17334210307452524</v>
      </c>
    </row>
    <row r="38" spans="1:10" ht="11.25" customHeight="1" x14ac:dyDescent="0.2">
      <c r="A38" s="26" t="s">
        <v>25</v>
      </c>
      <c r="B38" s="18">
        <v>12803.76</v>
      </c>
      <c r="C38" s="18">
        <v>16629.26416597543</v>
      </c>
      <c r="D38" s="18">
        <v>9082.5114400000002</v>
      </c>
      <c r="E38" s="18">
        <v>6975.4049227166179</v>
      </c>
      <c r="F38" s="18">
        <v>27023.765809999997</v>
      </c>
      <c r="G38" s="18">
        <v>33783.536879676314</v>
      </c>
      <c r="H38" s="19">
        <v>7.8514865056066752E-2</v>
      </c>
      <c r="I38" s="19">
        <v>0.25014171293531939</v>
      </c>
      <c r="J38" s="19">
        <v>0.17334210307452524</v>
      </c>
    </row>
    <row r="39" spans="1:10" ht="11.25" customHeight="1" x14ac:dyDescent="0.2">
      <c r="A39" s="27" t="s">
        <v>35</v>
      </c>
      <c r="B39" s="18">
        <v>8183.76</v>
      </c>
      <c r="C39" s="18">
        <v>10634.682523120711</v>
      </c>
      <c r="D39" s="18">
        <v>8722.5552499999994</v>
      </c>
      <c r="E39" s="18">
        <v>6698.9571366306682</v>
      </c>
      <c r="F39" s="18">
        <v>25244.007499999996</v>
      </c>
      <c r="G39" s="18">
        <v>31556.247344330812</v>
      </c>
      <c r="H39" s="19">
        <v>2.527602280167951E-2</v>
      </c>
      <c r="I39" s="19">
        <v>0.25004904012688223</v>
      </c>
      <c r="J39" s="19">
        <v>0.15989353851583976</v>
      </c>
    </row>
    <row r="40" spans="1:10" ht="11.25" customHeight="1" x14ac:dyDescent="0.2">
      <c r="A40" s="28">
        <v>44501</v>
      </c>
      <c r="B40" s="18">
        <v>732</v>
      </c>
      <c r="C40" s="18">
        <v>951.22383927734472</v>
      </c>
      <c r="D40" s="18">
        <v>674.55597</v>
      </c>
      <c r="E40" s="18">
        <v>518.06166883131209</v>
      </c>
      <c r="F40" s="18">
        <v>1952.2371000000001</v>
      </c>
      <c r="G40" s="18">
        <v>2440.3921129550881</v>
      </c>
      <c r="H40" s="19">
        <v>4.4597967977525244E-2</v>
      </c>
      <c r="I40" s="19">
        <v>0.25004904012688223</v>
      </c>
      <c r="J40" s="19">
        <v>0.16401264965803475</v>
      </c>
    </row>
    <row r="41" spans="1:10" ht="11.25" customHeight="1" x14ac:dyDescent="0.2">
      <c r="A41" s="28">
        <v>44531</v>
      </c>
      <c r="B41" s="18">
        <v>688.08</v>
      </c>
      <c r="C41" s="18">
        <v>894.15040892070408</v>
      </c>
      <c r="D41" s="18">
        <v>702.98049000000003</v>
      </c>
      <c r="E41" s="18">
        <v>539.89181328460188</v>
      </c>
      <c r="F41" s="18">
        <v>2034.5007000000001</v>
      </c>
      <c r="G41" s="18">
        <v>2543.22564717247</v>
      </c>
      <c r="H41" s="19">
        <v>3.0898535695817131E-2</v>
      </c>
      <c r="I41" s="19">
        <v>0.25004904012688223</v>
      </c>
      <c r="J41" s="19">
        <v>0.16105585297624647</v>
      </c>
    </row>
    <row r="42" spans="1:10" ht="11.25" customHeight="1" x14ac:dyDescent="0.2">
      <c r="A42" s="28">
        <v>44562</v>
      </c>
      <c r="B42" s="18">
        <v>673.44</v>
      </c>
      <c r="C42" s="18">
        <v>875.1259321351572</v>
      </c>
      <c r="D42" s="18">
        <v>757.81173999999999</v>
      </c>
      <c r="E42" s="18">
        <v>582.00243144295405</v>
      </c>
      <c r="F42" s="18">
        <v>2193.1882000000001</v>
      </c>
      <c r="G42" s="18">
        <v>2741.5928042276046</v>
      </c>
      <c r="H42" s="19">
        <v>1.8079715017926157E-2</v>
      </c>
      <c r="I42" s="19">
        <v>0.25004904012688223</v>
      </c>
      <c r="J42" s="19">
        <v>0.15844688760540349</v>
      </c>
    </row>
    <row r="43" spans="1:10" ht="11.25" customHeight="1" x14ac:dyDescent="0.2">
      <c r="A43" s="28">
        <v>44593</v>
      </c>
      <c r="B43" s="18">
        <v>717.36</v>
      </c>
      <c r="C43" s="18">
        <v>932.19936249179784</v>
      </c>
      <c r="D43" s="18">
        <v>744.03813000000002</v>
      </c>
      <c r="E43" s="18">
        <v>571.42424416157598</v>
      </c>
      <c r="F43" s="18">
        <v>2153.3258999999998</v>
      </c>
      <c r="G43" s="18">
        <v>2691.7629743753546</v>
      </c>
      <c r="H43" s="19">
        <v>2.889388988979591E-2</v>
      </c>
      <c r="I43" s="19">
        <v>0.25004904012688223</v>
      </c>
      <c r="J43" s="19">
        <v>0.16063814172522828</v>
      </c>
    </row>
    <row r="44" spans="1:10" ht="11.25" customHeight="1" x14ac:dyDescent="0.2">
      <c r="A44" s="28">
        <v>44621</v>
      </c>
      <c r="B44" s="18">
        <v>688.08</v>
      </c>
      <c r="C44" s="18">
        <v>894.15040892070408</v>
      </c>
      <c r="D44" s="18">
        <v>755.61848999999995</v>
      </c>
      <c r="E44" s="18">
        <v>580.31800671661995</v>
      </c>
      <c r="F44" s="18">
        <v>2186.8406999999997</v>
      </c>
      <c r="G44" s="18">
        <v>2733.6581179453992</v>
      </c>
      <c r="H44" s="19">
        <v>2.1313263018875928E-2</v>
      </c>
      <c r="I44" s="19">
        <v>0.25004904012688245</v>
      </c>
      <c r="J44" s="19">
        <v>0.15909133970337974</v>
      </c>
    </row>
    <row r="45" spans="1:10" ht="11.25" customHeight="1" x14ac:dyDescent="0.2">
      <c r="A45" s="28">
        <v>44652</v>
      </c>
      <c r="B45" s="18">
        <v>688.08</v>
      </c>
      <c r="C45" s="18">
        <v>894.15040892070408</v>
      </c>
      <c r="D45" s="18">
        <v>755.61848999999995</v>
      </c>
      <c r="E45" s="18">
        <v>580.31800671661995</v>
      </c>
      <c r="F45" s="18">
        <v>2186.8406999999997</v>
      </c>
      <c r="G45" s="18">
        <v>2733.6581179453992</v>
      </c>
      <c r="H45" s="19">
        <v>2.1313263018875928E-2</v>
      </c>
      <c r="I45" s="19">
        <v>0.25004904012688245</v>
      </c>
      <c r="J45" s="19">
        <v>0.15909133970337974</v>
      </c>
    </row>
    <row r="46" spans="1:10" ht="11.25" customHeight="1" x14ac:dyDescent="0.2">
      <c r="A46" s="28">
        <v>44682</v>
      </c>
      <c r="B46" s="18">
        <v>614.88</v>
      </c>
      <c r="C46" s="18">
        <v>799.02802499296956</v>
      </c>
      <c r="D46" s="18">
        <v>668.76579000000004</v>
      </c>
      <c r="E46" s="18">
        <v>513.61478755379005</v>
      </c>
      <c r="F46" s="18">
        <v>1935.4797000000001</v>
      </c>
      <c r="G46" s="18">
        <v>2419.4445411700663</v>
      </c>
      <c r="H46" s="19">
        <v>2.258958255669552E-2</v>
      </c>
      <c r="I46" s="19">
        <v>0.25004904012688223</v>
      </c>
      <c r="J46" s="19">
        <v>0.15934820351375167</v>
      </c>
    </row>
    <row r="47" spans="1:10" ht="11.25" customHeight="1" x14ac:dyDescent="0.2">
      <c r="A47" s="28">
        <v>44713</v>
      </c>
      <c r="B47" s="18">
        <v>556.32000000000005</v>
      </c>
      <c r="C47" s="18">
        <v>722.93011785078204</v>
      </c>
      <c r="D47" s="18">
        <v>574.01739000000009</v>
      </c>
      <c r="E47" s="18">
        <v>440.84763937615747</v>
      </c>
      <c r="F47" s="18">
        <v>1661.2677000000001</v>
      </c>
      <c r="G47" s="18">
        <v>2076.6660937787933</v>
      </c>
      <c r="H47" s="19">
        <v>2.9584412161168361E-2</v>
      </c>
      <c r="I47" s="19">
        <v>0.25004904012688223</v>
      </c>
      <c r="J47" s="19">
        <v>0.16078161005421165</v>
      </c>
    </row>
    <row r="48" spans="1:10" ht="11.25" customHeight="1" x14ac:dyDescent="0.2">
      <c r="A48" s="28">
        <v>44743</v>
      </c>
      <c r="B48" s="18">
        <v>614.88</v>
      </c>
      <c r="C48" s="18">
        <v>799.02802499296956</v>
      </c>
      <c r="D48" s="18">
        <v>688.41731000000004</v>
      </c>
      <c r="E48" s="18">
        <v>528.70723310174355</v>
      </c>
      <c r="F48" s="18">
        <v>1992.3533000000002</v>
      </c>
      <c r="G48" s="18">
        <v>2490.5393302586263</v>
      </c>
      <c r="H48" s="19">
        <v>1.8750862069003338E-2</v>
      </c>
      <c r="I48" s="19">
        <v>0.25004904012688201</v>
      </c>
      <c r="J48" s="19">
        <v>0.15857991037264085</v>
      </c>
    </row>
    <row r="49" spans="1:10" ht="11.25" customHeight="1" x14ac:dyDescent="0.2">
      <c r="A49" s="28">
        <v>44774</v>
      </c>
      <c r="B49" s="18">
        <v>717.36</v>
      </c>
      <c r="C49" s="18">
        <v>932.19936249179784</v>
      </c>
      <c r="D49" s="18">
        <v>789.30681000000004</v>
      </c>
      <c r="E49" s="18">
        <v>606.1907705131116</v>
      </c>
      <c r="F49" s="18">
        <v>2284.3382999999999</v>
      </c>
      <c r="G49" s="18">
        <v>2855.5348992400741</v>
      </c>
      <c r="H49" s="19">
        <v>2.1055300876315908E-2</v>
      </c>
      <c r="I49" s="19">
        <v>0.25004904012688245</v>
      </c>
      <c r="J49" s="19">
        <v>0.15903959629455189</v>
      </c>
    </row>
    <row r="50" spans="1:10" ht="11.25" customHeight="1" x14ac:dyDescent="0.2">
      <c r="A50" s="28">
        <v>44805</v>
      </c>
      <c r="B50" s="18">
        <v>746.64</v>
      </c>
      <c r="C50" s="18">
        <v>970.2483160628916</v>
      </c>
      <c r="D50" s="18">
        <v>805.71231999999998</v>
      </c>
      <c r="E50" s="18">
        <v>618.79026746609054</v>
      </c>
      <c r="F50" s="18">
        <v>2331.8175999999999</v>
      </c>
      <c r="G50" s="18">
        <v>2914.8863526309701</v>
      </c>
      <c r="H50" s="19">
        <v>2.3632691532926131E-2</v>
      </c>
      <c r="I50" s="19">
        <v>0.25004904012688223</v>
      </c>
      <c r="J50" s="19">
        <v>0.15955919254942175</v>
      </c>
    </row>
    <row r="51" spans="1:10" ht="11.25" customHeight="1" x14ac:dyDescent="0.2">
      <c r="A51" s="28">
        <v>44835</v>
      </c>
      <c r="B51" s="18">
        <v>746.64</v>
      </c>
      <c r="C51" s="18">
        <v>970.2483160628916</v>
      </c>
      <c r="D51" s="18">
        <v>805.71231999999998</v>
      </c>
      <c r="E51" s="18">
        <v>618.79026746609054</v>
      </c>
      <c r="F51" s="18">
        <v>2331.8175999999999</v>
      </c>
      <c r="G51" s="18">
        <v>2914.8863526309701</v>
      </c>
      <c r="H51" s="19">
        <v>2.3632691532926131E-2</v>
      </c>
      <c r="I51" s="19">
        <v>0.25004904012688223</v>
      </c>
      <c r="J51" s="19">
        <v>0.15955919254942175</v>
      </c>
    </row>
    <row r="52" spans="1:10" ht="11.25" customHeight="1" x14ac:dyDescent="0.2">
      <c r="A52" s="27" t="s">
        <v>34</v>
      </c>
      <c r="B52" s="18">
        <v>4620</v>
      </c>
      <c r="C52" s="18">
        <v>5994.5816428547168</v>
      </c>
      <c r="D52" s="18">
        <v>359.95618999999999</v>
      </c>
      <c r="E52" s="18">
        <v>276.4477860859505</v>
      </c>
      <c r="F52" s="18">
        <v>1779.7583099999997</v>
      </c>
      <c r="G52" s="18">
        <v>2227.289535345496</v>
      </c>
      <c r="H52" s="19">
        <v>0.25925393511155925</v>
      </c>
      <c r="I52" s="19">
        <v>0.25145617965705491</v>
      </c>
      <c r="J52" s="19">
        <v>0.25720087206141073</v>
      </c>
    </row>
    <row r="53" spans="1:10" ht="11.25" customHeight="1" x14ac:dyDescent="0.2">
      <c r="A53" s="28">
        <v>44501</v>
      </c>
      <c r="B53" s="18">
        <v>220</v>
      </c>
      <c r="C53" s="18">
        <v>285.45626870736749</v>
      </c>
      <c r="D53" s="18">
        <v>26.669920000000001</v>
      </c>
      <c r="E53" s="18">
        <v>20.482604672222507</v>
      </c>
      <c r="F53" s="18">
        <v>131.86607999999998</v>
      </c>
      <c r="G53" s="18">
        <v>165.02462070315153</v>
      </c>
      <c r="H53" s="19">
        <v>0.24027637167754379</v>
      </c>
      <c r="I53" s="19">
        <v>0.25145617965705469</v>
      </c>
      <c r="J53" s="19">
        <v>0.24417094829221431</v>
      </c>
    </row>
    <row r="54" spans="1:10" ht="11.25" customHeight="1" x14ac:dyDescent="0.2">
      <c r="A54" s="28">
        <v>44531</v>
      </c>
      <c r="B54" s="18">
        <v>264</v>
      </c>
      <c r="C54" s="18">
        <v>342.54752244884094</v>
      </c>
      <c r="D54" s="18">
        <v>30.091390000000004</v>
      </c>
      <c r="E54" s="18">
        <v>23.110307245303687</v>
      </c>
      <c r="F54" s="18">
        <v>148.78310999999999</v>
      </c>
      <c r="G54" s="18">
        <v>186.19554243809532</v>
      </c>
      <c r="H54" s="19">
        <v>0.24334761957548179</v>
      </c>
      <c r="I54" s="19">
        <v>0.25145617965705469</v>
      </c>
      <c r="J54" s="19">
        <v>0.24607167974728728</v>
      </c>
    </row>
    <row r="55" spans="1:10" ht="11.25" customHeight="1" x14ac:dyDescent="0.2">
      <c r="A55" s="28">
        <v>44562</v>
      </c>
      <c r="B55" s="18">
        <v>352</v>
      </c>
      <c r="C55" s="18">
        <v>456.73002993178795</v>
      </c>
      <c r="D55" s="18">
        <v>30.003660000000004</v>
      </c>
      <c r="E55" s="18">
        <v>23.042930256250326</v>
      </c>
      <c r="F55" s="18">
        <v>148.34934000000001</v>
      </c>
      <c r="G55" s="18">
        <v>185.65269829104548</v>
      </c>
      <c r="H55" s="19">
        <v>0.25593812422644913</v>
      </c>
      <c r="I55" s="19">
        <v>0.25145617965705447</v>
      </c>
      <c r="J55" s="19">
        <v>0.25468444315217154</v>
      </c>
    </row>
    <row r="56" spans="1:10" ht="11.25" customHeight="1" x14ac:dyDescent="0.2">
      <c r="A56" s="28">
        <v>44593</v>
      </c>
      <c r="B56" s="18">
        <v>440</v>
      </c>
      <c r="C56" s="18">
        <v>570.91253741473497</v>
      </c>
      <c r="D56" s="18">
        <v>31.582799999999999</v>
      </c>
      <c r="E56" s="18">
        <v>24.255716059210865</v>
      </c>
      <c r="F56" s="18">
        <v>156.15719999999999</v>
      </c>
      <c r="G56" s="18">
        <v>195.42389293794258</v>
      </c>
      <c r="H56" s="19">
        <v>0.26206522687838874</v>
      </c>
      <c r="I56" s="19">
        <v>0.25145617965705447</v>
      </c>
      <c r="J56" s="19">
        <v>0.25942611019193995</v>
      </c>
    </row>
    <row r="57" spans="1:10" ht="11.25" customHeight="1" x14ac:dyDescent="0.2">
      <c r="A57" s="28">
        <v>44621</v>
      </c>
      <c r="B57" s="18">
        <v>616</v>
      </c>
      <c r="C57" s="18">
        <v>799.27755238062889</v>
      </c>
      <c r="D57" s="18">
        <v>35.618380000000002</v>
      </c>
      <c r="E57" s="18">
        <v>27.355057555665589</v>
      </c>
      <c r="F57" s="18">
        <v>176.11062000000001</v>
      </c>
      <c r="G57" s="18">
        <v>220.39472370223527</v>
      </c>
      <c r="H57" s="19">
        <v>0.26858393702199512</v>
      </c>
      <c r="I57" s="19">
        <v>0.25145617965705447</v>
      </c>
      <c r="J57" s="19">
        <v>0.26493977332983332</v>
      </c>
    </row>
    <row r="58" spans="1:10" ht="11.25" customHeight="1" x14ac:dyDescent="0.2">
      <c r="A58" s="28">
        <v>44652</v>
      </c>
      <c r="B58" s="18">
        <v>616</v>
      </c>
      <c r="C58" s="18">
        <v>799.27755238062889</v>
      </c>
      <c r="D58" s="18">
        <v>35.618380000000002</v>
      </c>
      <c r="E58" s="18">
        <v>27.355057555665589</v>
      </c>
      <c r="F58" s="18">
        <v>176.11062000000001</v>
      </c>
      <c r="G58" s="18">
        <v>220.39472370223527</v>
      </c>
      <c r="H58" s="19">
        <v>0.26858393702199512</v>
      </c>
      <c r="I58" s="19">
        <v>0.25145617965705447</v>
      </c>
      <c r="J58" s="19">
        <v>0.26493977332983332</v>
      </c>
    </row>
    <row r="59" spans="1:10" ht="11.25" customHeight="1" x14ac:dyDescent="0.2">
      <c r="A59" s="28">
        <v>44682</v>
      </c>
      <c r="B59" s="18">
        <v>352</v>
      </c>
      <c r="C59" s="18">
        <v>456.73002993178795</v>
      </c>
      <c r="D59" s="18">
        <v>27.371760000000002</v>
      </c>
      <c r="E59" s="18">
        <v>21.021620584649416</v>
      </c>
      <c r="F59" s="18">
        <v>135.33624</v>
      </c>
      <c r="G59" s="18">
        <v>169.36737387955026</v>
      </c>
      <c r="H59" s="19">
        <v>0.25932317818394646</v>
      </c>
      <c r="I59" s="19">
        <v>0.25145617965705447</v>
      </c>
      <c r="J59" s="19">
        <v>0.25725464612166071</v>
      </c>
    </row>
    <row r="60" spans="1:10" ht="11.25" customHeight="1" x14ac:dyDescent="0.2">
      <c r="A60" s="28">
        <v>44713</v>
      </c>
      <c r="B60" s="18">
        <v>352</v>
      </c>
      <c r="C60" s="18">
        <v>456.73002993178795</v>
      </c>
      <c r="D60" s="18">
        <v>25.704889999999999</v>
      </c>
      <c r="E60" s="18">
        <v>19.741457792635508</v>
      </c>
      <c r="F60" s="18">
        <v>127.09460999999999</v>
      </c>
      <c r="G60" s="18">
        <v>159.05333508560327</v>
      </c>
      <c r="H60" s="19">
        <v>0.26149144567448812</v>
      </c>
      <c r="I60" s="19">
        <v>0.25145617965705447</v>
      </c>
      <c r="J60" s="19">
        <v>0.25896484210072868</v>
      </c>
    </row>
    <row r="61" spans="1:10" ht="11.25" customHeight="1" x14ac:dyDescent="0.2">
      <c r="A61" s="28">
        <v>44743</v>
      </c>
      <c r="B61" s="18">
        <v>308</v>
      </c>
      <c r="C61" s="18">
        <v>399.63877619031445</v>
      </c>
      <c r="D61" s="18">
        <v>26.143540000000002</v>
      </c>
      <c r="E61" s="18">
        <v>20.078342737902329</v>
      </c>
      <c r="F61" s="18">
        <v>129.26345999999998</v>
      </c>
      <c r="G61" s="18">
        <v>161.76755582085249</v>
      </c>
      <c r="H61" s="19">
        <v>0.25609825923379148</v>
      </c>
      <c r="I61" s="19">
        <v>0.25145617965705491</v>
      </c>
      <c r="J61" s="19">
        <v>0.25480339043016031</v>
      </c>
    </row>
    <row r="62" spans="1:10" ht="11.25" customHeight="1" x14ac:dyDescent="0.2">
      <c r="A62" s="28">
        <v>44774</v>
      </c>
      <c r="B62" s="18">
        <v>308</v>
      </c>
      <c r="C62" s="18">
        <v>399.63877619031445</v>
      </c>
      <c r="D62" s="18">
        <v>30.793230000000001</v>
      </c>
      <c r="E62" s="18">
        <v>23.649323157730592</v>
      </c>
      <c r="F62" s="18">
        <v>152.25326999999999</v>
      </c>
      <c r="G62" s="18">
        <v>190.53829561449402</v>
      </c>
      <c r="H62" s="19">
        <v>0.24939952120071895</v>
      </c>
      <c r="I62" s="19">
        <v>0.25145617965705447</v>
      </c>
      <c r="J62" s="19">
        <v>0.25003720617607317</v>
      </c>
    </row>
    <row r="63" spans="1:10" ht="11.25" customHeight="1" x14ac:dyDescent="0.2">
      <c r="A63" s="28">
        <v>44805</v>
      </c>
      <c r="B63" s="18">
        <v>396</v>
      </c>
      <c r="C63" s="18">
        <v>513.82128367326141</v>
      </c>
      <c r="D63" s="18">
        <v>30.179119999999998</v>
      </c>
      <c r="E63" s="18">
        <v>23.177684234357049</v>
      </c>
      <c r="F63" s="18">
        <v>149.21687999999997</v>
      </c>
      <c r="G63" s="18">
        <v>186.73838658514515</v>
      </c>
      <c r="H63" s="19">
        <v>0.26003115288148893</v>
      </c>
      <c r="I63" s="19">
        <v>0.25145617965705469</v>
      </c>
      <c r="J63" s="19">
        <v>0.25780741349047198</v>
      </c>
    </row>
    <row r="64" spans="1:10" ht="11.25" customHeight="1" x14ac:dyDescent="0.2">
      <c r="A64" s="28">
        <v>44835</v>
      </c>
      <c r="B64" s="18">
        <v>396</v>
      </c>
      <c r="C64" s="18">
        <v>513.82128367326141</v>
      </c>
      <c r="D64" s="18">
        <v>30.179119999999998</v>
      </c>
      <c r="E64" s="18">
        <v>23.177684234357049</v>
      </c>
      <c r="F64" s="18">
        <v>149.21687999999997</v>
      </c>
      <c r="G64" s="18">
        <v>186.73838658514515</v>
      </c>
      <c r="H64" s="19">
        <v>0.26003115288148893</v>
      </c>
      <c r="I64" s="19">
        <v>0.25145617965705469</v>
      </c>
      <c r="J64" s="19">
        <v>0.25780741349047198</v>
      </c>
    </row>
    <row r="65" spans="1:10" ht="11.25" customHeight="1" x14ac:dyDescent="0.2">
      <c r="A65" s="23" t="s">
        <v>38</v>
      </c>
      <c r="B65" s="18">
        <v>174029.04</v>
      </c>
      <c r="C65" s="18">
        <v>225892.49937418068</v>
      </c>
      <c r="D65" s="18">
        <v>130611.80989</v>
      </c>
      <c r="E65" s="18">
        <v>100310.38966372421</v>
      </c>
      <c r="F65" s="18">
        <v>400714.20941999997</v>
      </c>
      <c r="G65" s="18">
        <v>500989.4763458157</v>
      </c>
      <c r="H65" s="19">
        <v>7.077855499579444E-2</v>
      </c>
      <c r="I65" s="19">
        <v>0.25024135548114379</v>
      </c>
      <c r="J65" s="19">
        <v>0.17273188086707103</v>
      </c>
    </row>
    <row r="66" spans="1:10" ht="11.25" customHeight="1" x14ac:dyDescent="0.2">
      <c r="A66" s="24" t="s">
        <v>25</v>
      </c>
      <c r="B66" s="18">
        <v>174029.04</v>
      </c>
      <c r="C66" s="18">
        <v>225892.49937418068</v>
      </c>
      <c r="D66" s="18">
        <v>130611.80989</v>
      </c>
      <c r="E66" s="18">
        <v>100310.38966372421</v>
      </c>
      <c r="F66" s="18">
        <v>400714.20941999997</v>
      </c>
      <c r="G66" s="18">
        <v>500989.4763458157</v>
      </c>
      <c r="H66" s="19">
        <v>7.077855499579444E-2</v>
      </c>
      <c r="I66" s="19">
        <v>0.25024135548114379</v>
      </c>
      <c r="J66" s="19">
        <v>0.17273188086707103</v>
      </c>
    </row>
    <row r="67" spans="1:10" ht="11.25" customHeight="1" x14ac:dyDescent="0.2">
      <c r="A67" s="25" t="s">
        <v>25</v>
      </c>
      <c r="B67" s="18">
        <v>174029.04</v>
      </c>
      <c r="C67" s="18">
        <v>225892.49937418068</v>
      </c>
      <c r="D67" s="18">
        <v>130611.80989</v>
      </c>
      <c r="E67" s="18">
        <v>100310.38966372421</v>
      </c>
      <c r="F67" s="18">
        <v>400714.20941999997</v>
      </c>
      <c r="G67" s="18">
        <v>500989.4763458157</v>
      </c>
      <c r="H67" s="19">
        <v>7.077855499579444E-2</v>
      </c>
      <c r="I67" s="19">
        <v>0.25024135548114379</v>
      </c>
      <c r="J67" s="19">
        <v>0.17273188086707103</v>
      </c>
    </row>
    <row r="68" spans="1:10" ht="11.25" customHeight="1" x14ac:dyDescent="0.2">
      <c r="A68" s="26" t="s">
        <v>25</v>
      </c>
      <c r="B68" s="18">
        <v>174029.04</v>
      </c>
      <c r="C68" s="18">
        <v>225892.49937418068</v>
      </c>
      <c r="D68" s="18">
        <v>130611.80989</v>
      </c>
      <c r="E68" s="18">
        <v>100310.38966372421</v>
      </c>
      <c r="F68" s="18">
        <v>400714.20941999997</v>
      </c>
      <c r="G68" s="18">
        <v>500989.4763458157</v>
      </c>
      <c r="H68" s="19">
        <v>7.077855499579444E-2</v>
      </c>
      <c r="I68" s="19">
        <v>0.25024135548114379</v>
      </c>
      <c r="J68" s="19">
        <v>0.17273188086707103</v>
      </c>
    </row>
    <row r="69" spans="1:10" ht="11.25" customHeight="1" x14ac:dyDescent="0.2">
      <c r="A69" s="27" t="s">
        <v>35</v>
      </c>
      <c r="B69" s="18">
        <v>43349.040000000008</v>
      </c>
      <c r="C69" s="18">
        <v>56331.475762004353</v>
      </c>
      <c r="D69" s="18">
        <v>119535.37100999999</v>
      </c>
      <c r="E69" s="18">
        <v>91803.64053380274</v>
      </c>
      <c r="F69" s="18">
        <v>345948.14430000004</v>
      </c>
      <c r="G69" s="18">
        <v>432452.14571589109</v>
      </c>
      <c r="H69" s="19">
        <v>-9.0550683289681966E-2</v>
      </c>
      <c r="I69" s="19">
        <v>0.25004904012688201</v>
      </c>
      <c r="J69" s="19">
        <v>0.14101830936894855</v>
      </c>
    </row>
    <row r="70" spans="1:10" ht="11.25" customHeight="1" x14ac:dyDescent="0.2">
      <c r="A70" s="28">
        <v>44501</v>
      </c>
      <c r="B70" s="18">
        <v>3645.36</v>
      </c>
      <c r="C70" s="18">
        <v>4737.0947196011766</v>
      </c>
      <c r="D70" s="18">
        <v>11537.810949999999</v>
      </c>
      <c r="E70" s="18">
        <v>8861.0847153531013</v>
      </c>
      <c r="F70" s="18">
        <v>33391.658499999998</v>
      </c>
      <c r="G70" s="18">
        <v>41741.210656169642</v>
      </c>
      <c r="H70" s="19">
        <v>-0.10439133697863834</v>
      </c>
      <c r="I70" s="19">
        <v>0.25004904012688223</v>
      </c>
      <c r="J70" s="19">
        <v>0.13926061537873125</v>
      </c>
    </row>
    <row r="71" spans="1:10" ht="11.25" customHeight="1" x14ac:dyDescent="0.2">
      <c r="A71" s="28">
        <v>44531</v>
      </c>
      <c r="B71" s="18">
        <v>4245.6000000000004</v>
      </c>
      <c r="C71" s="18">
        <v>5517.0982678085993</v>
      </c>
      <c r="D71" s="18">
        <v>12578.28875</v>
      </c>
      <c r="E71" s="18">
        <v>9660.1758055259943</v>
      </c>
      <c r="F71" s="18">
        <v>36402.912499999999</v>
      </c>
      <c r="G71" s="18">
        <v>45505.425828447886</v>
      </c>
      <c r="H71" s="19">
        <v>-9.7873607055646183E-2</v>
      </c>
      <c r="I71" s="19">
        <v>0.25004904012688245</v>
      </c>
      <c r="J71" s="19">
        <v>0.14007790204718495</v>
      </c>
    </row>
    <row r="72" spans="1:10" ht="11.25" customHeight="1" x14ac:dyDescent="0.2">
      <c r="A72" s="28">
        <v>44562</v>
      </c>
      <c r="B72" s="18">
        <v>4318.8</v>
      </c>
      <c r="C72" s="18">
        <v>5612.2206517363338</v>
      </c>
      <c r="D72" s="18">
        <v>11851.88435</v>
      </c>
      <c r="E72" s="18">
        <v>9102.2943361641446</v>
      </c>
      <c r="F72" s="18">
        <v>34300.620499999997</v>
      </c>
      <c r="G72" s="18">
        <v>42877.457731781462</v>
      </c>
      <c r="H72" s="19">
        <v>-9.0049952777633724E-2</v>
      </c>
      <c r="I72" s="19">
        <v>0.25004904012688245</v>
      </c>
      <c r="J72" s="19">
        <v>0.14108349072496673</v>
      </c>
    </row>
    <row r="73" spans="1:10" ht="11.25" customHeight="1" x14ac:dyDescent="0.2">
      <c r="A73" s="28">
        <v>44593</v>
      </c>
      <c r="B73" s="18">
        <v>4040.6400000000003</v>
      </c>
      <c r="C73" s="18">
        <v>5250.7555928109432</v>
      </c>
      <c r="D73" s="18">
        <v>9569.8515900000002</v>
      </c>
      <c r="E73" s="18">
        <v>7349.6840969080522</v>
      </c>
      <c r="F73" s="18">
        <v>27696.173699999999</v>
      </c>
      <c r="G73" s="18">
        <v>34621.5753488724</v>
      </c>
      <c r="H73" s="19">
        <v>-7.421127250268611E-2</v>
      </c>
      <c r="I73" s="19">
        <v>0.25004904012688223</v>
      </c>
      <c r="J73" s="19">
        <v>0.14320569591037513</v>
      </c>
    </row>
    <row r="74" spans="1:10" ht="11.25" customHeight="1" x14ac:dyDescent="0.2">
      <c r="A74" s="28">
        <v>44621</v>
      </c>
      <c r="B74" s="18">
        <v>3616.08</v>
      </c>
      <c r="C74" s="18">
        <v>4699.0457660300826</v>
      </c>
      <c r="D74" s="18">
        <v>10115.79538</v>
      </c>
      <c r="E74" s="18">
        <v>7768.9710997871334</v>
      </c>
      <c r="F74" s="18">
        <v>29276.1934</v>
      </c>
      <c r="G74" s="18">
        <v>36596.677458238963</v>
      </c>
      <c r="H74" s="19">
        <v>-9.2038303524335063E-2</v>
      </c>
      <c r="I74" s="19">
        <v>0.25004904012688223</v>
      </c>
      <c r="J74" s="19">
        <v>0.1408253315218071</v>
      </c>
    </row>
    <row r="75" spans="1:10" ht="11.25" customHeight="1" x14ac:dyDescent="0.2">
      <c r="A75" s="28">
        <v>44652</v>
      </c>
      <c r="B75" s="18">
        <v>3616.08</v>
      </c>
      <c r="C75" s="18">
        <v>4699.0457660300826</v>
      </c>
      <c r="D75" s="18">
        <v>10115.79538</v>
      </c>
      <c r="E75" s="18">
        <v>7768.9710997871334</v>
      </c>
      <c r="F75" s="18">
        <v>29276.1934</v>
      </c>
      <c r="G75" s="18">
        <v>36596.677458238963</v>
      </c>
      <c r="H75" s="19">
        <v>-9.2038303524335063E-2</v>
      </c>
      <c r="I75" s="19">
        <v>0.25004904012688223</v>
      </c>
      <c r="J75" s="19">
        <v>0.1408253315218071</v>
      </c>
    </row>
    <row r="76" spans="1:10" ht="11.25" customHeight="1" x14ac:dyDescent="0.2">
      <c r="A76" s="28">
        <v>44682</v>
      </c>
      <c r="B76" s="18">
        <v>3352.56</v>
      </c>
      <c r="C76" s="18">
        <v>4356.6051838902385</v>
      </c>
      <c r="D76" s="18">
        <v>9800.5814900000005</v>
      </c>
      <c r="E76" s="18">
        <v>7526.8855781183984</v>
      </c>
      <c r="F76" s="18">
        <v>28363.930700000001</v>
      </c>
      <c r="G76" s="18">
        <v>35456.304345760407</v>
      </c>
      <c r="H76" s="19">
        <v>-9.6528325872313081E-2</v>
      </c>
      <c r="I76" s="19">
        <v>0.25004904012688223</v>
      </c>
      <c r="J76" s="19">
        <v>0.14024888101747046</v>
      </c>
    </row>
    <row r="77" spans="1:10" ht="11.25" customHeight="1" x14ac:dyDescent="0.2">
      <c r="A77" s="28">
        <v>44713</v>
      </c>
      <c r="B77" s="18">
        <v>3484.32</v>
      </c>
      <c r="C77" s="18">
        <v>4527.825474960161</v>
      </c>
      <c r="D77" s="18">
        <v>9675.8294299999998</v>
      </c>
      <c r="E77" s="18">
        <v>7431.0754996845153</v>
      </c>
      <c r="F77" s="18">
        <v>28002.884900000001</v>
      </c>
      <c r="G77" s="18">
        <v>35004.979390028566</v>
      </c>
      <c r="H77" s="19">
        <v>-9.1279241299262681E-2</v>
      </c>
      <c r="I77" s="19">
        <v>0.25004904012688223</v>
      </c>
      <c r="J77" s="19">
        <v>0.1409236740947819</v>
      </c>
    </row>
    <row r="78" spans="1:10" ht="11.25" customHeight="1" x14ac:dyDescent="0.2">
      <c r="A78" s="28">
        <v>44743</v>
      </c>
      <c r="B78" s="18">
        <v>3308.6400000000003</v>
      </c>
      <c r="C78" s="18">
        <v>4299.531753533598</v>
      </c>
      <c r="D78" s="18">
        <v>9622.3141300000007</v>
      </c>
      <c r="E78" s="18">
        <v>7389.9755363619633</v>
      </c>
      <c r="F78" s="18">
        <v>27848.0059</v>
      </c>
      <c r="G78" s="18">
        <v>34811.373044742752</v>
      </c>
      <c r="H78" s="19">
        <v>-9.6005818876448212E-2</v>
      </c>
      <c r="I78" s="19">
        <v>0.25004904012688223</v>
      </c>
      <c r="J78" s="19">
        <v>0.14031550339755716</v>
      </c>
    </row>
    <row r="79" spans="1:10" ht="11.25" customHeight="1" x14ac:dyDescent="0.2">
      <c r="A79" s="28">
        <v>44774</v>
      </c>
      <c r="B79" s="18">
        <v>3191.52</v>
      </c>
      <c r="C79" s="18">
        <v>4147.335939249223</v>
      </c>
      <c r="D79" s="18">
        <v>8701.5877800000017</v>
      </c>
      <c r="E79" s="18">
        <v>6682.8540362469139</v>
      </c>
      <c r="F79" s="18">
        <v>25183.325400000002</v>
      </c>
      <c r="G79" s="18">
        <v>31480.391743472934</v>
      </c>
      <c r="H79" s="19">
        <v>-8.937258655734337E-2</v>
      </c>
      <c r="I79" s="19">
        <v>0.25004904012688223</v>
      </c>
      <c r="J79" s="19">
        <v>0.14117184664334159</v>
      </c>
    </row>
    <row r="80" spans="1:10" ht="11.25" customHeight="1" x14ac:dyDescent="0.2">
      <c r="A80" s="28">
        <v>44805</v>
      </c>
      <c r="B80" s="18">
        <v>3264.7200000000003</v>
      </c>
      <c r="C80" s="18">
        <v>4242.4583231769575</v>
      </c>
      <c r="D80" s="18">
        <v>7982.8158899999999</v>
      </c>
      <c r="E80" s="18">
        <v>6130.8343649327062</v>
      </c>
      <c r="F80" s="18">
        <v>23103.1227</v>
      </c>
      <c r="G80" s="18">
        <v>28880.036355068583</v>
      </c>
      <c r="H80" s="19">
        <v>-7.772753165140911E-2</v>
      </c>
      <c r="I80" s="19">
        <v>0.25004904012688223</v>
      </c>
      <c r="J80" s="19">
        <v>0.14272420542776709</v>
      </c>
    </row>
    <row r="81" spans="1:10" ht="11.25" customHeight="1" x14ac:dyDescent="0.2">
      <c r="A81" s="28">
        <v>44835</v>
      </c>
      <c r="B81" s="18">
        <v>3264.7200000000003</v>
      </c>
      <c r="C81" s="18">
        <v>4242.4583231769575</v>
      </c>
      <c r="D81" s="18">
        <v>7982.8158899999999</v>
      </c>
      <c r="E81" s="18">
        <v>6130.8343649327062</v>
      </c>
      <c r="F81" s="18">
        <v>23103.1227</v>
      </c>
      <c r="G81" s="18">
        <v>28880.036355068583</v>
      </c>
      <c r="H81" s="19">
        <v>-7.772753165140911E-2</v>
      </c>
      <c r="I81" s="19">
        <v>0.25004904012688223</v>
      </c>
      <c r="J81" s="19">
        <v>0.14272420542776709</v>
      </c>
    </row>
    <row r="82" spans="1:10" ht="11.25" customHeight="1" x14ac:dyDescent="0.2">
      <c r="A82" s="27" t="s">
        <v>34</v>
      </c>
      <c r="B82" s="18">
        <v>130680</v>
      </c>
      <c r="C82" s="18">
        <v>169561.02361217627</v>
      </c>
      <c r="D82" s="18">
        <v>11076.438879999998</v>
      </c>
      <c r="E82" s="18">
        <v>8506.7491299214635</v>
      </c>
      <c r="F82" s="18">
        <v>54766.065120000007</v>
      </c>
      <c r="G82" s="18">
        <v>68537.330629924676</v>
      </c>
      <c r="H82" s="19">
        <v>0.25615297724032193</v>
      </c>
      <c r="I82" s="19">
        <v>0.25145617965705447</v>
      </c>
      <c r="J82" s="19">
        <v>0.25484409343788106</v>
      </c>
    </row>
    <row r="83" spans="1:10" ht="11.25" customHeight="1" x14ac:dyDescent="0.2">
      <c r="A83" s="28">
        <v>44501</v>
      </c>
      <c r="B83" s="18">
        <v>11044</v>
      </c>
      <c r="C83" s="18">
        <v>14329.904689109848</v>
      </c>
      <c r="D83" s="18">
        <v>1058.46245</v>
      </c>
      <c r="E83" s="18">
        <v>812.90337292883078</v>
      </c>
      <c r="F83" s="18">
        <v>5233.4350499999991</v>
      </c>
      <c r="G83" s="18">
        <v>6549.4146341563264</v>
      </c>
      <c r="H83" s="19">
        <v>0.25121710764231131</v>
      </c>
      <c r="I83" s="19">
        <v>0.25145617965705469</v>
      </c>
      <c r="J83" s="19">
        <v>0.25128927972693704</v>
      </c>
    </row>
    <row r="84" spans="1:10" ht="11.25" customHeight="1" x14ac:dyDescent="0.2">
      <c r="A84" s="28">
        <v>44531</v>
      </c>
      <c r="B84" s="18">
        <v>12232</v>
      </c>
      <c r="C84" s="18">
        <v>15871.368540129632</v>
      </c>
      <c r="D84" s="18">
        <v>1261.7328600000001</v>
      </c>
      <c r="E84" s="18">
        <v>969.01585656547411</v>
      </c>
      <c r="F84" s="18">
        <v>6238.4801399999997</v>
      </c>
      <c r="G84" s="18">
        <v>7807.1845228708071</v>
      </c>
      <c r="H84" s="19">
        <v>0.24801525059205187</v>
      </c>
      <c r="I84" s="19">
        <v>0.25145617965705469</v>
      </c>
      <c r="J84" s="19">
        <v>0.24910312490372544</v>
      </c>
    </row>
    <row r="85" spans="1:10" ht="11.25" customHeight="1" x14ac:dyDescent="0.2">
      <c r="A85" s="28">
        <v>44562</v>
      </c>
      <c r="B85" s="18">
        <v>11044</v>
      </c>
      <c r="C85" s="18">
        <v>14329.904689109848</v>
      </c>
      <c r="D85" s="18">
        <v>1077.14894</v>
      </c>
      <c r="E85" s="18">
        <v>827.25467159719733</v>
      </c>
      <c r="F85" s="18">
        <v>5325.8280599999998</v>
      </c>
      <c r="G85" s="18">
        <v>6665.0404374779428</v>
      </c>
      <c r="H85" s="19">
        <v>0.25047216528196925</v>
      </c>
      <c r="I85" s="19">
        <v>0.25145617965705469</v>
      </c>
      <c r="J85" s="19">
        <v>0.25077254347185685</v>
      </c>
    </row>
    <row r="86" spans="1:10" ht="11.25" customHeight="1" x14ac:dyDescent="0.2">
      <c r="A86" s="28">
        <v>44593</v>
      </c>
      <c r="B86" s="18">
        <v>10824</v>
      </c>
      <c r="C86" s="18">
        <v>14044.448420402479</v>
      </c>
      <c r="D86" s="18">
        <v>965.38092000000006</v>
      </c>
      <c r="E86" s="18">
        <v>741.41638754321207</v>
      </c>
      <c r="F86" s="18">
        <v>4773.2050799999997</v>
      </c>
      <c r="G86" s="18">
        <v>5973.4569941364452</v>
      </c>
      <c r="H86" s="19">
        <v>0.25416804396084358</v>
      </c>
      <c r="I86" s="19">
        <v>0.25145617965705469</v>
      </c>
      <c r="J86" s="19">
        <v>0.25338650631502468</v>
      </c>
    </row>
    <row r="87" spans="1:10" ht="11.25" customHeight="1" x14ac:dyDescent="0.2">
      <c r="A87" s="28">
        <v>44621</v>
      </c>
      <c r="B87" s="18">
        <v>10692</v>
      </c>
      <c r="C87" s="18">
        <v>13873.174659178059</v>
      </c>
      <c r="D87" s="18">
        <v>1041.7060200000001</v>
      </c>
      <c r="E87" s="18">
        <v>800.03436801963846</v>
      </c>
      <c r="F87" s="18">
        <v>5150.5849799999996</v>
      </c>
      <c r="G87" s="18">
        <v>6445.7314020698068</v>
      </c>
      <c r="H87" s="19">
        <v>0.25051786726097802</v>
      </c>
      <c r="I87" s="19">
        <v>0.25145617965705469</v>
      </c>
      <c r="J87" s="19">
        <v>0.25080410123632113</v>
      </c>
    </row>
    <row r="88" spans="1:10" ht="11.25" customHeight="1" x14ac:dyDescent="0.2">
      <c r="A88" s="28">
        <v>44652</v>
      </c>
      <c r="B88" s="18">
        <v>10692</v>
      </c>
      <c r="C88" s="18">
        <v>13873.174659178059</v>
      </c>
      <c r="D88" s="18">
        <v>1041.7060200000001</v>
      </c>
      <c r="E88" s="18">
        <v>800.03436801963846</v>
      </c>
      <c r="F88" s="18">
        <v>5150.5849799999996</v>
      </c>
      <c r="G88" s="18">
        <v>6445.7314020698068</v>
      </c>
      <c r="H88" s="19">
        <v>0.25051786726097802</v>
      </c>
      <c r="I88" s="19">
        <v>0.25145617965705469</v>
      </c>
      <c r="J88" s="19">
        <v>0.25080410123632113</v>
      </c>
    </row>
    <row r="89" spans="1:10" ht="11.25" customHeight="1" x14ac:dyDescent="0.2">
      <c r="A89" s="28">
        <v>44682</v>
      </c>
      <c r="B89" s="18">
        <v>10692</v>
      </c>
      <c r="C89" s="18">
        <v>13873.174659178059</v>
      </c>
      <c r="D89" s="18">
        <v>804.22091</v>
      </c>
      <c r="E89" s="18">
        <v>617.6448586521833</v>
      </c>
      <c r="F89" s="18">
        <v>3976.3695899999998</v>
      </c>
      <c r="G89" s="18">
        <v>4976.2522960058886</v>
      </c>
      <c r="H89" s="19">
        <v>0.26048547877375849</v>
      </c>
      <c r="I89" s="19">
        <v>0.25145617965705469</v>
      </c>
      <c r="J89" s="19">
        <v>0.25816499918589164</v>
      </c>
    </row>
    <row r="90" spans="1:10" ht="11.25" customHeight="1" x14ac:dyDescent="0.2">
      <c r="A90" s="28">
        <v>44713</v>
      </c>
      <c r="B90" s="18">
        <v>10692</v>
      </c>
      <c r="C90" s="18">
        <v>13873.174659178059</v>
      </c>
      <c r="D90" s="18">
        <v>728.59765000000004</v>
      </c>
      <c r="E90" s="18">
        <v>559.565894088184</v>
      </c>
      <c r="F90" s="18">
        <v>3602.4598499999997</v>
      </c>
      <c r="G90" s="18">
        <v>4508.3206412489253</v>
      </c>
      <c r="H90" s="19">
        <v>0.26374652146739841</v>
      </c>
      <c r="I90" s="19">
        <v>0.25145617965705447</v>
      </c>
      <c r="J90" s="19">
        <v>0.26079935422700529</v>
      </c>
    </row>
    <row r="91" spans="1:10" ht="11.25" customHeight="1" x14ac:dyDescent="0.2">
      <c r="A91" s="28">
        <v>44743</v>
      </c>
      <c r="B91" s="18">
        <v>10692</v>
      </c>
      <c r="C91" s="18">
        <v>13873.174659178059</v>
      </c>
      <c r="D91" s="18">
        <v>727.98354000000006</v>
      </c>
      <c r="E91" s="18">
        <v>559.09425516481042</v>
      </c>
      <c r="F91" s="18">
        <v>3599.42346</v>
      </c>
      <c r="G91" s="18">
        <v>4504.5207322195765</v>
      </c>
      <c r="H91" s="19">
        <v>0.26377318003935324</v>
      </c>
      <c r="I91" s="19">
        <v>0.25145617965705447</v>
      </c>
      <c r="J91" s="19">
        <v>0.26082139238669311</v>
      </c>
    </row>
    <row r="92" spans="1:10" ht="11.25" customHeight="1" x14ac:dyDescent="0.2">
      <c r="A92" s="28">
        <v>44774</v>
      </c>
      <c r="B92" s="18">
        <v>10692</v>
      </c>
      <c r="C92" s="18">
        <v>13873.174659178059</v>
      </c>
      <c r="D92" s="18">
        <v>832.64543000000003</v>
      </c>
      <c r="E92" s="18">
        <v>639.47500310547309</v>
      </c>
      <c r="F92" s="18">
        <v>4116.9110700000001</v>
      </c>
      <c r="G92" s="18">
        <v>5152.133799650037</v>
      </c>
      <c r="H92" s="19">
        <v>0.25927081665396901</v>
      </c>
      <c r="I92" s="19">
        <v>0.25145617965705469</v>
      </c>
      <c r="J92" s="19">
        <v>0.25721397751774688</v>
      </c>
    </row>
    <row r="93" spans="1:10" ht="11.25" customHeight="1" x14ac:dyDescent="0.2">
      <c r="A93" s="28">
        <v>44805</v>
      </c>
      <c r="B93" s="18">
        <v>10692</v>
      </c>
      <c r="C93" s="18">
        <v>13873.174659178059</v>
      </c>
      <c r="D93" s="18">
        <v>768.42707000000007</v>
      </c>
      <c r="E93" s="18">
        <v>590.15504711841106</v>
      </c>
      <c r="F93" s="18">
        <v>3799.3914300000001</v>
      </c>
      <c r="G93" s="18">
        <v>4754.771884009554</v>
      </c>
      <c r="H93" s="19">
        <v>0.26202362424670711</v>
      </c>
      <c r="I93" s="19">
        <v>0.25145617965705469</v>
      </c>
      <c r="J93" s="19">
        <v>0.25939254063251305</v>
      </c>
    </row>
    <row r="94" spans="1:10" ht="11.25" customHeight="1" x14ac:dyDescent="0.2">
      <c r="A94" s="28">
        <v>44835</v>
      </c>
      <c r="B94" s="18">
        <v>10692</v>
      </c>
      <c r="C94" s="18">
        <v>13873.174659178059</v>
      </c>
      <c r="D94" s="18">
        <v>768.42707000000007</v>
      </c>
      <c r="E94" s="18">
        <v>590.15504711841106</v>
      </c>
      <c r="F94" s="18">
        <v>3799.3914300000001</v>
      </c>
      <c r="G94" s="18">
        <v>4754.771884009554</v>
      </c>
      <c r="H94" s="19">
        <v>0.26202362424670711</v>
      </c>
      <c r="I94" s="19">
        <v>0.25145617965705469</v>
      </c>
      <c r="J94" s="19">
        <v>0.25939254063251305</v>
      </c>
    </row>
    <row r="95" spans="1:10" ht="11.25" customHeight="1" x14ac:dyDescent="0.2">
      <c r="A95" s="23" t="s">
        <v>45</v>
      </c>
      <c r="B95" s="18">
        <v>2562047.8400000003</v>
      </c>
      <c r="C95" s="18">
        <v>3326078.4851931636</v>
      </c>
      <c r="D95" s="18">
        <v>1171028.1111599999</v>
      </c>
      <c r="E95" s="18">
        <v>899354.24856728932</v>
      </c>
      <c r="F95" s="18">
        <v>3587086.3112900001</v>
      </c>
      <c r="G95" s="18">
        <v>4484705.7174657993</v>
      </c>
      <c r="H95" s="19">
        <v>0.13189037379415236</v>
      </c>
      <c r="I95" s="19">
        <v>0.25023635571595615</v>
      </c>
      <c r="J95" s="19">
        <v>0.18988324834086923</v>
      </c>
    </row>
    <row r="96" spans="1:10" ht="11.25" customHeight="1" x14ac:dyDescent="0.2">
      <c r="A96" s="24" t="s">
        <v>25</v>
      </c>
      <c r="B96" s="18">
        <v>2562047.8400000003</v>
      </c>
      <c r="C96" s="18">
        <v>3326078.4851931636</v>
      </c>
      <c r="D96" s="18">
        <v>1171028.1111599999</v>
      </c>
      <c r="E96" s="18">
        <v>899354.24856728932</v>
      </c>
      <c r="F96" s="18">
        <v>3587086.3112900001</v>
      </c>
      <c r="G96" s="18">
        <v>4484705.7174657993</v>
      </c>
      <c r="H96" s="19">
        <v>0.13189037379415236</v>
      </c>
      <c r="I96" s="19">
        <v>0.25023635571595615</v>
      </c>
      <c r="J96" s="19">
        <v>0.18988324834086923</v>
      </c>
    </row>
    <row r="97" spans="1:10" ht="11.25" customHeight="1" x14ac:dyDescent="0.2">
      <c r="A97" s="25" t="s">
        <v>25</v>
      </c>
      <c r="B97" s="18">
        <v>2562047.8400000003</v>
      </c>
      <c r="C97" s="18">
        <v>3326078.4851931636</v>
      </c>
      <c r="D97" s="18">
        <v>1171028.1111599999</v>
      </c>
      <c r="E97" s="18">
        <v>899354.24856728932</v>
      </c>
      <c r="F97" s="18">
        <v>3587086.3112900001</v>
      </c>
      <c r="G97" s="18">
        <v>4484705.7174657993</v>
      </c>
      <c r="H97" s="19">
        <v>0.13189037379415236</v>
      </c>
      <c r="I97" s="19">
        <v>0.25023635571595615</v>
      </c>
      <c r="J97" s="19">
        <v>0.18988324834086923</v>
      </c>
    </row>
    <row r="98" spans="1:10" ht="11.25" customHeight="1" x14ac:dyDescent="0.2">
      <c r="A98" s="26" t="s">
        <v>25</v>
      </c>
      <c r="B98" s="18">
        <v>2562047.8400000003</v>
      </c>
      <c r="C98" s="18">
        <v>3326078.4851931636</v>
      </c>
      <c r="D98" s="18">
        <v>1171028.1111599999</v>
      </c>
      <c r="E98" s="18">
        <v>899354.24856728932</v>
      </c>
      <c r="F98" s="18">
        <v>3587086.3112900001</v>
      </c>
      <c r="G98" s="18">
        <v>4484705.7174657993</v>
      </c>
      <c r="H98" s="19">
        <v>0.13189037379415236</v>
      </c>
      <c r="I98" s="19">
        <v>0.25023635571595615</v>
      </c>
      <c r="J98" s="19">
        <v>0.18988324834086923</v>
      </c>
    </row>
    <row r="99" spans="1:10" ht="11.25" customHeight="1" x14ac:dyDescent="0.2">
      <c r="A99" s="27" t="s">
        <v>35</v>
      </c>
      <c r="B99" s="18">
        <v>893127.84000000032</v>
      </c>
      <c r="C99" s="18">
        <v>1160607.2307790737</v>
      </c>
      <c r="D99" s="18">
        <v>1074452.5584499999</v>
      </c>
      <c r="E99" s="18">
        <v>825183.83983864216</v>
      </c>
      <c r="F99" s="18">
        <v>3109580.5835000002</v>
      </c>
      <c r="G99" s="18">
        <v>3887128.223601365</v>
      </c>
      <c r="H99" s="19">
        <v>9.2553636852965582E-3</v>
      </c>
      <c r="I99" s="19">
        <v>0.25004904012688245</v>
      </c>
      <c r="J99" s="19">
        <v>0.15673292911099534</v>
      </c>
    </row>
    <row r="100" spans="1:10" ht="11.25" customHeight="1" x14ac:dyDescent="0.2">
      <c r="A100" s="28">
        <v>44501</v>
      </c>
      <c r="B100" s="18">
        <v>55514.880000000005</v>
      </c>
      <c r="C100" s="18">
        <v>72140.815970793832</v>
      </c>
      <c r="D100" s="18">
        <v>94576.361470000003</v>
      </c>
      <c r="E100" s="18">
        <v>72635.021902098946</v>
      </c>
      <c r="F100" s="18">
        <v>273714.10210000002</v>
      </c>
      <c r="G100" s="18">
        <v>342156.0505992964</v>
      </c>
      <c r="H100" s="19">
        <v>-3.541448218462262E-2</v>
      </c>
      <c r="I100" s="19">
        <v>0.25004904012688201</v>
      </c>
      <c r="J100" s="19">
        <v>0.14895174367182684</v>
      </c>
    </row>
    <row r="101" spans="1:10" ht="11.25" customHeight="1" x14ac:dyDescent="0.2">
      <c r="A101" s="28">
        <v>44531</v>
      </c>
      <c r="B101" s="18">
        <v>69832.800000000003</v>
      </c>
      <c r="C101" s="18">
        <v>90746.754267058684</v>
      </c>
      <c r="D101" s="18">
        <v>88178.914409999998</v>
      </c>
      <c r="E101" s="18">
        <v>67721.757106349571</v>
      </c>
      <c r="F101" s="18">
        <v>255199.20629999999</v>
      </c>
      <c r="G101" s="18">
        <v>319011.52287645719</v>
      </c>
      <c r="H101" s="19">
        <v>2.8909056845176639E-3</v>
      </c>
      <c r="I101" s="19">
        <v>0.25004904012688223</v>
      </c>
      <c r="J101" s="19">
        <v>0.15553585425437211</v>
      </c>
    </row>
    <row r="102" spans="1:10" ht="11.25" customHeight="1" x14ac:dyDescent="0.2">
      <c r="A102" s="28">
        <v>44562</v>
      </c>
      <c r="B102" s="18">
        <v>80168.640000000014</v>
      </c>
      <c r="C102" s="18">
        <v>104178.03487765481</v>
      </c>
      <c r="D102" s="18">
        <v>91205.862600000008</v>
      </c>
      <c r="E102" s="18">
        <v>70046.465359657785</v>
      </c>
      <c r="F102" s="18">
        <v>263959.51799999998</v>
      </c>
      <c r="G102" s="18">
        <v>329962.3421082545</v>
      </c>
      <c r="H102" s="19">
        <v>1.6630231417591013E-2</v>
      </c>
      <c r="I102" s="19">
        <v>0.25004904012688223</v>
      </c>
      <c r="J102" s="19">
        <v>0.15816090286412843</v>
      </c>
    </row>
    <row r="103" spans="1:10" ht="11.25" customHeight="1" x14ac:dyDescent="0.2">
      <c r="A103" s="28">
        <v>44593</v>
      </c>
      <c r="B103" s="18">
        <v>80534.640000000014</v>
      </c>
      <c r="C103" s="18">
        <v>104653.64679729348</v>
      </c>
      <c r="D103" s="18">
        <v>92391.972200000004</v>
      </c>
      <c r="E103" s="18">
        <v>70957.402251659252</v>
      </c>
      <c r="F103" s="18">
        <v>267392.24600000004</v>
      </c>
      <c r="G103" s="18">
        <v>334253.42044967116</v>
      </c>
      <c r="H103" s="19">
        <v>1.5523561207849257E-2</v>
      </c>
      <c r="I103" s="19">
        <v>0.25004904012688201</v>
      </c>
      <c r="J103" s="19">
        <v>0.15794374917967979</v>
      </c>
    </row>
    <row r="104" spans="1:10" ht="11.25" customHeight="1" x14ac:dyDescent="0.2">
      <c r="A104" s="28">
        <v>44621</v>
      </c>
      <c r="B104" s="18">
        <v>79861.200000000012</v>
      </c>
      <c r="C104" s="18">
        <v>103778.52086515832</v>
      </c>
      <c r="D104" s="18">
        <v>100345.74945999999</v>
      </c>
      <c r="E104" s="18">
        <v>77065.934833215302</v>
      </c>
      <c r="F104" s="18">
        <v>290411.32780000003</v>
      </c>
      <c r="G104" s="18">
        <v>363028.40155836334</v>
      </c>
      <c r="H104" s="19">
        <v>3.5376340384425387E-3</v>
      </c>
      <c r="I104" s="19">
        <v>0.25004904012688201</v>
      </c>
      <c r="J104" s="19">
        <v>0.1556560455391458</v>
      </c>
    </row>
    <row r="105" spans="1:10" ht="11.25" customHeight="1" x14ac:dyDescent="0.2">
      <c r="A105" s="28">
        <v>44652</v>
      </c>
      <c r="B105" s="18">
        <v>79861.200000000012</v>
      </c>
      <c r="C105" s="18">
        <v>103778.52086515832</v>
      </c>
      <c r="D105" s="18">
        <v>100345.74945999999</v>
      </c>
      <c r="E105" s="18">
        <v>77065.934833215302</v>
      </c>
      <c r="F105" s="18">
        <v>290411.32780000003</v>
      </c>
      <c r="G105" s="18">
        <v>363028.40155836334</v>
      </c>
      <c r="H105" s="19">
        <v>3.5376340384425387E-3</v>
      </c>
      <c r="I105" s="19">
        <v>0.25004904012688201</v>
      </c>
      <c r="J105" s="19">
        <v>0.1556560455391458</v>
      </c>
    </row>
    <row r="106" spans="1:10" ht="11.25" customHeight="1" x14ac:dyDescent="0.2">
      <c r="A106" s="28">
        <v>44682</v>
      </c>
      <c r="B106" s="18">
        <v>83169.840000000011</v>
      </c>
      <c r="C106" s="18">
        <v>108078.05261869192</v>
      </c>
      <c r="D106" s="18">
        <v>77758.783660000001</v>
      </c>
      <c r="E106" s="18">
        <v>59719.055231536324</v>
      </c>
      <c r="F106" s="18">
        <v>225042.23380000002</v>
      </c>
      <c r="G106" s="18">
        <v>281313.82834969938</v>
      </c>
      <c r="H106" s="19">
        <v>4.2680314005167475E-2</v>
      </c>
      <c r="I106" s="19">
        <v>0.25004904012688201</v>
      </c>
      <c r="J106" s="19">
        <v>0.16358768419833636</v>
      </c>
    </row>
    <row r="107" spans="1:10" ht="11.25" customHeight="1" x14ac:dyDescent="0.2">
      <c r="A107" s="28">
        <v>44713</v>
      </c>
      <c r="B107" s="18">
        <v>72760.800000000017</v>
      </c>
      <c r="C107" s="18">
        <v>94551.649624168072</v>
      </c>
      <c r="D107" s="18">
        <v>71815.163890000011</v>
      </c>
      <c r="E107" s="18">
        <v>55154.331600160003</v>
      </c>
      <c r="F107" s="18">
        <v>207840.76269999999</v>
      </c>
      <c r="G107" s="18">
        <v>259811.14591237411</v>
      </c>
      <c r="H107" s="19">
        <v>3.548319648922571E-2</v>
      </c>
      <c r="I107" s="19">
        <v>0.25004904012688223</v>
      </c>
      <c r="J107" s="19">
        <v>0.1620252281984691</v>
      </c>
    </row>
    <row r="108" spans="1:10" ht="11.25" customHeight="1" x14ac:dyDescent="0.2">
      <c r="A108" s="28">
        <v>44743</v>
      </c>
      <c r="B108" s="18">
        <v>72760.800000000017</v>
      </c>
      <c r="C108" s="18">
        <v>94551.649624168072</v>
      </c>
      <c r="D108" s="18">
        <v>82339.95653000001</v>
      </c>
      <c r="E108" s="18">
        <v>63237.414222913925</v>
      </c>
      <c r="F108" s="18">
        <v>238300.6379</v>
      </c>
      <c r="G108" s="18">
        <v>297887.48366851872</v>
      </c>
      <c r="H108" s="19">
        <v>1.7332651221220852E-2</v>
      </c>
      <c r="I108" s="19">
        <v>0.25004904012688223</v>
      </c>
      <c r="J108" s="19">
        <v>0.15829926880618017</v>
      </c>
    </row>
    <row r="109" spans="1:10" ht="11.25" customHeight="1" x14ac:dyDescent="0.2">
      <c r="A109" s="28">
        <v>44774</v>
      </c>
      <c r="B109" s="18">
        <v>72877.920000000013</v>
      </c>
      <c r="C109" s="18">
        <v>94703.845438452438</v>
      </c>
      <c r="D109" s="18">
        <v>89041.300310000006</v>
      </c>
      <c r="E109" s="18">
        <v>68384.072908744143</v>
      </c>
      <c r="F109" s="18">
        <v>257695.04329999999</v>
      </c>
      <c r="G109" s="18">
        <v>322131.44152262033</v>
      </c>
      <c r="H109" s="19">
        <v>7.2177844912979516E-3</v>
      </c>
      <c r="I109" s="19">
        <v>0.25004904012688223</v>
      </c>
      <c r="J109" s="19">
        <v>0.15634620161718793</v>
      </c>
    </row>
    <row r="110" spans="1:10" ht="11.25" customHeight="1" x14ac:dyDescent="0.2">
      <c r="A110" s="28">
        <v>44805</v>
      </c>
      <c r="B110" s="18">
        <v>72892.56</v>
      </c>
      <c r="C110" s="18">
        <v>94722.869915237985</v>
      </c>
      <c r="D110" s="18">
        <v>93226.372230000008</v>
      </c>
      <c r="E110" s="18">
        <v>71598.224794545793</v>
      </c>
      <c r="F110" s="18">
        <v>269807.08889999997</v>
      </c>
      <c r="G110" s="18">
        <v>337272.09249887336</v>
      </c>
      <c r="H110" s="19">
        <v>1.2169743512671083E-3</v>
      </c>
      <c r="I110" s="19">
        <v>0.25004904012688223</v>
      </c>
      <c r="J110" s="19">
        <v>0.1552262604174246</v>
      </c>
    </row>
    <row r="111" spans="1:10" ht="11.25" customHeight="1" x14ac:dyDescent="0.2">
      <c r="A111" s="28">
        <v>44835</v>
      </c>
      <c r="B111" s="18">
        <v>72892.56</v>
      </c>
      <c r="C111" s="18">
        <v>94722.869915237985</v>
      </c>
      <c r="D111" s="18">
        <v>93226.372230000008</v>
      </c>
      <c r="E111" s="18">
        <v>71598.224794545793</v>
      </c>
      <c r="F111" s="18">
        <v>269807.08889999997</v>
      </c>
      <c r="G111" s="18">
        <v>337272.09249887336</v>
      </c>
      <c r="H111" s="19">
        <v>1.2169743512671083E-3</v>
      </c>
      <c r="I111" s="19">
        <v>0.25004904012688223</v>
      </c>
      <c r="J111" s="19">
        <v>0.1552262604174246</v>
      </c>
    </row>
    <row r="112" spans="1:10" ht="11.25" customHeight="1" x14ac:dyDescent="0.2">
      <c r="A112" s="27" t="s">
        <v>34</v>
      </c>
      <c r="B112" s="18">
        <v>1668920</v>
      </c>
      <c r="C112" s="18">
        <v>2165471.2544140895</v>
      </c>
      <c r="D112" s="18">
        <v>96575.552710000004</v>
      </c>
      <c r="E112" s="18">
        <v>74170.408728647002</v>
      </c>
      <c r="F112" s="18">
        <v>477505.72779000003</v>
      </c>
      <c r="G112" s="18">
        <v>597577.49386443477</v>
      </c>
      <c r="H112" s="19">
        <v>0.2685626195460713</v>
      </c>
      <c r="I112" s="19">
        <v>0.25145617965705536</v>
      </c>
      <c r="J112" s="19">
        <v>0.26492088153186932</v>
      </c>
    </row>
    <row r="113" spans="1:10" ht="11.25" customHeight="1" x14ac:dyDescent="0.2">
      <c r="A113" s="28">
        <v>44501</v>
      </c>
      <c r="B113" s="18">
        <v>71588</v>
      </c>
      <c r="C113" s="18">
        <v>92887.469837377386</v>
      </c>
      <c r="D113" s="18">
        <v>7843.3251899999996</v>
      </c>
      <c r="E113" s="18">
        <v>6023.7049523378582</v>
      </c>
      <c r="F113" s="18">
        <v>38780.339309999996</v>
      </c>
      <c r="G113" s="18">
        <v>48531.895278696888</v>
      </c>
      <c r="H113" s="19">
        <v>0.24524140259676352</v>
      </c>
      <c r="I113" s="19">
        <v>0.25145617965705447</v>
      </c>
      <c r="J113" s="19">
        <v>0.24728021293035862</v>
      </c>
    </row>
    <row r="114" spans="1:10" ht="11.25" customHeight="1" x14ac:dyDescent="0.2">
      <c r="A114" s="28">
        <v>44531</v>
      </c>
      <c r="B114" s="18">
        <v>119372</v>
      </c>
      <c r="C114" s="18">
        <v>154888.5714006176</v>
      </c>
      <c r="D114" s="18">
        <v>8294.9592300000004</v>
      </c>
      <c r="E114" s="18">
        <v>6370.5616919845743</v>
      </c>
      <c r="F114" s="18">
        <v>41013.387269999999</v>
      </c>
      <c r="G114" s="18">
        <v>51326.456947709477</v>
      </c>
      <c r="H114" s="19">
        <v>0.26312347427405824</v>
      </c>
      <c r="I114" s="19">
        <v>0.25145617965705469</v>
      </c>
      <c r="J114" s="19">
        <v>0.26028665728589551</v>
      </c>
    </row>
    <row r="115" spans="1:10" ht="11.25" customHeight="1" x14ac:dyDescent="0.2">
      <c r="A115" s="28">
        <v>44562</v>
      </c>
      <c r="B115" s="18">
        <v>158004</v>
      </c>
      <c r="C115" s="18">
        <v>205014.69218563131</v>
      </c>
      <c r="D115" s="18">
        <v>8132.0446200000006</v>
      </c>
      <c r="E115" s="18">
        <v>6245.4426233124777</v>
      </c>
      <c r="F115" s="18">
        <v>40207.876380000002</v>
      </c>
      <c r="G115" s="18">
        <v>50318.395366637924</v>
      </c>
      <c r="H115" s="19">
        <v>0.27160927234156373</v>
      </c>
      <c r="I115" s="19">
        <v>0.25145617965705469</v>
      </c>
      <c r="J115" s="19">
        <v>0.26768227000775902</v>
      </c>
    </row>
    <row r="116" spans="1:10" ht="11.25" customHeight="1" x14ac:dyDescent="0.2">
      <c r="A116" s="28">
        <v>44593</v>
      </c>
      <c r="B116" s="18">
        <v>158224</v>
      </c>
      <c r="C116" s="18">
        <v>205300.14845433869</v>
      </c>
      <c r="D116" s="18">
        <v>8405.3235700000005</v>
      </c>
      <c r="E116" s="18">
        <v>6455.3219442137051</v>
      </c>
      <c r="F116" s="18">
        <v>41559.069929999998</v>
      </c>
      <c r="G116" s="18">
        <v>52009.354884698172</v>
      </c>
      <c r="H116" s="19">
        <v>0.27081755996924017</v>
      </c>
      <c r="I116" s="19">
        <v>0.25145617965705469</v>
      </c>
      <c r="J116" s="19">
        <v>0.26695259446944397</v>
      </c>
    </row>
    <row r="117" spans="1:10" ht="11.25" customHeight="1" x14ac:dyDescent="0.2">
      <c r="A117" s="28">
        <v>44621</v>
      </c>
      <c r="B117" s="18">
        <v>157564</v>
      </c>
      <c r="C117" s="18">
        <v>204443.77964821656</v>
      </c>
      <c r="D117" s="18">
        <v>9136.4653900000012</v>
      </c>
      <c r="E117" s="18">
        <v>7016.8417709844362</v>
      </c>
      <c r="F117" s="18">
        <v>45174.109109999998</v>
      </c>
      <c r="G117" s="18">
        <v>56533.418006211548</v>
      </c>
      <c r="H117" s="19">
        <v>0.26850648511678399</v>
      </c>
      <c r="I117" s="19">
        <v>0.25145617965705469</v>
      </c>
      <c r="J117" s="19">
        <v>0.26487116284645351</v>
      </c>
    </row>
    <row r="118" spans="1:10" ht="11.25" customHeight="1" x14ac:dyDescent="0.2">
      <c r="A118" s="28">
        <v>44652</v>
      </c>
      <c r="B118" s="18">
        <v>157564</v>
      </c>
      <c r="C118" s="18">
        <v>204443.77964821656</v>
      </c>
      <c r="D118" s="18">
        <v>9136.4653900000012</v>
      </c>
      <c r="E118" s="18">
        <v>7016.8417709844362</v>
      </c>
      <c r="F118" s="18">
        <v>45174.109109999998</v>
      </c>
      <c r="G118" s="18">
        <v>56533.418006211548</v>
      </c>
      <c r="H118" s="19">
        <v>0.26850648511678399</v>
      </c>
      <c r="I118" s="19">
        <v>0.25145617965705469</v>
      </c>
      <c r="J118" s="19">
        <v>0.26487116284645351</v>
      </c>
    </row>
    <row r="119" spans="1:10" ht="11.25" customHeight="1" x14ac:dyDescent="0.2">
      <c r="A119" s="28">
        <v>44682</v>
      </c>
      <c r="B119" s="18">
        <v>145068</v>
      </c>
      <c r="C119" s="18">
        <v>188229.86358563812</v>
      </c>
      <c r="D119" s="18">
        <v>7041.5607200000004</v>
      </c>
      <c r="E119" s="18">
        <v>5407.9466493791697</v>
      </c>
      <c r="F119" s="18">
        <v>34816.115279999998</v>
      </c>
      <c r="G119" s="18">
        <v>43570.842618808405</v>
      </c>
      <c r="H119" s="19">
        <v>0.27301537995669833</v>
      </c>
      <c r="I119" s="19">
        <v>0.25145617965705469</v>
      </c>
      <c r="J119" s="19">
        <v>0.26899983956096896</v>
      </c>
    </row>
    <row r="120" spans="1:10" ht="11.25" customHeight="1" x14ac:dyDescent="0.2">
      <c r="A120" s="28">
        <v>44713</v>
      </c>
      <c r="B120" s="18">
        <v>137676</v>
      </c>
      <c r="C120" s="18">
        <v>178638.53295707057</v>
      </c>
      <c r="D120" s="18">
        <v>6368.23297</v>
      </c>
      <c r="E120" s="18">
        <v>4890.8282583946047</v>
      </c>
      <c r="F120" s="18">
        <v>31486.930529999998</v>
      </c>
      <c r="G120" s="18">
        <v>39404.513790200879</v>
      </c>
      <c r="H120" s="19">
        <v>0.27411807769970697</v>
      </c>
      <c r="I120" s="19">
        <v>0.25145617965705469</v>
      </c>
      <c r="J120" s="19">
        <v>0.27005296700871018</v>
      </c>
    </row>
    <row r="121" spans="1:10" ht="11.25" customHeight="1" x14ac:dyDescent="0.2">
      <c r="A121" s="28">
        <v>44743</v>
      </c>
      <c r="B121" s="18">
        <v>138732</v>
      </c>
      <c r="C121" s="18">
        <v>180008.72304686593</v>
      </c>
      <c r="D121" s="18">
        <v>7053.6674599999997</v>
      </c>
      <c r="E121" s="18">
        <v>5417.244673868533</v>
      </c>
      <c r="F121" s="18">
        <v>34875.975539999992</v>
      </c>
      <c r="G121" s="18">
        <v>43645.75511110128</v>
      </c>
      <c r="H121" s="19">
        <v>0.27190807540536022</v>
      </c>
      <c r="I121" s="19">
        <v>0.25145617965705491</v>
      </c>
      <c r="J121" s="19">
        <v>0.26795992236069588</v>
      </c>
    </row>
    <row r="122" spans="1:10" ht="11.25" customHeight="1" x14ac:dyDescent="0.2">
      <c r="A122" s="28">
        <v>44774</v>
      </c>
      <c r="B122" s="18">
        <v>139656</v>
      </c>
      <c r="C122" s="18">
        <v>181207.63937543688</v>
      </c>
      <c r="D122" s="18">
        <v>8357.4229900000009</v>
      </c>
      <c r="E122" s="18">
        <v>6418.534108190569</v>
      </c>
      <c r="F122" s="18">
        <v>41322.231509999998</v>
      </c>
      <c r="G122" s="18">
        <v>51712.961980408967</v>
      </c>
      <c r="H122" s="19">
        <v>0.26762944666379185</v>
      </c>
      <c r="I122" s="19">
        <v>0.25145617965705469</v>
      </c>
      <c r="J122" s="19">
        <v>0.26409965463761287</v>
      </c>
    </row>
    <row r="123" spans="1:10" ht="11.25" customHeight="1" x14ac:dyDescent="0.2">
      <c r="A123" s="28">
        <v>44805</v>
      </c>
      <c r="B123" s="18">
        <v>142736</v>
      </c>
      <c r="C123" s="18">
        <v>185204.02713734002</v>
      </c>
      <c r="D123" s="18">
        <v>8403.0425899999991</v>
      </c>
      <c r="E123" s="18">
        <v>6453.5701424983172</v>
      </c>
      <c r="F123" s="18">
        <v>41547.79191</v>
      </c>
      <c r="G123" s="18">
        <v>51995.240936874878</v>
      </c>
      <c r="H123" s="19">
        <v>0.26808794071664455</v>
      </c>
      <c r="I123" s="19">
        <v>0.25145617965705447</v>
      </c>
      <c r="J123" s="19">
        <v>0.26450174371780033</v>
      </c>
    </row>
    <row r="124" spans="1:10" ht="11.25" customHeight="1" x14ac:dyDescent="0.2">
      <c r="A124" s="28">
        <v>44835</v>
      </c>
      <c r="B124" s="18">
        <v>142736</v>
      </c>
      <c r="C124" s="18">
        <v>185204.02713734002</v>
      </c>
      <c r="D124" s="18">
        <v>8403.0425899999991</v>
      </c>
      <c r="E124" s="18">
        <v>6453.5701424983172</v>
      </c>
      <c r="F124" s="18">
        <v>41547.79191</v>
      </c>
      <c r="G124" s="18">
        <v>51995.240936874878</v>
      </c>
      <c r="H124" s="19">
        <v>0.26808794071664455</v>
      </c>
      <c r="I124" s="19">
        <v>0.25145617965705447</v>
      </c>
      <c r="J124" s="19">
        <v>0.26450174371780033</v>
      </c>
    </row>
    <row r="125" spans="1:10" ht="11.25" customHeight="1" x14ac:dyDescent="0.2">
      <c r="A125" s="23" t="s">
        <v>49</v>
      </c>
      <c r="B125" s="18">
        <v>1278744.1479999998</v>
      </c>
      <c r="C125" s="18">
        <v>1659849.2869544951</v>
      </c>
      <c r="D125" s="18">
        <v>1158161.0854339998</v>
      </c>
      <c r="E125" s="18">
        <v>889472.3216153906</v>
      </c>
      <c r="F125" s="18">
        <v>3565876.9213288007</v>
      </c>
      <c r="G125" s="18">
        <v>4458247.3336100774</v>
      </c>
      <c r="H125" s="19">
        <v>4.6130794744723369E-2</v>
      </c>
      <c r="I125" s="19">
        <v>0.25025272379528474</v>
      </c>
      <c r="J125" s="19">
        <v>0.16738684854987307</v>
      </c>
    </row>
    <row r="126" spans="1:10" ht="11.25" customHeight="1" x14ac:dyDescent="0.2">
      <c r="A126" s="24" t="s">
        <v>50</v>
      </c>
      <c r="B126" s="18">
        <v>1278744.1479999998</v>
      </c>
      <c r="C126" s="18">
        <v>1659849.2869544951</v>
      </c>
      <c r="D126" s="18">
        <v>1158161.0854339998</v>
      </c>
      <c r="E126" s="18">
        <v>889472.3216153906</v>
      </c>
      <c r="F126" s="18">
        <v>3565876.9213288007</v>
      </c>
      <c r="G126" s="18">
        <v>4458247.3336100774</v>
      </c>
      <c r="H126" s="19">
        <v>4.6130794744723369E-2</v>
      </c>
      <c r="I126" s="19">
        <v>0.25025272379528474</v>
      </c>
      <c r="J126" s="19">
        <v>0.16738684854987307</v>
      </c>
    </row>
    <row r="127" spans="1:10" ht="11.25" customHeight="1" x14ac:dyDescent="0.2">
      <c r="A127" s="25" t="s">
        <v>25</v>
      </c>
      <c r="B127" s="18">
        <v>1278744.1479999998</v>
      </c>
      <c r="C127" s="18">
        <v>1659849.2869544951</v>
      </c>
      <c r="D127" s="18">
        <v>1158161.0854339998</v>
      </c>
      <c r="E127" s="18">
        <v>889472.3216153906</v>
      </c>
      <c r="F127" s="18">
        <v>3565876.9213288007</v>
      </c>
      <c r="G127" s="18">
        <v>4458247.3336100774</v>
      </c>
      <c r="H127" s="19">
        <v>4.6130794744723369E-2</v>
      </c>
      <c r="I127" s="19">
        <v>0.25025272379528474</v>
      </c>
      <c r="J127" s="19">
        <v>0.16738684854987307</v>
      </c>
    </row>
    <row r="128" spans="1:10" ht="11.25" customHeight="1" x14ac:dyDescent="0.2">
      <c r="A128" s="26" t="s">
        <v>25</v>
      </c>
      <c r="B128" s="18">
        <v>1278744.1479999998</v>
      </c>
      <c r="C128" s="18">
        <v>1659849.2869544951</v>
      </c>
      <c r="D128" s="18">
        <v>1158161.0854339998</v>
      </c>
      <c r="E128" s="18">
        <v>889472.3216153906</v>
      </c>
      <c r="F128" s="18">
        <v>3565876.9213288007</v>
      </c>
      <c r="G128" s="18">
        <v>4458247.3336100774</v>
      </c>
      <c r="H128" s="19">
        <v>4.6130794744723369E-2</v>
      </c>
      <c r="I128" s="19">
        <v>0.25025272379528474</v>
      </c>
      <c r="J128" s="19">
        <v>0.16738684854987307</v>
      </c>
    </row>
    <row r="129" spans="1:10" ht="11.25" customHeight="1" x14ac:dyDescent="0.2">
      <c r="A129" s="27" t="s">
        <v>35</v>
      </c>
      <c r="B129" s="18">
        <v>328110.94799999997</v>
      </c>
      <c r="C129" s="18">
        <v>426375.62249383773</v>
      </c>
      <c r="D129" s="18">
        <v>1053767.4527187999</v>
      </c>
      <c r="E129" s="18">
        <v>809297.59633677581</v>
      </c>
      <c r="F129" s="18">
        <v>3049715.6758840005</v>
      </c>
      <c r="G129" s="18">
        <v>3812294.1532986998</v>
      </c>
      <c r="H129" s="19">
        <v>-0.10580177084476905</v>
      </c>
      <c r="I129" s="19">
        <v>0.25004904012688201</v>
      </c>
      <c r="J129" s="19">
        <v>0.1390861357949591</v>
      </c>
    </row>
    <row r="130" spans="1:10" ht="11.25" customHeight="1" x14ac:dyDescent="0.2">
      <c r="A130" s="28">
        <v>44501</v>
      </c>
      <c r="B130" s="18">
        <v>27401.688000000002</v>
      </c>
      <c r="C130" s="18">
        <v>35608.113199508123</v>
      </c>
      <c r="D130" s="18">
        <v>89920.732149000003</v>
      </c>
      <c r="E130" s="18">
        <v>69059.480060111775</v>
      </c>
      <c r="F130" s="18">
        <v>260240.21307</v>
      </c>
      <c r="G130" s="18">
        <v>325313.02855056879</v>
      </c>
      <c r="H130" s="19">
        <v>-0.10786367067188374</v>
      </c>
      <c r="I130" s="19">
        <v>0.25004904012688223</v>
      </c>
      <c r="J130" s="19">
        <v>0.13883256439941283</v>
      </c>
    </row>
    <row r="131" spans="1:10" ht="11.25" customHeight="1" x14ac:dyDescent="0.2">
      <c r="A131" s="28">
        <v>44531</v>
      </c>
      <c r="B131" s="18">
        <v>28036.332000000002</v>
      </c>
      <c r="C131" s="18">
        <v>36432.824268161581</v>
      </c>
      <c r="D131" s="18">
        <v>90757.02188320001</v>
      </c>
      <c r="E131" s="18">
        <v>69701.753903342527</v>
      </c>
      <c r="F131" s="18">
        <v>262660.52497600002</v>
      </c>
      <c r="G131" s="18">
        <v>328338.5371254718</v>
      </c>
      <c r="H131" s="19">
        <v>-0.10656131254735224</v>
      </c>
      <c r="I131" s="19">
        <v>0.25004904012688223</v>
      </c>
      <c r="J131" s="19">
        <v>0.13899252144541974</v>
      </c>
    </row>
    <row r="132" spans="1:10" ht="11.25" customHeight="1" x14ac:dyDescent="0.2">
      <c r="A132" s="28">
        <v>44562</v>
      </c>
      <c r="B132" s="18">
        <v>27065.7</v>
      </c>
      <c r="C132" s="18">
        <v>35171.501457279825</v>
      </c>
      <c r="D132" s="18">
        <v>88912.830252600004</v>
      </c>
      <c r="E132" s="18">
        <v>68285.407393514179</v>
      </c>
      <c r="F132" s="18">
        <v>257323.23721799999</v>
      </c>
      <c r="G132" s="18">
        <v>321666.66568670294</v>
      </c>
      <c r="H132" s="19">
        <v>-0.10796499468077447</v>
      </c>
      <c r="I132" s="19">
        <v>0.25004904012688223</v>
      </c>
      <c r="J132" s="19">
        <v>0.13882014922680019</v>
      </c>
    </row>
    <row r="133" spans="1:10" ht="11.25" customHeight="1" x14ac:dyDescent="0.2">
      <c r="A133" s="28">
        <v>44593</v>
      </c>
      <c r="B133" s="18">
        <v>27351.912</v>
      </c>
      <c r="C133" s="18">
        <v>35543.429978437263</v>
      </c>
      <c r="D133" s="18">
        <v>84215.555500600007</v>
      </c>
      <c r="E133" s="18">
        <v>64677.881694823365</v>
      </c>
      <c r="F133" s="18">
        <v>243728.82185799998</v>
      </c>
      <c r="G133" s="18">
        <v>304672.97981484875</v>
      </c>
      <c r="H133" s="19">
        <v>-0.10169770885297147</v>
      </c>
      <c r="I133" s="19">
        <v>0.25004904012688223</v>
      </c>
      <c r="J133" s="19">
        <v>0.13959617258892965</v>
      </c>
    </row>
    <row r="134" spans="1:10" ht="11.25" customHeight="1" x14ac:dyDescent="0.2">
      <c r="A134" s="28">
        <v>44621</v>
      </c>
      <c r="B134" s="18">
        <v>27663.011999999999</v>
      </c>
      <c r="C134" s="18">
        <v>35947.700110130136</v>
      </c>
      <c r="D134" s="18">
        <v>92795.998678200005</v>
      </c>
      <c r="E134" s="18">
        <v>71267.696194426273</v>
      </c>
      <c r="F134" s="18">
        <v>268561.54182599997</v>
      </c>
      <c r="G134" s="18">
        <v>335715.09757458681</v>
      </c>
      <c r="H134" s="19">
        <v>-0.10994291169320025</v>
      </c>
      <c r="I134" s="19">
        <v>0.25004904012688223</v>
      </c>
      <c r="J134" s="19">
        <v>0.13857864585280799</v>
      </c>
    </row>
    <row r="135" spans="1:10" ht="11.25" customHeight="1" x14ac:dyDescent="0.2">
      <c r="A135" s="28">
        <v>44652</v>
      </c>
      <c r="B135" s="18">
        <v>27663.011999999999</v>
      </c>
      <c r="C135" s="18">
        <v>35947.700110130136</v>
      </c>
      <c r="D135" s="18">
        <v>92795.998678200005</v>
      </c>
      <c r="E135" s="18">
        <v>71267.696194426273</v>
      </c>
      <c r="F135" s="18">
        <v>268561.54182599997</v>
      </c>
      <c r="G135" s="18">
        <v>335715.09757458681</v>
      </c>
      <c r="H135" s="19">
        <v>-0.10994291169320025</v>
      </c>
      <c r="I135" s="19">
        <v>0.25004904012688223</v>
      </c>
      <c r="J135" s="19">
        <v>0.13857864585280799</v>
      </c>
    </row>
    <row r="136" spans="1:10" ht="11.25" customHeight="1" x14ac:dyDescent="0.2">
      <c r="A136" s="28">
        <v>44682</v>
      </c>
      <c r="B136" s="18">
        <v>26928.815999999999</v>
      </c>
      <c r="C136" s="18">
        <v>34993.622599334958</v>
      </c>
      <c r="D136" s="18">
        <v>86960.113102799995</v>
      </c>
      <c r="E136" s="18">
        <v>66785.712853147241</v>
      </c>
      <c r="F136" s="18">
        <v>251671.86500399996</v>
      </c>
      <c r="G136" s="18">
        <v>314602.17327519244</v>
      </c>
      <c r="H136" s="19">
        <v>-0.10632810182442998</v>
      </c>
      <c r="I136" s="19">
        <v>0.25004904012688223</v>
      </c>
      <c r="J136" s="19">
        <v>0.13902123925802368</v>
      </c>
    </row>
    <row r="137" spans="1:10" ht="11.25" customHeight="1" x14ac:dyDescent="0.2">
      <c r="A137" s="28">
        <v>44713</v>
      </c>
      <c r="B137" s="18">
        <v>26903.928000000004</v>
      </c>
      <c r="C137" s="18">
        <v>34961.280988799532</v>
      </c>
      <c r="D137" s="18">
        <v>83770.897750199991</v>
      </c>
      <c r="E137" s="18">
        <v>64336.382773346166</v>
      </c>
      <c r="F137" s="18">
        <v>242441.934786</v>
      </c>
      <c r="G137" s="18">
        <v>303064.30786574347</v>
      </c>
      <c r="H137" s="19">
        <v>-0.10279810165442005</v>
      </c>
      <c r="I137" s="19">
        <v>0.25004904012688223</v>
      </c>
      <c r="J137" s="19">
        <v>0.13945871902798213</v>
      </c>
    </row>
    <row r="138" spans="1:10" ht="11.25" customHeight="1" x14ac:dyDescent="0.2">
      <c r="A138" s="28">
        <v>44743</v>
      </c>
      <c r="B138" s="18">
        <v>27364.356</v>
      </c>
      <c r="C138" s="18">
        <v>35559.600783704976</v>
      </c>
      <c r="D138" s="18">
        <v>82359.983534400002</v>
      </c>
      <c r="E138" s="18">
        <v>63252.795041975012</v>
      </c>
      <c r="F138" s="18">
        <v>238358.598192</v>
      </c>
      <c r="G138" s="18">
        <v>297959.9368758988</v>
      </c>
      <c r="H138" s="19">
        <v>-9.944870714212839E-2</v>
      </c>
      <c r="I138" s="19">
        <v>0.25004904012688223</v>
      </c>
      <c r="J138" s="19">
        <v>0.13987871767920335</v>
      </c>
    </row>
    <row r="139" spans="1:10" ht="11.25" customHeight="1" x14ac:dyDescent="0.2">
      <c r="A139" s="28">
        <v>44774</v>
      </c>
      <c r="B139" s="18">
        <v>27078.144</v>
      </c>
      <c r="C139" s="18">
        <v>35187.672262547538</v>
      </c>
      <c r="D139" s="18">
        <v>84238.068773199993</v>
      </c>
      <c r="E139" s="18">
        <v>64695.171977754238</v>
      </c>
      <c r="F139" s="18">
        <v>243793.97767599998</v>
      </c>
      <c r="G139" s="18">
        <v>304754.42778259836</v>
      </c>
      <c r="H139" s="19">
        <v>-0.10271072153876637</v>
      </c>
      <c r="I139" s="19">
        <v>0.25004904012688245</v>
      </c>
      <c r="J139" s="19">
        <v>0.13946961508215372</v>
      </c>
    </row>
    <row r="140" spans="1:10" ht="11.25" customHeight="1" x14ac:dyDescent="0.2">
      <c r="A140" s="28">
        <v>44805</v>
      </c>
      <c r="B140" s="18">
        <v>27327.024000000001</v>
      </c>
      <c r="C140" s="18">
        <v>35511.08836790183</v>
      </c>
      <c r="D140" s="18">
        <v>88520.126208200003</v>
      </c>
      <c r="E140" s="18">
        <v>67983.809124954394</v>
      </c>
      <c r="F140" s="18">
        <v>256186.709726</v>
      </c>
      <c r="G140" s="18">
        <v>320245.95058625052</v>
      </c>
      <c r="H140" s="19">
        <v>-0.10662543440338734</v>
      </c>
      <c r="I140" s="19">
        <v>0.25004904012688223</v>
      </c>
      <c r="J140" s="19">
        <v>0.13898462939381906</v>
      </c>
    </row>
    <row r="141" spans="1:10" ht="11.25" customHeight="1" x14ac:dyDescent="0.2">
      <c r="A141" s="28">
        <v>44835</v>
      </c>
      <c r="B141" s="18">
        <v>27327.024000000001</v>
      </c>
      <c r="C141" s="18">
        <v>35511.08836790183</v>
      </c>
      <c r="D141" s="18">
        <v>88520.126208200003</v>
      </c>
      <c r="E141" s="18">
        <v>67983.809124954394</v>
      </c>
      <c r="F141" s="18">
        <v>256186.709726</v>
      </c>
      <c r="G141" s="18">
        <v>320245.95058625052</v>
      </c>
      <c r="H141" s="19">
        <v>-0.10662543440338734</v>
      </c>
      <c r="I141" s="19">
        <v>0.25004904012688223</v>
      </c>
      <c r="J141" s="19">
        <v>0.13898462939381906</v>
      </c>
    </row>
    <row r="142" spans="1:10" ht="11.25" customHeight="1" x14ac:dyDescent="0.2">
      <c r="A142" s="27" t="s">
        <v>34</v>
      </c>
      <c r="B142" s="18">
        <v>950633.20000000007</v>
      </c>
      <c r="C142" s="18">
        <v>1233473.6644606572</v>
      </c>
      <c r="D142" s="18">
        <v>104393.63271520002</v>
      </c>
      <c r="E142" s="18">
        <v>80174.72527861486</v>
      </c>
      <c r="F142" s="18">
        <v>516161.24544479995</v>
      </c>
      <c r="G142" s="18">
        <v>645953.18031137658</v>
      </c>
      <c r="H142" s="19">
        <v>0.24513268194183047</v>
      </c>
      <c r="I142" s="19">
        <v>0.25145617965705447</v>
      </c>
      <c r="J142" s="19">
        <v>0.2472100554285741</v>
      </c>
    </row>
    <row r="143" spans="1:10" ht="11.25" customHeight="1" x14ac:dyDescent="0.2">
      <c r="A143" s="28">
        <v>44501</v>
      </c>
      <c r="B143" s="18">
        <v>79475</v>
      </c>
      <c r="C143" s="18">
        <v>103121.0770705365</v>
      </c>
      <c r="D143" s="18">
        <v>8427.3859103999985</v>
      </c>
      <c r="E143" s="18">
        <v>6472.2659094208439</v>
      </c>
      <c r="F143" s="18">
        <v>41668.154409599993</v>
      </c>
      <c r="G143" s="18">
        <v>52145.869330798261</v>
      </c>
      <c r="H143" s="19">
        <v>0.24676186937254707</v>
      </c>
      <c r="I143" s="19">
        <v>0.25145617965705469</v>
      </c>
      <c r="J143" s="19">
        <v>0.24827149683337546</v>
      </c>
    </row>
    <row r="144" spans="1:10" ht="11.25" customHeight="1" x14ac:dyDescent="0.2">
      <c r="A144" s="28">
        <v>44531</v>
      </c>
      <c r="B144" s="18">
        <v>78427.8</v>
      </c>
      <c r="C144" s="18">
        <v>101762.30523148943</v>
      </c>
      <c r="D144" s="18">
        <v>9423.1652754000006</v>
      </c>
      <c r="E144" s="18">
        <v>7237.0284236710477</v>
      </c>
      <c r="F144" s="18">
        <v>46591.660794599993</v>
      </c>
      <c r="G144" s="18">
        <v>58307.421821887481</v>
      </c>
      <c r="H144" s="19">
        <v>0.24073006270862729</v>
      </c>
      <c r="I144" s="19">
        <v>0.25145617965705469</v>
      </c>
      <c r="J144" s="19">
        <v>0.2444472439115899</v>
      </c>
    </row>
    <row r="145" spans="1:10" ht="11.25" customHeight="1" x14ac:dyDescent="0.2">
      <c r="A145" s="28">
        <v>44562</v>
      </c>
      <c r="B145" s="18">
        <v>78390.399999999994</v>
      </c>
      <c r="C145" s="18">
        <v>101713.77766580918</v>
      </c>
      <c r="D145" s="18">
        <v>8686.6596432000006</v>
      </c>
      <c r="E145" s="18">
        <v>6671.3891677895936</v>
      </c>
      <c r="F145" s="18">
        <v>42950.100916799995</v>
      </c>
      <c r="G145" s="18">
        <v>53750.169209223481</v>
      </c>
      <c r="H145" s="19">
        <v>0.2447040274178891</v>
      </c>
      <c r="I145" s="19">
        <v>0.25145617965705469</v>
      </c>
      <c r="J145" s="19">
        <v>0.2469343738995684</v>
      </c>
    </row>
    <row r="146" spans="1:10" ht="11.25" customHeight="1" x14ac:dyDescent="0.2">
      <c r="A146" s="28">
        <v>44593</v>
      </c>
      <c r="B146" s="18">
        <v>79362.8</v>
      </c>
      <c r="C146" s="18">
        <v>102975.49437349575</v>
      </c>
      <c r="D146" s="18">
        <v>8486.1843110000009</v>
      </c>
      <c r="E146" s="18">
        <v>6517.4233150241898</v>
      </c>
      <c r="F146" s="18">
        <v>41958.875738999996</v>
      </c>
      <c r="G146" s="18">
        <v>52509.694335034008</v>
      </c>
      <c r="H146" s="19">
        <v>0.24637659214017549</v>
      </c>
      <c r="I146" s="19">
        <v>0.25145617965705469</v>
      </c>
      <c r="J146" s="19">
        <v>0.24801850951978577</v>
      </c>
    </row>
    <row r="147" spans="1:10" ht="11.25" customHeight="1" x14ac:dyDescent="0.2">
      <c r="A147" s="28">
        <v>44621</v>
      </c>
      <c r="B147" s="18">
        <v>80746.599999999991</v>
      </c>
      <c r="C147" s="18">
        <v>104771.01430366507</v>
      </c>
      <c r="D147" s="18">
        <v>9277.4475000000002</v>
      </c>
      <c r="E147" s="18">
        <v>7125.1165923931921</v>
      </c>
      <c r="F147" s="18">
        <v>45871.177499999998</v>
      </c>
      <c r="G147" s="18">
        <v>57405.768550520639</v>
      </c>
      <c r="H147" s="19">
        <v>0.24295823175533493</v>
      </c>
      <c r="I147" s="19">
        <v>0.25145617965705469</v>
      </c>
      <c r="J147" s="19">
        <v>0.24582669807992841</v>
      </c>
    </row>
    <row r="148" spans="1:10" ht="11.25" customHeight="1" x14ac:dyDescent="0.2">
      <c r="A148" s="28">
        <v>44652</v>
      </c>
      <c r="B148" s="18">
        <v>80746.599999999991</v>
      </c>
      <c r="C148" s="18">
        <v>104771.01430366507</v>
      </c>
      <c r="D148" s="18">
        <v>9277.4475000000002</v>
      </c>
      <c r="E148" s="18">
        <v>7125.1165923931921</v>
      </c>
      <c r="F148" s="18">
        <v>45871.177499999998</v>
      </c>
      <c r="G148" s="18">
        <v>57405.768550520639</v>
      </c>
      <c r="H148" s="19">
        <v>0.24295823175533493</v>
      </c>
      <c r="I148" s="19">
        <v>0.25145617965705469</v>
      </c>
      <c r="J148" s="19">
        <v>0.24582669807992841</v>
      </c>
    </row>
    <row r="149" spans="1:10" ht="11.25" customHeight="1" x14ac:dyDescent="0.2">
      <c r="A149" s="28">
        <v>44682</v>
      </c>
      <c r="B149" s="18">
        <v>78053.8</v>
      </c>
      <c r="C149" s="18">
        <v>101277.02957468691</v>
      </c>
      <c r="D149" s="18">
        <v>8765.4148642</v>
      </c>
      <c r="E149" s="18">
        <v>6731.8734908627976</v>
      </c>
      <c r="F149" s="18">
        <v>43339.496245799994</v>
      </c>
      <c r="G149" s="18">
        <v>54237.480400030123</v>
      </c>
      <c r="H149" s="19">
        <v>0.24406680289028149</v>
      </c>
      <c r="I149" s="19">
        <v>0.25145617965705469</v>
      </c>
      <c r="J149" s="19">
        <v>0.24652727490872151</v>
      </c>
    </row>
    <row r="150" spans="1:10" ht="11.25" customHeight="1" x14ac:dyDescent="0.2">
      <c r="A150" s="28">
        <v>44713</v>
      </c>
      <c r="B150" s="18">
        <v>78540</v>
      </c>
      <c r="C150" s="18">
        <v>101907.88792853018</v>
      </c>
      <c r="D150" s="18">
        <v>8037.8980477999994</v>
      </c>
      <c r="E150" s="18">
        <v>6173.1376812797507</v>
      </c>
      <c r="F150" s="18">
        <v>39742.380442199996</v>
      </c>
      <c r="G150" s="18">
        <v>49735.847598672852</v>
      </c>
      <c r="H150" s="19">
        <v>0.2483674014601045</v>
      </c>
      <c r="I150" s="19">
        <v>0.25145617965705469</v>
      </c>
      <c r="J150" s="19">
        <v>0.24933918049409765</v>
      </c>
    </row>
    <row r="151" spans="1:10" ht="11.25" customHeight="1" x14ac:dyDescent="0.2">
      <c r="A151" s="28">
        <v>44743</v>
      </c>
      <c r="B151" s="18">
        <v>78914</v>
      </c>
      <c r="C151" s="18">
        <v>102393.16358533272</v>
      </c>
      <c r="D151" s="18">
        <v>7726.7530751999993</v>
      </c>
      <c r="E151" s="18">
        <v>5934.1771043633107</v>
      </c>
      <c r="F151" s="18">
        <v>38203.963084799994</v>
      </c>
      <c r="G151" s="18">
        <v>47810.585689862943</v>
      </c>
      <c r="H151" s="19">
        <v>0.25030469894084484</v>
      </c>
      <c r="I151" s="19">
        <v>0.25145617965705447</v>
      </c>
      <c r="J151" s="19">
        <v>0.25065706568993962</v>
      </c>
    </row>
    <row r="152" spans="1:10" ht="11.25" customHeight="1" x14ac:dyDescent="0.2">
      <c r="A152" s="28">
        <v>44774</v>
      </c>
      <c r="B152" s="18">
        <v>78577.399999999994</v>
      </c>
      <c r="C152" s="18">
        <v>101956.41549421044</v>
      </c>
      <c r="D152" s="18">
        <v>8711.7293680000002</v>
      </c>
      <c r="E152" s="18">
        <v>6690.642816181482</v>
      </c>
      <c r="F152" s="18">
        <v>43074.055031999997</v>
      </c>
      <c r="G152" s="18">
        <v>53905.292352684446</v>
      </c>
      <c r="H152" s="19">
        <v>0.24468028375388617</v>
      </c>
      <c r="I152" s="19">
        <v>0.25145617965705469</v>
      </c>
      <c r="J152" s="19">
        <v>0.24691914677619953</v>
      </c>
    </row>
    <row r="153" spans="1:10" ht="11.25" customHeight="1" x14ac:dyDescent="0.2">
      <c r="A153" s="28">
        <v>44805</v>
      </c>
      <c r="B153" s="18">
        <v>79699.399999999994</v>
      </c>
      <c r="C153" s="18">
        <v>103412.24246461802</v>
      </c>
      <c r="D153" s="18">
        <v>8786.7736100000002</v>
      </c>
      <c r="E153" s="18">
        <v>6748.2770926177291</v>
      </c>
      <c r="F153" s="18">
        <v>43445.101889999998</v>
      </c>
      <c r="G153" s="18">
        <v>54369.641236070878</v>
      </c>
      <c r="H153" s="19">
        <v>0.24494613184162239</v>
      </c>
      <c r="I153" s="19">
        <v>0.25145617965705447</v>
      </c>
      <c r="J153" s="19">
        <v>0.24708989714350671</v>
      </c>
    </row>
    <row r="154" spans="1:10" ht="11.25" customHeight="1" x14ac:dyDescent="0.2">
      <c r="A154" s="28">
        <v>44835</v>
      </c>
      <c r="B154" s="18">
        <v>79699.399999999994</v>
      </c>
      <c r="C154" s="18">
        <v>103412.24246461802</v>
      </c>
      <c r="D154" s="18">
        <v>8786.7736100000002</v>
      </c>
      <c r="E154" s="18">
        <v>6748.2770926177291</v>
      </c>
      <c r="F154" s="18">
        <v>43445.101889999998</v>
      </c>
      <c r="G154" s="18">
        <v>54369.641236070878</v>
      </c>
      <c r="H154" s="19">
        <v>0.24494613184162239</v>
      </c>
      <c r="I154" s="19">
        <v>0.25145617965705447</v>
      </c>
      <c r="J154" s="19">
        <v>0.24708989714350671</v>
      </c>
    </row>
    <row r="155" spans="1:10" ht="11.25" customHeight="1" x14ac:dyDescent="0.2">
      <c r="A155" s="22" t="s">
        <v>41</v>
      </c>
      <c r="B155" s="18">
        <v>17495556.156000007</v>
      </c>
      <c r="C155" s="18">
        <v>22735232.372954506</v>
      </c>
      <c r="D155" s="18">
        <v>29183694.660527177</v>
      </c>
      <c r="E155" s="18">
        <v>29224914.90965803</v>
      </c>
      <c r="F155" s="18">
        <v>49613080.807685226</v>
      </c>
      <c r="G155" s="18">
        <v>62026092.361974619</v>
      </c>
      <c r="H155" s="19">
        <v>0.11313156003385649</v>
      </c>
      <c r="I155" s="19">
        <v>0.25019634645157085</v>
      </c>
      <c r="J155" s="19">
        <v>0.18375199480501214</v>
      </c>
    </row>
    <row r="156" spans="1:10" ht="11.25" customHeight="1" x14ac:dyDescent="0.2">
      <c r="A156" s="23" t="s">
        <v>42</v>
      </c>
      <c r="B156" s="18">
        <v>6628421.040000001</v>
      </c>
      <c r="C156" s="18">
        <v>8613541.1339009963</v>
      </c>
      <c r="D156" s="18">
        <v>13681378.39023</v>
      </c>
      <c r="E156" s="18">
        <v>13770280.864925656</v>
      </c>
      <c r="F156" s="18">
        <v>22902766.877309989</v>
      </c>
      <c r="G156" s="18">
        <v>28633082.558381502</v>
      </c>
      <c r="H156" s="19">
        <v>0.10211930333046948</v>
      </c>
      <c r="I156" s="19">
        <v>0.25020189533294146</v>
      </c>
      <c r="J156" s="19">
        <v>0.18060344285329766</v>
      </c>
    </row>
    <row r="157" spans="1:10" ht="11.25" customHeight="1" x14ac:dyDescent="0.2">
      <c r="A157" s="24" t="s">
        <v>25</v>
      </c>
      <c r="B157" s="18">
        <v>6628421.040000001</v>
      </c>
      <c r="C157" s="18">
        <v>8613541.1339009963</v>
      </c>
      <c r="D157" s="18">
        <v>13681378.39023</v>
      </c>
      <c r="E157" s="18">
        <v>13770280.864925656</v>
      </c>
      <c r="F157" s="18">
        <v>22902766.877309989</v>
      </c>
      <c r="G157" s="18">
        <v>28633082.558381502</v>
      </c>
      <c r="H157" s="19">
        <v>0.10211930333046948</v>
      </c>
      <c r="I157" s="19">
        <v>0.25020189533294146</v>
      </c>
      <c r="J157" s="19">
        <v>0.18060344285329766</v>
      </c>
    </row>
    <row r="158" spans="1:10" ht="11.25" customHeight="1" x14ac:dyDescent="0.2">
      <c r="A158" s="25" t="s">
        <v>25</v>
      </c>
      <c r="B158" s="18">
        <v>6628421.040000001</v>
      </c>
      <c r="C158" s="18">
        <v>8613541.1339009963</v>
      </c>
      <c r="D158" s="18">
        <v>13681378.39023</v>
      </c>
      <c r="E158" s="18">
        <v>13770280.864925656</v>
      </c>
      <c r="F158" s="18">
        <v>22902766.877309989</v>
      </c>
      <c r="G158" s="18">
        <v>28633082.558381502</v>
      </c>
      <c r="H158" s="19">
        <v>0.10211930333046948</v>
      </c>
      <c r="I158" s="19">
        <v>0.25020189533294146</v>
      </c>
      <c r="J158" s="19">
        <v>0.18060344285329766</v>
      </c>
    </row>
    <row r="159" spans="1:10" ht="11.25" customHeight="1" x14ac:dyDescent="0.2">
      <c r="A159" s="26" t="s">
        <v>25</v>
      </c>
      <c r="B159" s="18">
        <v>6628421.040000001</v>
      </c>
      <c r="C159" s="18">
        <v>8613541.1339009963</v>
      </c>
      <c r="D159" s="18">
        <v>13681378.39023</v>
      </c>
      <c r="E159" s="18">
        <v>13770280.864925656</v>
      </c>
      <c r="F159" s="18">
        <v>22902766.877309989</v>
      </c>
      <c r="G159" s="18">
        <v>28633082.558381502</v>
      </c>
      <c r="H159" s="19">
        <v>0.10211930333046948</v>
      </c>
      <c r="I159" s="19">
        <v>0.25020189533294146</v>
      </c>
      <c r="J159" s="19">
        <v>0.18060344285329766</v>
      </c>
    </row>
    <row r="160" spans="1:10" ht="11.25" customHeight="1" x14ac:dyDescent="0.2">
      <c r="A160" s="27" t="s">
        <v>35</v>
      </c>
      <c r="B160" s="18">
        <v>0</v>
      </c>
      <c r="C160" s="18">
        <v>0</v>
      </c>
      <c r="D160" s="18">
        <v>7053947.3187000006</v>
      </c>
      <c r="E160" s="18">
        <v>5417459.606463613</v>
      </c>
      <c r="F160" s="18">
        <v>20414877.740999997</v>
      </c>
      <c r="G160" s="18">
        <v>25519598.324444704</v>
      </c>
      <c r="H160" s="19">
        <v>-0.23199602127706032</v>
      </c>
      <c r="I160" s="19">
        <v>0.25004904012688201</v>
      </c>
      <c r="J160" s="19">
        <v>0.12626069239112137</v>
      </c>
    </row>
    <row r="161" spans="1:10" ht="11.25" customHeight="1" x14ac:dyDescent="0.2">
      <c r="A161" s="28">
        <v>44501</v>
      </c>
      <c r="B161" s="18">
        <v>0</v>
      </c>
      <c r="C161" s="18">
        <v>0</v>
      </c>
      <c r="D161" s="18">
        <v>609753.76685000013</v>
      </c>
      <c r="E161" s="18">
        <v>468293.31898209982</v>
      </c>
      <c r="F161" s="18">
        <v>1764692.5955000001</v>
      </c>
      <c r="G161" s="18">
        <v>2205952.2851237915</v>
      </c>
      <c r="H161" s="19">
        <v>-0.23199602127706032</v>
      </c>
      <c r="I161" s="19">
        <v>0.25004904012688223</v>
      </c>
      <c r="J161" s="19">
        <v>0.12626069239112159</v>
      </c>
    </row>
    <row r="162" spans="1:10" ht="11.25" customHeight="1" x14ac:dyDescent="0.2">
      <c r="A162" s="28">
        <v>44531</v>
      </c>
      <c r="B162" s="18">
        <v>0</v>
      </c>
      <c r="C162" s="18">
        <v>0</v>
      </c>
      <c r="D162" s="18">
        <v>576620.60228999995</v>
      </c>
      <c r="E162" s="18">
        <v>442846.91677233792</v>
      </c>
      <c r="F162" s="18">
        <v>1668801.6746999999</v>
      </c>
      <c r="G162" s="18">
        <v>2086083.9316208684</v>
      </c>
      <c r="H162" s="19">
        <v>-0.23199602127706009</v>
      </c>
      <c r="I162" s="19">
        <v>0.25004904012688223</v>
      </c>
      <c r="J162" s="19">
        <v>0.12626069239112181</v>
      </c>
    </row>
    <row r="163" spans="1:10" ht="11.25" customHeight="1" x14ac:dyDescent="0.2">
      <c r="A163" s="28">
        <v>44562</v>
      </c>
      <c r="B163" s="18">
        <v>0</v>
      </c>
      <c r="C163" s="18">
        <v>0</v>
      </c>
      <c r="D163" s="18">
        <v>553794.65997000004</v>
      </c>
      <c r="E163" s="18">
        <v>425316.50225247763</v>
      </c>
      <c r="F163" s="18">
        <v>1602740.9571</v>
      </c>
      <c r="G163" s="18">
        <v>2003504.7949948953</v>
      </c>
      <c r="H163" s="19">
        <v>-0.23199602127706009</v>
      </c>
      <c r="I163" s="19">
        <v>0.25004904012688201</v>
      </c>
      <c r="J163" s="19">
        <v>0.12626069239112159</v>
      </c>
    </row>
    <row r="164" spans="1:10" ht="11.25" customHeight="1" x14ac:dyDescent="0.2">
      <c r="A164" s="28">
        <v>44593</v>
      </c>
      <c r="B164" s="18">
        <v>0</v>
      </c>
      <c r="C164" s="18">
        <v>0</v>
      </c>
      <c r="D164" s="18">
        <v>539184.63215000008</v>
      </c>
      <c r="E164" s="18">
        <v>414095.94275746477</v>
      </c>
      <c r="F164" s="18">
        <v>1560457.9745</v>
      </c>
      <c r="G164" s="18">
        <v>1950648.993182064</v>
      </c>
      <c r="H164" s="19">
        <v>-0.2319960212770602</v>
      </c>
      <c r="I164" s="19">
        <v>0.25004904012688223</v>
      </c>
      <c r="J164" s="19">
        <v>0.12626069239112181</v>
      </c>
    </row>
    <row r="165" spans="1:10" ht="11.25" customHeight="1" x14ac:dyDescent="0.2">
      <c r="A165" s="28">
        <v>44621</v>
      </c>
      <c r="B165" s="18">
        <v>0</v>
      </c>
      <c r="C165" s="18">
        <v>0</v>
      </c>
      <c r="D165" s="18">
        <v>581959.58689999999</v>
      </c>
      <c r="E165" s="18">
        <v>446947.27819515846</v>
      </c>
      <c r="F165" s="18">
        <v>1684253.267</v>
      </c>
      <c r="G165" s="18">
        <v>2105399.1797439153</v>
      </c>
      <c r="H165" s="19">
        <v>-0.23199602127706009</v>
      </c>
      <c r="I165" s="19">
        <v>0.25004904012688223</v>
      </c>
      <c r="J165" s="19">
        <v>0.12626069239112181</v>
      </c>
    </row>
    <row r="166" spans="1:10" ht="11.25" customHeight="1" x14ac:dyDescent="0.2">
      <c r="A166" s="28">
        <v>44652</v>
      </c>
      <c r="B166" s="18">
        <v>0</v>
      </c>
      <c r="C166" s="18">
        <v>0</v>
      </c>
      <c r="D166" s="18">
        <v>581959.58689999999</v>
      </c>
      <c r="E166" s="18">
        <v>446947.27819515846</v>
      </c>
      <c r="F166" s="18">
        <v>1684253.267</v>
      </c>
      <c r="G166" s="18">
        <v>2105399.1797439153</v>
      </c>
      <c r="H166" s="19">
        <v>-0.23199602127706009</v>
      </c>
      <c r="I166" s="19">
        <v>0.25004904012688223</v>
      </c>
      <c r="J166" s="19">
        <v>0.12626069239112181</v>
      </c>
    </row>
    <row r="167" spans="1:10" ht="11.25" customHeight="1" x14ac:dyDescent="0.2">
      <c r="A167" s="28">
        <v>44682</v>
      </c>
      <c r="B167" s="18">
        <v>0</v>
      </c>
      <c r="C167" s="18">
        <v>0</v>
      </c>
      <c r="D167" s="18">
        <v>620119.505</v>
      </c>
      <c r="E167" s="18">
        <v>476254.24712369998</v>
      </c>
      <c r="F167" s="18">
        <v>1794692.15</v>
      </c>
      <c r="G167" s="18">
        <v>2243453.1994307502</v>
      </c>
      <c r="H167" s="19">
        <v>-0.2319960212770602</v>
      </c>
      <c r="I167" s="19">
        <v>0.25004904012688201</v>
      </c>
      <c r="J167" s="19">
        <v>0.12626069239112181</v>
      </c>
    </row>
    <row r="168" spans="1:10" ht="11.25" customHeight="1" x14ac:dyDescent="0.2">
      <c r="A168" s="28">
        <v>44713</v>
      </c>
      <c r="B168" s="18">
        <v>0</v>
      </c>
      <c r="C168" s="18">
        <v>0</v>
      </c>
      <c r="D168" s="18">
        <v>524423.88419000001</v>
      </c>
      <c r="E168" s="18">
        <v>402759.62959525827</v>
      </c>
      <c r="F168" s="18">
        <v>1517738.7916999999</v>
      </c>
      <c r="G168" s="18">
        <v>1897247.9197279192</v>
      </c>
      <c r="H168" s="19">
        <v>-0.23199602127706009</v>
      </c>
      <c r="I168" s="19">
        <v>0.25004904012688245</v>
      </c>
      <c r="J168" s="19">
        <v>0.12626069239112181</v>
      </c>
    </row>
    <row r="169" spans="1:10" ht="11.25" customHeight="1" x14ac:dyDescent="0.2">
      <c r="A169" s="28">
        <v>44743</v>
      </c>
      <c r="B169" s="18">
        <v>0</v>
      </c>
      <c r="C169" s="18">
        <v>0</v>
      </c>
      <c r="D169" s="18">
        <v>555332.39141000016</v>
      </c>
      <c r="E169" s="18">
        <v>426497.48611660494</v>
      </c>
      <c r="F169" s="18">
        <v>1607191.3163000001</v>
      </c>
      <c r="G169" s="18">
        <v>2009067.9622410755</v>
      </c>
      <c r="H169" s="19">
        <v>-0.23199602127706043</v>
      </c>
      <c r="I169" s="19">
        <v>0.25004904012688223</v>
      </c>
      <c r="J169" s="19">
        <v>0.12626069239112159</v>
      </c>
    </row>
    <row r="170" spans="1:10" ht="11.25" customHeight="1" x14ac:dyDescent="0.2">
      <c r="A170" s="28">
        <v>44774</v>
      </c>
      <c r="B170" s="18">
        <v>0</v>
      </c>
      <c r="C170" s="18">
        <v>0</v>
      </c>
      <c r="D170" s="18">
        <v>610241.63338000001</v>
      </c>
      <c r="E170" s="18">
        <v>468668.00241822563</v>
      </c>
      <c r="F170" s="18">
        <v>1766104.5334000001</v>
      </c>
      <c r="G170" s="18">
        <v>2207717.2767404052</v>
      </c>
      <c r="H170" s="19">
        <v>-0.23199602127706009</v>
      </c>
      <c r="I170" s="19">
        <v>0.25004904012688223</v>
      </c>
      <c r="J170" s="19">
        <v>0.12626069239112181</v>
      </c>
    </row>
    <row r="171" spans="1:10" ht="11.25" customHeight="1" x14ac:dyDescent="0.2">
      <c r="A171" s="28">
        <v>44805</v>
      </c>
      <c r="B171" s="18">
        <v>0</v>
      </c>
      <c r="C171" s="18">
        <v>0</v>
      </c>
      <c r="D171" s="18">
        <v>650278.53483000002</v>
      </c>
      <c r="E171" s="18">
        <v>499416.50202756381</v>
      </c>
      <c r="F171" s="18">
        <v>1881975.6069</v>
      </c>
      <c r="G171" s="18">
        <v>2352561.8009475516</v>
      </c>
      <c r="H171" s="19">
        <v>-0.2319960212770602</v>
      </c>
      <c r="I171" s="19">
        <v>0.25004904012688223</v>
      </c>
      <c r="J171" s="19">
        <v>0.12626069239112159</v>
      </c>
    </row>
    <row r="172" spans="1:10" ht="11.25" customHeight="1" x14ac:dyDescent="0.2">
      <c r="A172" s="28">
        <v>44835</v>
      </c>
      <c r="B172" s="18">
        <v>0</v>
      </c>
      <c r="C172" s="18">
        <v>0</v>
      </c>
      <c r="D172" s="18">
        <v>650278.53483000002</v>
      </c>
      <c r="E172" s="18">
        <v>499416.50202756381</v>
      </c>
      <c r="F172" s="18">
        <v>1881975.6069</v>
      </c>
      <c r="G172" s="18">
        <v>2352561.8009475516</v>
      </c>
      <c r="H172" s="19">
        <v>-0.2319960212770602</v>
      </c>
      <c r="I172" s="19">
        <v>0.25004904012688223</v>
      </c>
      <c r="J172" s="19">
        <v>0.12626069239112159</v>
      </c>
    </row>
    <row r="173" spans="1:10" ht="11.25" customHeight="1" x14ac:dyDescent="0.2">
      <c r="A173" s="27" t="s">
        <v>25</v>
      </c>
      <c r="B173" s="18">
        <v>6628421.040000001</v>
      </c>
      <c r="C173" s="18">
        <v>8613541.1339009963</v>
      </c>
      <c r="D173" s="18">
        <v>0</v>
      </c>
      <c r="E173" s="18">
        <v>0</v>
      </c>
      <c r="F173" s="18">
        <v>0</v>
      </c>
      <c r="G173" s="18">
        <v>0</v>
      </c>
      <c r="H173" s="19">
        <v>0.29948611923134494</v>
      </c>
      <c r="I173" s="19">
        <v>0</v>
      </c>
      <c r="J173" s="19">
        <v>0.29948611923134494</v>
      </c>
    </row>
    <row r="174" spans="1:10" ht="11.25" customHeight="1" x14ac:dyDescent="0.2">
      <c r="A174" s="28">
        <v>44501</v>
      </c>
      <c r="B174" s="18">
        <v>513175.92</v>
      </c>
      <c r="C174" s="18">
        <v>666864.98476377537</v>
      </c>
      <c r="D174" s="18">
        <v>0</v>
      </c>
      <c r="E174" s="18">
        <v>0</v>
      </c>
      <c r="F174" s="18">
        <v>0</v>
      </c>
      <c r="G174" s="18">
        <v>0</v>
      </c>
      <c r="H174" s="19">
        <v>0.29948611923134538</v>
      </c>
      <c r="I174" s="19">
        <v>0</v>
      </c>
      <c r="J174" s="19">
        <v>0.29948611923134538</v>
      </c>
    </row>
    <row r="175" spans="1:10" ht="11.25" customHeight="1" x14ac:dyDescent="0.2">
      <c r="A175" s="28">
        <v>44531</v>
      </c>
      <c r="B175" s="18">
        <v>515298.72000000003</v>
      </c>
      <c r="C175" s="18">
        <v>669623.53389767953</v>
      </c>
      <c r="D175" s="18">
        <v>0</v>
      </c>
      <c r="E175" s="18">
        <v>0</v>
      </c>
      <c r="F175" s="18">
        <v>0</v>
      </c>
      <c r="G175" s="18">
        <v>0</v>
      </c>
      <c r="H175" s="19">
        <v>0.29948611923134516</v>
      </c>
      <c r="I175" s="19">
        <v>0</v>
      </c>
      <c r="J175" s="19">
        <v>0.29948611923134516</v>
      </c>
    </row>
    <row r="176" spans="1:10" ht="11.25" customHeight="1" x14ac:dyDescent="0.2">
      <c r="A176" s="28">
        <v>44562</v>
      </c>
      <c r="B176" s="18">
        <v>516513.84</v>
      </c>
      <c r="C176" s="18">
        <v>671202.56547088001</v>
      </c>
      <c r="D176" s="18">
        <v>0</v>
      </c>
      <c r="E176" s="18">
        <v>0</v>
      </c>
      <c r="F176" s="18">
        <v>0</v>
      </c>
      <c r="G176" s="18">
        <v>0</v>
      </c>
      <c r="H176" s="19">
        <v>0.29948611923134516</v>
      </c>
      <c r="I176" s="19">
        <v>0</v>
      </c>
      <c r="J176" s="19">
        <v>0.29948611923134516</v>
      </c>
    </row>
    <row r="177" spans="1:10" ht="11.25" customHeight="1" x14ac:dyDescent="0.2">
      <c r="A177" s="28">
        <v>44593</v>
      </c>
      <c r="B177" s="18">
        <v>516923.76</v>
      </c>
      <c r="C177" s="18">
        <v>671735.25082087528</v>
      </c>
      <c r="D177" s="18">
        <v>0</v>
      </c>
      <c r="E177" s="18">
        <v>0</v>
      </c>
      <c r="F177" s="18">
        <v>0</v>
      </c>
      <c r="G177" s="18">
        <v>0</v>
      </c>
      <c r="H177" s="19">
        <v>0.29948611923134516</v>
      </c>
      <c r="I177" s="19">
        <v>0</v>
      </c>
      <c r="J177" s="19">
        <v>0.29948611923134516</v>
      </c>
    </row>
    <row r="178" spans="1:10" ht="11.25" customHeight="1" x14ac:dyDescent="0.2">
      <c r="A178" s="28">
        <v>44621</v>
      </c>
      <c r="B178" s="18">
        <v>577577.28</v>
      </c>
      <c r="C178" s="18">
        <v>750553.65814339614</v>
      </c>
      <c r="D178" s="18">
        <v>0</v>
      </c>
      <c r="E178" s="18">
        <v>0</v>
      </c>
      <c r="F178" s="18">
        <v>0</v>
      </c>
      <c r="G178" s="18">
        <v>0</v>
      </c>
      <c r="H178" s="19">
        <v>0.29948611923134538</v>
      </c>
      <c r="I178" s="19">
        <v>0</v>
      </c>
      <c r="J178" s="19">
        <v>0.29948611923134538</v>
      </c>
    </row>
    <row r="179" spans="1:10" ht="11.25" customHeight="1" x14ac:dyDescent="0.2">
      <c r="A179" s="28">
        <v>44652</v>
      </c>
      <c r="B179" s="18">
        <v>577577.28</v>
      </c>
      <c r="C179" s="18">
        <v>750553.65814339614</v>
      </c>
      <c r="D179" s="18">
        <v>0</v>
      </c>
      <c r="E179" s="18">
        <v>0</v>
      </c>
      <c r="F179" s="18">
        <v>0</v>
      </c>
      <c r="G179" s="18">
        <v>0</v>
      </c>
      <c r="H179" s="19">
        <v>0.29948611923134538</v>
      </c>
      <c r="I179" s="19">
        <v>0</v>
      </c>
      <c r="J179" s="19">
        <v>0.29948611923134538</v>
      </c>
    </row>
    <row r="180" spans="1:10" ht="11.25" customHeight="1" x14ac:dyDescent="0.2">
      <c r="A180" s="28">
        <v>44682</v>
      </c>
      <c r="B180" s="18">
        <v>659517.3600000001</v>
      </c>
      <c r="C180" s="18">
        <v>857033.65471210214</v>
      </c>
      <c r="D180" s="18">
        <v>0</v>
      </c>
      <c r="E180" s="18">
        <v>0</v>
      </c>
      <c r="F180" s="18">
        <v>0</v>
      </c>
      <c r="G180" s="18">
        <v>0</v>
      </c>
      <c r="H180" s="19">
        <v>0.29948611923134516</v>
      </c>
      <c r="I180" s="19">
        <v>0</v>
      </c>
      <c r="J180" s="19">
        <v>0.29948611923134516</v>
      </c>
    </row>
    <row r="181" spans="1:10" ht="11.25" customHeight="1" x14ac:dyDescent="0.2">
      <c r="A181" s="28">
        <v>44713</v>
      </c>
      <c r="B181" s="18">
        <v>522955.44000000006</v>
      </c>
      <c r="C181" s="18">
        <v>679573.33525652066</v>
      </c>
      <c r="D181" s="18">
        <v>0</v>
      </c>
      <c r="E181" s="18">
        <v>0</v>
      </c>
      <c r="F181" s="18">
        <v>0</v>
      </c>
      <c r="G181" s="18">
        <v>0</v>
      </c>
      <c r="H181" s="19">
        <v>0.29948611923134516</v>
      </c>
      <c r="I181" s="19">
        <v>0</v>
      </c>
      <c r="J181" s="19">
        <v>0.29948611923134516</v>
      </c>
    </row>
    <row r="182" spans="1:10" ht="11.25" customHeight="1" x14ac:dyDescent="0.2">
      <c r="A182" s="28">
        <v>44743</v>
      </c>
      <c r="B182" s="18">
        <v>566143.44000000006</v>
      </c>
      <c r="C182" s="18">
        <v>735695.54177388398</v>
      </c>
      <c r="D182" s="18">
        <v>0</v>
      </c>
      <c r="E182" s="18">
        <v>0</v>
      </c>
      <c r="F182" s="18">
        <v>0</v>
      </c>
      <c r="G182" s="18">
        <v>0</v>
      </c>
      <c r="H182" s="19">
        <v>0.29948611923134516</v>
      </c>
      <c r="I182" s="19">
        <v>0</v>
      </c>
      <c r="J182" s="19">
        <v>0.29948611923134516</v>
      </c>
    </row>
    <row r="183" spans="1:10" ht="11.25" customHeight="1" x14ac:dyDescent="0.2">
      <c r="A183" s="28">
        <v>44774</v>
      </c>
      <c r="B183" s="18">
        <v>552294</v>
      </c>
      <c r="C183" s="18">
        <v>717698.38673475664</v>
      </c>
      <c r="D183" s="18">
        <v>0</v>
      </c>
      <c r="E183" s="18">
        <v>0</v>
      </c>
      <c r="F183" s="18">
        <v>0</v>
      </c>
      <c r="G183" s="18">
        <v>0</v>
      </c>
      <c r="H183" s="19">
        <v>0.29948611923134538</v>
      </c>
      <c r="I183" s="19">
        <v>0</v>
      </c>
      <c r="J183" s="19">
        <v>0.29948611923134538</v>
      </c>
    </row>
    <row r="184" spans="1:10" ht="11.25" customHeight="1" x14ac:dyDescent="0.2">
      <c r="A184" s="28">
        <v>44805</v>
      </c>
      <c r="B184" s="18">
        <v>555222</v>
      </c>
      <c r="C184" s="18">
        <v>721503.2820918659</v>
      </c>
      <c r="D184" s="18">
        <v>0</v>
      </c>
      <c r="E184" s="18">
        <v>0</v>
      </c>
      <c r="F184" s="18">
        <v>0</v>
      </c>
      <c r="G184" s="18">
        <v>0</v>
      </c>
      <c r="H184" s="19">
        <v>0.29948611923134516</v>
      </c>
      <c r="I184" s="19">
        <v>0</v>
      </c>
      <c r="J184" s="19">
        <v>0.29948611923134516</v>
      </c>
    </row>
    <row r="185" spans="1:10" ht="11.25" customHeight="1" x14ac:dyDescent="0.2">
      <c r="A185" s="28">
        <v>44835</v>
      </c>
      <c r="B185" s="18">
        <v>555222</v>
      </c>
      <c r="C185" s="18">
        <v>721503.2820918659</v>
      </c>
      <c r="D185" s="18">
        <v>0</v>
      </c>
      <c r="E185" s="18">
        <v>0</v>
      </c>
      <c r="F185" s="18">
        <v>0</v>
      </c>
      <c r="G185" s="18">
        <v>0</v>
      </c>
      <c r="H185" s="19">
        <v>0.29948611923134516</v>
      </c>
      <c r="I185" s="19">
        <v>0</v>
      </c>
      <c r="J185" s="19">
        <v>0.29948611923134516</v>
      </c>
    </row>
    <row r="186" spans="1:10" ht="11.25" customHeight="1" x14ac:dyDescent="0.2">
      <c r="A186" s="27" t="s">
        <v>34</v>
      </c>
      <c r="B186" s="18">
        <v>0</v>
      </c>
      <c r="C186" s="18">
        <v>0</v>
      </c>
      <c r="D186" s="18">
        <v>6627431.0715300003</v>
      </c>
      <c r="E186" s="18">
        <v>8352821.2584620435</v>
      </c>
      <c r="F186" s="18">
        <v>2487889.13631</v>
      </c>
      <c r="G186" s="18">
        <v>3113484.2339368025</v>
      </c>
      <c r="H186" s="19">
        <v>0.26034072151183074</v>
      </c>
      <c r="I186" s="19">
        <v>0.25145617965705491</v>
      </c>
      <c r="J186" s="19">
        <v>0.25791581984544965</v>
      </c>
    </row>
    <row r="187" spans="1:10" ht="11.25" customHeight="1" x14ac:dyDescent="0.2">
      <c r="A187" s="28">
        <v>44501</v>
      </c>
      <c r="B187" s="18">
        <v>0</v>
      </c>
      <c r="C187" s="18">
        <v>0</v>
      </c>
      <c r="D187" s="18">
        <v>504627.39413999999</v>
      </c>
      <c r="E187" s="18">
        <v>636002.45402504248</v>
      </c>
      <c r="F187" s="18">
        <v>189433.43178000001</v>
      </c>
      <c r="G187" s="18">
        <v>237067.63883472406</v>
      </c>
      <c r="H187" s="19">
        <v>0.26034072151183052</v>
      </c>
      <c r="I187" s="19">
        <v>0.25145617965705447</v>
      </c>
      <c r="J187" s="19">
        <v>0.25791581984544942</v>
      </c>
    </row>
    <row r="188" spans="1:10" ht="11.25" customHeight="1" x14ac:dyDescent="0.2">
      <c r="A188" s="28">
        <v>44531</v>
      </c>
      <c r="B188" s="18">
        <v>0</v>
      </c>
      <c r="C188" s="18">
        <v>0</v>
      </c>
      <c r="D188" s="18">
        <v>554849.32527000003</v>
      </c>
      <c r="E188" s="18">
        <v>699299.19894114404</v>
      </c>
      <c r="F188" s="18">
        <v>208286.37728999997</v>
      </c>
      <c r="G188" s="18">
        <v>260661.27399795127</v>
      </c>
      <c r="H188" s="19">
        <v>0.2603407215118303</v>
      </c>
      <c r="I188" s="19">
        <v>0.25145617965705469</v>
      </c>
      <c r="J188" s="19">
        <v>0.2579158198454492</v>
      </c>
    </row>
    <row r="189" spans="1:10" ht="11.25" customHeight="1" x14ac:dyDescent="0.2">
      <c r="A189" s="28">
        <v>44562</v>
      </c>
      <c r="B189" s="18">
        <v>0</v>
      </c>
      <c r="C189" s="18">
        <v>0</v>
      </c>
      <c r="D189" s="18">
        <v>494802.09260999999</v>
      </c>
      <c r="E189" s="18">
        <v>623619.22640565096</v>
      </c>
      <c r="F189" s="18">
        <v>185745.08546999999</v>
      </c>
      <c r="G189" s="18">
        <v>232451.8350523593</v>
      </c>
      <c r="H189" s="19">
        <v>0.26034072151183052</v>
      </c>
      <c r="I189" s="19">
        <v>0.25145617965705469</v>
      </c>
      <c r="J189" s="19">
        <v>0.25791581984544942</v>
      </c>
    </row>
    <row r="190" spans="1:10" ht="11.25" customHeight="1" x14ac:dyDescent="0.2">
      <c r="A190" s="28">
        <v>44593</v>
      </c>
      <c r="B190" s="18">
        <v>0</v>
      </c>
      <c r="C190" s="18">
        <v>0</v>
      </c>
      <c r="D190" s="18">
        <v>503081.32176000002</v>
      </c>
      <c r="E190" s="18">
        <v>634053.8760461238</v>
      </c>
      <c r="F190" s="18">
        <v>188853.04751999999</v>
      </c>
      <c r="G190" s="18">
        <v>236341.31336597138</v>
      </c>
      <c r="H190" s="19">
        <v>0.26034072151183052</v>
      </c>
      <c r="I190" s="19">
        <v>0.25145617965705469</v>
      </c>
      <c r="J190" s="19">
        <v>0.25791581984544942</v>
      </c>
    </row>
    <row r="191" spans="1:10" ht="11.25" customHeight="1" x14ac:dyDescent="0.2">
      <c r="A191" s="28">
        <v>44621</v>
      </c>
      <c r="B191" s="18">
        <v>0</v>
      </c>
      <c r="C191" s="18">
        <v>0</v>
      </c>
      <c r="D191" s="18">
        <v>557427.26807999995</v>
      </c>
      <c r="E191" s="18">
        <v>702548.28524231573</v>
      </c>
      <c r="F191" s="18">
        <v>209254.11815999998</v>
      </c>
      <c r="G191" s="18">
        <v>261872.35929001949</v>
      </c>
      <c r="H191" s="19">
        <v>0.26034072151183052</v>
      </c>
      <c r="I191" s="19">
        <v>0.25145617965705469</v>
      </c>
      <c r="J191" s="19">
        <v>0.25791581984544942</v>
      </c>
    </row>
    <row r="192" spans="1:10" ht="11.25" customHeight="1" x14ac:dyDescent="0.2">
      <c r="A192" s="28">
        <v>44652</v>
      </c>
      <c r="B192" s="18">
        <v>0</v>
      </c>
      <c r="C192" s="18">
        <v>0</v>
      </c>
      <c r="D192" s="18">
        <v>557427.26807999995</v>
      </c>
      <c r="E192" s="18">
        <v>702548.28524231573</v>
      </c>
      <c r="F192" s="18">
        <v>209254.11815999998</v>
      </c>
      <c r="G192" s="18">
        <v>261872.35929001949</v>
      </c>
      <c r="H192" s="19">
        <v>0.26034072151183052</v>
      </c>
      <c r="I192" s="19">
        <v>0.25145617965705469</v>
      </c>
      <c r="J192" s="19">
        <v>0.25791581984544942</v>
      </c>
    </row>
    <row r="193" spans="1:10" ht="11.25" customHeight="1" x14ac:dyDescent="0.2">
      <c r="A193" s="28">
        <v>44682</v>
      </c>
      <c r="B193" s="18">
        <v>0</v>
      </c>
      <c r="C193" s="18">
        <v>0</v>
      </c>
      <c r="D193" s="18">
        <v>614214.80703000003</v>
      </c>
      <c r="E193" s="18">
        <v>774119.93305543985</v>
      </c>
      <c r="F193" s="18">
        <v>230571.74481</v>
      </c>
      <c r="G193" s="18">
        <v>288550.4348967839</v>
      </c>
      <c r="H193" s="19">
        <v>0.2603407215118303</v>
      </c>
      <c r="I193" s="19">
        <v>0.25145617965705447</v>
      </c>
      <c r="J193" s="19">
        <v>0.2579158198454492</v>
      </c>
    </row>
    <row r="194" spans="1:10" ht="11.25" customHeight="1" x14ac:dyDescent="0.2">
      <c r="A194" s="28">
        <v>44713</v>
      </c>
      <c r="B194" s="18">
        <v>0</v>
      </c>
      <c r="C194" s="18">
        <v>0</v>
      </c>
      <c r="D194" s="18">
        <v>490860.64799999999</v>
      </c>
      <c r="E194" s="18">
        <v>618651.66326208471</v>
      </c>
      <c r="F194" s="18">
        <v>184265.49600000001</v>
      </c>
      <c r="G194" s="18">
        <v>230600.19366677225</v>
      </c>
      <c r="H194" s="19">
        <v>0.26034072151183074</v>
      </c>
      <c r="I194" s="19">
        <v>0.25145617965705425</v>
      </c>
      <c r="J194" s="19">
        <v>0.25791581984544942</v>
      </c>
    </row>
    <row r="195" spans="1:10" ht="11.25" customHeight="1" x14ac:dyDescent="0.2">
      <c r="A195" s="28">
        <v>44743</v>
      </c>
      <c r="B195" s="18">
        <v>0</v>
      </c>
      <c r="C195" s="18">
        <v>0</v>
      </c>
      <c r="D195" s="18">
        <v>516116.63007000001</v>
      </c>
      <c r="E195" s="18">
        <v>650482.80592667824</v>
      </c>
      <c r="F195" s="18">
        <v>193746.40689000001</v>
      </c>
      <c r="G195" s="18">
        <v>242465.13818884065</v>
      </c>
      <c r="H195" s="19">
        <v>0.2603407215118303</v>
      </c>
      <c r="I195" s="19">
        <v>0.25145617965705447</v>
      </c>
      <c r="J195" s="19">
        <v>0.2579158198454492</v>
      </c>
    </row>
    <row r="196" spans="1:10" ht="11.25" customHeight="1" x14ac:dyDescent="0.2">
      <c r="A196" s="28">
        <v>44774</v>
      </c>
      <c r="B196" s="18">
        <v>0</v>
      </c>
      <c r="C196" s="18">
        <v>0</v>
      </c>
      <c r="D196" s="18">
        <v>593852.40980999998</v>
      </c>
      <c r="E196" s="18">
        <v>748456.37465147465</v>
      </c>
      <c r="F196" s="18">
        <v>222927.84987000001</v>
      </c>
      <c r="G196" s="18">
        <v>278984.43533747166</v>
      </c>
      <c r="H196" s="19">
        <v>0.26034072151183052</v>
      </c>
      <c r="I196" s="19">
        <v>0.25145617965705469</v>
      </c>
      <c r="J196" s="19">
        <v>0.25791581984544942</v>
      </c>
    </row>
    <row r="197" spans="1:10" ht="11.25" customHeight="1" x14ac:dyDescent="0.2">
      <c r="A197" s="28">
        <v>44805</v>
      </c>
      <c r="B197" s="18">
        <v>0</v>
      </c>
      <c r="C197" s="18">
        <v>0</v>
      </c>
      <c r="D197" s="18">
        <v>620085.95334000012</v>
      </c>
      <c r="E197" s="18">
        <v>781519.57783188683</v>
      </c>
      <c r="F197" s="18">
        <v>232775.73017999998</v>
      </c>
      <c r="G197" s="18">
        <v>291308.62600794411</v>
      </c>
      <c r="H197" s="19">
        <v>0.2603407215118303</v>
      </c>
      <c r="I197" s="19">
        <v>0.25145617965705447</v>
      </c>
      <c r="J197" s="19">
        <v>0.25791581984544942</v>
      </c>
    </row>
    <row r="198" spans="1:10" ht="11.25" customHeight="1" x14ac:dyDescent="0.2">
      <c r="A198" s="28">
        <v>44835</v>
      </c>
      <c r="B198" s="18">
        <v>0</v>
      </c>
      <c r="C198" s="18">
        <v>0</v>
      </c>
      <c r="D198" s="18">
        <v>620085.95334000012</v>
      </c>
      <c r="E198" s="18">
        <v>781519.57783188683</v>
      </c>
      <c r="F198" s="18">
        <v>232775.73017999998</v>
      </c>
      <c r="G198" s="18">
        <v>291308.62600794411</v>
      </c>
      <c r="H198" s="19">
        <v>0.2603407215118303</v>
      </c>
      <c r="I198" s="19">
        <v>0.25145617965705447</v>
      </c>
      <c r="J198" s="19">
        <v>0.25791581984544942</v>
      </c>
    </row>
    <row r="199" spans="1:10" ht="11.25" customHeight="1" x14ac:dyDescent="0.2">
      <c r="A199" s="23" t="s">
        <v>51</v>
      </c>
      <c r="B199" s="18">
        <v>49278.239999999998</v>
      </c>
      <c r="C199" s="18">
        <v>64036.388860150844</v>
      </c>
      <c r="D199" s="18">
        <v>204926.30717999997</v>
      </c>
      <c r="E199" s="18">
        <v>216660.75784966219</v>
      </c>
      <c r="F199" s="18">
        <v>289829.56904999999</v>
      </c>
      <c r="G199" s="18">
        <v>362364.77260550502</v>
      </c>
      <c r="H199" s="19">
        <v>0.10421764607953254</v>
      </c>
      <c r="I199" s="19">
        <v>0.25026847258290474</v>
      </c>
      <c r="J199" s="19">
        <v>0.18202498727754879</v>
      </c>
    </row>
    <row r="200" spans="1:10" ht="11.25" customHeight="1" x14ac:dyDescent="0.2">
      <c r="A200" s="24" t="s">
        <v>25</v>
      </c>
      <c r="B200" s="18">
        <v>49278.239999999998</v>
      </c>
      <c r="C200" s="18">
        <v>64036.388860150844</v>
      </c>
      <c r="D200" s="18">
        <v>204926.30717999997</v>
      </c>
      <c r="E200" s="18">
        <v>216660.75784966219</v>
      </c>
      <c r="F200" s="18">
        <v>289829.56904999999</v>
      </c>
      <c r="G200" s="18">
        <v>362364.77260550502</v>
      </c>
      <c r="H200" s="19">
        <v>0.10421764607953254</v>
      </c>
      <c r="I200" s="19">
        <v>0.25026847258290474</v>
      </c>
      <c r="J200" s="19">
        <v>0.18202498727754879</v>
      </c>
    </row>
    <row r="201" spans="1:10" ht="11.25" customHeight="1" x14ac:dyDescent="0.2">
      <c r="A201" s="25" t="s">
        <v>25</v>
      </c>
      <c r="B201" s="18">
        <v>49278.239999999998</v>
      </c>
      <c r="C201" s="18">
        <v>64036.388860150844</v>
      </c>
      <c r="D201" s="18">
        <v>204926.30717999997</v>
      </c>
      <c r="E201" s="18">
        <v>216660.75784966219</v>
      </c>
      <c r="F201" s="18">
        <v>289829.56904999999</v>
      </c>
      <c r="G201" s="18">
        <v>362364.77260550502</v>
      </c>
      <c r="H201" s="19">
        <v>0.10421764607953254</v>
      </c>
      <c r="I201" s="19">
        <v>0.25026847258290474</v>
      </c>
      <c r="J201" s="19">
        <v>0.18202498727754879</v>
      </c>
    </row>
    <row r="202" spans="1:10" ht="11.25" customHeight="1" x14ac:dyDescent="0.2">
      <c r="A202" s="26" t="s">
        <v>25</v>
      </c>
      <c r="B202" s="18">
        <v>49278.239999999998</v>
      </c>
      <c r="C202" s="18">
        <v>64036.388860150844</v>
      </c>
      <c r="D202" s="18">
        <v>204926.30717999997</v>
      </c>
      <c r="E202" s="18">
        <v>216660.75784966219</v>
      </c>
      <c r="F202" s="18">
        <v>289829.56904999999</v>
      </c>
      <c r="G202" s="18">
        <v>362364.77260550502</v>
      </c>
      <c r="H202" s="19">
        <v>0.10421764607953254</v>
      </c>
      <c r="I202" s="19">
        <v>0.25026847258290474</v>
      </c>
      <c r="J202" s="19">
        <v>0.18202498727754879</v>
      </c>
    </row>
    <row r="203" spans="1:10" ht="11.25" customHeight="1" x14ac:dyDescent="0.2">
      <c r="A203" s="27" t="s">
        <v>35</v>
      </c>
      <c r="B203" s="18">
        <v>0</v>
      </c>
      <c r="C203" s="18">
        <v>0</v>
      </c>
      <c r="D203" s="18">
        <v>84527.942729999995</v>
      </c>
      <c r="E203" s="18">
        <v>64917.796329904813</v>
      </c>
      <c r="F203" s="18">
        <v>244632.9039</v>
      </c>
      <c r="G203" s="18">
        <v>305803.12670364685</v>
      </c>
      <c r="H203" s="19">
        <v>-0.23199602127705998</v>
      </c>
      <c r="I203" s="19">
        <v>0.25004904012688223</v>
      </c>
      <c r="J203" s="19">
        <v>0.12626069239112181</v>
      </c>
    </row>
    <row r="204" spans="1:10" ht="11.25" customHeight="1" x14ac:dyDescent="0.2">
      <c r="A204" s="28">
        <v>44501</v>
      </c>
      <c r="B204" s="18">
        <v>0</v>
      </c>
      <c r="C204" s="18">
        <v>0</v>
      </c>
      <c r="D204" s="18">
        <v>7153.2410100000006</v>
      </c>
      <c r="E204" s="18">
        <v>5493.7175564441013</v>
      </c>
      <c r="F204" s="18">
        <v>20702.244300000002</v>
      </c>
      <c r="G204" s="18">
        <v>25878.820615687222</v>
      </c>
      <c r="H204" s="19">
        <v>-0.23199602127706009</v>
      </c>
      <c r="I204" s="19">
        <v>0.25004904012688223</v>
      </c>
      <c r="J204" s="19">
        <v>0.12626069239112181</v>
      </c>
    </row>
    <row r="205" spans="1:10" ht="11.25" customHeight="1" x14ac:dyDescent="0.2">
      <c r="A205" s="28">
        <v>44531</v>
      </c>
      <c r="B205" s="18">
        <v>0</v>
      </c>
      <c r="C205" s="18">
        <v>0</v>
      </c>
      <c r="D205" s="18">
        <v>7075.6876900000007</v>
      </c>
      <c r="E205" s="18">
        <v>5434.1562981209281</v>
      </c>
      <c r="F205" s="18">
        <v>20477.796700000003</v>
      </c>
      <c r="G205" s="18">
        <v>25598.250108748438</v>
      </c>
      <c r="H205" s="19">
        <v>-0.23199602127706009</v>
      </c>
      <c r="I205" s="19">
        <v>0.25004904012688223</v>
      </c>
      <c r="J205" s="19">
        <v>0.12626069239112159</v>
      </c>
    </row>
    <row r="206" spans="1:10" ht="11.25" customHeight="1" x14ac:dyDescent="0.2">
      <c r="A206" s="28">
        <v>44562</v>
      </c>
      <c r="B206" s="18">
        <v>0</v>
      </c>
      <c r="C206" s="18">
        <v>0</v>
      </c>
      <c r="D206" s="18">
        <v>7056.0361700000003</v>
      </c>
      <c r="E206" s="18">
        <v>5419.0638525729746</v>
      </c>
      <c r="F206" s="18">
        <v>20420.9231</v>
      </c>
      <c r="G206" s="18">
        <v>25527.155319659876</v>
      </c>
      <c r="H206" s="19">
        <v>-0.23199602127706009</v>
      </c>
      <c r="I206" s="19">
        <v>0.25004904012688223</v>
      </c>
      <c r="J206" s="19">
        <v>0.12626069239112181</v>
      </c>
    </row>
    <row r="207" spans="1:10" ht="11.25" customHeight="1" x14ac:dyDescent="0.2">
      <c r="A207" s="28">
        <v>44593</v>
      </c>
      <c r="B207" s="18">
        <v>0</v>
      </c>
      <c r="C207" s="18">
        <v>0</v>
      </c>
      <c r="D207" s="18">
        <v>6461.0513100000007</v>
      </c>
      <c r="E207" s="18">
        <v>4962.1131128130637</v>
      </c>
      <c r="F207" s="18">
        <v>18698.973300000001</v>
      </c>
      <c r="G207" s="18">
        <v>23374.633625023202</v>
      </c>
      <c r="H207" s="19">
        <v>-0.23199602127706009</v>
      </c>
      <c r="I207" s="19">
        <v>0.25004904012688223</v>
      </c>
      <c r="J207" s="19">
        <v>0.12626069239112181</v>
      </c>
    </row>
    <row r="208" spans="1:10" ht="11.25" customHeight="1" x14ac:dyDescent="0.2">
      <c r="A208" s="28">
        <v>44621</v>
      </c>
      <c r="B208" s="18">
        <v>0</v>
      </c>
      <c r="C208" s="18">
        <v>0</v>
      </c>
      <c r="D208" s="18">
        <v>7108.4109799999997</v>
      </c>
      <c r="E208" s="18">
        <v>5459.2879150378321</v>
      </c>
      <c r="F208" s="18">
        <v>20572.501400000001</v>
      </c>
      <c r="G208" s="18">
        <v>25716.63562807894</v>
      </c>
      <c r="H208" s="19">
        <v>-0.23199602127706009</v>
      </c>
      <c r="I208" s="19">
        <v>0.25004904012688223</v>
      </c>
      <c r="J208" s="19">
        <v>0.12626069239112159</v>
      </c>
    </row>
    <row r="209" spans="1:10" ht="11.25" customHeight="1" x14ac:dyDescent="0.2">
      <c r="A209" s="28">
        <v>44652</v>
      </c>
      <c r="B209" s="18">
        <v>0</v>
      </c>
      <c r="C209" s="18">
        <v>0</v>
      </c>
      <c r="D209" s="18">
        <v>7108.4109799999997</v>
      </c>
      <c r="E209" s="18">
        <v>5459.2879150378321</v>
      </c>
      <c r="F209" s="18">
        <v>20572.501400000001</v>
      </c>
      <c r="G209" s="18">
        <v>25716.63562807894</v>
      </c>
      <c r="H209" s="19">
        <v>-0.23199602127706009</v>
      </c>
      <c r="I209" s="19">
        <v>0.25004904012688223</v>
      </c>
      <c r="J209" s="19">
        <v>0.12626069239112159</v>
      </c>
    </row>
    <row r="210" spans="1:10" ht="11.25" customHeight="1" x14ac:dyDescent="0.2">
      <c r="A210" s="28">
        <v>44682</v>
      </c>
      <c r="B210" s="18">
        <v>0</v>
      </c>
      <c r="C210" s="18">
        <v>0</v>
      </c>
      <c r="D210" s="18">
        <v>6826.1835700000001</v>
      </c>
      <c r="E210" s="18">
        <v>5242.536141253162</v>
      </c>
      <c r="F210" s="18">
        <v>19755.705099999999</v>
      </c>
      <c r="G210" s="18">
        <v>24695.600197284752</v>
      </c>
      <c r="H210" s="19">
        <v>-0.23199602127706009</v>
      </c>
      <c r="I210" s="19">
        <v>0.25004904012688223</v>
      </c>
      <c r="J210" s="19">
        <v>0.12626069239112181</v>
      </c>
    </row>
    <row r="211" spans="1:10" ht="11.25" customHeight="1" x14ac:dyDescent="0.2">
      <c r="A211" s="28">
        <v>44713</v>
      </c>
      <c r="B211" s="18">
        <v>0</v>
      </c>
      <c r="C211" s="18">
        <v>0</v>
      </c>
      <c r="D211" s="18">
        <v>6561.6776200000004</v>
      </c>
      <c r="E211" s="18">
        <v>5039.394519257271</v>
      </c>
      <c r="F211" s="18">
        <v>18990.196599999999</v>
      </c>
      <c r="G211" s="18">
        <v>23738.677031650783</v>
      </c>
      <c r="H211" s="19">
        <v>-0.23199602127706009</v>
      </c>
      <c r="I211" s="19">
        <v>0.25004904012688223</v>
      </c>
      <c r="J211" s="19">
        <v>0.12626069239112181</v>
      </c>
    </row>
    <row r="212" spans="1:10" ht="11.25" customHeight="1" x14ac:dyDescent="0.2">
      <c r="A212" s="28">
        <v>44743</v>
      </c>
      <c r="B212" s="18">
        <v>0</v>
      </c>
      <c r="C212" s="18">
        <v>0</v>
      </c>
      <c r="D212" s="18">
        <v>7100.8662000000004</v>
      </c>
      <c r="E212" s="18">
        <v>5453.4934939792429</v>
      </c>
      <c r="F212" s="18">
        <v>20550.666000000001</v>
      </c>
      <c r="G212" s="18">
        <v>25689.340307268154</v>
      </c>
      <c r="H212" s="19">
        <v>-0.2319960212770602</v>
      </c>
      <c r="I212" s="19">
        <v>0.25004904012688223</v>
      </c>
      <c r="J212" s="19">
        <v>0.12626069239112159</v>
      </c>
    </row>
    <row r="213" spans="1:10" ht="11.25" customHeight="1" x14ac:dyDescent="0.2">
      <c r="A213" s="28">
        <v>44774</v>
      </c>
      <c r="B213" s="18">
        <v>0</v>
      </c>
      <c r="C213" s="18">
        <v>0</v>
      </c>
      <c r="D213" s="18">
        <v>7527.2340000000004</v>
      </c>
      <c r="E213" s="18">
        <v>5780.9456607785896</v>
      </c>
      <c r="F213" s="18">
        <v>21784.62</v>
      </c>
      <c r="G213" s="18">
        <v>27231.843320528882</v>
      </c>
      <c r="H213" s="19">
        <v>-0.2319960212770602</v>
      </c>
      <c r="I213" s="19">
        <v>0.25004904012688223</v>
      </c>
      <c r="J213" s="19">
        <v>0.12626069239112181</v>
      </c>
    </row>
    <row r="214" spans="1:10" ht="11.25" customHeight="1" x14ac:dyDescent="0.2">
      <c r="A214" s="28">
        <v>44805</v>
      </c>
      <c r="B214" s="18">
        <v>0</v>
      </c>
      <c r="C214" s="18">
        <v>0</v>
      </c>
      <c r="D214" s="18">
        <v>7274.5716000000002</v>
      </c>
      <c r="E214" s="18">
        <v>5586.8999323049029</v>
      </c>
      <c r="F214" s="18">
        <v>21053.388000000003</v>
      </c>
      <c r="G214" s="18">
        <v>26317.767460818821</v>
      </c>
      <c r="H214" s="19">
        <v>-0.23199602127706009</v>
      </c>
      <c r="I214" s="19">
        <v>0.25004904012688201</v>
      </c>
      <c r="J214" s="19">
        <v>0.12626069239112159</v>
      </c>
    </row>
    <row r="215" spans="1:10" ht="11.25" customHeight="1" x14ac:dyDescent="0.2">
      <c r="A215" s="28">
        <v>44835</v>
      </c>
      <c r="B215" s="18">
        <v>0</v>
      </c>
      <c r="C215" s="18">
        <v>0</v>
      </c>
      <c r="D215" s="18">
        <v>7274.5716000000002</v>
      </c>
      <c r="E215" s="18">
        <v>5586.8999323049029</v>
      </c>
      <c r="F215" s="18">
        <v>21053.388000000003</v>
      </c>
      <c r="G215" s="18">
        <v>26317.767460818821</v>
      </c>
      <c r="H215" s="19">
        <v>-0.23199602127706009</v>
      </c>
      <c r="I215" s="19">
        <v>0.25004904012688201</v>
      </c>
      <c r="J215" s="19">
        <v>0.12626069239112159</v>
      </c>
    </row>
    <row r="216" spans="1:10" ht="11.25" customHeight="1" x14ac:dyDescent="0.2">
      <c r="A216" s="27" t="s">
        <v>25</v>
      </c>
      <c r="B216" s="18">
        <v>49278.239999999998</v>
      </c>
      <c r="C216" s="18">
        <v>64036.388860150844</v>
      </c>
      <c r="D216" s="18">
        <v>0</v>
      </c>
      <c r="E216" s="18">
        <v>0</v>
      </c>
      <c r="F216" s="18">
        <v>0</v>
      </c>
      <c r="G216" s="18">
        <v>0</v>
      </c>
      <c r="H216" s="19">
        <v>0.29948611923134516</v>
      </c>
      <c r="I216" s="19">
        <v>0</v>
      </c>
      <c r="J216" s="19">
        <v>0.29948611923134516</v>
      </c>
    </row>
    <row r="217" spans="1:10" ht="11.25" customHeight="1" x14ac:dyDescent="0.2">
      <c r="A217" s="28">
        <v>44501</v>
      </c>
      <c r="B217" s="18">
        <v>4113.84</v>
      </c>
      <c r="C217" s="18">
        <v>5345.8779767386777</v>
      </c>
      <c r="D217" s="18">
        <v>0</v>
      </c>
      <c r="E217" s="18">
        <v>0</v>
      </c>
      <c r="F217" s="18">
        <v>0</v>
      </c>
      <c r="G217" s="18">
        <v>0</v>
      </c>
      <c r="H217" s="19">
        <v>0.29948611923134538</v>
      </c>
      <c r="I217" s="19">
        <v>0</v>
      </c>
      <c r="J217" s="19">
        <v>0.29948611923134538</v>
      </c>
    </row>
    <row r="218" spans="1:10" ht="11.25" customHeight="1" x14ac:dyDescent="0.2">
      <c r="A218" s="28">
        <v>44531</v>
      </c>
      <c r="B218" s="18">
        <v>5431.4400000000005</v>
      </c>
      <c r="C218" s="18">
        <v>7058.0808874378981</v>
      </c>
      <c r="D218" s="18">
        <v>0</v>
      </c>
      <c r="E218" s="18">
        <v>0</v>
      </c>
      <c r="F218" s="18">
        <v>0</v>
      </c>
      <c r="G218" s="18">
        <v>0</v>
      </c>
      <c r="H218" s="19">
        <v>0.29948611923134516</v>
      </c>
      <c r="I218" s="19">
        <v>0</v>
      </c>
      <c r="J218" s="19">
        <v>0.29948611923134516</v>
      </c>
    </row>
    <row r="219" spans="1:10" ht="11.25" customHeight="1" x14ac:dyDescent="0.2">
      <c r="A219" s="28">
        <v>44562</v>
      </c>
      <c r="B219" s="18">
        <v>3821.04</v>
      </c>
      <c r="C219" s="18">
        <v>4965.3884410277396</v>
      </c>
      <c r="D219" s="18">
        <v>0</v>
      </c>
      <c r="E219" s="18">
        <v>0</v>
      </c>
      <c r="F219" s="18">
        <v>0</v>
      </c>
      <c r="G219" s="18">
        <v>0</v>
      </c>
      <c r="H219" s="19">
        <v>0.29948611923134538</v>
      </c>
      <c r="I219" s="19">
        <v>0</v>
      </c>
      <c r="J219" s="19">
        <v>0.29948611923134538</v>
      </c>
    </row>
    <row r="220" spans="1:10" ht="11.25" customHeight="1" x14ac:dyDescent="0.2">
      <c r="A220" s="28">
        <v>44593</v>
      </c>
      <c r="B220" s="18">
        <v>3689.28</v>
      </c>
      <c r="C220" s="18">
        <v>4794.1681499578171</v>
      </c>
      <c r="D220" s="18">
        <v>0</v>
      </c>
      <c r="E220" s="18">
        <v>0</v>
      </c>
      <c r="F220" s="18">
        <v>0</v>
      </c>
      <c r="G220" s="18">
        <v>0</v>
      </c>
      <c r="H220" s="19">
        <v>0.29948611923134516</v>
      </c>
      <c r="I220" s="19">
        <v>0</v>
      </c>
      <c r="J220" s="19">
        <v>0.29948611923134516</v>
      </c>
    </row>
    <row r="221" spans="1:10" ht="11.25" customHeight="1" x14ac:dyDescent="0.2">
      <c r="A221" s="28">
        <v>44621</v>
      </c>
      <c r="B221" s="18">
        <v>3938.1600000000003</v>
      </c>
      <c r="C221" s="18">
        <v>5117.5842553121147</v>
      </c>
      <c r="D221" s="18">
        <v>0</v>
      </c>
      <c r="E221" s="18">
        <v>0</v>
      </c>
      <c r="F221" s="18">
        <v>0</v>
      </c>
      <c r="G221" s="18">
        <v>0</v>
      </c>
      <c r="H221" s="19">
        <v>0.29948611923134516</v>
      </c>
      <c r="I221" s="19">
        <v>0</v>
      </c>
      <c r="J221" s="19">
        <v>0.29948611923134516</v>
      </c>
    </row>
    <row r="222" spans="1:10" ht="11.25" customHeight="1" x14ac:dyDescent="0.2">
      <c r="A222" s="28">
        <v>44652</v>
      </c>
      <c r="B222" s="18">
        <v>3938.1600000000003</v>
      </c>
      <c r="C222" s="18">
        <v>5117.5842553121147</v>
      </c>
      <c r="D222" s="18">
        <v>0</v>
      </c>
      <c r="E222" s="18">
        <v>0</v>
      </c>
      <c r="F222" s="18">
        <v>0</v>
      </c>
      <c r="G222" s="18">
        <v>0</v>
      </c>
      <c r="H222" s="19">
        <v>0.29948611923134516</v>
      </c>
      <c r="I222" s="19">
        <v>0</v>
      </c>
      <c r="J222" s="19">
        <v>0.29948611923134516</v>
      </c>
    </row>
    <row r="223" spans="1:10" ht="11.25" customHeight="1" x14ac:dyDescent="0.2">
      <c r="A223" s="28">
        <v>44682</v>
      </c>
      <c r="B223" s="18">
        <v>4143.12</v>
      </c>
      <c r="C223" s="18">
        <v>5383.9269303097717</v>
      </c>
      <c r="D223" s="18">
        <v>0</v>
      </c>
      <c r="E223" s="18">
        <v>0</v>
      </c>
      <c r="F223" s="18">
        <v>0</v>
      </c>
      <c r="G223" s="18">
        <v>0</v>
      </c>
      <c r="H223" s="19">
        <v>0.29948611923134538</v>
      </c>
      <c r="I223" s="19">
        <v>0</v>
      </c>
      <c r="J223" s="19">
        <v>0.29948611923134538</v>
      </c>
    </row>
    <row r="224" spans="1:10" ht="11.25" customHeight="1" x14ac:dyDescent="0.2">
      <c r="A224" s="28">
        <v>44713</v>
      </c>
      <c r="B224" s="18">
        <v>3630.7200000000003</v>
      </c>
      <c r="C224" s="18">
        <v>4718.0702428156301</v>
      </c>
      <c r="D224" s="18">
        <v>0</v>
      </c>
      <c r="E224" s="18">
        <v>0</v>
      </c>
      <c r="F224" s="18">
        <v>0</v>
      </c>
      <c r="G224" s="18">
        <v>0</v>
      </c>
      <c r="H224" s="19">
        <v>0.29948611923134516</v>
      </c>
      <c r="I224" s="19">
        <v>0</v>
      </c>
      <c r="J224" s="19">
        <v>0.29948611923134516</v>
      </c>
    </row>
    <row r="225" spans="1:10" ht="11.25" customHeight="1" x14ac:dyDescent="0.2">
      <c r="A225" s="28">
        <v>44743</v>
      </c>
      <c r="B225" s="18">
        <v>3733.2000000000003</v>
      </c>
      <c r="C225" s="18">
        <v>4851.2415803144586</v>
      </c>
      <c r="D225" s="18">
        <v>0</v>
      </c>
      <c r="E225" s="18">
        <v>0</v>
      </c>
      <c r="F225" s="18">
        <v>0</v>
      </c>
      <c r="G225" s="18">
        <v>0</v>
      </c>
      <c r="H225" s="19">
        <v>0.29948611923134538</v>
      </c>
      <c r="I225" s="19">
        <v>0</v>
      </c>
      <c r="J225" s="19">
        <v>0.29948611923134538</v>
      </c>
    </row>
    <row r="226" spans="1:10" ht="11.25" customHeight="1" x14ac:dyDescent="0.2">
      <c r="A226" s="28">
        <v>44774</v>
      </c>
      <c r="B226" s="18">
        <v>3967.44</v>
      </c>
      <c r="C226" s="18">
        <v>5155.6332088832087</v>
      </c>
      <c r="D226" s="18">
        <v>0</v>
      </c>
      <c r="E226" s="18">
        <v>0</v>
      </c>
      <c r="F226" s="18">
        <v>0</v>
      </c>
      <c r="G226" s="18">
        <v>0</v>
      </c>
      <c r="H226" s="19">
        <v>0.29948611923134538</v>
      </c>
      <c r="I226" s="19">
        <v>0</v>
      </c>
      <c r="J226" s="19">
        <v>0.29948611923134538</v>
      </c>
    </row>
    <row r="227" spans="1:10" ht="11.25" customHeight="1" x14ac:dyDescent="0.2">
      <c r="A227" s="28">
        <v>44805</v>
      </c>
      <c r="B227" s="18">
        <v>4435.92</v>
      </c>
      <c r="C227" s="18">
        <v>5764.4164660207089</v>
      </c>
      <c r="D227" s="18">
        <v>0</v>
      </c>
      <c r="E227" s="18">
        <v>0</v>
      </c>
      <c r="F227" s="18">
        <v>0</v>
      </c>
      <c r="G227" s="18">
        <v>0</v>
      </c>
      <c r="H227" s="19">
        <v>0.29948611923134516</v>
      </c>
      <c r="I227" s="19">
        <v>0</v>
      </c>
      <c r="J227" s="19">
        <v>0.29948611923134516</v>
      </c>
    </row>
    <row r="228" spans="1:10" ht="11.25" customHeight="1" x14ac:dyDescent="0.2">
      <c r="A228" s="28">
        <v>44835</v>
      </c>
      <c r="B228" s="18">
        <v>4435.92</v>
      </c>
      <c r="C228" s="18">
        <v>5764.4164660207089</v>
      </c>
      <c r="D228" s="18">
        <v>0</v>
      </c>
      <c r="E228" s="18">
        <v>0</v>
      </c>
      <c r="F228" s="18">
        <v>0</v>
      </c>
      <c r="G228" s="18">
        <v>0</v>
      </c>
      <c r="H228" s="19">
        <v>0.29948611923134516</v>
      </c>
      <c r="I228" s="19">
        <v>0</v>
      </c>
      <c r="J228" s="19">
        <v>0.29948611923134516</v>
      </c>
    </row>
    <row r="229" spans="1:10" ht="11.25" customHeight="1" x14ac:dyDescent="0.2">
      <c r="A229" s="27" t="s">
        <v>34</v>
      </c>
      <c r="B229" s="18">
        <v>0</v>
      </c>
      <c r="C229" s="18">
        <v>0</v>
      </c>
      <c r="D229" s="18">
        <v>120398.36445000001</v>
      </c>
      <c r="E229" s="18">
        <v>151742.96151975734</v>
      </c>
      <c r="F229" s="18">
        <v>45196.665149999993</v>
      </c>
      <c r="G229" s="18">
        <v>56561.645901858152</v>
      </c>
      <c r="H229" s="19">
        <v>0.26034072151183052</v>
      </c>
      <c r="I229" s="19">
        <v>0.25145617965705513</v>
      </c>
      <c r="J229" s="19">
        <v>0.25791581984544965</v>
      </c>
    </row>
    <row r="230" spans="1:10" ht="11.25" customHeight="1" x14ac:dyDescent="0.2">
      <c r="A230" s="28">
        <v>44501</v>
      </c>
      <c r="B230" s="18">
        <v>0</v>
      </c>
      <c r="C230" s="18">
        <v>0</v>
      </c>
      <c r="D230" s="18">
        <v>10056.40353</v>
      </c>
      <c r="E230" s="18">
        <v>12674.494880814318</v>
      </c>
      <c r="F230" s="18">
        <v>3775.1003099999998</v>
      </c>
      <c r="G230" s="18">
        <v>4724.3726117747619</v>
      </c>
      <c r="H230" s="19">
        <v>0.26034072151183052</v>
      </c>
      <c r="I230" s="19">
        <v>0.25145617965705447</v>
      </c>
      <c r="J230" s="19">
        <v>0.25791581984544942</v>
      </c>
    </row>
    <row r="231" spans="1:10" ht="11.25" customHeight="1" x14ac:dyDescent="0.2">
      <c r="A231" s="28">
        <v>44531</v>
      </c>
      <c r="B231" s="18">
        <v>0</v>
      </c>
      <c r="C231" s="18">
        <v>0</v>
      </c>
      <c r="D231" s="18">
        <v>10264.395329999999</v>
      </c>
      <c r="E231" s="18">
        <v>12936.635416094861</v>
      </c>
      <c r="F231" s="18">
        <v>3853.1789099999996</v>
      </c>
      <c r="G231" s="18">
        <v>4822.0845582437332</v>
      </c>
      <c r="H231" s="19">
        <v>0.2603407215118303</v>
      </c>
      <c r="I231" s="19">
        <v>0.25145617965705447</v>
      </c>
      <c r="J231" s="19">
        <v>0.25791581984544942</v>
      </c>
    </row>
    <row r="232" spans="1:10" ht="11.25" customHeight="1" x14ac:dyDescent="0.2">
      <c r="A232" s="28">
        <v>44562</v>
      </c>
      <c r="B232" s="18">
        <v>0</v>
      </c>
      <c r="C232" s="18">
        <v>0</v>
      </c>
      <c r="D232" s="18">
        <v>9493.6701599999997</v>
      </c>
      <c r="E232" s="18">
        <v>11965.259099249733</v>
      </c>
      <c r="F232" s="18">
        <v>3563.8543199999995</v>
      </c>
      <c r="G232" s="18">
        <v>4460.00751216149</v>
      </c>
      <c r="H232" s="19">
        <v>0.2603407215118303</v>
      </c>
      <c r="I232" s="19">
        <v>0.25145617965705469</v>
      </c>
      <c r="J232" s="19">
        <v>0.2579158198454492</v>
      </c>
    </row>
    <row r="233" spans="1:10" ht="11.25" customHeight="1" x14ac:dyDescent="0.2">
      <c r="A233" s="28">
        <v>44593</v>
      </c>
      <c r="B233" s="18">
        <v>0</v>
      </c>
      <c r="C233" s="18">
        <v>0</v>
      </c>
      <c r="D233" s="18">
        <v>9234.8359199999995</v>
      </c>
      <c r="E233" s="18">
        <v>11639.03976645617</v>
      </c>
      <c r="F233" s="18">
        <v>3466.68984</v>
      </c>
      <c r="G233" s="18">
        <v>4338.4104232223253</v>
      </c>
      <c r="H233" s="19">
        <v>0.26034072151183074</v>
      </c>
      <c r="I233" s="19">
        <v>0.25145617965705447</v>
      </c>
      <c r="J233" s="19">
        <v>0.25791581984544942</v>
      </c>
    </row>
    <row r="234" spans="1:10" ht="11.25" customHeight="1" x14ac:dyDescent="0.2">
      <c r="A234" s="28">
        <v>44621</v>
      </c>
      <c r="B234" s="18">
        <v>0</v>
      </c>
      <c r="C234" s="18">
        <v>0</v>
      </c>
      <c r="D234" s="18">
        <v>10146.533310000001</v>
      </c>
      <c r="E234" s="18">
        <v>12788.089112769223</v>
      </c>
      <c r="F234" s="18">
        <v>3808.9343699999999</v>
      </c>
      <c r="G234" s="18">
        <v>4766.7144552446507</v>
      </c>
      <c r="H234" s="19">
        <v>0.26034072151183052</v>
      </c>
      <c r="I234" s="19">
        <v>0.25145617965705469</v>
      </c>
      <c r="J234" s="19">
        <v>0.25791581984544942</v>
      </c>
    </row>
    <row r="235" spans="1:10" ht="11.25" customHeight="1" x14ac:dyDescent="0.2">
      <c r="A235" s="28">
        <v>44652</v>
      </c>
      <c r="B235" s="18">
        <v>0</v>
      </c>
      <c r="C235" s="18">
        <v>0</v>
      </c>
      <c r="D235" s="18">
        <v>10146.533310000001</v>
      </c>
      <c r="E235" s="18">
        <v>12788.089112769223</v>
      </c>
      <c r="F235" s="18">
        <v>3808.9343699999999</v>
      </c>
      <c r="G235" s="18">
        <v>4766.7144552446507</v>
      </c>
      <c r="H235" s="19">
        <v>0.26034072151183052</v>
      </c>
      <c r="I235" s="19">
        <v>0.25145617965705469</v>
      </c>
      <c r="J235" s="19">
        <v>0.25791581984544942</v>
      </c>
    </row>
    <row r="236" spans="1:10" ht="11.25" customHeight="1" x14ac:dyDescent="0.2">
      <c r="A236" s="28">
        <v>44682</v>
      </c>
      <c r="B236" s="18">
        <v>0</v>
      </c>
      <c r="C236" s="18">
        <v>0</v>
      </c>
      <c r="D236" s="18">
        <v>9703.9729800000005</v>
      </c>
      <c r="E236" s="18">
        <v>12230.312307144508</v>
      </c>
      <c r="F236" s="18">
        <v>3642.8004599999999</v>
      </c>
      <c r="G236" s="18">
        <v>4558.8051469245611</v>
      </c>
      <c r="H236" s="19">
        <v>0.26034072151183052</v>
      </c>
      <c r="I236" s="19">
        <v>0.25145617965705469</v>
      </c>
      <c r="J236" s="19">
        <v>0.25791581984544942</v>
      </c>
    </row>
    <row r="237" spans="1:10" ht="11.25" customHeight="1" x14ac:dyDescent="0.2">
      <c r="A237" s="28">
        <v>44713</v>
      </c>
      <c r="B237" s="18">
        <v>0</v>
      </c>
      <c r="C237" s="18">
        <v>0</v>
      </c>
      <c r="D237" s="18">
        <v>9497.1366899999994</v>
      </c>
      <c r="E237" s="18">
        <v>11969.628108171077</v>
      </c>
      <c r="F237" s="18">
        <v>3565.1556299999997</v>
      </c>
      <c r="G237" s="18">
        <v>4461.6360446026392</v>
      </c>
      <c r="H237" s="19">
        <v>0.26034072151183052</v>
      </c>
      <c r="I237" s="19">
        <v>0.25145617965705447</v>
      </c>
      <c r="J237" s="19">
        <v>0.2579158198454492</v>
      </c>
    </row>
    <row r="238" spans="1:10" ht="11.25" customHeight="1" x14ac:dyDescent="0.2">
      <c r="A238" s="28">
        <v>44743</v>
      </c>
      <c r="B238" s="18">
        <v>0</v>
      </c>
      <c r="C238" s="18">
        <v>0</v>
      </c>
      <c r="D238" s="18">
        <v>9859.9668299999994</v>
      </c>
      <c r="E238" s="18">
        <v>12426.917708604915</v>
      </c>
      <c r="F238" s="18">
        <v>3701.3594099999996</v>
      </c>
      <c r="G238" s="18">
        <v>4632.0891067762896</v>
      </c>
      <c r="H238" s="19">
        <v>0.26034072151183052</v>
      </c>
      <c r="I238" s="19">
        <v>0.25145617965705469</v>
      </c>
      <c r="J238" s="19">
        <v>0.2579158198454492</v>
      </c>
    </row>
    <row r="239" spans="1:10" ht="11.25" customHeight="1" x14ac:dyDescent="0.2">
      <c r="A239" s="28">
        <v>44774</v>
      </c>
      <c r="B239" s="18">
        <v>0</v>
      </c>
      <c r="C239" s="18">
        <v>0</v>
      </c>
      <c r="D239" s="18">
        <v>10976.189490000001</v>
      </c>
      <c r="E239" s="18">
        <v>13833.738581277172</v>
      </c>
      <c r="F239" s="18">
        <v>4120.38123</v>
      </c>
      <c r="G239" s="18">
        <v>5156.4765528264361</v>
      </c>
      <c r="H239" s="19">
        <v>0.26034072151183052</v>
      </c>
      <c r="I239" s="19">
        <v>0.25145617965705469</v>
      </c>
      <c r="J239" s="19">
        <v>0.25791581984544942</v>
      </c>
    </row>
    <row r="240" spans="1:10" ht="11.25" customHeight="1" x14ac:dyDescent="0.2">
      <c r="A240" s="28">
        <v>44805</v>
      </c>
      <c r="B240" s="18">
        <v>0</v>
      </c>
      <c r="C240" s="18">
        <v>0</v>
      </c>
      <c r="D240" s="18">
        <v>10509.363450000001</v>
      </c>
      <c r="E240" s="18">
        <v>13245.378713203061</v>
      </c>
      <c r="F240" s="18">
        <v>3945.1381500000002</v>
      </c>
      <c r="G240" s="18">
        <v>4937.1675174183001</v>
      </c>
      <c r="H240" s="19">
        <v>0.26034072151183052</v>
      </c>
      <c r="I240" s="19">
        <v>0.25145617965705447</v>
      </c>
      <c r="J240" s="19">
        <v>0.2579158198454492</v>
      </c>
    </row>
    <row r="241" spans="1:10" ht="11.25" customHeight="1" x14ac:dyDescent="0.2">
      <c r="A241" s="28">
        <v>44835</v>
      </c>
      <c r="B241" s="18">
        <v>0</v>
      </c>
      <c r="C241" s="18">
        <v>0</v>
      </c>
      <c r="D241" s="18">
        <v>10509.363450000001</v>
      </c>
      <c r="E241" s="18">
        <v>13245.378713203061</v>
      </c>
      <c r="F241" s="18">
        <v>3945.1381500000002</v>
      </c>
      <c r="G241" s="18">
        <v>4937.1675174183001</v>
      </c>
      <c r="H241" s="19">
        <v>0.26034072151183052</v>
      </c>
      <c r="I241" s="19">
        <v>0.25145617965705447</v>
      </c>
      <c r="J241" s="19">
        <v>0.2579158198454492</v>
      </c>
    </row>
    <row r="242" spans="1:10" ht="11.25" customHeight="1" x14ac:dyDescent="0.2">
      <c r="A242" s="23" t="s">
        <v>38</v>
      </c>
      <c r="B242" s="18">
        <v>1892234.6399999997</v>
      </c>
      <c r="C242" s="18">
        <v>2458932.6490087216</v>
      </c>
      <c r="D242" s="18">
        <v>1971315.9367699998</v>
      </c>
      <c r="E242" s="18">
        <v>1858372.3559145089</v>
      </c>
      <c r="F242" s="18">
        <v>3943336.3760599992</v>
      </c>
      <c r="G242" s="18">
        <v>4929733.3532321602</v>
      </c>
      <c r="H242" s="19">
        <v>0.11744493028808178</v>
      </c>
      <c r="I242" s="19">
        <v>0.25014274287138627</v>
      </c>
      <c r="J242" s="19">
        <v>0.18447191742712965</v>
      </c>
    </row>
    <row r="243" spans="1:10" ht="11.25" customHeight="1" x14ac:dyDescent="0.2">
      <c r="A243" s="24" t="s">
        <v>25</v>
      </c>
      <c r="B243" s="18">
        <v>1892234.6399999997</v>
      </c>
      <c r="C243" s="18">
        <v>2458932.6490087216</v>
      </c>
      <c r="D243" s="18">
        <v>1971315.9367699998</v>
      </c>
      <c r="E243" s="18">
        <v>1858372.3559145089</v>
      </c>
      <c r="F243" s="18">
        <v>3943336.3760599992</v>
      </c>
      <c r="G243" s="18">
        <v>4929733.3532321602</v>
      </c>
      <c r="H243" s="19">
        <v>0.11744493028808178</v>
      </c>
      <c r="I243" s="19">
        <v>0.25014274287138627</v>
      </c>
      <c r="J243" s="19">
        <v>0.18447191742712965</v>
      </c>
    </row>
    <row r="244" spans="1:10" ht="11.25" customHeight="1" x14ac:dyDescent="0.2">
      <c r="A244" s="25" t="s">
        <v>25</v>
      </c>
      <c r="B244" s="18">
        <v>1892234.6399999997</v>
      </c>
      <c r="C244" s="18">
        <v>2458932.6490087216</v>
      </c>
      <c r="D244" s="18">
        <v>1971315.9367699998</v>
      </c>
      <c r="E244" s="18">
        <v>1858372.3559145089</v>
      </c>
      <c r="F244" s="18">
        <v>3943336.3760599992</v>
      </c>
      <c r="G244" s="18">
        <v>4929733.3532321602</v>
      </c>
      <c r="H244" s="19">
        <v>0.11744493028808178</v>
      </c>
      <c r="I244" s="19">
        <v>0.25014274287138627</v>
      </c>
      <c r="J244" s="19">
        <v>0.18447191742712965</v>
      </c>
    </row>
    <row r="245" spans="1:10" ht="11.25" customHeight="1" x14ac:dyDescent="0.2">
      <c r="A245" s="26" t="s">
        <v>25</v>
      </c>
      <c r="B245" s="18">
        <v>1892234.6399999997</v>
      </c>
      <c r="C245" s="18">
        <v>2458932.6490087216</v>
      </c>
      <c r="D245" s="18">
        <v>1971315.9367699998</v>
      </c>
      <c r="E245" s="18">
        <v>1858372.3559145089</v>
      </c>
      <c r="F245" s="18">
        <v>3943336.3760599992</v>
      </c>
      <c r="G245" s="18">
        <v>4929733.3532321602</v>
      </c>
      <c r="H245" s="19">
        <v>0.11744493028808178</v>
      </c>
      <c r="I245" s="19">
        <v>0.25014274287138627</v>
      </c>
      <c r="J245" s="19">
        <v>0.18447191742712965</v>
      </c>
    </row>
    <row r="246" spans="1:10" ht="11.25" customHeight="1" x14ac:dyDescent="0.2">
      <c r="A246" s="27" t="s">
        <v>35</v>
      </c>
      <c r="B246" s="18">
        <v>0</v>
      </c>
      <c r="C246" s="18">
        <v>0</v>
      </c>
      <c r="D246" s="18">
        <v>1271807.15909</v>
      </c>
      <c r="E246" s="18">
        <v>976752.95834943885</v>
      </c>
      <c r="F246" s="18">
        <v>3680745.8987000003</v>
      </c>
      <c r="G246" s="18">
        <v>4601112.8776208935</v>
      </c>
      <c r="H246" s="19">
        <v>-0.23199602127706009</v>
      </c>
      <c r="I246" s="19">
        <v>0.25004904012688223</v>
      </c>
      <c r="J246" s="19">
        <v>0.12626069239112181</v>
      </c>
    </row>
    <row r="247" spans="1:10" ht="11.25" customHeight="1" x14ac:dyDescent="0.2">
      <c r="A247" s="28">
        <v>44501</v>
      </c>
      <c r="B247" s="18">
        <v>0</v>
      </c>
      <c r="C247" s="18">
        <v>0</v>
      </c>
      <c r="D247" s="18">
        <v>103372.08354000001</v>
      </c>
      <c r="E247" s="18">
        <v>79390.171447600136</v>
      </c>
      <c r="F247" s="18">
        <v>299169.86220000003</v>
      </c>
      <c r="G247" s="18">
        <v>373976.99907800165</v>
      </c>
      <c r="H247" s="19">
        <v>-0.23199602127706009</v>
      </c>
      <c r="I247" s="19">
        <v>0.25004904012688223</v>
      </c>
      <c r="J247" s="19">
        <v>0.12626069239112159</v>
      </c>
    </row>
    <row r="248" spans="1:10" ht="11.25" customHeight="1" x14ac:dyDescent="0.2">
      <c r="A248" s="28">
        <v>44531</v>
      </c>
      <c r="B248" s="18">
        <v>0</v>
      </c>
      <c r="C248" s="18">
        <v>0</v>
      </c>
      <c r="D248" s="18">
        <v>102268.35240999999</v>
      </c>
      <c r="E248" s="18">
        <v>78542.501548319749</v>
      </c>
      <c r="F248" s="18">
        <v>295975.54629999999</v>
      </c>
      <c r="G248" s="18">
        <v>369983.94755334459</v>
      </c>
      <c r="H248" s="19">
        <v>-0.23199602127706009</v>
      </c>
      <c r="I248" s="19">
        <v>0.25004904012688223</v>
      </c>
      <c r="J248" s="19">
        <v>0.12626069239112181</v>
      </c>
    </row>
    <row r="249" spans="1:10" ht="11.25" customHeight="1" x14ac:dyDescent="0.2">
      <c r="A249" s="28">
        <v>44562</v>
      </c>
      <c r="B249" s="18">
        <v>0</v>
      </c>
      <c r="C249" s="18">
        <v>0</v>
      </c>
      <c r="D249" s="18">
        <v>103657.82015</v>
      </c>
      <c r="E249" s="18">
        <v>79609.618300946924</v>
      </c>
      <c r="F249" s="18">
        <v>299996.81449999998</v>
      </c>
      <c r="G249" s="18">
        <v>375010.73000684736</v>
      </c>
      <c r="H249" s="19">
        <v>-0.2319960212770602</v>
      </c>
      <c r="I249" s="19">
        <v>0.25004904012688245</v>
      </c>
      <c r="J249" s="19">
        <v>0.12626069239112181</v>
      </c>
    </row>
    <row r="250" spans="1:10" ht="11.25" customHeight="1" x14ac:dyDescent="0.2">
      <c r="A250" s="28">
        <v>44593</v>
      </c>
      <c r="B250" s="18">
        <v>0</v>
      </c>
      <c r="C250" s="18">
        <v>0</v>
      </c>
      <c r="D250" s="18">
        <v>108851.69934000002</v>
      </c>
      <c r="E250" s="18">
        <v>83598.538183873214</v>
      </c>
      <c r="F250" s="18">
        <v>315028.45620000007</v>
      </c>
      <c r="G250" s="18">
        <v>393801.01928546361</v>
      </c>
      <c r="H250" s="19">
        <v>-0.2319960212770602</v>
      </c>
      <c r="I250" s="19">
        <v>0.25004904012688201</v>
      </c>
      <c r="J250" s="19">
        <v>0.12626069239112181</v>
      </c>
    </row>
    <row r="251" spans="1:10" ht="11.25" customHeight="1" x14ac:dyDescent="0.2">
      <c r="A251" s="28">
        <v>44621</v>
      </c>
      <c r="B251" s="18">
        <v>0</v>
      </c>
      <c r="C251" s="18">
        <v>0</v>
      </c>
      <c r="D251" s="18">
        <v>114778.29949</v>
      </c>
      <c r="E251" s="18">
        <v>88150.190679373176</v>
      </c>
      <c r="F251" s="18">
        <v>332180.67070000002</v>
      </c>
      <c r="G251" s="18">
        <v>415242.1285572389</v>
      </c>
      <c r="H251" s="19">
        <v>-0.2319960212770602</v>
      </c>
      <c r="I251" s="19">
        <v>0.25004904012688201</v>
      </c>
      <c r="J251" s="19">
        <v>0.12626069239112159</v>
      </c>
    </row>
    <row r="252" spans="1:10" ht="11.25" customHeight="1" x14ac:dyDescent="0.2">
      <c r="A252" s="28">
        <v>44652</v>
      </c>
      <c r="B252" s="18">
        <v>0</v>
      </c>
      <c r="C252" s="18">
        <v>0</v>
      </c>
      <c r="D252" s="18">
        <v>114778.29949</v>
      </c>
      <c r="E252" s="18">
        <v>88150.190679373176</v>
      </c>
      <c r="F252" s="18">
        <v>332180.67070000002</v>
      </c>
      <c r="G252" s="18">
        <v>415242.1285572389</v>
      </c>
      <c r="H252" s="19">
        <v>-0.2319960212770602</v>
      </c>
      <c r="I252" s="19">
        <v>0.25004904012688201</v>
      </c>
      <c r="J252" s="19">
        <v>0.12626069239112159</v>
      </c>
    </row>
    <row r="253" spans="1:10" ht="11.25" customHeight="1" x14ac:dyDescent="0.2">
      <c r="A253" s="28">
        <v>44682</v>
      </c>
      <c r="B253" s="18">
        <v>0</v>
      </c>
      <c r="C253" s="18">
        <v>0</v>
      </c>
      <c r="D253" s="18">
        <v>114335.08753</v>
      </c>
      <c r="E253" s="18">
        <v>87809.802130675584</v>
      </c>
      <c r="F253" s="18">
        <v>330897.96790000005</v>
      </c>
      <c r="G253" s="18">
        <v>413638.68715333089</v>
      </c>
      <c r="H253" s="19">
        <v>-0.2319960212770602</v>
      </c>
      <c r="I253" s="19">
        <v>0.25004904012688201</v>
      </c>
      <c r="J253" s="19">
        <v>0.12626069239112159</v>
      </c>
    </row>
    <row r="254" spans="1:10" ht="11.25" customHeight="1" x14ac:dyDescent="0.2">
      <c r="A254" s="28">
        <v>44713</v>
      </c>
      <c r="B254" s="18">
        <v>0</v>
      </c>
      <c r="C254" s="18">
        <v>0</v>
      </c>
      <c r="D254" s="18">
        <v>94221.054970000012</v>
      </c>
      <c r="E254" s="18">
        <v>72362.14509643284</v>
      </c>
      <c r="F254" s="18">
        <v>272685.80710000003</v>
      </c>
      <c r="G254" s="18">
        <v>340870.63142157922</v>
      </c>
      <c r="H254" s="19">
        <v>-0.23199602127706009</v>
      </c>
      <c r="I254" s="19">
        <v>0.25004904012688223</v>
      </c>
      <c r="J254" s="19">
        <v>0.12626069239112181</v>
      </c>
    </row>
    <row r="255" spans="1:10" ht="11.25" customHeight="1" x14ac:dyDescent="0.2">
      <c r="A255" s="28">
        <v>44743</v>
      </c>
      <c r="B255" s="18">
        <v>0</v>
      </c>
      <c r="C255" s="18">
        <v>0</v>
      </c>
      <c r="D255" s="18">
        <v>97284.674299999999</v>
      </c>
      <c r="E255" s="18">
        <v>74715.016931165344</v>
      </c>
      <c r="F255" s="18">
        <v>281552.24900000001</v>
      </c>
      <c r="G255" s="18">
        <v>351954.11860801495</v>
      </c>
      <c r="H255" s="19">
        <v>-0.23199602127705998</v>
      </c>
      <c r="I255" s="19">
        <v>0.25004904012688223</v>
      </c>
      <c r="J255" s="19">
        <v>0.12626069239112181</v>
      </c>
    </row>
    <row r="256" spans="1:10" ht="11.25" customHeight="1" x14ac:dyDescent="0.2">
      <c r="A256" s="28">
        <v>44774</v>
      </c>
      <c r="B256" s="18">
        <v>0</v>
      </c>
      <c r="C256" s="18">
        <v>0</v>
      </c>
      <c r="D256" s="18">
        <v>106966.64482999999</v>
      </c>
      <c r="E256" s="18">
        <v>82150.808820083577</v>
      </c>
      <c r="F256" s="18">
        <v>309572.90689999994</v>
      </c>
      <c r="G256" s="18">
        <v>386981.31511963363</v>
      </c>
      <c r="H256" s="19">
        <v>-0.23199602127706009</v>
      </c>
      <c r="I256" s="19">
        <v>0.25004904012688223</v>
      </c>
      <c r="J256" s="19">
        <v>0.12626069239112159</v>
      </c>
    </row>
    <row r="257" spans="1:10" ht="11.25" customHeight="1" x14ac:dyDescent="0.2">
      <c r="A257" s="28">
        <v>44805</v>
      </c>
      <c r="B257" s="18">
        <v>0</v>
      </c>
      <c r="C257" s="18">
        <v>0</v>
      </c>
      <c r="D257" s="18">
        <v>105646.57152000001</v>
      </c>
      <c r="E257" s="18">
        <v>81136.987265797623</v>
      </c>
      <c r="F257" s="18">
        <v>305752.47359999997</v>
      </c>
      <c r="G257" s="18">
        <v>382205.58614009985</v>
      </c>
      <c r="H257" s="19">
        <v>-0.2319960212770602</v>
      </c>
      <c r="I257" s="19">
        <v>0.25004904012688223</v>
      </c>
      <c r="J257" s="19">
        <v>0.12626069239112159</v>
      </c>
    </row>
    <row r="258" spans="1:10" ht="11.25" customHeight="1" x14ac:dyDescent="0.2">
      <c r="A258" s="28">
        <v>44835</v>
      </c>
      <c r="B258" s="18">
        <v>0</v>
      </c>
      <c r="C258" s="18">
        <v>0</v>
      </c>
      <c r="D258" s="18">
        <v>105646.57152000001</v>
      </c>
      <c r="E258" s="18">
        <v>81136.987265797623</v>
      </c>
      <c r="F258" s="18">
        <v>305752.47359999997</v>
      </c>
      <c r="G258" s="18">
        <v>382205.58614009985</v>
      </c>
      <c r="H258" s="19">
        <v>-0.2319960212770602</v>
      </c>
      <c r="I258" s="19">
        <v>0.25004904012688223</v>
      </c>
      <c r="J258" s="19">
        <v>0.12626069239112159</v>
      </c>
    </row>
    <row r="259" spans="1:10" ht="11.25" customHeight="1" x14ac:dyDescent="0.2">
      <c r="A259" s="27" t="s">
        <v>25</v>
      </c>
      <c r="B259" s="18">
        <v>1892234.6399999997</v>
      </c>
      <c r="C259" s="18">
        <v>2458932.6490087216</v>
      </c>
      <c r="D259" s="18">
        <v>0</v>
      </c>
      <c r="E259" s="18">
        <v>0</v>
      </c>
      <c r="F259" s="18">
        <v>0</v>
      </c>
      <c r="G259" s="18">
        <v>0</v>
      </c>
      <c r="H259" s="19">
        <v>0.29948611923134494</v>
      </c>
      <c r="I259" s="19">
        <v>0</v>
      </c>
      <c r="J259" s="19">
        <v>0.29948611923134494</v>
      </c>
    </row>
    <row r="260" spans="1:10" ht="11.25" customHeight="1" x14ac:dyDescent="0.2">
      <c r="A260" s="28">
        <v>44501</v>
      </c>
      <c r="B260" s="18">
        <v>155901.35999999999</v>
      </c>
      <c r="C260" s="18">
        <v>202591.65328928889</v>
      </c>
      <c r="D260" s="18">
        <v>0</v>
      </c>
      <c r="E260" s="18">
        <v>0</v>
      </c>
      <c r="F260" s="18">
        <v>0</v>
      </c>
      <c r="G260" s="18">
        <v>0</v>
      </c>
      <c r="H260" s="19">
        <v>0.29948611923134538</v>
      </c>
      <c r="I260" s="19">
        <v>0</v>
      </c>
      <c r="J260" s="19">
        <v>0.29948611923134538</v>
      </c>
    </row>
    <row r="261" spans="1:10" ht="11.25" customHeight="1" x14ac:dyDescent="0.2">
      <c r="A261" s="28">
        <v>44531</v>
      </c>
      <c r="B261" s="18">
        <v>136093.44</v>
      </c>
      <c r="C261" s="18">
        <v>176851.53619844394</v>
      </c>
      <c r="D261" s="18">
        <v>0</v>
      </c>
      <c r="E261" s="18">
        <v>0</v>
      </c>
      <c r="F261" s="18">
        <v>0</v>
      </c>
      <c r="G261" s="18">
        <v>0</v>
      </c>
      <c r="H261" s="19">
        <v>0.29948611923134538</v>
      </c>
      <c r="I261" s="19">
        <v>0</v>
      </c>
      <c r="J261" s="19">
        <v>0.29948611923134538</v>
      </c>
    </row>
    <row r="262" spans="1:10" ht="11.25" customHeight="1" x14ac:dyDescent="0.2">
      <c r="A262" s="28">
        <v>44562</v>
      </c>
      <c r="B262" s="18">
        <v>157028.64000000001</v>
      </c>
      <c r="C262" s="18">
        <v>204056.538001776</v>
      </c>
      <c r="D262" s="18">
        <v>0</v>
      </c>
      <c r="E262" s="18">
        <v>0</v>
      </c>
      <c r="F262" s="18">
        <v>0</v>
      </c>
      <c r="G262" s="18">
        <v>0</v>
      </c>
      <c r="H262" s="19">
        <v>0.29948611923134516</v>
      </c>
      <c r="I262" s="19">
        <v>0</v>
      </c>
      <c r="J262" s="19">
        <v>0.29948611923134516</v>
      </c>
    </row>
    <row r="263" spans="1:10" ht="11.25" customHeight="1" x14ac:dyDescent="0.2">
      <c r="A263" s="28">
        <v>44593</v>
      </c>
      <c r="B263" s="18">
        <v>147951.84000000003</v>
      </c>
      <c r="C263" s="18">
        <v>192261.36239473693</v>
      </c>
      <c r="D263" s="18">
        <v>0</v>
      </c>
      <c r="E263" s="18">
        <v>0</v>
      </c>
      <c r="F263" s="18">
        <v>0</v>
      </c>
      <c r="G263" s="18">
        <v>0</v>
      </c>
      <c r="H263" s="19">
        <v>0.29948611923134516</v>
      </c>
      <c r="I263" s="19">
        <v>0</v>
      </c>
      <c r="J263" s="19">
        <v>0.29948611923134516</v>
      </c>
    </row>
    <row r="264" spans="1:10" ht="11.25" customHeight="1" x14ac:dyDescent="0.2">
      <c r="A264" s="28">
        <v>44621</v>
      </c>
      <c r="B264" s="18">
        <v>156691.91999999998</v>
      </c>
      <c r="C264" s="18">
        <v>203618.97503570843</v>
      </c>
      <c r="D264" s="18">
        <v>0</v>
      </c>
      <c r="E264" s="18">
        <v>0</v>
      </c>
      <c r="F264" s="18">
        <v>0</v>
      </c>
      <c r="G264" s="18">
        <v>0</v>
      </c>
      <c r="H264" s="19">
        <v>0.29948611923134538</v>
      </c>
      <c r="I264" s="19">
        <v>0</v>
      </c>
      <c r="J264" s="19">
        <v>0.29948611923134538</v>
      </c>
    </row>
    <row r="265" spans="1:10" ht="11.25" customHeight="1" x14ac:dyDescent="0.2">
      <c r="A265" s="28">
        <v>44652</v>
      </c>
      <c r="B265" s="18">
        <v>156691.91999999998</v>
      </c>
      <c r="C265" s="18">
        <v>203618.97503570843</v>
      </c>
      <c r="D265" s="18">
        <v>0</v>
      </c>
      <c r="E265" s="18">
        <v>0</v>
      </c>
      <c r="F265" s="18">
        <v>0</v>
      </c>
      <c r="G265" s="18">
        <v>0</v>
      </c>
      <c r="H265" s="19">
        <v>0.29948611923134538</v>
      </c>
      <c r="I265" s="19">
        <v>0</v>
      </c>
      <c r="J265" s="19">
        <v>0.29948611923134538</v>
      </c>
    </row>
    <row r="266" spans="1:10" ht="11.25" customHeight="1" x14ac:dyDescent="0.2">
      <c r="A266" s="28">
        <v>44682</v>
      </c>
      <c r="B266" s="18">
        <v>169633.68</v>
      </c>
      <c r="C266" s="18">
        <v>220436.61251413188</v>
      </c>
      <c r="D266" s="18">
        <v>0</v>
      </c>
      <c r="E266" s="18">
        <v>0</v>
      </c>
      <c r="F266" s="18">
        <v>0</v>
      </c>
      <c r="G266" s="18">
        <v>0</v>
      </c>
      <c r="H266" s="19">
        <v>0.29948611923134538</v>
      </c>
      <c r="I266" s="19">
        <v>0</v>
      </c>
      <c r="J266" s="19">
        <v>0.29948611923134538</v>
      </c>
    </row>
    <row r="267" spans="1:10" ht="11.25" customHeight="1" x14ac:dyDescent="0.2">
      <c r="A267" s="28">
        <v>44713</v>
      </c>
      <c r="B267" s="18">
        <v>156443.03999999998</v>
      </c>
      <c r="C267" s="18">
        <v>203295.55893035413</v>
      </c>
      <c r="D267" s="18">
        <v>0</v>
      </c>
      <c r="E267" s="18">
        <v>0</v>
      </c>
      <c r="F267" s="18">
        <v>0</v>
      </c>
      <c r="G267" s="18">
        <v>0</v>
      </c>
      <c r="H267" s="19">
        <v>0.2994861192313456</v>
      </c>
      <c r="I267" s="19">
        <v>0</v>
      </c>
      <c r="J267" s="19">
        <v>0.2994861192313456</v>
      </c>
    </row>
    <row r="268" spans="1:10" ht="11.25" customHeight="1" x14ac:dyDescent="0.2">
      <c r="A268" s="28">
        <v>44743</v>
      </c>
      <c r="B268" s="18">
        <v>161244.96000000002</v>
      </c>
      <c r="C268" s="18">
        <v>209535.58731601349</v>
      </c>
      <c r="D268" s="18">
        <v>0</v>
      </c>
      <c r="E268" s="18">
        <v>0</v>
      </c>
      <c r="F268" s="18">
        <v>0</v>
      </c>
      <c r="G268" s="18">
        <v>0</v>
      </c>
      <c r="H268" s="19">
        <v>0.29948611923134516</v>
      </c>
      <c r="I268" s="19">
        <v>0</v>
      </c>
      <c r="J268" s="19">
        <v>0.29948611923134516</v>
      </c>
    </row>
    <row r="269" spans="1:10" ht="11.25" customHeight="1" x14ac:dyDescent="0.2">
      <c r="A269" s="28">
        <v>44774</v>
      </c>
      <c r="B269" s="18">
        <v>159824.88</v>
      </c>
      <c r="C269" s="18">
        <v>207690.21306781544</v>
      </c>
      <c r="D269" s="18">
        <v>0</v>
      </c>
      <c r="E269" s="18">
        <v>0</v>
      </c>
      <c r="F269" s="18">
        <v>0</v>
      </c>
      <c r="G269" s="18">
        <v>0</v>
      </c>
      <c r="H269" s="19">
        <v>0.29948611923134516</v>
      </c>
      <c r="I269" s="19">
        <v>0</v>
      </c>
      <c r="J269" s="19">
        <v>0.29948611923134516</v>
      </c>
    </row>
    <row r="270" spans="1:10" ht="11.25" customHeight="1" x14ac:dyDescent="0.2">
      <c r="A270" s="28">
        <v>44805</v>
      </c>
      <c r="B270" s="18">
        <v>167364.48000000001</v>
      </c>
      <c r="C270" s="18">
        <v>217487.8186123721</v>
      </c>
      <c r="D270" s="18">
        <v>0</v>
      </c>
      <c r="E270" s="18">
        <v>0</v>
      </c>
      <c r="F270" s="18">
        <v>0</v>
      </c>
      <c r="G270" s="18">
        <v>0</v>
      </c>
      <c r="H270" s="19">
        <v>0.29948611923134516</v>
      </c>
      <c r="I270" s="19">
        <v>0</v>
      </c>
      <c r="J270" s="19">
        <v>0.29948611923134516</v>
      </c>
    </row>
    <row r="271" spans="1:10" ht="11.25" customHeight="1" x14ac:dyDescent="0.2">
      <c r="A271" s="28">
        <v>44835</v>
      </c>
      <c r="B271" s="18">
        <v>167364.48000000001</v>
      </c>
      <c r="C271" s="18">
        <v>217487.8186123721</v>
      </c>
      <c r="D271" s="18">
        <v>0</v>
      </c>
      <c r="E271" s="18">
        <v>0</v>
      </c>
      <c r="F271" s="18">
        <v>0</v>
      </c>
      <c r="G271" s="18">
        <v>0</v>
      </c>
      <c r="H271" s="19">
        <v>0.29948611923134516</v>
      </c>
      <c r="I271" s="19">
        <v>0</v>
      </c>
      <c r="J271" s="19">
        <v>0.29948611923134516</v>
      </c>
    </row>
    <row r="272" spans="1:10" ht="11.25" customHeight="1" x14ac:dyDescent="0.2">
      <c r="A272" s="27" t="s">
        <v>34</v>
      </c>
      <c r="B272" s="18">
        <v>0</v>
      </c>
      <c r="C272" s="18">
        <v>0</v>
      </c>
      <c r="D272" s="18">
        <v>699508.77768000006</v>
      </c>
      <c r="E272" s="18">
        <v>881619.39756506984</v>
      </c>
      <c r="F272" s="18">
        <v>262590.47736000002</v>
      </c>
      <c r="G272" s="18">
        <v>328620.47561126796</v>
      </c>
      <c r="H272" s="19">
        <v>0.26034072151182985</v>
      </c>
      <c r="I272" s="19">
        <v>0.25145617965705447</v>
      </c>
      <c r="J272" s="19">
        <v>0.25791581984544898</v>
      </c>
    </row>
    <row r="273" spans="1:10" ht="11.25" customHeight="1" x14ac:dyDescent="0.2">
      <c r="A273" s="28">
        <v>44501</v>
      </c>
      <c r="B273" s="18">
        <v>0</v>
      </c>
      <c r="C273" s="18">
        <v>0</v>
      </c>
      <c r="D273" s="18">
        <v>52671.612330000004</v>
      </c>
      <c r="E273" s="18">
        <v>66384.177887183629</v>
      </c>
      <c r="F273" s="18">
        <v>19772.537909999999</v>
      </c>
      <c r="G273" s="18">
        <v>24744.464754972883</v>
      </c>
      <c r="H273" s="19">
        <v>0.26034072151183052</v>
      </c>
      <c r="I273" s="19">
        <v>0.25145617965705469</v>
      </c>
      <c r="J273" s="19">
        <v>0.25791581984544942</v>
      </c>
    </row>
    <row r="274" spans="1:10" ht="11.25" customHeight="1" x14ac:dyDescent="0.2">
      <c r="A274" s="28">
        <v>44531</v>
      </c>
      <c r="B274" s="18">
        <v>0</v>
      </c>
      <c r="C274" s="18">
        <v>0</v>
      </c>
      <c r="D274" s="18">
        <v>57971.936699999998</v>
      </c>
      <c r="E274" s="18">
        <v>73064.392527916163</v>
      </c>
      <c r="F274" s="18">
        <v>21762.240899999997</v>
      </c>
      <c r="G274" s="18">
        <v>27234.490857490498</v>
      </c>
      <c r="H274" s="19">
        <v>0.26034072151183052</v>
      </c>
      <c r="I274" s="19">
        <v>0.25145617965705469</v>
      </c>
      <c r="J274" s="19">
        <v>0.25791581984544942</v>
      </c>
    </row>
    <row r="275" spans="1:10" ht="11.25" customHeight="1" x14ac:dyDescent="0.2">
      <c r="A275" s="28">
        <v>44562</v>
      </c>
      <c r="B275" s="18">
        <v>0</v>
      </c>
      <c r="C275" s="18">
        <v>0</v>
      </c>
      <c r="D275" s="18">
        <v>53824.811310000005</v>
      </c>
      <c r="E275" s="18">
        <v>67837.601521683537</v>
      </c>
      <c r="F275" s="18">
        <v>20205.44037</v>
      </c>
      <c r="G275" s="18">
        <v>25286.223213728626</v>
      </c>
      <c r="H275" s="19">
        <v>0.26034072151183052</v>
      </c>
      <c r="I275" s="19">
        <v>0.25145617965705469</v>
      </c>
      <c r="J275" s="19">
        <v>0.25791581984544965</v>
      </c>
    </row>
    <row r="276" spans="1:10" ht="11.25" customHeight="1" x14ac:dyDescent="0.2">
      <c r="A276" s="28">
        <v>44593</v>
      </c>
      <c r="B276" s="18">
        <v>0</v>
      </c>
      <c r="C276" s="18">
        <v>0</v>
      </c>
      <c r="D276" s="18">
        <v>50353.659269999996</v>
      </c>
      <c r="E276" s="18">
        <v>63462.767255112674</v>
      </c>
      <c r="F276" s="18">
        <v>18902.395289999997</v>
      </c>
      <c r="G276" s="18">
        <v>23655.519395990905</v>
      </c>
      <c r="H276" s="19">
        <v>0.26034072151183052</v>
      </c>
      <c r="I276" s="19">
        <v>0.25145617965705491</v>
      </c>
      <c r="J276" s="19">
        <v>0.25791581984544965</v>
      </c>
    </row>
    <row r="277" spans="1:10" ht="11.25" customHeight="1" x14ac:dyDescent="0.2">
      <c r="A277" s="28">
        <v>44621</v>
      </c>
      <c r="B277" s="18">
        <v>0</v>
      </c>
      <c r="C277" s="18">
        <v>0</v>
      </c>
      <c r="D277" s="18">
        <v>58677.953310000004</v>
      </c>
      <c r="E277" s="18">
        <v>73954.214011562901</v>
      </c>
      <c r="F277" s="18">
        <v>22027.274369999999</v>
      </c>
      <c r="G277" s="18">
        <v>27566.168631337954</v>
      </c>
      <c r="H277" s="19">
        <v>0.2603407215118303</v>
      </c>
      <c r="I277" s="19">
        <v>0.25145617965705469</v>
      </c>
      <c r="J277" s="19">
        <v>0.2579158198454492</v>
      </c>
    </row>
    <row r="278" spans="1:10" ht="11.25" customHeight="1" x14ac:dyDescent="0.2">
      <c r="A278" s="28">
        <v>44652</v>
      </c>
      <c r="B278" s="18">
        <v>0</v>
      </c>
      <c r="C278" s="18">
        <v>0</v>
      </c>
      <c r="D278" s="18">
        <v>58677.953310000004</v>
      </c>
      <c r="E278" s="18">
        <v>73954.214011562901</v>
      </c>
      <c r="F278" s="18">
        <v>22027.274369999999</v>
      </c>
      <c r="G278" s="18">
        <v>27566.168631337954</v>
      </c>
      <c r="H278" s="19">
        <v>0.2603407215118303</v>
      </c>
      <c r="I278" s="19">
        <v>0.25145617965705469</v>
      </c>
      <c r="J278" s="19">
        <v>0.2579158198454492</v>
      </c>
    </row>
    <row r="279" spans="1:10" ht="11.25" customHeight="1" x14ac:dyDescent="0.2">
      <c r="A279" s="28">
        <v>44682</v>
      </c>
      <c r="B279" s="18">
        <v>0</v>
      </c>
      <c r="C279" s="18">
        <v>0</v>
      </c>
      <c r="D279" s="18">
        <v>71024.577659999995</v>
      </c>
      <c r="E279" s="18">
        <v>89515.167453077433</v>
      </c>
      <c r="F279" s="18">
        <v>26662.106820000001</v>
      </c>
      <c r="G279" s="18">
        <v>33366.4583425655</v>
      </c>
      <c r="H279" s="19">
        <v>0.26034072151183052</v>
      </c>
      <c r="I279" s="19">
        <v>0.25145617965705447</v>
      </c>
      <c r="J279" s="19">
        <v>0.25791581984544942</v>
      </c>
    </row>
    <row r="280" spans="1:10" ht="11.25" customHeight="1" x14ac:dyDescent="0.2">
      <c r="A280" s="28">
        <v>44713</v>
      </c>
      <c r="B280" s="18">
        <v>0</v>
      </c>
      <c r="C280" s="18">
        <v>0</v>
      </c>
      <c r="D280" s="18">
        <v>55478.346120000002</v>
      </c>
      <c r="E280" s="18">
        <v>69921.618777163865</v>
      </c>
      <c r="F280" s="18">
        <v>20826.165239999998</v>
      </c>
      <c r="G280" s="18">
        <v>26063.033188156944</v>
      </c>
      <c r="H280" s="19">
        <v>0.26034072151183052</v>
      </c>
      <c r="I280" s="19">
        <v>0.25145617965705469</v>
      </c>
      <c r="J280" s="19">
        <v>0.25791581984544942</v>
      </c>
    </row>
    <row r="281" spans="1:10" ht="11.25" customHeight="1" x14ac:dyDescent="0.2">
      <c r="A281" s="28">
        <v>44743</v>
      </c>
      <c r="B281" s="18">
        <v>0</v>
      </c>
      <c r="C281" s="18">
        <v>0</v>
      </c>
      <c r="D281" s="18">
        <v>53902.230479999998</v>
      </c>
      <c r="E281" s="18">
        <v>67935.176054260184</v>
      </c>
      <c r="F281" s="18">
        <v>20234.502959999998</v>
      </c>
      <c r="G281" s="18">
        <v>25322.593771580963</v>
      </c>
      <c r="H281" s="19">
        <v>0.26034072151183052</v>
      </c>
      <c r="I281" s="19">
        <v>0.25145617965705469</v>
      </c>
      <c r="J281" s="19">
        <v>0.25791581984544965</v>
      </c>
    </row>
    <row r="282" spans="1:10" ht="11.25" customHeight="1" x14ac:dyDescent="0.2">
      <c r="A282" s="28">
        <v>44774</v>
      </c>
      <c r="B282" s="18">
        <v>0</v>
      </c>
      <c r="C282" s="18">
        <v>0</v>
      </c>
      <c r="D282" s="18">
        <v>67910.478210000001</v>
      </c>
      <c r="E282" s="18">
        <v>85590.341105404848</v>
      </c>
      <c r="F282" s="18">
        <v>25493.096669999999</v>
      </c>
      <c r="G282" s="18">
        <v>31903.493366266182</v>
      </c>
      <c r="H282" s="19">
        <v>0.26034072151183052</v>
      </c>
      <c r="I282" s="19">
        <v>0.25145617965705469</v>
      </c>
      <c r="J282" s="19">
        <v>0.25791581984544942</v>
      </c>
    </row>
    <row r="283" spans="1:10" ht="11.25" customHeight="1" x14ac:dyDescent="0.2">
      <c r="A283" s="28">
        <v>44805</v>
      </c>
      <c r="B283" s="18">
        <v>0</v>
      </c>
      <c r="C283" s="18">
        <v>0</v>
      </c>
      <c r="D283" s="18">
        <v>59507.609490000003</v>
      </c>
      <c r="E283" s="18">
        <v>74999.863480070853</v>
      </c>
      <c r="F283" s="18">
        <v>22338.721229999999</v>
      </c>
      <c r="G283" s="18">
        <v>27955.930728919739</v>
      </c>
      <c r="H283" s="19">
        <v>0.26034072151183052</v>
      </c>
      <c r="I283" s="19">
        <v>0.25145617965705469</v>
      </c>
      <c r="J283" s="19">
        <v>0.25791581984544942</v>
      </c>
    </row>
    <row r="284" spans="1:10" ht="11.25" customHeight="1" x14ac:dyDescent="0.2">
      <c r="A284" s="28">
        <v>44835</v>
      </c>
      <c r="B284" s="18">
        <v>0</v>
      </c>
      <c r="C284" s="18">
        <v>0</v>
      </c>
      <c r="D284" s="18">
        <v>59507.609490000003</v>
      </c>
      <c r="E284" s="18">
        <v>74999.863480070853</v>
      </c>
      <c r="F284" s="18">
        <v>22338.721229999999</v>
      </c>
      <c r="G284" s="18">
        <v>27955.930728919739</v>
      </c>
      <c r="H284" s="19">
        <v>0.26034072151183052</v>
      </c>
      <c r="I284" s="19">
        <v>0.25145617965705469</v>
      </c>
      <c r="J284" s="19">
        <v>0.25791581984544942</v>
      </c>
    </row>
    <row r="285" spans="1:10" ht="11.25" customHeight="1" x14ac:dyDescent="0.2">
      <c r="A285" s="23" t="s">
        <v>45</v>
      </c>
      <c r="B285" s="18">
        <v>7774542.7200000007</v>
      </c>
      <c r="C285" s="18">
        <v>10102910.34801111</v>
      </c>
      <c r="D285" s="18">
        <v>10702018.32759</v>
      </c>
      <c r="E285" s="18">
        <v>10713321.498488052</v>
      </c>
      <c r="F285" s="18">
        <v>18213230.142450005</v>
      </c>
      <c r="G285" s="18">
        <v>22770106.817099474</v>
      </c>
      <c r="H285" s="19">
        <v>0.12662912718892239</v>
      </c>
      <c r="I285" s="19">
        <v>0.25019596408814193</v>
      </c>
      <c r="J285" s="19">
        <v>0.18796911211178591</v>
      </c>
    </row>
    <row r="286" spans="1:10" ht="11.25" customHeight="1" x14ac:dyDescent="0.2">
      <c r="A286" s="24" t="s">
        <v>25</v>
      </c>
      <c r="B286" s="18">
        <v>7774542.7200000007</v>
      </c>
      <c r="C286" s="18">
        <v>10102910.34801111</v>
      </c>
      <c r="D286" s="18">
        <v>10702018.32759</v>
      </c>
      <c r="E286" s="18">
        <v>10713321.498488052</v>
      </c>
      <c r="F286" s="18">
        <v>18213230.142450005</v>
      </c>
      <c r="G286" s="18">
        <v>22770106.817099474</v>
      </c>
      <c r="H286" s="19">
        <v>0.12662912718892239</v>
      </c>
      <c r="I286" s="19">
        <v>0.25019596408814193</v>
      </c>
      <c r="J286" s="19">
        <v>0.18796911211178591</v>
      </c>
    </row>
    <row r="287" spans="1:10" ht="11.25" customHeight="1" x14ac:dyDescent="0.2">
      <c r="A287" s="25" t="s">
        <v>25</v>
      </c>
      <c r="B287" s="18">
        <v>7774542.7200000007</v>
      </c>
      <c r="C287" s="18">
        <v>10102910.34801111</v>
      </c>
      <c r="D287" s="18">
        <v>10702018.32759</v>
      </c>
      <c r="E287" s="18">
        <v>10713321.498488052</v>
      </c>
      <c r="F287" s="18">
        <v>18213230.142450005</v>
      </c>
      <c r="G287" s="18">
        <v>22770106.817099474</v>
      </c>
      <c r="H287" s="19">
        <v>0.12662912718892239</v>
      </c>
      <c r="I287" s="19">
        <v>0.25019596408814193</v>
      </c>
      <c r="J287" s="19">
        <v>0.18796911211178591</v>
      </c>
    </row>
    <row r="288" spans="1:10" ht="11.25" customHeight="1" x14ac:dyDescent="0.2">
      <c r="A288" s="26" t="s">
        <v>25</v>
      </c>
      <c r="B288" s="18">
        <v>7774542.7200000007</v>
      </c>
      <c r="C288" s="18">
        <v>10102910.34801111</v>
      </c>
      <c r="D288" s="18">
        <v>10702018.32759</v>
      </c>
      <c r="E288" s="18">
        <v>10713321.498488052</v>
      </c>
      <c r="F288" s="18">
        <v>18213230.142450005</v>
      </c>
      <c r="G288" s="18">
        <v>22770106.817099474</v>
      </c>
      <c r="H288" s="19">
        <v>0.12662912718892239</v>
      </c>
      <c r="I288" s="19">
        <v>0.25019596408814193</v>
      </c>
      <c r="J288" s="19">
        <v>0.18796911211178591</v>
      </c>
    </row>
    <row r="289" spans="1:10" ht="11.25" customHeight="1" x14ac:dyDescent="0.2">
      <c r="A289" s="27" t="s">
        <v>35</v>
      </c>
      <c r="B289" s="18">
        <v>0</v>
      </c>
      <c r="C289" s="18">
        <v>0</v>
      </c>
      <c r="D289" s="18">
        <v>5636118.0488399994</v>
      </c>
      <c r="E289" s="18">
        <v>4328561.0860612933</v>
      </c>
      <c r="F289" s="18">
        <v>16311528.2412</v>
      </c>
      <c r="G289" s="18">
        <v>20390210.220914591</v>
      </c>
      <c r="H289" s="19">
        <v>-0.2319960212770602</v>
      </c>
      <c r="I289" s="19">
        <v>0.25004904012688245</v>
      </c>
      <c r="J289" s="19">
        <v>0.12626069239112181</v>
      </c>
    </row>
    <row r="290" spans="1:10" ht="11.25" customHeight="1" x14ac:dyDescent="0.2">
      <c r="A290" s="28">
        <v>44501</v>
      </c>
      <c r="B290" s="18">
        <v>0</v>
      </c>
      <c r="C290" s="18">
        <v>0</v>
      </c>
      <c r="D290" s="18">
        <v>438804.05388000008</v>
      </c>
      <c r="E290" s="18">
        <v>337003.25925959536</v>
      </c>
      <c r="F290" s="18">
        <v>1269945.8484000002</v>
      </c>
      <c r="G290" s="18">
        <v>1587494.5888055391</v>
      </c>
      <c r="H290" s="19">
        <v>-0.23199602127706009</v>
      </c>
      <c r="I290" s="19">
        <v>0.25004904012688201</v>
      </c>
      <c r="J290" s="19">
        <v>0.12626069239112159</v>
      </c>
    </row>
    <row r="291" spans="1:10" ht="11.25" customHeight="1" x14ac:dyDescent="0.2">
      <c r="A291" s="28">
        <v>44531</v>
      </c>
      <c r="B291" s="18">
        <v>0</v>
      </c>
      <c r="C291" s="18">
        <v>0</v>
      </c>
      <c r="D291" s="18">
        <v>385962.43254999997</v>
      </c>
      <c r="E291" s="18">
        <v>296420.68383598432</v>
      </c>
      <c r="F291" s="18">
        <v>1117016.5465000002</v>
      </c>
      <c r="G291" s="18">
        <v>1396325.46175817</v>
      </c>
      <c r="H291" s="19">
        <v>-0.23199602127706009</v>
      </c>
      <c r="I291" s="19">
        <v>0.25004904012688223</v>
      </c>
      <c r="J291" s="19">
        <v>0.12626069239112181</v>
      </c>
    </row>
    <row r="292" spans="1:10" ht="11.25" customHeight="1" x14ac:dyDescent="0.2">
      <c r="A292" s="28">
        <v>44562</v>
      </c>
      <c r="B292" s="18">
        <v>0</v>
      </c>
      <c r="C292" s="18">
        <v>0</v>
      </c>
      <c r="D292" s="18">
        <v>344528.60631</v>
      </c>
      <c r="E292" s="18">
        <v>264599.34042994934</v>
      </c>
      <c r="F292" s="18">
        <v>997102.62330000009</v>
      </c>
      <c r="G292" s="18">
        <v>1246427.1771641613</v>
      </c>
      <c r="H292" s="19">
        <v>-0.2319960212770602</v>
      </c>
      <c r="I292" s="19">
        <v>0.25004904012688223</v>
      </c>
      <c r="J292" s="19">
        <v>0.12626069239112181</v>
      </c>
    </row>
    <row r="293" spans="1:10" ht="11.25" customHeight="1" x14ac:dyDescent="0.2">
      <c r="A293" s="28">
        <v>44593</v>
      </c>
      <c r="B293" s="18">
        <v>0</v>
      </c>
      <c r="C293" s="18">
        <v>0</v>
      </c>
      <c r="D293" s="18">
        <v>408339.54819</v>
      </c>
      <c r="E293" s="18">
        <v>313606.39767984767</v>
      </c>
      <c r="F293" s="18">
        <v>1181778.3117</v>
      </c>
      <c r="G293" s="18">
        <v>1477280.8441833523</v>
      </c>
      <c r="H293" s="19">
        <v>-0.23199602127706009</v>
      </c>
      <c r="I293" s="19">
        <v>0.25004904012688223</v>
      </c>
      <c r="J293" s="19">
        <v>0.12626069239112159</v>
      </c>
    </row>
    <row r="294" spans="1:10" ht="11.25" customHeight="1" x14ac:dyDescent="0.2">
      <c r="A294" s="28">
        <v>44621</v>
      </c>
      <c r="B294" s="18">
        <v>0</v>
      </c>
      <c r="C294" s="18">
        <v>0</v>
      </c>
      <c r="D294" s="18">
        <v>450590.84257000004</v>
      </c>
      <c r="E294" s="18">
        <v>346055.55986988184</v>
      </c>
      <c r="F294" s="18">
        <v>1304058.0751</v>
      </c>
      <c r="G294" s="18">
        <v>1630136.5450484648</v>
      </c>
      <c r="H294" s="19">
        <v>-0.2319960212770602</v>
      </c>
      <c r="I294" s="19">
        <v>0.25004904012688223</v>
      </c>
      <c r="J294" s="19">
        <v>0.12626069239112181</v>
      </c>
    </row>
    <row r="295" spans="1:10" ht="11.25" customHeight="1" x14ac:dyDescent="0.2">
      <c r="A295" s="28">
        <v>44652</v>
      </c>
      <c r="B295" s="18">
        <v>0</v>
      </c>
      <c r="C295" s="18">
        <v>0</v>
      </c>
      <c r="D295" s="18">
        <v>450590.84257000004</v>
      </c>
      <c r="E295" s="18">
        <v>346055.55986988184</v>
      </c>
      <c r="F295" s="18">
        <v>1304058.0751</v>
      </c>
      <c r="G295" s="18">
        <v>1630136.5450484648</v>
      </c>
      <c r="H295" s="19">
        <v>-0.2319960212770602</v>
      </c>
      <c r="I295" s="19">
        <v>0.25004904012688223</v>
      </c>
      <c r="J295" s="19">
        <v>0.12626069239112181</v>
      </c>
    </row>
    <row r="296" spans="1:10" ht="11.25" customHeight="1" x14ac:dyDescent="0.2">
      <c r="A296" s="28">
        <v>44682</v>
      </c>
      <c r="B296" s="18">
        <v>0</v>
      </c>
      <c r="C296" s="18">
        <v>0</v>
      </c>
      <c r="D296" s="18">
        <v>766727.91535999998</v>
      </c>
      <c r="E296" s="18">
        <v>588850.08959442552</v>
      </c>
      <c r="F296" s="18">
        <v>2218992.5647999998</v>
      </c>
      <c r="G296" s="18">
        <v>2773849.5256769285</v>
      </c>
      <c r="H296" s="19">
        <v>-0.23199602127706009</v>
      </c>
      <c r="I296" s="19">
        <v>0.25004904012688223</v>
      </c>
      <c r="J296" s="19">
        <v>0.12626069239112181</v>
      </c>
    </row>
    <row r="297" spans="1:10" ht="11.25" customHeight="1" x14ac:dyDescent="0.2">
      <c r="A297" s="28">
        <v>44713</v>
      </c>
      <c r="B297" s="18">
        <v>0</v>
      </c>
      <c r="C297" s="18">
        <v>0</v>
      </c>
      <c r="D297" s="18">
        <v>419218.85776000004</v>
      </c>
      <c r="E297" s="18">
        <v>321961.75071536622</v>
      </c>
      <c r="F297" s="18">
        <v>1213264.1968</v>
      </c>
      <c r="G297" s="18">
        <v>1516639.7446301528</v>
      </c>
      <c r="H297" s="19">
        <v>-0.2319960212770602</v>
      </c>
      <c r="I297" s="19">
        <v>0.25004904012688223</v>
      </c>
      <c r="J297" s="19">
        <v>0.12626069239112159</v>
      </c>
    </row>
    <row r="298" spans="1:10" ht="11.25" customHeight="1" x14ac:dyDescent="0.2">
      <c r="A298" s="28">
        <v>44743</v>
      </c>
      <c r="B298" s="18">
        <v>0</v>
      </c>
      <c r="C298" s="18">
        <v>0</v>
      </c>
      <c r="D298" s="18">
        <v>405970.92592000007</v>
      </c>
      <c r="E298" s="18">
        <v>311787.28635239589</v>
      </c>
      <c r="F298" s="18">
        <v>1174923.2656</v>
      </c>
      <c r="G298" s="18">
        <v>1468711.700386022</v>
      </c>
      <c r="H298" s="19">
        <v>-0.2319960212770602</v>
      </c>
      <c r="I298" s="19">
        <v>0.25004904012688223</v>
      </c>
      <c r="J298" s="19">
        <v>0.12626069239112159</v>
      </c>
    </row>
    <row r="299" spans="1:10" ht="11.25" customHeight="1" x14ac:dyDescent="0.2">
      <c r="A299" s="28">
        <v>44774</v>
      </c>
      <c r="B299" s="18">
        <v>0</v>
      </c>
      <c r="C299" s="18">
        <v>0</v>
      </c>
      <c r="D299" s="18">
        <v>517333.19467</v>
      </c>
      <c r="E299" s="18">
        <v>397313.95183200919</v>
      </c>
      <c r="F299" s="18">
        <v>1497217.5781</v>
      </c>
      <c r="G299" s="18">
        <v>1871595.3963650004</v>
      </c>
      <c r="H299" s="19">
        <v>-0.23199602127706009</v>
      </c>
      <c r="I299" s="19">
        <v>0.25004904012688223</v>
      </c>
      <c r="J299" s="19">
        <v>0.12626069239112159</v>
      </c>
    </row>
    <row r="300" spans="1:10" ht="11.25" customHeight="1" x14ac:dyDescent="0.2">
      <c r="A300" s="28">
        <v>44805</v>
      </c>
      <c r="B300" s="18">
        <v>0</v>
      </c>
      <c r="C300" s="18">
        <v>0</v>
      </c>
      <c r="D300" s="18">
        <v>524025.41452999995</v>
      </c>
      <c r="E300" s="18">
        <v>402453.60331097781</v>
      </c>
      <c r="F300" s="18">
        <v>1516585.5778999999</v>
      </c>
      <c r="G300" s="18">
        <v>1895806.3459241679</v>
      </c>
      <c r="H300" s="19">
        <v>-0.2319960212770602</v>
      </c>
      <c r="I300" s="19">
        <v>0.25004904012688223</v>
      </c>
      <c r="J300" s="19">
        <v>0.12626069239112181</v>
      </c>
    </row>
    <row r="301" spans="1:10" ht="11.25" customHeight="1" x14ac:dyDescent="0.2">
      <c r="A301" s="28">
        <v>44835</v>
      </c>
      <c r="B301" s="18">
        <v>0</v>
      </c>
      <c r="C301" s="18">
        <v>0</v>
      </c>
      <c r="D301" s="18">
        <v>524025.41452999995</v>
      </c>
      <c r="E301" s="18">
        <v>402453.60331097781</v>
      </c>
      <c r="F301" s="18">
        <v>1516585.5778999999</v>
      </c>
      <c r="G301" s="18">
        <v>1895806.3459241679</v>
      </c>
      <c r="H301" s="19">
        <v>-0.2319960212770602</v>
      </c>
      <c r="I301" s="19">
        <v>0.25004904012688223</v>
      </c>
      <c r="J301" s="19">
        <v>0.12626069239112181</v>
      </c>
    </row>
    <row r="302" spans="1:10" ht="11.25" customHeight="1" x14ac:dyDescent="0.2">
      <c r="A302" s="27" t="s">
        <v>25</v>
      </c>
      <c r="B302" s="18">
        <v>7774542.7200000007</v>
      </c>
      <c r="C302" s="18">
        <v>10102910.34801111</v>
      </c>
      <c r="D302" s="18">
        <v>0</v>
      </c>
      <c r="E302" s="18">
        <v>0</v>
      </c>
      <c r="F302" s="18">
        <v>0</v>
      </c>
      <c r="G302" s="18">
        <v>0</v>
      </c>
      <c r="H302" s="19">
        <v>0.29948611923134516</v>
      </c>
      <c r="I302" s="19">
        <v>0</v>
      </c>
      <c r="J302" s="19">
        <v>0.29948611923134516</v>
      </c>
    </row>
    <row r="303" spans="1:10" ht="11.25" customHeight="1" x14ac:dyDescent="0.2">
      <c r="A303" s="28">
        <v>44501</v>
      </c>
      <c r="B303" s="18">
        <v>541328.64000000013</v>
      </c>
      <c r="C303" s="18">
        <v>703449.05362238211</v>
      </c>
      <c r="D303" s="18">
        <v>0</v>
      </c>
      <c r="E303" s="18">
        <v>0</v>
      </c>
      <c r="F303" s="18">
        <v>0</v>
      </c>
      <c r="G303" s="18">
        <v>0</v>
      </c>
      <c r="H303" s="19">
        <v>0.29948611923134516</v>
      </c>
      <c r="I303" s="19">
        <v>0</v>
      </c>
      <c r="J303" s="19">
        <v>0.29948611923134516</v>
      </c>
    </row>
    <row r="304" spans="1:10" ht="11.25" customHeight="1" x14ac:dyDescent="0.2">
      <c r="A304" s="28">
        <v>44531</v>
      </c>
      <c r="B304" s="18">
        <v>585292.56000000006</v>
      </c>
      <c r="C304" s="18">
        <v>760579.55740937928</v>
      </c>
      <c r="D304" s="18">
        <v>0</v>
      </c>
      <c r="E304" s="18">
        <v>0</v>
      </c>
      <c r="F304" s="18">
        <v>0</v>
      </c>
      <c r="G304" s="18">
        <v>0</v>
      </c>
      <c r="H304" s="19">
        <v>0.29948611923134516</v>
      </c>
      <c r="I304" s="19">
        <v>0</v>
      </c>
      <c r="J304" s="19">
        <v>0.29948611923134516</v>
      </c>
    </row>
    <row r="305" spans="1:10" ht="11.25" customHeight="1" x14ac:dyDescent="0.2">
      <c r="A305" s="28">
        <v>44562</v>
      </c>
      <c r="B305" s="18">
        <v>590079.84000000008</v>
      </c>
      <c r="C305" s="18">
        <v>766800.56131825317</v>
      </c>
      <c r="D305" s="18">
        <v>0</v>
      </c>
      <c r="E305" s="18">
        <v>0</v>
      </c>
      <c r="F305" s="18">
        <v>0</v>
      </c>
      <c r="G305" s="18">
        <v>0</v>
      </c>
      <c r="H305" s="19">
        <v>0.29948611923134516</v>
      </c>
      <c r="I305" s="19">
        <v>0</v>
      </c>
      <c r="J305" s="19">
        <v>0.29948611923134516</v>
      </c>
    </row>
    <row r="306" spans="1:10" ht="11.25" customHeight="1" x14ac:dyDescent="0.2">
      <c r="A306" s="28">
        <v>44593</v>
      </c>
      <c r="B306" s="18">
        <v>614909.28</v>
      </c>
      <c r="C306" s="18">
        <v>799066.07394654071</v>
      </c>
      <c r="D306" s="18">
        <v>0</v>
      </c>
      <c r="E306" s="18">
        <v>0</v>
      </c>
      <c r="F306" s="18">
        <v>0</v>
      </c>
      <c r="G306" s="18">
        <v>0</v>
      </c>
      <c r="H306" s="19">
        <v>0.29948611923134516</v>
      </c>
      <c r="I306" s="19">
        <v>0</v>
      </c>
      <c r="J306" s="19">
        <v>0.29948611923134516</v>
      </c>
    </row>
    <row r="307" spans="1:10" ht="11.25" customHeight="1" x14ac:dyDescent="0.2">
      <c r="A307" s="28">
        <v>44621</v>
      </c>
      <c r="B307" s="18">
        <v>580754.16</v>
      </c>
      <c r="C307" s="18">
        <v>754681.96960585983</v>
      </c>
      <c r="D307" s="18">
        <v>0</v>
      </c>
      <c r="E307" s="18">
        <v>0</v>
      </c>
      <c r="F307" s="18">
        <v>0</v>
      </c>
      <c r="G307" s="18">
        <v>0</v>
      </c>
      <c r="H307" s="19">
        <v>0.29948611923134538</v>
      </c>
      <c r="I307" s="19">
        <v>0</v>
      </c>
      <c r="J307" s="19">
        <v>0.29948611923134538</v>
      </c>
    </row>
    <row r="308" spans="1:10" ht="11.25" customHeight="1" x14ac:dyDescent="0.2">
      <c r="A308" s="28">
        <v>44652</v>
      </c>
      <c r="B308" s="18">
        <v>580754.16</v>
      </c>
      <c r="C308" s="18">
        <v>754681.96960585983</v>
      </c>
      <c r="D308" s="18">
        <v>0</v>
      </c>
      <c r="E308" s="18">
        <v>0</v>
      </c>
      <c r="F308" s="18">
        <v>0</v>
      </c>
      <c r="G308" s="18">
        <v>0</v>
      </c>
      <c r="H308" s="19">
        <v>0.29948611923134538</v>
      </c>
      <c r="I308" s="19">
        <v>0</v>
      </c>
      <c r="J308" s="19">
        <v>0.29948611923134538</v>
      </c>
    </row>
    <row r="309" spans="1:10" ht="11.25" customHeight="1" x14ac:dyDescent="0.2">
      <c r="A309" s="28">
        <v>44682</v>
      </c>
      <c r="B309" s="18">
        <v>1177670.8799999999</v>
      </c>
      <c r="C309" s="18">
        <v>1530366.9615829634</v>
      </c>
      <c r="D309" s="18">
        <v>0</v>
      </c>
      <c r="E309" s="18">
        <v>0</v>
      </c>
      <c r="F309" s="18">
        <v>0</v>
      </c>
      <c r="G309" s="18">
        <v>0</v>
      </c>
      <c r="H309" s="19">
        <v>0.29948611923134538</v>
      </c>
      <c r="I309" s="19">
        <v>0</v>
      </c>
      <c r="J309" s="19">
        <v>0.29948611923134538</v>
      </c>
    </row>
    <row r="310" spans="1:10" ht="11.25" customHeight="1" x14ac:dyDescent="0.2">
      <c r="A310" s="28">
        <v>44713</v>
      </c>
      <c r="B310" s="18">
        <v>675636</v>
      </c>
      <c r="C310" s="18">
        <v>877979.60365298926</v>
      </c>
      <c r="D310" s="18">
        <v>0</v>
      </c>
      <c r="E310" s="18">
        <v>0</v>
      </c>
      <c r="F310" s="18">
        <v>0</v>
      </c>
      <c r="G310" s="18">
        <v>0</v>
      </c>
      <c r="H310" s="19">
        <v>0.29948611923134538</v>
      </c>
      <c r="I310" s="19">
        <v>0</v>
      </c>
      <c r="J310" s="19">
        <v>0.29948611923134538</v>
      </c>
    </row>
    <row r="311" spans="1:10" ht="11.25" customHeight="1" x14ac:dyDescent="0.2">
      <c r="A311" s="28">
        <v>44743</v>
      </c>
      <c r="B311" s="18">
        <v>558091.44000000006</v>
      </c>
      <c r="C311" s="18">
        <v>725232.07954183326</v>
      </c>
      <c r="D311" s="18">
        <v>0</v>
      </c>
      <c r="E311" s="18">
        <v>0</v>
      </c>
      <c r="F311" s="18">
        <v>0</v>
      </c>
      <c r="G311" s="18">
        <v>0</v>
      </c>
      <c r="H311" s="19">
        <v>0.29948611923134538</v>
      </c>
      <c r="I311" s="19">
        <v>0</v>
      </c>
      <c r="J311" s="19">
        <v>0.29948611923134538</v>
      </c>
    </row>
    <row r="312" spans="1:10" ht="11.25" customHeight="1" x14ac:dyDescent="0.2">
      <c r="A312" s="28">
        <v>44774</v>
      </c>
      <c r="B312" s="18">
        <v>620501.76000000001</v>
      </c>
      <c r="C312" s="18">
        <v>806333.42407861957</v>
      </c>
      <c r="D312" s="18">
        <v>0</v>
      </c>
      <c r="E312" s="18">
        <v>0</v>
      </c>
      <c r="F312" s="18">
        <v>0</v>
      </c>
      <c r="G312" s="18">
        <v>0</v>
      </c>
      <c r="H312" s="19">
        <v>0.29948611923134516</v>
      </c>
      <c r="I312" s="19">
        <v>0</v>
      </c>
      <c r="J312" s="19">
        <v>0.29948611923134516</v>
      </c>
    </row>
    <row r="313" spans="1:10" ht="11.25" customHeight="1" x14ac:dyDescent="0.2">
      <c r="A313" s="28">
        <v>44805</v>
      </c>
      <c r="B313" s="18">
        <v>624762</v>
      </c>
      <c r="C313" s="18">
        <v>811869.54682321381</v>
      </c>
      <c r="D313" s="18">
        <v>0</v>
      </c>
      <c r="E313" s="18">
        <v>0</v>
      </c>
      <c r="F313" s="18">
        <v>0</v>
      </c>
      <c r="G313" s="18">
        <v>0</v>
      </c>
      <c r="H313" s="19">
        <v>0.29948611923134538</v>
      </c>
      <c r="I313" s="19">
        <v>0</v>
      </c>
      <c r="J313" s="19">
        <v>0.29948611923134538</v>
      </c>
    </row>
    <row r="314" spans="1:10" ht="11.25" customHeight="1" x14ac:dyDescent="0.2">
      <c r="A314" s="28">
        <v>44835</v>
      </c>
      <c r="B314" s="18">
        <v>624762</v>
      </c>
      <c r="C314" s="18">
        <v>811869.54682321381</v>
      </c>
      <c r="D314" s="18">
        <v>0</v>
      </c>
      <c r="E314" s="18">
        <v>0</v>
      </c>
      <c r="F314" s="18">
        <v>0</v>
      </c>
      <c r="G314" s="18">
        <v>0</v>
      </c>
      <c r="H314" s="19">
        <v>0.29948611923134538</v>
      </c>
      <c r="I314" s="19">
        <v>0</v>
      </c>
      <c r="J314" s="19">
        <v>0.29948611923134538</v>
      </c>
    </row>
    <row r="315" spans="1:10" ht="11.25" customHeight="1" x14ac:dyDescent="0.2">
      <c r="A315" s="27" t="s">
        <v>34</v>
      </c>
      <c r="B315" s="18">
        <v>0</v>
      </c>
      <c r="C315" s="18">
        <v>0</v>
      </c>
      <c r="D315" s="18">
        <v>5065900.2787499996</v>
      </c>
      <c r="E315" s="18">
        <v>6384760.4124267576</v>
      </c>
      <c r="F315" s="18">
        <v>1901701.9012500001</v>
      </c>
      <c r="G315" s="18">
        <v>2379896.5961848828</v>
      </c>
      <c r="H315" s="19">
        <v>0.26034072151183008</v>
      </c>
      <c r="I315" s="19">
        <v>0.25145617965705425</v>
      </c>
      <c r="J315" s="19">
        <v>0.25791581984544898</v>
      </c>
    </row>
    <row r="316" spans="1:10" ht="11.25" customHeight="1" x14ac:dyDescent="0.2">
      <c r="A316" s="28">
        <v>44501</v>
      </c>
      <c r="B316" s="18">
        <v>0</v>
      </c>
      <c r="C316" s="18">
        <v>0</v>
      </c>
      <c r="D316" s="18">
        <v>365620.69665</v>
      </c>
      <c r="E316" s="18">
        <v>460806.65261551907</v>
      </c>
      <c r="F316" s="18">
        <v>137251.33455</v>
      </c>
      <c r="G316" s="18">
        <v>171764.0307887753</v>
      </c>
      <c r="H316" s="19">
        <v>0.2603407215118303</v>
      </c>
      <c r="I316" s="19">
        <v>0.25145617965705447</v>
      </c>
      <c r="J316" s="19">
        <v>0.2579158198454492</v>
      </c>
    </row>
    <row r="317" spans="1:10" ht="11.25" customHeight="1" x14ac:dyDescent="0.2">
      <c r="A317" s="28">
        <v>44531</v>
      </c>
      <c r="B317" s="18">
        <v>0</v>
      </c>
      <c r="C317" s="18">
        <v>0</v>
      </c>
      <c r="D317" s="18">
        <v>378936.79389000003</v>
      </c>
      <c r="E317" s="18">
        <v>477589.47221870237</v>
      </c>
      <c r="F317" s="18">
        <v>142250.10002999997</v>
      </c>
      <c r="G317" s="18">
        <v>178019.76673937766</v>
      </c>
      <c r="H317" s="19">
        <v>0.2603407215118303</v>
      </c>
      <c r="I317" s="19">
        <v>0.25145617965705491</v>
      </c>
      <c r="J317" s="19">
        <v>0.25791581984544942</v>
      </c>
    </row>
    <row r="318" spans="1:10" ht="11.25" customHeight="1" x14ac:dyDescent="0.2">
      <c r="A318" s="28">
        <v>44562</v>
      </c>
      <c r="B318" s="18">
        <v>0</v>
      </c>
      <c r="C318" s="18">
        <v>0</v>
      </c>
      <c r="D318" s="18">
        <v>342541.69541999995</v>
      </c>
      <c r="E318" s="18">
        <v>431719.24755352846</v>
      </c>
      <c r="F318" s="18">
        <v>128587.64634000001</v>
      </c>
      <c r="G318" s="18">
        <v>160921.80463974882</v>
      </c>
      <c r="H318" s="19">
        <v>0.26034072151183074</v>
      </c>
      <c r="I318" s="19">
        <v>0.25145617965705447</v>
      </c>
      <c r="J318" s="19">
        <v>0.25791581984544942</v>
      </c>
    </row>
    <row r="319" spans="1:10" ht="11.25" customHeight="1" x14ac:dyDescent="0.2">
      <c r="A319" s="28">
        <v>44593</v>
      </c>
      <c r="B319" s="18">
        <v>0</v>
      </c>
      <c r="C319" s="18">
        <v>0</v>
      </c>
      <c r="D319" s="18">
        <v>363166.39341000002</v>
      </c>
      <c r="E319" s="18">
        <v>457713.39429920865</v>
      </c>
      <c r="F319" s="18">
        <v>136330.00706999999</v>
      </c>
      <c r="G319" s="18">
        <v>170611.02982044144</v>
      </c>
      <c r="H319" s="19">
        <v>0.2603407215118303</v>
      </c>
      <c r="I319" s="19">
        <v>0.25145617965705469</v>
      </c>
      <c r="J319" s="19">
        <v>0.25791581984544942</v>
      </c>
    </row>
    <row r="320" spans="1:10" ht="11.25" customHeight="1" x14ac:dyDescent="0.2">
      <c r="A320" s="28">
        <v>44621</v>
      </c>
      <c r="B320" s="18">
        <v>0</v>
      </c>
      <c r="C320" s="18">
        <v>0</v>
      </c>
      <c r="D320" s="18">
        <v>399174.39603</v>
      </c>
      <c r="E320" s="18">
        <v>503095.74630149931</v>
      </c>
      <c r="F320" s="18">
        <v>149847.14780999997</v>
      </c>
      <c r="G320" s="18">
        <v>187527.13913080856</v>
      </c>
      <c r="H320" s="19">
        <v>0.2603407215118303</v>
      </c>
      <c r="I320" s="19">
        <v>0.25145617965705469</v>
      </c>
      <c r="J320" s="19">
        <v>0.25791581984544942</v>
      </c>
    </row>
    <row r="321" spans="1:10" ht="11.25" customHeight="1" x14ac:dyDescent="0.2">
      <c r="A321" s="28">
        <v>44652</v>
      </c>
      <c r="B321" s="18">
        <v>0</v>
      </c>
      <c r="C321" s="18">
        <v>0</v>
      </c>
      <c r="D321" s="18">
        <v>399174.39603</v>
      </c>
      <c r="E321" s="18">
        <v>503095.74630149931</v>
      </c>
      <c r="F321" s="18">
        <v>149847.14780999997</v>
      </c>
      <c r="G321" s="18">
        <v>187527.13913080856</v>
      </c>
      <c r="H321" s="19">
        <v>0.2603407215118303</v>
      </c>
      <c r="I321" s="19">
        <v>0.25145617965705469</v>
      </c>
      <c r="J321" s="19">
        <v>0.25791581984544942</v>
      </c>
    </row>
    <row r="322" spans="1:10" ht="11.25" customHeight="1" x14ac:dyDescent="0.2">
      <c r="A322" s="28">
        <v>44682</v>
      </c>
      <c r="B322" s="18">
        <v>0</v>
      </c>
      <c r="C322" s="18">
        <v>0</v>
      </c>
      <c r="D322" s="18">
        <v>679909.01705999998</v>
      </c>
      <c r="E322" s="18">
        <v>856917.02112379984</v>
      </c>
      <c r="F322" s="18">
        <v>255232.87062</v>
      </c>
      <c r="G322" s="18">
        <v>319412.75318900845</v>
      </c>
      <c r="H322" s="19">
        <v>0.26034072151183052</v>
      </c>
      <c r="I322" s="19">
        <v>0.25145617965705447</v>
      </c>
      <c r="J322" s="19">
        <v>0.2579158198454492</v>
      </c>
    </row>
    <row r="323" spans="1:10" ht="11.25" customHeight="1" x14ac:dyDescent="0.2">
      <c r="A323" s="28">
        <v>44713</v>
      </c>
      <c r="B323" s="18">
        <v>0</v>
      </c>
      <c r="C323" s="18">
        <v>0</v>
      </c>
      <c r="D323" s="18">
        <v>393107.96853000001</v>
      </c>
      <c r="E323" s="18">
        <v>495449.98068915011</v>
      </c>
      <c r="F323" s="18">
        <v>147569.85530999998</v>
      </c>
      <c r="G323" s="18">
        <v>184677.20735879691</v>
      </c>
      <c r="H323" s="19">
        <v>0.2603407215118303</v>
      </c>
      <c r="I323" s="19">
        <v>0.25145617965705469</v>
      </c>
      <c r="J323" s="19">
        <v>0.25791581984544942</v>
      </c>
    </row>
    <row r="324" spans="1:10" ht="11.25" customHeight="1" x14ac:dyDescent="0.2">
      <c r="A324" s="28">
        <v>44743</v>
      </c>
      <c r="B324" s="18">
        <v>0</v>
      </c>
      <c r="C324" s="18">
        <v>0</v>
      </c>
      <c r="D324" s="18">
        <v>376051.48542000004</v>
      </c>
      <c r="E324" s="18">
        <v>473953.00045983843</v>
      </c>
      <c r="F324" s="18">
        <v>141166.97633999999</v>
      </c>
      <c r="G324" s="18">
        <v>176664.28490419421</v>
      </c>
      <c r="H324" s="19">
        <v>0.26034072151183052</v>
      </c>
      <c r="I324" s="19">
        <v>0.25145617965705469</v>
      </c>
      <c r="J324" s="19">
        <v>0.2579158198454492</v>
      </c>
    </row>
    <row r="325" spans="1:10" ht="11.25" customHeight="1" x14ac:dyDescent="0.2">
      <c r="A325" s="28">
        <v>44774</v>
      </c>
      <c r="B325" s="18">
        <v>0</v>
      </c>
      <c r="C325" s="18">
        <v>0</v>
      </c>
      <c r="D325" s="18">
        <v>464793.49791000003</v>
      </c>
      <c r="E325" s="18">
        <v>585798.17250989692</v>
      </c>
      <c r="F325" s="18">
        <v>174480.07857000001</v>
      </c>
      <c r="G325" s="18">
        <v>218354.17255347493</v>
      </c>
      <c r="H325" s="19">
        <v>0.26034072151183052</v>
      </c>
      <c r="I325" s="19">
        <v>0.25145617965705447</v>
      </c>
      <c r="J325" s="19">
        <v>0.25791581984544942</v>
      </c>
    </row>
    <row r="326" spans="1:10" ht="11.25" customHeight="1" x14ac:dyDescent="0.2">
      <c r="A326" s="28">
        <v>44805</v>
      </c>
      <c r="B326" s="18">
        <v>0</v>
      </c>
      <c r="C326" s="18">
        <v>0</v>
      </c>
      <c r="D326" s="18">
        <v>451711.96920000005</v>
      </c>
      <c r="E326" s="18">
        <v>569310.98917705775</v>
      </c>
      <c r="F326" s="18">
        <v>169569.36840000001</v>
      </c>
      <c r="G326" s="18">
        <v>212208.6339647237</v>
      </c>
      <c r="H326" s="19">
        <v>0.2603407215118303</v>
      </c>
      <c r="I326" s="19">
        <v>0.25145617965705469</v>
      </c>
      <c r="J326" s="19">
        <v>0.2579158198454492</v>
      </c>
    </row>
    <row r="327" spans="1:10" ht="11.25" customHeight="1" x14ac:dyDescent="0.2">
      <c r="A327" s="28">
        <v>44835</v>
      </c>
      <c r="B327" s="18">
        <v>0</v>
      </c>
      <c r="C327" s="18">
        <v>0</v>
      </c>
      <c r="D327" s="18">
        <v>451711.96920000005</v>
      </c>
      <c r="E327" s="18">
        <v>569310.98917705775</v>
      </c>
      <c r="F327" s="18">
        <v>169569.36840000001</v>
      </c>
      <c r="G327" s="18">
        <v>212208.6339647237</v>
      </c>
      <c r="H327" s="19">
        <v>0.2603407215118303</v>
      </c>
      <c r="I327" s="19">
        <v>0.25145617965705469</v>
      </c>
      <c r="J327" s="19">
        <v>0.2579158198454492</v>
      </c>
    </row>
    <row r="328" spans="1:10" ht="11.25" customHeight="1" x14ac:dyDescent="0.2">
      <c r="A328" s="23" t="s">
        <v>44</v>
      </c>
      <c r="B328" s="18">
        <v>616074.62399999995</v>
      </c>
      <c r="C328" s="18">
        <v>800580.42229867005</v>
      </c>
      <c r="D328" s="18">
        <v>907516.47215040005</v>
      </c>
      <c r="E328" s="18">
        <v>867519.56485150475</v>
      </c>
      <c r="F328" s="18">
        <v>1753978.0595136003</v>
      </c>
      <c r="G328" s="18">
        <v>2192741.5662300875</v>
      </c>
      <c r="H328" s="19">
        <v>9.4847555466095912E-2</v>
      </c>
      <c r="I328" s="19">
        <v>0.25015336100507568</v>
      </c>
      <c r="J328" s="19">
        <v>0.17795883778937305</v>
      </c>
    </row>
    <row r="329" spans="1:10" ht="11.25" customHeight="1" x14ac:dyDescent="0.2">
      <c r="A329" s="24" t="s">
        <v>52</v>
      </c>
      <c r="B329" s="18">
        <v>290841.7536</v>
      </c>
      <c r="C329" s="18">
        <v>377944.82169610308</v>
      </c>
      <c r="D329" s="18">
        <v>353746.1023295999</v>
      </c>
      <c r="E329" s="18">
        <v>329820.36117413506</v>
      </c>
      <c r="F329" s="18">
        <v>726334.35218880011</v>
      </c>
      <c r="G329" s="18">
        <v>908015.94047164172</v>
      </c>
      <c r="H329" s="19">
        <v>9.8011972083349885E-2</v>
      </c>
      <c r="I329" s="19">
        <v>0.25013492441235385</v>
      </c>
      <c r="J329" s="19">
        <v>0.1786089055771809</v>
      </c>
    </row>
    <row r="330" spans="1:10" ht="11.25" customHeight="1" x14ac:dyDescent="0.2">
      <c r="A330" s="25" t="s">
        <v>54</v>
      </c>
      <c r="B330" s="18">
        <v>0</v>
      </c>
      <c r="C330" s="18">
        <v>0</v>
      </c>
      <c r="D330" s="18">
        <v>28955.532144000012</v>
      </c>
      <c r="E330" s="18">
        <v>22237.963892631979</v>
      </c>
      <c r="F330" s="18">
        <v>83800.405920000019</v>
      </c>
      <c r="G330" s="18">
        <v>104754.61698253914</v>
      </c>
      <c r="H330" s="19">
        <v>-0.23199602127706043</v>
      </c>
      <c r="I330" s="19">
        <v>0.25004904012688223</v>
      </c>
      <c r="J330" s="19">
        <v>0.12626069239112159</v>
      </c>
    </row>
    <row r="331" spans="1:10" ht="11.25" customHeight="1" x14ac:dyDescent="0.2">
      <c r="A331" s="26" t="s">
        <v>25</v>
      </c>
      <c r="B331" s="18">
        <v>0</v>
      </c>
      <c r="C331" s="18">
        <v>0</v>
      </c>
      <c r="D331" s="18">
        <v>28955.532144000012</v>
      </c>
      <c r="E331" s="18">
        <v>22237.963892631979</v>
      </c>
      <c r="F331" s="18">
        <v>83800.405920000019</v>
      </c>
      <c r="G331" s="18">
        <v>104754.61698253914</v>
      </c>
      <c r="H331" s="19">
        <v>-0.23199602127706043</v>
      </c>
      <c r="I331" s="19">
        <v>0.25004904012688223</v>
      </c>
      <c r="J331" s="19">
        <v>0.12626069239112159</v>
      </c>
    </row>
    <row r="332" spans="1:10" ht="11.25" customHeight="1" x14ac:dyDescent="0.2">
      <c r="A332" s="27" t="s">
        <v>35</v>
      </c>
      <c r="B332" s="18">
        <v>0</v>
      </c>
      <c r="C332" s="18">
        <v>0</v>
      </c>
      <c r="D332" s="18">
        <v>28955.532144000012</v>
      </c>
      <c r="E332" s="18">
        <v>22237.963892631979</v>
      </c>
      <c r="F332" s="18">
        <v>83800.405920000019</v>
      </c>
      <c r="G332" s="18">
        <v>104754.61698253914</v>
      </c>
      <c r="H332" s="19">
        <v>-0.23199602127706043</v>
      </c>
      <c r="I332" s="19">
        <v>0.25004904012688223</v>
      </c>
      <c r="J332" s="19">
        <v>0.12626069239112159</v>
      </c>
    </row>
    <row r="333" spans="1:10" ht="11.25" customHeight="1" x14ac:dyDescent="0.2">
      <c r="A333" s="28">
        <v>44501</v>
      </c>
      <c r="B333" s="18">
        <v>0</v>
      </c>
      <c r="C333" s="18">
        <v>0</v>
      </c>
      <c r="D333" s="18">
        <v>3924.2155380000004</v>
      </c>
      <c r="E333" s="18">
        <v>3013.8131465503825</v>
      </c>
      <c r="F333" s="18">
        <v>11357.099340000001</v>
      </c>
      <c r="G333" s="18">
        <v>14196.931128592649</v>
      </c>
      <c r="H333" s="19">
        <v>-0.23199602127706009</v>
      </c>
      <c r="I333" s="19">
        <v>0.25004904012688223</v>
      </c>
      <c r="J333" s="19">
        <v>0.12626069239112181</v>
      </c>
    </row>
    <row r="334" spans="1:10" ht="11.25" customHeight="1" x14ac:dyDescent="0.2">
      <c r="A334" s="28">
        <v>44531</v>
      </c>
      <c r="B334" s="18">
        <v>0</v>
      </c>
      <c r="C334" s="18">
        <v>0</v>
      </c>
      <c r="D334" s="18">
        <v>5609.8597580000005</v>
      </c>
      <c r="E334" s="18">
        <v>4308.3946142217092</v>
      </c>
      <c r="F334" s="18">
        <v>16235.533940000001</v>
      </c>
      <c r="G334" s="18">
        <v>20295.213617644418</v>
      </c>
      <c r="H334" s="19">
        <v>-0.23199602127706009</v>
      </c>
      <c r="I334" s="19">
        <v>0.25004904012688223</v>
      </c>
      <c r="J334" s="19">
        <v>0.12626069239112181</v>
      </c>
    </row>
    <row r="335" spans="1:10" ht="11.25" customHeight="1" x14ac:dyDescent="0.2">
      <c r="A335" s="28">
        <v>44562</v>
      </c>
      <c r="B335" s="18">
        <v>0</v>
      </c>
      <c r="C335" s="18">
        <v>0</v>
      </c>
      <c r="D335" s="18">
        <v>6579.8377300000011</v>
      </c>
      <c r="E335" s="18">
        <v>5053.3415559913174</v>
      </c>
      <c r="F335" s="18">
        <v>19042.753900000003</v>
      </c>
      <c r="G335" s="18">
        <v>23804.376234067444</v>
      </c>
      <c r="H335" s="19">
        <v>-0.2319960212770602</v>
      </c>
      <c r="I335" s="19">
        <v>0.25004904012688201</v>
      </c>
      <c r="J335" s="19">
        <v>0.12626069239112181</v>
      </c>
    </row>
    <row r="336" spans="1:10" ht="11.25" customHeight="1" x14ac:dyDescent="0.2">
      <c r="A336" s="28">
        <v>44593</v>
      </c>
      <c r="B336" s="18">
        <v>0</v>
      </c>
      <c r="C336" s="18">
        <v>0</v>
      </c>
      <c r="D336" s="18">
        <v>5185.4044720000002</v>
      </c>
      <c r="E336" s="18">
        <v>3982.411265783725</v>
      </c>
      <c r="F336" s="18">
        <v>15007.114959999999</v>
      </c>
      <c r="G336" s="18">
        <v>18759.629650821775</v>
      </c>
      <c r="H336" s="19">
        <v>-0.2319960212770602</v>
      </c>
      <c r="I336" s="19">
        <v>0.25004904012688223</v>
      </c>
      <c r="J336" s="19">
        <v>0.12626069239112159</v>
      </c>
    </row>
    <row r="337" spans="1:10" ht="11.25" customHeight="1" x14ac:dyDescent="0.2">
      <c r="A337" s="28">
        <v>44621</v>
      </c>
      <c r="B337" s="18">
        <v>0</v>
      </c>
      <c r="C337" s="18">
        <v>0</v>
      </c>
      <c r="D337" s="18">
        <v>1275.260826</v>
      </c>
      <c r="E337" s="18">
        <v>979.40538827750265</v>
      </c>
      <c r="F337" s="18">
        <v>3690.74118</v>
      </c>
      <c r="G337" s="18">
        <v>4613.6074694157569</v>
      </c>
      <c r="H337" s="19">
        <v>-0.2319960212770602</v>
      </c>
      <c r="I337" s="19">
        <v>0.25004904012688223</v>
      </c>
      <c r="J337" s="19">
        <v>0.12626069239112181</v>
      </c>
    </row>
    <row r="338" spans="1:10" ht="11.25" customHeight="1" x14ac:dyDescent="0.2">
      <c r="A338" s="28">
        <v>44652</v>
      </c>
      <c r="B338" s="18">
        <v>0</v>
      </c>
      <c r="C338" s="18">
        <v>0</v>
      </c>
      <c r="D338" s="18">
        <v>1275.260826</v>
      </c>
      <c r="E338" s="18">
        <v>979.40538827750265</v>
      </c>
      <c r="F338" s="18">
        <v>3690.74118</v>
      </c>
      <c r="G338" s="18">
        <v>4613.6074694157569</v>
      </c>
      <c r="H338" s="19">
        <v>-0.2319960212770602</v>
      </c>
      <c r="I338" s="19">
        <v>0.25004904012688223</v>
      </c>
      <c r="J338" s="19">
        <v>0.12626069239112181</v>
      </c>
    </row>
    <row r="339" spans="1:10" ht="11.25" customHeight="1" x14ac:dyDescent="0.2">
      <c r="A339" s="28">
        <v>44682</v>
      </c>
      <c r="B339" s="18">
        <v>0</v>
      </c>
      <c r="C339" s="18">
        <v>0</v>
      </c>
      <c r="D339" s="18">
        <v>582.737752</v>
      </c>
      <c r="E339" s="18">
        <v>447.54491208806184</v>
      </c>
      <c r="F339" s="18">
        <v>1686.5053600000001</v>
      </c>
      <c r="G339" s="18">
        <v>2108.2144064368422</v>
      </c>
      <c r="H339" s="19">
        <v>-0.23199602127706009</v>
      </c>
      <c r="I339" s="19">
        <v>0.25004904012688223</v>
      </c>
      <c r="J339" s="19">
        <v>0.12626069239112159</v>
      </c>
    </row>
    <row r="340" spans="1:10" ht="11.25" customHeight="1" x14ac:dyDescent="0.2">
      <c r="A340" s="28">
        <v>44713</v>
      </c>
      <c r="B340" s="18">
        <v>0</v>
      </c>
      <c r="C340" s="18">
        <v>0</v>
      </c>
      <c r="D340" s="18">
        <v>127.71733400000001</v>
      </c>
      <c r="E340" s="18">
        <v>98.087420663886604</v>
      </c>
      <c r="F340" s="18">
        <v>369.62761999999998</v>
      </c>
      <c r="G340" s="18">
        <v>462.05265158538396</v>
      </c>
      <c r="H340" s="19">
        <v>-0.2319960212770602</v>
      </c>
      <c r="I340" s="19">
        <v>0.25004904012688223</v>
      </c>
      <c r="J340" s="19">
        <v>0.12626069239112181</v>
      </c>
    </row>
    <row r="341" spans="1:10" ht="11.25" customHeight="1" x14ac:dyDescent="0.2">
      <c r="A341" s="28">
        <v>44743</v>
      </c>
      <c r="B341" s="18">
        <v>0</v>
      </c>
      <c r="C341" s="18">
        <v>0</v>
      </c>
      <c r="D341" s="18">
        <v>117.786298</v>
      </c>
      <c r="E341" s="18">
        <v>90.460345503045858</v>
      </c>
      <c r="F341" s="18">
        <v>340.88614000000001</v>
      </c>
      <c r="G341" s="18">
        <v>426.12439209955801</v>
      </c>
      <c r="H341" s="19">
        <v>-0.23199602127706009</v>
      </c>
      <c r="I341" s="19">
        <v>0.25004904012688223</v>
      </c>
      <c r="J341" s="19">
        <v>0.12626069239112159</v>
      </c>
    </row>
    <row r="342" spans="1:10" ht="11.25" customHeight="1" x14ac:dyDescent="0.2">
      <c r="A342" s="28">
        <v>44774</v>
      </c>
      <c r="B342" s="18">
        <v>0</v>
      </c>
      <c r="C342" s="18">
        <v>0</v>
      </c>
      <c r="D342" s="18">
        <v>729.96623800000009</v>
      </c>
      <c r="E342" s="18">
        <v>560.61697511741647</v>
      </c>
      <c r="F342" s="18">
        <v>2112.6003400000004</v>
      </c>
      <c r="G342" s="18">
        <v>2640.8540271887255</v>
      </c>
      <c r="H342" s="19">
        <v>-0.2319960212770602</v>
      </c>
      <c r="I342" s="19">
        <v>0.25004904012688223</v>
      </c>
      <c r="J342" s="19">
        <v>0.12626069239112181</v>
      </c>
    </row>
    <row r="343" spans="1:10" ht="11.25" customHeight="1" x14ac:dyDescent="0.2">
      <c r="A343" s="28">
        <v>44805</v>
      </c>
      <c r="B343" s="18">
        <v>0</v>
      </c>
      <c r="C343" s="18">
        <v>0</v>
      </c>
      <c r="D343" s="18">
        <v>1773.742686</v>
      </c>
      <c r="E343" s="18">
        <v>1362.2414400787143</v>
      </c>
      <c r="F343" s="18">
        <v>5133.4009800000003</v>
      </c>
      <c r="G343" s="18">
        <v>6417.0029676353961</v>
      </c>
      <c r="H343" s="19">
        <v>-0.23199602127706009</v>
      </c>
      <c r="I343" s="19">
        <v>0.25004904012688201</v>
      </c>
      <c r="J343" s="19">
        <v>0.12626069239112159</v>
      </c>
    </row>
    <row r="344" spans="1:10" ht="11.25" customHeight="1" x14ac:dyDescent="0.2">
      <c r="A344" s="28">
        <v>44835</v>
      </c>
      <c r="B344" s="18">
        <v>0</v>
      </c>
      <c r="C344" s="18">
        <v>0</v>
      </c>
      <c r="D344" s="18">
        <v>1773.742686</v>
      </c>
      <c r="E344" s="18">
        <v>1362.2414400787143</v>
      </c>
      <c r="F344" s="18">
        <v>5133.4009800000003</v>
      </c>
      <c r="G344" s="18">
        <v>6417.0029676353961</v>
      </c>
      <c r="H344" s="19">
        <v>-0.23199602127706009</v>
      </c>
      <c r="I344" s="19">
        <v>0.25004904012688201</v>
      </c>
      <c r="J344" s="19">
        <v>0.12626069239112159</v>
      </c>
    </row>
    <row r="345" spans="1:10" ht="11.25" customHeight="1" x14ac:dyDescent="0.2">
      <c r="A345" s="25" t="s">
        <v>25</v>
      </c>
      <c r="B345" s="18">
        <v>290841.7536</v>
      </c>
      <c r="C345" s="18">
        <v>377944.82169610308</v>
      </c>
      <c r="D345" s="18">
        <v>324790.57018559985</v>
      </c>
      <c r="E345" s="18">
        <v>307582.39728150307</v>
      </c>
      <c r="F345" s="18">
        <v>642533.94626880018</v>
      </c>
      <c r="G345" s="18">
        <v>803261.32348910253</v>
      </c>
      <c r="H345" s="19">
        <v>0.11353350448237332</v>
      </c>
      <c r="I345" s="19">
        <v>0.25014612559172611</v>
      </c>
      <c r="J345" s="19">
        <v>0.18330031403745828</v>
      </c>
    </row>
    <row r="346" spans="1:10" ht="11.25" customHeight="1" x14ac:dyDescent="0.2">
      <c r="A346" s="26" t="s">
        <v>25</v>
      </c>
      <c r="B346" s="18">
        <v>290841.7536</v>
      </c>
      <c r="C346" s="18">
        <v>377944.82169610308</v>
      </c>
      <c r="D346" s="18">
        <v>324790.57018559985</v>
      </c>
      <c r="E346" s="18">
        <v>307582.39728150307</v>
      </c>
      <c r="F346" s="18">
        <v>642533.94626880018</v>
      </c>
      <c r="G346" s="18">
        <v>803261.32348910253</v>
      </c>
      <c r="H346" s="19">
        <v>0.11353350448237332</v>
      </c>
      <c r="I346" s="19">
        <v>0.25014612559172611</v>
      </c>
      <c r="J346" s="19">
        <v>0.18330031403745828</v>
      </c>
    </row>
    <row r="347" spans="1:10" ht="11.25" customHeight="1" x14ac:dyDescent="0.2">
      <c r="A347" s="27" t="s">
        <v>35</v>
      </c>
      <c r="B347" s="18">
        <v>0</v>
      </c>
      <c r="C347" s="18">
        <v>0</v>
      </c>
      <c r="D347" s="18">
        <v>206696.7086592</v>
      </c>
      <c r="E347" s="18">
        <v>158743.89463920196</v>
      </c>
      <c r="F347" s="18">
        <v>598202.37465600017</v>
      </c>
      <c r="G347" s="18">
        <v>747782.30424035445</v>
      </c>
      <c r="H347" s="19">
        <v>-0.23199602127706009</v>
      </c>
      <c r="I347" s="19">
        <v>0.25004904012688245</v>
      </c>
      <c r="J347" s="19">
        <v>0.12626069239112181</v>
      </c>
    </row>
    <row r="348" spans="1:10" ht="11.25" customHeight="1" x14ac:dyDescent="0.2">
      <c r="A348" s="28">
        <v>44501</v>
      </c>
      <c r="B348" s="18">
        <v>0</v>
      </c>
      <c r="C348" s="18">
        <v>0</v>
      </c>
      <c r="D348" s="18">
        <v>31504.8115392</v>
      </c>
      <c r="E348" s="18">
        <v>24195.820611021987</v>
      </c>
      <c r="F348" s="18">
        <v>91178.29305600001</v>
      </c>
      <c r="G348" s="18">
        <v>113977.33771506038</v>
      </c>
      <c r="H348" s="19">
        <v>-0.23199602127706009</v>
      </c>
      <c r="I348" s="19">
        <v>0.25004904012688223</v>
      </c>
      <c r="J348" s="19">
        <v>0.12626069239112159</v>
      </c>
    </row>
    <row r="349" spans="1:10" ht="11.25" customHeight="1" x14ac:dyDescent="0.2">
      <c r="A349" s="28">
        <v>44531</v>
      </c>
      <c r="B349" s="18">
        <v>0</v>
      </c>
      <c r="C349" s="18">
        <v>0</v>
      </c>
      <c r="D349" s="18">
        <v>43986.418319999997</v>
      </c>
      <c r="E349" s="18">
        <v>33781.744279531609</v>
      </c>
      <c r="F349" s="18">
        <v>127301.3976</v>
      </c>
      <c r="G349" s="18">
        <v>159132.98987669058</v>
      </c>
      <c r="H349" s="19">
        <v>-0.2319960212770602</v>
      </c>
      <c r="I349" s="19">
        <v>0.25004904012688223</v>
      </c>
      <c r="J349" s="19">
        <v>0.12626069239112181</v>
      </c>
    </row>
    <row r="350" spans="1:10" ht="11.25" customHeight="1" x14ac:dyDescent="0.2">
      <c r="A350" s="28">
        <v>44562</v>
      </c>
      <c r="B350" s="18">
        <v>0</v>
      </c>
      <c r="C350" s="18">
        <v>0</v>
      </c>
      <c r="D350" s="18">
        <v>44911.415366400004</v>
      </c>
      <c r="E350" s="18">
        <v>34492.145691473779</v>
      </c>
      <c r="F350" s="18">
        <v>129978.43795200001</v>
      </c>
      <c r="G350" s="18">
        <v>162479.42159908914</v>
      </c>
      <c r="H350" s="19">
        <v>-0.2319960212770602</v>
      </c>
      <c r="I350" s="19">
        <v>0.25004904012688223</v>
      </c>
      <c r="J350" s="19">
        <v>0.12626069239112159</v>
      </c>
    </row>
    <row r="351" spans="1:10" ht="11.25" customHeight="1" x14ac:dyDescent="0.2">
      <c r="A351" s="28">
        <v>44593</v>
      </c>
      <c r="B351" s="18">
        <v>0</v>
      </c>
      <c r="C351" s="18">
        <v>0</v>
      </c>
      <c r="D351" s="18">
        <v>39084.599318399996</v>
      </c>
      <c r="E351" s="18">
        <v>30017.1277833231</v>
      </c>
      <c r="F351" s="18">
        <v>113115.00931199999</v>
      </c>
      <c r="G351" s="18">
        <v>141399.30881440893</v>
      </c>
      <c r="H351" s="19">
        <v>-0.2319960212770602</v>
      </c>
      <c r="I351" s="19">
        <v>0.25004904012688223</v>
      </c>
      <c r="J351" s="19">
        <v>0.12626069239112159</v>
      </c>
    </row>
    <row r="352" spans="1:10" ht="11.25" customHeight="1" x14ac:dyDescent="0.2">
      <c r="A352" s="28">
        <v>44621</v>
      </c>
      <c r="B352" s="18">
        <v>0</v>
      </c>
      <c r="C352" s="18">
        <v>0</v>
      </c>
      <c r="D352" s="18">
        <v>16574.653440000002</v>
      </c>
      <c r="E352" s="18">
        <v>12729.399787873863</v>
      </c>
      <c r="F352" s="18">
        <v>47968.819200000005</v>
      </c>
      <c r="G352" s="18">
        <v>59963.376396979962</v>
      </c>
      <c r="H352" s="19">
        <v>-0.2319960212770602</v>
      </c>
      <c r="I352" s="19">
        <v>0.25004904012688223</v>
      </c>
      <c r="J352" s="19">
        <v>0.12626069239112159</v>
      </c>
    </row>
    <row r="353" spans="1:10" ht="11.25" customHeight="1" x14ac:dyDescent="0.2">
      <c r="A353" s="28">
        <v>44652</v>
      </c>
      <c r="B353" s="18">
        <v>0</v>
      </c>
      <c r="C353" s="18">
        <v>0</v>
      </c>
      <c r="D353" s="18">
        <v>16574.653440000002</v>
      </c>
      <c r="E353" s="18">
        <v>12729.399787873863</v>
      </c>
      <c r="F353" s="18">
        <v>47968.819200000005</v>
      </c>
      <c r="G353" s="18">
        <v>59963.376396979962</v>
      </c>
      <c r="H353" s="19">
        <v>-0.2319960212770602</v>
      </c>
      <c r="I353" s="19">
        <v>0.25004904012688223</v>
      </c>
      <c r="J353" s="19">
        <v>0.12626069239112159</v>
      </c>
    </row>
    <row r="354" spans="1:10" ht="11.25" customHeight="1" x14ac:dyDescent="0.2">
      <c r="A354" s="28">
        <v>44682</v>
      </c>
      <c r="B354" s="18">
        <v>0</v>
      </c>
      <c r="C354" s="18">
        <v>0</v>
      </c>
      <c r="D354" s="18">
        <v>-20715.200630400002</v>
      </c>
      <c r="E354" s="18">
        <v>-15909.356504191152</v>
      </c>
      <c r="F354" s="18">
        <v>-59952.005472000004</v>
      </c>
      <c r="G354" s="18">
        <v>-74942.946893955188</v>
      </c>
      <c r="H354" s="19">
        <v>-0.2319960212770602</v>
      </c>
      <c r="I354" s="19">
        <v>0.25004904012688201</v>
      </c>
      <c r="J354" s="19">
        <v>0.12626069239112159</v>
      </c>
    </row>
    <row r="355" spans="1:10" ht="11.25" customHeight="1" x14ac:dyDescent="0.2">
      <c r="A355" s="28">
        <v>44713</v>
      </c>
      <c r="B355" s="18">
        <v>0</v>
      </c>
      <c r="C355" s="18">
        <v>0</v>
      </c>
      <c r="D355" s="18">
        <v>1263.6488832</v>
      </c>
      <c r="E355" s="18">
        <v>970.48737000639949</v>
      </c>
      <c r="F355" s="18">
        <v>3657.1349759999998</v>
      </c>
      <c r="G355" s="18">
        <v>4571.5980663632481</v>
      </c>
      <c r="H355" s="19">
        <v>-0.2319960212770602</v>
      </c>
      <c r="I355" s="19">
        <v>0.25004904012688223</v>
      </c>
      <c r="J355" s="19">
        <v>0.12626069239112159</v>
      </c>
    </row>
    <row r="356" spans="1:10" ht="11.25" customHeight="1" x14ac:dyDescent="0.2">
      <c r="A356" s="28">
        <v>44743</v>
      </c>
      <c r="B356" s="18">
        <v>0</v>
      </c>
      <c r="C356" s="18">
        <v>0</v>
      </c>
      <c r="D356" s="18">
        <v>1389.7274208000001</v>
      </c>
      <c r="E356" s="18">
        <v>1067.3161885147695</v>
      </c>
      <c r="F356" s="18">
        <v>4022.0197440000002</v>
      </c>
      <c r="G356" s="18">
        <v>5027.7219203585692</v>
      </c>
      <c r="H356" s="19">
        <v>-0.23199602127706009</v>
      </c>
      <c r="I356" s="19">
        <v>0.25004904012688223</v>
      </c>
      <c r="J356" s="19">
        <v>0.12626069239112181</v>
      </c>
    </row>
    <row r="357" spans="1:10" ht="11.25" customHeight="1" x14ac:dyDescent="0.2">
      <c r="A357" s="28">
        <v>44774</v>
      </c>
      <c r="B357" s="18">
        <v>0</v>
      </c>
      <c r="C357" s="18">
        <v>0</v>
      </c>
      <c r="D357" s="18">
        <v>7360.3925952000009</v>
      </c>
      <c r="E357" s="18">
        <v>5652.8107980764653</v>
      </c>
      <c r="F357" s="18">
        <v>21301.763136000001</v>
      </c>
      <c r="G357" s="18">
        <v>26628.248561167005</v>
      </c>
      <c r="H357" s="19">
        <v>-0.2319960212770602</v>
      </c>
      <c r="I357" s="19">
        <v>0.25004904012688223</v>
      </c>
      <c r="J357" s="19">
        <v>0.12626069239112181</v>
      </c>
    </row>
    <row r="358" spans="1:10" ht="11.25" customHeight="1" x14ac:dyDescent="0.2">
      <c r="A358" s="28">
        <v>44805</v>
      </c>
      <c r="B358" s="18">
        <v>0</v>
      </c>
      <c r="C358" s="18">
        <v>0</v>
      </c>
      <c r="D358" s="18">
        <v>12380.794483199998</v>
      </c>
      <c r="E358" s="18">
        <v>9508.499422848623</v>
      </c>
      <c r="F358" s="18">
        <v>35831.342975999993</v>
      </c>
      <c r="G358" s="18">
        <v>44790.935893605892</v>
      </c>
      <c r="H358" s="19">
        <v>-0.23199602127706009</v>
      </c>
      <c r="I358" s="19">
        <v>0.25004904012688223</v>
      </c>
      <c r="J358" s="19">
        <v>0.12626069239112159</v>
      </c>
    </row>
    <row r="359" spans="1:10" ht="11.25" customHeight="1" x14ac:dyDescent="0.2">
      <c r="A359" s="28">
        <v>44835</v>
      </c>
      <c r="B359" s="18">
        <v>0</v>
      </c>
      <c r="C359" s="18">
        <v>0</v>
      </c>
      <c r="D359" s="18">
        <v>12380.794483199998</v>
      </c>
      <c r="E359" s="18">
        <v>9508.499422848623</v>
      </c>
      <c r="F359" s="18">
        <v>35831.342975999993</v>
      </c>
      <c r="G359" s="18">
        <v>44790.935893605892</v>
      </c>
      <c r="H359" s="19">
        <v>-0.23199602127706009</v>
      </c>
      <c r="I359" s="19">
        <v>0.25004904012688223</v>
      </c>
      <c r="J359" s="19">
        <v>0.12626069239112159</v>
      </c>
    </row>
    <row r="360" spans="1:10" ht="11.25" customHeight="1" x14ac:dyDescent="0.2">
      <c r="A360" s="27" t="s">
        <v>25</v>
      </c>
      <c r="B360" s="18">
        <v>290841.7536</v>
      </c>
      <c r="C360" s="18">
        <v>377944.82169610308</v>
      </c>
      <c r="D360" s="18">
        <v>0</v>
      </c>
      <c r="E360" s="18">
        <v>0</v>
      </c>
      <c r="F360" s="18">
        <v>0</v>
      </c>
      <c r="G360" s="18">
        <v>0</v>
      </c>
      <c r="H360" s="19">
        <v>0.29948611923134538</v>
      </c>
      <c r="I360" s="19">
        <v>0</v>
      </c>
      <c r="J360" s="19">
        <v>0.29948611923134538</v>
      </c>
    </row>
    <row r="361" spans="1:10" ht="11.25" customHeight="1" x14ac:dyDescent="0.2">
      <c r="A361" s="28">
        <v>44501</v>
      </c>
      <c r="B361" s="18">
        <v>28122.8544</v>
      </c>
      <c r="C361" s="18">
        <v>36545.258925964161</v>
      </c>
      <c r="D361" s="18">
        <v>0</v>
      </c>
      <c r="E361" s="18">
        <v>0</v>
      </c>
      <c r="F361" s="18">
        <v>0</v>
      </c>
      <c r="G361" s="18">
        <v>0</v>
      </c>
      <c r="H361" s="19">
        <v>0.29948611923134516</v>
      </c>
      <c r="I361" s="19">
        <v>0</v>
      </c>
      <c r="J361" s="19">
        <v>0.29948611923134516</v>
      </c>
    </row>
    <row r="362" spans="1:10" ht="11.25" customHeight="1" x14ac:dyDescent="0.2">
      <c r="A362" s="28">
        <v>44531</v>
      </c>
      <c r="B362" s="18">
        <v>29247.206400000003</v>
      </c>
      <c r="C362" s="18">
        <v>38006.338743094166</v>
      </c>
      <c r="D362" s="18">
        <v>0</v>
      </c>
      <c r="E362" s="18">
        <v>0</v>
      </c>
      <c r="F362" s="18">
        <v>0</v>
      </c>
      <c r="G362" s="18">
        <v>0</v>
      </c>
      <c r="H362" s="19">
        <v>0.29948611923134516</v>
      </c>
      <c r="I362" s="19">
        <v>0</v>
      </c>
      <c r="J362" s="19">
        <v>0.29948611923134516</v>
      </c>
    </row>
    <row r="363" spans="1:10" ht="11.25" customHeight="1" x14ac:dyDescent="0.2">
      <c r="A363" s="28">
        <v>44562</v>
      </c>
      <c r="B363" s="18">
        <v>41516.6976</v>
      </c>
      <c r="C363" s="18">
        <v>53950.372247525302</v>
      </c>
      <c r="D363" s="18">
        <v>0</v>
      </c>
      <c r="E363" s="18">
        <v>0</v>
      </c>
      <c r="F363" s="18">
        <v>0</v>
      </c>
      <c r="G363" s="18">
        <v>0</v>
      </c>
      <c r="H363" s="19">
        <v>0.29948611923134516</v>
      </c>
      <c r="I363" s="19">
        <v>0</v>
      </c>
      <c r="J363" s="19">
        <v>0.29948611923134516</v>
      </c>
    </row>
    <row r="364" spans="1:10" ht="11.25" customHeight="1" x14ac:dyDescent="0.2">
      <c r="A364" s="28">
        <v>44593</v>
      </c>
      <c r="B364" s="18">
        <v>28825.574399999998</v>
      </c>
      <c r="C364" s="18">
        <v>37458.433811670417</v>
      </c>
      <c r="D364" s="18">
        <v>0</v>
      </c>
      <c r="E364" s="18">
        <v>0</v>
      </c>
      <c r="F364" s="18">
        <v>0</v>
      </c>
      <c r="G364" s="18">
        <v>0</v>
      </c>
      <c r="H364" s="19">
        <v>0.29948611923134538</v>
      </c>
      <c r="I364" s="19">
        <v>0</v>
      </c>
      <c r="J364" s="19">
        <v>0.29948611923134538</v>
      </c>
    </row>
    <row r="365" spans="1:10" ht="11.25" customHeight="1" x14ac:dyDescent="0.2">
      <c r="A365" s="28">
        <v>44621</v>
      </c>
      <c r="B365" s="18">
        <v>39197.721600000004</v>
      </c>
      <c r="C365" s="18">
        <v>50936.895124694682</v>
      </c>
      <c r="D365" s="18">
        <v>0</v>
      </c>
      <c r="E365" s="18">
        <v>0</v>
      </c>
      <c r="F365" s="18">
        <v>0</v>
      </c>
      <c r="G365" s="18">
        <v>0</v>
      </c>
      <c r="H365" s="19">
        <v>0.29948611923134516</v>
      </c>
      <c r="I365" s="19">
        <v>0</v>
      </c>
      <c r="J365" s="19">
        <v>0.29948611923134516</v>
      </c>
    </row>
    <row r="366" spans="1:10" ht="11.25" customHeight="1" x14ac:dyDescent="0.2">
      <c r="A366" s="28">
        <v>44652</v>
      </c>
      <c r="B366" s="18">
        <v>39197.721600000004</v>
      </c>
      <c r="C366" s="18">
        <v>50936.895124694682</v>
      </c>
      <c r="D366" s="18">
        <v>0</v>
      </c>
      <c r="E366" s="18">
        <v>0</v>
      </c>
      <c r="F366" s="18">
        <v>0</v>
      </c>
      <c r="G366" s="18">
        <v>0</v>
      </c>
      <c r="H366" s="19">
        <v>0.29948611923134516</v>
      </c>
      <c r="I366" s="19">
        <v>0</v>
      </c>
      <c r="J366" s="19">
        <v>0.29948611923134516</v>
      </c>
    </row>
    <row r="367" spans="1:10" ht="11.25" customHeight="1" x14ac:dyDescent="0.2">
      <c r="A367" s="28">
        <v>44682</v>
      </c>
      <c r="B367" s="18">
        <v>6746.1119999999992</v>
      </c>
      <c r="C367" s="18">
        <v>8766.4789027800089</v>
      </c>
      <c r="D367" s="18">
        <v>0</v>
      </c>
      <c r="E367" s="18">
        <v>0</v>
      </c>
      <c r="F367" s="18">
        <v>0</v>
      </c>
      <c r="G367" s="18">
        <v>0</v>
      </c>
      <c r="H367" s="19">
        <v>0.29948611923134538</v>
      </c>
      <c r="I367" s="19">
        <v>0</v>
      </c>
      <c r="J367" s="19">
        <v>0.29948611923134538</v>
      </c>
    </row>
    <row r="368" spans="1:10" ht="11.25" customHeight="1" x14ac:dyDescent="0.2">
      <c r="A368" s="28">
        <v>44713</v>
      </c>
      <c r="B368" s="18">
        <v>9149.4143999999997</v>
      </c>
      <c r="C368" s="18">
        <v>11889.537011895385</v>
      </c>
      <c r="D368" s="18">
        <v>0</v>
      </c>
      <c r="E368" s="18">
        <v>0</v>
      </c>
      <c r="F368" s="18">
        <v>0</v>
      </c>
      <c r="G368" s="18">
        <v>0</v>
      </c>
      <c r="H368" s="19">
        <v>0.29948611923134516</v>
      </c>
      <c r="I368" s="19">
        <v>0</v>
      </c>
      <c r="J368" s="19">
        <v>0.29948611923134516</v>
      </c>
    </row>
    <row r="369" spans="1:10" ht="11.25" customHeight="1" x14ac:dyDescent="0.2">
      <c r="A369" s="28">
        <v>44743</v>
      </c>
      <c r="B369" s="18">
        <v>6521.2416000000003</v>
      </c>
      <c r="C369" s="18">
        <v>8474.2629393540083</v>
      </c>
      <c r="D369" s="18">
        <v>0</v>
      </c>
      <c r="E369" s="18">
        <v>0</v>
      </c>
      <c r="F369" s="18">
        <v>0</v>
      </c>
      <c r="G369" s="18">
        <v>0</v>
      </c>
      <c r="H369" s="19">
        <v>0.29948611923134516</v>
      </c>
      <c r="I369" s="19">
        <v>0</v>
      </c>
      <c r="J369" s="19">
        <v>0.29948611923134516</v>
      </c>
    </row>
    <row r="370" spans="1:10" ht="11.25" customHeight="1" x14ac:dyDescent="0.2">
      <c r="A370" s="28">
        <v>44774</v>
      </c>
      <c r="B370" s="18">
        <v>19563.7248</v>
      </c>
      <c r="C370" s="18">
        <v>25422.788818062025</v>
      </c>
      <c r="D370" s="18">
        <v>0</v>
      </c>
      <c r="E370" s="18">
        <v>0</v>
      </c>
      <c r="F370" s="18">
        <v>0</v>
      </c>
      <c r="G370" s="18">
        <v>0</v>
      </c>
      <c r="H370" s="19">
        <v>0.29948611923134516</v>
      </c>
      <c r="I370" s="19">
        <v>0</v>
      </c>
      <c r="J370" s="19">
        <v>0.29948611923134516</v>
      </c>
    </row>
    <row r="371" spans="1:10" ht="11.25" customHeight="1" x14ac:dyDescent="0.2">
      <c r="A371" s="28">
        <v>44805</v>
      </c>
      <c r="B371" s="18">
        <v>21376.742399999999</v>
      </c>
      <c r="C371" s="18">
        <v>27778.78002318415</v>
      </c>
      <c r="D371" s="18">
        <v>0</v>
      </c>
      <c r="E371" s="18">
        <v>0</v>
      </c>
      <c r="F371" s="18">
        <v>0</v>
      </c>
      <c r="G371" s="18">
        <v>0</v>
      </c>
      <c r="H371" s="19">
        <v>0.29948611923134516</v>
      </c>
      <c r="I371" s="19">
        <v>0</v>
      </c>
      <c r="J371" s="19">
        <v>0.29948611923134516</v>
      </c>
    </row>
    <row r="372" spans="1:10" ht="11.25" customHeight="1" x14ac:dyDescent="0.2">
      <c r="A372" s="28">
        <v>44835</v>
      </c>
      <c r="B372" s="18">
        <v>21376.742399999999</v>
      </c>
      <c r="C372" s="18">
        <v>27778.78002318415</v>
      </c>
      <c r="D372" s="18">
        <v>0</v>
      </c>
      <c r="E372" s="18">
        <v>0</v>
      </c>
      <c r="F372" s="18">
        <v>0</v>
      </c>
      <c r="G372" s="18">
        <v>0</v>
      </c>
      <c r="H372" s="19">
        <v>0.29948611923134516</v>
      </c>
      <c r="I372" s="19">
        <v>0</v>
      </c>
      <c r="J372" s="19">
        <v>0.29948611923134516</v>
      </c>
    </row>
    <row r="373" spans="1:10" ht="11.25" customHeight="1" x14ac:dyDescent="0.2">
      <c r="A373" s="27" t="s">
        <v>34</v>
      </c>
      <c r="B373" s="18">
        <v>0</v>
      </c>
      <c r="C373" s="18">
        <v>0</v>
      </c>
      <c r="D373" s="18">
        <v>118093.86152640001</v>
      </c>
      <c r="E373" s="18">
        <v>148838.50264230114</v>
      </c>
      <c r="F373" s="18">
        <v>44331.571612799991</v>
      </c>
      <c r="G373" s="18">
        <v>55479.01924874782</v>
      </c>
      <c r="H373" s="19">
        <v>0.26034072151183052</v>
      </c>
      <c r="I373" s="19">
        <v>0.25145617965705469</v>
      </c>
      <c r="J373" s="19">
        <v>0.25791581984544965</v>
      </c>
    </row>
    <row r="374" spans="1:10" ht="11.25" customHeight="1" x14ac:dyDescent="0.2">
      <c r="A374" s="28">
        <v>44501</v>
      </c>
      <c r="B374" s="18">
        <v>0</v>
      </c>
      <c r="C374" s="18">
        <v>0</v>
      </c>
      <c r="D374" s="18">
        <v>12247.6664736</v>
      </c>
      <c r="E374" s="18">
        <v>15436.232800173282</v>
      </c>
      <c r="F374" s="18">
        <v>4597.6843871999999</v>
      </c>
      <c r="G374" s="18">
        <v>5753.8005384741982</v>
      </c>
      <c r="H374" s="19">
        <v>0.26034072151183052</v>
      </c>
      <c r="I374" s="19">
        <v>0.25145617965705469</v>
      </c>
      <c r="J374" s="19">
        <v>0.25791581984544942</v>
      </c>
    </row>
    <row r="375" spans="1:10" ht="11.25" customHeight="1" x14ac:dyDescent="0.2">
      <c r="A375" s="28">
        <v>44531</v>
      </c>
      <c r="B375" s="18">
        <v>0</v>
      </c>
      <c r="C375" s="18">
        <v>0</v>
      </c>
      <c r="D375" s="18">
        <v>22545.201830400001</v>
      </c>
      <c r="E375" s="18">
        <v>28414.635941556178</v>
      </c>
      <c r="F375" s="18">
        <v>8463.3038207999998</v>
      </c>
      <c r="G375" s="18">
        <v>10591.453866855321</v>
      </c>
      <c r="H375" s="19">
        <v>0.26034072151183052</v>
      </c>
      <c r="I375" s="19">
        <v>0.25145617965705469</v>
      </c>
      <c r="J375" s="19">
        <v>0.25791581984544942</v>
      </c>
    </row>
    <row r="376" spans="1:10" ht="11.25" customHeight="1" x14ac:dyDescent="0.2">
      <c r="A376" s="28">
        <v>44562</v>
      </c>
      <c r="B376" s="18">
        <v>0</v>
      </c>
      <c r="C376" s="18">
        <v>0</v>
      </c>
      <c r="D376" s="18">
        <v>24227.994153600001</v>
      </c>
      <c r="E376" s="18">
        <v>30535.527632332632</v>
      </c>
      <c r="F376" s="18">
        <v>9095.0117472000002</v>
      </c>
      <c r="G376" s="18">
        <v>11382.008655086944</v>
      </c>
      <c r="H376" s="19">
        <v>0.2603407215118303</v>
      </c>
      <c r="I376" s="19">
        <v>0.25145617965705447</v>
      </c>
      <c r="J376" s="19">
        <v>0.2579158198454492</v>
      </c>
    </row>
    <row r="377" spans="1:10" ht="11.25" customHeight="1" x14ac:dyDescent="0.2">
      <c r="A377" s="28">
        <v>44593</v>
      </c>
      <c r="B377" s="18">
        <v>0</v>
      </c>
      <c r="C377" s="18">
        <v>0</v>
      </c>
      <c r="D377" s="18">
        <v>26040.573360000002</v>
      </c>
      <c r="E377" s="18">
        <v>32819.995017124158</v>
      </c>
      <c r="F377" s="18">
        <v>9775.4407199999987</v>
      </c>
      <c r="G377" s="18">
        <v>12233.535697915207</v>
      </c>
      <c r="H377" s="19">
        <v>0.26034072151183052</v>
      </c>
      <c r="I377" s="19">
        <v>0.25145617965705469</v>
      </c>
      <c r="J377" s="19">
        <v>0.25791581984544942</v>
      </c>
    </row>
    <row r="378" spans="1:10" ht="11.25" customHeight="1" x14ac:dyDescent="0.2">
      <c r="A378" s="28">
        <v>44621</v>
      </c>
      <c r="B378" s="18">
        <v>0</v>
      </c>
      <c r="C378" s="18">
        <v>0</v>
      </c>
      <c r="D378" s="18">
        <v>23328.360287999996</v>
      </c>
      <c r="E378" s="18">
        <v>29401.682437065851</v>
      </c>
      <c r="F378" s="18">
        <v>8757.295775999999</v>
      </c>
      <c r="G378" s="18">
        <v>10959.37191595982</v>
      </c>
      <c r="H378" s="19">
        <v>0.26034072151183052</v>
      </c>
      <c r="I378" s="19">
        <v>0.25145617965705469</v>
      </c>
      <c r="J378" s="19">
        <v>0.25791581984544942</v>
      </c>
    </row>
    <row r="379" spans="1:10" ht="11.25" customHeight="1" x14ac:dyDescent="0.2">
      <c r="A379" s="28">
        <v>44652</v>
      </c>
      <c r="B379" s="18">
        <v>0</v>
      </c>
      <c r="C379" s="18">
        <v>0</v>
      </c>
      <c r="D379" s="18">
        <v>23328.360287999996</v>
      </c>
      <c r="E379" s="18">
        <v>29401.682437065851</v>
      </c>
      <c r="F379" s="18">
        <v>8757.295775999999</v>
      </c>
      <c r="G379" s="18">
        <v>10959.37191595982</v>
      </c>
      <c r="H379" s="19">
        <v>0.26034072151183052</v>
      </c>
      <c r="I379" s="19">
        <v>0.25145617965705469</v>
      </c>
      <c r="J379" s="19">
        <v>0.25791581984544942</v>
      </c>
    </row>
    <row r="380" spans="1:10" ht="11.25" customHeight="1" x14ac:dyDescent="0.2">
      <c r="A380" s="28">
        <v>44682</v>
      </c>
      <c r="B380" s="18">
        <v>0</v>
      </c>
      <c r="C380" s="18">
        <v>0</v>
      </c>
      <c r="D380" s="18">
        <v>-31281.966720000004</v>
      </c>
      <c r="E380" s="18">
        <v>-39425.936506193873</v>
      </c>
      <c r="F380" s="18">
        <v>-11743.02144</v>
      </c>
      <c r="G380" s="18">
        <v>-14695.876748933284</v>
      </c>
      <c r="H380" s="19">
        <v>0.26034072151183052</v>
      </c>
      <c r="I380" s="19">
        <v>0.25145617965705447</v>
      </c>
      <c r="J380" s="19">
        <v>0.2579158198454492</v>
      </c>
    </row>
    <row r="381" spans="1:10" ht="11.25" customHeight="1" x14ac:dyDescent="0.2">
      <c r="A381" s="28">
        <v>44713</v>
      </c>
      <c r="B381" s="18">
        <v>0</v>
      </c>
      <c r="C381" s="18">
        <v>0</v>
      </c>
      <c r="D381" s="18">
        <v>1910.1966911999998</v>
      </c>
      <c r="E381" s="18">
        <v>2407.4986760165193</v>
      </c>
      <c r="F381" s="18">
        <v>717.07386239999994</v>
      </c>
      <c r="G381" s="18">
        <v>897.38651637103237</v>
      </c>
      <c r="H381" s="19">
        <v>0.26034072151183074</v>
      </c>
      <c r="I381" s="19">
        <v>0.25145617965705469</v>
      </c>
      <c r="J381" s="19">
        <v>0.25791581984544942</v>
      </c>
    </row>
    <row r="382" spans="1:10" ht="11.25" customHeight="1" x14ac:dyDescent="0.2">
      <c r="A382" s="28">
        <v>44743</v>
      </c>
      <c r="B382" s="18">
        <v>0</v>
      </c>
      <c r="C382" s="18">
        <v>0</v>
      </c>
      <c r="D382" s="18">
        <v>2112.0873984</v>
      </c>
      <c r="E382" s="18">
        <v>2661.9497555955008</v>
      </c>
      <c r="F382" s="18">
        <v>792.86215679999998</v>
      </c>
      <c r="G382" s="18">
        <v>992.23224574358051</v>
      </c>
      <c r="H382" s="19">
        <v>0.26034072151183052</v>
      </c>
      <c r="I382" s="19">
        <v>0.25145617965705447</v>
      </c>
      <c r="J382" s="19">
        <v>0.25791581984544942</v>
      </c>
    </row>
    <row r="383" spans="1:10" ht="11.25" customHeight="1" x14ac:dyDescent="0.2">
      <c r="A383" s="28">
        <v>44774</v>
      </c>
      <c r="B383" s="18">
        <v>0</v>
      </c>
      <c r="C383" s="18">
        <v>0</v>
      </c>
      <c r="D383" s="18">
        <v>5475.4534655999996</v>
      </c>
      <c r="E383" s="18">
        <v>6900.9369714387567</v>
      </c>
      <c r="F383" s="18">
        <v>2055.4451711999995</v>
      </c>
      <c r="G383" s="18">
        <v>2572.2995614444922</v>
      </c>
      <c r="H383" s="19">
        <v>0.26034072151183052</v>
      </c>
      <c r="I383" s="19">
        <v>0.25145617965705469</v>
      </c>
      <c r="J383" s="19">
        <v>0.25791581984544965</v>
      </c>
    </row>
    <row r="384" spans="1:10" ht="11.25" customHeight="1" x14ac:dyDescent="0.2">
      <c r="A384" s="28">
        <v>44805</v>
      </c>
      <c r="B384" s="18">
        <v>0</v>
      </c>
      <c r="C384" s="18">
        <v>0</v>
      </c>
      <c r="D384" s="18">
        <v>4079.9671487999999</v>
      </c>
      <c r="E384" s="18">
        <v>5142.1487400631577</v>
      </c>
      <c r="F384" s="18">
        <v>1531.5898175999998</v>
      </c>
      <c r="G384" s="18">
        <v>1916.7175419353409</v>
      </c>
      <c r="H384" s="19">
        <v>0.26034072151183052</v>
      </c>
      <c r="I384" s="19">
        <v>0.25145617965705469</v>
      </c>
      <c r="J384" s="19">
        <v>0.25791581984544942</v>
      </c>
    </row>
    <row r="385" spans="1:10" ht="11.25" customHeight="1" x14ac:dyDescent="0.2">
      <c r="A385" s="28">
        <v>44835</v>
      </c>
      <c r="B385" s="18">
        <v>0</v>
      </c>
      <c r="C385" s="18">
        <v>0</v>
      </c>
      <c r="D385" s="18">
        <v>4079.9671487999999</v>
      </c>
      <c r="E385" s="18">
        <v>5142.1487400631577</v>
      </c>
      <c r="F385" s="18">
        <v>1531.5898175999998</v>
      </c>
      <c r="G385" s="18">
        <v>1916.7175419353409</v>
      </c>
      <c r="H385" s="19">
        <v>0.26034072151183052</v>
      </c>
      <c r="I385" s="19">
        <v>0.25145617965705469</v>
      </c>
      <c r="J385" s="19">
        <v>0.25791581984544942</v>
      </c>
    </row>
    <row r="386" spans="1:10" ht="11.25" customHeight="1" x14ac:dyDescent="0.2">
      <c r="A386" s="24" t="s">
        <v>25</v>
      </c>
      <c r="B386" s="18">
        <v>325232.87040000001</v>
      </c>
      <c r="C386" s="18">
        <v>422635.60060256714</v>
      </c>
      <c r="D386" s="18">
        <v>553770.36982079991</v>
      </c>
      <c r="E386" s="18">
        <v>537699.20367736951</v>
      </c>
      <c r="F386" s="18">
        <v>1027643.7073247997</v>
      </c>
      <c r="G386" s="18">
        <v>1284725.6257584458</v>
      </c>
      <c r="H386" s="19">
        <v>9.2527035553028103E-2</v>
      </c>
      <c r="I386" s="19">
        <v>0.2501663919130992</v>
      </c>
      <c r="J386" s="19">
        <v>0.17749142437115473</v>
      </c>
    </row>
    <row r="387" spans="1:10" ht="11.25" customHeight="1" x14ac:dyDescent="0.2">
      <c r="A387" s="25" t="s">
        <v>25</v>
      </c>
      <c r="B387" s="18">
        <v>325232.87040000001</v>
      </c>
      <c r="C387" s="18">
        <v>422635.60060256714</v>
      </c>
      <c r="D387" s="18">
        <v>553770.36982079991</v>
      </c>
      <c r="E387" s="18">
        <v>537699.20367736951</v>
      </c>
      <c r="F387" s="18">
        <v>1027643.7073247997</v>
      </c>
      <c r="G387" s="18">
        <v>1284725.6257584458</v>
      </c>
      <c r="H387" s="19">
        <v>9.2527035553028103E-2</v>
      </c>
      <c r="I387" s="19">
        <v>0.2501663919130992</v>
      </c>
      <c r="J387" s="19">
        <v>0.17749142437115473</v>
      </c>
    </row>
    <row r="388" spans="1:10" ht="11.25" customHeight="1" x14ac:dyDescent="0.2">
      <c r="A388" s="26" t="s">
        <v>25</v>
      </c>
      <c r="B388" s="18">
        <v>325232.87040000001</v>
      </c>
      <c r="C388" s="18">
        <v>422635.60060256714</v>
      </c>
      <c r="D388" s="18">
        <v>553770.36982079991</v>
      </c>
      <c r="E388" s="18">
        <v>537699.20367736951</v>
      </c>
      <c r="F388" s="18">
        <v>1027643.7073247997</v>
      </c>
      <c r="G388" s="18">
        <v>1284725.6257584458</v>
      </c>
      <c r="H388" s="19">
        <v>9.2527035553028103E-2</v>
      </c>
      <c r="I388" s="19">
        <v>0.2501663919130992</v>
      </c>
      <c r="J388" s="19">
        <v>0.17749142437115473</v>
      </c>
    </row>
    <row r="389" spans="1:10" ht="11.25" customHeight="1" x14ac:dyDescent="0.2">
      <c r="A389" s="27" t="s">
        <v>35</v>
      </c>
      <c r="B389" s="18">
        <v>0</v>
      </c>
      <c r="C389" s="18">
        <v>0</v>
      </c>
      <c r="D389" s="18">
        <v>325468.5865344</v>
      </c>
      <c r="E389" s="18">
        <v>249961.1694077506</v>
      </c>
      <c r="F389" s="18">
        <v>941940.88819199975</v>
      </c>
      <c r="G389" s="18">
        <v>1177472.3031406724</v>
      </c>
      <c r="H389" s="19">
        <v>-0.23199602127706043</v>
      </c>
      <c r="I389" s="19">
        <v>0.25004904012688245</v>
      </c>
      <c r="J389" s="19">
        <v>0.12626069239112181</v>
      </c>
    </row>
    <row r="390" spans="1:10" ht="11.25" customHeight="1" x14ac:dyDescent="0.2">
      <c r="A390" s="28">
        <v>44501</v>
      </c>
      <c r="B390" s="18">
        <v>0</v>
      </c>
      <c r="C390" s="18">
        <v>0</v>
      </c>
      <c r="D390" s="18">
        <v>30500.3100576</v>
      </c>
      <c r="E390" s="18">
        <v>23424.359476520098</v>
      </c>
      <c r="F390" s="18">
        <v>88271.158368000004</v>
      </c>
      <c r="G390" s="18">
        <v>110343.2767888064</v>
      </c>
      <c r="H390" s="19">
        <v>-0.2319960212770602</v>
      </c>
      <c r="I390" s="19">
        <v>0.25004904012688201</v>
      </c>
      <c r="J390" s="19">
        <v>0.12626069239112159</v>
      </c>
    </row>
    <row r="391" spans="1:10" ht="11.25" customHeight="1" x14ac:dyDescent="0.2">
      <c r="A391" s="28">
        <v>44531</v>
      </c>
      <c r="B391" s="18">
        <v>0</v>
      </c>
      <c r="C391" s="18">
        <v>0</v>
      </c>
      <c r="D391" s="18">
        <v>41838.703699199999</v>
      </c>
      <c r="E391" s="18">
        <v>32132.290905595783</v>
      </c>
      <c r="F391" s="18">
        <v>121085.681856</v>
      </c>
      <c r="G391" s="18">
        <v>151363.04037720183</v>
      </c>
      <c r="H391" s="19">
        <v>-0.23199602127706009</v>
      </c>
      <c r="I391" s="19">
        <v>0.25004904012688223</v>
      </c>
      <c r="J391" s="19">
        <v>0.12626069239112181</v>
      </c>
    </row>
    <row r="392" spans="1:10" ht="11.25" customHeight="1" x14ac:dyDescent="0.2">
      <c r="A392" s="28">
        <v>44562</v>
      </c>
      <c r="B392" s="18">
        <v>0</v>
      </c>
      <c r="C392" s="18">
        <v>0</v>
      </c>
      <c r="D392" s="18">
        <v>70577.619945599989</v>
      </c>
      <c r="E392" s="18">
        <v>54203.892927016313</v>
      </c>
      <c r="F392" s="18">
        <v>204259.17820799997</v>
      </c>
      <c r="G392" s="18">
        <v>255333.98965601614</v>
      </c>
      <c r="H392" s="19">
        <v>-0.23199602127706009</v>
      </c>
      <c r="I392" s="19">
        <v>0.25004904012688223</v>
      </c>
      <c r="J392" s="19">
        <v>0.12626069239112181</v>
      </c>
    </row>
    <row r="393" spans="1:10" ht="11.25" customHeight="1" x14ac:dyDescent="0.2">
      <c r="A393" s="28">
        <v>44593</v>
      </c>
      <c r="B393" s="18">
        <v>0</v>
      </c>
      <c r="C393" s="18">
        <v>0</v>
      </c>
      <c r="D393" s="18">
        <v>45988.346735999992</v>
      </c>
      <c r="E393" s="18">
        <v>35319.233268138123</v>
      </c>
      <c r="F393" s="18">
        <v>133095.19248</v>
      </c>
      <c r="G393" s="18">
        <v>166375.5176051266</v>
      </c>
      <c r="H393" s="19">
        <v>-0.23199602127706009</v>
      </c>
      <c r="I393" s="19">
        <v>0.25004904012688201</v>
      </c>
      <c r="J393" s="19">
        <v>0.12626069239112159</v>
      </c>
    </row>
    <row r="394" spans="1:10" ht="11.25" customHeight="1" x14ac:dyDescent="0.2">
      <c r="A394" s="28">
        <v>44621</v>
      </c>
      <c r="B394" s="18">
        <v>0</v>
      </c>
      <c r="C394" s="18">
        <v>0</v>
      </c>
      <c r="D394" s="18">
        <v>16299.925190400001</v>
      </c>
      <c r="E394" s="18">
        <v>12518.407399113474</v>
      </c>
      <c r="F394" s="18">
        <v>47173.726272</v>
      </c>
      <c r="G394" s="18">
        <v>58969.471245521891</v>
      </c>
      <c r="H394" s="19">
        <v>-0.2319960212770602</v>
      </c>
      <c r="I394" s="19">
        <v>0.25004904012688223</v>
      </c>
      <c r="J394" s="19">
        <v>0.12626069239112181</v>
      </c>
    </row>
    <row r="395" spans="1:10" ht="11.25" customHeight="1" x14ac:dyDescent="0.2">
      <c r="A395" s="28">
        <v>44652</v>
      </c>
      <c r="B395" s="18">
        <v>0</v>
      </c>
      <c r="C395" s="18">
        <v>0</v>
      </c>
      <c r="D395" s="18">
        <v>16299.925190400001</v>
      </c>
      <c r="E395" s="18">
        <v>12518.407399113474</v>
      </c>
      <c r="F395" s="18">
        <v>47173.726272</v>
      </c>
      <c r="G395" s="18">
        <v>58969.471245521891</v>
      </c>
      <c r="H395" s="19">
        <v>-0.2319960212770602</v>
      </c>
      <c r="I395" s="19">
        <v>0.25004904012688223</v>
      </c>
      <c r="J395" s="19">
        <v>0.12626069239112181</v>
      </c>
    </row>
    <row r="396" spans="1:10" ht="11.25" customHeight="1" x14ac:dyDescent="0.2">
      <c r="A396" s="28">
        <v>44682</v>
      </c>
      <c r="B396" s="18">
        <v>0</v>
      </c>
      <c r="C396" s="18">
        <v>0</v>
      </c>
      <c r="D396" s="18">
        <v>26704.815484799998</v>
      </c>
      <c r="E396" s="18">
        <v>20509.404543388373</v>
      </c>
      <c r="F396" s="18">
        <v>77286.591263999988</v>
      </c>
      <c r="G396" s="18">
        <v>96612.02922424188</v>
      </c>
      <c r="H396" s="19">
        <v>-0.23199602127706009</v>
      </c>
      <c r="I396" s="19">
        <v>0.25004904012688245</v>
      </c>
      <c r="J396" s="19">
        <v>0.12626069239112181</v>
      </c>
    </row>
    <row r="397" spans="1:10" ht="11.25" customHeight="1" x14ac:dyDescent="0.2">
      <c r="A397" s="28">
        <v>44713</v>
      </c>
      <c r="B397" s="18">
        <v>0</v>
      </c>
      <c r="C397" s="18">
        <v>0</v>
      </c>
      <c r="D397" s="18">
        <v>13623.303945599999</v>
      </c>
      <c r="E397" s="18">
        <v>10462.751633572725</v>
      </c>
      <c r="F397" s="18">
        <v>39427.298207999993</v>
      </c>
      <c r="G397" s="18">
        <v>49286.05627970674</v>
      </c>
      <c r="H397" s="19">
        <v>-0.23199602127706009</v>
      </c>
      <c r="I397" s="19">
        <v>0.25004904012688245</v>
      </c>
      <c r="J397" s="19">
        <v>0.12626069239112181</v>
      </c>
    </row>
    <row r="398" spans="1:10" ht="11.25" customHeight="1" x14ac:dyDescent="0.2">
      <c r="A398" s="28">
        <v>44743</v>
      </c>
      <c r="B398" s="18">
        <v>0</v>
      </c>
      <c r="C398" s="18">
        <v>0</v>
      </c>
      <c r="D398" s="18">
        <v>15980.223033599999</v>
      </c>
      <c r="E398" s="18">
        <v>12272.874870684767</v>
      </c>
      <c r="F398" s="18">
        <v>46248.474047999996</v>
      </c>
      <c r="G398" s="18">
        <v>57812.860591035424</v>
      </c>
      <c r="H398" s="19">
        <v>-0.23199602127706009</v>
      </c>
      <c r="I398" s="19">
        <v>0.25004904012688223</v>
      </c>
      <c r="J398" s="19">
        <v>0.12626069239112181</v>
      </c>
    </row>
    <row r="399" spans="1:10" ht="11.25" customHeight="1" x14ac:dyDescent="0.2">
      <c r="A399" s="28">
        <v>44774</v>
      </c>
      <c r="B399" s="18">
        <v>0</v>
      </c>
      <c r="C399" s="18">
        <v>0</v>
      </c>
      <c r="D399" s="18">
        <v>15836.121244800001</v>
      </c>
      <c r="E399" s="18">
        <v>12162.204123545274</v>
      </c>
      <c r="F399" s="18">
        <v>45831.428064</v>
      </c>
      <c r="G399" s="18">
        <v>57291.532659047451</v>
      </c>
      <c r="H399" s="19">
        <v>-0.2319960212770602</v>
      </c>
      <c r="I399" s="19">
        <v>0.25004904012688223</v>
      </c>
      <c r="J399" s="19">
        <v>0.12626069239112159</v>
      </c>
    </row>
    <row r="400" spans="1:10" ht="11.25" customHeight="1" x14ac:dyDescent="0.2">
      <c r="A400" s="28">
        <v>44805</v>
      </c>
      <c r="B400" s="18">
        <v>0</v>
      </c>
      <c r="C400" s="18">
        <v>0</v>
      </c>
      <c r="D400" s="18">
        <v>15909.646003200003</v>
      </c>
      <c r="E400" s="18">
        <v>12218.671430531118</v>
      </c>
      <c r="F400" s="18">
        <v>46044.216575999999</v>
      </c>
      <c r="G400" s="18">
        <v>57557.52873422308</v>
      </c>
      <c r="H400" s="19">
        <v>-0.23199602127706032</v>
      </c>
      <c r="I400" s="19">
        <v>0.25004904012688223</v>
      </c>
      <c r="J400" s="19">
        <v>0.12626069239112181</v>
      </c>
    </row>
    <row r="401" spans="1:10" ht="11.25" customHeight="1" x14ac:dyDescent="0.2">
      <c r="A401" s="28">
        <v>44835</v>
      </c>
      <c r="B401" s="18">
        <v>0</v>
      </c>
      <c r="C401" s="18">
        <v>0</v>
      </c>
      <c r="D401" s="18">
        <v>15909.646003200003</v>
      </c>
      <c r="E401" s="18">
        <v>12218.671430531118</v>
      </c>
      <c r="F401" s="18">
        <v>46044.216575999999</v>
      </c>
      <c r="G401" s="18">
        <v>57557.52873422308</v>
      </c>
      <c r="H401" s="19">
        <v>-0.23199602127706032</v>
      </c>
      <c r="I401" s="19">
        <v>0.25004904012688223</v>
      </c>
      <c r="J401" s="19">
        <v>0.12626069239112181</v>
      </c>
    </row>
    <row r="402" spans="1:10" ht="11.25" customHeight="1" x14ac:dyDescent="0.2">
      <c r="A402" s="27" t="s">
        <v>25</v>
      </c>
      <c r="B402" s="18">
        <v>325232.87040000001</v>
      </c>
      <c r="C402" s="18">
        <v>422635.60060256714</v>
      </c>
      <c r="D402" s="18">
        <v>0</v>
      </c>
      <c r="E402" s="18">
        <v>0</v>
      </c>
      <c r="F402" s="18">
        <v>0</v>
      </c>
      <c r="G402" s="18">
        <v>0</v>
      </c>
      <c r="H402" s="19">
        <v>0.29948611923134538</v>
      </c>
      <c r="I402" s="19">
        <v>0</v>
      </c>
      <c r="J402" s="19">
        <v>0.29948611923134538</v>
      </c>
    </row>
    <row r="403" spans="1:10" ht="11.25" customHeight="1" x14ac:dyDescent="0.2">
      <c r="A403" s="28">
        <v>44501</v>
      </c>
      <c r="B403" s="18">
        <v>34222.464</v>
      </c>
      <c r="C403" s="18">
        <v>44471.616933894424</v>
      </c>
      <c r="D403" s="18">
        <v>0</v>
      </c>
      <c r="E403" s="18">
        <v>0</v>
      </c>
      <c r="F403" s="18">
        <v>0</v>
      </c>
      <c r="G403" s="18">
        <v>0</v>
      </c>
      <c r="H403" s="19">
        <v>0.29948611923134538</v>
      </c>
      <c r="I403" s="19">
        <v>0</v>
      </c>
      <c r="J403" s="19">
        <v>0.29948611923134538</v>
      </c>
    </row>
    <row r="404" spans="1:10" ht="11.25" customHeight="1" x14ac:dyDescent="0.2">
      <c r="A404" s="28">
        <v>44531</v>
      </c>
      <c r="B404" s="18">
        <v>32732.697599999996</v>
      </c>
      <c r="C404" s="18">
        <v>42535.686176197167</v>
      </c>
      <c r="D404" s="18">
        <v>0</v>
      </c>
      <c r="E404" s="18">
        <v>0</v>
      </c>
      <c r="F404" s="18">
        <v>0</v>
      </c>
      <c r="G404" s="18">
        <v>0</v>
      </c>
      <c r="H404" s="19">
        <v>0.29948611923134538</v>
      </c>
      <c r="I404" s="19">
        <v>0</v>
      </c>
      <c r="J404" s="19">
        <v>0.29948611923134538</v>
      </c>
    </row>
    <row r="405" spans="1:10" ht="11.25" customHeight="1" x14ac:dyDescent="0.2">
      <c r="A405" s="28">
        <v>44562</v>
      </c>
      <c r="B405" s="18">
        <v>34897.075199999999</v>
      </c>
      <c r="C405" s="18">
        <v>45348.264824172416</v>
      </c>
      <c r="D405" s="18">
        <v>0</v>
      </c>
      <c r="E405" s="18">
        <v>0</v>
      </c>
      <c r="F405" s="18">
        <v>0</v>
      </c>
      <c r="G405" s="18">
        <v>0</v>
      </c>
      <c r="H405" s="19">
        <v>0.29948611923134516</v>
      </c>
      <c r="I405" s="19">
        <v>0</v>
      </c>
      <c r="J405" s="19">
        <v>0.29948611923134516</v>
      </c>
    </row>
    <row r="406" spans="1:10" ht="11.25" customHeight="1" x14ac:dyDescent="0.2">
      <c r="A406" s="28">
        <v>44593</v>
      </c>
      <c r="B406" s="18">
        <v>41825.894400000005</v>
      </c>
      <c r="C406" s="18">
        <v>54352.169197236057</v>
      </c>
      <c r="D406" s="18">
        <v>0</v>
      </c>
      <c r="E406" s="18">
        <v>0</v>
      </c>
      <c r="F406" s="18">
        <v>0</v>
      </c>
      <c r="G406" s="18">
        <v>0</v>
      </c>
      <c r="H406" s="19">
        <v>0.29948611923134516</v>
      </c>
      <c r="I406" s="19">
        <v>0</v>
      </c>
      <c r="J406" s="19">
        <v>0.29948611923134516</v>
      </c>
    </row>
    <row r="407" spans="1:10" ht="11.25" customHeight="1" x14ac:dyDescent="0.2">
      <c r="A407" s="28">
        <v>44621</v>
      </c>
      <c r="B407" s="18">
        <v>29795.327999999998</v>
      </c>
      <c r="C407" s="18">
        <v>38718.615153945037</v>
      </c>
      <c r="D407" s="18">
        <v>0</v>
      </c>
      <c r="E407" s="18">
        <v>0</v>
      </c>
      <c r="F407" s="18">
        <v>0</v>
      </c>
      <c r="G407" s="18">
        <v>0</v>
      </c>
      <c r="H407" s="19">
        <v>0.29948611923134516</v>
      </c>
      <c r="I407" s="19">
        <v>0</v>
      </c>
      <c r="J407" s="19">
        <v>0.29948611923134516</v>
      </c>
    </row>
    <row r="408" spans="1:10" ht="11.25" customHeight="1" x14ac:dyDescent="0.2">
      <c r="A408" s="28">
        <v>44652</v>
      </c>
      <c r="B408" s="18">
        <v>29795.327999999998</v>
      </c>
      <c r="C408" s="18">
        <v>38718.615153945037</v>
      </c>
      <c r="D408" s="18">
        <v>0</v>
      </c>
      <c r="E408" s="18">
        <v>0</v>
      </c>
      <c r="F408" s="18">
        <v>0</v>
      </c>
      <c r="G408" s="18">
        <v>0</v>
      </c>
      <c r="H408" s="19">
        <v>0.29948611923134516</v>
      </c>
      <c r="I408" s="19">
        <v>0</v>
      </c>
      <c r="J408" s="19">
        <v>0.29948611923134516</v>
      </c>
    </row>
    <row r="409" spans="1:10" ht="11.25" customHeight="1" x14ac:dyDescent="0.2">
      <c r="A409" s="28">
        <v>44682</v>
      </c>
      <c r="B409" s="18">
        <v>27799.603200000001</v>
      </c>
      <c r="C409" s="18">
        <v>36125.198478539285</v>
      </c>
      <c r="D409" s="18">
        <v>0</v>
      </c>
      <c r="E409" s="18">
        <v>0</v>
      </c>
      <c r="F409" s="18">
        <v>0</v>
      </c>
      <c r="G409" s="18">
        <v>0</v>
      </c>
      <c r="H409" s="19">
        <v>0.29948611923134516</v>
      </c>
      <c r="I409" s="19">
        <v>0</v>
      </c>
      <c r="J409" s="19">
        <v>0.29948611923134516</v>
      </c>
    </row>
    <row r="410" spans="1:10" ht="11.25" customHeight="1" x14ac:dyDescent="0.2">
      <c r="A410" s="28">
        <v>44713</v>
      </c>
      <c r="B410" s="18">
        <v>20013.4656</v>
      </c>
      <c r="C410" s="18">
        <v>26007.220744914026</v>
      </c>
      <c r="D410" s="18">
        <v>0</v>
      </c>
      <c r="E410" s="18">
        <v>0</v>
      </c>
      <c r="F410" s="18">
        <v>0</v>
      </c>
      <c r="G410" s="18">
        <v>0</v>
      </c>
      <c r="H410" s="19">
        <v>0.29948611923134516</v>
      </c>
      <c r="I410" s="19">
        <v>0</v>
      </c>
      <c r="J410" s="19">
        <v>0.29948611923134516</v>
      </c>
    </row>
    <row r="411" spans="1:10" ht="11.25" customHeight="1" x14ac:dyDescent="0.2">
      <c r="A411" s="28">
        <v>44743</v>
      </c>
      <c r="B411" s="18">
        <v>19142.092800000002</v>
      </c>
      <c r="C411" s="18">
        <v>24874.883886638276</v>
      </c>
      <c r="D411" s="18">
        <v>0</v>
      </c>
      <c r="E411" s="18">
        <v>0</v>
      </c>
      <c r="F411" s="18">
        <v>0</v>
      </c>
      <c r="G411" s="18">
        <v>0</v>
      </c>
      <c r="H411" s="19">
        <v>0.29948611923134516</v>
      </c>
      <c r="I411" s="19">
        <v>0</v>
      </c>
      <c r="J411" s="19">
        <v>0.29948611923134516</v>
      </c>
    </row>
    <row r="412" spans="1:10" ht="11.25" customHeight="1" x14ac:dyDescent="0.2">
      <c r="A412" s="28">
        <v>44774</v>
      </c>
      <c r="B412" s="18">
        <v>20575.641600000003</v>
      </c>
      <c r="C412" s="18">
        <v>26737.760653479025</v>
      </c>
      <c r="D412" s="18">
        <v>0</v>
      </c>
      <c r="E412" s="18">
        <v>0</v>
      </c>
      <c r="F412" s="18">
        <v>0</v>
      </c>
      <c r="G412" s="18">
        <v>0</v>
      </c>
      <c r="H412" s="19">
        <v>0.29948611923134494</v>
      </c>
      <c r="I412" s="19">
        <v>0</v>
      </c>
      <c r="J412" s="19">
        <v>0.29948611923134494</v>
      </c>
    </row>
    <row r="413" spans="1:10" ht="11.25" customHeight="1" x14ac:dyDescent="0.2">
      <c r="A413" s="28">
        <v>44805</v>
      </c>
      <c r="B413" s="18">
        <v>17216.64</v>
      </c>
      <c r="C413" s="18">
        <v>22372.784699803145</v>
      </c>
      <c r="D413" s="18">
        <v>0</v>
      </c>
      <c r="E413" s="18">
        <v>0</v>
      </c>
      <c r="F413" s="18">
        <v>0</v>
      </c>
      <c r="G413" s="18">
        <v>0</v>
      </c>
      <c r="H413" s="19">
        <v>0.29948611923134516</v>
      </c>
      <c r="I413" s="19">
        <v>0</v>
      </c>
      <c r="J413" s="19">
        <v>0.29948611923134516</v>
      </c>
    </row>
    <row r="414" spans="1:10" ht="11.25" customHeight="1" x14ac:dyDescent="0.2">
      <c r="A414" s="28">
        <v>44835</v>
      </c>
      <c r="B414" s="18">
        <v>17216.64</v>
      </c>
      <c r="C414" s="18">
        <v>22372.784699803145</v>
      </c>
      <c r="D414" s="18">
        <v>0</v>
      </c>
      <c r="E414" s="18">
        <v>0</v>
      </c>
      <c r="F414" s="18">
        <v>0</v>
      </c>
      <c r="G414" s="18">
        <v>0</v>
      </c>
      <c r="H414" s="19">
        <v>0.29948611923134516</v>
      </c>
      <c r="I414" s="19">
        <v>0</v>
      </c>
      <c r="J414" s="19">
        <v>0.29948611923134516</v>
      </c>
    </row>
    <row r="415" spans="1:10" ht="11.25" customHeight="1" x14ac:dyDescent="0.2">
      <c r="A415" s="27" t="s">
        <v>34</v>
      </c>
      <c r="B415" s="18">
        <v>0</v>
      </c>
      <c r="C415" s="18">
        <v>0</v>
      </c>
      <c r="D415" s="18">
        <v>228301.78328639996</v>
      </c>
      <c r="E415" s="18">
        <v>287738.03426961898</v>
      </c>
      <c r="F415" s="18">
        <v>85702.819132799981</v>
      </c>
      <c r="G415" s="18">
        <v>107253.32261777342</v>
      </c>
      <c r="H415" s="19">
        <v>0.26034072151183074</v>
      </c>
      <c r="I415" s="19">
        <v>0.25145617965705469</v>
      </c>
      <c r="J415" s="19">
        <v>0.25791581984544965</v>
      </c>
    </row>
    <row r="416" spans="1:10" ht="11.25" customHeight="1" x14ac:dyDescent="0.2">
      <c r="A416" s="28">
        <v>44501</v>
      </c>
      <c r="B416" s="18">
        <v>0</v>
      </c>
      <c r="C416" s="18">
        <v>0</v>
      </c>
      <c r="D416" s="18">
        <v>12866.650070399999</v>
      </c>
      <c r="E416" s="18">
        <v>16216.363033168182</v>
      </c>
      <c r="F416" s="18">
        <v>4830.0463007999997</v>
      </c>
      <c r="G416" s="18">
        <v>6044.591291165857</v>
      </c>
      <c r="H416" s="19">
        <v>0.26034072151183074</v>
      </c>
      <c r="I416" s="19">
        <v>0.25145617965705469</v>
      </c>
      <c r="J416" s="19">
        <v>0.25791581984544942</v>
      </c>
    </row>
    <row r="417" spans="1:10" ht="11.25" customHeight="1" x14ac:dyDescent="0.2">
      <c r="A417" s="28">
        <v>44531</v>
      </c>
      <c r="B417" s="18">
        <v>0</v>
      </c>
      <c r="C417" s="18">
        <v>0</v>
      </c>
      <c r="D417" s="18">
        <v>26328.988655999998</v>
      </c>
      <c r="E417" s="18">
        <v>33183.496559379841</v>
      </c>
      <c r="F417" s="18">
        <v>9883.7097119999999</v>
      </c>
      <c r="G417" s="18">
        <v>12369.029597018847</v>
      </c>
      <c r="H417" s="19">
        <v>0.26034072151183052</v>
      </c>
      <c r="I417" s="19">
        <v>0.25145617965705469</v>
      </c>
      <c r="J417" s="19">
        <v>0.25791581984544942</v>
      </c>
    </row>
    <row r="418" spans="1:10" ht="11.25" customHeight="1" x14ac:dyDescent="0.2">
      <c r="A418" s="28">
        <v>44562</v>
      </c>
      <c r="B418" s="18">
        <v>0</v>
      </c>
      <c r="C418" s="18">
        <v>0</v>
      </c>
      <c r="D418" s="18">
        <v>46630.097625599999</v>
      </c>
      <c r="E418" s="18">
        <v>58769.8108856158</v>
      </c>
      <c r="F418" s="18">
        <v>17504.597491199998</v>
      </c>
      <c r="G418" s="18">
        <v>21906.236702771614</v>
      </c>
      <c r="H418" s="19">
        <v>0.26034072151183052</v>
      </c>
      <c r="I418" s="19">
        <v>0.25145617965705469</v>
      </c>
      <c r="J418" s="19">
        <v>0.25791581984544965</v>
      </c>
    </row>
    <row r="419" spans="1:10" ht="11.25" customHeight="1" x14ac:dyDescent="0.2">
      <c r="A419" s="28">
        <v>44593</v>
      </c>
      <c r="B419" s="18">
        <v>0</v>
      </c>
      <c r="C419" s="18">
        <v>0</v>
      </c>
      <c r="D419" s="18">
        <v>26500.928543999999</v>
      </c>
      <c r="E419" s="18">
        <v>33400.199401878424</v>
      </c>
      <c r="F419" s="18">
        <v>9948.2546879999991</v>
      </c>
      <c r="G419" s="18">
        <v>12449.804806099863</v>
      </c>
      <c r="H419" s="19">
        <v>0.26034072151183052</v>
      </c>
      <c r="I419" s="19">
        <v>0.25145617965705469</v>
      </c>
      <c r="J419" s="19">
        <v>0.25791581984544965</v>
      </c>
    </row>
    <row r="420" spans="1:10" ht="11.25" customHeight="1" x14ac:dyDescent="0.2">
      <c r="A420" s="28">
        <v>44621</v>
      </c>
      <c r="B420" s="18">
        <v>0</v>
      </c>
      <c r="C420" s="18">
        <v>0</v>
      </c>
      <c r="D420" s="18">
        <v>11324.7375264</v>
      </c>
      <c r="E420" s="18">
        <v>14273.027864955078</v>
      </c>
      <c r="F420" s="18">
        <v>4251.2236127999995</v>
      </c>
      <c r="G420" s="18">
        <v>5320.2200613425493</v>
      </c>
      <c r="H420" s="19">
        <v>0.26034072151183052</v>
      </c>
      <c r="I420" s="19">
        <v>0.25145617965705469</v>
      </c>
      <c r="J420" s="19">
        <v>0.2579158198454492</v>
      </c>
    </row>
    <row r="421" spans="1:10" ht="11.25" customHeight="1" x14ac:dyDescent="0.2">
      <c r="A421" s="28">
        <v>44652</v>
      </c>
      <c r="B421" s="18">
        <v>0</v>
      </c>
      <c r="C421" s="18">
        <v>0</v>
      </c>
      <c r="D421" s="18">
        <v>11324.7375264</v>
      </c>
      <c r="E421" s="18">
        <v>14273.027864955078</v>
      </c>
      <c r="F421" s="18">
        <v>4251.2236127999995</v>
      </c>
      <c r="G421" s="18">
        <v>5320.2200613425493</v>
      </c>
      <c r="H421" s="19">
        <v>0.26034072151183052</v>
      </c>
      <c r="I421" s="19">
        <v>0.25145617965705469</v>
      </c>
      <c r="J421" s="19">
        <v>0.2579158198454492</v>
      </c>
    </row>
    <row r="422" spans="1:10" ht="11.25" customHeight="1" x14ac:dyDescent="0.2">
      <c r="A422" s="28">
        <v>44682</v>
      </c>
      <c r="B422" s="18">
        <v>0</v>
      </c>
      <c r="C422" s="18">
        <v>0</v>
      </c>
      <c r="D422" s="18">
        <v>32531.0268096</v>
      </c>
      <c r="E422" s="18">
        <v>41000.177800731966</v>
      </c>
      <c r="F422" s="18">
        <v>12211.909459199998</v>
      </c>
      <c r="G422" s="18">
        <v>15282.66955812828</v>
      </c>
      <c r="H422" s="19">
        <v>0.26034072151183052</v>
      </c>
      <c r="I422" s="19">
        <v>0.25145617965705491</v>
      </c>
      <c r="J422" s="19">
        <v>0.25791581984544965</v>
      </c>
    </row>
    <row r="423" spans="1:10" ht="11.25" customHeight="1" x14ac:dyDescent="0.2">
      <c r="A423" s="28">
        <v>44713</v>
      </c>
      <c r="B423" s="18">
        <v>0</v>
      </c>
      <c r="C423" s="18">
        <v>0</v>
      </c>
      <c r="D423" s="18">
        <v>10244.289455999999</v>
      </c>
      <c r="E423" s="18">
        <v>12911.295164351077</v>
      </c>
      <c r="F423" s="18">
        <v>3845.6313119999995</v>
      </c>
      <c r="G423" s="18">
        <v>4812.6390700850661</v>
      </c>
      <c r="H423" s="19">
        <v>0.26034072151183052</v>
      </c>
      <c r="I423" s="19">
        <v>0.25145617965705469</v>
      </c>
      <c r="J423" s="19">
        <v>0.25791581984544942</v>
      </c>
    </row>
    <row r="424" spans="1:10" ht="11.25" customHeight="1" x14ac:dyDescent="0.2">
      <c r="A424" s="28">
        <v>44743</v>
      </c>
      <c r="B424" s="18">
        <v>0</v>
      </c>
      <c r="C424" s="18">
        <v>0</v>
      </c>
      <c r="D424" s="18">
        <v>14649.278457599998</v>
      </c>
      <c r="E424" s="18">
        <v>18463.082180879297</v>
      </c>
      <c r="F424" s="18">
        <v>5499.231955199999</v>
      </c>
      <c r="G424" s="18">
        <v>6882.0478137025857</v>
      </c>
      <c r="H424" s="19">
        <v>0.26034072151183052</v>
      </c>
      <c r="I424" s="19">
        <v>0.25145617965705469</v>
      </c>
      <c r="J424" s="19">
        <v>0.25791581984544965</v>
      </c>
    </row>
    <row r="425" spans="1:10" ht="11.25" customHeight="1" x14ac:dyDescent="0.2">
      <c r="A425" s="28">
        <v>44774</v>
      </c>
      <c r="B425" s="18">
        <v>0</v>
      </c>
      <c r="C425" s="18">
        <v>0</v>
      </c>
      <c r="D425" s="18">
        <v>13038.5899584</v>
      </c>
      <c r="E425" s="18">
        <v>16433.065875666762</v>
      </c>
      <c r="F425" s="18">
        <v>4894.5912767999998</v>
      </c>
      <c r="G425" s="18">
        <v>6125.3665002468733</v>
      </c>
      <c r="H425" s="19">
        <v>0.2603407215118303</v>
      </c>
      <c r="I425" s="19">
        <v>0.25145617965705469</v>
      </c>
      <c r="J425" s="19">
        <v>0.25791581984544942</v>
      </c>
    </row>
    <row r="426" spans="1:10" ht="11.25" customHeight="1" x14ac:dyDescent="0.2">
      <c r="A426" s="28">
        <v>44805</v>
      </c>
      <c r="B426" s="18">
        <v>0</v>
      </c>
      <c r="C426" s="18">
        <v>0</v>
      </c>
      <c r="D426" s="18">
        <v>11431.229327999999</v>
      </c>
      <c r="E426" s="18">
        <v>14407.243819018717</v>
      </c>
      <c r="F426" s="18">
        <v>4291.1998559999993</v>
      </c>
      <c r="G426" s="18">
        <v>5370.2485779346625</v>
      </c>
      <c r="H426" s="19">
        <v>0.26034072151183052</v>
      </c>
      <c r="I426" s="19">
        <v>0.25145617965705469</v>
      </c>
      <c r="J426" s="19">
        <v>0.25791581984544942</v>
      </c>
    </row>
    <row r="427" spans="1:10" ht="11.25" customHeight="1" x14ac:dyDescent="0.2">
      <c r="A427" s="28">
        <v>44835</v>
      </c>
      <c r="B427" s="18">
        <v>0</v>
      </c>
      <c r="C427" s="18">
        <v>0</v>
      </c>
      <c r="D427" s="18">
        <v>11431.229327999999</v>
      </c>
      <c r="E427" s="18">
        <v>14407.243819018717</v>
      </c>
      <c r="F427" s="18">
        <v>4291.1998559999993</v>
      </c>
      <c r="G427" s="18">
        <v>5370.2485779346625</v>
      </c>
      <c r="H427" s="19">
        <v>0.26034072151183052</v>
      </c>
      <c r="I427" s="19">
        <v>0.25145617965705469</v>
      </c>
      <c r="J427" s="19">
        <v>0.25791581984544942</v>
      </c>
    </row>
    <row r="428" spans="1:10" ht="11.25" customHeight="1" x14ac:dyDescent="0.2">
      <c r="A428" s="23" t="s">
        <v>49</v>
      </c>
      <c r="B428" s="18">
        <v>535004.89199999999</v>
      </c>
      <c r="C428" s="18">
        <v>695231.43087486504</v>
      </c>
      <c r="D428" s="18">
        <v>1716539.2266067995</v>
      </c>
      <c r="E428" s="18">
        <v>1798759.8676286568</v>
      </c>
      <c r="F428" s="18">
        <v>2509939.7833015993</v>
      </c>
      <c r="G428" s="18">
        <v>3138063.2944258936</v>
      </c>
      <c r="H428" s="19">
        <v>0.10768040381404687</v>
      </c>
      <c r="I428" s="19">
        <v>0.25025441458920361</v>
      </c>
      <c r="J428" s="19">
        <v>0.18283600427003299</v>
      </c>
    </row>
    <row r="429" spans="1:10" ht="11.25" customHeight="1" x14ac:dyDescent="0.2">
      <c r="A429" s="24" t="s">
        <v>50</v>
      </c>
      <c r="B429" s="18">
        <v>535004.89199999999</v>
      </c>
      <c r="C429" s="18">
        <v>695231.43087486504</v>
      </c>
      <c r="D429" s="18">
        <v>1716539.2266067995</v>
      </c>
      <c r="E429" s="18">
        <v>1798759.8676286568</v>
      </c>
      <c r="F429" s="18">
        <v>2509939.7833015993</v>
      </c>
      <c r="G429" s="18">
        <v>3138063.2944258936</v>
      </c>
      <c r="H429" s="19">
        <v>0.10768040381404687</v>
      </c>
      <c r="I429" s="19">
        <v>0.25025441458920361</v>
      </c>
      <c r="J429" s="19">
        <v>0.18283600427003299</v>
      </c>
    </row>
    <row r="430" spans="1:10" ht="11.25" customHeight="1" x14ac:dyDescent="0.2">
      <c r="A430" s="25" t="s">
        <v>25</v>
      </c>
      <c r="B430" s="18">
        <v>535004.89199999999</v>
      </c>
      <c r="C430" s="18">
        <v>695231.43087486504</v>
      </c>
      <c r="D430" s="18">
        <v>1716539.2266067995</v>
      </c>
      <c r="E430" s="18">
        <v>1798759.8676286568</v>
      </c>
      <c r="F430" s="18">
        <v>2509939.7833015993</v>
      </c>
      <c r="G430" s="18">
        <v>3138063.2944258936</v>
      </c>
      <c r="H430" s="19">
        <v>0.10768040381404687</v>
      </c>
      <c r="I430" s="19">
        <v>0.25025441458920361</v>
      </c>
      <c r="J430" s="19">
        <v>0.18283600427003299</v>
      </c>
    </row>
    <row r="431" spans="1:10" ht="11.25" customHeight="1" x14ac:dyDescent="0.2">
      <c r="A431" s="26" t="s">
        <v>25</v>
      </c>
      <c r="B431" s="18">
        <v>535004.89199999999</v>
      </c>
      <c r="C431" s="18">
        <v>695231.43087486504</v>
      </c>
      <c r="D431" s="18">
        <v>1716539.2266067995</v>
      </c>
      <c r="E431" s="18">
        <v>1798759.8676286568</v>
      </c>
      <c r="F431" s="18">
        <v>2509939.7833015993</v>
      </c>
      <c r="G431" s="18">
        <v>3138063.2944258936</v>
      </c>
      <c r="H431" s="19">
        <v>0.10768040381404687</v>
      </c>
      <c r="I431" s="19">
        <v>0.25025441458920361</v>
      </c>
      <c r="J431" s="19">
        <v>0.18283600427003299</v>
      </c>
    </row>
    <row r="432" spans="1:10" ht="11.25" customHeight="1" x14ac:dyDescent="0.2">
      <c r="A432" s="27" t="s">
        <v>35</v>
      </c>
      <c r="B432" s="18">
        <v>0</v>
      </c>
      <c r="C432" s="18">
        <v>0</v>
      </c>
      <c r="D432" s="18">
        <v>740680.89590600005</v>
      </c>
      <c r="E432" s="18">
        <v>568845.87501987966</v>
      </c>
      <c r="F432" s="18">
        <v>2143609.7055800003</v>
      </c>
      <c r="G432" s="18">
        <v>2679617.2548669479</v>
      </c>
      <c r="H432" s="19">
        <v>-0.2319960212770602</v>
      </c>
      <c r="I432" s="19">
        <v>0.25004904012688223</v>
      </c>
      <c r="J432" s="19">
        <v>0.12626069239112159</v>
      </c>
    </row>
    <row r="433" spans="1:10" ht="11.25" customHeight="1" x14ac:dyDescent="0.2">
      <c r="A433" s="28">
        <v>44501</v>
      </c>
      <c r="B433" s="18">
        <v>0</v>
      </c>
      <c r="C433" s="18">
        <v>0</v>
      </c>
      <c r="D433" s="18">
        <v>60691.164822399995</v>
      </c>
      <c r="E433" s="18">
        <v>46611.056056932925</v>
      </c>
      <c r="F433" s="18">
        <v>175646.72003199998</v>
      </c>
      <c r="G433" s="18">
        <v>219567.0137774368</v>
      </c>
      <c r="H433" s="19">
        <v>-0.23199602127706009</v>
      </c>
      <c r="I433" s="19">
        <v>0.25004904012688223</v>
      </c>
      <c r="J433" s="19">
        <v>0.12626069239112159</v>
      </c>
    </row>
    <row r="434" spans="1:10" ht="11.25" customHeight="1" x14ac:dyDescent="0.2">
      <c r="A434" s="28">
        <v>44531</v>
      </c>
      <c r="B434" s="18">
        <v>0</v>
      </c>
      <c r="C434" s="18">
        <v>0</v>
      </c>
      <c r="D434" s="18">
        <v>58792.050702599998</v>
      </c>
      <c r="E434" s="18">
        <v>45152.528856877609</v>
      </c>
      <c r="F434" s="18">
        <v>170150.48071800001</v>
      </c>
      <c r="G434" s="18">
        <v>212696.44509866348</v>
      </c>
      <c r="H434" s="19">
        <v>-0.2319960212770602</v>
      </c>
      <c r="I434" s="19">
        <v>0.25004904012688223</v>
      </c>
      <c r="J434" s="19">
        <v>0.12626069239112159</v>
      </c>
    </row>
    <row r="435" spans="1:10" ht="11.25" customHeight="1" x14ac:dyDescent="0.2">
      <c r="A435" s="28">
        <v>44562</v>
      </c>
      <c r="B435" s="18">
        <v>0</v>
      </c>
      <c r="C435" s="18">
        <v>0</v>
      </c>
      <c r="D435" s="18">
        <v>58601.471314399991</v>
      </c>
      <c r="E435" s="18">
        <v>45006.163128477419</v>
      </c>
      <c r="F435" s="18">
        <v>169598.92359199998</v>
      </c>
      <c r="G435" s="18">
        <v>212006.97164273201</v>
      </c>
      <c r="H435" s="19">
        <v>-0.2319960212770602</v>
      </c>
      <c r="I435" s="19">
        <v>0.25004904012688223</v>
      </c>
      <c r="J435" s="19">
        <v>0.12626069239112181</v>
      </c>
    </row>
    <row r="436" spans="1:10" ht="11.25" customHeight="1" x14ac:dyDescent="0.2">
      <c r="A436" s="28">
        <v>44593</v>
      </c>
      <c r="B436" s="18">
        <v>0</v>
      </c>
      <c r="C436" s="18">
        <v>0</v>
      </c>
      <c r="D436" s="18">
        <v>54547.762787200001</v>
      </c>
      <c r="E436" s="18">
        <v>41892.89885100472</v>
      </c>
      <c r="F436" s="18">
        <v>157867.057696</v>
      </c>
      <c r="G436" s="18">
        <v>197341.56394053993</v>
      </c>
      <c r="H436" s="19">
        <v>-0.23199602127706009</v>
      </c>
      <c r="I436" s="19">
        <v>0.25004904012688223</v>
      </c>
      <c r="J436" s="19">
        <v>0.12626069239112159</v>
      </c>
    </row>
    <row r="437" spans="1:10" ht="11.25" customHeight="1" x14ac:dyDescent="0.2">
      <c r="A437" s="28">
        <v>44621</v>
      </c>
      <c r="B437" s="18">
        <v>0</v>
      </c>
      <c r="C437" s="18">
        <v>0</v>
      </c>
      <c r="D437" s="18">
        <v>64810.351512400004</v>
      </c>
      <c r="E437" s="18">
        <v>49774.607823955506</v>
      </c>
      <c r="F437" s="18">
        <v>187568.086732</v>
      </c>
      <c r="G437" s="18">
        <v>234469.30677777241</v>
      </c>
      <c r="H437" s="19">
        <v>-0.23199602127706009</v>
      </c>
      <c r="I437" s="19">
        <v>0.25004904012688223</v>
      </c>
      <c r="J437" s="19">
        <v>0.12626069239112181</v>
      </c>
    </row>
    <row r="438" spans="1:10" ht="11.25" customHeight="1" x14ac:dyDescent="0.2">
      <c r="A438" s="28">
        <v>44652</v>
      </c>
      <c r="B438" s="18">
        <v>0</v>
      </c>
      <c r="C438" s="18">
        <v>0</v>
      </c>
      <c r="D438" s="18">
        <v>64810.351512400004</v>
      </c>
      <c r="E438" s="18">
        <v>49774.607823955506</v>
      </c>
      <c r="F438" s="18">
        <v>187568.086732</v>
      </c>
      <c r="G438" s="18">
        <v>234469.30677777241</v>
      </c>
      <c r="H438" s="19">
        <v>-0.23199602127706009</v>
      </c>
      <c r="I438" s="19">
        <v>0.25004904012688223</v>
      </c>
      <c r="J438" s="19">
        <v>0.12626069239112181</v>
      </c>
    </row>
    <row r="439" spans="1:10" ht="11.25" customHeight="1" x14ac:dyDescent="0.2">
      <c r="A439" s="28">
        <v>44682</v>
      </c>
      <c r="B439" s="18">
        <v>0</v>
      </c>
      <c r="C439" s="18">
        <v>0</v>
      </c>
      <c r="D439" s="18">
        <v>65612.335307400004</v>
      </c>
      <c r="E439" s="18">
        <v>50390.534569386822</v>
      </c>
      <c r="F439" s="18">
        <v>189889.11358199999</v>
      </c>
      <c r="G439" s="18">
        <v>237370.7041637236</v>
      </c>
      <c r="H439" s="19">
        <v>-0.2319960212770602</v>
      </c>
      <c r="I439" s="19">
        <v>0.25004904012688223</v>
      </c>
      <c r="J439" s="19">
        <v>0.12626069239112159</v>
      </c>
    </row>
    <row r="440" spans="1:10" ht="11.25" customHeight="1" x14ac:dyDescent="0.2">
      <c r="A440" s="28">
        <v>44713</v>
      </c>
      <c r="B440" s="18">
        <v>0</v>
      </c>
      <c r="C440" s="18">
        <v>0</v>
      </c>
      <c r="D440" s="18">
        <v>63191.952337400005</v>
      </c>
      <c r="E440" s="18">
        <v>48531.670818393584</v>
      </c>
      <c r="F440" s="18">
        <v>182884.26648200001</v>
      </c>
      <c r="G440" s="18">
        <v>228614.30177013305</v>
      </c>
      <c r="H440" s="19">
        <v>-0.23199602127706009</v>
      </c>
      <c r="I440" s="19">
        <v>0.25004904012688223</v>
      </c>
      <c r="J440" s="19">
        <v>0.12626069239112181</v>
      </c>
    </row>
    <row r="441" spans="1:10" ht="11.25" customHeight="1" x14ac:dyDescent="0.2">
      <c r="A441" s="28">
        <v>44743</v>
      </c>
      <c r="B441" s="18">
        <v>0</v>
      </c>
      <c r="C441" s="18">
        <v>0</v>
      </c>
      <c r="D441" s="18">
        <v>64151.529040599999</v>
      </c>
      <c r="E441" s="18">
        <v>49268.62954434102</v>
      </c>
      <c r="F441" s="18">
        <v>185661.384058</v>
      </c>
      <c r="G441" s="18">
        <v>232085.83493033133</v>
      </c>
      <c r="H441" s="19">
        <v>-0.23199602127706009</v>
      </c>
      <c r="I441" s="19">
        <v>0.25004904012688223</v>
      </c>
      <c r="J441" s="19">
        <v>0.12626069239112159</v>
      </c>
    </row>
    <row r="442" spans="1:10" ht="11.25" customHeight="1" x14ac:dyDescent="0.2">
      <c r="A442" s="28">
        <v>44774</v>
      </c>
      <c r="B442" s="18">
        <v>0</v>
      </c>
      <c r="C442" s="18">
        <v>0</v>
      </c>
      <c r="D442" s="18">
        <v>62002.377402400001</v>
      </c>
      <c r="E442" s="18">
        <v>47618.072535324492</v>
      </c>
      <c r="F442" s="18">
        <v>179441.50943199999</v>
      </c>
      <c r="G442" s="18">
        <v>224310.68662439048</v>
      </c>
      <c r="H442" s="19">
        <v>-0.2319960212770602</v>
      </c>
      <c r="I442" s="19">
        <v>0.25004904012688223</v>
      </c>
      <c r="J442" s="19">
        <v>0.12626069239112159</v>
      </c>
    </row>
    <row r="443" spans="1:10" ht="11.25" customHeight="1" x14ac:dyDescent="0.2">
      <c r="A443" s="28">
        <v>44805</v>
      </c>
      <c r="B443" s="18">
        <v>0</v>
      </c>
      <c r="C443" s="18">
        <v>0</v>
      </c>
      <c r="D443" s="18">
        <v>61734.774583400002</v>
      </c>
      <c r="E443" s="18">
        <v>47412.552505615022</v>
      </c>
      <c r="F443" s="18">
        <v>178667.03826199999</v>
      </c>
      <c r="G443" s="18">
        <v>223342.55968172604</v>
      </c>
      <c r="H443" s="19">
        <v>-0.2319960212770602</v>
      </c>
      <c r="I443" s="19">
        <v>0.25004904012688223</v>
      </c>
      <c r="J443" s="19">
        <v>0.12626069239112181</v>
      </c>
    </row>
    <row r="444" spans="1:10" ht="11.25" customHeight="1" x14ac:dyDescent="0.2">
      <c r="A444" s="28">
        <v>44835</v>
      </c>
      <c r="B444" s="18">
        <v>0</v>
      </c>
      <c r="C444" s="18">
        <v>0</v>
      </c>
      <c r="D444" s="18">
        <v>61734.774583400002</v>
      </c>
      <c r="E444" s="18">
        <v>47412.552505615022</v>
      </c>
      <c r="F444" s="18">
        <v>178667.03826199999</v>
      </c>
      <c r="G444" s="18">
        <v>223342.55968172604</v>
      </c>
      <c r="H444" s="19">
        <v>-0.2319960212770602</v>
      </c>
      <c r="I444" s="19">
        <v>0.25004904012688223</v>
      </c>
      <c r="J444" s="19">
        <v>0.12626069239112181</v>
      </c>
    </row>
    <row r="445" spans="1:10" ht="11.25" customHeight="1" x14ac:dyDescent="0.2">
      <c r="A445" s="27" t="s">
        <v>25</v>
      </c>
      <c r="B445" s="18">
        <v>535004.89199999999</v>
      </c>
      <c r="C445" s="18">
        <v>695231.43087486504</v>
      </c>
      <c r="D445" s="18">
        <v>0</v>
      </c>
      <c r="E445" s="18">
        <v>0</v>
      </c>
      <c r="F445" s="18">
        <v>0</v>
      </c>
      <c r="G445" s="18">
        <v>0</v>
      </c>
      <c r="H445" s="19">
        <v>0.29948611923134538</v>
      </c>
      <c r="I445" s="19">
        <v>0</v>
      </c>
      <c r="J445" s="19">
        <v>0.29948611923134538</v>
      </c>
    </row>
    <row r="446" spans="1:10" ht="11.25" customHeight="1" x14ac:dyDescent="0.2">
      <c r="A446" s="28">
        <v>44501</v>
      </c>
      <c r="B446" s="18">
        <v>44051.76</v>
      </c>
      <c r="C446" s="18">
        <v>57244.650647710609</v>
      </c>
      <c r="D446" s="18">
        <v>0</v>
      </c>
      <c r="E446" s="18">
        <v>0</v>
      </c>
      <c r="F446" s="18">
        <v>0</v>
      </c>
      <c r="G446" s="18">
        <v>0</v>
      </c>
      <c r="H446" s="19">
        <v>0.29948611923134516</v>
      </c>
      <c r="I446" s="19">
        <v>0</v>
      </c>
      <c r="J446" s="19">
        <v>0.29948611923134516</v>
      </c>
    </row>
    <row r="447" spans="1:10" ht="11.25" customHeight="1" x14ac:dyDescent="0.2">
      <c r="A447" s="28">
        <v>44531</v>
      </c>
      <c r="B447" s="18">
        <v>43989.54</v>
      </c>
      <c r="C447" s="18">
        <v>57163.796621372036</v>
      </c>
      <c r="D447" s="18">
        <v>0</v>
      </c>
      <c r="E447" s="18">
        <v>0</v>
      </c>
      <c r="F447" s="18">
        <v>0</v>
      </c>
      <c r="G447" s="18">
        <v>0</v>
      </c>
      <c r="H447" s="19">
        <v>0.29948611923134538</v>
      </c>
      <c r="I447" s="19">
        <v>0</v>
      </c>
      <c r="J447" s="19">
        <v>0.29948611923134538</v>
      </c>
    </row>
    <row r="448" spans="1:10" ht="11.25" customHeight="1" x14ac:dyDescent="0.2">
      <c r="A448" s="28">
        <v>44562</v>
      </c>
      <c r="B448" s="18">
        <v>43989.54</v>
      </c>
      <c r="C448" s="18">
        <v>57163.796621372036</v>
      </c>
      <c r="D448" s="18">
        <v>0</v>
      </c>
      <c r="E448" s="18">
        <v>0</v>
      </c>
      <c r="F448" s="18">
        <v>0</v>
      </c>
      <c r="G448" s="18">
        <v>0</v>
      </c>
      <c r="H448" s="19">
        <v>0.29948611923134538</v>
      </c>
      <c r="I448" s="19">
        <v>0</v>
      </c>
      <c r="J448" s="19">
        <v>0.29948611923134538</v>
      </c>
    </row>
    <row r="449" spans="1:10" ht="11.25" customHeight="1" x14ac:dyDescent="0.2">
      <c r="A449" s="28">
        <v>44593</v>
      </c>
      <c r="B449" s="18">
        <v>44113.98</v>
      </c>
      <c r="C449" s="18">
        <v>57325.504674049182</v>
      </c>
      <c r="D449" s="18">
        <v>0</v>
      </c>
      <c r="E449" s="18">
        <v>0</v>
      </c>
      <c r="F449" s="18">
        <v>0</v>
      </c>
      <c r="G449" s="18">
        <v>0</v>
      </c>
      <c r="H449" s="19">
        <v>0.29948611923134516</v>
      </c>
      <c r="I449" s="19">
        <v>0</v>
      </c>
      <c r="J449" s="19">
        <v>0.29948611923134516</v>
      </c>
    </row>
    <row r="450" spans="1:10" ht="11.25" customHeight="1" x14ac:dyDescent="0.2">
      <c r="A450" s="28">
        <v>44621</v>
      </c>
      <c r="B450" s="18">
        <v>44325.527999999998</v>
      </c>
      <c r="C450" s="18">
        <v>57600.408363600327</v>
      </c>
      <c r="D450" s="18">
        <v>0</v>
      </c>
      <c r="E450" s="18">
        <v>0</v>
      </c>
      <c r="F450" s="18">
        <v>0</v>
      </c>
      <c r="G450" s="18">
        <v>0</v>
      </c>
      <c r="H450" s="19">
        <v>0.29948611923134516</v>
      </c>
      <c r="I450" s="19">
        <v>0</v>
      </c>
      <c r="J450" s="19">
        <v>0.29948611923134516</v>
      </c>
    </row>
    <row r="451" spans="1:10" ht="11.25" customHeight="1" x14ac:dyDescent="0.2">
      <c r="A451" s="28">
        <v>44652</v>
      </c>
      <c r="B451" s="18">
        <v>44325.527999999998</v>
      </c>
      <c r="C451" s="18">
        <v>57600.408363600327</v>
      </c>
      <c r="D451" s="18">
        <v>0</v>
      </c>
      <c r="E451" s="18">
        <v>0</v>
      </c>
      <c r="F451" s="18">
        <v>0</v>
      </c>
      <c r="G451" s="18">
        <v>0</v>
      </c>
      <c r="H451" s="19">
        <v>0.29948611923134516</v>
      </c>
      <c r="I451" s="19">
        <v>0</v>
      </c>
      <c r="J451" s="19">
        <v>0.29948611923134516</v>
      </c>
    </row>
    <row r="452" spans="1:10" ht="11.25" customHeight="1" x14ac:dyDescent="0.2">
      <c r="A452" s="28">
        <v>44682</v>
      </c>
      <c r="B452" s="18">
        <v>50124.432000000001</v>
      </c>
      <c r="C452" s="18">
        <v>65136.003618355455</v>
      </c>
      <c r="D452" s="18">
        <v>0</v>
      </c>
      <c r="E452" s="18">
        <v>0</v>
      </c>
      <c r="F452" s="18">
        <v>0</v>
      </c>
      <c r="G452" s="18">
        <v>0</v>
      </c>
      <c r="H452" s="19">
        <v>0.29948611923134516</v>
      </c>
      <c r="I452" s="19">
        <v>0</v>
      </c>
      <c r="J452" s="19">
        <v>0.29948611923134516</v>
      </c>
    </row>
    <row r="453" spans="1:10" ht="11.25" customHeight="1" x14ac:dyDescent="0.2">
      <c r="A453" s="28">
        <v>44713</v>
      </c>
      <c r="B453" s="18">
        <v>39721.247999999992</v>
      </c>
      <c r="C453" s="18">
        <v>51617.210414545829</v>
      </c>
      <c r="D453" s="18">
        <v>0</v>
      </c>
      <c r="E453" s="18">
        <v>0</v>
      </c>
      <c r="F453" s="18">
        <v>0</v>
      </c>
      <c r="G453" s="18">
        <v>0</v>
      </c>
      <c r="H453" s="19">
        <v>0.29948611923134538</v>
      </c>
      <c r="I453" s="19">
        <v>0</v>
      </c>
      <c r="J453" s="19">
        <v>0.29948611923134538</v>
      </c>
    </row>
    <row r="454" spans="1:10" ht="11.25" customHeight="1" x14ac:dyDescent="0.2">
      <c r="A454" s="28">
        <v>44743</v>
      </c>
      <c r="B454" s="18">
        <v>44935.284</v>
      </c>
      <c r="C454" s="18">
        <v>58392.777821718359</v>
      </c>
      <c r="D454" s="18">
        <v>0</v>
      </c>
      <c r="E454" s="18">
        <v>0</v>
      </c>
      <c r="F454" s="18">
        <v>0</v>
      </c>
      <c r="G454" s="18">
        <v>0</v>
      </c>
      <c r="H454" s="19">
        <v>0.29948611923134516</v>
      </c>
      <c r="I454" s="19">
        <v>0</v>
      </c>
      <c r="J454" s="19">
        <v>0.29948611923134516</v>
      </c>
    </row>
    <row r="455" spans="1:10" ht="11.25" customHeight="1" x14ac:dyDescent="0.2">
      <c r="A455" s="28">
        <v>44774</v>
      </c>
      <c r="B455" s="18">
        <v>45009.947999999997</v>
      </c>
      <c r="C455" s="18">
        <v>58489.802653324645</v>
      </c>
      <c r="D455" s="18">
        <v>0</v>
      </c>
      <c r="E455" s="18">
        <v>0</v>
      </c>
      <c r="F455" s="18">
        <v>0</v>
      </c>
      <c r="G455" s="18">
        <v>0</v>
      </c>
      <c r="H455" s="19">
        <v>0.29948611923134516</v>
      </c>
      <c r="I455" s="19">
        <v>0</v>
      </c>
      <c r="J455" s="19">
        <v>0.29948611923134516</v>
      </c>
    </row>
    <row r="456" spans="1:10" ht="11.25" customHeight="1" x14ac:dyDescent="0.2">
      <c r="A456" s="28">
        <v>44805</v>
      </c>
      <c r="B456" s="18">
        <v>45209.051999999996</v>
      </c>
      <c r="C456" s="18">
        <v>58748.535537608084</v>
      </c>
      <c r="D456" s="18">
        <v>0</v>
      </c>
      <c r="E456" s="18">
        <v>0</v>
      </c>
      <c r="F456" s="18">
        <v>0</v>
      </c>
      <c r="G456" s="18">
        <v>0</v>
      </c>
      <c r="H456" s="19">
        <v>0.29948611923134538</v>
      </c>
      <c r="I456" s="19">
        <v>0</v>
      </c>
      <c r="J456" s="19">
        <v>0.29948611923134538</v>
      </c>
    </row>
    <row r="457" spans="1:10" ht="11.25" customHeight="1" x14ac:dyDescent="0.2">
      <c r="A457" s="28">
        <v>44835</v>
      </c>
      <c r="B457" s="18">
        <v>45209.051999999996</v>
      </c>
      <c r="C457" s="18">
        <v>58748.535537608084</v>
      </c>
      <c r="D457" s="18">
        <v>0</v>
      </c>
      <c r="E457" s="18">
        <v>0</v>
      </c>
      <c r="F457" s="18">
        <v>0</v>
      </c>
      <c r="G457" s="18">
        <v>0</v>
      </c>
      <c r="H457" s="19">
        <v>0.29948611923134538</v>
      </c>
      <c r="I457" s="19">
        <v>0</v>
      </c>
      <c r="J457" s="19">
        <v>0.29948611923134538</v>
      </c>
    </row>
    <row r="458" spans="1:10" ht="11.25" customHeight="1" x14ac:dyDescent="0.2">
      <c r="A458" s="27" t="s">
        <v>34</v>
      </c>
      <c r="B458" s="18">
        <v>0</v>
      </c>
      <c r="C458" s="18">
        <v>0</v>
      </c>
      <c r="D458" s="18">
        <v>975858.33070079994</v>
      </c>
      <c r="E458" s="18">
        <v>1229913.9926087768</v>
      </c>
      <c r="F458" s="18">
        <v>366330.07772160001</v>
      </c>
      <c r="G458" s="18">
        <v>458446.03955894546</v>
      </c>
      <c r="H458" s="19">
        <v>0.26034072151183052</v>
      </c>
      <c r="I458" s="19">
        <v>0.25145617965705469</v>
      </c>
      <c r="J458" s="19">
        <v>0.25791581984544942</v>
      </c>
    </row>
    <row r="459" spans="1:10" ht="11.25" customHeight="1" x14ac:dyDescent="0.2">
      <c r="A459" s="28">
        <v>44501</v>
      </c>
      <c r="B459" s="18">
        <v>0</v>
      </c>
      <c r="C459" s="18">
        <v>0</v>
      </c>
      <c r="D459" s="18">
        <v>76058.626305599988</v>
      </c>
      <c r="E459" s="18">
        <v>95859.783955198582</v>
      </c>
      <c r="F459" s="18">
        <v>28551.851851199997</v>
      </c>
      <c r="G459" s="18">
        <v>35731.391439836952</v>
      </c>
      <c r="H459" s="19">
        <v>0.26034072151183052</v>
      </c>
      <c r="I459" s="19">
        <v>0.25145617965705469</v>
      </c>
      <c r="J459" s="19">
        <v>0.25791581984544942</v>
      </c>
    </row>
    <row r="460" spans="1:10" ht="11.25" customHeight="1" x14ac:dyDescent="0.2">
      <c r="A460" s="28">
        <v>44531</v>
      </c>
      <c r="B460" s="18">
        <v>0</v>
      </c>
      <c r="C460" s="18">
        <v>0</v>
      </c>
      <c r="D460" s="18">
        <v>82699.527157200006</v>
      </c>
      <c r="E460" s="18">
        <v>104229.58172599267</v>
      </c>
      <c r="F460" s="18">
        <v>31044.797444399999</v>
      </c>
      <c r="G460" s="18">
        <v>38851.203607995914</v>
      </c>
      <c r="H460" s="19">
        <v>0.26034072151183052</v>
      </c>
      <c r="I460" s="19">
        <v>0.25145617965705469</v>
      </c>
      <c r="J460" s="19">
        <v>0.2579158198454492</v>
      </c>
    </row>
    <row r="461" spans="1:10" ht="11.25" customHeight="1" x14ac:dyDescent="0.2">
      <c r="A461" s="28">
        <v>44562</v>
      </c>
      <c r="B461" s="18">
        <v>0</v>
      </c>
      <c r="C461" s="18">
        <v>0</v>
      </c>
      <c r="D461" s="18">
        <v>75731.686306200005</v>
      </c>
      <c r="E461" s="18">
        <v>95447.728160463725</v>
      </c>
      <c r="F461" s="18">
        <v>28429.120967399998</v>
      </c>
      <c r="G461" s="18">
        <v>35577.799116870672</v>
      </c>
      <c r="H461" s="19">
        <v>0.26034072151183052</v>
      </c>
      <c r="I461" s="19">
        <v>0.25145617965705469</v>
      </c>
      <c r="J461" s="19">
        <v>0.25791581984544942</v>
      </c>
    </row>
    <row r="462" spans="1:10" ht="11.25" customHeight="1" x14ac:dyDescent="0.2">
      <c r="A462" s="28">
        <v>44593</v>
      </c>
      <c r="B462" s="18">
        <v>0</v>
      </c>
      <c r="C462" s="18">
        <v>0</v>
      </c>
      <c r="D462" s="18">
        <v>73049.909367600005</v>
      </c>
      <c r="E462" s="18">
        <v>92067.775478734809</v>
      </c>
      <c r="F462" s="18">
        <v>27422.401525199999</v>
      </c>
      <c r="G462" s="18">
        <v>34317.933849748581</v>
      </c>
      <c r="H462" s="19">
        <v>0.26034072151183052</v>
      </c>
      <c r="I462" s="19">
        <v>0.25145617965705469</v>
      </c>
      <c r="J462" s="19">
        <v>0.25791581984544942</v>
      </c>
    </row>
    <row r="463" spans="1:10" ht="11.25" customHeight="1" x14ac:dyDescent="0.2">
      <c r="A463" s="28">
        <v>44621</v>
      </c>
      <c r="B463" s="18">
        <v>0</v>
      </c>
      <c r="C463" s="18">
        <v>0</v>
      </c>
      <c r="D463" s="18">
        <v>86610.859176600003</v>
      </c>
      <c r="E463" s="18">
        <v>109159.1927453956</v>
      </c>
      <c r="F463" s="18">
        <v>32513.082868199999</v>
      </c>
      <c r="G463" s="18">
        <v>40688.698475110803</v>
      </c>
      <c r="H463" s="19">
        <v>0.26034072151183052</v>
      </c>
      <c r="I463" s="19">
        <v>0.25145617965705469</v>
      </c>
      <c r="J463" s="19">
        <v>0.25791581984544942</v>
      </c>
    </row>
    <row r="464" spans="1:10" ht="11.25" customHeight="1" x14ac:dyDescent="0.2">
      <c r="A464" s="28">
        <v>44652</v>
      </c>
      <c r="B464" s="18">
        <v>0</v>
      </c>
      <c r="C464" s="18">
        <v>0</v>
      </c>
      <c r="D464" s="18">
        <v>86610.859176600003</v>
      </c>
      <c r="E464" s="18">
        <v>109159.1927453956</v>
      </c>
      <c r="F464" s="18">
        <v>32513.082868199999</v>
      </c>
      <c r="G464" s="18">
        <v>40688.698475110803</v>
      </c>
      <c r="H464" s="19">
        <v>0.26034072151183052</v>
      </c>
      <c r="I464" s="19">
        <v>0.25145617965705469</v>
      </c>
      <c r="J464" s="19">
        <v>0.25791581984544942</v>
      </c>
    </row>
    <row r="465" spans="1:10" ht="11.25" customHeight="1" x14ac:dyDescent="0.2">
      <c r="A465" s="28">
        <v>44682</v>
      </c>
      <c r="B465" s="18">
        <v>0</v>
      </c>
      <c r="C465" s="18">
        <v>0</v>
      </c>
      <c r="D465" s="18">
        <v>86780.30316299999</v>
      </c>
      <c r="E465" s="18">
        <v>109372.7499014708</v>
      </c>
      <c r="F465" s="18">
        <v>32576.690900999998</v>
      </c>
      <c r="G465" s="18">
        <v>40768.301140834184</v>
      </c>
      <c r="H465" s="19">
        <v>0.26034072151183052</v>
      </c>
      <c r="I465" s="19">
        <v>0.25145617965705447</v>
      </c>
      <c r="J465" s="19">
        <v>0.25791581984544942</v>
      </c>
    </row>
    <row r="466" spans="1:10" ht="11.25" customHeight="1" x14ac:dyDescent="0.2">
      <c r="A466" s="28">
        <v>44713</v>
      </c>
      <c r="B466" s="18">
        <v>0</v>
      </c>
      <c r="C466" s="18">
        <v>0</v>
      </c>
      <c r="D466" s="18">
        <v>81355.923239399985</v>
      </c>
      <c r="E466" s="18">
        <v>102536.18299480648</v>
      </c>
      <c r="F466" s="18">
        <v>30540.418363799996</v>
      </c>
      <c r="G466" s="18">
        <v>38219.995290689294</v>
      </c>
      <c r="H466" s="19">
        <v>0.26034072151183052</v>
      </c>
      <c r="I466" s="19">
        <v>0.25145617965705447</v>
      </c>
      <c r="J466" s="19">
        <v>0.25791581984544942</v>
      </c>
    </row>
    <row r="467" spans="1:10" ht="11.25" customHeight="1" x14ac:dyDescent="0.2">
      <c r="A467" s="28">
        <v>44743</v>
      </c>
      <c r="B467" s="18">
        <v>0</v>
      </c>
      <c r="C467" s="18">
        <v>0</v>
      </c>
      <c r="D467" s="18">
        <v>79522.452412199986</v>
      </c>
      <c r="E467" s="18">
        <v>100225.38504958234</v>
      </c>
      <c r="F467" s="18">
        <v>29852.146829399997</v>
      </c>
      <c r="G467" s="18">
        <v>37358.653625682375</v>
      </c>
      <c r="H467" s="19">
        <v>0.26034072151183052</v>
      </c>
      <c r="I467" s="19">
        <v>0.25145617965705447</v>
      </c>
      <c r="J467" s="19">
        <v>0.25791581984544942</v>
      </c>
    </row>
    <row r="468" spans="1:10" ht="11.25" customHeight="1" x14ac:dyDescent="0.2">
      <c r="A468" s="28">
        <v>44774</v>
      </c>
      <c r="B468" s="18">
        <v>0</v>
      </c>
      <c r="C468" s="18">
        <v>0</v>
      </c>
      <c r="D468" s="18">
        <v>85202.084494800001</v>
      </c>
      <c r="E468" s="18">
        <v>107383.65664648818</v>
      </c>
      <c r="F468" s="18">
        <v>31984.239159599998</v>
      </c>
      <c r="G468" s="18">
        <v>40026.873747910577</v>
      </c>
      <c r="H468" s="19">
        <v>0.26034072151183052</v>
      </c>
      <c r="I468" s="19">
        <v>0.25145617965705469</v>
      </c>
      <c r="J468" s="19">
        <v>0.25791581984544942</v>
      </c>
    </row>
    <row r="469" spans="1:10" ht="11.25" customHeight="1" x14ac:dyDescent="0.2">
      <c r="A469" s="28">
        <v>44805</v>
      </c>
      <c r="B469" s="18">
        <v>0</v>
      </c>
      <c r="C469" s="18">
        <v>0</v>
      </c>
      <c r="D469" s="18">
        <v>81118.049950800007</v>
      </c>
      <c r="E469" s="18">
        <v>102236.38160262398</v>
      </c>
      <c r="F469" s="18">
        <v>30451.1224716</v>
      </c>
      <c r="G469" s="18">
        <v>38108.245394577621</v>
      </c>
      <c r="H469" s="19">
        <v>0.26034072151183052</v>
      </c>
      <c r="I469" s="19">
        <v>0.25145617965705469</v>
      </c>
      <c r="J469" s="19">
        <v>0.2579158198454492</v>
      </c>
    </row>
    <row r="470" spans="1:10" ht="11.25" customHeight="1" x14ac:dyDescent="0.2">
      <c r="A470" s="28">
        <v>44835</v>
      </c>
      <c r="B470" s="18">
        <v>0</v>
      </c>
      <c r="C470" s="18">
        <v>0</v>
      </c>
      <c r="D470" s="18">
        <v>81118.049950800007</v>
      </c>
      <c r="E470" s="18">
        <v>102236.38160262398</v>
      </c>
      <c r="F470" s="18">
        <v>30451.1224716</v>
      </c>
      <c r="G470" s="18">
        <v>38108.245394577621</v>
      </c>
      <c r="H470" s="19">
        <v>0.26034072151183052</v>
      </c>
      <c r="I470" s="19">
        <v>0.25145617965705469</v>
      </c>
      <c r="J470" s="19">
        <v>0.2579158198454492</v>
      </c>
    </row>
    <row r="471" spans="1:10" ht="11.25" customHeight="1" x14ac:dyDescent="0.2">
      <c r="A471" s="21" t="s">
        <v>22</v>
      </c>
      <c r="B471" s="18">
        <v>0</v>
      </c>
      <c r="C471" s="18">
        <v>0</v>
      </c>
      <c r="D471" s="18">
        <v>182421559.57875991</v>
      </c>
      <c r="E471" s="18">
        <v>203173693.71233442</v>
      </c>
      <c r="F471" s="18">
        <v>160041944.63640997</v>
      </c>
      <c r="G471" s="18">
        <v>200089829.36904824</v>
      </c>
      <c r="H471" s="19">
        <v>0.11375921892946383</v>
      </c>
      <c r="I471" s="19">
        <v>0.25023367982450173</v>
      </c>
      <c r="J471" s="19">
        <v>0.17753722109907422</v>
      </c>
    </row>
    <row r="472" spans="1:10" ht="11.25" customHeight="1" x14ac:dyDescent="0.2">
      <c r="A472" s="22" t="s">
        <v>33</v>
      </c>
      <c r="B472" s="18">
        <v>0</v>
      </c>
      <c r="C472" s="18">
        <v>0</v>
      </c>
      <c r="D472" s="18">
        <v>205011.02671000003</v>
      </c>
      <c r="E472" s="18">
        <v>227336.32437000558</v>
      </c>
      <c r="F472" s="18">
        <v>188005.97379000005</v>
      </c>
      <c r="G472" s="18">
        <v>235057.72074865302</v>
      </c>
      <c r="H472" s="19">
        <v>0.10889803352668426</v>
      </c>
      <c r="I472" s="19">
        <v>0.2502672974168838</v>
      </c>
      <c r="J472" s="19">
        <v>0.17652428401416786</v>
      </c>
    </row>
    <row r="473" spans="1:10" ht="11.25" customHeight="1" x14ac:dyDescent="0.2">
      <c r="A473" s="23" t="s">
        <v>24</v>
      </c>
      <c r="B473" s="18">
        <v>0</v>
      </c>
      <c r="C473" s="18">
        <v>0</v>
      </c>
      <c r="D473" s="18">
        <v>205011.02671000003</v>
      </c>
      <c r="E473" s="18">
        <v>227336.32437000558</v>
      </c>
      <c r="F473" s="18">
        <v>188005.97379000005</v>
      </c>
      <c r="G473" s="18">
        <v>235057.72074865302</v>
      </c>
      <c r="H473" s="19">
        <v>0.10889803352668426</v>
      </c>
      <c r="I473" s="19">
        <v>0.2502672974168838</v>
      </c>
      <c r="J473" s="19">
        <v>0.17652428401416786</v>
      </c>
    </row>
    <row r="474" spans="1:10" ht="11.25" customHeight="1" x14ac:dyDescent="0.2">
      <c r="A474" s="24" t="s">
        <v>24</v>
      </c>
      <c r="B474" s="18">
        <v>0</v>
      </c>
      <c r="C474" s="18">
        <v>0</v>
      </c>
      <c r="D474" s="18">
        <v>205011.02671000003</v>
      </c>
      <c r="E474" s="18">
        <v>227336.32437000558</v>
      </c>
      <c r="F474" s="18">
        <v>188005.97379000005</v>
      </c>
      <c r="G474" s="18">
        <v>235057.72074865302</v>
      </c>
      <c r="H474" s="19">
        <v>0.10889803352668426</v>
      </c>
      <c r="I474" s="19">
        <v>0.2502672974168838</v>
      </c>
      <c r="J474" s="19">
        <v>0.17652428401416786</v>
      </c>
    </row>
    <row r="475" spans="1:10" ht="11.25" customHeight="1" x14ac:dyDescent="0.2">
      <c r="A475" s="25" t="s">
        <v>25</v>
      </c>
      <c r="B475" s="18">
        <v>0</v>
      </c>
      <c r="C475" s="18">
        <v>0</v>
      </c>
      <c r="D475" s="18">
        <v>205011.02671000003</v>
      </c>
      <c r="E475" s="18">
        <v>227336.32437000558</v>
      </c>
      <c r="F475" s="18">
        <v>188005.97379000005</v>
      </c>
      <c r="G475" s="18">
        <v>235057.72074865302</v>
      </c>
      <c r="H475" s="19">
        <v>0.10889803352668426</v>
      </c>
      <c r="I475" s="19">
        <v>0.2502672974168838</v>
      </c>
      <c r="J475" s="19">
        <v>0.17652428401416786</v>
      </c>
    </row>
    <row r="476" spans="1:10" ht="11.25" customHeight="1" x14ac:dyDescent="0.2">
      <c r="A476" s="26" t="s">
        <v>25</v>
      </c>
      <c r="B476" s="18">
        <v>0</v>
      </c>
      <c r="C476" s="18">
        <v>0</v>
      </c>
      <c r="D476" s="18">
        <v>205011.02671000003</v>
      </c>
      <c r="E476" s="18">
        <v>227336.32437000558</v>
      </c>
      <c r="F476" s="18">
        <v>188005.97379000005</v>
      </c>
      <c r="G476" s="18">
        <v>235057.72074865302</v>
      </c>
      <c r="H476" s="19">
        <v>0.10889803352668426</v>
      </c>
      <c r="I476" s="19">
        <v>0.2502672974168838</v>
      </c>
      <c r="J476" s="19">
        <v>0.17652428401416786</v>
      </c>
    </row>
    <row r="477" spans="1:10" ht="11.25" customHeight="1" x14ac:dyDescent="0.2">
      <c r="A477" s="27" t="s">
        <v>35</v>
      </c>
      <c r="B477" s="18">
        <v>0</v>
      </c>
      <c r="C477" s="18">
        <v>0</v>
      </c>
      <c r="D477" s="18">
        <v>137398.96655000001</v>
      </c>
      <c r="E477" s="18">
        <v>145687.03314225114</v>
      </c>
      <c r="F477" s="18">
        <v>148165.63010000001</v>
      </c>
      <c r="G477" s="18">
        <v>185214.30368629971</v>
      </c>
      <c r="H477" s="19">
        <v>6.0321171260302675E-2</v>
      </c>
      <c r="I477" s="19">
        <v>0.25004904012688156</v>
      </c>
      <c r="J477" s="19">
        <v>0.1587617677765476</v>
      </c>
    </row>
    <row r="478" spans="1:10" ht="11.25" customHeight="1" x14ac:dyDescent="0.2">
      <c r="A478" s="28">
        <v>44501</v>
      </c>
      <c r="B478" s="18">
        <v>0</v>
      </c>
      <c r="C478" s="18">
        <v>0</v>
      </c>
      <c r="D478" s="18">
        <v>15606.567799999999</v>
      </c>
      <c r="E478" s="18">
        <v>16547.974249049323</v>
      </c>
      <c r="F478" s="18">
        <v>16829.507600000001</v>
      </c>
      <c r="G478" s="18">
        <v>21037.709821188069</v>
      </c>
      <c r="H478" s="19">
        <v>6.0321171260302675E-2</v>
      </c>
      <c r="I478" s="19">
        <v>0.25004904012688223</v>
      </c>
      <c r="J478" s="19">
        <v>0.1587617677765476</v>
      </c>
    </row>
    <row r="479" spans="1:10" ht="11.25" customHeight="1" x14ac:dyDescent="0.2">
      <c r="A479" s="28">
        <v>44531</v>
      </c>
      <c r="B479" s="18">
        <v>0</v>
      </c>
      <c r="C479" s="18">
        <v>0</v>
      </c>
      <c r="D479" s="18">
        <v>13839.044649999998</v>
      </c>
      <c r="E479" s="18">
        <v>14673.832032411625</v>
      </c>
      <c r="F479" s="18">
        <v>14923.480300000001</v>
      </c>
      <c r="G479" s="18">
        <v>18655.082224367434</v>
      </c>
      <c r="H479" s="19">
        <v>6.0321171260302675E-2</v>
      </c>
      <c r="I479" s="19">
        <v>0.25004904012688201</v>
      </c>
      <c r="J479" s="19">
        <v>0.1587617677765476</v>
      </c>
    </row>
    <row r="480" spans="1:10" ht="11.25" customHeight="1" x14ac:dyDescent="0.2">
      <c r="A480" s="28">
        <v>44562</v>
      </c>
      <c r="B480" s="18">
        <v>0</v>
      </c>
      <c r="C480" s="18">
        <v>0</v>
      </c>
      <c r="D480" s="18">
        <v>12081.410399999999</v>
      </c>
      <c r="E480" s="18">
        <v>12810.1752258044</v>
      </c>
      <c r="F480" s="18">
        <v>13028.1168</v>
      </c>
      <c r="G480" s="18">
        <v>16285.784900500908</v>
      </c>
      <c r="H480" s="19">
        <v>6.0321171260302675E-2</v>
      </c>
      <c r="I480" s="19">
        <v>0.25004904012688223</v>
      </c>
      <c r="J480" s="19">
        <v>0.15876176777654782</v>
      </c>
    </row>
    <row r="481" spans="1:10" ht="11.25" customHeight="1" x14ac:dyDescent="0.2">
      <c r="A481" s="28">
        <v>44593</v>
      </c>
      <c r="B481" s="18">
        <v>0</v>
      </c>
      <c r="C481" s="18">
        <v>0</v>
      </c>
      <c r="D481" s="18">
        <v>13063.236899999998</v>
      </c>
      <c r="E481" s="18">
        <v>13851.226650258803</v>
      </c>
      <c r="F481" s="18">
        <v>14086.879800000001</v>
      </c>
      <c r="G481" s="18">
        <v>17609.290572372767</v>
      </c>
      <c r="H481" s="19">
        <v>6.0321171260302675E-2</v>
      </c>
      <c r="I481" s="19">
        <v>0.25004904012688223</v>
      </c>
      <c r="J481" s="19">
        <v>0.15876176777654782</v>
      </c>
    </row>
    <row r="482" spans="1:10" ht="11.25" customHeight="1" x14ac:dyDescent="0.2">
      <c r="A482" s="28">
        <v>44621</v>
      </c>
      <c r="B482" s="18">
        <v>0</v>
      </c>
      <c r="C482" s="18">
        <v>0</v>
      </c>
      <c r="D482" s="18">
        <v>10761.713149999998</v>
      </c>
      <c r="E482" s="18">
        <v>11410.8722919754</v>
      </c>
      <c r="F482" s="18">
        <v>11605.007299999999</v>
      </c>
      <c r="G482" s="18">
        <v>14506.828236030462</v>
      </c>
      <c r="H482" s="19">
        <v>6.0321171260302675E-2</v>
      </c>
      <c r="I482" s="19">
        <v>0.25004904012688245</v>
      </c>
      <c r="J482" s="19">
        <v>0.15876176777654782</v>
      </c>
    </row>
    <row r="483" spans="1:10" ht="11.25" customHeight="1" x14ac:dyDescent="0.2">
      <c r="A483" s="28">
        <v>44652</v>
      </c>
      <c r="B483" s="18">
        <v>0</v>
      </c>
      <c r="C483" s="18">
        <v>0</v>
      </c>
      <c r="D483" s="18">
        <v>10761.713149999998</v>
      </c>
      <c r="E483" s="18">
        <v>11410.8722919754</v>
      </c>
      <c r="F483" s="18">
        <v>11605.007299999999</v>
      </c>
      <c r="G483" s="18">
        <v>14506.828236030462</v>
      </c>
      <c r="H483" s="19">
        <v>6.0321171260302675E-2</v>
      </c>
      <c r="I483" s="19">
        <v>0.25004904012688245</v>
      </c>
      <c r="J483" s="19">
        <v>0.15876176777654782</v>
      </c>
    </row>
    <row r="484" spans="1:10" ht="11.25" customHeight="1" x14ac:dyDescent="0.2">
      <c r="A484" s="28">
        <v>44682</v>
      </c>
      <c r="B484" s="18">
        <v>0</v>
      </c>
      <c r="C484" s="18">
        <v>0</v>
      </c>
      <c r="D484" s="18">
        <v>10031.818149999999</v>
      </c>
      <c r="E484" s="18">
        <v>10636.949170678361</v>
      </c>
      <c r="F484" s="18">
        <v>10817.917299999999</v>
      </c>
      <c r="G484" s="18">
        <v>13522.927137036993</v>
      </c>
      <c r="H484" s="19">
        <v>6.0321171260302675E-2</v>
      </c>
      <c r="I484" s="19">
        <v>0.25004904012688223</v>
      </c>
      <c r="J484" s="19">
        <v>0.15876176777654782</v>
      </c>
    </row>
    <row r="485" spans="1:10" ht="11.25" customHeight="1" x14ac:dyDescent="0.2">
      <c r="A485" s="28">
        <v>44713</v>
      </c>
      <c r="B485" s="18">
        <v>0</v>
      </c>
      <c r="C485" s="18">
        <v>0</v>
      </c>
      <c r="D485" s="18">
        <v>9057.9969499999988</v>
      </c>
      <c r="E485" s="18">
        <v>9604.3859352962481</v>
      </c>
      <c r="F485" s="18">
        <v>9767.786900000001</v>
      </c>
      <c r="G485" s="18">
        <v>12210.212638508936</v>
      </c>
      <c r="H485" s="19">
        <v>6.0321171260302675E-2</v>
      </c>
      <c r="I485" s="19">
        <v>0.25004904012688223</v>
      </c>
      <c r="J485" s="19">
        <v>0.15876176777654782</v>
      </c>
    </row>
    <row r="486" spans="1:10" ht="11.25" customHeight="1" x14ac:dyDescent="0.2">
      <c r="A486" s="28">
        <v>44743</v>
      </c>
      <c r="B486" s="18">
        <v>0</v>
      </c>
      <c r="C486" s="18">
        <v>0</v>
      </c>
      <c r="D486" s="18">
        <v>9197.3833500000001</v>
      </c>
      <c r="E486" s="18">
        <v>9752.1802862020068</v>
      </c>
      <c r="F486" s="18">
        <v>9918.0957000000017</v>
      </c>
      <c r="G486" s="18">
        <v>12398.106009671559</v>
      </c>
      <c r="H486" s="19">
        <v>6.0321171260302675E-2</v>
      </c>
      <c r="I486" s="19">
        <v>0.25004904012688223</v>
      </c>
      <c r="J486" s="19">
        <v>0.1587617677765476</v>
      </c>
    </row>
    <row r="487" spans="1:10" ht="11.25" customHeight="1" x14ac:dyDescent="0.2">
      <c r="A487" s="28">
        <v>44774</v>
      </c>
      <c r="B487" s="18">
        <v>0</v>
      </c>
      <c r="C487" s="18">
        <v>0</v>
      </c>
      <c r="D487" s="18">
        <v>11205.300949999999</v>
      </c>
      <c r="E487" s="18">
        <v>11881.217827628181</v>
      </c>
      <c r="F487" s="18">
        <v>12083.3549</v>
      </c>
      <c r="G487" s="18">
        <v>15104.786194257458</v>
      </c>
      <c r="H487" s="19">
        <v>6.0321171260302675E-2</v>
      </c>
      <c r="I487" s="19">
        <v>0.25004904012688223</v>
      </c>
      <c r="J487" s="19">
        <v>0.1587617677765476</v>
      </c>
    </row>
    <row r="488" spans="1:10" ht="11.25" customHeight="1" x14ac:dyDescent="0.2">
      <c r="A488" s="28">
        <v>44805</v>
      </c>
      <c r="B488" s="18">
        <v>0</v>
      </c>
      <c r="C488" s="18">
        <v>0</v>
      </c>
      <c r="D488" s="18">
        <v>10896.39055</v>
      </c>
      <c r="E488" s="18">
        <v>11553.673590485692</v>
      </c>
      <c r="F488" s="18">
        <v>11750.2381</v>
      </c>
      <c r="G488" s="18">
        <v>14688.373858167321</v>
      </c>
      <c r="H488" s="19">
        <v>6.0321171260302453E-2</v>
      </c>
      <c r="I488" s="19">
        <v>0.25004904012688223</v>
      </c>
      <c r="J488" s="19">
        <v>0.15876176777654782</v>
      </c>
    </row>
    <row r="489" spans="1:10" ht="11.25" customHeight="1" x14ac:dyDescent="0.2">
      <c r="A489" s="28">
        <v>44835</v>
      </c>
      <c r="B489" s="18">
        <v>0</v>
      </c>
      <c r="C489" s="18">
        <v>0</v>
      </c>
      <c r="D489" s="18">
        <v>10896.39055</v>
      </c>
      <c r="E489" s="18">
        <v>11553.673590485692</v>
      </c>
      <c r="F489" s="18">
        <v>11750.2381</v>
      </c>
      <c r="G489" s="18">
        <v>14688.373858167321</v>
      </c>
      <c r="H489" s="19">
        <v>6.0321171260302453E-2</v>
      </c>
      <c r="I489" s="19">
        <v>0.25004904012688223</v>
      </c>
      <c r="J489" s="19">
        <v>0.15876176777654782</v>
      </c>
    </row>
    <row r="490" spans="1:10" ht="11.25" customHeight="1" x14ac:dyDescent="0.2">
      <c r="A490" s="27" t="s">
        <v>36</v>
      </c>
      <c r="B490" s="18">
        <v>0</v>
      </c>
      <c r="C490" s="18">
        <v>0</v>
      </c>
      <c r="D490" s="18">
        <v>19882.234699999997</v>
      </c>
      <c r="E490" s="18">
        <v>23454.840113357837</v>
      </c>
      <c r="F490" s="18">
        <v>10679.287899999999</v>
      </c>
      <c r="G490" s="18">
        <v>13349.633588633631</v>
      </c>
      <c r="H490" s="19">
        <v>0.1796883231318982</v>
      </c>
      <c r="I490" s="19">
        <v>0.25004904012688267</v>
      </c>
      <c r="J490" s="19">
        <v>0.20427487150105117</v>
      </c>
    </row>
    <row r="491" spans="1:10" ht="11.25" customHeight="1" x14ac:dyDescent="0.2">
      <c r="A491" s="28">
        <v>44501</v>
      </c>
      <c r="B491" s="18">
        <v>0</v>
      </c>
      <c r="C491" s="18">
        <v>0</v>
      </c>
      <c r="D491" s="18">
        <v>1954.1418000000001</v>
      </c>
      <c r="E491" s="18">
        <v>2305.2782632039489</v>
      </c>
      <c r="F491" s="18">
        <v>1049.6226000000001</v>
      </c>
      <c r="G491" s="18">
        <v>1312.0797236254825</v>
      </c>
      <c r="H491" s="19">
        <v>0.17968832313189798</v>
      </c>
      <c r="I491" s="19">
        <v>0.25004904012688223</v>
      </c>
      <c r="J491" s="19">
        <v>0.20427487150105095</v>
      </c>
    </row>
    <row r="492" spans="1:10" ht="11.25" customHeight="1" x14ac:dyDescent="0.2">
      <c r="A492" s="28">
        <v>44531</v>
      </c>
      <c r="B492" s="18">
        <v>0</v>
      </c>
      <c r="C492" s="18">
        <v>0</v>
      </c>
      <c r="D492" s="18">
        <v>1921.9981999999998</v>
      </c>
      <c r="E492" s="18">
        <v>2267.3588336205262</v>
      </c>
      <c r="F492" s="18">
        <v>1032.3573999999999</v>
      </c>
      <c r="G492" s="18">
        <v>1290.4973769378837</v>
      </c>
      <c r="H492" s="19">
        <v>0.17968832313189798</v>
      </c>
      <c r="I492" s="19">
        <v>0.25004904012688223</v>
      </c>
      <c r="J492" s="19">
        <v>0.20427487150105073</v>
      </c>
    </row>
    <row r="493" spans="1:10" ht="11.25" customHeight="1" x14ac:dyDescent="0.2">
      <c r="A493" s="28">
        <v>44562</v>
      </c>
      <c r="B493" s="18">
        <v>0</v>
      </c>
      <c r="C493" s="18">
        <v>0</v>
      </c>
      <c r="D493" s="18">
        <v>1639.7963</v>
      </c>
      <c r="E493" s="18">
        <v>1934.4485474248906</v>
      </c>
      <c r="F493" s="18">
        <v>880.77909999999997</v>
      </c>
      <c r="G493" s="18">
        <v>1101.0170685188191</v>
      </c>
      <c r="H493" s="19">
        <v>0.17968832313189798</v>
      </c>
      <c r="I493" s="19">
        <v>0.25004904012688223</v>
      </c>
      <c r="J493" s="19">
        <v>0.20427487150105095</v>
      </c>
    </row>
    <row r="494" spans="1:10" ht="11.25" customHeight="1" x14ac:dyDescent="0.2">
      <c r="A494" s="28">
        <v>44593</v>
      </c>
      <c r="B494" s="18">
        <v>0</v>
      </c>
      <c r="C494" s="18">
        <v>0</v>
      </c>
      <c r="D494" s="18">
        <v>1827.9309000000001</v>
      </c>
      <c r="E494" s="18">
        <v>2156.3887382219814</v>
      </c>
      <c r="F494" s="18">
        <v>981.83130000000006</v>
      </c>
      <c r="G494" s="18">
        <v>1227.3372741315291</v>
      </c>
      <c r="H494" s="19">
        <v>0.1796883231318982</v>
      </c>
      <c r="I494" s="19">
        <v>0.25004904012688223</v>
      </c>
      <c r="J494" s="19">
        <v>0.20427487150105095</v>
      </c>
    </row>
    <row r="495" spans="1:10" ht="11.25" customHeight="1" x14ac:dyDescent="0.2">
      <c r="A495" s="28">
        <v>44621</v>
      </c>
      <c r="B495" s="18">
        <v>0</v>
      </c>
      <c r="C495" s="18">
        <v>0</v>
      </c>
      <c r="D495" s="18">
        <v>1664.3767</v>
      </c>
      <c r="E495" s="18">
        <v>1963.445758282802</v>
      </c>
      <c r="F495" s="18">
        <v>893.9819</v>
      </c>
      <c r="G495" s="18">
        <v>1117.5212159858063</v>
      </c>
      <c r="H495" s="19">
        <v>0.17968832313189798</v>
      </c>
      <c r="I495" s="19">
        <v>0.25004904012688201</v>
      </c>
      <c r="J495" s="19">
        <v>0.20427487150105073</v>
      </c>
    </row>
    <row r="496" spans="1:10" ht="11.25" customHeight="1" x14ac:dyDescent="0.2">
      <c r="A496" s="28">
        <v>44652</v>
      </c>
      <c r="B496" s="18">
        <v>0</v>
      </c>
      <c r="C496" s="18">
        <v>0</v>
      </c>
      <c r="D496" s="18">
        <v>1664.3767</v>
      </c>
      <c r="E496" s="18">
        <v>1963.445758282802</v>
      </c>
      <c r="F496" s="18">
        <v>893.9819</v>
      </c>
      <c r="G496" s="18">
        <v>1117.5212159858063</v>
      </c>
      <c r="H496" s="19">
        <v>0.17968832313189798</v>
      </c>
      <c r="I496" s="19">
        <v>0.25004904012688201</v>
      </c>
      <c r="J496" s="19">
        <v>0.20427487150105073</v>
      </c>
    </row>
    <row r="497" spans="1:10" ht="11.25" customHeight="1" x14ac:dyDescent="0.2">
      <c r="A497" s="28">
        <v>44682</v>
      </c>
      <c r="B497" s="18">
        <v>0</v>
      </c>
      <c r="C497" s="18">
        <v>0</v>
      </c>
      <c r="D497" s="18">
        <v>1436.0626</v>
      </c>
      <c r="E497" s="18">
        <v>1694.1062805064334</v>
      </c>
      <c r="F497" s="18">
        <v>771.34820000000002</v>
      </c>
      <c r="G497" s="18">
        <v>964.2230770135983</v>
      </c>
      <c r="H497" s="19">
        <v>0.17968832313189798</v>
      </c>
      <c r="I497" s="19">
        <v>0.25004904012688201</v>
      </c>
      <c r="J497" s="19">
        <v>0.20427487150105073</v>
      </c>
    </row>
    <row r="498" spans="1:10" ht="11.25" customHeight="1" x14ac:dyDescent="0.2">
      <c r="A498" s="28">
        <v>44713</v>
      </c>
      <c r="B498" s="18">
        <v>0</v>
      </c>
      <c r="C498" s="18">
        <v>0</v>
      </c>
      <c r="D498" s="18">
        <v>1397.7738999999999</v>
      </c>
      <c r="E498" s="18">
        <v>1648.9375482085331</v>
      </c>
      <c r="F498" s="18">
        <v>750.78229999999996</v>
      </c>
      <c r="G498" s="18">
        <v>938.51469345925295</v>
      </c>
      <c r="H498" s="19">
        <v>0.17968832313189798</v>
      </c>
      <c r="I498" s="19">
        <v>0.25004904012688223</v>
      </c>
      <c r="J498" s="19">
        <v>0.20427487150105073</v>
      </c>
    </row>
    <row r="499" spans="1:10" ht="11.25" customHeight="1" x14ac:dyDescent="0.2">
      <c r="A499" s="28">
        <v>44743</v>
      </c>
      <c r="B499" s="18">
        <v>0</v>
      </c>
      <c r="C499" s="18">
        <v>0</v>
      </c>
      <c r="D499" s="18">
        <v>1424.7177999999999</v>
      </c>
      <c r="E499" s="18">
        <v>1680.7229524181669</v>
      </c>
      <c r="F499" s="18">
        <v>765.25459999999998</v>
      </c>
      <c r="G499" s="18">
        <v>956.60577818268121</v>
      </c>
      <c r="H499" s="19">
        <v>0.1796883231318982</v>
      </c>
      <c r="I499" s="19">
        <v>0.25004904012688223</v>
      </c>
      <c r="J499" s="19">
        <v>0.20427487150105095</v>
      </c>
    </row>
    <row r="500" spans="1:10" ht="11.25" customHeight="1" x14ac:dyDescent="0.2">
      <c r="A500" s="28">
        <v>44774</v>
      </c>
      <c r="B500" s="18">
        <v>0</v>
      </c>
      <c r="C500" s="18">
        <v>0</v>
      </c>
      <c r="D500" s="18">
        <v>1740.4813999999999</v>
      </c>
      <c r="E500" s="18">
        <v>2053.2255842082582</v>
      </c>
      <c r="F500" s="18">
        <v>934.85979999999995</v>
      </c>
      <c r="G500" s="18">
        <v>1168.6205956432091</v>
      </c>
      <c r="H500" s="19">
        <v>0.17968832313189798</v>
      </c>
      <c r="I500" s="19">
        <v>0.25004904012688223</v>
      </c>
      <c r="J500" s="19">
        <v>0.20427487150105095</v>
      </c>
    </row>
    <row r="501" spans="1:10" ht="11.25" customHeight="1" x14ac:dyDescent="0.2">
      <c r="A501" s="28">
        <v>44805</v>
      </c>
      <c r="B501" s="18">
        <v>0</v>
      </c>
      <c r="C501" s="18">
        <v>0</v>
      </c>
      <c r="D501" s="18">
        <v>1605.2891999999999</v>
      </c>
      <c r="E501" s="18">
        <v>1893.740924489746</v>
      </c>
      <c r="F501" s="18">
        <v>862.24440000000004</v>
      </c>
      <c r="G501" s="18">
        <v>1077.8477845747796</v>
      </c>
      <c r="H501" s="19">
        <v>0.17968832313189798</v>
      </c>
      <c r="I501" s="19">
        <v>0.25004904012688223</v>
      </c>
      <c r="J501" s="19">
        <v>0.20427487150105095</v>
      </c>
    </row>
    <row r="502" spans="1:10" ht="11.25" customHeight="1" x14ac:dyDescent="0.2">
      <c r="A502" s="28">
        <v>44835</v>
      </c>
      <c r="B502" s="18">
        <v>0</v>
      </c>
      <c r="C502" s="18">
        <v>0</v>
      </c>
      <c r="D502" s="18">
        <v>1605.2891999999999</v>
      </c>
      <c r="E502" s="18">
        <v>1893.740924489746</v>
      </c>
      <c r="F502" s="18">
        <v>862.24440000000004</v>
      </c>
      <c r="G502" s="18">
        <v>1077.8477845747796</v>
      </c>
      <c r="H502" s="19">
        <v>0.17968832313189798</v>
      </c>
      <c r="I502" s="19">
        <v>0.25004904012688223</v>
      </c>
      <c r="J502" s="19">
        <v>0.20427487150105095</v>
      </c>
    </row>
    <row r="503" spans="1:10" ht="11.25" customHeight="1" x14ac:dyDescent="0.2">
      <c r="A503" s="27" t="s">
        <v>34</v>
      </c>
      <c r="B503" s="18">
        <v>0</v>
      </c>
      <c r="C503" s="18">
        <v>0</v>
      </c>
      <c r="D503" s="18">
        <v>47729.825459999993</v>
      </c>
      <c r="E503" s="18">
        <v>58194.45111439655</v>
      </c>
      <c r="F503" s="18">
        <v>29161.055790000006</v>
      </c>
      <c r="G503" s="18">
        <v>36493.783473719639</v>
      </c>
      <c r="H503" s="19">
        <v>0.21924709662235053</v>
      </c>
      <c r="I503" s="19">
        <v>0.25145617965705425</v>
      </c>
      <c r="J503" s="19">
        <v>0.23146247056592517</v>
      </c>
    </row>
    <row r="504" spans="1:10" ht="11.25" customHeight="1" x14ac:dyDescent="0.2">
      <c r="A504" s="28">
        <v>44501</v>
      </c>
      <c r="B504" s="18">
        <v>0</v>
      </c>
      <c r="C504" s="18">
        <v>0</v>
      </c>
      <c r="D504" s="18">
        <v>4296.798960000001</v>
      </c>
      <c r="E504" s="18">
        <v>5238.8596567499344</v>
      </c>
      <c r="F504" s="18">
        <v>2625.1760400000003</v>
      </c>
      <c r="G504" s="18">
        <v>3285.292777945635</v>
      </c>
      <c r="H504" s="19">
        <v>0.21924709662235009</v>
      </c>
      <c r="I504" s="19">
        <v>0.25145617965705447</v>
      </c>
      <c r="J504" s="19">
        <v>0.23146247056592495</v>
      </c>
    </row>
    <row r="505" spans="1:10" ht="11.25" customHeight="1" x14ac:dyDescent="0.2">
      <c r="A505" s="28">
        <v>44531</v>
      </c>
      <c r="B505" s="18">
        <v>0</v>
      </c>
      <c r="C505" s="18">
        <v>0</v>
      </c>
      <c r="D505" s="18">
        <v>4198.1117400000003</v>
      </c>
      <c r="E505" s="18">
        <v>5118.5355502912034</v>
      </c>
      <c r="F505" s="18">
        <v>2564.8820099999998</v>
      </c>
      <c r="G505" s="18">
        <v>3209.8374415057074</v>
      </c>
      <c r="H505" s="19">
        <v>0.21924709662235031</v>
      </c>
      <c r="I505" s="19">
        <v>0.25145617965705469</v>
      </c>
      <c r="J505" s="19">
        <v>0.23146247056592517</v>
      </c>
    </row>
    <row r="506" spans="1:10" ht="11.25" customHeight="1" x14ac:dyDescent="0.2">
      <c r="A506" s="28">
        <v>44562</v>
      </c>
      <c r="B506" s="18">
        <v>0</v>
      </c>
      <c r="C506" s="18">
        <v>0</v>
      </c>
      <c r="D506" s="18">
        <v>3728.1049800000001</v>
      </c>
      <c r="E506" s="18">
        <v>4545.4811727683264</v>
      </c>
      <c r="F506" s="18">
        <v>2277.7262700000001</v>
      </c>
      <c r="G506" s="18">
        <v>2850.4746161587132</v>
      </c>
      <c r="H506" s="19">
        <v>0.21924709662235053</v>
      </c>
      <c r="I506" s="19">
        <v>0.25145617965705469</v>
      </c>
      <c r="J506" s="19">
        <v>0.23146247056592539</v>
      </c>
    </row>
    <row r="507" spans="1:10" ht="11.25" customHeight="1" x14ac:dyDescent="0.2">
      <c r="A507" s="28">
        <v>44593</v>
      </c>
      <c r="B507" s="18">
        <v>0</v>
      </c>
      <c r="C507" s="18">
        <v>0</v>
      </c>
      <c r="D507" s="18">
        <v>4133.5035600000001</v>
      </c>
      <c r="E507" s="18">
        <v>5039.7622144081497</v>
      </c>
      <c r="F507" s="18">
        <v>2525.4089400000003</v>
      </c>
      <c r="G507" s="18">
        <v>3160.4386241241718</v>
      </c>
      <c r="H507" s="19">
        <v>0.21924709662235053</v>
      </c>
      <c r="I507" s="19">
        <v>0.25145617965705447</v>
      </c>
      <c r="J507" s="19">
        <v>0.23146247056592495</v>
      </c>
    </row>
    <row r="508" spans="1:10" ht="11.25" customHeight="1" x14ac:dyDescent="0.2">
      <c r="A508" s="28">
        <v>44621</v>
      </c>
      <c r="B508" s="18">
        <v>0</v>
      </c>
      <c r="C508" s="18">
        <v>0</v>
      </c>
      <c r="D508" s="18">
        <v>3660.65688</v>
      </c>
      <c r="E508" s="18">
        <v>4463.2452726706315</v>
      </c>
      <c r="F508" s="18">
        <v>2236.5181199999997</v>
      </c>
      <c r="G508" s="18">
        <v>2798.9044221889781</v>
      </c>
      <c r="H508" s="19">
        <v>0.21924709662235031</v>
      </c>
      <c r="I508" s="19">
        <v>0.25145617965705469</v>
      </c>
      <c r="J508" s="19">
        <v>0.23146247056592539</v>
      </c>
    </row>
    <row r="509" spans="1:10" ht="11.25" customHeight="1" x14ac:dyDescent="0.2">
      <c r="A509" s="28">
        <v>44652</v>
      </c>
      <c r="B509" s="18">
        <v>0</v>
      </c>
      <c r="C509" s="18">
        <v>0</v>
      </c>
      <c r="D509" s="18">
        <v>3660.65688</v>
      </c>
      <c r="E509" s="18">
        <v>4463.2452726706315</v>
      </c>
      <c r="F509" s="18">
        <v>2236.5181199999997</v>
      </c>
      <c r="G509" s="18">
        <v>2798.9044221889781</v>
      </c>
      <c r="H509" s="19">
        <v>0.21924709662235031</v>
      </c>
      <c r="I509" s="19">
        <v>0.25145617965705469</v>
      </c>
      <c r="J509" s="19">
        <v>0.23146247056592539</v>
      </c>
    </row>
    <row r="510" spans="1:10" ht="11.25" customHeight="1" x14ac:dyDescent="0.2">
      <c r="A510" s="28">
        <v>44682</v>
      </c>
      <c r="B510" s="18">
        <v>0</v>
      </c>
      <c r="C510" s="18">
        <v>0</v>
      </c>
      <c r="D510" s="18">
        <v>3302.8269600000003</v>
      </c>
      <c r="E510" s="18">
        <v>4026.9621816260242</v>
      </c>
      <c r="F510" s="18">
        <v>2017.89804</v>
      </c>
      <c r="G510" s="18">
        <v>2525.3109720758584</v>
      </c>
      <c r="H510" s="19">
        <v>0.21924709662235031</v>
      </c>
      <c r="I510" s="19">
        <v>0.25145617965705469</v>
      </c>
      <c r="J510" s="19">
        <v>0.23146247056592517</v>
      </c>
    </row>
    <row r="511" spans="1:10" ht="11.25" customHeight="1" x14ac:dyDescent="0.2">
      <c r="A511" s="28">
        <v>44713</v>
      </c>
      <c r="B511" s="18">
        <v>0</v>
      </c>
      <c r="C511" s="18">
        <v>0</v>
      </c>
      <c r="D511" s="18">
        <v>2970.5563200000001</v>
      </c>
      <c r="E511" s="18">
        <v>3621.8421685131739</v>
      </c>
      <c r="F511" s="18">
        <v>1814.8936799999999</v>
      </c>
      <c r="G511" s="18">
        <v>2271.2599112565326</v>
      </c>
      <c r="H511" s="19">
        <v>0.21924709662235031</v>
      </c>
      <c r="I511" s="19">
        <v>0.25145617965705447</v>
      </c>
      <c r="J511" s="19">
        <v>0.23146247056592517</v>
      </c>
    </row>
    <row r="512" spans="1:10" ht="11.25" customHeight="1" x14ac:dyDescent="0.2">
      <c r="A512" s="28">
        <v>44743</v>
      </c>
      <c r="B512" s="18">
        <v>0</v>
      </c>
      <c r="C512" s="18">
        <v>0</v>
      </c>
      <c r="D512" s="18">
        <v>6708.6010200000001</v>
      </c>
      <c r="E512" s="18">
        <v>8179.4423160327378</v>
      </c>
      <c r="F512" s="18">
        <v>4098.6927299999998</v>
      </c>
      <c r="G512" s="18">
        <v>5129.3343454739424</v>
      </c>
      <c r="H512" s="19">
        <v>0.21924709662235031</v>
      </c>
      <c r="I512" s="19">
        <v>0.25145617965705447</v>
      </c>
      <c r="J512" s="19">
        <v>0.23146247056592495</v>
      </c>
    </row>
    <row r="513" spans="1:10" ht="11.25" customHeight="1" x14ac:dyDescent="0.2">
      <c r="A513" s="28">
        <v>44774</v>
      </c>
      <c r="B513" s="18">
        <v>0</v>
      </c>
      <c r="C513" s="18">
        <v>0</v>
      </c>
      <c r="D513" s="18">
        <v>3867.9710400000004</v>
      </c>
      <c r="E513" s="18">
        <v>4716.0124603393342</v>
      </c>
      <c r="F513" s="18">
        <v>2363.1789600000002</v>
      </c>
      <c r="G513" s="18">
        <v>2957.4149131275317</v>
      </c>
      <c r="H513" s="19">
        <v>0.21924709662235053</v>
      </c>
      <c r="I513" s="19">
        <v>0.25145617965705469</v>
      </c>
      <c r="J513" s="19">
        <v>0.23146247056592517</v>
      </c>
    </row>
    <row r="514" spans="1:10" ht="11.25" customHeight="1" x14ac:dyDescent="0.2">
      <c r="A514" s="28">
        <v>44805</v>
      </c>
      <c r="B514" s="18">
        <v>0</v>
      </c>
      <c r="C514" s="18">
        <v>0</v>
      </c>
      <c r="D514" s="18">
        <v>3601.0185600000004</v>
      </c>
      <c r="E514" s="18">
        <v>4390.5314241631968</v>
      </c>
      <c r="F514" s="18">
        <v>2200.0814399999999</v>
      </c>
      <c r="G514" s="18">
        <v>2753.3055138367913</v>
      </c>
      <c r="H514" s="19">
        <v>0.21924709662235009</v>
      </c>
      <c r="I514" s="19">
        <v>0.25145617965705469</v>
      </c>
      <c r="J514" s="19">
        <v>0.23146247056592495</v>
      </c>
    </row>
    <row r="515" spans="1:10" ht="11.25" customHeight="1" x14ac:dyDescent="0.2">
      <c r="A515" s="28">
        <v>44835</v>
      </c>
      <c r="B515" s="18">
        <v>0</v>
      </c>
      <c r="C515" s="18">
        <v>0</v>
      </c>
      <c r="D515" s="18">
        <v>3601.0185600000004</v>
      </c>
      <c r="E515" s="18">
        <v>4390.5314241631968</v>
      </c>
      <c r="F515" s="18">
        <v>2200.0814399999999</v>
      </c>
      <c r="G515" s="18">
        <v>2753.3055138367913</v>
      </c>
      <c r="H515" s="19">
        <v>0.21924709662235009</v>
      </c>
      <c r="I515" s="19">
        <v>0.25145617965705469</v>
      </c>
      <c r="J515" s="19">
        <v>0.23146247056592495</v>
      </c>
    </row>
    <row r="516" spans="1:10" ht="11.25" customHeight="1" x14ac:dyDescent="0.2">
      <c r="A516" s="22" t="s">
        <v>23</v>
      </c>
      <c r="B516" s="18">
        <v>0</v>
      </c>
      <c r="C516" s="18">
        <v>0</v>
      </c>
      <c r="D516" s="18">
        <v>182216548.55204993</v>
      </c>
      <c r="E516" s="18">
        <v>202946357.3879644</v>
      </c>
      <c r="F516" s="18">
        <v>159853938.66261998</v>
      </c>
      <c r="G516" s="18">
        <v>199854771.64829957</v>
      </c>
      <c r="H516" s="19">
        <v>0.11376468822749608</v>
      </c>
      <c r="I516" s="19">
        <v>0.25023364028648221</v>
      </c>
      <c r="J516" s="19">
        <v>0.17753838489867069</v>
      </c>
    </row>
    <row r="517" spans="1:10" ht="11.25" customHeight="1" x14ac:dyDescent="0.2">
      <c r="A517" s="23" t="s">
        <v>24</v>
      </c>
      <c r="B517" s="18">
        <v>0</v>
      </c>
      <c r="C517" s="18">
        <v>0</v>
      </c>
      <c r="D517" s="18">
        <v>182216548.55204993</v>
      </c>
      <c r="E517" s="18">
        <v>202946357.3879644</v>
      </c>
      <c r="F517" s="18">
        <v>159853938.66261998</v>
      </c>
      <c r="G517" s="18">
        <v>199854771.64829957</v>
      </c>
      <c r="H517" s="19">
        <v>0.11376468822749608</v>
      </c>
      <c r="I517" s="19">
        <v>0.25023364028648221</v>
      </c>
      <c r="J517" s="19">
        <v>0.17753838489867069</v>
      </c>
    </row>
    <row r="518" spans="1:10" ht="11.25" customHeight="1" x14ac:dyDescent="0.2">
      <c r="A518" s="24" t="s">
        <v>24</v>
      </c>
      <c r="B518" s="18">
        <v>0</v>
      </c>
      <c r="C518" s="18">
        <v>0</v>
      </c>
      <c r="D518" s="18">
        <v>163989290.05703998</v>
      </c>
      <c r="E518" s="18">
        <v>183389323.84814426</v>
      </c>
      <c r="F518" s="18">
        <v>141657286.69826999</v>
      </c>
      <c r="G518" s="18">
        <v>177104803.06952175</v>
      </c>
      <c r="H518" s="19">
        <v>0.11830061453620822</v>
      </c>
      <c r="I518" s="19">
        <v>0.250234331021425</v>
      </c>
      <c r="J518" s="19">
        <v>0.1794476180450244</v>
      </c>
    </row>
    <row r="519" spans="1:10" ht="11.25" customHeight="1" x14ac:dyDescent="0.2">
      <c r="A519" s="25" t="s">
        <v>25</v>
      </c>
      <c r="B519" s="18">
        <v>0</v>
      </c>
      <c r="C519" s="18">
        <v>0</v>
      </c>
      <c r="D519" s="18">
        <v>163989290.05703998</v>
      </c>
      <c r="E519" s="18">
        <v>183389323.84814426</v>
      </c>
      <c r="F519" s="18">
        <v>141657286.69826999</v>
      </c>
      <c r="G519" s="18">
        <v>177104803.06952175</v>
      </c>
      <c r="H519" s="19">
        <v>0.11830061453620822</v>
      </c>
      <c r="I519" s="19">
        <v>0.250234331021425</v>
      </c>
      <c r="J519" s="19">
        <v>0.1794476180450244</v>
      </c>
    </row>
    <row r="520" spans="1:10" ht="11.25" customHeight="1" x14ac:dyDescent="0.2">
      <c r="A520" s="26" t="s">
        <v>25</v>
      </c>
      <c r="B520" s="18">
        <v>0</v>
      </c>
      <c r="C520" s="18">
        <v>0</v>
      </c>
      <c r="D520" s="18">
        <v>163989290.05703998</v>
      </c>
      <c r="E520" s="18">
        <v>183389323.84814426</v>
      </c>
      <c r="F520" s="18">
        <v>141657286.69826999</v>
      </c>
      <c r="G520" s="18">
        <v>177104803.06952175</v>
      </c>
      <c r="H520" s="19">
        <v>0.11830061453620822</v>
      </c>
      <c r="I520" s="19">
        <v>0.250234331021425</v>
      </c>
      <c r="J520" s="19">
        <v>0.1794476180450244</v>
      </c>
    </row>
    <row r="521" spans="1:10" ht="11.25" customHeight="1" x14ac:dyDescent="0.2">
      <c r="A521" s="27" t="s">
        <v>25</v>
      </c>
      <c r="B521" s="18">
        <v>0</v>
      </c>
      <c r="C521" s="18">
        <v>0</v>
      </c>
      <c r="D521" s="18">
        <v>163989290.05703998</v>
      </c>
      <c r="E521" s="18">
        <v>183389323.84814426</v>
      </c>
      <c r="F521" s="18">
        <v>141657286.69826999</v>
      </c>
      <c r="G521" s="18">
        <v>177104803.06952175</v>
      </c>
      <c r="H521" s="19">
        <v>0.11830061453620822</v>
      </c>
      <c r="I521" s="19">
        <v>0.250234331021425</v>
      </c>
      <c r="J521" s="19">
        <v>0.1794476180450244</v>
      </c>
    </row>
    <row r="522" spans="1:10" ht="11.25" customHeight="1" x14ac:dyDescent="0.2">
      <c r="A522" s="28">
        <v>44501</v>
      </c>
      <c r="B522" s="18">
        <v>0</v>
      </c>
      <c r="C522" s="18">
        <v>0</v>
      </c>
      <c r="D522" s="18">
        <v>15378750.735119998</v>
      </c>
      <c r="E522" s="18">
        <v>17198066.397883851</v>
      </c>
      <c r="F522" s="18">
        <v>13284477.914309999</v>
      </c>
      <c r="G522" s="18">
        <v>16608710.358166249</v>
      </c>
      <c r="H522" s="19">
        <v>0.11830061453620777</v>
      </c>
      <c r="I522" s="19">
        <v>0.25023433102142434</v>
      </c>
      <c r="J522" s="19">
        <v>0.17944761804502396</v>
      </c>
    </row>
    <row r="523" spans="1:10" ht="11.25" customHeight="1" x14ac:dyDescent="0.2">
      <c r="A523" s="28">
        <v>44531</v>
      </c>
      <c r="B523" s="18">
        <v>0</v>
      </c>
      <c r="C523" s="18">
        <v>0</v>
      </c>
      <c r="D523" s="18">
        <v>14351828.676719997</v>
      </c>
      <c r="E523" s="18">
        <v>16049658.828894343</v>
      </c>
      <c r="F523" s="18">
        <v>12397401.737609999</v>
      </c>
      <c r="G523" s="18">
        <v>15499657.267824681</v>
      </c>
      <c r="H523" s="19">
        <v>0.11830061453620777</v>
      </c>
      <c r="I523" s="19">
        <v>0.25023433102142434</v>
      </c>
      <c r="J523" s="19">
        <v>0.17944761804502396</v>
      </c>
    </row>
    <row r="524" spans="1:10" ht="11.25" customHeight="1" x14ac:dyDescent="0.2">
      <c r="A524" s="28">
        <v>44562</v>
      </c>
      <c r="B524" s="18">
        <v>0</v>
      </c>
      <c r="C524" s="18">
        <v>0</v>
      </c>
      <c r="D524" s="18">
        <v>13270738.917839998</v>
      </c>
      <c r="E524" s="18">
        <v>14840675.487170037</v>
      </c>
      <c r="F524" s="18">
        <v>11463534.398669997</v>
      </c>
      <c r="G524" s="18">
        <v>14332104.260062274</v>
      </c>
      <c r="H524" s="19">
        <v>0.11830061453620755</v>
      </c>
      <c r="I524" s="19">
        <v>0.25023433102142456</v>
      </c>
      <c r="J524" s="19">
        <v>0.17944761804502396</v>
      </c>
    </row>
    <row r="525" spans="1:10" ht="11.25" customHeight="1" x14ac:dyDescent="0.2">
      <c r="A525" s="28">
        <v>44593</v>
      </c>
      <c r="B525" s="18">
        <v>0</v>
      </c>
      <c r="C525" s="18">
        <v>0</v>
      </c>
      <c r="D525" s="18">
        <v>13840877.809439998</v>
      </c>
      <c r="E525" s="18">
        <v>15478262.160017312</v>
      </c>
      <c r="F525" s="18">
        <v>11956031.978220001</v>
      </c>
      <c r="G525" s="18">
        <v>14947841.641960641</v>
      </c>
      <c r="H525" s="19">
        <v>0.11830061453620777</v>
      </c>
      <c r="I525" s="19">
        <v>0.25023433102142456</v>
      </c>
      <c r="J525" s="19">
        <v>0.17944761804502418</v>
      </c>
    </row>
    <row r="526" spans="1:10" ht="11.25" customHeight="1" x14ac:dyDescent="0.2">
      <c r="A526" s="28">
        <v>44621</v>
      </c>
      <c r="B526" s="18">
        <v>0</v>
      </c>
      <c r="C526" s="18">
        <v>0</v>
      </c>
      <c r="D526" s="18">
        <v>13859703.401279999</v>
      </c>
      <c r="E526" s="18">
        <v>15499314.830940992</v>
      </c>
      <c r="F526" s="18">
        <v>11972293.907640001</v>
      </c>
      <c r="G526" s="18">
        <v>14968172.864410171</v>
      </c>
      <c r="H526" s="19">
        <v>0.11830061453620777</v>
      </c>
      <c r="I526" s="19">
        <v>0.25023433102142434</v>
      </c>
      <c r="J526" s="19">
        <v>0.17944761804502396</v>
      </c>
    </row>
    <row r="527" spans="1:10" ht="11.25" customHeight="1" x14ac:dyDescent="0.2">
      <c r="A527" s="28">
        <v>44652</v>
      </c>
      <c r="B527" s="18">
        <v>0</v>
      </c>
      <c r="C527" s="18">
        <v>0</v>
      </c>
      <c r="D527" s="18">
        <v>13859703.401279999</v>
      </c>
      <c r="E527" s="18">
        <v>15499314.830940992</v>
      </c>
      <c r="F527" s="18">
        <v>11972293.907640001</v>
      </c>
      <c r="G527" s="18">
        <v>14968172.864410171</v>
      </c>
      <c r="H527" s="19">
        <v>0.11830061453620777</v>
      </c>
      <c r="I527" s="19">
        <v>0.25023433102142434</v>
      </c>
      <c r="J527" s="19">
        <v>0.17944761804502396</v>
      </c>
    </row>
    <row r="528" spans="1:10" ht="11.25" customHeight="1" x14ac:dyDescent="0.2">
      <c r="A528" s="28">
        <v>44682</v>
      </c>
      <c r="B528" s="18">
        <v>0</v>
      </c>
      <c r="C528" s="18">
        <v>0</v>
      </c>
      <c r="D528" s="18">
        <v>12772300.883999998</v>
      </c>
      <c r="E528" s="18">
        <v>14283271.927618548</v>
      </c>
      <c r="F528" s="18">
        <v>11032973.479499999</v>
      </c>
      <c r="G528" s="18">
        <v>13793802.217319798</v>
      </c>
      <c r="H528" s="19">
        <v>0.11830061453620777</v>
      </c>
      <c r="I528" s="19">
        <v>0.25023433102142434</v>
      </c>
      <c r="J528" s="19">
        <v>0.17944761804502396</v>
      </c>
    </row>
    <row r="529" spans="1:10" ht="11.25" customHeight="1" x14ac:dyDescent="0.2">
      <c r="A529" s="28">
        <v>44713</v>
      </c>
      <c r="B529" s="18">
        <v>0</v>
      </c>
      <c r="C529" s="18">
        <v>0</v>
      </c>
      <c r="D529" s="18">
        <v>11871739.828799998</v>
      </c>
      <c r="E529" s="18">
        <v>13276173.946161013</v>
      </c>
      <c r="F529" s="18">
        <v>10255050.509399999</v>
      </c>
      <c r="G529" s="18">
        <v>12821216.213210627</v>
      </c>
      <c r="H529" s="19">
        <v>0.11830061453620777</v>
      </c>
      <c r="I529" s="19">
        <v>0.25023433102142456</v>
      </c>
      <c r="J529" s="19">
        <v>0.17944761804502418</v>
      </c>
    </row>
    <row r="530" spans="1:10" ht="11.25" customHeight="1" x14ac:dyDescent="0.2">
      <c r="A530" s="28">
        <v>44743</v>
      </c>
      <c r="B530" s="18">
        <v>0</v>
      </c>
      <c r="C530" s="18">
        <v>0</v>
      </c>
      <c r="D530" s="18">
        <v>11868339.094799997</v>
      </c>
      <c r="E530" s="18">
        <v>13272370.903238937</v>
      </c>
      <c r="F530" s="18">
        <v>10252112.886149999</v>
      </c>
      <c r="G530" s="18">
        <v>12817543.49577187</v>
      </c>
      <c r="H530" s="19">
        <v>0.11830061453620777</v>
      </c>
      <c r="I530" s="19">
        <v>0.25023433102142456</v>
      </c>
      <c r="J530" s="19">
        <v>0.17944761804502396</v>
      </c>
    </row>
    <row r="531" spans="1:10" ht="11.25" customHeight="1" x14ac:dyDescent="0.2">
      <c r="A531" s="28">
        <v>44774</v>
      </c>
      <c r="B531" s="18">
        <v>0</v>
      </c>
      <c r="C531" s="18">
        <v>0</v>
      </c>
      <c r="D531" s="18">
        <v>14029750.373519998</v>
      </c>
      <c r="E531" s="18">
        <v>15689478.464497004</v>
      </c>
      <c r="F531" s="18">
        <v>12119183.94351</v>
      </c>
      <c r="G531" s="18">
        <v>15151819.830139814</v>
      </c>
      <c r="H531" s="19">
        <v>0.11830061453620777</v>
      </c>
      <c r="I531" s="19">
        <v>0.25023433102142456</v>
      </c>
      <c r="J531" s="19">
        <v>0.17944761804502396</v>
      </c>
    </row>
    <row r="532" spans="1:10" ht="11.25" customHeight="1" x14ac:dyDescent="0.2">
      <c r="A532" s="28">
        <v>44805</v>
      </c>
      <c r="B532" s="18">
        <v>0</v>
      </c>
      <c r="C532" s="18">
        <v>0</v>
      </c>
      <c r="D532" s="18">
        <v>14442778.467119999</v>
      </c>
      <c r="E532" s="18">
        <v>16151368.035390606</v>
      </c>
      <c r="F532" s="18">
        <v>12475966.01781</v>
      </c>
      <c r="G532" s="18">
        <v>15597881.028122712</v>
      </c>
      <c r="H532" s="19">
        <v>0.11830061453620799</v>
      </c>
      <c r="I532" s="19">
        <v>0.25023433102142456</v>
      </c>
      <c r="J532" s="19">
        <v>0.17944761804502396</v>
      </c>
    </row>
    <row r="533" spans="1:10" ht="11.25" customHeight="1" x14ac:dyDescent="0.2">
      <c r="A533" s="28">
        <v>44835</v>
      </c>
      <c r="B533" s="18">
        <v>0</v>
      </c>
      <c r="C533" s="18">
        <v>0</v>
      </c>
      <c r="D533" s="18">
        <v>14442778.467119999</v>
      </c>
      <c r="E533" s="18">
        <v>16151368.035390606</v>
      </c>
      <c r="F533" s="18">
        <v>12475966.01781</v>
      </c>
      <c r="G533" s="18">
        <v>15597881.028122712</v>
      </c>
      <c r="H533" s="19">
        <v>0.11830061453620799</v>
      </c>
      <c r="I533" s="19">
        <v>0.25023433102142456</v>
      </c>
      <c r="J533" s="19">
        <v>0.17944761804502396</v>
      </c>
    </row>
    <row r="534" spans="1:10" ht="11.25" customHeight="1" x14ac:dyDescent="0.2">
      <c r="A534" s="24" t="s">
        <v>29</v>
      </c>
      <c r="B534" s="18">
        <v>0</v>
      </c>
      <c r="C534" s="18">
        <v>0</v>
      </c>
      <c r="D534" s="18">
        <v>980508.58608999988</v>
      </c>
      <c r="E534" s="18">
        <v>1052044.6911559198</v>
      </c>
      <c r="F534" s="18">
        <v>978844.41536999994</v>
      </c>
      <c r="G534" s="18">
        <v>1223804.3984807329</v>
      </c>
      <c r="H534" s="19">
        <v>7.2958162815468963E-2</v>
      </c>
      <c r="I534" s="19">
        <v>0.25025425825016301</v>
      </c>
      <c r="J534" s="19">
        <v>0.16153091757371851</v>
      </c>
    </row>
    <row r="535" spans="1:10" ht="11.25" customHeight="1" x14ac:dyDescent="0.2">
      <c r="A535" s="25" t="s">
        <v>25</v>
      </c>
      <c r="B535" s="18">
        <v>0</v>
      </c>
      <c r="C535" s="18">
        <v>0</v>
      </c>
      <c r="D535" s="18">
        <v>980508.58608999988</v>
      </c>
      <c r="E535" s="18">
        <v>1052044.6911559198</v>
      </c>
      <c r="F535" s="18">
        <v>978844.41536999994</v>
      </c>
      <c r="G535" s="18">
        <v>1223804.3984807329</v>
      </c>
      <c r="H535" s="19">
        <v>7.2958162815468963E-2</v>
      </c>
      <c r="I535" s="19">
        <v>0.25025425825016301</v>
      </c>
      <c r="J535" s="19">
        <v>0.16153091757371851</v>
      </c>
    </row>
    <row r="536" spans="1:10" ht="11.25" customHeight="1" x14ac:dyDescent="0.2">
      <c r="A536" s="26" t="s">
        <v>25</v>
      </c>
      <c r="B536" s="18">
        <v>0</v>
      </c>
      <c r="C536" s="18">
        <v>0</v>
      </c>
      <c r="D536" s="18">
        <v>980508.58608999988</v>
      </c>
      <c r="E536" s="18">
        <v>1052044.6911559198</v>
      </c>
      <c r="F536" s="18">
        <v>978844.41536999994</v>
      </c>
      <c r="G536" s="18">
        <v>1223804.3984807329</v>
      </c>
      <c r="H536" s="19">
        <v>7.2958162815468963E-2</v>
      </c>
      <c r="I536" s="19">
        <v>0.25025425825016301</v>
      </c>
      <c r="J536" s="19">
        <v>0.16153091757371851</v>
      </c>
    </row>
    <row r="537" spans="1:10" ht="11.25" customHeight="1" x14ac:dyDescent="0.2">
      <c r="A537" s="27" t="s">
        <v>25</v>
      </c>
      <c r="B537" s="18">
        <v>0</v>
      </c>
      <c r="C537" s="18">
        <v>0</v>
      </c>
      <c r="D537" s="18">
        <v>980508.58608999988</v>
      </c>
      <c r="E537" s="18">
        <v>1052044.6911559198</v>
      </c>
      <c r="F537" s="18">
        <v>978844.41536999994</v>
      </c>
      <c r="G537" s="18">
        <v>1223804.3984807329</v>
      </c>
      <c r="H537" s="19">
        <v>7.2958162815468963E-2</v>
      </c>
      <c r="I537" s="19">
        <v>0.25025425825016301</v>
      </c>
      <c r="J537" s="19">
        <v>0.16153091757371851</v>
      </c>
    </row>
    <row r="538" spans="1:10" ht="11.25" customHeight="1" x14ac:dyDescent="0.2">
      <c r="A538" s="28">
        <v>44501</v>
      </c>
      <c r="B538" s="18">
        <v>0</v>
      </c>
      <c r="C538" s="18">
        <v>0</v>
      </c>
      <c r="D538" s="18">
        <v>77606.269180000003</v>
      </c>
      <c r="E538" s="18">
        <v>83268.280002335567</v>
      </c>
      <c r="F538" s="18">
        <v>77474.551739999995</v>
      </c>
      <c r="G538" s="18">
        <v>96862.888218957523</v>
      </c>
      <c r="H538" s="19">
        <v>7.2958162815469185E-2</v>
      </c>
      <c r="I538" s="19">
        <v>0.25025425825016234</v>
      </c>
      <c r="J538" s="19">
        <v>0.16153091757371829</v>
      </c>
    </row>
    <row r="539" spans="1:10" ht="11.25" customHeight="1" x14ac:dyDescent="0.2">
      <c r="A539" s="28">
        <v>44531</v>
      </c>
      <c r="B539" s="18">
        <v>0</v>
      </c>
      <c r="C539" s="18">
        <v>0</v>
      </c>
      <c r="D539" s="18">
        <v>78032.840929999991</v>
      </c>
      <c r="E539" s="18">
        <v>83725.973643524558</v>
      </c>
      <c r="F539" s="18">
        <v>77900.399489999996</v>
      </c>
      <c r="G539" s="18">
        <v>97395.306181761276</v>
      </c>
      <c r="H539" s="19">
        <v>7.2958162815469407E-2</v>
      </c>
      <c r="I539" s="19">
        <v>0.25025425825016234</v>
      </c>
      <c r="J539" s="19">
        <v>0.16153091757371851</v>
      </c>
    </row>
    <row r="540" spans="1:10" ht="11.25" customHeight="1" x14ac:dyDescent="0.2">
      <c r="A540" s="28">
        <v>44562</v>
      </c>
      <c r="B540" s="18">
        <v>0</v>
      </c>
      <c r="C540" s="18">
        <v>0</v>
      </c>
      <c r="D540" s="18">
        <v>78977.049249999996</v>
      </c>
      <c r="E540" s="18">
        <v>84739.069667866832</v>
      </c>
      <c r="F540" s="18">
        <v>78843.005250000002</v>
      </c>
      <c r="G540" s="18">
        <v>98573.80304705241</v>
      </c>
      <c r="H540" s="19">
        <v>7.2958162815469185E-2</v>
      </c>
      <c r="I540" s="19">
        <v>0.25025425825016234</v>
      </c>
      <c r="J540" s="19">
        <v>0.16153091757371829</v>
      </c>
    </row>
    <row r="541" spans="1:10" ht="11.25" customHeight="1" x14ac:dyDescent="0.2">
      <c r="A541" s="28">
        <v>44593</v>
      </c>
      <c r="B541" s="18">
        <v>0</v>
      </c>
      <c r="C541" s="18">
        <v>0</v>
      </c>
      <c r="D541" s="18">
        <v>79969.712350000002</v>
      </c>
      <c r="E541" s="18">
        <v>85804.155643937542</v>
      </c>
      <c r="F541" s="18">
        <v>79833.98354999999</v>
      </c>
      <c r="G541" s="18">
        <v>99812.777886460914</v>
      </c>
      <c r="H541" s="19">
        <v>7.2958162815469185E-2</v>
      </c>
      <c r="I541" s="19">
        <v>0.25025425825016256</v>
      </c>
      <c r="J541" s="19">
        <v>0.16153091757371851</v>
      </c>
    </row>
    <row r="542" spans="1:10" ht="11.25" customHeight="1" x14ac:dyDescent="0.2">
      <c r="A542" s="28">
        <v>44621</v>
      </c>
      <c r="B542" s="18">
        <v>0</v>
      </c>
      <c r="C542" s="18">
        <v>0</v>
      </c>
      <c r="D542" s="18">
        <v>81662.330199999997</v>
      </c>
      <c r="E542" s="18">
        <v>87620.263782622205</v>
      </c>
      <c r="F542" s="18">
        <v>81523.728600000002</v>
      </c>
      <c r="G542" s="18">
        <v>101925.38883058054</v>
      </c>
      <c r="H542" s="19">
        <v>7.2958162815469185E-2</v>
      </c>
      <c r="I542" s="19">
        <v>0.25025425825016234</v>
      </c>
      <c r="J542" s="19">
        <v>0.16153091757371829</v>
      </c>
    </row>
    <row r="543" spans="1:10" ht="11.25" customHeight="1" x14ac:dyDescent="0.2">
      <c r="A543" s="28">
        <v>44652</v>
      </c>
      <c r="B543" s="18">
        <v>0</v>
      </c>
      <c r="C543" s="18">
        <v>0</v>
      </c>
      <c r="D543" s="18">
        <v>81662.330199999997</v>
      </c>
      <c r="E543" s="18">
        <v>87620.263782622205</v>
      </c>
      <c r="F543" s="18">
        <v>81523.728600000002</v>
      </c>
      <c r="G543" s="18">
        <v>101925.38883058054</v>
      </c>
      <c r="H543" s="19">
        <v>7.2958162815469185E-2</v>
      </c>
      <c r="I543" s="19">
        <v>0.25025425825016234</v>
      </c>
      <c r="J543" s="19">
        <v>0.16153091757371829</v>
      </c>
    </row>
    <row r="544" spans="1:10" ht="11.25" customHeight="1" x14ac:dyDescent="0.2">
      <c r="A544" s="28">
        <v>44682</v>
      </c>
      <c r="B544" s="18">
        <v>0</v>
      </c>
      <c r="C544" s="18">
        <v>0</v>
      </c>
      <c r="D544" s="18">
        <v>82208.719120000009</v>
      </c>
      <c r="E544" s="18">
        <v>88206.516234408147</v>
      </c>
      <c r="F544" s="18">
        <v>82069.190159999998</v>
      </c>
      <c r="G544" s="18">
        <v>102607.35446868233</v>
      </c>
      <c r="H544" s="19">
        <v>7.2958162815469185E-2</v>
      </c>
      <c r="I544" s="19">
        <v>0.25025425825016256</v>
      </c>
      <c r="J544" s="19">
        <v>0.16153091757371829</v>
      </c>
    </row>
    <row r="545" spans="1:10" ht="11.25" customHeight="1" x14ac:dyDescent="0.2">
      <c r="A545" s="28">
        <v>44713</v>
      </c>
      <c r="B545" s="18">
        <v>0</v>
      </c>
      <c r="C545" s="18">
        <v>0</v>
      </c>
      <c r="D545" s="18">
        <v>83155.095650000003</v>
      </c>
      <c r="E545" s="18">
        <v>89221.938657368621</v>
      </c>
      <c r="F545" s="18">
        <v>83013.960449999999</v>
      </c>
      <c r="G545" s="18">
        <v>103788.55754682307</v>
      </c>
      <c r="H545" s="19">
        <v>7.2958162815469185E-2</v>
      </c>
      <c r="I545" s="19">
        <v>0.25025425825016234</v>
      </c>
      <c r="J545" s="19">
        <v>0.16153091757371851</v>
      </c>
    </row>
    <row r="546" spans="1:10" ht="11.25" customHeight="1" x14ac:dyDescent="0.2">
      <c r="A546" s="28">
        <v>44743</v>
      </c>
      <c r="B546" s="18">
        <v>0</v>
      </c>
      <c r="C546" s="18">
        <v>0</v>
      </c>
      <c r="D546" s="18">
        <v>83329.118069999997</v>
      </c>
      <c r="E546" s="18">
        <v>89408.657433420522</v>
      </c>
      <c r="F546" s="18">
        <v>83187.687510000003</v>
      </c>
      <c r="G546" s="18">
        <v>104005.76054336135</v>
      </c>
      <c r="H546" s="19">
        <v>7.2958162815469407E-2</v>
      </c>
      <c r="I546" s="19">
        <v>0.25025425825016234</v>
      </c>
      <c r="J546" s="19">
        <v>0.16153091757371851</v>
      </c>
    </row>
    <row r="547" spans="1:10" ht="11.25" customHeight="1" x14ac:dyDescent="0.2">
      <c r="A547" s="28">
        <v>44774</v>
      </c>
      <c r="B547" s="18">
        <v>0</v>
      </c>
      <c r="C547" s="18">
        <v>0</v>
      </c>
      <c r="D547" s="18">
        <v>84255.697899999985</v>
      </c>
      <c r="E547" s="18">
        <v>90402.838825519197</v>
      </c>
      <c r="F547" s="18">
        <v>84112.694700000007</v>
      </c>
      <c r="G547" s="18">
        <v>105162.25472157088</v>
      </c>
      <c r="H547" s="19">
        <v>7.2958162815469407E-2</v>
      </c>
      <c r="I547" s="19">
        <v>0.25025425825016234</v>
      </c>
      <c r="J547" s="19">
        <v>0.16153091757371851</v>
      </c>
    </row>
    <row r="548" spans="1:10" ht="11.25" customHeight="1" x14ac:dyDescent="0.2">
      <c r="A548" s="28">
        <v>44805</v>
      </c>
      <c r="B548" s="18">
        <v>0</v>
      </c>
      <c r="C548" s="18">
        <v>0</v>
      </c>
      <c r="D548" s="18">
        <v>84824.711620000002</v>
      </c>
      <c r="E548" s="18">
        <v>91013.366741147183</v>
      </c>
      <c r="F548" s="18">
        <v>84680.742660000004</v>
      </c>
      <c r="G548" s="18">
        <v>105872.45910245119</v>
      </c>
      <c r="H548" s="19">
        <v>7.2958162815469185E-2</v>
      </c>
      <c r="I548" s="19">
        <v>0.25025425825016234</v>
      </c>
      <c r="J548" s="19">
        <v>0.16153091757371829</v>
      </c>
    </row>
    <row r="549" spans="1:10" ht="11.25" customHeight="1" x14ac:dyDescent="0.2">
      <c r="A549" s="28">
        <v>44835</v>
      </c>
      <c r="B549" s="18">
        <v>0</v>
      </c>
      <c r="C549" s="18">
        <v>0</v>
      </c>
      <c r="D549" s="18">
        <v>84824.711620000002</v>
      </c>
      <c r="E549" s="18">
        <v>91013.366741147183</v>
      </c>
      <c r="F549" s="18">
        <v>84680.742660000004</v>
      </c>
      <c r="G549" s="18">
        <v>105872.45910245119</v>
      </c>
      <c r="H549" s="19">
        <v>7.2958162815469185E-2</v>
      </c>
      <c r="I549" s="19">
        <v>0.25025425825016234</v>
      </c>
      <c r="J549" s="19">
        <v>0.16153091757371829</v>
      </c>
    </row>
    <row r="550" spans="1:10" ht="11.25" customHeight="1" x14ac:dyDescent="0.2">
      <c r="A550" s="24" t="s">
        <v>30</v>
      </c>
      <c r="B550" s="18">
        <v>0</v>
      </c>
      <c r="C550" s="18">
        <v>0</v>
      </c>
      <c r="D550" s="18">
        <v>3487107.9378300011</v>
      </c>
      <c r="E550" s="18">
        <v>3741421.7056130935</v>
      </c>
      <c r="F550" s="18">
        <v>3481282.0660199998</v>
      </c>
      <c r="G550" s="18">
        <v>4352256.4947975082</v>
      </c>
      <c r="H550" s="19">
        <v>7.2929709179392121E-2</v>
      </c>
      <c r="I550" s="19">
        <v>0.25018783662458466</v>
      </c>
      <c r="J550" s="19">
        <v>0.16148467521750121</v>
      </c>
    </row>
    <row r="551" spans="1:10" ht="11.25" customHeight="1" x14ac:dyDescent="0.2">
      <c r="A551" s="25" t="s">
        <v>25</v>
      </c>
      <c r="B551" s="18">
        <v>0</v>
      </c>
      <c r="C551" s="18">
        <v>0</v>
      </c>
      <c r="D551" s="18">
        <v>3487107.9378300011</v>
      </c>
      <c r="E551" s="18">
        <v>3741421.7056130935</v>
      </c>
      <c r="F551" s="18">
        <v>3481282.0660199998</v>
      </c>
      <c r="G551" s="18">
        <v>4352256.4947975082</v>
      </c>
      <c r="H551" s="19">
        <v>7.2929709179392121E-2</v>
      </c>
      <c r="I551" s="19">
        <v>0.25018783662458466</v>
      </c>
      <c r="J551" s="19">
        <v>0.16148467521750121</v>
      </c>
    </row>
    <row r="552" spans="1:10" ht="11.25" customHeight="1" x14ac:dyDescent="0.2">
      <c r="A552" s="26" t="s">
        <v>25</v>
      </c>
      <c r="B552" s="18">
        <v>0</v>
      </c>
      <c r="C552" s="18">
        <v>0</v>
      </c>
      <c r="D552" s="18">
        <v>3487107.9378300011</v>
      </c>
      <c r="E552" s="18">
        <v>3741421.7056130935</v>
      </c>
      <c r="F552" s="18">
        <v>3481282.0660199998</v>
      </c>
      <c r="G552" s="18">
        <v>4352256.4947975082</v>
      </c>
      <c r="H552" s="19">
        <v>7.2929709179392121E-2</v>
      </c>
      <c r="I552" s="19">
        <v>0.25018783662458466</v>
      </c>
      <c r="J552" s="19">
        <v>0.16148467521750121</v>
      </c>
    </row>
    <row r="553" spans="1:10" ht="11.25" customHeight="1" x14ac:dyDescent="0.2">
      <c r="A553" s="27" t="s">
        <v>25</v>
      </c>
      <c r="B553" s="18">
        <v>0</v>
      </c>
      <c r="C553" s="18">
        <v>0</v>
      </c>
      <c r="D553" s="18">
        <v>3487107.9378300011</v>
      </c>
      <c r="E553" s="18">
        <v>3741421.7056130935</v>
      </c>
      <c r="F553" s="18">
        <v>3481282.0660199998</v>
      </c>
      <c r="G553" s="18">
        <v>4352256.4947975082</v>
      </c>
      <c r="H553" s="19">
        <v>7.2929709179392121E-2</v>
      </c>
      <c r="I553" s="19">
        <v>0.25018783662458466</v>
      </c>
      <c r="J553" s="19">
        <v>0.16148467521750121</v>
      </c>
    </row>
    <row r="554" spans="1:10" ht="11.25" customHeight="1" x14ac:dyDescent="0.2">
      <c r="A554" s="28">
        <v>44501</v>
      </c>
      <c r="B554" s="18">
        <v>0</v>
      </c>
      <c r="C554" s="18">
        <v>0</v>
      </c>
      <c r="D554" s="18">
        <v>279500.13153000001</v>
      </c>
      <c r="E554" s="18">
        <v>299883.99483808485</v>
      </c>
      <c r="F554" s="18">
        <v>279033.17381999997</v>
      </c>
      <c r="G554" s="18">
        <v>348843.87992451747</v>
      </c>
      <c r="H554" s="19">
        <v>7.2929709179392344E-2</v>
      </c>
      <c r="I554" s="19">
        <v>0.25018783662458466</v>
      </c>
      <c r="J554" s="19">
        <v>0.16148467521750143</v>
      </c>
    </row>
    <row r="555" spans="1:10" ht="11.25" customHeight="1" x14ac:dyDescent="0.2">
      <c r="A555" s="28">
        <v>44531</v>
      </c>
      <c r="B555" s="18">
        <v>0</v>
      </c>
      <c r="C555" s="18">
        <v>0</v>
      </c>
      <c r="D555" s="18">
        <v>279651.23688000004</v>
      </c>
      <c r="E555" s="18">
        <v>300046.12025731581</v>
      </c>
      <c r="F555" s="18">
        <v>279184.02672000002</v>
      </c>
      <c r="G555" s="18">
        <v>349032.47438521701</v>
      </c>
      <c r="H555" s="19">
        <v>7.2929709179392344E-2</v>
      </c>
      <c r="I555" s="19">
        <v>0.25018783662458444</v>
      </c>
      <c r="J555" s="19">
        <v>0.16148467521750121</v>
      </c>
    </row>
    <row r="556" spans="1:10" ht="11.25" customHeight="1" x14ac:dyDescent="0.2">
      <c r="A556" s="28">
        <v>44562</v>
      </c>
      <c r="B556" s="18">
        <v>0</v>
      </c>
      <c r="C556" s="18">
        <v>0</v>
      </c>
      <c r="D556" s="18">
        <v>280386.23916</v>
      </c>
      <c r="E556" s="18">
        <v>300834.72603984241</v>
      </c>
      <c r="F556" s="18">
        <v>279917.80103999999</v>
      </c>
      <c r="G556" s="18">
        <v>349949.83011490852</v>
      </c>
      <c r="H556" s="19">
        <v>7.2929709179392566E-2</v>
      </c>
      <c r="I556" s="19">
        <v>0.25018783662458466</v>
      </c>
      <c r="J556" s="19">
        <v>0.16148467521750187</v>
      </c>
    </row>
    <row r="557" spans="1:10" ht="11.25" customHeight="1" x14ac:dyDescent="0.2">
      <c r="A557" s="28">
        <v>44593</v>
      </c>
      <c r="B557" s="18">
        <v>0</v>
      </c>
      <c r="C557" s="18">
        <v>0</v>
      </c>
      <c r="D557" s="18">
        <v>284532.66693000001</v>
      </c>
      <c r="E557" s="18">
        <v>305283.55158124183</v>
      </c>
      <c r="F557" s="18">
        <v>284057.30141999997</v>
      </c>
      <c r="G557" s="18">
        <v>355124.98313968733</v>
      </c>
      <c r="H557" s="19">
        <v>7.2929709179392344E-2</v>
      </c>
      <c r="I557" s="19">
        <v>0.25018783662458466</v>
      </c>
      <c r="J557" s="19">
        <v>0.16148467521750143</v>
      </c>
    </row>
    <row r="558" spans="1:10" ht="11.25" customHeight="1" x14ac:dyDescent="0.2">
      <c r="A558" s="28">
        <v>44621</v>
      </c>
      <c r="B558" s="18">
        <v>0</v>
      </c>
      <c r="C558" s="18">
        <v>0</v>
      </c>
      <c r="D558" s="18">
        <v>292124.13507000008</v>
      </c>
      <c r="E558" s="18">
        <v>313428.66328493669</v>
      </c>
      <c r="F558" s="18">
        <v>291636.08658</v>
      </c>
      <c r="G558" s="18">
        <v>364599.88816311024</v>
      </c>
      <c r="H558" s="19">
        <v>7.2929709179392344E-2</v>
      </c>
      <c r="I558" s="19">
        <v>0.25018783662458466</v>
      </c>
      <c r="J558" s="19">
        <v>0.16148467521750143</v>
      </c>
    </row>
    <row r="559" spans="1:10" ht="11.25" customHeight="1" x14ac:dyDescent="0.2">
      <c r="A559" s="28">
        <v>44652</v>
      </c>
      <c r="B559" s="18">
        <v>0</v>
      </c>
      <c r="C559" s="18">
        <v>0</v>
      </c>
      <c r="D559" s="18">
        <v>292124.13507000008</v>
      </c>
      <c r="E559" s="18">
        <v>313428.66328493669</v>
      </c>
      <c r="F559" s="18">
        <v>291636.08658</v>
      </c>
      <c r="G559" s="18">
        <v>364599.88816311024</v>
      </c>
      <c r="H559" s="19">
        <v>7.2929709179392344E-2</v>
      </c>
      <c r="I559" s="19">
        <v>0.25018783662458466</v>
      </c>
      <c r="J559" s="19">
        <v>0.16148467521750143</v>
      </c>
    </row>
    <row r="560" spans="1:10" ht="11.25" customHeight="1" x14ac:dyDescent="0.2">
      <c r="A560" s="28">
        <v>44682</v>
      </c>
      <c r="B560" s="18">
        <v>0</v>
      </c>
      <c r="C560" s="18">
        <v>0</v>
      </c>
      <c r="D560" s="18">
        <v>291244.65345000004</v>
      </c>
      <c r="E560" s="18">
        <v>312485.04132616147</v>
      </c>
      <c r="F560" s="18">
        <v>290758.07429999998</v>
      </c>
      <c r="G560" s="18">
        <v>363502.20789024723</v>
      </c>
      <c r="H560" s="19">
        <v>7.2929709179392344E-2</v>
      </c>
      <c r="I560" s="19">
        <v>0.25018783662458466</v>
      </c>
      <c r="J560" s="19">
        <v>0.16148467521750143</v>
      </c>
    </row>
    <row r="561" spans="1:10" ht="11.25" customHeight="1" x14ac:dyDescent="0.2">
      <c r="A561" s="28">
        <v>44713</v>
      </c>
      <c r="B561" s="18">
        <v>0</v>
      </c>
      <c r="C561" s="18">
        <v>0</v>
      </c>
      <c r="D561" s="18">
        <v>294215.20686000003</v>
      </c>
      <c r="E561" s="18">
        <v>315672.23633245466</v>
      </c>
      <c r="F561" s="18">
        <v>293723.66484000004</v>
      </c>
      <c r="G561" s="18">
        <v>367209.75311176415</v>
      </c>
      <c r="H561" s="19">
        <v>7.2929709179392566E-2</v>
      </c>
      <c r="I561" s="19">
        <v>0.25018783662458444</v>
      </c>
      <c r="J561" s="19">
        <v>0.16148467521750143</v>
      </c>
    </row>
    <row r="562" spans="1:10" ht="11.25" customHeight="1" x14ac:dyDescent="0.2">
      <c r="A562" s="28">
        <v>44743</v>
      </c>
      <c r="B562" s="18">
        <v>0</v>
      </c>
      <c r="C562" s="18">
        <v>0</v>
      </c>
      <c r="D562" s="18">
        <v>293117.55174000002</v>
      </c>
      <c r="E562" s="18">
        <v>314494.52954377374</v>
      </c>
      <c r="F562" s="18">
        <v>292627.84356000001</v>
      </c>
      <c r="G562" s="18">
        <v>365839.77067639376</v>
      </c>
      <c r="H562" s="19">
        <v>7.2929709179392344E-2</v>
      </c>
      <c r="I562" s="19">
        <v>0.25018783662458444</v>
      </c>
      <c r="J562" s="19">
        <v>0.16148467521750143</v>
      </c>
    </row>
    <row r="563" spans="1:10" ht="11.25" customHeight="1" x14ac:dyDescent="0.2">
      <c r="A563" s="28">
        <v>44774</v>
      </c>
      <c r="B563" s="18">
        <v>0</v>
      </c>
      <c r="C563" s="18">
        <v>0</v>
      </c>
      <c r="D563" s="18">
        <v>299831.80080000008</v>
      </c>
      <c r="E563" s="18">
        <v>321698.44683507754</v>
      </c>
      <c r="F563" s="18">
        <v>299330.87520000001</v>
      </c>
      <c r="G563" s="18">
        <v>374219.81930123153</v>
      </c>
      <c r="H563" s="19">
        <v>7.2929709179392121E-2</v>
      </c>
      <c r="I563" s="19">
        <v>0.25018783662458466</v>
      </c>
      <c r="J563" s="19">
        <v>0.16148467521750143</v>
      </c>
    </row>
    <row r="564" spans="1:10" ht="11.25" customHeight="1" x14ac:dyDescent="0.2">
      <c r="A564" s="28">
        <v>44805</v>
      </c>
      <c r="B564" s="18">
        <v>0</v>
      </c>
      <c r="C564" s="18">
        <v>0</v>
      </c>
      <c r="D564" s="18">
        <v>300190.09017000004</v>
      </c>
      <c r="E564" s="18">
        <v>322082.86614463368</v>
      </c>
      <c r="F564" s="18">
        <v>299688.56597999996</v>
      </c>
      <c r="G564" s="18">
        <v>374666.99996366026</v>
      </c>
      <c r="H564" s="19">
        <v>7.2929709179392344E-2</v>
      </c>
      <c r="I564" s="19">
        <v>0.25018783662458466</v>
      </c>
      <c r="J564" s="19">
        <v>0.16148467521750143</v>
      </c>
    </row>
    <row r="565" spans="1:10" ht="11.25" customHeight="1" x14ac:dyDescent="0.2">
      <c r="A565" s="28">
        <v>44835</v>
      </c>
      <c r="B565" s="18">
        <v>0</v>
      </c>
      <c r="C565" s="18">
        <v>0</v>
      </c>
      <c r="D565" s="18">
        <v>300190.09017000004</v>
      </c>
      <c r="E565" s="18">
        <v>322082.86614463368</v>
      </c>
      <c r="F565" s="18">
        <v>299688.56597999996</v>
      </c>
      <c r="G565" s="18">
        <v>374666.99996366026</v>
      </c>
      <c r="H565" s="19">
        <v>7.2929709179392344E-2</v>
      </c>
      <c r="I565" s="19">
        <v>0.25018783662458466</v>
      </c>
      <c r="J565" s="19">
        <v>0.16148467521750143</v>
      </c>
    </row>
    <row r="566" spans="1:10" ht="11.25" customHeight="1" x14ac:dyDescent="0.2">
      <c r="A566" s="24" t="s">
        <v>31</v>
      </c>
      <c r="B566" s="18">
        <v>0</v>
      </c>
      <c r="C566" s="18">
        <v>0</v>
      </c>
      <c r="D566" s="18">
        <v>6192463.5653299997</v>
      </c>
      <c r="E566" s="18">
        <v>6644215.1744162068</v>
      </c>
      <c r="F566" s="18">
        <v>6181989.9460000014</v>
      </c>
      <c r="G566" s="18">
        <v>7728968.002270814</v>
      </c>
      <c r="H566" s="19">
        <v>7.2951839654809669E-2</v>
      </c>
      <c r="I566" s="19">
        <v>0.25023949727899142</v>
      </c>
      <c r="J566" s="19">
        <v>0.16152064117635545</v>
      </c>
    </row>
    <row r="567" spans="1:10" ht="11.25" customHeight="1" x14ac:dyDescent="0.2">
      <c r="A567" s="25" t="s">
        <v>25</v>
      </c>
      <c r="B567" s="18">
        <v>0</v>
      </c>
      <c r="C567" s="18">
        <v>0</v>
      </c>
      <c r="D567" s="18">
        <v>6192463.5653299997</v>
      </c>
      <c r="E567" s="18">
        <v>6644215.1744162068</v>
      </c>
      <c r="F567" s="18">
        <v>6181989.9460000014</v>
      </c>
      <c r="G567" s="18">
        <v>7728968.002270814</v>
      </c>
      <c r="H567" s="19">
        <v>7.2951839654809669E-2</v>
      </c>
      <c r="I567" s="19">
        <v>0.25023949727899142</v>
      </c>
      <c r="J567" s="19">
        <v>0.16152064117635545</v>
      </c>
    </row>
    <row r="568" spans="1:10" ht="11.25" customHeight="1" x14ac:dyDescent="0.2">
      <c r="A568" s="26" t="s">
        <v>25</v>
      </c>
      <c r="B568" s="18">
        <v>0</v>
      </c>
      <c r="C568" s="18">
        <v>0</v>
      </c>
      <c r="D568" s="18">
        <v>6192463.5653299997</v>
      </c>
      <c r="E568" s="18">
        <v>6644215.1744162068</v>
      </c>
      <c r="F568" s="18">
        <v>6181989.9460000014</v>
      </c>
      <c r="G568" s="18">
        <v>7728968.002270814</v>
      </c>
      <c r="H568" s="19">
        <v>7.2951839654809669E-2</v>
      </c>
      <c r="I568" s="19">
        <v>0.25023949727899142</v>
      </c>
      <c r="J568" s="19">
        <v>0.16152064117635545</v>
      </c>
    </row>
    <row r="569" spans="1:10" ht="11.25" customHeight="1" x14ac:dyDescent="0.2">
      <c r="A569" s="27" t="s">
        <v>25</v>
      </c>
      <c r="B569" s="18">
        <v>0</v>
      </c>
      <c r="C569" s="18">
        <v>0</v>
      </c>
      <c r="D569" s="18">
        <v>6192463.5653299997</v>
      </c>
      <c r="E569" s="18">
        <v>6644215.1744162068</v>
      </c>
      <c r="F569" s="18">
        <v>6181989.9460000014</v>
      </c>
      <c r="G569" s="18">
        <v>7728968.002270814</v>
      </c>
      <c r="H569" s="19">
        <v>7.2951839654809669E-2</v>
      </c>
      <c r="I569" s="19">
        <v>0.25023949727899142</v>
      </c>
      <c r="J569" s="19">
        <v>0.16152064117635545</v>
      </c>
    </row>
    <row r="570" spans="1:10" ht="11.25" customHeight="1" x14ac:dyDescent="0.2">
      <c r="A570" s="28">
        <v>44501</v>
      </c>
      <c r="B570" s="18">
        <v>0</v>
      </c>
      <c r="C570" s="18">
        <v>0</v>
      </c>
      <c r="D570" s="18">
        <v>519624.25815999997</v>
      </c>
      <c r="E570" s="18">
        <v>557531.80372203782</v>
      </c>
      <c r="F570" s="18">
        <v>518745.39200000005</v>
      </c>
      <c r="G570" s="18">
        <v>648555.97810987302</v>
      </c>
      <c r="H570" s="19">
        <v>7.2951839654809891E-2</v>
      </c>
      <c r="I570" s="19">
        <v>0.25023949727899075</v>
      </c>
      <c r="J570" s="19">
        <v>0.16152064117635523</v>
      </c>
    </row>
    <row r="571" spans="1:10" ht="11.25" customHeight="1" x14ac:dyDescent="0.2">
      <c r="A571" s="28">
        <v>44531</v>
      </c>
      <c r="B571" s="18">
        <v>0</v>
      </c>
      <c r="C571" s="18">
        <v>0</v>
      </c>
      <c r="D571" s="18">
        <v>507836.58708999999</v>
      </c>
      <c r="E571" s="18">
        <v>544884.20036223566</v>
      </c>
      <c r="F571" s="18">
        <v>506977.658</v>
      </c>
      <c r="G571" s="18">
        <v>633843.49226960016</v>
      </c>
      <c r="H571" s="19">
        <v>7.2951839654810113E-2</v>
      </c>
      <c r="I571" s="19">
        <v>0.25023949727899097</v>
      </c>
      <c r="J571" s="19">
        <v>0.16152064117635545</v>
      </c>
    </row>
    <row r="572" spans="1:10" ht="11.25" customHeight="1" x14ac:dyDescent="0.2">
      <c r="A572" s="28">
        <v>44562</v>
      </c>
      <c r="B572" s="18">
        <v>0</v>
      </c>
      <c r="C572" s="18">
        <v>0</v>
      </c>
      <c r="D572" s="18">
        <v>486533.83870000002</v>
      </c>
      <c r="E572" s="18">
        <v>522027.37728748156</v>
      </c>
      <c r="F572" s="18">
        <v>485710.94</v>
      </c>
      <c r="G572" s="18">
        <v>607255.00144850602</v>
      </c>
      <c r="H572" s="19">
        <v>7.2951839654809891E-2</v>
      </c>
      <c r="I572" s="19">
        <v>0.25023949727899075</v>
      </c>
      <c r="J572" s="19">
        <v>0.16152064117635501</v>
      </c>
    </row>
    <row r="573" spans="1:10" ht="11.25" customHeight="1" x14ac:dyDescent="0.2">
      <c r="A573" s="28">
        <v>44593</v>
      </c>
      <c r="B573" s="18">
        <v>0</v>
      </c>
      <c r="C573" s="18">
        <v>0</v>
      </c>
      <c r="D573" s="18">
        <v>503383.51538999996</v>
      </c>
      <c r="E573" s="18">
        <v>540106.26888960588</v>
      </c>
      <c r="F573" s="18">
        <v>502532.11800000002</v>
      </c>
      <c r="G573" s="18">
        <v>628285.5025748664</v>
      </c>
      <c r="H573" s="19">
        <v>7.2951839654810113E-2</v>
      </c>
      <c r="I573" s="19">
        <v>0.25023949727899053</v>
      </c>
      <c r="J573" s="19">
        <v>0.16152064117635523</v>
      </c>
    </row>
    <row r="574" spans="1:10" ht="11.25" customHeight="1" x14ac:dyDescent="0.2">
      <c r="A574" s="28">
        <v>44621</v>
      </c>
      <c r="B574" s="18">
        <v>0</v>
      </c>
      <c r="C574" s="18">
        <v>0</v>
      </c>
      <c r="D574" s="18">
        <v>522380.45985999994</v>
      </c>
      <c r="E574" s="18">
        <v>560489.07540651248</v>
      </c>
      <c r="F574" s="18">
        <v>521496.93199999997</v>
      </c>
      <c r="G574" s="18">
        <v>651996.06209621602</v>
      </c>
      <c r="H574" s="19">
        <v>7.2951839654809891E-2</v>
      </c>
      <c r="I574" s="19">
        <v>0.25023949727899075</v>
      </c>
      <c r="J574" s="19">
        <v>0.16152064117635523</v>
      </c>
    </row>
    <row r="575" spans="1:10" ht="11.25" customHeight="1" x14ac:dyDescent="0.2">
      <c r="A575" s="28">
        <v>44652</v>
      </c>
      <c r="B575" s="18">
        <v>0</v>
      </c>
      <c r="C575" s="18">
        <v>0</v>
      </c>
      <c r="D575" s="18">
        <v>522380.45985999994</v>
      </c>
      <c r="E575" s="18">
        <v>560489.07540651248</v>
      </c>
      <c r="F575" s="18">
        <v>521496.93199999997</v>
      </c>
      <c r="G575" s="18">
        <v>651996.06209621602</v>
      </c>
      <c r="H575" s="19">
        <v>7.2951839654809891E-2</v>
      </c>
      <c r="I575" s="19">
        <v>0.25023949727899075</v>
      </c>
      <c r="J575" s="19">
        <v>0.16152064117635523</v>
      </c>
    </row>
    <row r="576" spans="1:10" ht="11.25" customHeight="1" x14ac:dyDescent="0.2">
      <c r="A576" s="28">
        <v>44682</v>
      </c>
      <c r="B576" s="18">
        <v>0</v>
      </c>
      <c r="C576" s="18">
        <v>0</v>
      </c>
      <c r="D576" s="18">
        <v>502798.09524</v>
      </c>
      <c r="E576" s="18">
        <v>539478.14126269228</v>
      </c>
      <c r="F576" s="18">
        <v>501947.68799999997</v>
      </c>
      <c r="G576" s="18">
        <v>627554.82510547165</v>
      </c>
      <c r="H576" s="19">
        <v>7.2951839654809891E-2</v>
      </c>
      <c r="I576" s="19">
        <v>0.25023949727899075</v>
      </c>
      <c r="J576" s="19">
        <v>0.16152064117635501</v>
      </c>
    </row>
    <row r="577" spans="1:10" ht="11.25" customHeight="1" x14ac:dyDescent="0.2">
      <c r="A577" s="28">
        <v>44713</v>
      </c>
      <c r="B577" s="18">
        <v>0</v>
      </c>
      <c r="C577" s="18">
        <v>0</v>
      </c>
      <c r="D577" s="18">
        <v>502687.55628000002</v>
      </c>
      <c r="E577" s="18">
        <v>539359.53828220675</v>
      </c>
      <c r="F577" s="18">
        <v>501837.33600000007</v>
      </c>
      <c r="G577" s="18">
        <v>627416.85867646802</v>
      </c>
      <c r="H577" s="19">
        <v>7.2951839654809891E-2</v>
      </c>
      <c r="I577" s="19">
        <v>0.25023949727899075</v>
      </c>
      <c r="J577" s="19">
        <v>0.16152064117635523</v>
      </c>
    </row>
    <row r="578" spans="1:10" ht="11.25" customHeight="1" x14ac:dyDescent="0.2">
      <c r="A578" s="28">
        <v>44743</v>
      </c>
      <c r="B578" s="18">
        <v>0</v>
      </c>
      <c r="C578" s="18">
        <v>0</v>
      </c>
      <c r="D578" s="18">
        <v>491398.76499</v>
      </c>
      <c r="E578" s="18">
        <v>527247.20890012209</v>
      </c>
      <c r="F578" s="18">
        <v>490567.63799999998</v>
      </c>
      <c r="G578" s="18">
        <v>613327.03711446188</v>
      </c>
      <c r="H578" s="19">
        <v>7.2951839654809891E-2</v>
      </c>
      <c r="I578" s="19">
        <v>0.25023949727899075</v>
      </c>
      <c r="J578" s="19">
        <v>0.16152064117635501</v>
      </c>
    </row>
    <row r="579" spans="1:10" ht="11.25" customHeight="1" x14ac:dyDescent="0.2">
      <c r="A579" s="28">
        <v>44774</v>
      </c>
      <c r="B579" s="18">
        <v>0</v>
      </c>
      <c r="C579" s="18">
        <v>0</v>
      </c>
      <c r="D579" s="18">
        <v>547631.33992000006</v>
      </c>
      <c r="E579" s="18">
        <v>587582.05361979257</v>
      </c>
      <c r="F579" s="18">
        <v>546705.10399999993</v>
      </c>
      <c r="G579" s="18">
        <v>683512.31438481831</v>
      </c>
      <c r="H579" s="19">
        <v>7.2951839654809891E-2</v>
      </c>
      <c r="I579" s="19">
        <v>0.25023949727899075</v>
      </c>
      <c r="J579" s="19">
        <v>0.16152064117635501</v>
      </c>
    </row>
    <row r="580" spans="1:10" ht="11.25" customHeight="1" x14ac:dyDescent="0.2">
      <c r="A580" s="28">
        <v>44805</v>
      </c>
      <c r="B580" s="18">
        <v>0</v>
      </c>
      <c r="C580" s="18">
        <v>0</v>
      </c>
      <c r="D580" s="18">
        <v>542904.34491999994</v>
      </c>
      <c r="E580" s="18">
        <v>582510.21563850343</v>
      </c>
      <c r="F580" s="18">
        <v>541986.10400000005</v>
      </c>
      <c r="G580" s="18">
        <v>677612.43419715867</v>
      </c>
      <c r="H580" s="19">
        <v>7.2951839654809891E-2</v>
      </c>
      <c r="I580" s="19">
        <v>0.25023949727899031</v>
      </c>
      <c r="J580" s="19">
        <v>0.16152064117635501</v>
      </c>
    </row>
    <row r="581" spans="1:10" ht="11.25" customHeight="1" x14ac:dyDescent="0.2">
      <c r="A581" s="28">
        <v>44835</v>
      </c>
      <c r="B581" s="18">
        <v>0</v>
      </c>
      <c r="C581" s="18">
        <v>0</v>
      </c>
      <c r="D581" s="18">
        <v>542904.34491999994</v>
      </c>
      <c r="E581" s="18">
        <v>582510.21563850343</v>
      </c>
      <c r="F581" s="18">
        <v>541986.10400000005</v>
      </c>
      <c r="G581" s="18">
        <v>677612.43419715867</v>
      </c>
      <c r="H581" s="19">
        <v>7.2951839654809891E-2</v>
      </c>
      <c r="I581" s="19">
        <v>0.25023949727899031</v>
      </c>
      <c r="J581" s="19">
        <v>0.16152064117635501</v>
      </c>
    </row>
    <row r="582" spans="1:10" ht="11.25" customHeight="1" x14ac:dyDescent="0.2">
      <c r="A582" s="24" t="s">
        <v>32</v>
      </c>
      <c r="B582" s="18">
        <v>0</v>
      </c>
      <c r="C582" s="18">
        <v>0</v>
      </c>
      <c r="D582" s="18">
        <v>7567178.4057599986</v>
      </c>
      <c r="E582" s="18">
        <v>8119351.9686349835</v>
      </c>
      <c r="F582" s="18">
        <v>7554535.5369599992</v>
      </c>
      <c r="G582" s="18">
        <v>9444939.6832287628</v>
      </c>
      <c r="H582" s="19">
        <v>7.296954469246808E-2</v>
      </c>
      <c r="I582" s="19">
        <v>0.25023433102142478</v>
      </c>
      <c r="J582" s="19">
        <v>0.16152783463541631</v>
      </c>
    </row>
    <row r="583" spans="1:10" ht="11.25" customHeight="1" x14ac:dyDescent="0.2">
      <c r="A583" s="25" t="s">
        <v>25</v>
      </c>
      <c r="B583" s="18">
        <v>0</v>
      </c>
      <c r="C583" s="18">
        <v>0</v>
      </c>
      <c r="D583" s="18">
        <v>7567178.4057599986</v>
      </c>
      <c r="E583" s="18">
        <v>8119351.9686349835</v>
      </c>
      <c r="F583" s="18">
        <v>7554535.5369599992</v>
      </c>
      <c r="G583" s="18">
        <v>9444939.6832287628</v>
      </c>
      <c r="H583" s="19">
        <v>7.296954469246808E-2</v>
      </c>
      <c r="I583" s="19">
        <v>0.25023433102142478</v>
      </c>
      <c r="J583" s="19">
        <v>0.16152783463541631</v>
      </c>
    </row>
    <row r="584" spans="1:10" ht="11.25" customHeight="1" x14ac:dyDescent="0.2">
      <c r="A584" s="26" t="s">
        <v>25</v>
      </c>
      <c r="B584" s="18">
        <v>0</v>
      </c>
      <c r="C584" s="18">
        <v>0</v>
      </c>
      <c r="D584" s="18">
        <v>7567178.4057599986</v>
      </c>
      <c r="E584" s="18">
        <v>8119351.9686349835</v>
      </c>
      <c r="F584" s="18">
        <v>7554535.5369599992</v>
      </c>
      <c r="G584" s="18">
        <v>9444939.6832287628</v>
      </c>
      <c r="H584" s="19">
        <v>7.296954469246808E-2</v>
      </c>
      <c r="I584" s="19">
        <v>0.25023433102142478</v>
      </c>
      <c r="J584" s="19">
        <v>0.16152783463541631</v>
      </c>
    </row>
    <row r="585" spans="1:10" ht="11.25" customHeight="1" x14ac:dyDescent="0.2">
      <c r="A585" s="27" t="s">
        <v>25</v>
      </c>
      <c r="B585" s="18">
        <v>0</v>
      </c>
      <c r="C585" s="18">
        <v>0</v>
      </c>
      <c r="D585" s="18">
        <v>7567178.4057599986</v>
      </c>
      <c r="E585" s="18">
        <v>8119351.9686349835</v>
      </c>
      <c r="F585" s="18">
        <v>7554535.5369599992</v>
      </c>
      <c r="G585" s="18">
        <v>9444939.6832287628</v>
      </c>
      <c r="H585" s="19">
        <v>7.296954469246808E-2</v>
      </c>
      <c r="I585" s="19">
        <v>0.25023433102142478</v>
      </c>
      <c r="J585" s="19">
        <v>0.16152783463541631</v>
      </c>
    </row>
    <row r="586" spans="1:10" ht="11.25" customHeight="1" x14ac:dyDescent="0.2">
      <c r="A586" s="28">
        <v>44501</v>
      </c>
      <c r="B586" s="18">
        <v>0</v>
      </c>
      <c r="C586" s="18">
        <v>0</v>
      </c>
      <c r="D586" s="18">
        <v>730596.06227999984</v>
      </c>
      <c r="E586" s="18">
        <v>783907.32429868169</v>
      </c>
      <c r="F586" s="18">
        <v>729375.41837999993</v>
      </c>
      <c r="G586" s="18">
        <v>911890.18826179078</v>
      </c>
      <c r="H586" s="19">
        <v>7.2969544692468302E-2</v>
      </c>
      <c r="I586" s="19">
        <v>0.25023433102142434</v>
      </c>
      <c r="J586" s="19">
        <v>0.16152783463541631</v>
      </c>
    </row>
    <row r="587" spans="1:10" ht="11.25" customHeight="1" x14ac:dyDescent="0.2">
      <c r="A587" s="28">
        <v>44531</v>
      </c>
      <c r="B587" s="18">
        <v>0</v>
      </c>
      <c r="C587" s="18">
        <v>0</v>
      </c>
      <c r="D587" s="18">
        <v>664179.51168</v>
      </c>
      <c r="E587" s="18">
        <v>712644.38824135542</v>
      </c>
      <c r="F587" s="18">
        <v>663069.83328000002</v>
      </c>
      <c r="G587" s="18">
        <v>828992.66943130828</v>
      </c>
      <c r="H587" s="19">
        <v>7.296954469246808E-2</v>
      </c>
      <c r="I587" s="19">
        <v>0.25023433102142456</v>
      </c>
      <c r="J587" s="19">
        <v>0.16152783463541653</v>
      </c>
    </row>
    <row r="588" spans="1:10" ht="11.25" customHeight="1" x14ac:dyDescent="0.2">
      <c r="A588" s="28">
        <v>44562</v>
      </c>
      <c r="B588" s="18">
        <v>0</v>
      </c>
      <c r="C588" s="18">
        <v>0</v>
      </c>
      <c r="D588" s="18">
        <v>567217.11167999997</v>
      </c>
      <c r="E588" s="18">
        <v>608606.68606106646</v>
      </c>
      <c r="F588" s="18">
        <v>566269.43327999988</v>
      </c>
      <c r="G588" s="18">
        <v>707969.48609470192</v>
      </c>
      <c r="H588" s="19">
        <v>7.2969544692468302E-2</v>
      </c>
      <c r="I588" s="19">
        <v>0.25023433102142456</v>
      </c>
      <c r="J588" s="19">
        <v>0.16152783463541653</v>
      </c>
    </row>
    <row r="589" spans="1:10" ht="11.25" customHeight="1" x14ac:dyDescent="0.2">
      <c r="A589" s="28">
        <v>44593</v>
      </c>
      <c r="B589" s="18">
        <v>0</v>
      </c>
      <c r="C589" s="18">
        <v>0</v>
      </c>
      <c r="D589" s="18">
        <v>654570.26849999989</v>
      </c>
      <c r="E589" s="18">
        <v>702333.96296167164</v>
      </c>
      <c r="F589" s="18">
        <v>653476.64474999998</v>
      </c>
      <c r="G589" s="18">
        <v>816998.93578714132</v>
      </c>
      <c r="H589" s="19">
        <v>7.2969544692468302E-2</v>
      </c>
      <c r="I589" s="19">
        <v>0.25023433102142456</v>
      </c>
      <c r="J589" s="19">
        <v>0.16152783463541676</v>
      </c>
    </row>
    <row r="590" spans="1:10" ht="11.25" customHeight="1" x14ac:dyDescent="0.2">
      <c r="A590" s="28">
        <v>44621</v>
      </c>
      <c r="B590" s="18">
        <v>0</v>
      </c>
      <c r="C590" s="18">
        <v>0</v>
      </c>
      <c r="D590" s="18">
        <v>646488.99114000006</v>
      </c>
      <c r="E590" s="18">
        <v>693662.99847217894</v>
      </c>
      <c r="F590" s="18">
        <v>645408.86919</v>
      </c>
      <c r="G590" s="18">
        <v>806912.32580705383</v>
      </c>
      <c r="H590" s="19">
        <v>7.296954469246808E-2</v>
      </c>
      <c r="I590" s="19">
        <v>0.25023433102142456</v>
      </c>
      <c r="J590" s="19">
        <v>0.16152783463541653</v>
      </c>
    </row>
    <row r="591" spans="1:10" ht="11.25" customHeight="1" x14ac:dyDescent="0.2">
      <c r="A591" s="28">
        <v>44652</v>
      </c>
      <c r="B591" s="18">
        <v>0</v>
      </c>
      <c r="C591" s="18">
        <v>0</v>
      </c>
      <c r="D591" s="18">
        <v>646488.99114000006</v>
      </c>
      <c r="E591" s="18">
        <v>693662.99847217894</v>
      </c>
      <c r="F591" s="18">
        <v>645408.86919</v>
      </c>
      <c r="G591" s="18">
        <v>806912.32580705383</v>
      </c>
      <c r="H591" s="19">
        <v>7.296954469246808E-2</v>
      </c>
      <c r="I591" s="19">
        <v>0.25023433102142456</v>
      </c>
      <c r="J591" s="19">
        <v>0.16152783463541653</v>
      </c>
    </row>
    <row r="592" spans="1:10" ht="11.25" customHeight="1" x14ac:dyDescent="0.2">
      <c r="A592" s="28">
        <v>44682</v>
      </c>
      <c r="B592" s="18">
        <v>0</v>
      </c>
      <c r="C592" s="18">
        <v>0</v>
      </c>
      <c r="D592" s="18">
        <v>542348.14145999996</v>
      </c>
      <c r="E592" s="18">
        <v>581923.03840714251</v>
      </c>
      <c r="F592" s="18">
        <v>541442.01291000005</v>
      </c>
      <c r="G592" s="18">
        <v>676929.39279742725</v>
      </c>
      <c r="H592" s="19">
        <v>7.2969544692468302E-2</v>
      </c>
      <c r="I592" s="19">
        <v>0.25023433102142434</v>
      </c>
      <c r="J592" s="19">
        <v>0.16152783463541631</v>
      </c>
    </row>
    <row r="593" spans="1:10" ht="11.25" customHeight="1" x14ac:dyDescent="0.2">
      <c r="A593" s="28">
        <v>44713</v>
      </c>
      <c r="B593" s="18">
        <v>0</v>
      </c>
      <c r="C593" s="18">
        <v>0</v>
      </c>
      <c r="D593" s="18">
        <v>506308.29473999998</v>
      </c>
      <c r="E593" s="18">
        <v>543253.38048119785</v>
      </c>
      <c r="F593" s="18">
        <v>505462.37978999998</v>
      </c>
      <c r="G593" s="18">
        <v>631946.42025324784</v>
      </c>
      <c r="H593" s="19">
        <v>7.2969544692468302E-2</v>
      </c>
      <c r="I593" s="19">
        <v>0.25023433102142456</v>
      </c>
      <c r="J593" s="19">
        <v>0.16152783463541653</v>
      </c>
    </row>
    <row r="594" spans="1:10" ht="11.25" customHeight="1" x14ac:dyDescent="0.2">
      <c r="A594" s="28">
        <v>44743</v>
      </c>
      <c r="B594" s="18">
        <v>0</v>
      </c>
      <c r="C594" s="18">
        <v>0</v>
      </c>
      <c r="D594" s="18">
        <v>759731.64743999997</v>
      </c>
      <c r="E594" s="18">
        <v>815168.91984215553</v>
      </c>
      <c r="F594" s="18">
        <v>758462.32524000003</v>
      </c>
      <c r="G594" s="18">
        <v>948255.63780138548</v>
      </c>
      <c r="H594" s="19">
        <v>7.296954469246808E-2</v>
      </c>
      <c r="I594" s="19">
        <v>0.25023433102142434</v>
      </c>
      <c r="J594" s="19">
        <v>0.16152783463541653</v>
      </c>
    </row>
    <row r="595" spans="1:10" ht="11.25" customHeight="1" x14ac:dyDescent="0.2">
      <c r="A595" s="28">
        <v>44774</v>
      </c>
      <c r="B595" s="18">
        <v>0</v>
      </c>
      <c r="C595" s="18">
        <v>0</v>
      </c>
      <c r="D595" s="18">
        <v>431623.0061399999</v>
      </c>
      <c r="E595" s="18">
        <v>463118.34037683019</v>
      </c>
      <c r="F595" s="18">
        <v>430901.87168999988</v>
      </c>
      <c r="G595" s="18">
        <v>538728.31328822672</v>
      </c>
      <c r="H595" s="19">
        <v>7.2969544692468524E-2</v>
      </c>
      <c r="I595" s="19">
        <v>0.25023433102142456</v>
      </c>
      <c r="J595" s="19">
        <v>0.16152783463541653</v>
      </c>
    </row>
    <row r="596" spans="1:10" ht="11.25" customHeight="1" x14ac:dyDescent="0.2">
      <c r="A596" s="28">
        <v>44805</v>
      </c>
      <c r="B596" s="18">
        <v>0</v>
      </c>
      <c r="C596" s="18">
        <v>0</v>
      </c>
      <c r="D596" s="18">
        <v>708813.1897799999</v>
      </c>
      <c r="E596" s="18">
        <v>760534.96551026253</v>
      </c>
      <c r="F596" s="18">
        <v>707628.93962999992</v>
      </c>
      <c r="G596" s="18">
        <v>884701.99394971295</v>
      </c>
      <c r="H596" s="19">
        <v>7.296954469246808E-2</v>
      </c>
      <c r="I596" s="19">
        <v>0.25023433102142456</v>
      </c>
      <c r="J596" s="19">
        <v>0.16152783463541631</v>
      </c>
    </row>
    <row r="597" spans="1:10" ht="11.25" customHeight="1" x14ac:dyDescent="0.2">
      <c r="A597" s="28">
        <v>44835</v>
      </c>
      <c r="B597" s="18">
        <v>0</v>
      </c>
      <c r="C597" s="18">
        <v>0</v>
      </c>
      <c r="D597" s="18">
        <v>708813.1897799999</v>
      </c>
      <c r="E597" s="18">
        <v>760534.96551026253</v>
      </c>
      <c r="F597" s="18">
        <v>707628.93962999992</v>
      </c>
      <c r="G597" s="18">
        <v>884701.99394971295</v>
      </c>
      <c r="H597" s="19">
        <v>7.296954469246808E-2</v>
      </c>
      <c r="I597" s="19">
        <v>0.25023433102142456</v>
      </c>
      <c r="J597" s="19">
        <v>0.16152783463541631</v>
      </c>
    </row>
    <row r="598" spans="1:10" ht="11.25" customHeight="1" x14ac:dyDescent="0.2">
      <c r="A598" s="21" t="s">
        <v>43</v>
      </c>
      <c r="B598" s="18">
        <v>0</v>
      </c>
      <c r="C598" s="18">
        <v>0</v>
      </c>
      <c r="D598" s="18">
        <v>14911789.953390399</v>
      </c>
      <c r="E598" s="18">
        <v>17815357.215426497</v>
      </c>
      <c r="F598" s="18">
        <v>12883293.294574898</v>
      </c>
      <c r="G598" s="18">
        <v>17204854.94627896</v>
      </c>
      <c r="H598" s="19">
        <v>0.19471621254804017</v>
      </c>
      <c r="I598" s="19">
        <v>0.33543920431617091</v>
      </c>
      <c r="J598" s="19">
        <v>0.25994269739303855</v>
      </c>
    </row>
    <row r="599" spans="1:10" ht="11.25" customHeight="1" x14ac:dyDescent="0.2">
      <c r="A599" s="22" t="s">
        <v>33</v>
      </c>
      <c r="B599" s="18">
        <v>0</v>
      </c>
      <c r="C599" s="18">
        <v>0</v>
      </c>
      <c r="D599" s="18">
        <v>299.68602999999996</v>
      </c>
      <c r="E599" s="18">
        <v>357.51309974489885</v>
      </c>
      <c r="F599" s="18">
        <v>264.18167999999997</v>
      </c>
      <c r="G599" s="18">
        <v>352.80973817443135</v>
      </c>
      <c r="H599" s="19">
        <v>0.19295884344324921</v>
      </c>
      <c r="I599" s="19">
        <v>0.33548146932229139</v>
      </c>
      <c r="J599" s="19">
        <v>0.25973313477966342</v>
      </c>
    </row>
    <row r="600" spans="1:10" ht="11.25" customHeight="1" x14ac:dyDescent="0.2">
      <c r="A600" s="23" t="s">
        <v>44</v>
      </c>
      <c r="B600" s="18">
        <v>0</v>
      </c>
      <c r="C600" s="18">
        <v>0</v>
      </c>
      <c r="D600" s="18">
        <v>299.68602999999996</v>
      </c>
      <c r="E600" s="18">
        <v>357.51309974489885</v>
      </c>
      <c r="F600" s="18">
        <v>264.18167999999997</v>
      </c>
      <c r="G600" s="18">
        <v>352.80973817443135</v>
      </c>
      <c r="H600" s="19">
        <v>0.19295884344324921</v>
      </c>
      <c r="I600" s="19">
        <v>0.33548146932229139</v>
      </c>
      <c r="J600" s="19">
        <v>0.25973313477966342</v>
      </c>
    </row>
    <row r="601" spans="1:10" ht="11.25" customHeight="1" x14ac:dyDescent="0.2">
      <c r="A601" s="24" t="s">
        <v>25</v>
      </c>
      <c r="B601" s="18">
        <v>0</v>
      </c>
      <c r="C601" s="18">
        <v>0</v>
      </c>
      <c r="D601" s="18">
        <v>299.68602999999996</v>
      </c>
      <c r="E601" s="18">
        <v>357.51309974489885</v>
      </c>
      <c r="F601" s="18">
        <v>264.18167999999997</v>
      </c>
      <c r="G601" s="18">
        <v>352.80973817443135</v>
      </c>
      <c r="H601" s="19">
        <v>0.19295884344324921</v>
      </c>
      <c r="I601" s="19">
        <v>0.33548146932229139</v>
      </c>
      <c r="J601" s="19">
        <v>0.25973313477966342</v>
      </c>
    </row>
    <row r="602" spans="1:10" ht="11.25" customHeight="1" x14ac:dyDescent="0.2">
      <c r="A602" s="25" t="s">
        <v>25</v>
      </c>
      <c r="B602" s="18">
        <v>0</v>
      </c>
      <c r="C602" s="18">
        <v>0</v>
      </c>
      <c r="D602" s="18">
        <v>299.68602999999996</v>
      </c>
      <c r="E602" s="18">
        <v>357.51309974489885</v>
      </c>
      <c r="F602" s="18">
        <v>264.18167999999997</v>
      </c>
      <c r="G602" s="18">
        <v>352.80973817443135</v>
      </c>
      <c r="H602" s="19">
        <v>0.19295884344324921</v>
      </c>
      <c r="I602" s="19">
        <v>0.33548146932229139</v>
      </c>
      <c r="J602" s="19">
        <v>0.25973313477966342</v>
      </c>
    </row>
    <row r="603" spans="1:10" ht="11.25" customHeight="1" x14ac:dyDescent="0.2">
      <c r="A603" s="26" t="s">
        <v>25</v>
      </c>
      <c r="B603" s="18">
        <v>0</v>
      </c>
      <c r="C603" s="18">
        <v>0</v>
      </c>
      <c r="D603" s="18">
        <v>299.68602999999996</v>
      </c>
      <c r="E603" s="18">
        <v>357.51309974489885</v>
      </c>
      <c r="F603" s="18">
        <v>264.18167999999997</v>
      </c>
      <c r="G603" s="18">
        <v>352.80973817443135</v>
      </c>
      <c r="H603" s="19">
        <v>0.19295884344324921</v>
      </c>
      <c r="I603" s="19">
        <v>0.33548146932229139</v>
      </c>
      <c r="J603" s="19">
        <v>0.25973313477966342</v>
      </c>
    </row>
    <row r="604" spans="1:10" ht="11.25" customHeight="1" x14ac:dyDescent="0.2">
      <c r="A604" s="27" t="s">
        <v>35</v>
      </c>
      <c r="B604" s="18">
        <v>0</v>
      </c>
      <c r="C604" s="18">
        <v>0</v>
      </c>
      <c r="D604" s="18">
        <v>194.48511999999999</v>
      </c>
      <c r="E604" s="18">
        <v>221.47742701571852</v>
      </c>
      <c r="F604" s="18">
        <v>204.67104</v>
      </c>
      <c r="G604" s="18">
        <v>273.28329105720496</v>
      </c>
      <c r="H604" s="19">
        <v>0.13878854596032086</v>
      </c>
      <c r="I604" s="19">
        <v>0.33523184841981046</v>
      </c>
      <c r="J604" s="19">
        <v>0.23951667956952871</v>
      </c>
    </row>
    <row r="605" spans="1:10" ht="11.25" customHeight="1" x14ac:dyDescent="0.2">
      <c r="A605" s="28">
        <v>44501</v>
      </c>
      <c r="B605" s="18">
        <v>0</v>
      </c>
      <c r="C605" s="18">
        <v>0</v>
      </c>
      <c r="D605" s="18">
        <v>27.389279999999999</v>
      </c>
      <c r="E605" s="18">
        <v>31.190598346100092</v>
      </c>
      <c r="F605" s="18">
        <v>28.82376</v>
      </c>
      <c r="G605" s="18">
        <v>38.486402343208994</v>
      </c>
      <c r="H605" s="19">
        <v>0.13878854596032064</v>
      </c>
      <c r="I605" s="19">
        <v>0.33523184841981046</v>
      </c>
      <c r="J605" s="19">
        <v>0.23951667956952849</v>
      </c>
    </row>
    <row r="606" spans="1:10" ht="11.25" customHeight="1" x14ac:dyDescent="0.2">
      <c r="A606" s="28">
        <v>44531</v>
      </c>
      <c r="B606" s="18">
        <v>0</v>
      </c>
      <c r="C606" s="18">
        <v>0</v>
      </c>
      <c r="D606" s="18">
        <v>24.416799999999999</v>
      </c>
      <c r="E606" s="18">
        <v>27.805572169003959</v>
      </c>
      <c r="F606" s="18">
        <v>25.695600000000002</v>
      </c>
      <c r="G606" s="18">
        <v>34.309583484256081</v>
      </c>
      <c r="H606" s="19">
        <v>0.13878854596032086</v>
      </c>
      <c r="I606" s="19">
        <v>0.33523184841981024</v>
      </c>
      <c r="J606" s="19">
        <v>0.23951667956952849</v>
      </c>
    </row>
    <row r="607" spans="1:10" ht="11.25" customHeight="1" x14ac:dyDescent="0.2">
      <c r="A607" s="28">
        <v>44562</v>
      </c>
      <c r="B607" s="18">
        <v>0</v>
      </c>
      <c r="C607" s="18">
        <v>0</v>
      </c>
      <c r="D607" s="18">
        <v>37.580639999999995</v>
      </c>
      <c r="E607" s="18">
        <v>42.796402381858265</v>
      </c>
      <c r="F607" s="18">
        <v>39.548879999999997</v>
      </c>
      <c r="G607" s="18">
        <v>52.806924145333269</v>
      </c>
      <c r="H607" s="19">
        <v>0.13878854596032086</v>
      </c>
      <c r="I607" s="19">
        <v>0.33523184841981046</v>
      </c>
      <c r="J607" s="19">
        <v>0.23951667956952871</v>
      </c>
    </row>
    <row r="608" spans="1:10" ht="11.25" customHeight="1" x14ac:dyDescent="0.2">
      <c r="A608" s="28">
        <v>44593</v>
      </c>
      <c r="B608" s="18">
        <v>0</v>
      </c>
      <c r="C608" s="18">
        <v>0</v>
      </c>
      <c r="D608" s="18">
        <v>28.450880000000002</v>
      </c>
      <c r="E608" s="18">
        <v>32.399536266491573</v>
      </c>
      <c r="F608" s="18">
        <v>29.94096</v>
      </c>
      <c r="G608" s="18">
        <v>39.97812336426361</v>
      </c>
      <c r="H608" s="19">
        <v>0.13878854596032086</v>
      </c>
      <c r="I608" s="19">
        <v>0.33523184841981046</v>
      </c>
      <c r="J608" s="19">
        <v>0.23951667956952849</v>
      </c>
    </row>
    <row r="609" spans="1:10" ht="11.25" customHeight="1" x14ac:dyDescent="0.2">
      <c r="A609" s="28">
        <v>44621</v>
      </c>
      <c r="B609" s="18">
        <v>0</v>
      </c>
      <c r="C609" s="18">
        <v>0</v>
      </c>
      <c r="D609" s="18">
        <v>24.841440000000002</v>
      </c>
      <c r="E609" s="18">
        <v>28.28914733716055</v>
      </c>
      <c r="F609" s="18">
        <v>26.142480000000003</v>
      </c>
      <c r="G609" s="18">
        <v>34.906271892677928</v>
      </c>
      <c r="H609" s="19">
        <v>0.13878854596032064</v>
      </c>
      <c r="I609" s="19">
        <v>0.33523184841981046</v>
      </c>
      <c r="J609" s="19">
        <v>0.23951667956952849</v>
      </c>
    </row>
    <row r="610" spans="1:10" ht="11.25" customHeight="1" x14ac:dyDescent="0.2">
      <c r="A610" s="28">
        <v>44652</v>
      </c>
      <c r="B610" s="18">
        <v>0</v>
      </c>
      <c r="C610" s="18">
        <v>0</v>
      </c>
      <c r="D610" s="18">
        <v>24.841440000000002</v>
      </c>
      <c r="E610" s="18">
        <v>28.28914733716055</v>
      </c>
      <c r="F610" s="18">
        <v>26.142480000000003</v>
      </c>
      <c r="G610" s="18">
        <v>34.906271892677928</v>
      </c>
      <c r="H610" s="19">
        <v>0.13878854596032064</v>
      </c>
      <c r="I610" s="19">
        <v>0.33523184841981046</v>
      </c>
      <c r="J610" s="19">
        <v>0.23951667956952849</v>
      </c>
    </row>
    <row r="611" spans="1:10" ht="11.25" customHeight="1" x14ac:dyDescent="0.2">
      <c r="A611" s="28">
        <v>44682</v>
      </c>
      <c r="B611" s="18">
        <v>0</v>
      </c>
      <c r="C611" s="18">
        <v>0</v>
      </c>
      <c r="D611" s="18">
        <v>26.964639999999999</v>
      </c>
      <c r="E611" s="18">
        <v>30.707023177943501</v>
      </c>
      <c r="F611" s="18">
        <v>28.37688</v>
      </c>
      <c r="G611" s="18">
        <v>37.889713934787153</v>
      </c>
      <c r="H611" s="19">
        <v>0.13878854596032064</v>
      </c>
      <c r="I611" s="19">
        <v>0.33523184841981046</v>
      </c>
      <c r="J611" s="19">
        <v>0.23951667956952849</v>
      </c>
    </row>
    <row r="612" spans="1:10" ht="11.25" customHeight="1" x14ac:dyDescent="0.2">
      <c r="A612" s="27" t="s">
        <v>36</v>
      </c>
      <c r="B612" s="18">
        <v>0</v>
      </c>
      <c r="C612" s="18">
        <v>0</v>
      </c>
      <c r="D612" s="18">
        <v>32.35275</v>
      </c>
      <c r="E612" s="18">
        <v>40.915355053331773</v>
      </c>
      <c r="F612" s="18">
        <v>16.758000000000003</v>
      </c>
      <c r="G612" s="18">
        <v>22.375815315819182</v>
      </c>
      <c r="H612" s="19">
        <v>0.26466390193512979</v>
      </c>
      <c r="I612" s="19">
        <v>0.33523184841981002</v>
      </c>
      <c r="J612" s="19">
        <v>0.28874371434260215</v>
      </c>
    </row>
    <row r="613" spans="1:10" ht="11.25" customHeight="1" x14ac:dyDescent="0.2">
      <c r="A613" s="28">
        <v>44501</v>
      </c>
      <c r="B613" s="18">
        <v>0</v>
      </c>
      <c r="C613" s="18">
        <v>0</v>
      </c>
      <c r="D613" s="18">
        <v>4.3136999999999999</v>
      </c>
      <c r="E613" s="18">
        <v>5.4553806737775696</v>
      </c>
      <c r="F613" s="18">
        <v>2.2343999999999999</v>
      </c>
      <c r="G613" s="18">
        <v>2.9834420421092247</v>
      </c>
      <c r="H613" s="19">
        <v>0.26466390193512979</v>
      </c>
      <c r="I613" s="19">
        <v>0.33523184841981069</v>
      </c>
      <c r="J613" s="19">
        <v>0.28874371434260215</v>
      </c>
    </row>
    <row r="614" spans="1:10" ht="11.25" customHeight="1" x14ac:dyDescent="0.2">
      <c r="A614" s="28">
        <v>44531</v>
      </c>
      <c r="B614" s="18">
        <v>0</v>
      </c>
      <c r="C614" s="18">
        <v>0</v>
      </c>
      <c r="D614" s="18">
        <v>3.8823299999999996</v>
      </c>
      <c r="E614" s="18">
        <v>4.9098426063998124</v>
      </c>
      <c r="F614" s="18">
        <v>2.0109599999999999</v>
      </c>
      <c r="G614" s="18">
        <v>2.6850978378983017</v>
      </c>
      <c r="H614" s="19">
        <v>0.26466390193513001</v>
      </c>
      <c r="I614" s="19">
        <v>0.33523184841981046</v>
      </c>
      <c r="J614" s="19">
        <v>0.28874371434260238</v>
      </c>
    </row>
    <row r="615" spans="1:10" ht="11.25" customHeight="1" x14ac:dyDescent="0.2">
      <c r="A615" s="28">
        <v>44562</v>
      </c>
      <c r="B615" s="18">
        <v>0</v>
      </c>
      <c r="C615" s="18">
        <v>0</v>
      </c>
      <c r="D615" s="18">
        <v>5.6078099999999997</v>
      </c>
      <c r="E615" s="18">
        <v>7.0919948759108404</v>
      </c>
      <c r="F615" s="18">
        <v>2.9047199999999997</v>
      </c>
      <c r="G615" s="18">
        <v>3.8784746547419915</v>
      </c>
      <c r="H615" s="19">
        <v>0.26466390193512979</v>
      </c>
      <c r="I615" s="19">
        <v>0.33523184841981046</v>
      </c>
      <c r="J615" s="19">
        <v>0.28874371434260215</v>
      </c>
    </row>
    <row r="616" spans="1:10" ht="11.25" customHeight="1" x14ac:dyDescent="0.2">
      <c r="A616" s="28">
        <v>44593</v>
      </c>
      <c r="B616" s="18">
        <v>0</v>
      </c>
      <c r="C616" s="18">
        <v>0</v>
      </c>
      <c r="D616" s="18">
        <v>5.1764400000000004</v>
      </c>
      <c r="E616" s="18">
        <v>6.5464568085330841</v>
      </c>
      <c r="F616" s="18">
        <v>2.6812800000000001</v>
      </c>
      <c r="G616" s="18">
        <v>3.5801304505310694</v>
      </c>
      <c r="H616" s="19">
        <v>0.26466390193512979</v>
      </c>
      <c r="I616" s="19">
        <v>0.33523184841981046</v>
      </c>
      <c r="J616" s="19">
        <v>0.28874371434260238</v>
      </c>
    </row>
    <row r="617" spans="1:10" ht="11.25" customHeight="1" x14ac:dyDescent="0.2">
      <c r="A617" s="28">
        <v>44621</v>
      </c>
      <c r="B617" s="18">
        <v>0</v>
      </c>
      <c r="C617" s="18">
        <v>0</v>
      </c>
      <c r="D617" s="18">
        <v>4.3136999999999999</v>
      </c>
      <c r="E617" s="18">
        <v>5.4553806737775696</v>
      </c>
      <c r="F617" s="18">
        <v>2.2343999999999999</v>
      </c>
      <c r="G617" s="18">
        <v>2.9834420421092247</v>
      </c>
      <c r="H617" s="19">
        <v>0.26466390193512979</v>
      </c>
      <c r="I617" s="19">
        <v>0.33523184841981069</v>
      </c>
      <c r="J617" s="19">
        <v>0.28874371434260215</v>
      </c>
    </row>
    <row r="618" spans="1:10" ht="11.25" customHeight="1" x14ac:dyDescent="0.2">
      <c r="A618" s="28">
        <v>44652</v>
      </c>
      <c r="B618" s="18">
        <v>0</v>
      </c>
      <c r="C618" s="18">
        <v>0</v>
      </c>
      <c r="D618" s="18">
        <v>4.3136999999999999</v>
      </c>
      <c r="E618" s="18">
        <v>5.4553806737775696</v>
      </c>
      <c r="F618" s="18">
        <v>2.2343999999999999</v>
      </c>
      <c r="G618" s="18">
        <v>2.9834420421092247</v>
      </c>
      <c r="H618" s="19">
        <v>0.26466390193512979</v>
      </c>
      <c r="I618" s="19">
        <v>0.33523184841981069</v>
      </c>
      <c r="J618" s="19">
        <v>0.28874371434260215</v>
      </c>
    </row>
    <row r="619" spans="1:10" ht="11.25" customHeight="1" x14ac:dyDescent="0.2">
      <c r="A619" s="28">
        <v>44682</v>
      </c>
      <c r="B619" s="18">
        <v>0</v>
      </c>
      <c r="C619" s="18">
        <v>0</v>
      </c>
      <c r="D619" s="18">
        <v>4.7450700000000001</v>
      </c>
      <c r="E619" s="18">
        <v>6.0009187411553269</v>
      </c>
      <c r="F619" s="18">
        <v>2.45784</v>
      </c>
      <c r="G619" s="18">
        <v>3.2817862463201468</v>
      </c>
      <c r="H619" s="19">
        <v>0.26466390193512979</v>
      </c>
      <c r="I619" s="19">
        <v>0.33523184841981046</v>
      </c>
      <c r="J619" s="19">
        <v>0.28874371434260215</v>
      </c>
    </row>
    <row r="620" spans="1:10" ht="11.25" customHeight="1" x14ac:dyDescent="0.2">
      <c r="A620" s="27" t="s">
        <v>34</v>
      </c>
      <c r="B620" s="18">
        <v>0</v>
      </c>
      <c r="C620" s="18">
        <v>0</v>
      </c>
      <c r="D620" s="18">
        <v>72.848159999999993</v>
      </c>
      <c r="E620" s="18">
        <v>95.120317675848483</v>
      </c>
      <c r="F620" s="18">
        <v>42.752640000000007</v>
      </c>
      <c r="G620" s="18">
        <v>57.150631801407215</v>
      </c>
      <c r="H620" s="19">
        <v>0.30573397702630367</v>
      </c>
      <c r="I620" s="19">
        <v>0.33677433256536227</v>
      </c>
      <c r="J620" s="19">
        <v>0.31721363067777819</v>
      </c>
    </row>
    <row r="621" spans="1:10" ht="11.25" customHeight="1" x14ac:dyDescent="0.2">
      <c r="A621" s="28">
        <v>44501</v>
      </c>
      <c r="B621" s="18">
        <v>0</v>
      </c>
      <c r="C621" s="18">
        <v>0</v>
      </c>
      <c r="D621" s="18">
        <v>9.7564499999999992</v>
      </c>
      <c r="E621" s="18">
        <v>12.739328260158279</v>
      </c>
      <c r="F621" s="18">
        <v>5.7258000000000004</v>
      </c>
      <c r="G621" s="18">
        <v>7.6541024734027516</v>
      </c>
      <c r="H621" s="19">
        <v>0.30573397702630367</v>
      </c>
      <c r="I621" s="19">
        <v>0.33677433256536227</v>
      </c>
      <c r="J621" s="19">
        <v>0.31721363067777819</v>
      </c>
    </row>
    <row r="622" spans="1:10" ht="11.25" customHeight="1" x14ac:dyDescent="0.2">
      <c r="A622" s="28">
        <v>44531</v>
      </c>
      <c r="B622" s="18">
        <v>0</v>
      </c>
      <c r="C622" s="18">
        <v>0</v>
      </c>
      <c r="D622" s="18">
        <v>8.4555899999999991</v>
      </c>
      <c r="E622" s="18">
        <v>11.040751158803841</v>
      </c>
      <c r="F622" s="18">
        <v>4.9623600000000003</v>
      </c>
      <c r="G622" s="18">
        <v>6.6335554769490512</v>
      </c>
      <c r="H622" s="19">
        <v>0.30573397702630367</v>
      </c>
      <c r="I622" s="19">
        <v>0.33677433256536227</v>
      </c>
      <c r="J622" s="19">
        <v>0.31721363067777819</v>
      </c>
    </row>
    <row r="623" spans="1:10" ht="11.25" customHeight="1" x14ac:dyDescent="0.2">
      <c r="A623" s="28">
        <v>44562</v>
      </c>
      <c r="B623" s="18">
        <v>0</v>
      </c>
      <c r="C623" s="18">
        <v>0</v>
      </c>
      <c r="D623" s="18">
        <v>12.358169999999999</v>
      </c>
      <c r="E623" s="18">
        <v>16.136482462867153</v>
      </c>
      <c r="F623" s="18">
        <v>7.2526800000000007</v>
      </c>
      <c r="G623" s="18">
        <v>9.6951964663101524</v>
      </c>
      <c r="H623" s="19">
        <v>0.30573397702630367</v>
      </c>
      <c r="I623" s="19">
        <v>0.33677433256536227</v>
      </c>
      <c r="J623" s="19">
        <v>0.31721363067777841</v>
      </c>
    </row>
    <row r="624" spans="1:10" ht="11.25" customHeight="1" x14ac:dyDescent="0.2">
      <c r="A624" s="28">
        <v>44593</v>
      </c>
      <c r="B624" s="18">
        <v>0</v>
      </c>
      <c r="C624" s="18">
        <v>0</v>
      </c>
      <c r="D624" s="18">
        <v>11.707739999999998</v>
      </c>
      <c r="E624" s="18">
        <v>15.287193912189935</v>
      </c>
      <c r="F624" s="18">
        <v>6.8709600000000002</v>
      </c>
      <c r="G624" s="18">
        <v>9.1849229680833009</v>
      </c>
      <c r="H624" s="19">
        <v>0.30573397702630367</v>
      </c>
      <c r="I624" s="19">
        <v>0.33677433256536204</v>
      </c>
      <c r="J624" s="19">
        <v>0.31721363067777819</v>
      </c>
    </row>
    <row r="625" spans="1:10" ht="11.25" customHeight="1" x14ac:dyDescent="0.2">
      <c r="A625" s="28">
        <v>44621</v>
      </c>
      <c r="B625" s="18">
        <v>0</v>
      </c>
      <c r="C625" s="18">
        <v>0</v>
      </c>
      <c r="D625" s="18">
        <v>9.7564499999999992</v>
      </c>
      <c r="E625" s="18">
        <v>12.739328260158279</v>
      </c>
      <c r="F625" s="18">
        <v>5.7258000000000004</v>
      </c>
      <c r="G625" s="18">
        <v>7.6541024734027516</v>
      </c>
      <c r="H625" s="19">
        <v>0.30573397702630367</v>
      </c>
      <c r="I625" s="19">
        <v>0.33677433256536227</v>
      </c>
      <c r="J625" s="19">
        <v>0.31721363067777819</v>
      </c>
    </row>
    <row r="626" spans="1:10" ht="11.25" customHeight="1" x14ac:dyDescent="0.2">
      <c r="A626" s="28">
        <v>44652</v>
      </c>
      <c r="B626" s="18">
        <v>0</v>
      </c>
      <c r="C626" s="18">
        <v>0</v>
      </c>
      <c r="D626" s="18">
        <v>9.7564499999999992</v>
      </c>
      <c r="E626" s="18">
        <v>12.739328260158279</v>
      </c>
      <c r="F626" s="18">
        <v>5.7258000000000004</v>
      </c>
      <c r="G626" s="18">
        <v>7.6541024734027516</v>
      </c>
      <c r="H626" s="19">
        <v>0.30573397702630367</v>
      </c>
      <c r="I626" s="19">
        <v>0.33677433256536227</v>
      </c>
      <c r="J626" s="19">
        <v>0.31721363067777819</v>
      </c>
    </row>
    <row r="627" spans="1:10" ht="11.25" customHeight="1" x14ac:dyDescent="0.2">
      <c r="A627" s="28">
        <v>44682</v>
      </c>
      <c r="B627" s="18">
        <v>0</v>
      </c>
      <c r="C627" s="18">
        <v>0</v>
      </c>
      <c r="D627" s="18">
        <v>11.057309999999999</v>
      </c>
      <c r="E627" s="18">
        <v>14.437905361512717</v>
      </c>
      <c r="F627" s="18">
        <v>6.4892400000000006</v>
      </c>
      <c r="G627" s="18">
        <v>8.6746494698564529</v>
      </c>
      <c r="H627" s="19">
        <v>0.30573397702630367</v>
      </c>
      <c r="I627" s="19">
        <v>0.33677433256536249</v>
      </c>
      <c r="J627" s="19">
        <v>0.31721363067777819</v>
      </c>
    </row>
    <row r="628" spans="1:10" ht="11.25" customHeight="1" x14ac:dyDescent="0.2">
      <c r="A628" s="22" t="s">
        <v>23</v>
      </c>
      <c r="B628" s="18">
        <v>0</v>
      </c>
      <c r="C628" s="18">
        <v>0</v>
      </c>
      <c r="D628" s="18">
        <v>14911490.267360399</v>
      </c>
      <c r="E628" s="18">
        <v>17814999.702326752</v>
      </c>
      <c r="F628" s="18">
        <v>12883029.112894898</v>
      </c>
      <c r="G628" s="18">
        <v>17204502.136540785</v>
      </c>
      <c r="H628" s="19">
        <v>0.19471624786704322</v>
      </c>
      <c r="I628" s="19">
        <v>0.33543920344947709</v>
      </c>
      <c r="J628" s="19">
        <v>0.25994270164443756</v>
      </c>
    </row>
    <row r="629" spans="1:10" ht="11.25" customHeight="1" x14ac:dyDescent="0.2">
      <c r="A629" s="23" t="s">
        <v>44</v>
      </c>
      <c r="B629" s="18">
        <v>0</v>
      </c>
      <c r="C629" s="18">
        <v>0</v>
      </c>
      <c r="D629" s="18">
        <v>14911490.267360399</v>
      </c>
      <c r="E629" s="18">
        <v>17814999.702326752</v>
      </c>
      <c r="F629" s="18">
        <v>12883029.112894898</v>
      </c>
      <c r="G629" s="18">
        <v>17204502.136540785</v>
      </c>
      <c r="H629" s="19">
        <v>0.19471624786704322</v>
      </c>
      <c r="I629" s="19">
        <v>0.33543920344947709</v>
      </c>
      <c r="J629" s="19">
        <v>0.25994270164443756</v>
      </c>
    </row>
    <row r="630" spans="1:10" ht="11.25" customHeight="1" x14ac:dyDescent="0.2">
      <c r="A630" s="24" t="s">
        <v>52</v>
      </c>
      <c r="B630" s="18">
        <v>0</v>
      </c>
      <c r="C630" s="18">
        <v>0</v>
      </c>
      <c r="D630" s="18">
        <v>126776.2232904</v>
      </c>
      <c r="E630" s="18">
        <v>154175.53975248951</v>
      </c>
      <c r="F630" s="18">
        <v>111493.01152490001</v>
      </c>
      <c r="G630" s="18">
        <v>148892.13850099579</v>
      </c>
      <c r="H630" s="19">
        <v>0.21612346346149791</v>
      </c>
      <c r="I630" s="19">
        <v>0.33543920344947709</v>
      </c>
      <c r="J630" s="19">
        <v>0.27195472167615464</v>
      </c>
    </row>
    <row r="631" spans="1:10" ht="11.25" customHeight="1" x14ac:dyDescent="0.2">
      <c r="A631" s="25" t="s">
        <v>53</v>
      </c>
      <c r="B631" s="18">
        <v>0</v>
      </c>
      <c r="C631" s="18">
        <v>0</v>
      </c>
      <c r="D631" s="18">
        <v>78650.507669999992</v>
      </c>
      <c r="E631" s="18">
        <v>93950.602095966547</v>
      </c>
      <c r="F631" s="18">
        <v>67940.968970000002</v>
      </c>
      <c r="G631" s="18">
        <v>90731.033482882412</v>
      </c>
      <c r="H631" s="19">
        <v>0.19453268490220421</v>
      </c>
      <c r="I631" s="19">
        <v>0.33543920344947753</v>
      </c>
      <c r="J631" s="19">
        <v>0.25983883791818907</v>
      </c>
    </row>
    <row r="632" spans="1:10" ht="11.25" customHeight="1" x14ac:dyDescent="0.2">
      <c r="A632" s="26" t="s">
        <v>25</v>
      </c>
      <c r="B632" s="18">
        <v>0</v>
      </c>
      <c r="C632" s="18">
        <v>0</v>
      </c>
      <c r="D632" s="18">
        <v>78650.507669999992</v>
      </c>
      <c r="E632" s="18">
        <v>93950.602095966547</v>
      </c>
      <c r="F632" s="18">
        <v>67940.968970000002</v>
      </c>
      <c r="G632" s="18">
        <v>90731.033482882412</v>
      </c>
      <c r="H632" s="19">
        <v>0.19453268490220421</v>
      </c>
      <c r="I632" s="19">
        <v>0.33543920344947753</v>
      </c>
      <c r="J632" s="19">
        <v>0.25983883791818907</v>
      </c>
    </row>
    <row r="633" spans="1:10" ht="11.25" customHeight="1" x14ac:dyDescent="0.2">
      <c r="A633" s="27" t="s">
        <v>25</v>
      </c>
      <c r="B633" s="18">
        <v>0</v>
      </c>
      <c r="C633" s="18">
        <v>0</v>
      </c>
      <c r="D633" s="18">
        <v>78650.507669999992</v>
      </c>
      <c r="E633" s="18">
        <v>93950.602095966547</v>
      </c>
      <c r="F633" s="18">
        <v>67940.968970000002</v>
      </c>
      <c r="G633" s="18">
        <v>90731.033482882412</v>
      </c>
      <c r="H633" s="19">
        <v>0.19453268490220421</v>
      </c>
      <c r="I633" s="19">
        <v>0.33543920344947753</v>
      </c>
      <c r="J633" s="19">
        <v>0.25983883791818907</v>
      </c>
    </row>
    <row r="634" spans="1:10" ht="11.25" customHeight="1" x14ac:dyDescent="0.2">
      <c r="A634" s="28">
        <v>44501</v>
      </c>
      <c r="B634" s="18">
        <v>0</v>
      </c>
      <c r="C634" s="18">
        <v>0</v>
      </c>
      <c r="D634" s="18">
        <v>9231.1670699999995</v>
      </c>
      <c r="E634" s="18">
        <v>11026.930784907914</v>
      </c>
      <c r="F634" s="18">
        <v>7974.1943699999993</v>
      </c>
      <c r="G634" s="18">
        <v>10649.051777624103</v>
      </c>
      <c r="H634" s="19">
        <v>0.19453268490220443</v>
      </c>
      <c r="I634" s="19">
        <v>0.33543920344947709</v>
      </c>
      <c r="J634" s="19">
        <v>0.25983883791818885</v>
      </c>
    </row>
    <row r="635" spans="1:10" ht="11.25" customHeight="1" x14ac:dyDescent="0.2">
      <c r="A635" s="28">
        <v>44531</v>
      </c>
      <c r="B635" s="18">
        <v>0</v>
      </c>
      <c r="C635" s="18">
        <v>0</v>
      </c>
      <c r="D635" s="18">
        <v>7655.52171</v>
      </c>
      <c r="E635" s="18">
        <v>9144.7709025734148</v>
      </c>
      <c r="F635" s="18">
        <v>6613.09861</v>
      </c>
      <c r="G635" s="18">
        <v>8831.3911400712423</v>
      </c>
      <c r="H635" s="19">
        <v>0.19453268490220443</v>
      </c>
      <c r="I635" s="19">
        <v>0.33543920344947686</v>
      </c>
      <c r="J635" s="19">
        <v>0.25983883791818885</v>
      </c>
    </row>
    <row r="636" spans="1:10" ht="11.25" customHeight="1" x14ac:dyDescent="0.2">
      <c r="A636" s="28">
        <v>44562</v>
      </c>
      <c r="B636" s="18">
        <v>0</v>
      </c>
      <c r="C636" s="18">
        <v>0</v>
      </c>
      <c r="D636" s="18">
        <v>14282.436270000002</v>
      </c>
      <c r="E636" s="18">
        <v>17060.836944547726</v>
      </c>
      <c r="F636" s="18">
        <v>12337.65157</v>
      </c>
      <c r="G636" s="18">
        <v>16476.18358507799</v>
      </c>
      <c r="H636" s="19">
        <v>0.19453268490220421</v>
      </c>
      <c r="I636" s="19">
        <v>0.33543920344947709</v>
      </c>
      <c r="J636" s="19">
        <v>0.25983883791818929</v>
      </c>
    </row>
    <row r="637" spans="1:10" ht="11.25" customHeight="1" x14ac:dyDescent="0.2">
      <c r="A637" s="28">
        <v>44593</v>
      </c>
      <c r="B637" s="18">
        <v>0</v>
      </c>
      <c r="C637" s="18">
        <v>0</v>
      </c>
      <c r="D637" s="18">
        <v>15391.578840000002</v>
      </c>
      <c r="E637" s="18">
        <v>18385.743996629157</v>
      </c>
      <c r="F637" s="18">
        <v>13295.766439999999</v>
      </c>
      <c r="G637" s="18">
        <v>17755.687743883889</v>
      </c>
      <c r="H637" s="19">
        <v>0.19453268490220421</v>
      </c>
      <c r="I637" s="19">
        <v>0.33543920344947709</v>
      </c>
      <c r="J637" s="19">
        <v>0.25983883791818885</v>
      </c>
    </row>
    <row r="638" spans="1:10" ht="11.25" customHeight="1" x14ac:dyDescent="0.2">
      <c r="A638" s="28">
        <v>44621</v>
      </c>
      <c r="B638" s="18">
        <v>0</v>
      </c>
      <c r="C638" s="18">
        <v>0</v>
      </c>
      <c r="D638" s="18">
        <v>4408.9033500000005</v>
      </c>
      <c r="E638" s="18">
        <v>5266.5791561498236</v>
      </c>
      <c r="F638" s="18">
        <v>3808.5598500000006</v>
      </c>
      <c r="G638" s="18">
        <v>5086.10013237366</v>
      </c>
      <c r="H638" s="19">
        <v>0.19453268490220421</v>
      </c>
      <c r="I638" s="19">
        <v>0.33543920344947686</v>
      </c>
      <c r="J638" s="19">
        <v>0.25983883791818863</v>
      </c>
    </row>
    <row r="639" spans="1:10" ht="11.25" customHeight="1" x14ac:dyDescent="0.2">
      <c r="A639" s="28">
        <v>44652</v>
      </c>
      <c r="B639" s="18">
        <v>0</v>
      </c>
      <c r="C639" s="18">
        <v>0</v>
      </c>
      <c r="D639" s="18">
        <v>4408.9033500000005</v>
      </c>
      <c r="E639" s="18">
        <v>5266.5791561498236</v>
      </c>
      <c r="F639" s="18">
        <v>3808.5598500000006</v>
      </c>
      <c r="G639" s="18">
        <v>5086.10013237366</v>
      </c>
      <c r="H639" s="19">
        <v>0.19453268490220421</v>
      </c>
      <c r="I639" s="19">
        <v>0.33543920344947686</v>
      </c>
      <c r="J639" s="19">
        <v>0.25983883791818863</v>
      </c>
    </row>
    <row r="640" spans="1:10" ht="11.25" customHeight="1" x14ac:dyDescent="0.2">
      <c r="A640" s="28">
        <v>44682</v>
      </c>
      <c r="B640" s="18">
        <v>0</v>
      </c>
      <c r="C640" s="18">
        <v>0</v>
      </c>
      <c r="D640" s="18">
        <v>-1812.3208800000002</v>
      </c>
      <c r="E640" s="18">
        <v>-2164.8765266907258</v>
      </c>
      <c r="F640" s="18">
        <v>-1565.5440800000001</v>
      </c>
      <c r="G640" s="18">
        <v>-2090.688939160244</v>
      </c>
      <c r="H640" s="19">
        <v>0.19453268490220421</v>
      </c>
      <c r="I640" s="19">
        <v>0.33543920344947664</v>
      </c>
      <c r="J640" s="19">
        <v>0.25983883791818885</v>
      </c>
    </row>
    <row r="641" spans="1:10" ht="11.25" customHeight="1" x14ac:dyDescent="0.2">
      <c r="A641" s="28">
        <v>44713</v>
      </c>
      <c r="B641" s="18">
        <v>0</v>
      </c>
      <c r="C641" s="18">
        <v>0</v>
      </c>
      <c r="D641" s="18">
        <v>1856.1496799999998</v>
      </c>
      <c r="E641" s="18">
        <v>2217.2314608307674</v>
      </c>
      <c r="F641" s="18">
        <v>1603.4048799999998</v>
      </c>
      <c r="G641" s="18">
        <v>2141.2497357542043</v>
      </c>
      <c r="H641" s="19">
        <v>0.19453268490220443</v>
      </c>
      <c r="I641" s="19">
        <v>0.33543920344947709</v>
      </c>
      <c r="J641" s="19">
        <v>0.25983883791818907</v>
      </c>
    </row>
    <row r="642" spans="1:10" ht="11.25" customHeight="1" x14ac:dyDescent="0.2">
      <c r="A642" s="28">
        <v>44743</v>
      </c>
      <c r="B642" s="18">
        <v>0</v>
      </c>
      <c r="C642" s="18">
        <v>0</v>
      </c>
      <c r="D642" s="18">
        <v>2118.5746199999999</v>
      </c>
      <c r="E642" s="18">
        <v>2530.7066289942672</v>
      </c>
      <c r="F642" s="18">
        <v>1830.0964199999999</v>
      </c>
      <c r="G642" s="18">
        <v>2443.9825053605396</v>
      </c>
      <c r="H642" s="19">
        <v>0.19453268490220443</v>
      </c>
      <c r="I642" s="19">
        <v>0.33543920344947709</v>
      </c>
      <c r="J642" s="19">
        <v>0.25983883791818907</v>
      </c>
    </row>
    <row r="643" spans="1:10" ht="11.25" customHeight="1" x14ac:dyDescent="0.2">
      <c r="A643" s="28">
        <v>44774</v>
      </c>
      <c r="B643" s="18">
        <v>0</v>
      </c>
      <c r="C643" s="18">
        <v>0</v>
      </c>
      <c r="D643" s="18">
        <v>3025.2829200000001</v>
      </c>
      <c r="E643" s="18">
        <v>3613.7993290163809</v>
      </c>
      <c r="F643" s="18">
        <v>2613.3417199999999</v>
      </c>
      <c r="G643" s="18">
        <v>3489.9589848980863</v>
      </c>
      <c r="H643" s="19">
        <v>0.19453268490220443</v>
      </c>
      <c r="I643" s="19">
        <v>0.33543920344947709</v>
      </c>
      <c r="J643" s="19">
        <v>0.25983883791818907</v>
      </c>
    </row>
    <row r="644" spans="1:10" ht="11.25" customHeight="1" x14ac:dyDescent="0.2">
      <c r="A644" s="28">
        <v>44805</v>
      </c>
      <c r="B644" s="18">
        <v>0</v>
      </c>
      <c r="C644" s="18">
        <v>0</v>
      </c>
      <c r="D644" s="18">
        <v>9042.1553700000004</v>
      </c>
      <c r="E644" s="18">
        <v>10801.150131428985</v>
      </c>
      <c r="F644" s="18">
        <v>7810.9196699999993</v>
      </c>
      <c r="G644" s="18">
        <v>10431.008342312653</v>
      </c>
      <c r="H644" s="19">
        <v>0.19453268490220443</v>
      </c>
      <c r="I644" s="19">
        <v>0.33543920344947731</v>
      </c>
      <c r="J644" s="19">
        <v>0.25983883791818907</v>
      </c>
    </row>
    <row r="645" spans="1:10" ht="11.25" customHeight="1" x14ac:dyDescent="0.2">
      <c r="A645" s="28">
        <v>44835</v>
      </c>
      <c r="B645" s="18">
        <v>0</v>
      </c>
      <c r="C645" s="18">
        <v>0</v>
      </c>
      <c r="D645" s="18">
        <v>9042.1553700000004</v>
      </c>
      <c r="E645" s="18">
        <v>10801.150131428985</v>
      </c>
      <c r="F645" s="18">
        <v>7810.9196699999993</v>
      </c>
      <c r="G645" s="18">
        <v>10431.008342312653</v>
      </c>
      <c r="H645" s="19">
        <v>0.19453268490220443</v>
      </c>
      <c r="I645" s="19">
        <v>0.33543920344947731</v>
      </c>
      <c r="J645" s="19">
        <v>0.25983883791818907</v>
      </c>
    </row>
    <row r="646" spans="1:10" ht="11.25" customHeight="1" x14ac:dyDescent="0.2">
      <c r="A646" s="25" t="s">
        <v>54</v>
      </c>
      <c r="B646" s="18">
        <v>0</v>
      </c>
      <c r="C646" s="18">
        <v>0</v>
      </c>
      <c r="D646" s="18">
        <v>48125.715620400013</v>
      </c>
      <c r="E646" s="18">
        <v>60224.937656522969</v>
      </c>
      <c r="F646" s="18">
        <v>43552.042554899992</v>
      </c>
      <c r="G646" s="18">
        <v>58161.105018113391</v>
      </c>
      <c r="H646" s="19">
        <v>0.25140866748990631</v>
      </c>
      <c r="I646" s="19">
        <v>0.33543920344947709</v>
      </c>
      <c r="J646" s="19">
        <v>0.2913278534611039</v>
      </c>
    </row>
    <row r="647" spans="1:10" ht="11.25" customHeight="1" x14ac:dyDescent="0.2">
      <c r="A647" s="26" t="s">
        <v>25</v>
      </c>
      <c r="B647" s="18">
        <v>0</v>
      </c>
      <c r="C647" s="18">
        <v>0</v>
      </c>
      <c r="D647" s="18">
        <v>48125.715620400013</v>
      </c>
      <c r="E647" s="18">
        <v>60224.937656522969</v>
      </c>
      <c r="F647" s="18">
        <v>43552.042554899992</v>
      </c>
      <c r="G647" s="18">
        <v>58161.105018113391</v>
      </c>
      <c r="H647" s="19">
        <v>0.25140866748990631</v>
      </c>
      <c r="I647" s="19">
        <v>0.33543920344947709</v>
      </c>
      <c r="J647" s="19">
        <v>0.2913278534611039</v>
      </c>
    </row>
    <row r="648" spans="1:10" ht="11.25" customHeight="1" x14ac:dyDescent="0.2">
      <c r="A648" s="27" t="s">
        <v>25</v>
      </c>
      <c r="B648" s="18">
        <v>0</v>
      </c>
      <c r="C648" s="18">
        <v>0</v>
      </c>
      <c r="D648" s="18">
        <v>48125.715620400013</v>
      </c>
      <c r="E648" s="18">
        <v>60224.937656522969</v>
      </c>
      <c r="F648" s="18">
        <v>43552.042554899992</v>
      </c>
      <c r="G648" s="18">
        <v>58161.105018113391</v>
      </c>
      <c r="H648" s="19">
        <v>0.25140866748990631</v>
      </c>
      <c r="I648" s="19">
        <v>0.33543920344947709</v>
      </c>
      <c r="J648" s="19">
        <v>0.2913278534611039</v>
      </c>
    </row>
    <row r="649" spans="1:10" ht="11.25" customHeight="1" x14ac:dyDescent="0.2">
      <c r="A649" s="28">
        <v>44501</v>
      </c>
      <c r="B649" s="18">
        <v>0</v>
      </c>
      <c r="C649" s="18">
        <v>0</v>
      </c>
      <c r="D649" s="18">
        <v>4433.9294339999997</v>
      </c>
      <c r="E649" s="18">
        <v>5548.6577247462164</v>
      </c>
      <c r="F649" s="18">
        <v>4012.5467414999998</v>
      </c>
      <c r="G649" s="18">
        <v>5358.5122242725538</v>
      </c>
      <c r="H649" s="19">
        <v>0.25140866748990676</v>
      </c>
      <c r="I649" s="19">
        <v>0.33543920344947686</v>
      </c>
      <c r="J649" s="19">
        <v>0.29132785346110412</v>
      </c>
    </row>
    <row r="650" spans="1:10" ht="11.25" customHeight="1" x14ac:dyDescent="0.2">
      <c r="A650" s="28">
        <v>44531</v>
      </c>
      <c r="B650" s="18">
        <v>0</v>
      </c>
      <c r="C650" s="18">
        <v>0</v>
      </c>
      <c r="D650" s="18">
        <v>4850.6161175999996</v>
      </c>
      <c r="E650" s="18">
        <v>6070.1030522308802</v>
      </c>
      <c r="F650" s="18">
        <v>4389.6332106</v>
      </c>
      <c r="G650" s="18">
        <v>5862.088278199034</v>
      </c>
      <c r="H650" s="19">
        <v>0.25140866748990676</v>
      </c>
      <c r="I650" s="19">
        <v>0.33543920344947686</v>
      </c>
      <c r="J650" s="19">
        <v>0.29132785346110412</v>
      </c>
    </row>
    <row r="651" spans="1:10" ht="11.25" customHeight="1" x14ac:dyDescent="0.2">
      <c r="A651" s="28">
        <v>44562</v>
      </c>
      <c r="B651" s="18">
        <v>0</v>
      </c>
      <c r="C651" s="18">
        <v>0</v>
      </c>
      <c r="D651" s="18">
        <v>9847.6636500000022</v>
      </c>
      <c r="E651" s="18">
        <v>12323.451646135292</v>
      </c>
      <c r="F651" s="18">
        <v>8911.7815874999997</v>
      </c>
      <c r="G651" s="18">
        <v>11901.142504526717</v>
      </c>
      <c r="H651" s="19">
        <v>0.25140866748990653</v>
      </c>
      <c r="I651" s="19">
        <v>0.33543920344947731</v>
      </c>
      <c r="J651" s="19">
        <v>0.2913278534611039</v>
      </c>
    </row>
    <row r="652" spans="1:10" ht="11.25" customHeight="1" x14ac:dyDescent="0.2">
      <c r="A652" s="28">
        <v>44593</v>
      </c>
      <c r="B652" s="18">
        <v>0</v>
      </c>
      <c r="C652" s="18">
        <v>0</v>
      </c>
      <c r="D652" s="18">
        <v>8716.3364376000009</v>
      </c>
      <c r="E652" s="18">
        <v>10907.698966770737</v>
      </c>
      <c r="F652" s="18">
        <v>7887.9711305999999</v>
      </c>
      <c r="G652" s="18">
        <v>10533.905883480935</v>
      </c>
      <c r="H652" s="19">
        <v>0.25140866748990653</v>
      </c>
      <c r="I652" s="19">
        <v>0.33543920344947709</v>
      </c>
      <c r="J652" s="19">
        <v>0.2913278534611039</v>
      </c>
    </row>
    <row r="653" spans="1:10" ht="11.25" customHeight="1" x14ac:dyDescent="0.2">
      <c r="A653" s="28">
        <v>44621</v>
      </c>
      <c r="B653" s="18">
        <v>0</v>
      </c>
      <c r="C653" s="18">
        <v>0</v>
      </c>
      <c r="D653" s="18">
        <v>4167.9885852000007</v>
      </c>
      <c r="E653" s="18">
        <v>5215.8570415182739</v>
      </c>
      <c r="F653" s="18">
        <v>3771.8798336999998</v>
      </c>
      <c r="G653" s="18">
        <v>5037.1162006234736</v>
      </c>
      <c r="H653" s="19">
        <v>0.25140866748990653</v>
      </c>
      <c r="I653" s="19">
        <v>0.33543920344947709</v>
      </c>
      <c r="J653" s="19">
        <v>0.2913278534611039</v>
      </c>
    </row>
    <row r="654" spans="1:10" ht="11.25" customHeight="1" x14ac:dyDescent="0.2">
      <c r="A654" s="28">
        <v>44652</v>
      </c>
      <c r="B654" s="18">
        <v>0</v>
      </c>
      <c r="C654" s="18">
        <v>0</v>
      </c>
      <c r="D654" s="18">
        <v>4167.9885852000007</v>
      </c>
      <c r="E654" s="18">
        <v>5215.8570415182739</v>
      </c>
      <c r="F654" s="18">
        <v>3771.8798336999998</v>
      </c>
      <c r="G654" s="18">
        <v>5037.1162006234736</v>
      </c>
      <c r="H654" s="19">
        <v>0.25140866748990653</v>
      </c>
      <c r="I654" s="19">
        <v>0.33543920344947709</v>
      </c>
      <c r="J654" s="19">
        <v>0.2913278534611039</v>
      </c>
    </row>
    <row r="655" spans="1:10" ht="11.25" customHeight="1" x14ac:dyDescent="0.2">
      <c r="A655" s="28">
        <v>44682</v>
      </c>
      <c r="B655" s="18">
        <v>0</v>
      </c>
      <c r="C655" s="18">
        <v>0</v>
      </c>
      <c r="D655" s="18">
        <v>4099.9070376</v>
      </c>
      <c r="E655" s="18">
        <v>5130.6592027555071</v>
      </c>
      <c r="F655" s="18">
        <v>3710.2684805999997</v>
      </c>
      <c r="G655" s="18">
        <v>4954.8379843161656</v>
      </c>
      <c r="H655" s="19">
        <v>0.25140866748990676</v>
      </c>
      <c r="I655" s="19">
        <v>0.33543920344947709</v>
      </c>
      <c r="J655" s="19">
        <v>0.29132785346110412</v>
      </c>
    </row>
    <row r="656" spans="1:10" ht="11.25" customHeight="1" x14ac:dyDescent="0.2">
      <c r="A656" s="28">
        <v>44713</v>
      </c>
      <c r="B656" s="18">
        <v>0</v>
      </c>
      <c r="C656" s="18">
        <v>0</v>
      </c>
      <c r="D656" s="18">
        <v>37.104012000000012</v>
      </c>
      <c r="E656" s="18">
        <v>46.432282215449277</v>
      </c>
      <c r="F656" s="18">
        <v>33.577797000000032</v>
      </c>
      <c r="G656" s="18">
        <v>44.841106479268092</v>
      </c>
      <c r="H656" s="19">
        <v>0.2514086674899001</v>
      </c>
      <c r="I656" s="19">
        <v>0.33543920344947131</v>
      </c>
      <c r="J656" s="19">
        <v>0.29132785346109791</v>
      </c>
    </row>
    <row r="657" spans="1:10" ht="11.25" customHeight="1" x14ac:dyDescent="0.2">
      <c r="A657" s="28">
        <v>44743</v>
      </c>
      <c r="B657" s="18">
        <v>0</v>
      </c>
      <c r="C657" s="18">
        <v>0</v>
      </c>
      <c r="D657" s="18">
        <v>960.47618040000009</v>
      </c>
      <c r="E657" s="18">
        <v>1201.9482170701594</v>
      </c>
      <c r="F657" s="18">
        <v>869.19641490000004</v>
      </c>
      <c r="G657" s="18">
        <v>1160.7589679551972</v>
      </c>
      <c r="H657" s="19">
        <v>0.25140866748990676</v>
      </c>
      <c r="I657" s="19">
        <v>0.33543920344947709</v>
      </c>
      <c r="J657" s="19">
        <v>0.29132785346110435</v>
      </c>
    </row>
    <row r="658" spans="1:10" ht="11.25" customHeight="1" x14ac:dyDescent="0.2">
      <c r="A658" s="28">
        <v>44774</v>
      </c>
      <c r="B658" s="18">
        <v>0</v>
      </c>
      <c r="C658" s="18">
        <v>0</v>
      </c>
      <c r="D658" s="18">
        <v>1469.4914520000002</v>
      </c>
      <c r="E658" s="18">
        <v>1838.9343398351284</v>
      </c>
      <c r="F658" s="18">
        <v>1329.836937</v>
      </c>
      <c r="G658" s="18">
        <v>1775.9163798649724</v>
      </c>
      <c r="H658" s="19">
        <v>0.25140866748990676</v>
      </c>
      <c r="I658" s="19">
        <v>0.33543920344947709</v>
      </c>
      <c r="J658" s="19">
        <v>0.29132785346110412</v>
      </c>
    </row>
    <row r="659" spans="1:10" ht="11.25" customHeight="1" x14ac:dyDescent="0.2">
      <c r="A659" s="28">
        <v>44805</v>
      </c>
      <c r="B659" s="18">
        <v>0</v>
      </c>
      <c r="C659" s="18">
        <v>0</v>
      </c>
      <c r="D659" s="18">
        <v>2687.1070644000001</v>
      </c>
      <c r="E659" s="18">
        <v>3362.6690708635192</v>
      </c>
      <c r="F659" s="18">
        <v>2431.7352939000002</v>
      </c>
      <c r="G659" s="18">
        <v>3247.434643885796</v>
      </c>
      <c r="H659" s="19">
        <v>0.25140866748990676</v>
      </c>
      <c r="I659" s="19">
        <v>0.33543920344947686</v>
      </c>
      <c r="J659" s="19">
        <v>0.29132785346110412</v>
      </c>
    </row>
    <row r="660" spans="1:10" ht="11.25" customHeight="1" x14ac:dyDescent="0.2">
      <c r="A660" s="28">
        <v>44835</v>
      </c>
      <c r="B660" s="18">
        <v>0</v>
      </c>
      <c r="C660" s="18">
        <v>0</v>
      </c>
      <c r="D660" s="18">
        <v>2687.1070644000001</v>
      </c>
      <c r="E660" s="18">
        <v>3362.6690708635192</v>
      </c>
      <c r="F660" s="18">
        <v>2431.7352939000002</v>
      </c>
      <c r="G660" s="18">
        <v>3247.434643885796</v>
      </c>
      <c r="H660" s="19">
        <v>0.25140866748990676</v>
      </c>
      <c r="I660" s="19">
        <v>0.33543920344947686</v>
      </c>
      <c r="J660" s="19">
        <v>0.29132785346110412</v>
      </c>
    </row>
    <row r="661" spans="1:10" ht="11.25" customHeight="1" x14ac:dyDescent="0.2">
      <c r="A661" s="24" t="s">
        <v>25</v>
      </c>
      <c r="B661" s="18">
        <v>0</v>
      </c>
      <c r="C661" s="18">
        <v>0</v>
      </c>
      <c r="D661" s="18">
        <v>14784714.04407</v>
      </c>
      <c r="E661" s="18">
        <v>17660824.162574265</v>
      </c>
      <c r="F661" s="18">
        <v>12771536.101369999</v>
      </c>
      <c r="G661" s="18">
        <v>17055609.998039789</v>
      </c>
      <c r="H661" s="19">
        <v>0.19453268490220377</v>
      </c>
      <c r="I661" s="19">
        <v>0.33543920344947709</v>
      </c>
      <c r="J661" s="19">
        <v>0.25983883791818885</v>
      </c>
    </row>
    <row r="662" spans="1:10" ht="11.25" customHeight="1" x14ac:dyDescent="0.2">
      <c r="A662" s="25" t="s">
        <v>25</v>
      </c>
      <c r="B662" s="18">
        <v>0</v>
      </c>
      <c r="C662" s="18">
        <v>0</v>
      </c>
      <c r="D662" s="18">
        <v>14784714.04407</v>
      </c>
      <c r="E662" s="18">
        <v>17660824.162574265</v>
      </c>
      <c r="F662" s="18">
        <v>12771536.101369999</v>
      </c>
      <c r="G662" s="18">
        <v>17055609.998039789</v>
      </c>
      <c r="H662" s="19">
        <v>0.19453268490220377</v>
      </c>
      <c r="I662" s="19">
        <v>0.33543920344947709</v>
      </c>
      <c r="J662" s="19">
        <v>0.25983883791818885</v>
      </c>
    </row>
    <row r="663" spans="1:10" ht="11.25" customHeight="1" x14ac:dyDescent="0.2">
      <c r="A663" s="26" t="s">
        <v>25</v>
      </c>
      <c r="B663" s="18">
        <v>0</v>
      </c>
      <c r="C663" s="18">
        <v>0</v>
      </c>
      <c r="D663" s="18">
        <v>14784714.04407</v>
      </c>
      <c r="E663" s="18">
        <v>17660824.162574265</v>
      </c>
      <c r="F663" s="18">
        <v>12771536.101369999</v>
      </c>
      <c r="G663" s="18">
        <v>17055609.998039789</v>
      </c>
      <c r="H663" s="19">
        <v>0.19453268490220377</v>
      </c>
      <c r="I663" s="19">
        <v>0.33543920344947709</v>
      </c>
      <c r="J663" s="19">
        <v>0.25983883791818885</v>
      </c>
    </row>
    <row r="664" spans="1:10" ht="11.25" customHeight="1" x14ac:dyDescent="0.2">
      <c r="A664" s="27" t="s">
        <v>25</v>
      </c>
      <c r="B664" s="18">
        <v>0</v>
      </c>
      <c r="C664" s="18">
        <v>0</v>
      </c>
      <c r="D664" s="18">
        <v>14784714.04407</v>
      </c>
      <c r="E664" s="18">
        <v>17660824.162574265</v>
      </c>
      <c r="F664" s="18">
        <v>12771536.101369999</v>
      </c>
      <c r="G664" s="18">
        <v>17055609.998039789</v>
      </c>
      <c r="H664" s="19">
        <v>0.19453268490220377</v>
      </c>
      <c r="I664" s="19">
        <v>0.33543920344947709</v>
      </c>
      <c r="J664" s="19">
        <v>0.25983883791818885</v>
      </c>
    </row>
    <row r="665" spans="1:10" ht="11.25" customHeight="1" x14ac:dyDescent="0.2">
      <c r="A665" s="28">
        <v>44501</v>
      </c>
      <c r="B665" s="18">
        <v>0</v>
      </c>
      <c r="C665" s="18">
        <v>0</v>
      </c>
      <c r="D665" s="18">
        <v>1300375.0205099999</v>
      </c>
      <c r="E665" s="18">
        <v>1553340.4646295693</v>
      </c>
      <c r="F665" s="18">
        <v>1123307.9294100001</v>
      </c>
      <c r="G665" s="18">
        <v>1500109.4464797718</v>
      </c>
      <c r="H665" s="19">
        <v>0.19453268490220443</v>
      </c>
      <c r="I665" s="19">
        <v>0.33543920344947686</v>
      </c>
      <c r="J665" s="19">
        <v>0.25983883791818907</v>
      </c>
    </row>
    <row r="666" spans="1:10" ht="11.25" customHeight="1" x14ac:dyDescent="0.2">
      <c r="A666" s="28">
        <v>44531</v>
      </c>
      <c r="B666" s="18">
        <v>0</v>
      </c>
      <c r="C666" s="18">
        <v>0</v>
      </c>
      <c r="D666" s="18">
        <v>1255715.66475</v>
      </c>
      <c r="E666" s="18">
        <v>1499993.4044875735</v>
      </c>
      <c r="F666" s="18">
        <v>1084729.6672499999</v>
      </c>
      <c r="G666" s="18">
        <v>1448590.5227903561</v>
      </c>
      <c r="H666" s="19">
        <v>0.19453268490220421</v>
      </c>
      <c r="I666" s="19">
        <v>0.33543920344947686</v>
      </c>
      <c r="J666" s="19">
        <v>0.25983883791818885</v>
      </c>
    </row>
    <row r="667" spans="1:10" ht="11.25" customHeight="1" x14ac:dyDescent="0.2">
      <c r="A667" s="28">
        <v>44562</v>
      </c>
      <c r="B667" s="18">
        <v>0</v>
      </c>
      <c r="C667" s="18">
        <v>0</v>
      </c>
      <c r="D667" s="18">
        <v>1256849.46102</v>
      </c>
      <c r="E667" s="18">
        <v>1501347.7611901087</v>
      </c>
      <c r="F667" s="18">
        <v>1085709.0788199999</v>
      </c>
      <c r="G667" s="18">
        <v>1449898.4673972463</v>
      </c>
      <c r="H667" s="19">
        <v>0.19453268490220399</v>
      </c>
      <c r="I667" s="19">
        <v>0.33543920344947709</v>
      </c>
      <c r="J667" s="19">
        <v>0.25983883791818907</v>
      </c>
    </row>
    <row r="668" spans="1:10" ht="11.25" customHeight="1" x14ac:dyDescent="0.2">
      <c r="A668" s="28">
        <v>44593</v>
      </c>
      <c r="B668" s="18">
        <v>0</v>
      </c>
      <c r="C668" s="18">
        <v>0</v>
      </c>
      <c r="D668" s="18">
        <v>1279725.3553199999</v>
      </c>
      <c r="E668" s="18">
        <v>1528673.7646278266</v>
      </c>
      <c r="F668" s="18">
        <v>1105470.05012</v>
      </c>
      <c r="G668" s="18">
        <v>1476288.0431695061</v>
      </c>
      <c r="H668" s="19">
        <v>0.19453268490220421</v>
      </c>
      <c r="I668" s="19">
        <v>0.33543920344947686</v>
      </c>
      <c r="J668" s="19">
        <v>0.25983883791818885</v>
      </c>
    </row>
    <row r="669" spans="1:10" ht="11.25" customHeight="1" x14ac:dyDescent="0.2">
      <c r="A669" s="28">
        <v>44621</v>
      </c>
      <c r="B669" s="18">
        <v>0</v>
      </c>
      <c r="C669" s="18">
        <v>0</v>
      </c>
      <c r="D669" s="18">
        <v>1249467.86931</v>
      </c>
      <c r="E669" s="18">
        <v>1492530.2086259108</v>
      </c>
      <c r="F669" s="18">
        <v>1079332.6102099998</v>
      </c>
      <c r="G669" s="18">
        <v>1441383.0812358872</v>
      </c>
      <c r="H669" s="19">
        <v>0.19453268490220421</v>
      </c>
      <c r="I669" s="19">
        <v>0.33543920344947731</v>
      </c>
      <c r="J669" s="19">
        <v>0.25983883791818929</v>
      </c>
    </row>
    <row r="670" spans="1:10" ht="11.25" customHeight="1" x14ac:dyDescent="0.2">
      <c r="A670" s="28">
        <v>44652</v>
      </c>
      <c r="B670" s="18">
        <v>0</v>
      </c>
      <c r="C670" s="18">
        <v>0</v>
      </c>
      <c r="D670" s="18">
        <v>1249467.86931</v>
      </c>
      <c r="E670" s="18">
        <v>1492530.2086259108</v>
      </c>
      <c r="F670" s="18">
        <v>1079332.6102099998</v>
      </c>
      <c r="G670" s="18">
        <v>1441383.0812358872</v>
      </c>
      <c r="H670" s="19">
        <v>0.19453268490220421</v>
      </c>
      <c r="I670" s="19">
        <v>0.33543920344947731</v>
      </c>
      <c r="J670" s="19">
        <v>0.25983883791818929</v>
      </c>
    </row>
    <row r="671" spans="1:10" ht="11.25" customHeight="1" x14ac:dyDescent="0.2">
      <c r="A671" s="28">
        <v>44682</v>
      </c>
      <c r="B671" s="18">
        <v>0</v>
      </c>
      <c r="C671" s="18">
        <v>0</v>
      </c>
      <c r="D671" s="18">
        <v>1215466.3080599997</v>
      </c>
      <c r="E671" s="18">
        <v>1451914.2323750812</v>
      </c>
      <c r="F671" s="18">
        <v>1049960.9114599999</v>
      </c>
      <c r="G671" s="18">
        <v>1402158.9632532292</v>
      </c>
      <c r="H671" s="19">
        <v>0.19453268490220421</v>
      </c>
      <c r="I671" s="19">
        <v>0.33543920344947709</v>
      </c>
      <c r="J671" s="19">
        <v>0.25983883791818907</v>
      </c>
    </row>
    <row r="672" spans="1:10" ht="11.25" customHeight="1" x14ac:dyDescent="0.2">
      <c r="A672" s="28">
        <v>44713</v>
      </c>
      <c r="B672" s="18">
        <v>0</v>
      </c>
      <c r="C672" s="18">
        <v>0</v>
      </c>
      <c r="D672" s="18">
        <v>1138936.5664500003</v>
      </c>
      <c r="E672" s="18">
        <v>1360496.9546548165</v>
      </c>
      <c r="F672" s="18">
        <v>983851.93195</v>
      </c>
      <c r="G672" s="18">
        <v>1313874.4403155372</v>
      </c>
      <c r="H672" s="19">
        <v>0.19453268490220421</v>
      </c>
      <c r="I672" s="19">
        <v>0.33543920344947709</v>
      </c>
      <c r="J672" s="19">
        <v>0.25983883791818885</v>
      </c>
    </row>
    <row r="673" spans="1:10" ht="11.25" customHeight="1" x14ac:dyDescent="0.2">
      <c r="A673" s="28">
        <v>44743</v>
      </c>
      <c r="B673" s="18">
        <v>0</v>
      </c>
      <c r="C673" s="18">
        <v>0</v>
      </c>
      <c r="D673" s="18">
        <v>1107252.4530000002</v>
      </c>
      <c r="E673" s="18">
        <v>1322649.2455466418</v>
      </c>
      <c r="F673" s="18">
        <v>956482.12300000002</v>
      </c>
      <c r="G673" s="18">
        <v>1277323.7244527848</v>
      </c>
      <c r="H673" s="19">
        <v>0.19453268490220399</v>
      </c>
      <c r="I673" s="19">
        <v>0.33543920344947709</v>
      </c>
      <c r="J673" s="19">
        <v>0.25983883791818885</v>
      </c>
    </row>
    <row r="674" spans="1:10" ht="11.25" customHeight="1" x14ac:dyDescent="0.2">
      <c r="A674" s="28">
        <v>44774</v>
      </c>
      <c r="B674" s="18">
        <v>0</v>
      </c>
      <c r="C674" s="18">
        <v>0</v>
      </c>
      <c r="D674" s="18">
        <v>1269535.1593200001</v>
      </c>
      <c r="E674" s="18">
        <v>1516501.2424402672</v>
      </c>
      <c r="F674" s="18">
        <v>1096667.4141199999</v>
      </c>
      <c r="G674" s="18">
        <v>1464532.6579614105</v>
      </c>
      <c r="H674" s="19">
        <v>0.19453268490220421</v>
      </c>
      <c r="I674" s="19">
        <v>0.33543920344947709</v>
      </c>
      <c r="J674" s="19">
        <v>0.25983883791818907</v>
      </c>
    </row>
    <row r="675" spans="1:10" ht="11.25" customHeight="1" x14ac:dyDescent="0.2">
      <c r="A675" s="28">
        <v>44805</v>
      </c>
      <c r="B675" s="18">
        <v>0</v>
      </c>
      <c r="C675" s="18">
        <v>0</v>
      </c>
      <c r="D675" s="18">
        <v>1230961.15851</v>
      </c>
      <c r="E675" s="18">
        <v>1470423.3376852782</v>
      </c>
      <c r="F675" s="18">
        <v>1063345.88741</v>
      </c>
      <c r="G675" s="18">
        <v>1420033.7848740874</v>
      </c>
      <c r="H675" s="19">
        <v>0.19453268490220421</v>
      </c>
      <c r="I675" s="19">
        <v>0.33543920344947686</v>
      </c>
      <c r="J675" s="19">
        <v>0.25983883791818907</v>
      </c>
    </row>
    <row r="676" spans="1:10" ht="11.25" customHeight="1" x14ac:dyDescent="0.2">
      <c r="A676" s="28">
        <v>44835</v>
      </c>
      <c r="B676" s="18">
        <v>0</v>
      </c>
      <c r="C676" s="18">
        <v>0</v>
      </c>
      <c r="D676" s="18">
        <v>1230961.15851</v>
      </c>
      <c r="E676" s="18">
        <v>1470423.3376852782</v>
      </c>
      <c r="F676" s="18">
        <v>1063345.88741</v>
      </c>
      <c r="G676" s="18">
        <v>1420033.7848740874</v>
      </c>
      <c r="H676" s="19">
        <v>0.19453268490220421</v>
      </c>
      <c r="I676" s="19">
        <v>0.33543920344947686</v>
      </c>
      <c r="J676" s="19">
        <v>0.25983883791818907</v>
      </c>
    </row>
    <row r="677" spans="1:10" ht="11.25" customHeight="1" x14ac:dyDescent="0.2">
      <c r="A677" s="21" t="s">
        <v>37</v>
      </c>
      <c r="B677" s="18">
        <v>0</v>
      </c>
      <c r="C677" s="18">
        <v>0</v>
      </c>
      <c r="D677" s="18">
        <v>61592626.335863195</v>
      </c>
      <c r="E677" s="18">
        <v>68873581.894260362</v>
      </c>
      <c r="F677" s="18">
        <v>53219589.849661618</v>
      </c>
      <c r="G677" s="18">
        <v>66536921.74950178</v>
      </c>
      <c r="H677" s="19">
        <v>0.11821148068429932</v>
      </c>
      <c r="I677" s="19">
        <v>0.25023364399199388</v>
      </c>
      <c r="J677" s="19">
        <v>0.17940849974494522</v>
      </c>
    </row>
    <row r="678" spans="1:10" ht="11.25" customHeight="1" x14ac:dyDescent="0.2">
      <c r="A678" s="22" t="s">
        <v>33</v>
      </c>
      <c r="B678" s="18">
        <v>0</v>
      </c>
      <c r="C678" s="18">
        <v>0</v>
      </c>
      <c r="D678" s="18">
        <v>357341.64538000012</v>
      </c>
      <c r="E678" s="18">
        <v>394125.39359337272</v>
      </c>
      <c r="F678" s="18">
        <v>323304.51033999986</v>
      </c>
      <c r="G678" s="18">
        <v>404169.83477667009</v>
      </c>
      <c r="H678" s="19">
        <v>0.10293719942509494</v>
      </c>
      <c r="I678" s="19">
        <v>0.250121238183868</v>
      </c>
      <c r="J678" s="19">
        <v>0.17284909590885933</v>
      </c>
    </row>
    <row r="679" spans="1:10" ht="11.25" customHeight="1" x14ac:dyDescent="0.2">
      <c r="A679" s="23" t="s">
        <v>42</v>
      </c>
      <c r="B679" s="18">
        <v>0</v>
      </c>
      <c r="C679" s="18">
        <v>0</v>
      </c>
      <c r="D679" s="18">
        <v>357341.64538000012</v>
      </c>
      <c r="E679" s="18">
        <v>394125.39359337272</v>
      </c>
      <c r="F679" s="18">
        <v>323304.51033999986</v>
      </c>
      <c r="G679" s="18">
        <v>404169.83477667009</v>
      </c>
      <c r="H679" s="19">
        <v>0.10293719942509494</v>
      </c>
      <c r="I679" s="19">
        <v>0.250121238183868</v>
      </c>
      <c r="J679" s="19">
        <v>0.17284909590885933</v>
      </c>
    </row>
    <row r="680" spans="1:10" ht="11.25" customHeight="1" x14ac:dyDescent="0.2">
      <c r="A680" s="24" t="s">
        <v>25</v>
      </c>
      <c r="B680" s="18">
        <v>0</v>
      </c>
      <c r="C680" s="18">
        <v>0</v>
      </c>
      <c r="D680" s="18">
        <v>357341.64538000012</v>
      </c>
      <c r="E680" s="18">
        <v>394125.39359337272</v>
      </c>
      <c r="F680" s="18">
        <v>323304.51033999986</v>
      </c>
      <c r="G680" s="18">
        <v>404169.83477667009</v>
      </c>
      <c r="H680" s="19">
        <v>0.10293719942509494</v>
      </c>
      <c r="I680" s="19">
        <v>0.250121238183868</v>
      </c>
      <c r="J680" s="19">
        <v>0.17284909590885933</v>
      </c>
    </row>
    <row r="681" spans="1:10" ht="11.25" customHeight="1" x14ac:dyDescent="0.2">
      <c r="A681" s="25" t="s">
        <v>25</v>
      </c>
      <c r="B681" s="18">
        <v>0</v>
      </c>
      <c r="C681" s="18">
        <v>0</v>
      </c>
      <c r="D681" s="18">
        <v>357341.64538000012</v>
      </c>
      <c r="E681" s="18">
        <v>394125.39359337272</v>
      </c>
      <c r="F681" s="18">
        <v>323304.51033999986</v>
      </c>
      <c r="G681" s="18">
        <v>404169.83477667009</v>
      </c>
      <c r="H681" s="19">
        <v>0.10293719942509494</v>
      </c>
      <c r="I681" s="19">
        <v>0.250121238183868</v>
      </c>
      <c r="J681" s="19">
        <v>0.17284909590885933</v>
      </c>
    </row>
    <row r="682" spans="1:10" ht="11.25" customHeight="1" x14ac:dyDescent="0.2">
      <c r="A682" s="26" t="s">
        <v>25</v>
      </c>
      <c r="B682" s="18">
        <v>0</v>
      </c>
      <c r="C682" s="18">
        <v>0</v>
      </c>
      <c r="D682" s="18">
        <v>357341.64538000012</v>
      </c>
      <c r="E682" s="18">
        <v>394125.39359337272</v>
      </c>
      <c r="F682" s="18">
        <v>323304.51033999986</v>
      </c>
      <c r="G682" s="18">
        <v>404169.83477667009</v>
      </c>
      <c r="H682" s="19">
        <v>0.10293719942509494</v>
      </c>
      <c r="I682" s="19">
        <v>0.250121238183868</v>
      </c>
      <c r="J682" s="19">
        <v>0.17284909590885933</v>
      </c>
    </row>
    <row r="683" spans="1:10" ht="11.25" customHeight="1" x14ac:dyDescent="0.2">
      <c r="A683" s="27" t="s">
        <v>35</v>
      </c>
      <c r="B683" s="18">
        <v>0</v>
      </c>
      <c r="C683" s="18">
        <v>0</v>
      </c>
      <c r="D683" s="18">
        <v>310355.11950000003</v>
      </c>
      <c r="E683" s="18">
        <v>336749.57501807774</v>
      </c>
      <c r="F683" s="18">
        <v>300015.85699999996</v>
      </c>
      <c r="G683" s="18">
        <v>375034.53406569402</v>
      </c>
      <c r="H683" s="19">
        <v>8.5045980748121197E-2</v>
      </c>
      <c r="I683" s="19">
        <v>0.25004904012688267</v>
      </c>
      <c r="J683" s="19">
        <v>0.16614999154333487</v>
      </c>
    </row>
    <row r="684" spans="1:10" ht="11.25" customHeight="1" x14ac:dyDescent="0.2">
      <c r="A684" s="28">
        <v>44501</v>
      </c>
      <c r="B684" s="18">
        <v>0</v>
      </c>
      <c r="C684" s="18">
        <v>0</v>
      </c>
      <c r="D684" s="18">
        <v>25585.261799999997</v>
      </c>
      <c r="E684" s="18">
        <v>27761.185482478435</v>
      </c>
      <c r="F684" s="18">
        <v>24732.906800000001</v>
      </c>
      <c r="G684" s="18">
        <v>30917.346404887638</v>
      </c>
      <c r="H684" s="19">
        <v>8.5045980748121197E-2</v>
      </c>
      <c r="I684" s="19">
        <v>0.25004904012688223</v>
      </c>
      <c r="J684" s="19">
        <v>0.16614999154333443</v>
      </c>
    </row>
    <row r="685" spans="1:10" ht="11.25" customHeight="1" x14ac:dyDescent="0.2">
      <c r="A685" s="28">
        <v>44531</v>
      </c>
      <c r="B685" s="18">
        <v>0</v>
      </c>
      <c r="C685" s="18">
        <v>0</v>
      </c>
      <c r="D685" s="18">
        <v>25354.6551</v>
      </c>
      <c r="E685" s="18">
        <v>27510.966609509847</v>
      </c>
      <c r="F685" s="18">
        <v>24509.982600000003</v>
      </c>
      <c r="G685" s="18">
        <v>30638.680222656589</v>
      </c>
      <c r="H685" s="19">
        <v>8.5045980748120975E-2</v>
      </c>
      <c r="I685" s="19">
        <v>0.25004904012688223</v>
      </c>
      <c r="J685" s="19">
        <v>0.16614999154333421</v>
      </c>
    </row>
    <row r="686" spans="1:10" ht="11.25" customHeight="1" x14ac:dyDescent="0.2">
      <c r="A686" s="28">
        <v>44562</v>
      </c>
      <c r="B686" s="18">
        <v>0</v>
      </c>
      <c r="C686" s="18">
        <v>0</v>
      </c>
      <c r="D686" s="18">
        <v>21160.659899999999</v>
      </c>
      <c r="E686" s="18">
        <v>22960.288974472936</v>
      </c>
      <c r="F686" s="18">
        <v>20455.707399999999</v>
      </c>
      <c r="G686" s="18">
        <v>25570.637400486361</v>
      </c>
      <c r="H686" s="19">
        <v>8.5045980748120975E-2</v>
      </c>
      <c r="I686" s="19">
        <v>0.25004904012688223</v>
      </c>
      <c r="J686" s="19">
        <v>0.16614999154333443</v>
      </c>
    </row>
    <row r="687" spans="1:10" ht="11.25" customHeight="1" x14ac:dyDescent="0.2">
      <c r="A687" s="28">
        <v>44593</v>
      </c>
      <c r="B687" s="18">
        <v>0</v>
      </c>
      <c r="C687" s="18">
        <v>0</v>
      </c>
      <c r="D687" s="18">
        <v>22838.993399999999</v>
      </c>
      <c r="E687" s="18">
        <v>24781.357993002861</v>
      </c>
      <c r="F687" s="18">
        <v>22078.128400000001</v>
      </c>
      <c r="G687" s="18">
        <v>27598.743214218059</v>
      </c>
      <c r="H687" s="19">
        <v>8.5045980748120975E-2</v>
      </c>
      <c r="I687" s="19">
        <v>0.25004904012688223</v>
      </c>
      <c r="J687" s="19">
        <v>0.16614999154333443</v>
      </c>
    </row>
    <row r="688" spans="1:10" ht="11.25" customHeight="1" x14ac:dyDescent="0.2">
      <c r="A688" s="28">
        <v>44621</v>
      </c>
      <c r="B688" s="18">
        <v>0</v>
      </c>
      <c r="C688" s="18">
        <v>0</v>
      </c>
      <c r="D688" s="18">
        <v>25218.602399999996</v>
      </c>
      <c r="E688" s="18">
        <v>27363.343174204918</v>
      </c>
      <c r="F688" s="18">
        <v>24378.4624</v>
      </c>
      <c r="G688" s="18">
        <v>30474.273522889289</v>
      </c>
      <c r="H688" s="19">
        <v>8.5045980748121197E-2</v>
      </c>
      <c r="I688" s="19">
        <v>0.25004904012688223</v>
      </c>
      <c r="J688" s="19">
        <v>0.16614999154333443</v>
      </c>
    </row>
    <row r="689" spans="1:10" ht="11.25" customHeight="1" x14ac:dyDescent="0.2">
      <c r="A689" s="28">
        <v>44652</v>
      </c>
      <c r="B689" s="18">
        <v>0</v>
      </c>
      <c r="C689" s="18">
        <v>0</v>
      </c>
      <c r="D689" s="18">
        <v>25218.602399999996</v>
      </c>
      <c r="E689" s="18">
        <v>27363.343174204918</v>
      </c>
      <c r="F689" s="18">
        <v>24378.4624</v>
      </c>
      <c r="G689" s="18">
        <v>30474.273522889289</v>
      </c>
      <c r="H689" s="19">
        <v>8.5045980748121197E-2</v>
      </c>
      <c r="I689" s="19">
        <v>0.25004904012688223</v>
      </c>
      <c r="J689" s="19">
        <v>0.16614999154333443</v>
      </c>
    </row>
    <row r="690" spans="1:10" ht="11.25" customHeight="1" x14ac:dyDescent="0.2">
      <c r="A690" s="28">
        <v>44682</v>
      </c>
      <c r="B690" s="18">
        <v>0</v>
      </c>
      <c r="C690" s="18">
        <v>0</v>
      </c>
      <c r="D690" s="18">
        <v>28311.568800000001</v>
      </c>
      <c r="E690" s="18">
        <v>30719.353935113904</v>
      </c>
      <c r="F690" s="18">
        <v>27368.388800000001</v>
      </c>
      <c r="G690" s="18">
        <v>34211.828149259316</v>
      </c>
      <c r="H690" s="19">
        <v>8.5045980748120975E-2</v>
      </c>
      <c r="I690" s="19">
        <v>0.25004904012688223</v>
      </c>
      <c r="J690" s="19">
        <v>0.16614999154333443</v>
      </c>
    </row>
    <row r="691" spans="1:10" ht="11.25" customHeight="1" x14ac:dyDescent="0.2">
      <c r="A691" s="28">
        <v>44713</v>
      </c>
      <c r="B691" s="18">
        <v>0</v>
      </c>
      <c r="C691" s="18">
        <v>0</v>
      </c>
      <c r="D691" s="18">
        <v>23827.607999999997</v>
      </c>
      <c r="E691" s="18">
        <v>25854.050291241772</v>
      </c>
      <c r="F691" s="18">
        <v>23033.808000000001</v>
      </c>
      <c r="G691" s="18">
        <v>28793.3895808669</v>
      </c>
      <c r="H691" s="19">
        <v>8.5045980748121197E-2</v>
      </c>
      <c r="I691" s="19">
        <v>0.25004904012688223</v>
      </c>
      <c r="J691" s="19">
        <v>0.16614999154333443</v>
      </c>
    </row>
    <row r="692" spans="1:10" ht="11.25" customHeight="1" x14ac:dyDescent="0.2">
      <c r="A692" s="28">
        <v>44743</v>
      </c>
      <c r="B692" s="18">
        <v>0</v>
      </c>
      <c r="C692" s="18">
        <v>0</v>
      </c>
      <c r="D692" s="18">
        <v>24026.43405</v>
      </c>
      <c r="E692" s="18">
        <v>26069.785697662301</v>
      </c>
      <c r="F692" s="18">
        <v>23226.010300000002</v>
      </c>
      <c r="G692" s="18">
        <v>29033.651881492078</v>
      </c>
      <c r="H692" s="19">
        <v>8.5045980748120975E-2</v>
      </c>
      <c r="I692" s="19">
        <v>0.25004904012688201</v>
      </c>
      <c r="J692" s="19">
        <v>0.16614999154333421</v>
      </c>
    </row>
    <row r="693" spans="1:10" ht="11.25" customHeight="1" x14ac:dyDescent="0.2">
      <c r="A693" s="28">
        <v>44774</v>
      </c>
      <c r="B693" s="18">
        <v>0</v>
      </c>
      <c r="C693" s="18">
        <v>0</v>
      </c>
      <c r="D693" s="18">
        <v>30093.123749999999</v>
      </c>
      <c r="E693" s="18">
        <v>32652.422973093322</v>
      </c>
      <c r="F693" s="18">
        <v>29090.592500000002</v>
      </c>
      <c r="G693" s="18">
        <v>36364.667231347274</v>
      </c>
      <c r="H693" s="19">
        <v>8.5045980748120975E-2</v>
      </c>
      <c r="I693" s="19">
        <v>0.25004904012688201</v>
      </c>
      <c r="J693" s="19">
        <v>0.16614999154333443</v>
      </c>
    </row>
    <row r="694" spans="1:10" ht="11.25" customHeight="1" x14ac:dyDescent="0.2">
      <c r="A694" s="28">
        <v>44805</v>
      </c>
      <c r="B694" s="18">
        <v>0</v>
      </c>
      <c r="C694" s="18">
        <v>0</v>
      </c>
      <c r="D694" s="18">
        <v>29359.804949999998</v>
      </c>
      <c r="E694" s="18">
        <v>31856.738356546288</v>
      </c>
      <c r="F694" s="18">
        <v>28381.703700000002</v>
      </c>
      <c r="G694" s="18">
        <v>35478.521467350583</v>
      </c>
      <c r="H694" s="19">
        <v>8.5045980748120975E-2</v>
      </c>
      <c r="I694" s="19">
        <v>0.25004904012688223</v>
      </c>
      <c r="J694" s="19">
        <v>0.16614999154333421</v>
      </c>
    </row>
    <row r="695" spans="1:10" ht="11.25" customHeight="1" x14ac:dyDescent="0.2">
      <c r="A695" s="28">
        <v>44835</v>
      </c>
      <c r="B695" s="18">
        <v>0</v>
      </c>
      <c r="C695" s="18">
        <v>0</v>
      </c>
      <c r="D695" s="18">
        <v>29359.804949999998</v>
      </c>
      <c r="E695" s="18">
        <v>31856.738356546288</v>
      </c>
      <c r="F695" s="18">
        <v>28381.703700000002</v>
      </c>
      <c r="G695" s="18">
        <v>35478.521467350583</v>
      </c>
      <c r="H695" s="19">
        <v>8.5045980748120975E-2</v>
      </c>
      <c r="I695" s="19">
        <v>0.25004904012688223</v>
      </c>
      <c r="J695" s="19">
        <v>0.16614999154333421</v>
      </c>
    </row>
    <row r="696" spans="1:10" ht="11.25" customHeight="1" x14ac:dyDescent="0.2">
      <c r="A696" s="27" t="s">
        <v>36</v>
      </c>
      <c r="B696" s="18">
        <v>0</v>
      </c>
      <c r="C696" s="18">
        <v>0</v>
      </c>
      <c r="D696" s="18">
        <v>14630.3521</v>
      </c>
      <c r="E696" s="18">
        <v>17514.388870038863</v>
      </c>
      <c r="F696" s="18">
        <v>6700.4210000000003</v>
      </c>
      <c r="G696" s="18">
        <v>8375.8548394960053</v>
      </c>
      <c r="H696" s="19">
        <v>0.1971269556826909</v>
      </c>
      <c r="I696" s="19">
        <v>0.25004904012688223</v>
      </c>
      <c r="J696" s="19">
        <v>0.21375083726031807</v>
      </c>
    </row>
    <row r="697" spans="1:10" ht="11.25" customHeight="1" x14ac:dyDescent="0.2">
      <c r="A697" s="28">
        <v>44501</v>
      </c>
      <c r="B697" s="18">
        <v>0</v>
      </c>
      <c r="C697" s="18">
        <v>0</v>
      </c>
      <c r="D697" s="18">
        <v>1247.9318899999998</v>
      </c>
      <c r="E697" s="18">
        <v>1493.9329043750465</v>
      </c>
      <c r="F697" s="18">
        <v>571.52890000000002</v>
      </c>
      <c r="G697" s="18">
        <v>714.43915284977288</v>
      </c>
      <c r="H697" s="19">
        <v>0.1971269556826909</v>
      </c>
      <c r="I697" s="19">
        <v>0.25004904012688223</v>
      </c>
      <c r="J697" s="19">
        <v>0.21375083726031807</v>
      </c>
    </row>
    <row r="698" spans="1:10" ht="11.25" customHeight="1" x14ac:dyDescent="0.2">
      <c r="A698" s="28">
        <v>44531</v>
      </c>
      <c r="B698" s="18">
        <v>0</v>
      </c>
      <c r="C698" s="18">
        <v>0</v>
      </c>
      <c r="D698" s="18">
        <v>1178.6331399999999</v>
      </c>
      <c r="E698" s="18">
        <v>1410.9735027549307</v>
      </c>
      <c r="F698" s="18">
        <v>539.79139999999995</v>
      </c>
      <c r="G698" s="18">
        <v>674.76572143874591</v>
      </c>
      <c r="H698" s="19">
        <v>0.1971269556826909</v>
      </c>
      <c r="I698" s="19">
        <v>0.25004904012688223</v>
      </c>
      <c r="J698" s="19">
        <v>0.21375083726031807</v>
      </c>
    </row>
    <row r="699" spans="1:10" ht="11.25" customHeight="1" x14ac:dyDescent="0.2">
      <c r="A699" s="28">
        <v>44562</v>
      </c>
      <c r="B699" s="18">
        <v>0</v>
      </c>
      <c r="C699" s="18">
        <v>0</v>
      </c>
      <c r="D699" s="18">
        <v>1039.48125</v>
      </c>
      <c r="E699" s="18">
        <v>1244.3910243017381</v>
      </c>
      <c r="F699" s="18">
        <v>476.0625</v>
      </c>
      <c r="G699" s="18">
        <v>595.10147116540384</v>
      </c>
      <c r="H699" s="19">
        <v>0.19712695568269067</v>
      </c>
      <c r="I699" s="19">
        <v>0.25004904012688223</v>
      </c>
      <c r="J699" s="19">
        <v>0.21375083726031785</v>
      </c>
    </row>
    <row r="700" spans="1:10" ht="11.25" customHeight="1" x14ac:dyDescent="0.2">
      <c r="A700" s="28">
        <v>44593</v>
      </c>
      <c r="B700" s="18">
        <v>0</v>
      </c>
      <c r="C700" s="18">
        <v>0</v>
      </c>
      <c r="D700" s="18">
        <v>1028.94784</v>
      </c>
      <c r="E700" s="18">
        <v>1231.7811952554805</v>
      </c>
      <c r="F700" s="18">
        <v>471.23840000000001</v>
      </c>
      <c r="G700" s="18">
        <v>589.07110959092779</v>
      </c>
      <c r="H700" s="19">
        <v>0.1971269556826909</v>
      </c>
      <c r="I700" s="19">
        <v>0.25004904012688223</v>
      </c>
      <c r="J700" s="19">
        <v>0.21375083726031785</v>
      </c>
    </row>
    <row r="701" spans="1:10" ht="11.25" customHeight="1" x14ac:dyDescent="0.2">
      <c r="A701" s="28">
        <v>44621</v>
      </c>
      <c r="B701" s="18">
        <v>0</v>
      </c>
      <c r="C701" s="18">
        <v>0</v>
      </c>
      <c r="D701" s="18">
        <v>1188.6121600000001</v>
      </c>
      <c r="E701" s="18">
        <v>1422.9196565882276</v>
      </c>
      <c r="F701" s="18">
        <v>544.36160000000007</v>
      </c>
      <c r="G701" s="18">
        <v>680.47869556193382</v>
      </c>
      <c r="H701" s="19">
        <v>0.1971269556826909</v>
      </c>
      <c r="I701" s="19">
        <v>0.25004904012688201</v>
      </c>
      <c r="J701" s="19">
        <v>0.21375083726031785</v>
      </c>
    </row>
    <row r="702" spans="1:10" ht="11.25" customHeight="1" x14ac:dyDescent="0.2">
      <c r="A702" s="28">
        <v>44652</v>
      </c>
      <c r="B702" s="18">
        <v>0</v>
      </c>
      <c r="C702" s="18">
        <v>0</v>
      </c>
      <c r="D702" s="18">
        <v>1188.6121600000001</v>
      </c>
      <c r="E702" s="18">
        <v>1422.9196565882276</v>
      </c>
      <c r="F702" s="18">
        <v>544.36160000000007</v>
      </c>
      <c r="G702" s="18">
        <v>680.47869556193382</v>
      </c>
      <c r="H702" s="19">
        <v>0.1971269556826909</v>
      </c>
      <c r="I702" s="19">
        <v>0.25004904012688201</v>
      </c>
      <c r="J702" s="19">
        <v>0.21375083726031785</v>
      </c>
    </row>
    <row r="703" spans="1:10" ht="11.25" customHeight="1" x14ac:dyDescent="0.2">
      <c r="A703" s="28">
        <v>44682</v>
      </c>
      <c r="B703" s="18">
        <v>0</v>
      </c>
      <c r="C703" s="18">
        <v>0</v>
      </c>
      <c r="D703" s="18">
        <v>1128.73804</v>
      </c>
      <c r="E703" s="18">
        <v>1351.2427335884472</v>
      </c>
      <c r="F703" s="18">
        <v>516.94040000000007</v>
      </c>
      <c r="G703" s="18">
        <v>646.20085082280661</v>
      </c>
      <c r="H703" s="19">
        <v>0.1971269556826909</v>
      </c>
      <c r="I703" s="19">
        <v>0.25004904012688223</v>
      </c>
      <c r="J703" s="19">
        <v>0.21375083726031785</v>
      </c>
    </row>
    <row r="704" spans="1:10" ht="11.25" customHeight="1" x14ac:dyDescent="0.2">
      <c r="A704" s="28">
        <v>44713</v>
      </c>
      <c r="B704" s="18">
        <v>0</v>
      </c>
      <c r="C704" s="18">
        <v>0</v>
      </c>
      <c r="D704" s="18">
        <v>1293.9462599999999</v>
      </c>
      <c r="E704" s="18">
        <v>1549.0179470508035</v>
      </c>
      <c r="F704" s="18">
        <v>592.60260000000005</v>
      </c>
      <c r="G704" s="18">
        <v>740.78231130669474</v>
      </c>
      <c r="H704" s="19">
        <v>0.1971269556826909</v>
      </c>
      <c r="I704" s="19">
        <v>0.25004904012688201</v>
      </c>
      <c r="J704" s="19">
        <v>0.21375083726031785</v>
      </c>
    </row>
    <row r="705" spans="1:10" ht="11.25" customHeight="1" x14ac:dyDescent="0.2">
      <c r="A705" s="28">
        <v>44743</v>
      </c>
      <c r="B705" s="18">
        <v>0</v>
      </c>
      <c r="C705" s="18">
        <v>0</v>
      </c>
      <c r="D705" s="18">
        <v>1286.1847999999998</v>
      </c>
      <c r="E705" s="18">
        <v>1539.7264940693503</v>
      </c>
      <c r="F705" s="18">
        <v>589.048</v>
      </c>
      <c r="G705" s="18">
        <v>736.33888698865974</v>
      </c>
      <c r="H705" s="19">
        <v>0.1971269556826909</v>
      </c>
      <c r="I705" s="19">
        <v>0.25004904012688223</v>
      </c>
      <c r="J705" s="19">
        <v>0.21375083726031807</v>
      </c>
    </row>
    <row r="706" spans="1:10" ht="11.25" customHeight="1" x14ac:dyDescent="0.2">
      <c r="A706" s="28">
        <v>44774</v>
      </c>
      <c r="B706" s="18">
        <v>0</v>
      </c>
      <c r="C706" s="18">
        <v>0</v>
      </c>
      <c r="D706" s="18">
        <v>1450.28424</v>
      </c>
      <c r="E706" s="18">
        <v>1736.174357105785</v>
      </c>
      <c r="F706" s="18">
        <v>664.20240000000001</v>
      </c>
      <c r="G706" s="18">
        <v>830.28557256997158</v>
      </c>
      <c r="H706" s="19">
        <v>0.1971269556826909</v>
      </c>
      <c r="I706" s="19">
        <v>0.25004904012688245</v>
      </c>
      <c r="J706" s="19">
        <v>0.21375083726031785</v>
      </c>
    </row>
    <row r="707" spans="1:10" ht="11.25" customHeight="1" x14ac:dyDescent="0.2">
      <c r="A707" s="28">
        <v>44805</v>
      </c>
      <c r="B707" s="18">
        <v>0</v>
      </c>
      <c r="C707" s="18">
        <v>0</v>
      </c>
      <c r="D707" s="18">
        <v>1299.4901599999998</v>
      </c>
      <c r="E707" s="18">
        <v>1555.6546991804128</v>
      </c>
      <c r="F707" s="18">
        <v>595.14159999999993</v>
      </c>
      <c r="G707" s="18">
        <v>743.95618581957683</v>
      </c>
      <c r="H707" s="19">
        <v>0.1971269556826909</v>
      </c>
      <c r="I707" s="19">
        <v>0.25004904012688223</v>
      </c>
      <c r="J707" s="19">
        <v>0.21375083726031807</v>
      </c>
    </row>
    <row r="708" spans="1:10" ht="11.25" customHeight="1" x14ac:dyDescent="0.2">
      <c r="A708" s="28">
        <v>44835</v>
      </c>
      <c r="B708" s="18">
        <v>0</v>
      </c>
      <c r="C708" s="18">
        <v>0</v>
      </c>
      <c r="D708" s="18">
        <v>1299.4901599999998</v>
      </c>
      <c r="E708" s="18">
        <v>1555.6546991804128</v>
      </c>
      <c r="F708" s="18">
        <v>595.14159999999993</v>
      </c>
      <c r="G708" s="18">
        <v>743.95618581957683</v>
      </c>
      <c r="H708" s="19">
        <v>0.1971269556826909</v>
      </c>
      <c r="I708" s="19">
        <v>0.25004904012688223</v>
      </c>
      <c r="J708" s="19">
        <v>0.21375083726031807</v>
      </c>
    </row>
    <row r="709" spans="1:10" ht="11.25" customHeight="1" x14ac:dyDescent="0.2">
      <c r="A709" s="27" t="s">
        <v>34</v>
      </c>
      <c r="B709" s="18">
        <v>0</v>
      </c>
      <c r="C709" s="18">
        <v>0</v>
      </c>
      <c r="D709" s="18">
        <v>32356.173779999997</v>
      </c>
      <c r="E709" s="18">
        <v>39861.429705256021</v>
      </c>
      <c r="F709" s="18">
        <v>16588.232339999999</v>
      </c>
      <c r="G709" s="18">
        <v>20759.445871479998</v>
      </c>
      <c r="H709" s="19">
        <v>0.23195746123403382</v>
      </c>
      <c r="I709" s="19">
        <v>0.25145617965705513</v>
      </c>
      <c r="J709" s="19">
        <v>0.23856596457842616</v>
      </c>
    </row>
    <row r="710" spans="1:10" ht="11.25" customHeight="1" x14ac:dyDescent="0.2">
      <c r="A710" s="28">
        <v>44501</v>
      </c>
      <c r="B710" s="18">
        <v>0</v>
      </c>
      <c r="C710" s="18">
        <v>0</v>
      </c>
      <c r="D710" s="18">
        <v>2948.62365</v>
      </c>
      <c r="E710" s="18">
        <v>3632.578905988631</v>
      </c>
      <c r="F710" s="18">
        <v>1511.6884499999999</v>
      </c>
      <c r="G710" s="18">
        <v>1891.8118524686945</v>
      </c>
      <c r="H710" s="19">
        <v>0.23195746123403405</v>
      </c>
      <c r="I710" s="19">
        <v>0.25145617965705469</v>
      </c>
      <c r="J710" s="19">
        <v>0.23856596457842616</v>
      </c>
    </row>
    <row r="711" spans="1:10" ht="11.25" customHeight="1" x14ac:dyDescent="0.2">
      <c r="A711" s="28">
        <v>44531</v>
      </c>
      <c r="B711" s="18">
        <v>0</v>
      </c>
      <c r="C711" s="18">
        <v>0</v>
      </c>
      <c r="D711" s="18">
        <v>2602.5728399999998</v>
      </c>
      <c r="E711" s="18">
        <v>3206.2590286430495</v>
      </c>
      <c r="F711" s="18">
        <v>1334.2765199999999</v>
      </c>
      <c r="G711" s="18">
        <v>1669.7885963253095</v>
      </c>
      <c r="H711" s="19">
        <v>0.23195746123403405</v>
      </c>
      <c r="I711" s="19">
        <v>0.25145617965705469</v>
      </c>
      <c r="J711" s="19">
        <v>0.23856596457842594</v>
      </c>
    </row>
    <row r="712" spans="1:10" ht="11.25" customHeight="1" x14ac:dyDescent="0.2">
      <c r="A712" s="28">
        <v>44562</v>
      </c>
      <c r="B712" s="18">
        <v>0</v>
      </c>
      <c r="C712" s="18">
        <v>0</v>
      </c>
      <c r="D712" s="18">
        <v>2351.2841100000001</v>
      </c>
      <c r="E712" s="18">
        <v>2896.682002795525</v>
      </c>
      <c r="F712" s="18">
        <v>1205.4468299999999</v>
      </c>
      <c r="G712" s="18">
        <v>1508.5638846515069</v>
      </c>
      <c r="H712" s="19">
        <v>0.23195746123403382</v>
      </c>
      <c r="I712" s="19">
        <v>0.25145617965705469</v>
      </c>
      <c r="J712" s="19">
        <v>0.23856596457842616</v>
      </c>
    </row>
    <row r="713" spans="1:10" ht="11.25" customHeight="1" x14ac:dyDescent="0.2">
      <c r="A713" s="28">
        <v>44593</v>
      </c>
      <c r="B713" s="18">
        <v>0</v>
      </c>
      <c r="C713" s="18">
        <v>0</v>
      </c>
      <c r="D713" s="18">
        <v>2340.2849400000005</v>
      </c>
      <c r="E713" s="18">
        <v>2883.1314932466439</v>
      </c>
      <c r="F713" s="18">
        <v>1199.80782</v>
      </c>
      <c r="G713" s="18">
        <v>1501.506910739859</v>
      </c>
      <c r="H713" s="19">
        <v>0.23195746123403382</v>
      </c>
      <c r="I713" s="19">
        <v>0.25145617965705469</v>
      </c>
      <c r="J713" s="19">
        <v>0.23856596457842594</v>
      </c>
    </row>
    <row r="714" spans="1:10" ht="11.25" customHeight="1" x14ac:dyDescent="0.2">
      <c r="A714" s="28">
        <v>44621</v>
      </c>
      <c r="B714" s="18">
        <v>0</v>
      </c>
      <c r="C714" s="18">
        <v>0</v>
      </c>
      <c r="D714" s="18">
        <v>2600.0345700000003</v>
      </c>
      <c r="E714" s="18">
        <v>3203.1319879779235</v>
      </c>
      <c r="F714" s="18">
        <v>1332.9752099999998</v>
      </c>
      <c r="G714" s="18">
        <v>1668.1600638841599</v>
      </c>
      <c r="H714" s="19">
        <v>0.23195746123403405</v>
      </c>
      <c r="I714" s="19">
        <v>0.25145617965705469</v>
      </c>
      <c r="J714" s="19">
        <v>0.23856596457842594</v>
      </c>
    </row>
    <row r="715" spans="1:10" ht="11.25" customHeight="1" x14ac:dyDescent="0.2">
      <c r="A715" s="28">
        <v>44652</v>
      </c>
      <c r="B715" s="18">
        <v>0</v>
      </c>
      <c r="C715" s="18">
        <v>0</v>
      </c>
      <c r="D715" s="18">
        <v>2600.0345700000003</v>
      </c>
      <c r="E715" s="18">
        <v>3203.1319879779235</v>
      </c>
      <c r="F715" s="18">
        <v>1332.9752099999998</v>
      </c>
      <c r="G715" s="18">
        <v>1668.1600638841599</v>
      </c>
      <c r="H715" s="19">
        <v>0.23195746123403405</v>
      </c>
      <c r="I715" s="19">
        <v>0.25145617965705469</v>
      </c>
      <c r="J715" s="19">
        <v>0.23856596457842594</v>
      </c>
    </row>
    <row r="716" spans="1:10" ht="11.25" customHeight="1" x14ac:dyDescent="0.2">
      <c r="A716" s="28">
        <v>44682</v>
      </c>
      <c r="B716" s="18">
        <v>0</v>
      </c>
      <c r="C716" s="18">
        <v>0</v>
      </c>
      <c r="D716" s="18">
        <v>2995.1586000000002</v>
      </c>
      <c r="E716" s="18">
        <v>3689.9079848492834</v>
      </c>
      <c r="F716" s="18">
        <v>1535.5457999999999</v>
      </c>
      <c r="G716" s="18">
        <v>1921.6682805564355</v>
      </c>
      <c r="H716" s="19">
        <v>0.23195746123403382</v>
      </c>
      <c r="I716" s="19">
        <v>0.25145617965705469</v>
      </c>
      <c r="J716" s="19">
        <v>0.23856596457842594</v>
      </c>
    </row>
    <row r="717" spans="1:10" ht="11.25" customHeight="1" x14ac:dyDescent="0.2">
      <c r="A717" s="28">
        <v>44713</v>
      </c>
      <c r="B717" s="18">
        <v>0</v>
      </c>
      <c r="C717" s="18">
        <v>0</v>
      </c>
      <c r="D717" s="18">
        <v>2705.7958200000003</v>
      </c>
      <c r="E717" s="18">
        <v>3333.4253490248616</v>
      </c>
      <c r="F717" s="18">
        <v>1387.1964600000001</v>
      </c>
      <c r="G717" s="18">
        <v>1736.0155822653901</v>
      </c>
      <c r="H717" s="19">
        <v>0.23195746123403405</v>
      </c>
      <c r="I717" s="19">
        <v>0.25145617965705447</v>
      </c>
      <c r="J717" s="19">
        <v>0.23856596457842594</v>
      </c>
    </row>
    <row r="718" spans="1:10" ht="11.25" customHeight="1" x14ac:dyDescent="0.2">
      <c r="A718" s="28">
        <v>44743</v>
      </c>
      <c r="B718" s="18">
        <v>0</v>
      </c>
      <c r="C718" s="18">
        <v>0</v>
      </c>
      <c r="D718" s="18">
        <v>2566.1909700000001</v>
      </c>
      <c r="E718" s="18">
        <v>3161.4381124429028</v>
      </c>
      <c r="F718" s="18">
        <v>1315.6244099999999</v>
      </c>
      <c r="G718" s="18">
        <v>1646.4462980021663</v>
      </c>
      <c r="H718" s="19">
        <v>0.23195746123403382</v>
      </c>
      <c r="I718" s="19">
        <v>0.25145617965705447</v>
      </c>
      <c r="J718" s="19">
        <v>0.23856596457842594</v>
      </c>
    </row>
    <row r="719" spans="1:10" ht="11.25" customHeight="1" x14ac:dyDescent="0.2">
      <c r="A719" s="28">
        <v>44774</v>
      </c>
      <c r="B719" s="18">
        <v>0</v>
      </c>
      <c r="C719" s="18">
        <v>0</v>
      </c>
      <c r="D719" s="18">
        <v>3155.06961</v>
      </c>
      <c r="E719" s="18">
        <v>3886.9115467522538</v>
      </c>
      <c r="F719" s="18">
        <v>1617.5283299999999</v>
      </c>
      <c r="G719" s="18">
        <v>2024.2658243488552</v>
      </c>
      <c r="H719" s="19">
        <v>0.23195746123403405</v>
      </c>
      <c r="I719" s="19">
        <v>0.25145617965705447</v>
      </c>
      <c r="J719" s="19">
        <v>0.23856596457842616</v>
      </c>
    </row>
    <row r="720" spans="1:10" ht="11.25" customHeight="1" x14ac:dyDescent="0.2">
      <c r="A720" s="28">
        <v>44805</v>
      </c>
      <c r="B720" s="18">
        <v>0</v>
      </c>
      <c r="C720" s="18">
        <v>0</v>
      </c>
      <c r="D720" s="18">
        <v>2745.5620500000005</v>
      </c>
      <c r="E720" s="18">
        <v>3382.4156527785103</v>
      </c>
      <c r="F720" s="18">
        <v>1407.58365</v>
      </c>
      <c r="G720" s="18">
        <v>1761.5292571767327</v>
      </c>
      <c r="H720" s="19">
        <v>0.23195746123403405</v>
      </c>
      <c r="I720" s="19">
        <v>0.25145617965705469</v>
      </c>
      <c r="J720" s="19">
        <v>0.23856596457842594</v>
      </c>
    </row>
    <row r="721" spans="1:10" ht="11.25" customHeight="1" x14ac:dyDescent="0.2">
      <c r="A721" s="28">
        <v>44835</v>
      </c>
      <c r="B721" s="18">
        <v>0</v>
      </c>
      <c r="C721" s="18">
        <v>0</v>
      </c>
      <c r="D721" s="18">
        <v>2745.5620500000005</v>
      </c>
      <c r="E721" s="18">
        <v>3382.4156527785103</v>
      </c>
      <c r="F721" s="18">
        <v>1407.58365</v>
      </c>
      <c r="G721" s="18">
        <v>1761.5292571767327</v>
      </c>
      <c r="H721" s="19">
        <v>0.23195746123403405</v>
      </c>
      <c r="I721" s="19">
        <v>0.25145617965705469</v>
      </c>
      <c r="J721" s="19">
        <v>0.23856596457842594</v>
      </c>
    </row>
    <row r="722" spans="1:10" ht="11.25" customHeight="1" x14ac:dyDescent="0.2">
      <c r="A722" s="22" t="s">
        <v>23</v>
      </c>
      <c r="B722" s="18">
        <v>0</v>
      </c>
      <c r="C722" s="18">
        <v>0</v>
      </c>
      <c r="D722" s="18">
        <v>61235284.690483198</v>
      </c>
      <c r="E722" s="18">
        <v>68479456.500666991</v>
      </c>
      <c r="F722" s="18">
        <v>52896285.339321613</v>
      </c>
      <c r="G722" s="18">
        <v>66132751.91472511</v>
      </c>
      <c r="H722" s="19">
        <v>0.11830061453620755</v>
      </c>
      <c r="I722" s="19">
        <v>0.25023433102142367</v>
      </c>
      <c r="J722" s="19">
        <v>0.17944761804502329</v>
      </c>
    </row>
    <row r="723" spans="1:10" ht="11.25" customHeight="1" x14ac:dyDescent="0.2">
      <c r="A723" s="23" t="s">
        <v>42</v>
      </c>
      <c r="B723" s="18">
        <v>0</v>
      </c>
      <c r="C723" s="18">
        <v>0</v>
      </c>
      <c r="D723" s="18">
        <v>46221750.237840004</v>
      </c>
      <c r="E723" s="18">
        <v>51689811.695915565</v>
      </c>
      <c r="F723" s="18">
        <v>39927288.683669999</v>
      </c>
      <c r="G723" s="18">
        <v>49918467.056927457</v>
      </c>
      <c r="H723" s="19">
        <v>0.11830061453620733</v>
      </c>
      <c r="I723" s="19">
        <v>0.25023433102142412</v>
      </c>
      <c r="J723" s="19">
        <v>0.17944761804502374</v>
      </c>
    </row>
    <row r="724" spans="1:10" ht="11.25" customHeight="1" x14ac:dyDescent="0.2">
      <c r="A724" s="24" t="s">
        <v>25</v>
      </c>
      <c r="B724" s="18">
        <v>0</v>
      </c>
      <c r="C724" s="18">
        <v>0</v>
      </c>
      <c r="D724" s="18">
        <v>46221750.237840004</v>
      </c>
      <c r="E724" s="18">
        <v>51689811.695915565</v>
      </c>
      <c r="F724" s="18">
        <v>39927288.683669999</v>
      </c>
      <c r="G724" s="18">
        <v>49918467.056927457</v>
      </c>
      <c r="H724" s="19">
        <v>0.11830061453620733</v>
      </c>
      <c r="I724" s="19">
        <v>0.25023433102142412</v>
      </c>
      <c r="J724" s="19">
        <v>0.17944761804502374</v>
      </c>
    </row>
    <row r="725" spans="1:10" ht="11.25" customHeight="1" x14ac:dyDescent="0.2">
      <c r="A725" s="25" t="s">
        <v>25</v>
      </c>
      <c r="B725" s="18">
        <v>0</v>
      </c>
      <c r="C725" s="18">
        <v>0</v>
      </c>
      <c r="D725" s="18">
        <v>46221750.237840004</v>
      </c>
      <c r="E725" s="18">
        <v>51689811.695915565</v>
      </c>
      <c r="F725" s="18">
        <v>39927288.683669999</v>
      </c>
      <c r="G725" s="18">
        <v>49918467.056927457</v>
      </c>
      <c r="H725" s="19">
        <v>0.11830061453620733</v>
      </c>
      <c r="I725" s="19">
        <v>0.25023433102142412</v>
      </c>
      <c r="J725" s="19">
        <v>0.17944761804502374</v>
      </c>
    </row>
    <row r="726" spans="1:10" ht="11.25" customHeight="1" x14ac:dyDescent="0.2">
      <c r="A726" s="26" t="s">
        <v>25</v>
      </c>
      <c r="B726" s="18">
        <v>0</v>
      </c>
      <c r="C726" s="18">
        <v>0</v>
      </c>
      <c r="D726" s="18">
        <v>46221750.237840004</v>
      </c>
      <c r="E726" s="18">
        <v>51689811.695915565</v>
      </c>
      <c r="F726" s="18">
        <v>39927288.683669999</v>
      </c>
      <c r="G726" s="18">
        <v>49918467.056927457</v>
      </c>
      <c r="H726" s="19">
        <v>0.11830061453620733</v>
      </c>
      <c r="I726" s="19">
        <v>0.25023433102142412</v>
      </c>
      <c r="J726" s="19">
        <v>0.17944761804502374</v>
      </c>
    </row>
    <row r="727" spans="1:10" ht="11.25" customHeight="1" x14ac:dyDescent="0.2">
      <c r="A727" s="27" t="s">
        <v>25</v>
      </c>
      <c r="B727" s="18">
        <v>0</v>
      </c>
      <c r="C727" s="18">
        <v>0</v>
      </c>
      <c r="D727" s="18">
        <v>46221750.237840004</v>
      </c>
      <c r="E727" s="18">
        <v>51689811.695915565</v>
      </c>
      <c r="F727" s="18">
        <v>39927288.683669999</v>
      </c>
      <c r="G727" s="18">
        <v>49918467.056927457</v>
      </c>
      <c r="H727" s="19">
        <v>0.11830061453620733</v>
      </c>
      <c r="I727" s="19">
        <v>0.25023433102142412</v>
      </c>
      <c r="J727" s="19">
        <v>0.17944761804502374</v>
      </c>
    </row>
    <row r="728" spans="1:10" ht="11.25" customHeight="1" x14ac:dyDescent="0.2">
      <c r="A728" s="28">
        <v>44501</v>
      </c>
      <c r="B728" s="18">
        <v>0</v>
      </c>
      <c r="C728" s="18">
        <v>0</v>
      </c>
      <c r="D728" s="18">
        <v>3960243.6134399995</v>
      </c>
      <c r="E728" s="18">
        <v>4428742.8666230431</v>
      </c>
      <c r="F728" s="18">
        <v>3420939.0427199998</v>
      </c>
      <c r="G728" s="18">
        <v>4276975.4355401108</v>
      </c>
      <c r="H728" s="19">
        <v>0.11830061453620777</v>
      </c>
      <c r="I728" s="19">
        <v>0.25023433102142434</v>
      </c>
      <c r="J728" s="19">
        <v>0.17944761804502396</v>
      </c>
    </row>
    <row r="729" spans="1:10" ht="11.25" customHeight="1" x14ac:dyDescent="0.2">
      <c r="A729" s="28">
        <v>44531</v>
      </c>
      <c r="B729" s="18">
        <v>0</v>
      </c>
      <c r="C729" s="18">
        <v>0</v>
      </c>
      <c r="D729" s="18">
        <v>3847127.8855199995</v>
      </c>
      <c r="E729" s="18">
        <v>4302245.4785763966</v>
      </c>
      <c r="F729" s="18">
        <v>3323227.37451</v>
      </c>
      <c r="G729" s="18">
        <v>4154812.9534025947</v>
      </c>
      <c r="H729" s="19">
        <v>0.11830061453620755</v>
      </c>
      <c r="I729" s="19">
        <v>0.25023433102142456</v>
      </c>
      <c r="J729" s="19">
        <v>0.17944761804502396</v>
      </c>
    </row>
    <row r="730" spans="1:10" ht="11.25" customHeight="1" x14ac:dyDescent="0.2">
      <c r="A730" s="28">
        <v>44562</v>
      </c>
      <c r="B730" s="18">
        <v>0</v>
      </c>
      <c r="C730" s="18">
        <v>0</v>
      </c>
      <c r="D730" s="18">
        <v>3439244.6277599996</v>
      </c>
      <c r="E730" s="18">
        <v>3846109.3807643582</v>
      </c>
      <c r="F730" s="18">
        <v>2970889.51413</v>
      </c>
      <c r="G730" s="18">
        <v>3714308.0642368854</v>
      </c>
      <c r="H730" s="19">
        <v>0.11830061453620755</v>
      </c>
      <c r="I730" s="19">
        <v>0.25023433102142456</v>
      </c>
      <c r="J730" s="19">
        <v>0.17944761804502396</v>
      </c>
    </row>
    <row r="731" spans="1:10" ht="11.25" customHeight="1" x14ac:dyDescent="0.2">
      <c r="A731" s="28">
        <v>44593</v>
      </c>
      <c r="B731" s="18">
        <v>0</v>
      </c>
      <c r="C731" s="18">
        <v>0</v>
      </c>
      <c r="D731" s="18">
        <v>3530084.2250399999</v>
      </c>
      <c r="E731" s="18">
        <v>3947695.3582268041</v>
      </c>
      <c r="F731" s="18">
        <v>3049358.6072699996</v>
      </c>
      <c r="G731" s="18">
        <v>3812412.8184046308</v>
      </c>
      <c r="H731" s="19">
        <v>0.11830061453620755</v>
      </c>
      <c r="I731" s="19">
        <v>0.25023433102142456</v>
      </c>
      <c r="J731" s="19">
        <v>0.17944761804502396</v>
      </c>
    </row>
    <row r="732" spans="1:10" ht="11.25" customHeight="1" x14ac:dyDescent="0.2">
      <c r="A732" s="28">
        <v>44621</v>
      </c>
      <c r="B732" s="18">
        <v>0</v>
      </c>
      <c r="C732" s="18">
        <v>0</v>
      </c>
      <c r="D732" s="18">
        <v>3841906.4748000004</v>
      </c>
      <c r="E732" s="18">
        <v>4296406.3717594752</v>
      </c>
      <c r="F732" s="18">
        <v>3318717.0136500001</v>
      </c>
      <c r="G732" s="18">
        <v>4149173.9454101273</v>
      </c>
      <c r="H732" s="19">
        <v>0.11830061453620755</v>
      </c>
      <c r="I732" s="19">
        <v>0.25023433102142434</v>
      </c>
      <c r="J732" s="19">
        <v>0.17944761804502396</v>
      </c>
    </row>
    <row r="733" spans="1:10" ht="11.25" customHeight="1" x14ac:dyDescent="0.2">
      <c r="A733" s="28">
        <v>44652</v>
      </c>
      <c r="B733" s="18">
        <v>0</v>
      </c>
      <c r="C733" s="18">
        <v>0</v>
      </c>
      <c r="D733" s="18">
        <v>3841906.4748000004</v>
      </c>
      <c r="E733" s="18">
        <v>4296406.3717594752</v>
      </c>
      <c r="F733" s="18">
        <v>3318717.0136500001</v>
      </c>
      <c r="G733" s="18">
        <v>4149173.9454101273</v>
      </c>
      <c r="H733" s="19">
        <v>0.11830061453620755</v>
      </c>
      <c r="I733" s="19">
        <v>0.25023433102142434</v>
      </c>
      <c r="J733" s="19">
        <v>0.17944761804502396</v>
      </c>
    </row>
    <row r="734" spans="1:10" ht="11.25" customHeight="1" x14ac:dyDescent="0.2">
      <c r="A734" s="28">
        <v>44682</v>
      </c>
      <c r="B734" s="18">
        <v>0</v>
      </c>
      <c r="C734" s="18">
        <v>0</v>
      </c>
      <c r="D734" s="18">
        <v>3969028.5575999999</v>
      </c>
      <c r="E734" s="18">
        <v>4438567.0750758387</v>
      </c>
      <c r="F734" s="18">
        <v>3428527.6563000004</v>
      </c>
      <c r="G734" s="18">
        <v>4286462.9807626829</v>
      </c>
      <c r="H734" s="19">
        <v>0.11830061453620799</v>
      </c>
      <c r="I734" s="19">
        <v>0.25023433102142434</v>
      </c>
      <c r="J734" s="19">
        <v>0.17944761804502418</v>
      </c>
    </row>
    <row r="735" spans="1:10" ht="11.25" customHeight="1" x14ac:dyDescent="0.2">
      <c r="A735" s="28">
        <v>44713</v>
      </c>
      <c r="B735" s="18">
        <v>0</v>
      </c>
      <c r="C735" s="18">
        <v>0</v>
      </c>
      <c r="D735" s="18">
        <v>3588034.2887999997</v>
      </c>
      <c r="E735" s="18">
        <v>4012500.950142025</v>
      </c>
      <c r="F735" s="18">
        <v>3099417.0519000003</v>
      </c>
      <c r="G735" s="18">
        <v>3874997.6044385922</v>
      </c>
      <c r="H735" s="19">
        <v>0.11830061453620777</v>
      </c>
      <c r="I735" s="19">
        <v>0.25023433102142434</v>
      </c>
      <c r="J735" s="19">
        <v>0.17944761804502396</v>
      </c>
    </row>
    <row r="736" spans="1:10" ht="11.25" customHeight="1" x14ac:dyDescent="0.2">
      <c r="A736" s="28">
        <v>44743</v>
      </c>
      <c r="B736" s="18">
        <v>0</v>
      </c>
      <c r="C736" s="18">
        <v>0</v>
      </c>
      <c r="D736" s="18">
        <v>3581046.6753600002</v>
      </c>
      <c r="E736" s="18">
        <v>4004686.6977379313</v>
      </c>
      <c r="F736" s="18">
        <v>3093381.0091800005</v>
      </c>
      <c r="G736" s="18">
        <v>3867451.1366065363</v>
      </c>
      <c r="H736" s="19">
        <v>0.11830061453620755</v>
      </c>
      <c r="I736" s="19">
        <v>0.25023433102142434</v>
      </c>
      <c r="J736" s="19">
        <v>0.17944761804502374</v>
      </c>
    </row>
    <row r="737" spans="1:10" ht="11.25" customHeight="1" x14ac:dyDescent="0.2">
      <c r="A737" s="28">
        <v>44774</v>
      </c>
      <c r="B737" s="18">
        <v>0</v>
      </c>
      <c r="C737" s="18">
        <v>0</v>
      </c>
      <c r="D737" s="18">
        <v>4185609.0883199996</v>
      </c>
      <c r="E737" s="18">
        <v>4680769.2156765917</v>
      </c>
      <c r="F737" s="18">
        <v>3615614.3271599989</v>
      </c>
      <c r="G737" s="18">
        <v>4520365.1595483599</v>
      </c>
      <c r="H737" s="19">
        <v>0.11830061453620777</v>
      </c>
      <c r="I737" s="19">
        <v>0.25023433102142478</v>
      </c>
      <c r="J737" s="19">
        <v>0.17944761804502396</v>
      </c>
    </row>
    <row r="738" spans="1:10" ht="11.25" customHeight="1" x14ac:dyDescent="0.2">
      <c r="A738" s="28">
        <v>44805</v>
      </c>
      <c r="B738" s="18">
        <v>0</v>
      </c>
      <c r="C738" s="18">
        <v>0</v>
      </c>
      <c r="D738" s="18">
        <v>4218759.1631999994</v>
      </c>
      <c r="E738" s="18">
        <v>4717840.9647868164</v>
      </c>
      <c r="F738" s="18">
        <v>3644250.0366000002</v>
      </c>
      <c r="G738" s="18">
        <v>4556166.5065834038</v>
      </c>
      <c r="H738" s="19">
        <v>0.11830061453620755</v>
      </c>
      <c r="I738" s="19">
        <v>0.25023433102142478</v>
      </c>
      <c r="J738" s="19">
        <v>0.17944761804502396</v>
      </c>
    </row>
    <row r="739" spans="1:10" ht="11.25" customHeight="1" x14ac:dyDescent="0.2">
      <c r="A739" s="28">
        <v>44835</v>
      </c>
      <c r="B739" s="18">
        <v>0</v>
      </c>
      <c r="C739" s="18">
        <v>0</v>
      </c>
      <c r="D739" s="18">
        <v>4218759.1631999994</v>
      </c>
      <c r="E739" s="18">
        <v>4717840.9647868164</v>
      </c>
      <c r="F739" s="18">
        <v>3644250.0366000002</v>
      </c>
      <c r="G739" s="18">
        <v>4556166.5065834038</v>
      </c>
      <c r="H739" s="19">
        <v>0.11830061453620755</v>
      </c>
      <c r="I739" s="19">
        <v>0.25023433102142478</v>
      </c>
      <c r="J739" s="19">
        <v>0.17944761804502396</v>
      </c>
    </row>
    <row r="740" spans="1:10" ht="11.25" customHeight="1" x14ac:dyDescent="0.2">
      <c r="A740" s="23" t="s">
        <v>51</v>
      </c>
      <c r="B740" s="18">
        <v>0</v>
      </c>
      <c r="C740" s="18">
        <v>0</v>
      </c>
      <c r="D740" s="18">
        <v>150206.60759999999</v>
      </c>
      <c r="E740" s="18">
        <v>167976.141586479</v>
      </c>
      <c r="F740" s="18">
        <v>129751.52505</v>
      </c>
      <c r="G740" s="18">
        <v>162219.81111989633</v>
      </c>
      <c r="H740" s="19">
        <v>0.11830061453620777</v>
      </c>
      <c r="I740" s="19">
        <v>0.25023433102142434</v>
      </c>
      <c r="J740" s="19">
        <v>0.17944761804502396</v>
      </c>
    </row>
    <row r="741" spans="1:10" ht="11.25" customHeight="1" x14ac:dyDescent="0.2">
      <c r="A741" s="24" t="s">
        <v>25</v>
      </c>
      <c r="B741" s="18">
        <v>0</v>
      </c>
      <c r="C741" s="18">
        <v>0</v>
      </c>
      <c r="D741" s="18">
        <v>150206.60759999999</v>
      </c>
      <c r="E741" s="18">
        <v>167976.141586479</v>
      </c>
      <c r="F741" s="18">
        <v>129751.52505</v>
      </c>
      <c r="G741" s="18">
        <v>162219.81111989633</v>
      </c>
      <c r="H741" s="19">
        <v>0.11830061453620777</v>
      </c>
      <c r="I741" s="19">
        <v>0.25023433102142434</v>
      </c>
      <c r="J741" s="19">
        <v>0.17944761804502396</v>
      </c>
    </row>
    <row r="742" spans="1:10" ht="11.25" customHeight="1" x14ac:dyDescent="0.2">
      <c r="A742" s="25" t="s">
        <v>25</v>
      </c>
      <c r="B742" s="18">
        <v>0</v>
      </c>
      <c r="C742" s="18">
        <v>0</v>
      </c>
      <c r="D742" s="18">
        <v>150206.60759999999</v>
      </c>
      <c r="E742" s="18">
        <v>167976.141586479</v>
      </c>
      <c r="F742" s="18">
        <v>129751.52505</v>
      </c>
      <c r="G742" s="18">
        <v>162219.81111989633</v>
      </c>
      <c r="H742" s="19">
        <v>0.11830061453620777</v>
      </c>
      <c r="I742" s="19">
        <v>0.25023433102142434</v>
      </c>
      <c r="J742" s="19">
        <v>0.17944761804502396</v>
      </c>
    </row>
    <row r="743" spans="1:10" ht="11.25" customHeight="1" x14ac:dyDescent="0.2">
      <c r="A743" s="26" t="s">
        <v>25</v>
      </c>
      <c r="B743" s="18">
        <v>0</v>
      </c>
      <c r="C743" s="18">
        <v>0</v>
      </c>
      <c r="D743" s="18">
        <v>150206.60759999999</v>
      </c>
      <c r="E743" s="18">
        <v>167976.141586479</v>
      </c>
      <c r="F743" s="18">
        <v>129751.52505</v>
      </c>
      <c r="G743" s="18">
        <v>162219.81111989633</v>
      </c>
      <c r="H743" s="19">
        <v>0.11830061453620777</v>
      </c>
      <c r="I743" s="19">
        <v>0.25023433102142434</v>
      </c>
      <c r="J743" s="19">
        <v>0.17944761804502396</v>
      </c>
    </row>
    <row r="744" spans="1:10" ht="11.25" customHeight="1" x14ac:dyDescent="0.2">
      <c r="A744" s="27" t="s">
        <v>25</v>
      </c>
      <c r="B744" s="18">
        <v>0</v>
      </c>
      <c r="C744" s="18">
        <v>0</v>
      </c>
      <c r="D744" s="18">
        <v>150206.60759999999</v>
      </c>
      <c r="E744" s="18">
        <v>167976.141586479</v>
      </c>
      <c r="F744" s="18">
        <v>129751.52505</v>
      </c>
      <c r="G744" s="18">
        <v>162219.81111989633</v>
      </c>
      <c r="H744" s="19">
        <v>0.11830061453620777</v>
      </c>
      <c r="I744" s="19">
        <v>0.25023433102142434</v>
      </c>
      <c r="J744" s="19">
        <v>0.17944761804502396</v>
      </c>
    </row>
    <row r="745" spans="1:10" ht="11.25" customHeight="1" x14ac:dyDescent="0.2">
      <c r="A745" s="28">
        <v>44501</v>
      </c>
      <c r="B745" s="18">
        <v>0</v>
      </c>
      <c r="C745" s="18">
        <v>0</v>
      </c>
      <c r="D745" s="18">
        <v>12967.302239999999</v>
      </c>
      <c r="E745" s="18">
        <v>14501.342063868742</v>
      </c>
      <c r="F745" s="18">
        <v>11201.419620000001</v>
      </c>
      <c r="G745" s="18">
        <v>14004.399365100959</v>
      </c>
      <c r="H745" s="19">
        <v>0.11830061453620777</v>
      </c>
      <c r="I745" s="19">
        <v>0.25023433102142434</v>
      </c>
      <c r="J745" s="19">
        <v>0.17944761804502396</v>
      </c>
    </row>
    <row r="746" spans="1:10" ht="11.25" customHeight="1" x14ac:dyDescent="0.2">
      <c r="A746" s="28">
        <v>44531</v>
      </c>
      <c r="B746" s="18">
        <v>0</v>
      </c>
      <c r="C746" s="18">
        <v>0</v>
      </c>
      <c r="D746" s="18">
        <v>12266.299679999998</v>
      </c>
      <c r="E746" s="18">
        <v>13717.410470229286</v>
      </c>
      <c r="F746" s="18">
        <v>10595.87934</v>
      </c>
      <c r="G746" s="18">
        <v>13247.332118228633</v>
      </c>
      <c r="H746" s="19">
        <v>0.11830061453620777</v>
      </c>
      <c r="I746" s="19">
        <v>0.25023433102142456</v>
      </c>
      <c r="J746" s="19">
        <v>0.17944761804502418</v>
      </c>
    </row>
    <row r="747" spans="1:10" ht="11.25" customHeight="1" x14ac:dyDescent="0.2">
      <c r="A747" s="28">
        <v>44562</v>
      </c>
      <c r="B747" s="18">
        <v>0</v>
      </c>
      <c r="C747" s="18">
        <v>0</v>
      </c>
      <c r="D747" s="18">
        <v>12051.2052</v>
      </c>
      <c r="E747" s="18">
        <v>13476.870181061942</v>
      </c>
      <c r="F747" s="18">
        <v>10410.076350000001</v>
      </c>
      <c r="G747" s="18">
        <v>13015.034841324203</v>
      </c>
      <c r="H747" s="19">
        <v>0.11830061453620777</v>
      </c>
      <c r="I747" s="19">
        <v>0.25023433102142434</v>
      </c>
      <c r="J747" s="19">
        <v>0.17944761804502396</v>
      </c>
    </row>
    <row r="748" spans="1:10" ht="11.25" customHeight="1" x14ac:dyDescent="0.2">
      <c r="A748" s="28">
        <v>44593</v>
      </c>
      <c r="B748" s="18">
        <v>0</v>
      </c>
      <c r="C748" s="18">
        <v>0</v>
      </c>
      <c r="D748" s="18">
        <v>11708.174639999999</v>
      </c>
      <c r="E748" s="18">
        <v>13093.258895009241</v>
      </c>
      <c r="F748" s="18">
        <v>10113.75957</v>
      </c>
      <c r="G748" s="18">
        <v>12644.56943011048</v>
      </c>
      <c r="H748" s="19">
        <v>0.11830061453620777</v>
      </c>
      <c r="I748" s="19">
        <v>0.25023433102142434</v>
      </c>
      <c r="J748" s="19">
        <v>0.17944761804502396</v>
      </c>
    </row>
    <row r="749" spans="1:10" ht="11.25" customHeight="1" x14ac:dyDescent="0.2">
      <c r="A749" s="28">
        <v>44621</v>
      </c>
      <c r="B749" s="18">
        <v>0</v>
      </c>
      <c r="C749" s="18">
        <v>0</v>
      </c>
      <c r="D749" s="18">
        <v>12415.402799999998</v>
      </c>
      <c r="E749" s="18">
        <v>13884.152580954553</v>
      </c>
      <c r="F749" s="18">
        <v>10724.67765</v>
      </c>
      <c r="G749" s="18">
        <v>13408.360187168171</v>
      </c>
      <c r="H749" s="19">
        <v>0.11830061453620777</v>
      </c>
      <c r="I749" s="19">
        <v>0.25023433102142434</v>
      </c>
      <c r="J749" s="19">
        <v>0.17944761804502396</v>
      </c>
    </row>
    <row r="750" spans="1:10" ht="11.25" customHeight="1" x14ac:dyDescent="0.2">
      <c r="A750" s="28">
        <v>44652</v>
      </c>
      <c r="B750" s="18">
        <v>0</v>
      </c>
      <c r="C750" s="18">
        <v>0</v>
      </c>
      <c r="D750" s="18">
        <v>12415.402799999998</v>
      </c>
      <c r="E750" s="18">
        <v>13884.152580954553</v>
      </c>
      <c r="F750" s="18">
        <v>10724.67765</v>
      </c>
      <c r="G750" s="18">
        <v>13408.360187168171</v>
      </c>
      <c r="H750" s="19">
        <v>0.11830061453620777</v>
      </c>
      <c r="I750" s="19">
        <v>0.25023433102142434</v>
      </c>
      <c r="J750" s="19">
        <v>0.17944761804502396</v>
      </c>
    </row>
    <row r="751" spans="1:10" ht="11.25" customHeight="1" x14ac:dyDescent="0.2">
      <c r="A751" s="28">
        <v>44682</v>
      </c>
      <c r="B751" s="18">
        <v>0</v>
      </c>
      <c r="C751" s="18">
        <v>0</v>
      </c>
      <c r="D751" s="18">
        <v>12185.678159999998</v>
      </c>
      <c r="E751" s="18">
        <v>13627.251374868443</v>
      </c>
      <c r="F751" s="18">
        <v>10526.23683</v>
      </c>
      <c r="G751" s="18">
        <v>13160.26266132813</v>
      </c>
      <c r="H751" s="19">
        <v>0.11830061453620777</v>
      </c>
      <c r="I751" s="19">
        <v>0.25023433102142456</v>
      </c>
      <c r="J751" s="19">
        <v>0.17944761804502418</v>
      </c>
    </row>
    <row r="752" spans="1:10" ht="11.25" customHeight="1" x14ac:dyDescent="0.2">
      <c r="A752" s="28">
        <v>44713</v>
      </c>
      <c r="B752" s="18">
        <v>0</v>
      </c>
      <c r="C752" s="18">
        <v>0</v>
      </c>
      <c r="D752" s="18">
        <v>11850.11832</v>
      </c>
      <c r="E752" s="18">
        <v>13251.994599582773</v>
      </c>
      <c r="F752" s="18">
        <v>10236.37341</v>
      </c>
      <c r="G752" s="18">
        <v>12797.865462336847</v>
      </c>
      <c r="H752" s="19">
        <v>0.11830061453620777</v>
      </c>
      <c r="I752" s="19">
        <v>0.25023433102142434</v>
      </c>
      <c r="J752" s="19">
        <v>0.17944761804502396</v>
      </c>
    </row>
    <row r="753" spans="1:10" ht="11.25" customHeight="1" x14ac:dyDescent="0.2">
      <c r="A753" s="28">
        <v>44743</v>
      </c>
      <c r="B753" s="18">
        <v>0</v>
      </c>
      <c r="C753" s="18">
        <v>0</v>
      </c>
      <c r="D753" s="18">
        <v>11478.138719999999</v>
      </c>
      <c r="E753" s="18">
        <v>12836.00958430784</v>
      </c>
      <c r="F753" s="18">
        <v>9915.049860000001</v>
      </c>
      <c r="G753" s="18">
        <v>12396.135728761168</v>
      </c>
      <c r="H753" s="19">
        <v>0.11830061453620777</v>
      </c>
      <c r="I753" s="19">
        <v>0.25023433102142434</v>
      </c>
      <c r="J753" s="19">
        <v>0.17944761804502374</v>
      </c>
    </row>
    <row r="754" spans="1:10" ht="11.25" customHeight="1" x14ac:dyDescent="0.2">
      <c r="A754" s="28">
        <v>44774</v>
      </c>
      <c r="B754" s="18">
        <v>0</v>
      </c>
      <c r="C754" s="18">
        <v>0</v>
      </c>
      <c r="D754" s="18">
        <v>13319.982479999997</v>
      </c>
      <c r="E754" s="18">
        <v>14895.744592995517</v>
      </c>
      <c r="F754" s="18">
        <v>11506.071989999999</v>
      </c>
      <c r="G754" s="18">
        <v>14385.286217101999</v>
      </c>
      <c r="H754" s="19">
        <v>0.11830061453620777</v>
      </c>
      <c r="I754" s="19">
        <v>0.25023433102142456</v>
      </c>
      <c r="J754" s="19">
        <v>0.17944761804502396</v>
      </c>
    </row>
    <row r="755" spans="1:10" ht="11.25" customHeight="1" x14ac:dyDescent="0.2">
      <c r="A755" s="28">
        <v>44805</v>
      </c>
      <c r="B755" s="18">
        <v>0</v>
      </c>
      <c r="C755" s="18">
        <v>0</v>
      </c>
      <c r="D755" s="18">
        <v>13774.451279999997</v>
      </c>
      <c r="E755" s="18">
        <v>15403.977331323051</v>
      </c>
      <c r="F755" s="18">
        <v>11898.651389999999</v>
      </c>
      <c r="G755" s="18">
        <v>14876.102460633792</v>
      </c>
      <c r="H755" s="19">
        <v>0.11830061453620777</v>
      </c>
      <c r="I755" s="19">
        <v>0.25023433102142456</v>
      </c>
      <c r="J755" s="19">
        <v>0.17944761804502396</v>
      </c>
    </row>
    <row r="756" spans="1:10" ht="11.25" customHeight="1" x14ac:dyDescent="0.2">
      <c r="A756" s="28">
        <v>44835</v>
      </c>
      <c r="B756" s="18">
        <v>0</v>
      </c>
      <c r="C756" s="18">
        <v>0</v>
      </c>
      <c r="D756" s="18">
        <v>13774.451279999997</v>
      </c>
      <c r="E756" s="18">
        <v>15403.977331323051</v>
      </c>
      <c r="F756" s="18">
        <v>11898.651389999999</v>
      </c>
      <c r="G756" s="18">
        <v>14876.102460633792</v>
      </c>
      <c r="H756" s="19">
        <v>0.11830061453620777</v>
      </c>
      <c r="I756" s="19">
        <v>0.25023433102142456</v>
      </c>
      <c r="J756" s="19">
        <v>0.17944761804502396</v>
      </c>
    </row>
    <row r="757" spans="1:10" ht="11.25" customHeight="1" x14ac:dyDescent="0.2">
      <c r="A757" s="23" t="s">
        <v>38</v>
      </c>
      <c r="B757" s="18">
        <v>0</v>
      </c>
      <c r="C757" s="18">
        <v>0</v>
      </c>
      <c r="D757" s="18">
        <v>2222322.8603999997</v>
      </c>
      <c r="E757" s="18">
        <v>2485225.0204831827</v>
      </c>
      <c r="F757" s="18">
        <v>1919687.7214500001</v>
      </c>
      <c r="G757" s="18">
        <v>2400059.4941970832</v>
      </c>
      <c r="H757" s="19">
        <v>0.11830061453620755</v>
      </c>
      <c r="I757" s="19">
        <v>0.250234331021425</v>
      </c>
      <c r="J757" s="19">
        <v>0.17944761804502396</v>
      </c>
    </row>
    <row r="758" spans="1:10" ht="11.25" customHeight="1" x14ac:dyDescent="0.2">
      <c r="A758" s="24" t="s">
        <v>25</v>
      </c>
      <c r="B758" s="18">
        <v>0</v>
      </c>
      <c r="C758" s="18">
        <v>0</v>
      </c>
      <c r="D758" s="18">
        <v>2222322.8603999997</v>
      </c>
      <c r="E758" s="18">
        <v>2485225.0204831827</v>
      </c>
      <c r="F758" s="18">
        <v>1919687.7214500001</v>
      </c>
      <c r="G758" s="18">
        <v>2400059.4941970832</v>
      </c>
      <c r="H758" s="19">
        <v>0.11830061453620755</v>
      </c>
      <c r="I758" s="19">
        <v>0.250234331021425</v>
      </c>
      <c r="J758" s="19">
        <v>0.17944761804502396</v>
      </c>
    </row>
    <row r="759" spans="1:10" ht="11.25" customHeight="1" x14ac:dyDescent="0.2">
      <c r="A759" s="25" t="s">
        <v>25</v>
      </c>
      <c r="B759" s="18">
        <v>0</v>
      </c>
      <c r="C759" s="18">
        <v>0</v>
      </c>
      <c r="D759" s="18">
        <v>2222322.8603999997</v>
      </c>
      <c r="E759" s="18">
        <v>2485225.0204831827</v>
      </c>
      <c r="F759" s="18">
        <v>1919687.7214500001</v>
      </c>
      <c r="G759" s="18">
        <v>2400059.4941970832</v>
      </c>
      <c r="H759" s="19">
        <v>0.11830061453620755</v>
      </c>
      <c r="I759" s="19">
        <v>0.250234331021425</v>
      </c>
      <c r="J759" s="19">
        <v>0.17944761804502396</v>
      </c>
    </row>
    <row r="760" spans="1:10" ht="11.25" customHeight="1" x14ac:dyDescent="0.2">
      <c r="A760" s="26" t="s">
        <v>25</v>
      </c>
      <c r="B760" s="18">
        <v>0</v>
      </c>
      <c r="C760" s="18">
        <v>0</v>
      </c>
      <c r="D760" s="18">
        <v>2222322.8603999997</v>
      </c>
      <c r="E760" s="18">
        <v>2485225.0204831827</v>
      </c>
      <c r="F760" s="18">
        <v>1919687.7214500001</v>
      </c>
      <c r="G760" s="18">
        <v>2400059.4941970832</v>
      </c>
      <c r="H760" s="19">
        <v>0.11830061453620755</v>
      </c>
      <c r="I760" s="19">
        <v>0.250234331021425</v>
      </c>
      <c r="J760" s="19">
        <v>0.17944761804502396</v>
      </c>
    </row>
    <row r="761" spans="1:10" ht="11.25" customHeight="1" x14ac:dyDescent="0.2">
      <c r="A761" s="27" t="s">
        <v>25</v>
      </c>
      <c r="B761" s="18">
        <v>0</v>
      </c>
      <c r="C761" s="18">
        <v>0</v>
      </c>
      <c r="D761" s="18">
        <v>2222322.8603999997</v>
      </c>
      <c r="E761" s="18">
        <v>2485225.0204831827</v>
      </c>
      <c r="F761" s="18">
        <v>1919687.7214500001</v>
      </c>
      <c r="G761" s="18">
        <v>2400059.4941970832</v>
      </c>
      <c r="H761" s="19">
        <v>0.11830061453620755</v>
      </c>
      <c r="I761" s="19">
        <v>0.250234331021425</v>
      </c>
      <c r="J761" s="19">
        <v>0.17944761804502396</v>
      </c>
    </row>
    <row r="762" spans="1:10" ht="11.25" customHeight="1" x14ac:dyDescent="0.2">
      <c r="A762" s="28">
        <v>44501</v>
      </c>
      <c r="B762" s="18">
        <v>0</v>
      </c>
      <c r="C762" s="18">
        <v>0</v>
      </c>
      <c r="D762" s="18">
        <v>175635.38207999998</v>
      </c>
      <c r="E762" s="18">
        <v>196413.15571436562</v>
      </c>
      <c r="F762" s="18">
        <v>151717.41803999999</v>
      </c>
      <c r="G762" s="18">
        <v>189682.32464753717</v>
      </c>
      <c r="H762" s="19">
        <v>0.11830061453620777</v>
      </c>
      <c r="I762" s="19">
        <v>0.25023433102142434</v>
      </c>
      <c r="J762" s="19">
        <v>0.17944761804502396</v>
      </c>
    </row>
    <row r="763" spans="1:10" ht="11.25" customHeight="1" x14ac:dyDescent="0.2">
      <c r="A763" s="28">
        <v>44531</v>
      </c>
      <c r="B763" s="18">
        <v>0</v>
      </c>
      <c r="C763" s="18">
        <v>0</v>
      </c>
      <c r="D763" s="18">
        <v>183814.26407999999</v>
      </c>
      <c r="E763" s="18">
        <v>205559.60448118477</v>
      </c>
      <c r="F763" s="18">
        <v>158782.50279</v>
      </c>
      <c r="G763" s="18">
        <v>198515.33615356311</v>
      </c>
      <c r="H763" s="19">
        <v>0.11830061453620777</v>
      </c>
      <c r="I763" s="19">
        <v>0.25023433102142456</v>
      </c>
      <c r="J763" s="19">
        <v>0.17944761804502396</v>
      </c>
    </row>
    <row r="764" spans="1:10" ht="11.25" customHeight="1" x14ac:dyDescent="0.2">
      <c r="A764" s="28">
        <v>44562</v>
      </c>
      <c r="B764" s="18">
        <v>0</v>
      </c>
      <c r="C764" s="18">
        <v>0</v>
      </c>
      <c r="D764" s="18">
        <v>175627.60007999997</v>
      </c>
      <c r="E764" s="18">
        <v>196404.45309898333</v>
      </c>
      <c r="F764" s="18">
        <v>151710.69579</v>
      </c>
      <c r="G764" s="18">
        <v>189673.92025980548</v>
      </c>
      <c r="H764" s="19">
        <v>0.11830061453620799</v>
      </c>
      <c r="I764" s="19">
        <v>0.25023433102142456</v>
      </c>
      <c r="J764" s="19">
        <v>0.17944761804502396</v>
      </c>
    </row>
    <row r="765" spans="1:10" ht="11.25" customHeight="1" x14ac:dyDescent="0.2">
      <c r="A765" s="28">
        <v>44593</v>
      </c>
      <c r="B765" s="18">
        <v>0</v>
      </c>
      <c r="C765" s="18">
        <v>0</v>
      </c>
      <c r="D765" s="18">
        <v>186829.32215999998</v>
      </c>
      <c r="E765" s="18">
        <v>208931.3457849111</v>
      </c>
      <c r="F765" s="18">
        <v>161386.97132999997</v>
      </c>
      <c r="G765" s="18">
        <v>201771.53213633638</v>
      </c>
      <c r="H765" s="19">
        <v>0.11830061453620777</v>
      </c>
      <c r="I765" s="19">
        <v>0.25023433102142478</v>
      </c>
      <c r="J765" s="19">
        <v>0.17944761804502418</v>
      </c>
    </row>
    <row r="766" spans="1:10" ht="11.25" customHeight="1" x14ac:dyDescent="0.2">
      <c r="A766" s="28">
        <v>44621</v>
      </c>
      <c r="B766" s="18">
        <v>0</v>
      </c>
      <c r="C766" s="18">
        <v>0</v>
      </c>
      <c r="D766" s="18">
        <v>195716.36615999998</v>
      </c>
      <c r="E766" s="18">
        <v>218869.73255152142</v>
      </c>
      <c r="F766" s="18">
        <v>169063.78083</v>
      </c>
      <c r="G766" s="18">
        <v>211369.34292594774</v>
      </c>
      <c r="H766" s="19">
        <v>0.11830061453620777</v>
      </c>
      <c r="I766" s="19">
        <v>0.25023433102142434</v>
      </c>
      <c r="J766" s="19">
        <v>0.17944761804502374</v>
      </c>
    </row>
    <row r="767" spans="1:10" ht="11.25" customHeight="1" x14ac:dyDescent="0.2">
      <c r="A767" s="28">
        <v>44652</v>
      </c>
      <c r="B767" s="18">
        <v>0</v>
      </c>
      <c r="C767" s="18">
        <v>0</v>
      </c>
      <c r="D767" s="18">
        <v>195716.36615999998</v>
      </c>
      <c r="E767" s="18">
        <v>218869.73255152142</v>
      </c>
      <c r="F767" s="18">
        <v>169063.78083</v>
      </c>
      <c r="G767" s="18">
        <v>211369.34292594774</v>
      </c>
      <c r="H767" s="19">
        <v>0.11830061453620777</v>
      </c>
      <c r="I767" s="19">
        <v>0.25023433102142434</v>
      </c>
      <c r="J767" s="19">
        <v>0.17944761804502374</v>
      </c>
    </row>
    <row r="768" spans="1:10" ht="11.25" customHeight="1" x14ac:dyDescent="0.2">
      <c r="A768" s="28">
        <v>44682</v>
      </c>
      <c r="B768" s="18">
        <v>0</v>
      </c>
      <c r="C768" s="18">
        <v>0</v>
      </c>
      <c r="D768" s="18">
        <v>182784.86112000002</v>
      </c>
      <c r="E768" s="18">
        <v>204408.42251841139</v>
      </c>
      <c r="F768" s="18">
        <v>157893.28356000001</v>
      </c>
      <c r="G768" s="18">
        <v>197403.60374441269</v>
      </c>
      <c r="H768" s="19">
        <v>0.11830061453620777</v>
      </c>
      <c r="I768" s="19">
        <v>0.25023433102142434</v>
      </c>
      <c r="J768" s="19">
        <v>0.17944761804502396</v>
      </c>
    </row>
    <row r="769" spans="1:10" ht="11.25" customHeight="1" x14ac:dyDescent="0.2">
      <c r="A769" s="28">
        <v>44713</v>
      </c>
      <c r="B769" s="18">
        <v>0</v>
      </c>
      <c r="C769" s="18">
        <v>0</v>
      </c>
      <c r="D769" s="18">
        <v>173314.47839999999</v>
      </c>
      <c r="E769" s="18">
        <v>193817.68770274229</v>
      </c>
      <c r="F769" s="18">
        <v>149712.57419999997</v>
      </c>
      <c r="G769" s="18">
        <v>187175.80005043239</v>
      </c>
      <c r="H769" s="19">
        <v>0.11830061453620777</v>
      </c>
      <c r="I769" s="19">
        <v>0.25023433102142478</v>
      </c>
      <c r="J769" s="19">
        <v>0.17944761804502418</v>
      </c>
    </row>
    <row r="770" spans="1:10" ht="11.25" customHeight="1" x14ac:dyDescent="0.2">
      <c r="A770" s="28">
        <v>44743</v>
      </c>
      <c r="B770" s="18">
        <v>0</v>
      </c>
      <c r="C770" s="18">
        <v>0</v>
      </c>
      <c r="D770" s="18">
        <v>176860.89143999998</v>
      </c>
      <c r="E770" s="18">
        <v>197783.6435847735</v>
      </c>
      <c r="F770" s="18">
        <v>152776.03797</v>
      </c>
      <c r="G770" s="18">
        <v>191005.84762752667</v>
      </c>
      <c r="H770" s="19">
        <v>0.11830061453620777</v>
      </c>
      <c r="I770" s="19">
        <v>0.25023433102142434</v>
      </c>
      <c r="J770" s="19">
        <v>0.17944761804502374</v>
      </c>
    </row>
    <row r="771" spans="1:10" ht="11.25" customHeight="1" x14ac:dyDescent="0.2">
      <c r="A771" s="28">
        <v>44774</v>
      </c>
      <c r="B771" s="18">
        <v>0</v>
      </c>
      <c r="C771" s="18">
        <v>0</v>
      </c>
      <c r="D771" s="18">
        <v>187606.8996</v>
      </c>
      <c r="E771" s="18">
        <v>209800.91111391259</v>
      </c>
      <c r="F771" s="18">
        <v>162058.65854999999</v>
      </c>
      <c r="G771" s="18">
        <v>202611.29855848869</v>
      </c>
      <c r="H771" s="19">
        <v>0.11830061453620755</v>
      </c>
      <c r="I771" s="19">
        <v>0.25023433102142456</v>
      </c>
      <c r="J771" s="19">
        <v>0.17944761804502396</v>
      </c>
    </row>
    <row r="772" spans="1:10" ht="11.25" customHeight="1" x14ac:dyDescent="0.2">
      <c r="A772" s="28">
        <v>44805</v>
      </c>
      <c r="B772" s="18">
        <v>0</v>
      </c>
      <c r="C772" s="18">
        <v>0</v>
      </c>
      <c r="D772" s="18">
        <v>194208.21455999996</v>
      </c>
      <c r="E772" s="18">
        <v>217183.16569042765</v>
      </c>
      <c r="F772" s="18">
        <v>167761.00877999997</v>
      </c>
      <c r="G772" s="18">
        <v>209740.57258354258</v>
      </c>
      <c r="H772" s="19">
        <v>0.11830061453620777</v>
      </c>
      <c r="I772" s="19">
        <v>0.25023433102142456</v>
      </c>
      <c r="J772" s="19">
        <v>0.17944761804502396</v>
      </c>
    </row>
    <row r="773" spans="1:10" ht="11.25" customHeight="1" x14ac:dyDescent="0.2">
      <c r="A773" s="28">
        <v>44835</v>
      </c>
      <c r="B773" s="18">
        <v>0</v>
      </c>
      <c r="C773" s="18">
        <v>0</v>
      </c>
      <c r="D773" s="18">
        <v>194208.21455999996</v>
      </c>
      <c r="E773" s="18">
        <v>217183.16569042765</v>
      </c>
      <c r="F773" s="18">
        <v>167761.00877999997</v>
      </c>
      <c r="G773" s="18">
        <v>209740.57258354258</v>
      </c>
      <c r="H773" s="19">
        <v>0.11830061453620777</v>
      </c>
      <c r="I773" s="19">
        <v>0.25023433102142456</v>
      </c>
      <c r="J773" s="19">
        <v>0.17944761804502396</v>
      </c>
    </row>
    <row r="774" spans="1:10" ht="11.25" customHeight="1" x14ac:dyDescent="0.2">
      <c r="A774" s="23" t="s">
        <v>45</v>
      </c>
      <c r="B774" s="18">
        <v>0</v>
      </c>
      <c r="C774" s="18">
        <v>0</v>
      </c>
      <c r="D774" s="18">
        <v>9781137.590640001</v>
      </c>
      <c r="E774" s="18">
        <v>10938252.178475915</v>
      </c>
      <c r="F774" s="18">
        <v>8449145.7425699998</v>
      </c>
      <c r="G774" s="18">
        <v>10563412.075164521</v>
      </c>
      <c r="H774" s="19">
        <v>0.11830061453620777</v>
      </c>
      <c r="I774" s="19">
        <v>0.250234331021425</v>
      </c>
      <c r="J774" s="19">
        <v>0.17944761804502418</v>
      </c>
    </row>
    <row r="775" spans="1:10" ht="11.25" customHeight="1" x14ac:dyDescent="0.2">
      <c r="A775" s="24" t="s">
        <v>25</v>
      </c>
      <c r="B775" s="18">
        <v>0</v>
      </c>
      <c r="C775" s="18">
        <v>0</v>
      </c>
      <c r="D775" s="18">
        <v>9781137.590640001</v>
      </c>
      <c r="E775" s="18">
        <v>10938252.178475915</v>
      </c>
      <c r="F775" s="18">
        <v>8449145.7425699998</v>
      </c>
      <c r="G775" s="18">
        <v>10563412.075164521</v>
      </c>
      <c r="H775" s="19">
        <v>0.11830061453620777</v>
      </c>
      <c r="I775" s="19">
        <v>0.250234331021425</v>
      </c>
      <c r="J775" s="19">
        <v>0.17944761804502418</v>
      </c>
    </row>
    <row r="776" spans="1:10" ht="11.25" customHeight="1" x14ac:dyDescent="0.2">
      <c r="A776" s="25" t="s">
        <v>25</v>
      </c>
      <c r="B776" s="18">
        <v>0</v>
      </c>
      <c r="C776" s="18">
        <v>0</v>
      </c>
      <c r="D776" s="18">
        <v>9781137.590640001</v>
      </c>
      <c r="E776" s="18">
        <v>10938252.178475915</v>
      </c>
      <c r="F776" s="18">
        <v>8449145.7425699998</v>
      </c>
      <c r="G776" s="18">
        <v>10563412.075164521</v>
      </c>
      <c r="H776" s="19">
        <v>0.11830061453620777</v>
      </c>
      <c r="I776" s="19">
        <v>0.250234331021425</v>
      </c>
      <c r="J776" s="19">
        <v>0.17944761804502418</v>
      </c>
    </row>
    <row r="777" spans="1:10" ht="11.25" customHeight="1" x14ac:dyDescent="0.2">
      <c r="A777" s="26" t="s">
        <v>25</v>
      </c>
      <c r="B777" s="18">
        <v>0</v>
      </c>
      <c r="C777" s="18">
        <v>0</v>
      </c>
      <c r="D777" s="18">
        <v>9781137.590640001</v>
      </c>
      <c r="E777" s="18">
        <v>10938252.178475915</v>
      </c>
      <c r="F777" s="18">
        <v>8449145.7425699998</v>
      </c>
      <c r="G777" s="18">
        <v>10563412.075164521</v>
      </c>
      <c r="H777" s="19">
        <v>0.11830061453620777</v>
      </c>
      <c r="I777" s="19">
        <v>0.250234331021425</v>
      </c>
      <c r="J777" s="19">
        <v>0.17944761804502418</v>
      </c>
    </row>
    <row r="778" spans="1:10" ht="11.25" customHeight="1" x14ac:dyDescent="0.2">
      <c r="A778" s="27" t="s">
        <v>25</v>
      </c>
      <c r="B778" s="18">
        <v>0</v>
      </c>
      <c r="C778" s="18">
        <v>0</v>
      </c>
      <c r="D778" s="18">
        <v>9781137.590640001</v>
      </c>
      <c r="E778" s="18">
        <v>10938252.178475915</v>
      </c>
      <c r="F778" s="18">
        <v>8449145.7425699998</v>
      </c>
      <c r="G778" s="18">
        <v>10563412.075164521</v>
      </c>
      <c r="H778" s="19">
        <v>0.11830061453620777</v>
      </c>
      <c r="I778" s="19">
        <v>0.250234331021425</v>
      </c>
      <c r="J778" s="19">
        <v>0.17944761804502418</v>
      </c>
    </row>
    <row r="779" spans="1:10" ht="11.25" customHeight="1" x14ac:dyDescent="0.2">
      <c r="A779" s="28">
        <v>44501</v>
      </c>
      <c r="B779" s="18">
        <v>0</v>
      </c>
      <c r="C779" s="18">
        <v>0</v>
      </c>
      <c r="D779" s="18">
        <v>793713.88391999982</v>
      </c>
      <c r="E779" s="18">
        <v>887610.72415365605</v>
      </c>
      <c r="F779" s="18">
        <v>685626.20871000004</v>
      </c>
      <c r="G779" s="18">
        <v>857193.42437730229</v>
      </c>
      <c r="H779" s="19">
        <v>0.11830061453620777</v>
      </c>
      <c r="I779" s="19">
        <v>0.25023433102142434</v>
      </c>
      <c r="J779" s="19">
        <v>0.17944761804502374</v>
      </c>
    </row>
    <row r="780" spans="1:10" ht="11.25" customHeight="1" x14ac:dyDescent="0.2">
      <c r="A780" s="28">
        <v>44531</v>
      </c>
      <c r="B780" s="18">
        <v>0</v>
      </c>
      <c r="C780" s="18">
        <v>0</v>
      </c>
      <c r="D780" s="18">
        <v>739544.00447999989</v>
      </c>
      <c r="E780" s="18">
        <v>827032.51468655188</v>
      </c>
      <c r="F780" s="18">
        <v>638833.16424000007</v>
      </c>
      <c r="G780" s="18">
        <v>798691.15372789616</v>
      </c>
      <c r="H780" s="19">
        <v>0.11830061453620777</v>
      </c>
      <c r="I780" s="19">
        <v>0.25023433102142434</v>
      </c>
      <c r="J780" s="19">
        <v>0.17944761804502396</v>
      </c>
    </row>
    <row r="781" spans="1:10" ht="11.25" customHeight="1" x14ac:dyDescent="0.2">
      <c r="A781" s="28">
        <v>44562</v>
      </c>
      <c r="B781" s="18">
        <v>0</v>
      </c>
      <c r="C781" s="18">
        <v>0</v>
      </c>
      <c r="D781" s="18">
        <v>620383.53023999999</v>
      </c>
      <c r="E781" s="18">
        <v>693775.28311553388</v>
      </c>
      <c r="F781" s="18">
        <v>535899.92111999996</v>
      </c>
      <c r="G781" s="18">
        <v>670000.47937589732</v>
      </c>
      <c r="H781" s="19">
        <v>0.11830061453620755</v>
      </c>
      <c r="I781" s="19">
        <v>0.25023433102142456</v>
      </c>
      <c r="J781" s="19">
        <v>0.17944761804502396</v>
      </c>
    </row>
    <row r="782" spans="1:10" ht="11.25" customHeight="1" x14ac:dyDescent="0.2">
      <c r="A782" s="28">
        <v>44593</v>
      </c>
      <c r="B782" s="18">
        <v>0</v>
      </c>
      <c r="C782" s="18">
        <v>0</v>
      </c>
      <c r="D782" s="18">
        <v>704043.76559999993</v>
      </c>
      <c r="E782" s="18">
        <v>787332.5757308657</v>
      </c>
      <c r="F782" s="18">
        <v>608167.33529999992</v>
      </c>
      <c r="G782" s="18">
        <v>760351.68159787776</v>
      </c>
      <c r="H782" s="19">
        <v>0.11830061453620777</v>
      </c>
      <c r="I782" s="19">
        <v>0.25023433102142456</v>
      </c>
      <c r="J782" s="19">
        <v>0.17944761804502396</v>
      </c>
    </row>
    <row r="783" spans="1:10" ht="11.25" customHeight="1" x14ac:dyDescent="0.2">
      <c r="A783" s="28">
        <v>44621</v>
      </c>
      <c r="B783" s="18">
        <v>0</v>
      </c>
      <c r="C783" s="18">
        <v>0</v>
      </c>
      <c r="D783" s="18">
        <v>767667.84120000002</v>
      </c>
      <c r="E783" s="18">
        <v>858483.4185736439</v>
      </c>
      <c r="F783" s="18">
        <v>663127.10684999998</v>
      </c>
      <c r="G783" s="18">
        <v>829064.27481478243</v>
      </c>
      <c r="H783" s="19">
        <v>0.11830061453620755</v>
      </c>
      <c r="I783" s="19">
        <v>0.25023433102142456</v>
      </c>
      <c r="J783" s="19">
        <v>0.17944761804502396</v>
      </c>
    </row>
    <row r="784" spans="1:10" ht="11.25" customHeight="1" x14ac:dyDescent="0.2">
      <c r="A784" s="28">
        <v>44652</v>
      </c>
      <c r="B784" s="18">
        <v>0</v>
      </c>
      <c r="C784" s="18">
        <v>0</v>
      </c>
      <c r="D784" s="18">
        <v>767667.84120000002</v>
      </c>
      <c r="E784" s="18">
        <v>858483.4185736439</v>
      </c>
      <c r="F784" s="18">
        <v>663127.10684999998</v>
      </c>
      <c r="G784" s="18">
        <v>829064.27481478243</v>
      </c>
      <c r="H784" s="19">
        <v>0.11830061453620755</v>
      </c>
      <c r="I784" s="19">
        <v>0.25023433102142456</v>
      </c>
      <c r="J784" s="19">
        <v>0.17944761804502396</v>
      </c>
    </row>
    <row r="785" spans="1:10" ht="11.25" customHeight="1" x14ac:dyDescent="0.2">
      <c r="A785" s="28">
        <v>44682</v>
      </c>
      <c r="B785" s="18">
        <v>0</v>
      </c>
      <c r="C785" s="18">
        <v>0</v>
      </c>
      <c r="D785" s="18">
        <v>1404686.7971999997</v>
      </c>
      <c r="E785" s="18">
        <v>1570862.1085396572</v>
      </c>
      <c r="F785" s="18">
        <v>1213397.0473499999</v>
      </c>
      <c r="G785" s="18">
        <v>1517030.6457569988</v>
      </c>
      <c r="H785" s="19">
        <v>0.11830061453620777</v>
      </c>
      <c r="I785" s="19">
        <v>0.25023433102142434</v>
      </c>
      <c r="J785" s="19">
        <v>0.17944761804502396</v>
      </c>
    </row>
    <row r="786" spans="1:10" ht="11.25" customHeight="1" x14ac:dyDescent="0.2">
      <c r="A786" s="28">
        <v>44713</v>
      </c>
      <c r="B786" s="18">
        <v>0</v>
      </c>
      <c r="C786" s="18">
        <v>0</v>
      </c>
      <c r="D786" s="18">
        <v>713601.6179999999</v>
      </c>
      <c r="E786" s="18">
        <v>798021.12794343219</v>
      </c>
      <c r="F786" s="18">
        <v>616423.60274999996</v>
      </c>
      <c r="G786" s="18">
        <v>770673.95060996246</v>
      </c>
      <c r="H786" s="19">
        <v>0.11830061453620799</v>
      </c>
      <c r="I786" s="19">
        <v>0.25023433102142434</v>
      </c>
      <c r="J786" s="19">
        <v>0.17944761804502396</v>
      </c>
    </row>
    <row r="787" spans="1:10" ht="11.25" customHeight="1" x14ac:dyDescent="0.2">
      <c r="A787" s="28">
        <v>44743</v>
      </c>
      <c r="B787" s="18">
        <v>0</v>
      </c>
      <c r="C787" s="18">
        <v>0</v>
      </c>
      <c r="D787" s="18">
        <v>668591.15255999996</v>
      </c>
      <c r="E787" s="18">
        <v>747685.8967813194</v>
      </c>
      <c r="F787" s="18">
        <v>577542.64653000003</v>
      </c>
      <c r="G787" s="18">
        <v>722063.64432077762</v>
      </c>
      <c r="H787" s="19">
        <v>0.11830061453620777</v>
      </c>
      <c r="I787" s="19">
        <v>0.25023433102142456</v>
      </c>
      <c r="J787" s="19">
        <v>0.17944761804502396</v>
      </c>
    </row>
    <row r="788" spans="1:10" ht="11.25" customHeight="1" x14ac:dyDescent="0.2">
      <c r="A788" s="28">
        <v>44774</v>
      </c>
      <c r="B788" s="18">
        <v>0</v>
      </c>
      <c r="C788" s="18">
        <v>0</v>
      </c>
      <c r="D788" s="18">
        <v>863447.45207999996</v>
      </c>
      <c r="E788" s="18">
        <v>965593.81628078665</v>
      </c>
      <c r="F788" s="18">
        <v>745863.48429000005</v>
      </c>
      <c r="G788" s="18">
        <v>932504.13431461691</v>
      </c>
      <c r="H788" s="19">
        <v>0.11830061453620755</v>
      </c>
      <c r="I788" s="19">
        <v>0.25023433102142434</v>
      </c>
      <c r="J788" s="19">
        <v>0.17944761804502396</v>
      </c>
    </row>
    <row r="789" spans="1:10" ht="11.25" customHeight="1" x14ac:dyDescent="0.2">
      <c r="A789" s="28">
        <v>44805</v>
      </c>
      <c r="B789" s="18">
        <v>0</v>
      </c>
      <c r="C789" s="18">
        <v>0</v>
      </c>
      <c r="D789" s="18">
        <v>868894.85207999998</v>
      </c>
      <c r="E789" s="18">
        <v>971685.64704841119</v>
      </c>
      <c r="F789" s="18">
        <v>750569.05929</v>
      </c>
      <c r="G789" s="18">
        <v>938387.20572681306</v>
      </c>
      <c r="H789" s="19">
        <v>0.11830061453620755</v>
      </c>
      <c r="I789" s="19">
        <v>0.25023433102142456</v>
      </c>
      <c r="J789" s="19">
        <v>0.17944761804502396</v>
      </c>
    </row>
    <row r="790" spans="1:10" ht="11.25" customHeight="1" x14ac:dyDescent="0.2">
      <c r="A790" s="28">
        <v>44835</v>
      </c>
      <c r="B790" s="18">
        <v>0</v>
      </c>
      <c r="C790" s="18">
        <v>0</v>
      </c>
      <c r="D790" s="18">
        <v>868894.85207999998</v>
      </c>
      <c r="E790" s="18">
        <v>971685.64704841119</v>
      </c>
      <c r="F790" s="18">
        <v>750569.05929</v>
      </c>
      <c r="G790" s="18">
        <v>938387.20572681306</v>
      </c>
      <c r="H790" s="19">
        <v>0.11830061453620755</v>
      </c>
      <c r="I790" s="19">
        <v>0.25023433102142456</v>
      </c>
      <c r="J790" s="19">
        <v>0.17944761804502396</v>
      </c>
    </row>
    <row r="791" spans="1:10" ht="11.25" customHeight="1" x14ac:dyDescent="0.2">
      <c r="A791" s="23" t="s">
        <v>49</v>
      </c>
      <c r="B791" s="18">
        <v>0</v>
      </c>
      <c r="C791" s="18">
        <v>0</v>
      </c>
      <c r="D791" s="18">
        <v>2859867.3940031994</v>
      </c>
      <c r="E791" s="18">
        <v>3198191.4642058411</v>
      </c>
      <c r="F791" s="18">
        <v>2470411.6665816</v>
      </c>
      <c r="G791" s="18">
        <v>3088593.4773161686</v>
      </c>
      <c r="H791" s="19">
        <v>0.11830061453620777</v>
      </c>
      <c r="I791" s="19">
        <v>0.25023433102142478</v>
      </c>
      <c r="J791" s="19">
        <v>0.17944761804502418</v>
      </c>
    </row>
    <row r="792" spans="1:10" ht="11.25" customHeight="1" x14ac:dyDescent="0.2">
      <c r="A792" s="24" t="s">
        <v>50</v>
      </c>
      <c r="B792" s="18">
        <v>0</v>
      </c>
      <c r="C792" s="18">
        <v>0</v>
      </c>
      <c r="D792" s="18">
        <v>2859867.3940031994</v>
      </c>
      <c r="E792" s="18">
        <v>3198191.4642058411</v>
      </c>
      <c r="F792" s="18">
        <v>2470411.6665816</v>
      </c>
      <c r="G792" s="18">
        <v>3088593.4773161686</v>
      </c>
      <c r="H792" s="19">
        <v>0.11830061453620777</v>
      </c>
      <c r="I792" s="19">
        <v>0.25023433102142478</v>
      </c>
      <c r="J792" s="19">
        <v>0.17944761804502418</v>
      </c>
    </row>
    <row r="793" spans="1:10" ht="11.25" customHeight="1" x14ac:dyDescent="0.2">
      <c r="A793" s="25" t="s">
        <v>25</v>
      </c>
      <c r="B793" s="18">
        <v>0</v>
      </c>
      <c r="C793" s="18">
        <v>0</v>
      </c>
      <c r="D793" s="18">
        <v>2859867.3940031994</v>
      </c>
      <c r="E793" s="18">
        <v>3198191.4642058411</v>
      </c>
      <c r="F793" s="18">
        <v>2470411.6665816</v>
      </c>
      <c r="G793" s="18">
        <v>3088593.4773161686</v>
      </c>
      <c r="H793" s="19">
        <v>0.11830061453620777</v>
      </c>
      <c r="I793" s="19">
        <v>0.25023433102142478</v>
      </c>
      <c r="J793" s="19">
        <v>0.17944761804502418</v>
      </c>
    </row>
    <row r="794" spans="1:10" ht="11.25" customHeight="1" x14ac:dyDescent="0.2">
      <c r="A794" s="26" t="s">
        <v>25</v>
      </c>
      <c r="B794" s="18">
        <v>0</v>
      </c>
      <c r="C794" s="18">
        <v>0</v>
      </c>
      <c r="D794" s="18">
        <v>2859867.3940031994</v>
      </c>
      <c r="E794" s="18">
        <v>3198191.4642058411</v>
      </c>
      <c r="F794" s="18">
        <v>2470411.6665816</v>
      </c>
      <c r="G794" s="18">
        <v>3088593.4773161686</v>
      </c>
      <c r="H794" s="19">
        <v>0.11830061453620777</v>
      </c>
      <c r="I794" s="19">
        <v>0.25023433102142478</v>
      </c>
      <c r="J794" s="19">
        <v>0.17944761804502418</v>
      </c>
    </row>
    <row r="795" spans="1:10" ht="11.25" customHeight="1" x14ac:dyDescent="0.2">
      <c r="A795" s="27" t="s">
        <v>25</v>
      </c>
      <c r="B795" s="18">
        <v>0</v>
      </c>
      <c r="C795" s="18">
        <v>0</v>
      </c>
      <c r="D795" s="18">
        <v>2859867.3940031994</v>
      </c>
      <c r="E795" s="18">
        <v>3198191.4642058411</v>
      </c>
      <c r="F795" s="18">
        <v>2470411.6665816</v>
      </c>
      <c r="G795" s="18">
        <v>3088593.4773161686</v>
      </c>
      <c r="H795" s="19">
        <v>0.11830061453620777</v>
      </c>
      <c r="I795" s="19">
        <v>0.25023433102142478</v>
      </c>
      <c r="J795" s="19">
        <v>0.17944761804502418</v>
      </c>
    </row>
    <row r="796" spans="1:10" ht="11.25" customHeight="1" x14ac:dyDescent="0.2">
      <c r="A796" s="28">
        <v>44501</v>
      </c>
      <c r="B796" s="18">
        <v>0</v>
      </c>
      <c r="C796" s="18">
        <v>0</v>
      </c>
      <c r="D796" s="18">
        <v>244470.55880639999</v>
      </c>
      <c r="E796" s="18">
        <v>273391.57614920719</v>
      </c>
      <c r="F796" s="18">
        <v>211178.64481319999</v>
      </c>
      <c r="G796" s="18">
        <v>264022.79172404209</v>
      </c>
      <c r="H796" s="19">
        <v>0.11830061453620755</v>
      </c>
      <c r="I796" s="19">
        <v>0.25023433102142434</v>
      </c>
      <c r="J796" s="19">
        <v>0.17944761804502396</v>
      </c>
    </row>
    <row r="797" spans="1:10" ht="11.25" customHeight="1" x14ac:dyDescent="0.2">
      <c r="A797" s="28">
        <v>44531</v>
      </c>
      <c r="B797" s="18">
        <v>0</v>
      </c>
      <c r="C797" s="18">
        <v>0</v>
      </c>
      <c r="D797" s="18">
        <v>241268.30938559998</v>
      </c>
      <c r="E797" s="18">
        <v>269810.49865402834</v>
      </c>
      <c r="F797" s="18">
        <v>208412.47658279998</v>
      </c>
      <c r="G797" s="18">
        <v>260564.43323701524</v>
      </c>
      <c r="H797" s="19">
        <v>0.11830061453620777</v>
      </c>
      <c r="I797" s="19">
        <v>0.25023433102142456</v>
      </c>
      <c r="J797" s="19">
        <v>0.17944761804502396</v>
      </c>
    </row>
    <row r="798" spans="1:10" ht="11.25" customHeight="1" x14ac:dyDescent="0.2">
      <c r="A798" s="28">
        <v>44562</v>
      </c>
      <c r="B798" s="18">
        <v>0</v>
      </c>
      <c r="C798" s="18">
        <v>0</v>
      </c>
      <c r="D798" s="18">
        <v>225578.04799199998</v>
      </c>
      <c r="E798" s="18">
        <v>252264.06969533174</v>
      </c>
      <c r="F798" s="18">
        <v>194858.90942099999</v>
      </c>
      <c r="G798" s="18">
        <v>243619.29826352827</v>
      </c>
      <c r="H798" s="19">
        <v>0.11830061453620777</v>
      </c>
      <c r="I798" s="19">
        <v>0.25023433102142456</v>
      </c>
      <c r="J798" s="19">
        <v>0.17944761804502418</v>
      </c>
    </row>
    <row r="799" spans="1:10" ht="11.25" customHeight="1" x14ac:dyDescent="0.2">
      <c r="A799" s="28">
        <v>44593</v>
      </c>
      <c r="B799" s="18">
        <v>0</v>
      </c>
      <c r="C799" s="18">
        <v>0</v>
      </c>
      <c r="D799" s="18">
        <v>225878.55147839998</v>
      </c>
      <c r="E799" s="18">
        <v>252600.12292884314</v>
      </c>
      <c r="F799" s="18">
        <v>195118.49044919998</v>
      </c>
      <c r="G799" s="18">
        <v>243943.83537666575</v>
      </c>
      <c r="H799" s="19">
        <v>0.11830061453620777</v>
      </c>
      <c r="I799" s="19">
        <v>0.25023433102142456</v>
      </c>
      <c r="J799" s="19">
        <v>0.17944761804502418</v>
      </c>
    </row>
    <row r="800" spans="1:10" ht="11.25" customHeight="1" x14ac:dyDescent="0.2">
      <c r="A800" s="28">
        <v>44621</v>
      </c>
      <c r="B800" s="18">
        <v>0</v>
      </c>
      <c r="C800" s="18">
        <v>0</v>
      </c>
      <c r="D800" s="18">
        <v>241437.14143199997</v>
      </c>
      <c r="E800" s="18">
        <v>269999.30363527086</v>
      </c>
      <c r="F800" s="18">
        <v>208558.31714099998</v>
      </c>
      <c r="G800" s="18">
        <v>260746.76810973222</v>
      </c>
      <c r="H800" s="19">
        <v>0.11830061453620777</v>
      </c>
      <c r="I800" s="19">
        <v>0.25023433102142456</v>
      </c>
      <c r="J800" s="19">
        <v>0.17944761804502418</v>
      </c>
    </row>
    <row r="801" spans="1:10" ht="11.25" customHeight="1" x14ac:dyDescent="0.2">
      <c r="A801" s="28">
        <v>44652</v>
      </c>
      <c r="B801" s="18">
        <v>0</v>
      </c>
      <c r="C801" s="18">
        <v>0</v>
      </c>
      <c r="D801" s="18">
        <v>241437.14143199997</v>
      </c>
      <c r="E801" s="18">
        <v>269999.30363527086</v>
      </c>
      <c r="F801" s="18">
        <v>208558.31714099998</v>
      </c>
      <c r="G801" s="18">
        <v>260746.76810973222</v>
      </c>
      <c r="H801" s="19">
        <v>0.11830061453620777</v>
      </c>
      <c r="I801" s="19">
        <v>0.25023433102142456</v>
      </c>
      <c r="J801" s="19">
        <v>0.17944761804502418</v>
      </c>
    </row>
    <row r="802" spans="1:10" ht="11.25" customHeight="1" x14ac:dyDescent="0.2">
      <c r="A802" s="28">
        <v>44682</v>
      </c>
      <c r="B802" s="18">
        <v>0</v>
      </c>
      <c r="C802" s="18">
        <v>0</v>
      </c>
      <c r="D802" s="18">
        <v>254798.57395679996</v>
      </c>
      <c r="E802" s="18">
        <v>284941.40183883876</v>
      </c>
      <c r="F802" s="18">
        <v>220100.19452339999</v>
      </c>
      <c r="G802" s="18">
        <v>275176.81945764838</v>
      </c>
      <c r="H802" s="19">
        <v>0.11830061453620777</v>
      </c>
      <c r="I802" s="19">
        <v>0.25023433102142456</v>
      </c>
      <c r="J802" s="19">
        <v>0.17944761804502396</v>
      </c>
    </row>
    <row r="803" spans="1:10" ht="11.25" customHeight="1" x14ac:dyDescent="0.2">
      <c r="A803" s="28">
        <v>44713</v>
      </c>
      <c r="B803" s="18">
        <v>0</v>
      </c>
      <c r="C803" s="18">
        <v>0</v>
      </c>
      <c r="D803" s="18">
        <v>231365.44668479997</v>
      </c>
      <c r="E803" s="18">
        <v>258736.12121005604</v>
      </c>
      <c r="F803" s="18">
        <v>199858.18221239996</v>
      </c>
      <c r="G803" s="18">
        <v>249869.56073747788</v>
      </c>
      <c r="H803" s="19">
        <v>0.11830061453620777</v>
      </c>
      <c r="I803" s="19">
        <v>0.25023433102142478</v>
      </c>
      <c r="J803" s="19">
        <v>0.17944761804502418</v>
      </c>
    </row>
    <row r="804" spans="1:10" ht="11.25" customHeight="1" x14ac:dyDescent="0.2">
      <c r="A804" s="28">
        <v>44743</v>
      </c>
      <c r="B804" s="18">
        <v>0</v>
      </c>
      <c r="C804" s="18">
        <v>0</v>
      </c>
      <c r="D804" s="18">
        <v>227500.1584128</v>
      </c>
      <c r="E804" s="18">
        <v>254413.56696011883</v>
      </c>
      <c r="F804" s="18">
        <v>196519.26752639998</v>
      </c>
      <c r="G804" s="18">
        <v>245695.13496868906</v>
      </c>
      <c r="H804" s="19">
        <v>0.11830061453620755</v>
      </c>
      <c r="I804" s="19">
        <v>0.25023433102142456</v>
      </c>
      <c r="J804" s="19">
        <v>0.17944761804502396</v>
      </c>
    </row>
    <row r="805" spans="1:10" ht="11.25" customHeight="1" x14ac:dyDescent="0.2">
      <c r="A805" s="28">
        <v>44774</v>
      </c>
      <c r="B805" s="18">
        <v>0</v>
      </c>
      <c r="C805" s="18">
        <v>0</v>
      </c>
      <c r="D805" s="18">
        <v>253088.30825279996</v>
      </c>
      <c r="E805" s="18">
        <v>283028.8106510354</v>
      </c>
      <c r="F805" s="18">
        <v>218622.83219639998</v>
      </c>
      <c r="G805" s="18">
        <v>273329.77035707526</v>
      </c>
      <c r="H805" s="19">
        <v>0.11830061453620777</v>
      </c>
      <c r="I805" s="19">
        <v>0.25023433102142456</v>
      </c>
      <c r="J805" s="19">
        <v>0.17944761804502396</v>
      </c>
    </row>
    <row r="806" spans="1:10" ht="11.25" customHeight="1" x14ac:dyDescent="0.2">
      <c r="A806" s="28">
        <v>44805</v>
      </c>
      <c r="B806" s="18">
        <v>0</v>
      </c>
      <c r="C806" s="18">
        <v>0</v>
      </c>
      <c r="D806" s="18">
        <v>236522.57808479996</v>
      </c>
      <c r="E806" s="18">
        <v>264503.34442391997</v>
      </c>
      <c r="F806" s="18">
        <v>204313.01728739997</v>
      </c>
      <c r="G806" s="18">
        <v>255439.14848728126</v>
      </c>
      <c r="H806" s="19">
        <v>0.11830061453620777</v>
      </c>
      <c r="I806" s="19">
        <v>0.25023433102142456</v>
      </c>
      <c r="J806" s="19">
        <v>0.17944761804502396</v>
      </c>
    </row>
    <row r="807" spans="1:10" ht="11.25" customHeight="1" x14ac:dyDescent="0.2">
      <c r="A807" s="28">
        <v>44835</v>
      </c>
      <c r="B807" s="18">
        <v>0</v>
      </c>
      <c r="C807" s="18">
        <v>0</v>
      </c>
      <c r="D807" s="18">
        <v>236522.57808479996</v>
      </c>
      <c r="E807" s="18">
        <v>264503.34442391997</v>
      </c>
      <c r="F807" s="18">
        <v>204313.01728739997</v>
      </c>
      <c r="G807" s="18">
        <v>255439.14848728126</v>
      </c>
      <c r="H807" s="19">
        <v>0.11830061453620777</v>
      </c>
      <c r="I807" s="19">
        <v>0.25023433102142456</v>
      </c>
      <c r="J807" s="19">
        <v>0.17944761804502396</v>
      </c>
    </row>
    <row r="808" spans="1:10" ht="11.25" customHeight="1" x14ac:dyDescent="0.2">
      <c r="A808" s="21" t="s">
        <v>46</v>
      </c>
      <c r="B808" s="18">
        <v>0</v>
      </c>
      <c r="C808" s="18">
        <v>0</v>
      </c>
      <c r="D808" s="18">
        <v>7275752.1447000019</v>
      </c>
      <c r="E808" s="18">
        <v>8136192.9543439653</v>
      </c>
      <c r="F808" s="18">
        <v>6284743.7922999999</v>
      </c>
      <c r="G808" s="18">
        <v>7857375.8857844174</v>
      </c>
      <c r="H808" s="19">
        <v>0.1182614240468256</v>
      </c>
      <c r="I808" s="19">
        <v>0.25023010411517355</v>
      </c>
      <c r="J808" s="19">
        <v>0.17942359294468835</v>
      </c>
    </row>
    <row r="809" spans="1:10" ht="11.25" customHeight="1" x14ac:dyDescent="0.2">
      <c r="A809" s="22" t="s">
        <v>23</v>
      </c>
      <c r="B809" s="18">
        <v>0</v>
      </c>
      <c r="C809" s="18">
        <v>0</v>
      </c>
      <c r="D809" s="18">
        <v>7275752.1447000019</v>
      </c>
      <c r="E809" s="18">
        <v>8136192.9543439653</v>
      </c>
      <c r="F809" s="18">
        <v>6284743.7922999999</v>
      </c>
      <c r="G809" s="18">
        <v>7857375.8857844174</v>
      </c>
      <c r="H809" s="19">
        <v>0.1182614240468256</v>
      </c>
      <c r="I809" s="19">
        <v>0.25023010411517355</v>
      </c>
      <c r="J809" s="19">
        <v>0.17942359294468835</v>
      </c>
    </row>
    <row r="810" spans="1:10" ht="11.25" customHeight="1" x14ac:dyDescent="0.2">
      <c r="A810" s="23" t="s">
        <v>47</v>
      </c>
      <c r="B810" s="18">
        <v>0</v>
      </c>
      <c r="C810" s="18">
        <v>0</v>
      </c>
      <c r="D810" s="18">
        <v>7275752.1447000019</v>
      </c>
      <c r="E810" s="18">
        <v>8136192.9543439653</v>
      </c>
      <c r="F810" s="18">
        <v>6284743.7922999999</v>
      </c>
      <c r="G810" s="18">
        <v>7857375.8857844174</v>
      </c>
      <c r="H810" s="19">
        <v>0.1182614240468256</v>
      </c>
      <c r="I810" s="19">
        <v>0.25023010411517355</v>
      </c>
      <c r="J810" s="19">
        <v>0.17942359294468835</v>
      </c>
    </row>
    <row r="811" spans="1:10" ht="11.25" customHeight="1" x14ac:dyDescent="0.2">
      <c r="A811" s="24" t="s">
        <v>48</v>
      </c>
      <c r="B811" s="18">
        <v>0</v>
      </c>
      <c r="C811" s="18">
        <v>0</v>
      </c>
      <c r="D811" s="18">
        <v>7275752.1447000019</v>
      </c>
      <c r="E811" s="18">
        <v>8136192.9543439653</v>
      </c>
      <c r="F811" s="18">
        <v>6284743.7922999999</v>
      </c>
      <c r="G811" s="18">
        <v>7857375.8857844174</v>
      </c>
      <c r="H811" s="19">
        <v>0.1182614240468256</v>
      </c>
      <c r="I811" s="19">
        <v>0.25023010411517355</v>
      </c>
      <c r="J811" s="19">
        <v>0.17942359294468835</v>
      </c>
    </row>
    <row r="812" spans="1:10" ht="11.25" customHeight="1" x14ac:dyDescent="0.2">
      <c r="A812" s="25" t="s">
        <v>25</v>
      </c>
      <c r="B812" s="18">
        <v>0</v>
      </c>
      <c r="C812" s="18">
        <v>0</v>
      </c>
      <c r="D812" s="18">
        <v>7275752.1447000019</v>
      </c>
      <c r="E812" s="18">
        <v>8136192.9543439653</v>
      </c>
      <c r="F812" s="18">
        <v>6284743.7922999999</v>
      </c>
      <c r="G812" s="18">
        <v>7857375.8857844174</v>
      </c>
      <c r="H812" s="19">
        <v>0.1182614240468256</v>
      </c>
      <c r="I812" s="19">
        <v>0.25023010411517355</v>
      </c>
      <c r="J812" s="19">
        <v>0.17942359294468835</v>
      </c>
    </row>
    <row r="813" spans="1:10" ht="11.25" customHeight="1" x14ac:dyDescent="0.2">
      <c r="A813" s="26" t="s">
        <v>25</v>
      </c>
      <c r="B813" s="18">
        <v>0</v>
      </c>
      <c r="C813" s="18">
        <v>0</v>
      </c>
      <c r="D813" s="18">
        <v>7275752.1447000019</v>
      </c>
      <c r="E813" s="18">
        <v>8136192.9543439653</v>
      </c>
      <c r="F813" s="18">
        <v>6284743.7922999999</v>
      </c>
      <c r="G813" s="18">
        <v>7857375.8857844174</v>
      </c>
      <c r="H813" s="19">
        <v>0.1182614240468256</v>
      </c>
      <c r="I813" s="19">
        <v>0.25023010411517355</v>
      </c>
      <c r="J813" s="19">
        <v>0.17942359294468835</v>
      </c>
    </row>
    <row r="814" spans="1:10" ht="11.25" customHeight="1" x14ac:dyDescent="0.2">
      <c r="A814" s="27" t="s">
        <v>25</v>
      </c>
      <c r="B814" s="18">
        <v>0</v>
      </c>
      <c r="C814" s="18">
        <v>0</v>
      </c>
      <c r="D814" s="18">
        <v>7275752.1447000019</v>
      </c>
      <c r="E814" s="18">
        <v>8136192.9543439653</v>
      </c>
      <c r="F814" s="18">
        <v>6284743.7922999999</v>
      </c>
      <c r="G814" s="18">
        <v>7857375.8857844174</v>
      </c>
      <c r="H814" s="19">
        <v>0.1182614240468256</v>
      </c>
      <c r="I814" s="19">
        <v>0.25023010411517355</v>
      </c>
      <c r="J814" s="19">
        <v>0.17942359294468835</v>
      </c>
    </row>
    <row r="815" spans="1:10" ht="11.25" customHeight="1" x14ac:dyDescent="0.2">
      <c r="A815" s="28">
        <v>44501</v>
      </c>
      <c r="B815" s="18">
        <v>0</v>
      </c>
      <c r="C815" s="18">
        <v>0</v>
      </c>
      <c r="D815" s="18">
        <v>601495.48563000001</v>
      </c>
      <c r="E815" s="18">
        <v>672629.19831834058</v>
      </c>
      <c r="F815" s="18">
        <v>519567.59166999999</v>
      </c>
      <c r="G815" s="18">
        <v>649579.044228454</v>
      </c>
      <c r="H815" s="19">
        <v>0.11826142404682538</v>
      </c>
      <c r="I815" s="19">
        <v>0.25023010411517332</v>
      </c>
      <c r="J815" s="19">
        <v>0.1794235929446879</v>
      </c>
    </row>
    <row r="816" spans="1:10" ht="11.25" customHeight="1" x14ac:dyDescent="0.2">
      <c r="A816" s="28">
        <v>44531</v>
      </c>
      <c r="B816" s="18">
        <v>0</v>
      </c>
      <c r="C816" s="18">
        <v>0</v>
      </c>
      <c r="D816" s="18">
        <v>627081.10803</v>
      </c>
      <c r="E816" s="18">
        <v>701240.61285848892</v>
      </c>
      <c r="F816" s="18">
        <v>541668.27326999989</v>
      </c>
      <c r="G816" s="18">
        <v>677209.9816862382</v>
      </c>
      <c r="H816" s="19">
        <v>0.11826142404682538</v>
      </c>
      <c r="I816" s="19">
        <v>0.25023010411517355</v>
      </c>
      <c r="J816" s="19">
        <v>0.1794235929446879</v>
      </c>
    </row>
    <row r="817" spans="1:10" ht="11.25" customHeight="1" x14ac:dyDescent="0.2">
      <c r="A817" s="28">
        <v>44562</v>
      </c>
      <c r="B817" s="18">
        <v>0</v>
      </c>
      <c r="C817" s="18">
        <v>0</v>
      </c>
      <c r="D817" s="18">
        <v>617830.63173000014</v>
      </c>
      <c r="E817" s="18">
        <v>690896.16205813957</v>
      </c>
      <c r="F817" s="18">
        <v>533677.77656999999</v>
      </c>
      <c r="G817" s="18">
        <v>667220.02216506528</v>
      </c>
      <c r="H817" s="19">
        <v>0.11826142404682516</v>
      </c>
      <c r="I817" s="19">
        <v>0.25023010411517332</v>
      </c>
      <c r="J817" s="19">
        <v>0.1794235929446879</v>
      </c>
    </row>
    <row r="818" spans="1:10" ht="11.25" customHeight="1" x14ac:dyDescent="0.2">
      <c r="A818" s="28">
        <v>44593</v>
      </c>
      <c r="B818" s="18">
        <v>0</v>
      </c>
      <c r="C818" s="18">
        <v>0</v>
      </c>
      <c r="D818" s="18">
        <v>548656.1418000001</v>
      </c>
      <c r="E818" s="18">
        <v>613540.99844130501</v>
      </c>
      <c r="F818" s="18">
        <v>473925.33619999996</v>
      </c>
      <c r="G818" s="18">
        <v>592515.72242014459</v>
      </c>
      <c r="H818" s="19">
        <v>0.11826142404682538</v>
      </c>
      <c r="I818" s="19">
        <v>0.25023010411517355</v>
      </c>
      <c r="J818" s="19">
        <v>0.17942359294468813</v>
      </c>
    </row>
    <row r="819" spans="1:10" ht="11.25" customHeight="1" x14ac:dyDescent="0.2">
      <c r="A819" s="28">
        <v>44621</v>
      </c>
      <c r="B819" s="18">
        <v>0</v>
      </c>
      <c r="C819" s="18">
        <v>0</v>
      </c>
      <c r="D819" s="18">
        <v>608540.77713000006</v>
      </c>
      <c r="E819" s="18">
        <v>680507.67602395557</v>
      </c>
      <c r="F819" s="18">
        <v>525653.26517000003</v>
      </c>
      <c r="G819" s="18">
        <v>657187.53644196992</v>
      </c>
      <c r="H819" s="19">
        <v>0.11826142404682516</v>
      </c>
      <c r="I819" s="19">
        <v>0.25023010411517332</v>
      </c>
      <c r="J819" s="19">
        <v>0.17942359294468813</v>
      </c>
    </row>
    <row r="820" spans="1:10" ht="11.25" customHeight="1" x14ac:dyDescent="0.2">
      <c r="A820" s="28">
        <v>44652</v>
      </c>
      <c r="B820" s="18">
        <v>0</v>
      </c>
      <c r="C820" s="18">
        <v>0</v>
      </c>
      <c r="D820" s="18">
        <v>608540.77713000006</v>
      </c>
      <c r="E820" s="18">
        <v>680507.67602395557</v>
      </c>
      <c r="F820" s="18">
        <v>525653.26517000003</v>
      </c>
      <c r="G820" s="18">
        <v>657187.53644196992</v>
      </c>
      <c r="H820" s="19">
        <v>0.11826142404682516</v>
      </c>
      <c r="I820" s="19">
        <v>0.25023010411517332</v>
      </c>
      <c r="J820" s="19">
        <v>0.17942359294468813</v>
      </c>
    </row>
    <row r="821" spans="1:10" ht="11.25" customHeight="1" x14ac:dyDescent="0.2">
      <c r="A821" s="28">
        <v>44682</v>
      </c>
      <c r="B821" s="18">
        <v>0</v>
      </c>
      <c r="C821" s="18">
        <v>0</v>
      </c>
      <c r="D821" s="18">
        <v>753237.53895000007</v>
      </c>
      <c r="E821" s="18">
        <v>842316.48295175307</v>
      </c>
      <c r="F821" s="18">
        <v>650641.31554999994</v>
      </c>
      <c r="G821" s="18">
        <v>813451.35968170979</v>
      </c>
      <c r="H821" s="19">
        <v>0.11826142404682516</v>
      </c>
      <c r="I821" s="19">
        <v>0.25023010411517332</v>
      </c>
      <c r="J821" s="19">
        <v>0.17942359294468813</v>
      </c>
    </row>
    <row r="822" spans="1:10" ht="11.25" customHeight="1" x14ac:dyDescent="0.2">
      <c r="A822" s="28">
        <v>44713</v>
      </c>
      <c r="B822" s="18">
        <v>0</v>
      </c>
      <c r="C822" s="18">
        <v>0</v>
      </c>
      <c r="D822" s="18">
        <v>518033.52120000002</v>
      </c>
      <c r="E822" s="18">
        <v>579296.9031211033</v>
      </c>
      <c r="F822" s="18">
        <v>447473.73079999996</v>
      </c>
      <c r="G822" s="18">
        <v>559445.12904688891</v>
      </c>
      <c r="H822" s="19">
        <v>0.11826142404682538</v>
      </c>
      <c r="I822" s="19">
        <v>0.2502301041151731</v>
      </c>
      <c r="J822" s="19">
        <v>0.1794235929446879</v>
      </c>
    </row>
    <row r="823" spans="1:10" ht="11.25" customHeight="1" x14ac:dyDescent="0.2">
      <c r="A823" s="28">
        <v>44743</v>
      </c>
      <c r="B823" s="18">
        <v>0</v>
      </c>
      <c r="C823" s="18">
        <v>0</v>
      </c>
      <c r="D823" s="18">
        <v>606398.4264</v>
      </c>
      <c r="E823" s="18">
        <v>678111.96784581803</v>
      </c>
      <c r="F823" s="18">
        <v>523802.71759999997</v>
      </c>
      <c r="G823" s="18">
        <v>654873.92616085871</v>
      </c>
      <c r="H823" s="19">
        <v>0.11826142404682538</v>
      </c>
      <c r="I823" s="19">
        <v>0.25023010411517332</v>
      </c>
      <c r="J823" s="19">
        <v>0.17942359294468813</v>
      </c>
    </row>
    <row r="824" spans="1:10" ht="11.25" customHeight="1" x14ac:dyDescent="0.2">
      <c r="A824" s="28">
        <v>44774</v>
      </c>
      <c r="B824" s="18">
        <v>0</v>
      </c>
      <c r="C824" s="18">
        <v>0</v>
      </c>
      <c r="D824" s="18">
        <v>609791.12375999999</v>
      </c>
      <c r="E824" s="18">
        <v>681905.89042697148</v>
      </c>
      <c r="F824" s="18">
        <v>526733.30583999993</v>
      </c>
      <c r="G824" s="18">
        <v>658537.83580127265</v>
      </c>
      <c r="H824" s="19">
        <v>0.11826142404682538</v>
      </c>
      <c r="I824" s="19">
        <v>0.25023010411517355</v>
      </c>
      <c r="J824" s="19">
        <v>0.17942359294468813</v>
      </c>
    </row>
    <row r="825" spans="1:10" ht="11.25" customHeight="1" x14ac:dyDescent="0.2">
      <c r="A825" s="28">
        <v>44805</v>
      </c>
      <c r="B825" s="18">
        <v>0</v>
      </c>
      <c r="C825" s="18">
        <v>0</v>
      </c>
      <c r="D825" s="18">
        <v>588073.30646999995</v>
      </c>
      <c r="E825" s="18">
        <v>657619.69313706737</v>
      </c>
      <c r="F825" s="18">
        <v>507973.60722999991</v>
      </c>
      <c r="G825" s="18">
        <v>635083.89585492306</v>
      </c>
      <c r="H825" s="19">
        <v>0.11826142404682538</v>
      </c>
      <c r="I825" s="19">
        <v>0.25023010411517355</v>
      </c>
      <c r="J825" s="19">
        <v>0.17942359294468813</v>
      </c>
    </row>
    <row r="826" spans="1:10" ht="11.25" customHeight="1" x14ac:dyDescent="0.2">
      <c r="A826" s="28">
        <v>44835</v>
      </c>
      <c r="B826" s="18">
        <v>0</v>
      </c>
      <c r="C826" s="18">
        <v>0</v>
      </c>
      <c r="D826" s="18">
        <v>588073.30646999995</v>
      </c>
      <c r="E826" s="18">
        <v>657619.69313706737</v>
      </c>
      <c r="F826" s="18">
        <v>507973.60722999991</v>
      </c>
      <c r="G826" s="18">
        <v>635083.89585492306</v>
      </c>
      <c r="H826" s="19">
        <v>0.11826142404682538</v>
      </c>
      <c r="I826" s="19">
        <v>0.25023010411517355</v>
      </c>
      <c r="J826" s="19">
        <v>0.17942359294468813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69F6-AD2D-4DF8-8DB2-9FE0B583280D}">
  <dimension ref="A1:G365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736</v>
      </c>
      <c r="B1" s="18" t="s">
        <v>762</v>
      </c>
      <c r="C1" s="18" t="s">
        <v>763</v>
      </c>
      <c r="D1" s="18" t="s">
        <v>764</v>
      </c>
      <c r="E1" s="18" t="s">
        <v>765</v>
      </c>
      <c r="F1" s="18" t="s">
        <v>766</v>
      </c>
      <c r="G1" s="18" t="s">
        <v>767</v>
      </c>
    </row>
    <row r="2" spans="1:7" ht="11.25" customHeight="1" x14ac:dyDescent="0.2">
      <c r="A2" s="20" t="s">
        <v>751</v>
      </c>
      <c r="B2" s="18">
        <v>320073.3600000001</v>
      </c>
      <c r="C2" s="18">
        <v>911540.17514400044</v>
      </c>
      <c r="D2" s="18">
        <v>415602.47961694596</v>
      </c>
      <c r="E2" s="18">
        <v>1057744.3250299168</v>
      </c>
      <c r="F2" s="18">
        <v>1231613.5351440003</v>
      </c>
      <c r="G2" s="18">
        <v>1473346.8046468629</v>
      </c>
    </row>
    <row r="3" spans="1:7" ht="11.25" customHeight="1" x14ac:dyDescent="0.2">
      <c r="A3" s="21" t="s">
        <v>39</v>
      </c>
      <c r="B3" s="18">
        <v>320073.3600000001</v>
      </c>
      <c r="C3" s="18">
        <v>571309.59680880036</v>
      </c>
      <c r="D3" s="18">
        <v>415602.47961694596</v>
      </c>
      <c r="E3" s="18">
        <v>656460.17982638441</v>
      </c>
      <c r="F3" s="18">
        <v>891382.95680880046</v>
      </c>
      <c r="G3" s="18">
        <v>1072062.6594433303</v>
      </c>
    </row>
    <row r="4" spans="1:7" ht="11.25" customHeight="1" x14ac:dyDescent="0.2">
      <c r="A4" s="22" t="s">
        <v>40</v>
      </c>
      <c r="B4" s="18">
        <v>225660.73200000005</v>
      </c>
      <c r="C4" s="18">
        <v>301534.34085720015</v>
      </c>
      <c r="D4" s="18">
        <v>292914.5800507933</v>
      </c>
      <c r="E4" s="18">
        <v>341343.80778034916</v>
      </c>
      <c r="F4" s="18">
        <v>527195.07285720017</v>
      </c>
      <c r="G4" s="18">
        <v>634258.38783114241</v>
      </c>
    </row>
    <row r="5" spans="1:7" ht="11.25" customHeight="1" x14ac:dyDescent="0.2">
      <c r="A5" s="23" t="s">
        <v>49</v>
      </c>
      <c r="B5" s="18">
        <v>225660.73200000005</v>
      </c>
      <c r="C5" s="18">
        <v>301534.34085720015</v>
      </c>
      <c r="D5" s="18">
        <v>292914.5800507933</v>
      </c>
      <c r="E5" s="18">
        <v>341343.80778034916</v>
      </c>
      <c r="F5" s="18">
        <v>527195.07285720017</v>
      </c>
      <c r="G5" s="18">
        <v>634258.38783114241</v>
      </c>
    </row>
    <row r="6" spans="1:7" ht="11.25" customHeight="1" x14ac:dyDescent="0.2">
      <c r="A6" s="24" t="s">
        <v>50</v>
      </c>
      <c r="B6" s="18">
        <v>225660.73200000005</v>
      </c>
      <c r="C6" s="18">
        <v>301534.34085720015</v>
      </c>
      <c r="D6" s="18">
        <v>292914.5800507933</v>
      </c>
      <c r="E6" s="18">
        <v>341343.80778034916</v>
      </c>
      <c r="F6" s="18">
        <v>527195.07285720017</v>
      </c>
      <c r="G6" s="18">
        <v>634258.38783114241</v>
      </c>
    </row>
    <row r="7" spans="1:7" ht="11.25" customHeight="1" x14ac:dyDescent="0.2">
      <c r="A7" s="25" t="s">
        <v>25</v>
      </c>
      <c r="B7" s="18">
        <v>225660.73200000005</v>
      </c>
      <c r="C7" s="18">
        <v>301534.34085720015</v>
      </c>
      <c r="D7" s="18">
        <v>292914.5800507933</v>
      </c>
      <c r="E7" s="18">
        <v>341343.80778034916</v>
      </c>
      <c r="F7" s="18">
        <v>527195.07285720017</v>
      </c>
      <c r="G7" s="18">
        <v>634258.38783114241</v>
      </c>
    </row>
    <row r="8" spans="1:7" ht="11.25" customHeight="1" x14ac:dyDescent="0.2">
      <c r="A8" s="26" t="s">
        <v>25</v>
      </c>
      <c r="B8" s="18">
        <v>225660.73200000005</v>
      </c>
      <c r="C8" s="18">
        <v>301534.34085720015</v>
      </c>
      <c r="D8" s="18">
        <v>292914.5800507933</v>
      </c>
      <c r="E8" s="18">
        <v>341343.80778034916</v>
      </c>
      <c r="F8" s="18">
        <v>527195.07285720017</v>
      </c>
      <c r="G8" s="18">
        <v>634258.38783114241</v>
      </c>
    </row>
    <row r="9" spans="1:7" ht="11.25" customHeight="1" x14ac:dyDescent="0.2">
      <c r="A9" s="27" t="s">
        <v>35</v>
      </c>
      <c r="B9" s="18">
        <v>57901.932000000001</v>
      </c>
      <c r="C9" s="18">
        <v>261924.45501720012</v>
      </c>
      <c r="D9" s="18">
        <v>75242.756910677257</v>
      </c>
      <c r="E9" s="18">
        <v>294995.21806183911</v>
      </c>
      <c r="F9" s="18">
        <v>319826.38701720012</v>
      </c>
      <c r="G9" s="18">
        <v>370237.97497251636</v>
      </c>
    </row>
    <row r="10" spans="1:7" ht="11.25" customHeight="1" x14ac:dyDescent="0.2">
      <c r="A10" s="28">
        <v>44501</v>
      </c>
      <c r="B10" s="18">
        <v>4835.5919999999996</v>
      </c>
      <c r="C10" s="18">
        <v>22350.698631000021</v>
      </c>
      <c r="D10" s="18">
        <v>6283.7846822661386</v>
      </c>
      <c r="E10" s="18">
        <v>25172.71331557538</v>
      </c>
      <c r="F10" s="18">
        <v>27186.290631000022</v>
      </c>
      <c r="G10" s="18">
        <v>31456.497997841518</v>
      </c>
    </row>
    <row r="11" spans="1:7" ht="11.25" customHeight="1" x14ac:dyDescent="0.2">
      <c r="A11" s="28">
        <v>44531</v>
      </c>
      <c r="B11" s="18">
        <v>4947.5880000000006</v>
      </c>
      <c r="C11" s="18">
        <v>22558.566820799992</v>
      </c>
      <c r="D11" s="18">
        <v>6429.3219296755742</v>
      </c>
      <c r="E11" s="18">
        <v>25406.827086945581</v>
      </c>
      <c r="F11" s="18">
        <v>27506.154820799991</v>
      </c>
      <c r="G11" s="18">
        <v>31836.149016621155</v>
      </c>
    </row>
    <row r="12" spans="1:7" ht="11.25" customHeight="1" x14ac:dyDescent="0.2">
      <c r="A12" s="28">
        <v>44562</v>
      </c>
      <c r="B12" s="18">
        <v>4776.3</v>
      </c>
      <c r="C12" s="18">
        <v>22100.174519400003</v>
      </c>
      <c r="D12" s="18">
        <v>6206.7355512846743</v>
      </c>
      <c r="E12" s="18">
        <v>24890.55785618407</v>
      </c>
      <c r="F12" s="18">
        <v>26876.474519400002</v>
      </c>
      <c r="G12" s="18">
        <v>31097.293407468744</v>
      </c>
    </row>
    <row r="13" spans="1:7" ht="11.25" customHeight="1" x14ac:dyDescent="0.2">
      <c r="A13" s="28">
        <v>44593</v>
      </c>
      <c r="B13" s="18">
        <v>4826.8080000000009</v>
      </c>
      <c r="C13" s="18">
        <v>20932.619831400003</v>
      </c>
      <c r="D13" s="18">
        <v>6272.3699961948123</v>
      </c>
      <c r="E13" s="18">
        <v>23575.586904872696</v>
      </c>
      <c r="F13" s="18">
        <v>25759.427831400004</v>
      </c>
      <c r="G13" s="18">
        <v>29847.956901067508</v>
      </c>
    </row>
    <row r="14" spans="1:7" ht="11.25" customHeight="1" x14ac:dyDescent="0.2">
      <c r="A14" s="28">
        <v>44621</v>
      </c>
      <c r="B14" s="18">
        <v>4881.7080000000005</v>
      </c>
      <c r="C14" s="18">
        <v>23065.37492580001</v>
      </c>
      <c r="D14" s="18">
        <v>6343.7117841406134</v>
      </c>
      <c r="E14" s="18">
        <v>25977.625134192334</v>
      </c>
      <c r="F14" s="18">
        <v>27947.082925800009</v>
      </c>
      <c r="G14" s="18">
        <v>32321.336918332949</v>
      </c>
    </row>
    <row r="15" spans="1:7" ht="11.25" customHeight="1" x14ac:dyDescent="0.2">
      <c r="A15" s="28">
        <v>44652</v>
      </c>
      <c r="B15" s="18">
        <v>4881.7080000000005</v>
      </c>
      <c r="C15" s="18">
        <v>23065.37492580001</v>
      </c>
      <c r="D15" s="18">
        <v>6343.7117841406134</v>
      </c>
      <c r="E15" s="18">
        <v>25977.625134192334</v>
      </c>
      <c r="F15" s="18">
        <v>27947.082925800009</v>
      </c>
      <c r="G15" s="18">
        <v>32321.336918332949</v>
      </c>
    </row>
    <row r="16" spans="1:7" ht="11.25" customHeight="1" x14ac:dyDescent="0.2">
      <c r="A16" s="28">
        <v>44682</v>
      </c>
      <c r="B16" s="18">
        <v>4752.1440000000021</v>
      </c>
      <c r="C16" s="18">
        <v>21614.807113200033</v>
      </c>
      <c r="D16" s="18">
        <v>6175.3451645885243</v>
      </c>
      <c r="E16" s="18">
        <v>24343.907625213211</v>
      </c>
      <c r="F16" s="18">
        <v>26366.951113200033</v>
      </c>
      <c r="G16" s="18">
        <v>30519.252789801736</v>
      </c>
    </row>
    <row r="17" spans="1:7" ht="11.25" customHeight="1" x14ac:dyDescent="0.2">
      <c r="A17" s="28">
        <v>44713</v>
      </c>
      <c r="B17" s="18">
        <v>4747.7519999999995</v>
      </c>
      <c r="C17" s="18">
        <v>20822.095693800031</v>
      </c>
      <c r="D17" s="18">
        <v>6169.6378215528575</v>
      </c>
      <c r="E17" s="18">
        <v>23451.107913133419</v>
      </c>
      <c r="F17" s="18">
        <v>25569.847693800031</v>
      </c>
      <c r="G17" s="18">
        <v>29620.745734686276</v>
      </c>
    </row>
    <row r="18" spans="1:7" ht="11.25" customHeight="1" x14ac:dyDescent="0.2">
      <c r="A18" s="28">
        <v>44743</v>
      </c>
      <c r="B18" s="18">
        <v>4829.0040000000026</v>
      </c>
      <c r="C18" s="18">
        <v>20471.398833600011</v>
      </c>
      <c r="D18" s="18">
        <v>6275.2236677126457</v>
      </c>
      <c r="E18" s="18">
        <v>23056.131824545148</v>
      </c>
      <c r="F18" s="18">
        <v>25300.402833600012</v>
      </c>
      <c r="G18" s="18">
        <v>29331.355492257793</v>
      </c>
    </row>
    <row r="19" spans="1:7" ht="11.25" customHeight="1" x14ac:dyDescent="0.2">
      <c r="A19" s="28">
        <v>44774</v>
      </c>
      <c r="B19" s="18">
        <v>4778.4960000000019</v>
      </c>
      <c r="C19" s="18">
        <v>20938.215730800013</v>
      </c>
      <c r="D19" s="18">
        <v>6209.5892228025086</v>
      </c>
      <c r="E19" s="18">
        <v>23581.8893464055</v>
      </c>
      <c r="F19" s="18">
        <v>25716.711730800016</v>
      </c>
      <c r="G19" s="18">
        <v>29791.478569208008</v>
      </c>
    </row>
    <row r="20" spans="1:7" ht="11.25" customHeight="1" x14ac:dyDescent="0.2">
      <c r="A20" s="28">
        <v>44805</v>
      </c>
      <c r="B20" s="18">
        <v>4822.4160000000011</v>
      </c>
      <c r="C20" s="18">
        <v>22002.56399580001</v>
      </c>
      <c r="D20" s="18">
        <v>6266.6626531591492</v>
      </c>
      <c r="E20" s="18">
        <v>24780.622960289686</v>
      </c>
      <c r="F20" s="18">
        <v>26824.979995800011</v>
      </c>
      <c r="G20" s="18">
        <v>31047.285613448836</v>
      </c>
    </row>
    <row r="21" spans="1:7" ht="11.25" customHeight="1" x14ac:dyDescent="0.2">
      <c r="A21" s="28">
        <v>44835</v>
      </c>
      <c r="B21" s="18">
        <v>4822.4160000000011</v>
      </c>
      <c r="C21" s="18">
        <v>22002.56399580001</v>
      </c>
      <c r="D21" s="18">
        <v>6266.6626531591492</v>
      </c>
      <c r="E21" s="18">
        <v>24780.622960289686</v>
      </c>
      <c r="F21" s="18">
        <v>26824.979995800011</v>
      </c>
      <c r="G21" s="18">
        <v>31047.285613448836</v>
      </c>
    </row>
    <row r="22" spans="1:7" ht="11.25" customHeight="1" x14ac:dyDescent="0.2">
      <c r="A22" s="27" t="s">
        <v>34</v>
      </c>
      <c r="B22" s="18">
        <v>167758.80000000002</v>
      </c>
      <c r="C22" s="18">
        <v>39609.885840000017</v>
      </c>
      <c r="D22" s="18">
        <v>217671.82314011606</v>
      </c>
      <c r="E22" s="18">
        <v>46348.589718510128</v>
      </c>
      <c r="F22" s="18">
        <v>207368.68584000005</v>
      </c>
      <c r="G22" s="18">
        <v>264020.41285862616</v>
      </c>
    </row>
    <row r="23" spans="1:7" ht="11.25" customHeight="1" x14ac:dyDescent="0.2">
      <c r="A23" s="28">
        <v>44501</v>
      </c>
      <c r="B23" s="18">
        <v>14025</v>
      </c>
      <c r="C23" s="18">
        <v>3197.5876800000046</v>
      </c>
      <c r="D23" s="18">
        <v>18197.837130094675</v>
      </c>
      <c r="E23" s="18">
        <v>3741.5831004395236</v>
      </c>
      <c r="F23" s="18">
        <v>17222.587680000004</v>
      </c>
      <c r="G23" s="18">
        <v>21939.420230534197</v>
      </c>
    </row>
    <row r="24" spans="1:7" ht="11.25" customHeight="1" x14ac:dyDescent="0.2">
      <c r="A24" s="28">
        <v>44531</v>
      </c>
      <c r="B24" s="18">
        <v>13840.199999999997</v>
      </c>
      <c r="C24" s="18">
        <v>3575.4144300000003</v>
      </c>
      <c r="D24" s="18">
        <v>17958.053864380487</v>
      </c>
      <c r="E24" s="18">
        <v>4183.6883135462895</v>
      </c>
      <c r="F24" s="18">
        <v>17415.614429999998</v>
      </c>
      <c r="G24" s="18">
        <v>22141.742177926775</v>
      </c>
    </row>
    <row r="25" spans="1:7" ht="11.25" customHeight="1" x14ac:dyDescent="0.2">
      <c r="A25" s="28">
        <v>44562</v>
      </c>
      <c r="B25" s="18">
        <v>13833.600000000004</v>
      </c>
      <c r="C25" s="18">
        <v>3295.9634400000004</v>
      </c>
      <c r="D25" s="18">
        <v>17949.490176319272</v>
      </c>
      <c r="E25" s="18">
        <v>3856.6952155540275</v>
      </c>
      <c r="F25" s="18">
        <v>17129.563440000005</v>
      </c>
      <c r="G25" s="18">
        <v>21806.1853918733</v>
      </c>
    </row>
    <row r="26" spans="1:7" ht="11.25" customHeight="1" x14ac:dyDescent="0.2">
      <c r="A26" s="28">
        <v>44593</v>
      </c>
      <c r="B26" s="18">
        <v>14005.199999999997</v>
      </c>
      <c r="C26" s="18">
        <v>3219.8974500000013</v>
      </c>
      <c r="D26" s="18">
        <v>18172.146065911009</v>
      </c>
      <c r="E26" s="18">
        <v>3767.6883606420142</v>
      </c>
      <c r="F26" s="18">
        <v>17225.097449999997</v>
      </c>
      <c r="G26" s="18">
        <v>21939.834426553025</v>
      </c>
    </row>
    <row r="27" spans="1:7" ht="11.25" customHeight="1" x14ac:dyDescent="0.2">
      <c r="A27" s="28">
        <v>44621</v>
      </c>
      <c r="B27" s="18">
        <v>14249.400000000005</v>
      </c>
      <c r="C27" s="18">
        <v>3520.125</v>
      </c>
      <c r="D27" s="18">
        <v>18489.002524176198</v>
      </c>
      <c r="E27" s="18">
        <v>4118.9926686966273</v>
      </c>
      <c r="F27" s="18">
        <v>17769.525000000005</v>
      </c>
      <c r="G27" s="18">
        <v>22607.995192872826</v>
      </c>
    </row>
    <row r="28" spans="1:7" ht="11.25" customHeight="1" x14ac:dyDescent="0.2">
      <c r="A28" s="28">
        <v>44652</v>
      </c>
      <c r="B28" s="18">
        <v>14249.400000000005</v>
      </c>
      <c r="C28" s="18">
        <v>3520.125</v>
      </c>
      <c r="D28" s="18">
        <v>18489.002524176198</v>
      </c>
      <c r="E28" s="18">
        <v>4118.9926686966273</v>
      </c>
      <c r="F28" s="18">
        <v>17769.525000000005</v>
      </c>
      <c r="G28" s="18">
        <v>22607.995192872826</v>
      </c>
    </row>
    <row r="29" spans="1:7" ht="11.25" customHeight="1" x14ac:dyDescent="0.2">
      <c r="A29" s="28">
        <v>44682</v>
      </c>
      <c r="B29" s="18">
        <v>13774.199999999997</v>
      </c>
      <c r="C29" s="18">
        <v>3325.8453899999995</v>
      </c>
      <c r="D29" s="18">
        <v>17872.416983768275</v>
      </c>
      <c r="E29" s="18">
        <v>3891.6608866527395</v>
      </c>
      <c r="F29" s="18">
        <v>17100.045389999996</v>
      </c>
      <c r="G29" s="18">
        <v>21764.077870421013</v>
      </c>
    </row>
    <row r="30" spans="1:7" ht="11.25" customHeight="1" x14ac:dyDescent="0.2">
      <c r="A30" s="28">
        <v>44713</v>
      </c>
      <c r="B30" s="18">
        <v>13860</v>
      </c>
      <c r="C30" s="18">
        <v>3049.80501</v>
      </c>
      <c r="D30" s="18">
        <v>17983.744928564152</v>
      </c>
      <c r="E30" s="18">
        <v>3568.6586348905921</v>
      </c>
      <c r="F30" s="18">
        <v>16909.80501</v>
      </c>
      <c r="G30" s="18">
        <v>21552.403563454744</v>
      </c>
    </row>
    <row r="31" spans="1:7" ht="11.25" customHeight="1" x14ac:dyDescent="0.2">
      <c r="A31" s="28">
        <v>44743</v>
      </c>
      <c r="B31" s="18">
        <v>13926</v>
      </c>
      <c r="C31" s="18">
        <v>2931.7478400000045</v>
      </c>
      <c r="D31" s="18">
        <v>18069.381809176361</v>
      </c>
      <c r="E31" s="18">
        <v>3430.5167740995539</v>
      </c>
      <c r="F31" s="18">
        <v>16857.747840000004</v>
      </c>
      <c r="G31" s="18">
        <v>21499.898583275914</v>
      </c>
    </row>
    <row r="32" spans="1:7" ht="11.25" customHeight="1" x14ac:dyDescent="0.2">
      <c r="A32" s="28">
        <v>44774</v>
      </c>
      <c r="B32" s="18">
        <v>13866.600000000004</v>
      </c>
      <c r="C32" s="18">
        <v>3305.4756000000034</v>
      </c>
      <c r="D32" s="18">
        <v>17992.308616625378</v>
      </c>
      <c r="E32" s="18">
        <v>3867.825649076553</v>
      </c>
      <c r="F32" s="18">
        <v>17172.075600000007</v>
      </c>
      <c r="G32" s="18">
        <v>21860.13426570193</v>
      </c>
    </row>
    <row r="33" spans="1:7" ht="11.25" customHeight="1" x14ac:dyDescent="0.2">
      <c r="A33" s="28">
        <v>44805</v>
      </c>
      <c r="B33" s="18">
        <v>14064.600000000004</v>
      </c>
      <c r="C33" s="18">
        <v>3333.9495000000006</v>
      </c>
      <c r="D33" s="18">
        <v>18249.219258462006</v>
      </c>
      <c r="E33" s="18">
        <v>3901.1437231077839</v>
      </c>
      <c r="F33" s="18">
        <v>17398.549500000005</v>
      </c>
      <c r="G33" s="18">
        <v>22150.36298156979</v>
      </c>
    </row>
    <row r="34" spans="1:7" ht="11.25" customHeight="1" x14ac:dyDescent="0.2">
      <c r="A34" s="28">
        <v>44835</v>
      </c>
      <c r="B34" s="18">
        <v>14064.600000000004</v>
      </c>
      <c r="C34" s="18">
        <v>3333.9495000000006</v>
      </c>
      <c r="D34" s="18">
        <v>18249.219258462006</v>
      </c>
      <c r="E34" s="18">
        <v>3901.1437231077839</v>
      </c>
      <c r="F34" s="18">
        <v>17398.549500000005</v>
      </c>
      <c r="G34" s="18">
        <v>22150.36298156979</v>
      </c>
    </row>
    <row r="35" spans="1:7" ht="11.25" customHeight="1" x14ac:dyDescent="0.2">
      <c r="A35" s="22" t="s">
        <v>41</v>
      </c>
      <c r="B35" s="18">
        <v>94412.628000000026</v>
      </c>
      <c r="C35" s="18">
        <v>269775.25595160015</v>
      </c>
      <c r="D35" s="18">
        <v>122687.89956615269</v>
      </c>
      <c r="E35" s="18">
        <v>315116.37204603519</v>
      </c>
      <c r="F35" s="18">
        <v>364187.88395160018</v>
      </c>
      <c r="G35" s="18">
        <v>437804.27161218785</v>
      </c>
    </row>
    <row r="36" spans="1:7" ht="11.25" customHeight="1" x14ac:dyDescent="0.2">
      <c r="A36" s="23" t="s">
        <v>49</v>
      </c>
      <c r="B36" s="18">
        <v>94412.628000000026</v>
      </c>
      <c r="C36" s="18">
        <v>269775.25595160015</v>
      </c>
      <c r="D36" s="18">
        <v>122687.89956615269</v>
      </c>
      <c r="E36" s="18">
        <v>315116.37204603519</v>
      </c>
      <c r="F36" s="18">
        <v>364187.88395160018</v>
      </c>
      <c r="G36" s="18">
        <v>437804.27161218785</v>
      </c>
    </row>
    <row r="37" spans="1:7" ht="11.25" customHeight="1" x14ac:dyDescent="0.2">
      <c r="A37" s="24" t="s">
        <v>50</v>
      </c>
      <c r="B37" s="18">
        <v>94412.628000000026</v>
      </c>
      <c r="C37" s="18">
        <v>269775.25595160015</v>
      </c>
      <c r="D37" s="18">
        <v>122687.89956615269</v>
      </c>
      <c r="E37" s="18">
        <v>315116.37204603519</v>
      </c>
      <c r="F37" s="18">
        <v>364187.88395160018</v>
      </c>
      <c r="G37" s="18">
        <v>437804.27161218785</v>
      </c>
    </row>
    <row r="38" spans="1:7" ht="11.25" customHeight="1" x14ac:dyDescent="0.2">
      <c r="A38" s="25" t="s">
        <v>25</v>
      </c>
      <c r="B38" s="18">
        <v>94412.628000000026</v>
      </c>
      <c r="C38" s="18">
        <v>269775.25595160015</v>
      </c>
      <c r="D38" s="18">
        <v>122687.89956615269</v>
      </c>
      <c r="E38" s="18">
        <v>315116.37204603519</v>
      </c>
      <c r="F38" s="18">
        <v>364187.88395160018</v>
      </c>
      <c r="G38" s="18">
        <v>437804.27161218785</v>
      </c>
    </row>
    <row r="39" spans="1:7" ht="11.25" customHeight="1" x14ac:dyDescent="0.2">
      <c r="A39" s="26" t="s">
        <v>25</v>
      </c>
      <c r="B39" s="18">
        <v>94412.628000000026</v>
      </c>
      <c r="C39" s="18">
        <v>269775.25595160015</v>
      </c>
      <c r="D39" s="18">
        <v>122687.89956615269</v>
      </c>
      <c r="E39" s="18">
        <v>315116.37204603519</v>
      </c>
      <c r="F39" s="18">
        <v>364187.88395160018</v>
      </c>
      <c r="G39" s="18">
        <v>437804.27161218785</v>
      </c>
    </row>
    <row r="40" spans="1:7" ht="11.25" customHeight="1" x14ac:dyDescent="0.2">
      <c r="A40" s="27" t="s">
        <v>35</v>
      </c>
      <c r="B40" s="18">
        <v>0</v>
      </c>
      <c r="C40" s="18">
        <v>184103.65541400015</v>
      </c>
      <c r="D40" s="18">
        <v>0</v>
      </c>
      <c r="E40" s="18">
        <v>207348.71041830827</v>
      </c>
      <c r="F40" s="18">
        <v>184103.65541400015</v>
      </c>
      <c r="G40" s="18">
        <v>207348.71041830827</v>
      </c>
    </row>
    <row r="41" spans="1:7" ht="11.25" customHeight="1" x14ac:dyDescent="0.2">
      <c r="A41" s="28">
        <v>44501</v>
      </c>
      <c r="B41" s="18">
        <v>0</v>
      </c>
      <c r="C41" s="18">
        <v>15085.396905600028</v>
      </c>
      <c r="D41" s="18">
        <v>0</v>
      </c>
      <c r="E41" s="18">
        <v>16990.08956389597</v>
      </c>
      <c r="F41" s="18">
        <v>15085.396905600028</v>
      </c>
      <c r="G41" s="18">
        <v>16990.08956389597</v>
      </c>
    </row>
    <row r="42" spans="1:7" ht="11.25" customHeight="1" x14ac:dyDescent="0.2">
      <c r="A42" s="28">
        <v>44531</v>
      </c>
      <c r="B42" s="18">
        <v>0</v>
      </c>
      <c r="C42" s="18">
        <v>14613.353069400015</v>
      </c>
      <c r="D42" s="18">
        <v>0</v>
      </c>
      <c r="E42" s="18">
        <v>16458.445146098384</v>
      </c>
      <c r="F42" s="18">
        <v>14613.353069400015</v>
      </c>
      <c r="G42" s="18">
        <v>16458.445146098384</v>
      </c>
    </row>
    <row r="43" spans="1:7" ht="11.25" customHeight="1" x14ac:dyDescent="0.2">
      <c r="A43" s="28">
        <v>44562</v>
      </c>
      <c r="B43" s="18">
        <v>0</v>
      </c>
      <c r="C43" s="18">
        <v>14565.982653600029</v>
      </c>
      <c r="D43" s="18">
        <v>0</v>
      </c>
      <c r="E43" s="18">
        <v>16405.093708800636</v>
      </c>
      <c r="F43" s="18">
        <v>14565.982653600029</v>
      </c>
      <c r="G43" s="18">
        <v>16405.093708800636</v>
      </c>
    </row>
    <row r="44" spans="1:7" ht="11.25" customHeight="1" x14ac:dyDescent="0.2">
      <c r="A44" s="28">
        <v>44593</v>
      </c>
      <c r="B44" s="18">
        <v>0</v>
      </c>
      <c r="C44" s="18">
        <v>13558.392796800004</v>
      </c>
      <c r="D44" s="18">
        <v>0</v>
      </c>
      <c r="E44" s="18">
        <v>15270.284859034769</v>
      </c>
      <c r="F44" s="18">
        <v>13558.392796800004</v>
      </c>
      <c r="G44" s="18">
        <v>15270.284859034769</v>
      </c>
    </row>
    <row r="45" spans="1:7" ht="11.25" customHeight="1" x14ac:dyDescent="0.2">
      <c r="A45" s="28">
        <v>44621</v>
      </c>
      <c r="B45" s="18">
        <v>0</v>
      </c>
      <c r="C45" s="18">
        <v>16109.262015600012</v>
      </c>
      <c r="D45" s="18">
        <v>0</v>
      </c>
      <c r="E45" s="18">
        <v>18143.228591599665</v>
      </c>
      <c r="F45" s="18">
        <v>16109.262015600012</v>
      </c>
      <c r="G45" s="18">
        <v>18143.228591599665</v>
      </c>
    </row>
    <row r="46" spans="1:7" ht="11.25" customHeight="1" x14ac:dyDescent="0.2">
      <c r="A46" s="28">
        <v>44652</v>
      </c>
      <c r="B46" s="18">
        <v>0</v>
      </c>
      <c r="C46" s="18">
        <v>16109.262015600012</v>
      </c>
      <c r="D46" s="18">
        <v>0</v>
      </c>
      <c r="E46" s="18">
        <v>18143.228591599665</v>
      </c>
      <c r="F46" s="18">
        <v>16109.262015600012</v>
      </c>
      <c r="G46" s="18">
        <v>18143.228591599665</v>
      </c>
    </row>
    <row r="47" spans="1:7" ht="11.25" customHeight="1" x14ac:dyDescent="0.2">
      <c r="A47" s="28">
        <v>44682</v>
      </c>
      <c r="B47" s="18">
        <v>0</v>
      </c>
      <c r="C47" s="18">
        <v>16308.603120599997</v>
      </c>
      <c r="D47" s="18">
        <v>0</v>
      </c>
      <c r="E47" s="18">
        <v>18367.738642538963</v>
      </c>
      <c r="F47" s="18">
        <v>16308.603120599997</v>
      </c>
      <c r="G47" s="18">
        <v>18367.738642538963</v>
      </c>
    </row>
    <row r="48" spans="1:7" ht="11.25" customHeight="1" x14ac:dyDescent="0.2">
      <c r="A48" s="28">
        <v>44713</v>
      </c>
      <c r="B48" s="18">
        <v>0</v>
      </c>
      <c r="C48" s="18">
        <v>15706.992690600011</v>
      </c>
      <c r="D48" s="18">
        <v>0</v>
      </c>
      <c r="E48" s="18">
        <v>17690.168463097452</v>
      </c>
      <c r="F48" s="18">
        <v>15706.992690600011</v>
      </c>
      <c r="G48" s="18">
        <v>17690.168463097452</v>
      </c>
    </row>
    <row r="49" spans="1:7" ht="11.25" customHeight="1" x14ac:dyDescent="0.2">
      <c r="A49" s="28">
        <v>44743</v>
      </c>
      <c r="B49" s="18">
        <v>0</v>
      </c>
      <c r="C49" s="18">
        <v>15945.50509140002</v>
      </c>
      <c r="D49" s="18">
        <v>0</v>
      </c>
      <c r="E49" s="18">
        <v>17958.795604766343</v>
      </c>
      <c r="F49" s="18">
        <v>15945.50509140002</v>
      </c>
      <c r="G49" s="18">
        <v>17958.795604766343</v>
      </c>
    </row>
    <row r="50" spans="1:7" ht="11.25" customHeight="1" x14ac:dyDescent="0.2">
      <c r="A50" s="28">
        <v>44774</v>
      </c>
      <c r="B50" s="18">
        <v>0</v>
      </c>
      <c r="C50" s="18">
        <v>15411.31192560001</v>
      </c>
      <c r="D50" s="18">
        <v>0</v>
      </c>
      <c r="E50" s="18">
        <v>17357.154839981817</v>
      </c>
      <c r="F50" s="18">
        <v>15411.31192560001</v>
      </c>
      <c r="G50" s="18">
        <v>17357.154839981817</v>
      </c>
    </row>
    <row r="51" spans="1:7" ht="11.25" customHeight="1" x14ac:dyDescent="0.2">
      <c r="A51" s="28">
        <v>44805</v>
      </c>
      <c r="B51" s="18">
        <v>0</v>
      </c>
      <c r="C51" s="18">
        <v>15344.796564600005</v>
      </c>
      <c r="D51" s="18">
        <v>0</v>
      </c>
      <c r="E51" s="18">
        <v>17282.241203447309</v>
      </c>
      <c r="F51" s="18">
        <v>15344.796564600005</v>
      </c>
      <c r="G51" s="18">
        <v>17282.241203447309</v>
      </c>
    </row>
    <row r="52" spans="1:7" ht="11.25" customHeight="1" x14ac:dyDescent="0.2">
      <c r="A52" s="28">
        <v>44835</v>
      </c>
      <c r="B52" s="18">
        <v>0</v>
      </c>
      <c r="C52" s="18">
        <v>15344.796564600005</v>
      </c>
      <c r="D52" s="18">
        <v>0</v>
      </c>
      <c r="E52" s="18">
        <v>17282.241203447309</v>
      </c>
      <c r="F52" s="18">
        <v>15344.796564600005</v>
      </c>
      <c r="G52" s="18">
        <v>17282.241203447309</v>
      </c>
    </row>
    <row r="53" spans="1:7" ht="11.25" customHeight="1" x14ac:dyDescent="0.2">
      <c r="A53" s="27" t="s">
        <v>25</v>
      </c>
      <c r="B53" s="18">
        <v>94412.628000000026</v>
      </c>
      <c r="C53" s="18">
        <v>0</v>
      </c>
      <c r="D53" s="18">
        <v>122687.89956615269</v>
      </c>
      <c r="E53" s="18">
        <v>0</v>
      </c>
      <c r="F53" s="18">
        <v>94412.628000000026</v>
      </c>
      <c r="G53" s="18">
        <v>122687.89956615269</v>
      </c>
    </row>
    <row r="54" spans="1:7" ht="11.25" customHeight="1" x14ac:dyDescent="0.2">
      <c r="A54" s="28">
        <v>44501</v>
      </c>
      <c r="B54" s="18">
        <v>7773.84</v>
      </c>
      <c r="C54" s="18">
        <v>0</v>
      </c>
      <c r="D54" s="18">
        <v>10101.997173125401</v>
      </c>
      <c r="E54" s="18">
        <v>0</v>
      </c>
      <c r="F54" s="18">
        <v>7773.84</v>
      </c>
      <c r="G54" s="18">
        <v>10101.997173125401</v>
      </c>
    </row>
    <row r="55" spans="1:7" ht="11.25" customHeight="1" x14ac:dyDescent="0.2">
      <c r="A55" s="28">
        <v>44531</v>
      </c>
      <c r="B55" s="18">
        <v>7762.8600000000006</v>
      </c>
      <c r="C55" s="18">
        <v>0</v>
      </c>
      <c r="D55" s="18">
        <v>10087.72881553624</v>
      </c>
      <c r="E55" s="18">
        <v>0</v>
      </c>
      <c r="F55" s="18">
        <v>7762.8600000000006</v>
      </c>
      <c r="G55" s="18">
        <v>10087.72881553624</v>
      </c>
    </row>
    <row r="56" spans="1:7" ht="11.25" customHeight="1" x14ac:dyDescent="0.2">
      <c r="A56" s="28">
        <v>44562</v>
      </c>
      <c r="B56" s="18">
        <v>7762.8600000000006</v>
      </c>
      <c r="C56" s="18">
        <v>0</v>
      </c>
      <c r="D56" s="18">
        <v>10087.72881553624</v>
      </c>
      <c r="E56" s="18">
        <v>0</v>
      </c>
      <c r="F56" s="18">
        <v>7762.8600000000006</v>
      </c>
      <c r="G56" s="18">
        <v>10087.72881553624</v>
      </c>
    </row>
    <row r="57" spans="1:7" ht="11.25" customHeight="1" x14ac:dyDescent="0.2">
      <c r="A57" s="28">
        <v>44593</v>
      </c>
      <c r="B57" s="18">
        <v>7784.8200000000006</v>
      </c>
      <c r="C57" s="18">
        <v>0</v>
      </c>
      <c r="D57" s="18">
        <v>10116.265530714561</v>
      </c>
      <c r="E57" s="18">
        <v>0</v>
      </c>
      <c r="F57" s="18">
        <v>7784.8200000000006</v>
      </c>
      <c r="G57" s="18">
        <v>10116.265530714561</v>
      </c>
    </row>
    <row r="58" spans="1:7" ht="11.25" customHeight="1" x14ac:dyDescent="0.2">
      <c r="A58" s="28">
        <v>44621</v>
      </c>
      <c r="B58" s="18">
        <v>7822.1520000000028</v>
      </c>
      <c r="C58" s="18">
        <v>0</v>
      </c>
      <c r="D58" s="18">
        <v>10164.77794651771</v>
      </c>
      <c r="E58" s="18">
        <v>0</v>
      </c>
      <c r="F58" s="18">
        <v>7822.1520000000028</v>
      </c>
      <c r="G58" s="18">
        <v>10164.77794651771</v>
      </c>
    </row>
    <row r="59" spans="1:7" ht="11.25" customHeight="1" x14ac:dyDescent="0.2">
      <c r="A59" s="28">
        <v>44652</v>
      </c>
      <c r="B59" s="18">
        <v>7822.1520000000028</v>
      </c>
      <c r="C59" s="18">
        <v>0</v>
      </c>
      <c r="D59" s="18">
        <v>10164.77794651771</v>
      </c>
      <c r="E59" s="18">
        <v>0</v>
      </c>
      <c r="F59" s="18">
        <v>7822.1520000000028</v>
      </c>
      <c r="G59" s="18">
        <v>10164.77794651771</v>
      </c>
    </row>
    <row r="60" spans="1:7" ht="11.25" customHeight="1" x14ac:dyDescent="0.2">
      <c r="A60" s="28">
        <v>44682</v>
      </c>
      <c r="B60" s="18">
        <v>8845.4880000000048</v>
      </c>
      <c r="C60" s="18">
        <v>0</v>
      </c>
      <c r="D60" s="18">
        <v>11494.588873827439</v>
      </c>
      <c r="E60" s="18">
        <v>0</v>
      </c>
      <c r="F60" s="18">
        <v>8845.4880000000048</v>
      </c>
      <c r="G60" s="18">
        <v>11494.588873827439</v>
      </c>
    </row>
    <row r="61" spans="1:7" ht="11.25" customHeight="1" x14ac:dyDescent="0.2">
      <c r="A61" s="28">
        <v>44713</v>
      </c>
      <c r="B61" s="18">
        <v>7009.6320000000032</v>
      </c>
      <c r="C61" s="18">
        <v>0</v>
      </c>
      <c r="D61" s="18">
        <v>9108.9194849198557</v>
      </c>
      <c r="E61" s="18">
        <v>0</v>
      </c>
      <c r="F61" s="18">
        <v>7009.6320000000032</v>
      </c>
      <c r="G61" s="18">
        <v>9108.9194849198557</v>
      </c>
    </row>
    <row r="62" spans="1:7" ht="11.25" customHeight="1" x14ac:dyDescent="0.2">
      <c r="A62" s="28">
        <v>44743</v>
      </c>
      <c r="B62" s="18">
        <v>7929.7560000000012</v>
      </c>
      <c r="C62" s="18">
        <v>0</v>
      </c>
      <c r="D62" s="18">
        <v>10304.607850891478</v>
      </c>
      <c r="E62" s="18">
        <v>0</v>
      </c>
      <c r="F62" s="18">
        <v>7929.7560000000012</v>
      </c>
      <c r="G62" s="18">
        <v>10304.607850891478</v>
      </c>
    </row>
    <row r="63" spans="1:7" ht="11.25" customHeight="1" x14ac:dyDescent="0.2">
      <c r="A63" s="28">
        <v>44774</v>
      </c>
      <c r="B63" s="18">
        <v>7942.9320000000025</v>
      </c>
      <c r="C63" s="18">
        <v>0</v>
      </c>
      <c r="D63" s="18">
        <v>10321.729879998471</v>
      </c>
      <c r="E63" s="18">
        <v>0</v>
      </c>
      <c r="F63" s="18">
        <v>7942.9320000000025</v>
      </c>
      <c r="G63" s="18">
        <v>10321.729879998471</v>
      </c>
    </row>
    <row r="64" spans="1:7" ht="11.25" customHeight="1" x14ac:dyDescent="0.2">
      <c r="A64" s="28">
        <v>44805</v>
      </c>
      <c r="B64" s="18">
        <v>7978.0680000000048</v>
      </c>
      <c r="C64" s="18">
        <v>0</v>
      </c>
      <c r="D64" s="18">
        <v>10367.388624283785</v>
      </c>
      <c r="E64" s="18">
        <v>0</v>
      </c>
      <c r="F64" s="18">
        <v>7978.0680000000048</v>
      </c>
      <c r="G64" s="18">
        <v>10367.388624283785</v>
      </c>
    </row>
    <row r="65" spans="1:7" ht="11.25" customHeight="1" x14ac:dyDescent="0.2">
      <c r="A65" s="28">
        <v>44835</v>
      </c>
      <c r="B65" s="18">
        <v>7978.0680000000048</v>
      </c>
      <c r="C65" s="18">
        <v>0</v>
      </c>
      <c r="D65" s="18">
        <v>10367.388624283785</v>
      </c>
      <c r="E65" s="18">
        <v>0</v>
      </c>
      <c r="F65" s="18">
        <v>7978.0680000000048</v>
      </c>
      <c r="G65" s="18">
        <v>10367.388624283785</v>
      </c>
    </row>
    <row r="66" spans="1:7" ht="11.25" customHeight="1" x14ac:dyDescent="0.2">
      <c r="A66" s="27" t="s">
        <v>34</v>
      </c>
      <c r="B66" s="18">
        <v>0</v>
      </c>
      <c r="C66" s="18">
        <v>85671.600537599996</v>
      </c>
      <c r="D66" s="18">
        <v>0</v>
      </c>
      <c r="E66" s="18">
        <v>107767.66162772698</v>
      </c>
      <c r="F66" s="18">
        <v>85671.600537599996</v>
      </c>
      <c r="G66" s="18">
        <v>107767.66162772698</v>
      </c>
    </row>
    <row r="67" spans="1:7" ht="11.25" customHeight="1" x14ac:dyDescent="0.2">
      <c r="A67" s="28">
        <v>44501</v>
      </c>
      <c r="B67" s="18">
        <v>0</v>
      </c>
      <c r="C67" s="18">
        <v>6677.2645632000076</v>
      </c>
      <c r="D67" s="18">
        <v>0</v>
      </c>
      <c r="E67" s="18">
        <v>8399.4367273427051</v>
      </c>
      <c r="F67" s="18">
        <v>6677.2645632000076</v>
      </c>
      <c r="G67" s="18">
        <v>8399.4367273427051</v>
      </c>
    </row>
    <row r="68" spans="1:7" ht="11.25" customHeight="1" x14ac:dyDescent="0.2">
      <c r="A68" s="28">
        <v>44531</v>
      </c>
      <c r="B68" s="18">
        <v>0</v>
      </c>
      <c r="C68" s="18">
        <v>7260.2760384000021</v>
      </c>
      <c r="D68" s="18">
        <v>0</v>
      </c>
      <c r="E68" s="18">
        <v>9132.8160851482098</v>
      </c>
      <c r="F68" s="18">
        <v>7260.2760384000021</v>
      </c>
      <c r="G68" s="18">
        <v>9132.8160851482098</v>
      </c>
    </row>
    <row r="69" spans="1:7" ht="11.25" customHeight="1" x14ac:dyDescent="0.2">
      <c r="A69" s="28">
        <v>44562</v>
      </c>
      <c r="B69" s="18">
        <v>0</v>
      </c>
      <c r="C69" s="18">
        <v>6648.5621663999991</v>
      </c>
      <c r="D69" s="18">
        <v>0</v>
      </c>
      <c r="E69" s="18">
        <v>8363.3315283404918</v>
      </c>
      <c r="F69" s="18">
        <v>6648.5621663999991</v>
      </c>
      <c r="G69" s="18">
        <v>8363.3315283404918</v>
      </c>
    </row>
    <row r="70" spans="1:7" ht="11.25" customHeight="1" x14ac:dyDescent="0.2">
      <c r="A70" s="28">
        <v>44593</v>
      </c>
      <c r="B70" s="18">
        <v>0</v>
      </c>
      <c r="C70" s="18">
        <v>6413.1262272000031</v>
      </c>
      <c r="D70" s="18">
        <v>0</v>
      </c>
      <c r="E70" s="18">
        <v>8067.1729358606453</v>
      </c>
      <c r="F70" s="18">
        <v>6413.1262272000031</v>
      </c>
      <c r="G70" s="18">
        <v>8067.1729358606453</v>
      </c>
    </row>
    <row r="71" spans="1:7" ht="11.25" customHeight="1" x14ac:dyDescent="0.2">
      <c r="A71" s="28">
        <v>44621</v>
      </c>
      <c r="B71" s="18">
        <v>0</v>
      </c>
      <c r="C71" s="18">
        <v>7603.6558752000001</v>
      </c>
      <c r="D71" s="18">
        <v>0</v>
      </c>
      <c r="E71" s="18">
        <v>9564.7590140748762</v>
      </c>
      <c r="F71" s="18">
        <v>7603.6558752000001</v>
      </c>
      <c r="G71" s="18">
        <v>9564.7590140748762</v>
      </c>
    </row>
    <row r="72" spans="1:7" ht="11.25" customHeight="1" x14ac:dyDescent="0.2">
      <c r="A72" s="28">
        <v>44652</v>
      </c>
      <c r="B72" s="18">
        <v>0</v>
      </c>
      <c r="C72" s="18">
        <v>7603.6558752000001</v>
      </c>
      <c r="D72" s="18">
        <v>0</v>
      </c>
      <c r="E72" s="18">
        <v>9564.7590140748762</v>
      </c>
      <c r="F72" s="18">
        <v>7603.6558752000001</v>
      </c>
      <c r="G72" s="18">
        <v>9564.7590140748762</v>
      </c>
    </row>
    <row r="73" spans="1:7" ht="11.25" customHeight="1" x14ac:dyDescent="0.2">
      <c r="A73" s="28">
        <v>44682</v>
      </c>
      <c r="B73" s="18">
        <v>0</v>
      </c>
      <c r="C73" s="18">
        <v>7618.5315360000022</v>
      </c>
      <c r="D73" s="18">
        <v>0</v>
      </c>
      <c r="E73" s="18">
        <v>9583.4713431258533</v>
      </c>
      <c r="F73" s="18">
        <v>7618.5315360000022</v>
      </c>
      <c r="G73" s="18">
        <v>9583.4713431258533</v>
      </c>
    </row>
    <row r="74" spans="1:7" ht="11.25" customHeight="1" x14ac:dyDescent="0.2">
      <c r="A74" s="28">
        <v>44713</v>
      </c>
      <c r="B74" s="18">
        <v>0</v>
      </c>
      <c r="C74" s="18">
        <v>7142.3196768000071</v>
      </c>
      <c r="D74" s="18">
        <v>0</v>
      </c>
      <c r="E74" s="18">
        <v>8984.4369118401664</v>
      </c>
      <c r="F74" s="18">
        <v>7142.3196768000071</v>
      </c>
      <c r="G74" s="18">
        <v>8984.4369118401664</v>
      </c>
    </row>
    <row r="75" spans="1:7" ht="11.25" customHeight="1" x14ac:dyDescent="0.2">
      <c r="A75" s="28">
        <v>44743</v>
      </c>
      <c r="B75" s="18">
        <v>0</v>
      </c>
      <c r="C75" s="18">
        <v>6981.3573984000031</v>
      </c>
      <c r="D75" s="18">
        <v>0</v>
      </c>
      <c r="E75" s="18">
        <v>8781.9599154424341</v>
      </c>
      <c r="F75" s="18">
        <v>6981.3573984000031</v>
      </c>
      <c r="G75" s="18">
        <v>8781.9599154424341</v>
      </c>
    </row>
    <row r="76" spans="1:7" ht="11.25" customHeight="1" x14ac:dyDescent="0.2">
      <c r="A76" s="28">
        <v>44774</v>
      </c>
      <c r="B76" s="18">
        <v>0</v>
      </c>
      <c r="C76" s="18">
        <v>7479.9781055999965</v>
      </c>
      <c r="D76" s="18">
        <v>0</v>
      </c>
      <c r="E76" s="18">
        <v>9409.1827911318305</v>
      </c>
      <c r="F76" s="18">
        <v>7479.9781055999965</v>
      </c>
      <c r="G76" s="18">
        <v>9409.1827911318305</v>
      </c>
    </row>
    <row r="77" spans="1:7" ht="11.25" customHeight="1" x14ac:dyDescent="0.2">
      <c r="A77" s="28">
        <v>44805</v>
      </c>
      <c r="B77" s="18">
        <v>0</v>
      </c>
      <c r="C77" s="18">
        <v>7121.436537599996</v>
      </c>
      <c r="D77" s="18">
        <v>0</v>
      </c>
      <c r="E77" s="18">
        <v>8958.1676806724372</v>
      </c>
      <c r="F77" s="18">
        <v>7121.436537599996</v>
      </c>
      <c r="G77" s="18">
        <v>8958.1676806724372</v>
      </c>
    </row>
    <row r="78" spans="1:7" ht="11.25" customHeight="1" x14ac:dyDescent="0.2">
      <c r="A78" s="28">
        <v>44835</v>
      </c>
      <c r="B78" s="18">
        <v>0</v>
      </c>
      <c r="C78" s="18">
        <v>7121.436537599996</v>
      </c>
      <c r="D78" s="18">
        <v>0</v>
      </c>
      <c r="E78" s="18">
        <v>8958.1676806724372</v>
      </c>
      <c r="F78" s="18">
        <v>7121.436537599996</v>
      </c>
      <c r="G78" s="18">
        <v>8958.1676806724372</v>
      </c>
    </row>
    <row r="79" spans="1:7" ht="11.25" customHeight="1" x14ac:dyDescent="0.2">
      <c r="A79" s="21" t="s">
        <v>37</v>
      </c>
      <c r="B79" s="18">
        <v>0</v>
      </c>
      <c r="C79" s="18">
        <v>340230.57833520003</v>
      </c>
      <c r="D79" s="18">
        <v>0</v>
      </c>
      <c r="E79" s="18">
        <v>401284.14520353271</v>
      </c>
      <c r="F79" s="18">
        <v>340230.57833520003</v>
      </c>
      <c r="G79" s="18">
        <v>401284.14520353271</v>
      </c>
    </row>
    <row r="80" spans="1:7" ht="11.25" customHeight="1" x14ac:dyDescent="0.2">
      <c r="A80" s="22" t="s">
        <v>23</v>
      </c>
      <c r="B80" s="18">
        <v>0</v>
      </c>
      <c r="C80" s="18">
        <v>340230.57833520003</v>
      </c>
      <c r="D80" s="18">
        <v>0</v>
      </c>
      <c r="E80" s="18">
        <v>401284.14520353271</v>
      </c>
      <c r="F80" s="18">
        <v>340230.57833520003</v>
      </c>
      <c r="G80" s="18">
        <v>401284.14520353271</v>
      </c>
    </row>
    <row r="81" spans="1:7" ht="11.25" customHeight="1" x14ac:dyDescent="0.2">
      <c r="A81" s="23" t="s">
        <v>49</v>
      </c>
      <c r="B81" s="18">
        <v>0</v>
      </c>
      <c r="C81" s="18">
        <v>340230.57833520003</v>
      </c>
      <c r="D81" s="18">
        <v>0</v>
      </c>
      <c r="E81" s="18">
        <v>401284.14520353271</v>
      </c>
      <c r="F81" s="18">
        <v>340230.57833520003</v>
      </c>
      <c r="G81" s="18">
        <v>401284.14520353271</v>
      </c>
    </row>
    <row r="82" spans="1:7" ht="11.25" customHeight="1" x14ac:dyDescent="0.2">
      <c r="A82" s="24" t="s">
        <v>50</v>
      </c>
      <c r="B82" s="18">
        <v>0</v>
      </c>
      <c r="C82" s="18">
        <v>340230.57833520003</v>
      </c>
      <c r="D82" s="18">
        <v>0</v>
      </c>
      <c r="E82" s="18">
        <v>401284.14520353271</v>
      </c>
      <c r="F82" s="18">
        <v>340230.57833520003</v>
      </c>
      <c r="G82" s="18">
        <v>401284.14520353271</v>
      </c>
    </row>
    <row r="83" spans="1:7" ht="11.25" customHeight="1" x14ac:dyDescent="0.2">
      <c r="A83" s="25" t="s">
        <v>25</v>
      </c>
      <c r="B83" s="18">
        <v>0</v>
      </c>
      <c r="C83" s="18">
        <v>340230.57833520003</v>
      </c>
      <c r="D83" s="18">
        <v>0</v>
      </c>
      <c r="E83" s="18">
        <v>401284.14520353271</v>
      </c>
      <c r="F83" s="18">
        <v>340230.57833520003</v>
      </c>
      <c r="G83" s="18">
        <v>401284.14520353271</v>
      </c>
    </row>
    <row r="84" spans="1:7" ht="11.25" customHeight="1" x14ac:dyDescent="0.2">
      <c r="A84" s="26" t="s">
        <v>25</v>
      </c>
      <c r="B84" s="18">
        <v>0</v>
      </c>
      <c r="C84" s="18">
        <v>340230.57833520003</v>
      </c>
      <c r="D84" s="18">
        <v>0</v>
      </c>
      <c r="E84" s="18">
        <v>401284.14520353271</v>
      </c>
      <c r="F84" s="18">
        <v>340230.57833520003</v>
      </c>
      <c r="G84" s="18">
        <v>401284.14520353271</v>
      </c>
    </row>
    <row r="85" spans="1:7" ht="11.25" customHeight="1" x14ac:dyDescent="0.2">
      <c r="A85" s="27" t="s">
        <v>25</v>
      </c>
      <c r="B85" s="18">
        <v>0</v>
      </c>
      <c r="C85" s="18">
        <v>340230.57833520003</v>
      </c>
      <c r="D85" s="18">
        <v>0</v>
      </c>
      <c r="E85" s="18">
        <v>401284.14520353271</v>
      </c>
      <c r="F85" s="18">
        <v>340230.57833520003</v>
      </c>
      <c r="G85" s="18">
        <v>401284.14520353271</v>
      </c>
    </row>
    <row r="86" spans="1:7" ht="11.25" customHeight="1" x14ac:dyDescent="0.2">
      <c r="A86" s="28">
        <v>44501</v>
      </c>
      <c r="B86" s="18">
        <v>0</v>
      </c>
      <c r="C86" s="18">
        <v>29083.991720400041</v>
      </c>
      <c r="D86" s="18">
        <v>0</v>
      </c>
      <c r="E86" s="18">
        <v>34303.044757867028</v>
      </c>
      <c r="F86" s="18">
        <v>29083.991720400041</v>
      </c>
      <c r="G86" s="18">
        <v>34303.044757867028</v>
      </c>
    </row>
    <row r="87" spans="1:7" ht="11.25" customHeight="1" x14ac:dyDescent="0.2">
      <c r="A87" s="28">
        <v>44531</v>
      </c>
      <c r="B87" s="18">
        <v>0</v>
      </c>
      <c r="C87" s="18">
        <v>28703.028891599981</v>
      </c>
      <c r="D87" s="18">
        <v>0</v>
      </c>
      <c r="E87" s="18">
        <v>33853.719056875096</v>
      </c>
      <c r="F87" s="18">
        <v>28703.028891599981</v>
      </c>
      <c r="G87" s="18">
        <v>33853.719056875096</v>
      </c>
    </row>
    <row r="88" spans="1:7" ht="11.25" customHeight="1" x14ac:dyDescent="0.2">
      <c r="A88" s="28">
        <v>44562</v>
      </c>
      <c r="B88" s="18">
        <v>0</v>
      </c>
      <c r="C88" s="18">
        <v>26836.401536999969</v>
      </c>
      <c r="D88" s="18">
        <v>0</v>
      </c>
      <c r="E88" s="18">
        <v>31652.12986971443</v>
      </c>
      <c r="F88" s="18">
        <v>26836.401536999969</v>
      </c>
      <c r="G88" s="18">
        <v>31652.12986971443</v>
      </c>
    </row>
    <row r="89" spans="1:7" ht="11.25" customHeight="1" x14ac:dyDescent="0.2">
      <c r="A89" s="28">
        <v>44593</v>
      </c>
      <c r="B89" s="18">
        <v>0</v>
      </c>
      <c r="C89" s="18">
        <v>26872.151612400005</v>
      </c>
      <c r="D89" s="18">
        <v>0</v>
      </c>
      <c r="E89" s="18">
        <v>31694.295210989934</v>
      </c>
      <c r="F89" s="18">
        <v>26872.151612400005</v>
      </c>
      <c r="G89" s="18">
        <v>31694.295210989934</v>
      </c>
    </row>
    <row r="90" spans="1:7" ht="11.25" customHeight="1" x14ac:dyDescent="0.2">
      <c r="A90" s="28">
        <v>44621</v>
      </c>
      <c r="B90" s="18">
        <v>0</v>
      </c>
      <c r="C90" s="18">
        <v>28723.114377000005</v>
      </c>
      <c r="D90" s="18">
        <v>0</v>
      </c>
      <c r="E90" s="18">
        <v>33877.408834787435</v>
      </c>
      <c r="F90" s="18">
        <v>28723.114377000005</v>
      </c>
      <c r="G90" s="18">
        <v>33877.408834787435</v>
      </c>
    </row>
    <row r="91" spans="1:7" ht="11.25" customHeight="1" x14ac:dyDescent="0.2">
      <c r="A91" s="28">
        <v>44652</v>
      </c>
      <c r="B91" s="18">
        <v>0</v>
      </c>
      <c r="C91" s="18">
        <v>28723.114377000005</v>
      </c>
      <c r="D91" s="18">
        <v>0</v>
      </c>
      <c r="E91" s="18">
        <v>33877.408834787435</v>
      </c>
      <c r="F91" s="18">
        <v>28723.114377000005</v>
      </c>
      <c r="G91" s="18">
        <v>33877.408834787435</v>
      </c>
    </row>
    <row r="92" spans="1:7" ht="11.25" customHeight="1" x14ac:dyDescent="0.2">
      <c r="A92" s="28">
        <v>44682</v>
      </c>
      <c r="B92" s="18">
        <v>0</v>
      </c>
      <c r="C92" s="18">
        <v>30312.687349800024</v>
      </c>
      <c r="D92" s="18">
        <v>0</v>
      </c>
      <c r="E92" s="18">
        <v>35752.226891265171</v>
      </c>
      <c r="F92" s="18">
        <v>30312.687349800024</v>
      </c>
      <c r="G92" s="18">
        <v>35752.226891265171</v>
      </c>
    </row>
    <row r="93" spans="1:7" ht="11.25" customHeight="1" x14ac:dyDescent="0.2">
      <c r="A93" s="28">
        <v>44713</v>
      </c>
      <c r="B93" s="18">
        <v>0</v>
      </c>
      <c r="C93" s="18">
        <v>27524.912482799991</v>
      </c>
      <c r="D93" s="18">
        <v>0</v>
      </c>
      <c r="E93" s="18">
        <v>32464.192464736199</v>
      </c>
      <c r="F93" s="18">
        <v>27524.912482799991</v>
      </c>
      <c r="G93" s="18">
        <v>32464.192464736199</v>
      </c>
    </row>
    <row r="94" spans="1:7" ht="11.25" customHeight="1" x14ac:dyDescent="0.2">
      <c r="A94" s="28">
        <v>44743</v>
      </c>
      <c r="B94" s="18">
        <v>0</v>
      </c>
      <c r="C94" s="18">
        <v>27065.069740800023</v>
      </c>
      <c r="D94" s="18">
        <v>0</v>
      </c>
      <c r="E94" s="18">
        <v>31921.832038009048</v>
      </c>
      <c r="F94" s="18">
        <v>27065.069740800023</v>
      </c>
      <c r="G94" s="18">
        <v>31921.832038009048</v>
      </c>
    </row>
    <row r="95" spans="1:7" ht="11.25" customHeight="1" x14ac:dyDescent="0.2">
      <c r="A95" s="28">
        <v>44774</v>
      </c>
      <c r="B95" s="18">
        <v>0</v>
      </c>
      <c r="C95" s="18">
        <v>30109.221730799974</v>
      </c>
      <c r="D95" s="18">
        <v>0</v>
      </c>
      <c r="E95" s="18">
        <v>35512.24985158151</v>
      </c>
      <c r="F95" s="18">
        <v>30109.221730799974</v>
      </c>
      <c r="G95" s="18">
        <v>35512.24985158151</v>
      </c>
    </row>
    <row r="96" spans="1:7" ht="11.25" customHeight="1" x14ac:dyDescent="0.2">
      <c r="A96" s="28">
        <v>44805</v>
      </c>
      <c r="B96" s="18">
        <v>0</v>
      </c>
      <c r="C96" s="18">
        <v>28138.442257800019</v>
      </c>
      <c r="D96" s="18">
        <v>0</v>
      </c>
      <c r="E96" s="18">
        <v>33187.818696459683</v>
      </c>
      <c r="F96" s="18">
        <v>28138.442257800019</v>
      </c>
      <c r="G96" s="18">
        <v>33187.818696459683</v>
      </c>
    </row>
    <row r="97" spans="1:7" ht="11.25" customHeight="1" x14ac:dyDescent="0.2">
      <c r="A97" s="28">
        <v>44835</v>
      </c>
      <c r="B97" s="18">
        <v>0</v>
      </c>
      <c r="C97" s="18">
        <v>28138.442257800019</v>
      </c>
      <c r="D97" s="18">
        <v>0</v>
      </c>
      <c r="E97" s="18">
        <v>33187.818696459683</v>
      </c>
      <c r="F97" s="18">
        <v>28138.442257800019</v>
      </c>
      <c r="G97" s="18">
        <v>33187.818696459683</v>
      </c>
    </row>
    <row r="98" spans="1:7" ht="11.25" customHeight="1" x14ac:dyDescent="0.2">
      <c r="A98" s="20" t="s">
        <v>754</v>
      </c>
      <c r="B98" s="18">
        <v>0</v>
      </c>
      <c r="C98" s="18">
        <v>9658829.2074500024</v>
      </c>
      <c r="D98" s="18">
        <v>0</v>
      </c>
      <c r="E98" s="18">
        <v>11219382.700659407</v>
      </c>
      <c r="F98" s="18">
        <v>9658829.2074500024</v>
      </c>
      <c r="G98" s="18">
        <v>11219382.700659409</v>
      </c>
    </row>
    <row r="99" spans="1:7" ht="11.25" customHeight="1" x14ac:dyDescent="0.2">
      <c r="A99" s="21" t="s">
        <v>22</v>
      </c>
      <c r="B99" s="18">
        <v>0</v>
      </c>
      <c r="C99" s="18">
        <v>9658829.2074500024</v>
      </c>
      <c r="D99" s="18">
        <v>0</v>
      </c>
      <c r="E99" s="18">
        <v>11219382.700659407</v>
      </c>
      <c r="F99" s="18">
        <v>9658829.2074500024</v>
      </c>
      <c r="G99" s="18">
        <v>11219382.700659409</v>
      </c>
    </row>
    <row r="100" spans="1:7" ht="11.25" customHeight="1" x14ac:dyDescent="0.2">
      <c r="A100" s="22" t="s">
        <v>23</v>
      </c>
      <c r="B100" s="18">
        <v>0</v>
      </c>
      <c r="C100" s="18">
        <v>9658829.2074500024</v>
      </c>
      <c r="D100" s="18">
        <v>0</v>
      </c>
      <c r="E100" s="18">
        <v>11219382.700659407</v>
      </c>
      <c r="F100" s="18">
        <v>9658829.2074500024</v>
      </c>
      <c r="G100" s="18">
        <v>11219382.700659409</v>
      </c>
    </row>
    <row r="101" spans="1:7" ht="11.25" customHeight="1" x14ac:dyDescent="0.2">
      <c r="A101" s="23" t="s">
        <v>24</v>
      </c>
      <c r="B101" s="18">
        <v>0</v>
      </c>
      <c r="C101" s="18">
        <v>9658829.2074500024</v>
      </c>
      <c r="D101" s="18">
        <v>0</v>
      </c>
      <c r="E101" s="18">
        <v>11219382.700659407</v>
      </c>
      <c r="F101" s="18">
        <v>9658829.2074500024</v>
      </c>
      <c r="G101" s="18">
        <v>11219382.700659409</v>
      </c>
    </row>
    <row r="102" spans="1:7" ht="11.25" customHeight="1" x14ac:dyDescent="0.2">
      <c r="A102" s="24" t="s">
        <v>29</v>
      </c>
      <c r="B102" s="18">
        <v>0</v>
      </c>
      <c r="C102" s="18">
        <v>3638813.2899500001</v>
      </c>
      <c r="D102" s="18">
        <v>0</v>
      </c>
      <c r="E102" s="18">
        <v>4226576.8807537835</v>
      </c>
      <c r="F102" s="18">
        <v>3638813.2899500006</v>
      </c>
      <c r="G102" s="18">
        <v>4226576.8807537844</v>
      </c>
    </row>
    <row r="103" spans="1:7" ht="11.25" customHeight="1" x14ac:dyDescent="0.2">
      <c r="A103" s="25" t="s">
        <v>25</v>
      </c>
      <c r="B103" s="18">
        <v>0</v>
      </c>
      <c r="C103" s="18">
        <v>3638813.2899500001</v>
      </c>
      <c r="D103" s="18">
        <v>0</v>
      </c>
      <c r="E103" s="18">
        <v>4226576.8807537835</v>
      </c>
      <c r="F103" s="18">
        <v>3638813.2899500006</v>
      </c>
      <c r="G103" s="18">
        <v>4226576.8807537844</v>
      </c>
    </row>
    <row r="104" spans="1:7" ht="11.25" customHeight="1" x14ac:dyDescent="0.2">
      <c r="A104" s="26" t="s">
        <v>25</v>
      </c>
      <c r="B104" s="18">
        <v>0</v>
      </c>
      <c r="C104" s="18">
        <v>3638813.2899500001</v>
      </c>
      <c r="D104" s="18">
        <v>0</v>
      </c>
      <c r="E104" s="18">
        <v>4226576.8807537835</v>
      </c>
      <c r="F104" s="18">
        <v>3638813.2899500006</v>
      </c>
      <c r="G104" s="18">
        <v>4226576.8807537844</v>
      </c>
    </row>
    <row r="105" spans="1:7" ht="11.25" customHeight="1" x14ac:dyDescent="0.2">
      <c r="A105" s="27" t="s">
        <v>25</v>
      </c>
      <c r="B105" s="18">
        <v>0</v>
      </c>
      <c r="C105" s="18">
        <v>3638813.2899500001</v>
      </c>
      <c r="D105" s="18">
        <v>0</v>
      </c>
      <c r="E105" s="18">
        <v>4226576.8807537835</v>
      </c>
      <c r="F105" s="18">
        <v>3638813.2899500006</v>
      </c>
      <c r="G105" s="18">
        <v>4226576.8807537844</v>
      </c>
    </row>
    <row r="106" spans="1:7" ht="11.25" customHeight="1" x14ac:dyDescent="0.2">
      <c r="A106" s="28">
        <v>44501</v>
      </c>
      <c r="B106" s="18">
        <v>0</v>
      </c>
      <c r="C106" s="18">
        <v>288008.41490000009</v>
      </c>
      <c r="D106" s="18">
        <v>0</v>
      </c>
      <c r="E106" s="18">
        <v>334529.3124109729</v>
      </c>
      <c r="F106" s="18">
        <v>288008.41490000009</v>
      </c>
      <c r="G106" s="18">
        <v>334529.3124109729</v>
      </c>
    </row>
    <row r="107" spans="1:7" ht="11.25" customHeight="1" x14ac:dyDescent="0.2">
      <c r="A107" s="28">
        <v>44531</v>
      </c>
      <c r="B107" s="18">
        <v>0</v>
      </c>
      <c r="C107" s="18">
        <v>289591.48615000001</v>
      </c>
      <c r="D107" s="18">
        <v>0</v>
      </c>
      <c r="E107" s="18">
        <v>336368.09110410226</v>
      </c>
      <c r="F107" s="18">
        <v>289591.48615000001</v>
      </c>
      <c r="G107" s="18">
        <v>336368.09110410226</v>
      </c>
    </row>
    <row r="108" spans="1:7" ht="11.25" customHeight="1" x14ac:dyDescent="0.2">
      <c r="A108" s="28">
        <v>44562</v>
      </c>
      <c r="B108" s="18">
        <v>0</v>
      </c>
      <c r="C108" s="18">
        <v>293095.58374999999</v>
      </c>
      <c r="D108" s="18">
        <v>0</v>
      </c>
      <c r="E108" s="18">
        <v>340438.19218484999</v>
      </c>
      <c r="F108" s="18">
        <v>293095.58374999999</v>
      </c>
      <c r="G108" s="18">
        <v>340438.19218484999</v>
      </c>
    </row>
    <row r="109" spans="1:7" ht="11.25" customHeight="1" x14ac:dyDescent="0.2">
      <c r="A109" s="28">
        <v>44593</v>
      </c>
      <c r="B109" s="18">
        <v>0</v>
      </c>
      <c r="C109" s="18">
        <v>296779.50425</v>
      </c>
      <c r="D109" s="18">
        <v>0</v>
      </c>
      <c r="E109" s="18">
        <v>344717.16227073997</v>
      </c>
      <c r="F109" s="18">
        <v>296779.50425</v>
      </c>
      <c r="G109" s="18">
        <v>344717.16227073997</v>
      </c>
    </row>
    <row r="110" spans="1:7" ht="11.25" customHeight="1" x14ac:dyDescent="0.2">
      <c r="A110" s="28">
        <v>44621</v>
      </c>
      <c r="B110" s="18">
        <v>0</v>
      </c>
      <c r="C110" s="18">
        <v>303061.06100000005</v>
      </c>
      <c r="D110" s="18">
        <v>0</v>
      </c>
      <c r="E110" s="18">
        <v>352013.35485309083</v>
      </c>
      <c r="F110" s="18">
        <v>303061.06100000005</v>
      </c>
      <c r="G110" s="18">
        <v>352013.35485309083</v>
      </c>
    </row>
    <row r="111" spans="1:7" ht="11.25" customHeight="1" x14ac:dyDescent="0.2">
      <c r="A111" s="28">
        <v>44652</v>
      </c>
      <c r="B111" s="18">
        <v>0</v>
      </c>
      <c r="C111" s="18">
        <v>303061.06100000005</v>
      </c>
      <c r="D111" s="18">
        <v>0</v>
      </c>
      <c r="E111" s="18">
        <v>352013.35485309083</v>
      </c>
      <c r="F111" s="18">
        <v>303061.06100000005</v>
      </c>
      <c r="G111" s="18">
        <v>352013.35485309083</v>
      </c>
    </row>
    <row r="112" spans="1:7" ht="11.25" customHeight="1" x14ac:dyDescent="0.2">
      <c r="A112" s="28">
        <v>44682</v>
      </c>
      <c r="B112" s="18">
        <v>0</v>
      </c>
      <c r="C112" s="18">
        <v>305088.7916</v>
      </c>
      <c r="D112" s="18">
        <v>0</v>
      </c>
      <c r="E112" s="18">
        <v>354368.61702002515</v>
      </c>
      <c r="F112" s="18">
        <v>305088.7916</v>
      </c>
      <c r="G112" s="18">
        <v>354368.61702002515</v>
      </c>
    </row>
    <row r="113" spans="1:7" ht="11.25" customHeight="1" x14ac:dyDescent="0.2">
      <c r="A113" s="28">
        <v>44713</v>
      </c>
      <c r="B113" s="18">
        <v>0</v>
      </c>
      <c r="C113" s="18">
        <v>308600.93575000006</v>
      </c>
      <c r="D113" s="18">
        <v>0</v>
      </c>
      <c r="E113" s="18">
        <v>358448.06437921309</v>
      </c>
      <c r="F113" s="18">
        <v>308600.93575000006</v>
      </c>
      <c r="G113" s="18">
        <v>358448.06437921309</v>
      </c>
    </row>
    <row r="114" spans="1:7" ht="11.25" customHeight="1" x14ac:dyDescent="0.2">
      <c r="A114" s="28">
        <v>44743</v>
      </c>
      <c r="B114" s="18">
        <v>0</v>
      </c>
      <c r="C114" s="18">
        <v>309246.75885000004</v>
      </c>
      <c r="D114" s="18">
        <v>0</v>
      </c>
      <c r="E114" s="18">
        <v>359198.20481402345</v>
      </c>
      <c r="F114" s="18">
        <v>309246.75885000004</v>
      </c>
      <c r="G114" s="18">
        <v>359198.20481402345</v>
      </c>
    </row>
    <row r="115" spans="1:7" ht="11.25" customHeight="1" x14ac:dyDescent="0.2">
      <c r="A115" s="28">
        <v>44774</v>
      </c>
      <c r="B115" s="18">
        <v>0</v>
      </c>
      <c r="C115" s="18">
        <v>312685.43449999997</v>
      </c>
      <c r="D115" s="18">
        <v>0</v>
      </c>
      <c r="E115" s="18">
        <v>363192.31658745289</v>
      </c>
      <c r="F115" s="18">
        <v>312685.43449999997</v>
      </c>
      <c r="G115" s="18">
        <v>363192.31658745289</v>
      </c>
    </row>
    <row r="116" spans="1:7" ht="11.25" customHeight="1" x14ac:dyDescent="0.2">
      <c r="A116" s="28">
        <v>44805</v>
      </c>
      <c r="B116" s="18">
        <v>0</v>
      </c>
      <c r="C116" s="18">
        <v>314797.12910000002</v>
      </c>
      <c r="D116" s="18">
        <v>0</v>
      </c>
      <c r="E116" s="18">
        <v>365645.10513811122</v>
      </c>
      <c r="F116" s="18">
        <v>314797.12910000002</v>
      </c>
      <c r="G116" s="18">
        <v>365645.10513811122</v>
      </c>
    </row>
    <row r="117" spans="1:7" ht="11.25" customHeight="1" x14ac:dyDescent="0.2">
      <c r="A117" s="28">
        <v>44835</v>
      </c>
      <c r="B117" s="18">
        <v>0</v>
      </c>
      <c r="C117" s="18">
        <v>314797.12910000002</v>
      </c>
      <c r="D117" s="18">
        <v>0</v>
      </c>
      <c r="E117" s="18">
        <v>365645.10513811122</v>
      </c>
      <c r="F117" s="18">
        <v>314797.12910000002</v>
      </c>
      <c r="G117" s="18">
        <v>365645.10513811122</v>
      </c>
    </row>
    <row r="118" spans="1:7" ht="11.25" customHeight="1" x14ac:dyDescent="0.2">
      <c r="A118" s="24" t="s">
        <v>30</v>
      </c>
      <c r="B118" s="18">
        <v>0</v>
      </c>
      <c r="C118" s="18">
        <v>4645161.7898400007</v>
      </c>
      <c r="D118" s="18">
        <v>0</v>
      </c>
      <c r="E118" s="18">
        <v>5395785.4669404021</v>
      </c>
      <c r="F118" s="18">
        <v>4645161.7898400007</v>
      </c>
      <c r="G118" s="18">
        <v>5395785.4669404021</v>
      </c>
    </row>
    <row r="119" spans="1:7" ht="11.25" customHeight="1" x14ac:dyDescent="0.2">
      <c r="A119" s="25" t="s">
        <v>25</v>
      </c>
      <c r="B119" s="18">
        <v>0</v>
      </c>
      <c r="C119" s="18">
        <v>4645161.7898400007</v>
      </c>
      <c r="D119" s="18">
        <v>0</v>
      </c>
      <c r="E119" s="18">
        <v>5395785.4669404021</v>
      </c>
      <c r="F119" s="18">
        <v>4645161.7898400007</v>
      </c>
      <c r="G119" s="18">
        <v>5395785.4669404021</v>
      </c>
    </row>
    <row r="120" spans="1:7" ht="11.25" customHeight="1" x14ac:dyDescent="0.2">
      <c r="A120" s="26" t="s">
        <v>25</v>
      </c>
      <c r="B120" s="18">
        <v>0</v>
      </c>
      <c r="C120" s="18">
        <v>4645161.7898400007</v>
      </c>
      <c r="D120" s="18">
        <v>0</v>
      </c>
      <c r="E120" s="18">
        <v>5395785.4669404021</v>
      </c>
      <c r="F120" s="18">
        <v>4645161.7898400007</v>
      </c>
      <c r="G120" s="18">
        <v>5395785.4669404021</v>
      </c>
    </row>
    <row r="121" spans="1:7" ht="11.25" customHeight="1" x14ac:dyDescent="0.2">
      <c r="A121" s="27" t="s">
        <v>25</v>
      </c>
      <c r="B121" s="18">
        <v>0</v>
      </c>
      <c r="C121" s="18">
        <v>4645161.7898400007</v>
      </c>
      <c r="D121" s="18">
        <v>0</v>
      </c>
      <c r="E121" s="18">
        <v>5395785.4669404021</v>
      </c>
      <c r="F121" s="18">
        <v>4645161.7898400007</v>
      </c>
      <c r="G121" s="18">
        <v>5395785.4669404021</v>
      </c>
    </row>
    <row r="122" spans="1:7" ht="11.25" customHeight="1" x14ac:dyDescent="0.2">
      <c r="A122" s="28">
        <v>44501</v>
      </c>
      <c r="B122" s="18">
        <v>0</v>
      </c>
      <c r="C122" s="18">
        <v>372320.94744000002</v>
      </c>
      <c r="D122" s="18">
        <v>0</v>
      </c>
      <c r="E122" s="18">
        <v>432485.24984173494</v>
      </c>
      <c r="F122" s="18">
        <v>372320.94744000002</v>
      </c>
      <c r="G122" s="18">
        <v>432485.24984173494</v>
      </c>
    </row>
    <row r="123" spans="1:7" ht="11.25" customHeight="1" x14ac:dyDescent="0.2">
      <c r="A123" s="28">
        <v>44531</v>
      </c>
      <c r="B123" s="18">
        <v>0</v>
      </c>
      <c r="C123" s="18">
        <v>372522.23424000002</v>
      </c>
      <c r="D123" s="18">
        <v>0</v>
      </c>
      <c r="E123" s="18">
        <v>432719.06309502193</v>
      </c>
      <c r="F123" s="18">
        <v>372522.23424000002</v>
      </c>
      <c r="G123" s="18">
        <v>432719.06309502193</v>
      </c>
    </row>
    <row r="124" spans="1:7" ht="11.25" customHeight="1" x14ac:dyDescent="0.2">
      <c r="A124" s="28">
        <v>44562</v>
      </c>
      <c r="B124" s="18">
        <v>0</v>
      </c>
      <c r="C124" s="18">
        <v>373501.32767999999</v>
      </c>
      <c r="D124" s="18">
        <v>0</v>
      </c>
      <c r="E124" s="18">
        <v>433856.37076983397</v>
      </c>
      <c r="F124" s="18">
        <v>373501.32767999999</v>
      </c>
      <c r="G124" s="18">
        <v>433856.37076983397</v>
      </c>
    </row>
    <row r="125" spans="1:7" ht="11.25" customHeight="1" x14ac:dyDescent="0.2">
      <c r="A125" s="28">
        <v>44593</v>
      </c>
      <c r="B125" s="18">
        <v>0</v>
      </c>
      <c r="C125" s="18">
        <v>379024.76663999999</v>
      </c>
      <c r="D125" s="18">
        <v>0</v>
      </c>
      <c r="E125" s="18">
        <v>440272.35648061952</v>
      </c>
      <c r="F125" s="18">
        <v>379024.76663999999</v>
      </c>
      <c r="G125" s="18">
        <v>440272.35648061952</v>
      </c>
    </row>
    <row r="126" spans="1:7" ht="11.25" customHeight="1" x14ac:dyDescent="0.2">
      <c r="A126" s="28">
        <v>44621</v>
      </c>
      <c r="B126" s="18">
        <v>0</v>
      </c>
      <c r="C126" s="18">
        <v>389137.32936000003</v>
      </c>
      <c r="D126" s="18">
        <v>0</v>
      </c>
      <c r="E126" s="18">
        <v>452019.03429869801</v>
      </c>
      <c r="F126" s="18">
        <v>389137.32936000003</v>
      </c>
      <c r="G126" s="18">
        <v>452019.03429869801</v>
      </c>
    </row>
    <row r="127" spans="1:7" ht="11.25" customHeight="1" x14ac:dyDescent="0.2">
      <c r="A127" s="28">
        <v>44652</v>
      </c>
      <c r="B127" s="18">
        <v>0</v>
      </c>
      <c r="C127" s="18">
        <v>389137.32936000003</v>
      </c>
      <c r="D127" s="18">
        <v>0</v>
      </c>
      <c r="E127" s="18">
        <v>452019.03429869801</v>
      </c>
      <c r="F127" s="18">
        <v>389137.32936000003</v>
      </c>
      <c r="G127" s="18">
        <v>452019.03429869801</v>
      </c>
    </row>
    <row r="128" spans="1:7" ht="11.25" customHeight="1" x14ac:dyDescent="0.2">
      <c r="A128" s="28">
        <v>44682</v>
      </c>
      <c r="B128" s="18">
        <v>0</v>
      </c>
      <c r="C128" s="18">
        <v>387965.77559999999</v>
      </c>
      <c r="D128" s="18">
        <v>0</v>
      </c>
      <c r="E128" s="18">
        <v>450658.16614427249</v>
      </c>
      <c r="F128" s="18">
        <v>387965.77559999999</v>
      </c>
      <c r="G128" s="18">
        <v>450658.16614427249</v>
      </c>
    </row>
    <row r="129" spans="1:7" ht="11.25" customHeight="1" x14ac:dyDescent="0.2">
      <c r="A129" s="28">
        <v>44713</v>
      </c>
      <c r="B129" s="18">
        <v>0</v>
      </c>
      <c r="C129" s="18">
        <v>391922.83728000004</v>
      </c>
      <c r="D129" s="18">
        <v>0</v>
      </c>
      <c r="E129" s="18">
        <v>455254.65962947928</v>
      </c>
      <c r="F129" s="18">
        <v>391922.83728000004</v>
      </c>
      <c r="G129" s="18">
        <v>455254.65962947928</v>
      </c>
    </row>
    <row r="130" spans="1:7" ht="11.25" customHeight="1" x14ac:dyDescent="0.2">
      <c r="A130" s="28">
        <v>44743</v>
      </c>
      <c r="B130" s="18">
        <v>0</v>
      </c>
      <c r="C130" s="18">
        <v>390460.65552000003</v>
      </c>
      <c r="D130" s="18">
        <v>0</v>
      </c>
      <c r="E130" s="18">
        <v>453556.20014677843</v>
      </c>
      <c r="F130" s="18">
        <v>390460.65552000003</v>
      </c>
      <c r="G130" s="18">
        <v>453556.20014677843</v>
      </c>
    </row>
    <row r="131" spans="1:7" ht="11.25" customHeight="1" x14ac:dyDescent="0.2">
      <c r="A131" s="28">
        <v>44774</v>
      </c>
      <c r="B131" s="18">
        <v>0</v>
      </c>
      <c r="C131" s="18">
        <v>399404.67840000003</v>
      </c>
      <c r="D131" s="18">
        <v>0</v>
      </c>
      <c r="E131" s="18">
        <v>463945.51075753942</v>
      </c>
      <c r="F131" s="18">
        <v>399404.67840000003</v>
      </c>
      <c r="G131" s="18">
        <v>463945.51075753942</v>
      </c>
    </row>
    <row r="132" spans="1:7" ht="11.25" customHeight="1" x14ac:dyDescent="0.2">
      <c r="A132" s="28">
        <v>44805</v>
      </c>
      <c r="B132" s="18">
        <v>0</v>
      </c>
      <c r="C132" s="18">
        <v>399881.95415999996</v>
      </c>
      <c r="D132" s="18">
        <v>0</v>
      </c>
      <c r="E132" s="18">
        <v>464499.9107388627</v>
      </c>
      <c r="F132" s="18">
        <v>399881.95415999996</v>
      </c>
      <c r="G132" s="18">
        <v>464499.9107388627</v>
      </c>
    </row>
    <row r="133" spans="1:7" ht="11.25" customHeight="1" x14ac:dyDescent="0.2">
      <c r="A133" s="28">
        <v>44835</v>
      </c>
      <c r="B133" s="18">
        <v>0</v>
      </c>
      <c r="C133" s="18">
        <v>399881.95415999996</v>
      </c>
      <c r="D133" s="18">
        <v>0</v>
      </c>
      <c r="E133" s="18">
        <v>464499.9107388627</v>
      </c>
      <c r="F133" s="18">
        <v>399881.95415999996</v>
      </c>
      <c r="G133" s="18">
        <v>464499.9107388627</v>
      </c>
    </row>
    <row r="134" spans="1:7" ht="11.25" customHeight="1" x14ac:dyDescent="0.2">
      <c r="A134" s="24" t="s">
        <v>31</v>
      </c>
      <c r="B134" s="18">
        <v>0</v>
      </c>
      <c r="C134" s="18">
        <v>1374854.1276600012</v>
      </c>
      <c r="D134" s="18">
        <v>0</v>
      </c>
      <c r="E134" s="18">
        <v>1597020.3529652234</v>
      </c>
      <c r="F134" s="18">
        <v>1374854.1276600014</v>
      </c>
      <c r="G134" s="18">
        <v>1597020.3529652238</v>
      </c>
    </row>
    <row r="135" spans="1:7" ht="11.25" customHeight="1" x14ac:dyDescent="0.2">
      <c r="A135" s="25" t="s">
        <v>25</v>
      </c>
      <c r="B135" s="18">
        <v>0</v>
      </c>
      <c r="C135" s="18">
        <v>1374854.1276600012</v>
      </c>
      <c r="D135" s="18">
        <v>0</v>
      </c>
      <c r="E135" s="18">
        <v>1597020.3529652234</v>
      </c>
      <c r="F135" s="18">
        <v>1374854.1276600014</v>
      </c>
      <c r="G135" s="18">
        <v>1597020.3529652238</v>
      </c>
    </row>
    <row r="136" spans="1:7" ht="11.25" customHeight="1" x14ac:dyDescent="0.2">
      <c r="A136" s="26" t="s">
        <v>25</v>
      </c>
      <c r="B136" s="18">
        <v>0</v>
      </c>
      <c r="C136" s="18">
        <v>1374854.1276600012</v>
      </c>
      <c r="D136" s="18">
        <v>0</v>
      </c>
      <c r="E136" s="18">
        <v>1597020.3529652234</v>
      </c>
      <c r="F136" s="18">
        <v>1374854.1276600014</v>
      </c>
      <c r="G136" s="18">
        <v>1597020.3529652238</v>
      </c>
    </row>
    <row r="137" spans="1:7" ht="11.25" customHeight="1" x14ac:dyDescent="0.2">
      <c r="A137" s="27" t="s">
        <v>25</v>
      </c>
      <c r="B137" s="18">
        <v>0</v>
      </c>
      <c r="C137" s="18">
        <v>1374854.1276600012</v>
      </c>
      <c r="D137" s="18">
        <v>0</v>
      </c>
      <c r="E137" s="18">
        <v>1597020.3529652234</v>
      </c>
      <c r="F137" s="18">
        <v>1374854.1276600014</v>
      </c>
      <c r="G137" s="18">
        <v>1597020.3529652238</v>
      </c>
    </row>
    <row r="138" spans="1:7" ht="11.25" customHeight="1" x14ac:dyDescent="0.2">
      <c r="A138" s="28">
        <v>44501</v>
      </c>
      <c r="B138" s="18">
        <v>0</v>
      </c>
      <c r="C138" s="18">
        <v>115367.26032000012</v>
      </c>
      <c r="D138" s="18">
        <v>0</v>
      </c>
      <c r="E138" s="18">
        <v>134009.75353687888</v>
      </c>
      <c r="F138" s="18">
        <v>115367.26032000012</v>
      </c>
      <c r="G138" s="18">
        <v>134009.75353687888</v>
      </c>
    </row>
    <row r="139" spans="1:7" ht="11.25" customHeight="1" x14ac:dyDescent="0.2">
      <c r="A139" s="28">
        <v>44531</v>
      </c>
      <c r="B139" s="18">
        <v>0</v>
      </c>
      <c r="C139" s="18">
        <v>112750.1551800001</v>
      </c>
      <c r="D139" s="18">
        <v>0</v>
      </c>
      <c r="E139" s="18">
        <v>130969.74362575941</v>
      </c>
      <c r="F139" s="18">
        <v>112750.1551800001</v>
      </c>
      <c r="G139" s="18">
        <v>130969.74362575941</v>
      </c>
    </row>
    <row r="140" spans="1:7" ht="11.25" customHeight="1" x14ac:dyDescent="0.2">
      <c r="A140" s="28">
        <v>44562</v>
      </c>
      <c r="B140" s="18">
        <v>0</v>
      </c>
      <c r="C140" s="18">
        <v>108020.50740000009</v>
      </c>
      <c r="D140" s="18">
        <v>0</v>
      </c>
      <c r="E140" s="18">
        <v>125475.81985955406</v>
      </c>
      <c r="F140" s="18">
        <v>108020.50740000009</v>
      </c>
      <c r="G140" s="18">
        <v>125475.81985955406</v>
      </c>
    </row>
    <row r="141" spans="1:7" ht="11.25" customHeight="1" x14ac:dyDescent="0.2">
      <c r="A141" s="28">
        <v>44593</v>
      </c>
      <c r="B141" s="18">
        <v>0</v>
      </c>
      <c r="C141" s="18">
        <v>111761.4817800001</v>
      </c>
      <c r="D141" s="18">
        <v>0</v>
      </c>
      <c r="E141" s="18">
        <v>129821.3079404968</v>
      </c>
      <c r="F141" s="18">
        <v>111761.4817800001</v>
      </c>
      <c r="G141" s="18">
        <v>129821.3079404968</v>
      </c>
    </row>
    <row r="142" spans="1:7" ht="11.25" customHeight="1" x14ac:dyDescent="0.2">
      <c r="A142" s="28">
        <v>44621</v>
      </c>
      <c r="B142" s="18">
        <v>0</v>
      </c>
      <c r="C142" s="18">
        <v>115979.1937200001</v>
      </c>
      <c r="D142" s="18">
        <v>0</v>
      </c>
      <c r="E142" s="18">
        <v>134720.57083363639</v>
      </c>
      <c r="F142" s="18">
        <v>115979.1937200001</v>
      </c>
      <c r="G142" s="18">
        <v>134720.57083363639</v>
      </c>
    </row>
    <row r="143" spans="1:7" ht="11.25" customHeight="1" x14ac:dyDescent="0.2">
      <c r="A143" s="28">
        <v>44652</v>
      </c>
      <c r="B143" s="18">
        <v>0</v>
      </c>
      <c r="C143" s="18">
        <v>115979.1937200001</v>
      </c>
      <c r="D143" s="18">
        <v>0</v>
      </c>
      <c r="E143" s="18">
        <v>134720.57083363639</v>
      </c>
      <c r="F143" s="18">
        <v>115979.1937200001</v>
      </c>
      <c r="G143" s="18">
        <v>134720.57083363639</v>
      </c>
    </row>
    <row r="144" spans="1:7" ht="11.25" customHeight="1" x14ac:dyDescent="0.2">
      <c r="A144" s="28">
        <v>44682</v>
      </c>
      <c r="B144" s="18">
        <v>0</v>
      </c>
      <c r="C144" s="18">
        <v>111631.5064800001</v>
      </c>
      <c r="D144" s="18">
        <v>0</v>
      </c>
      <c r="E144" s="18">
        <v>129670.32959646256</v>
      </c>
      <c r="F144" s="18">
        <v>111631.5064800001</v>
      </c>
      <c r="G144" s="18">
        <v>129670.32959646256</v>
      </c>
    </row>
    <row r="145" spans="1:7" ht="11.25" customHeight="1" x14ac:dyDescent="0.2">
      <c r="A145" s="28">
        <v>44713</v>
      </c>
      <c r="B145" s="18">
        <v>0</v>
      </c>
      <c r="C145" s="18">
        <v>111606.96456000011</v>
      </c>
      <c r="D145" s="18">
        <v>0</v>
      </c>
      <c r="E145" s="18">
        <v>129641.8218842971</v>
      </c>
      <c r="F145" s="18">
        <v>111606.96456000011</v>
      </c>
      <c r="G145" s="18">
        <v>129641.8218842971</v>
      </c>
    </row>
    <row r="146" spans="1:7" ht="11.25" customHeight="1" x14ac:dyDescent="0.2">
      <c r="A146" s="28">
        <v>44743</v>
      </c>
      <c r="B146" s="18">
        <v>0</v>
      </c>
      <c r="C146" s="18">
        <v>109100.62098000009</v>
      </c>
      <c r="D146" s="18">
        <v>0</v>
      </c>
      <c r="E146" s="18">
        <v>126730.47177939813</v>
      </c>
      <c r="F146" s="18">
        <v>109100.62098000009</v>
      </c>
      <c r="G146" s="18">
        <v>126730.47177939813</v>
      </c>
    </row>
    <row r="147" spans="1:7" ht="11.25" customHeight="1" x14ac:dyDescent="0.2">
      <c r="A147" s="28">
        <v>44774</v>
      </c>
      <c r="B147" s="18">
        <v>0</v>
      </c>
      <c r="C147" s="18">
        <v>121585.40784000012</v>
      </c>
      <c r="D147" s="18">
        <v>0</v>
      </c>
      <c r="E147" s="18">
        <v>141232.70755606776</v>
      </c>
      <c r="F147" s="18">
        <v>121585.40784000012</v>
      </c>
      <c r="G147" s="18">
        <v>141232.70755606776</v>
      </c>
    </row>
    <row r="148" spans="1:7" ht="11.25" customHeight="1" x14ac:dyDescent="0.2">
      <c r="A148" s="28">
        <v>44805</v>
      </c>
      <c r="B148" s="18">
        <v>0</v>
      </c>
      <c r="C148" s="18">
        <v>120535.91784000011</v>
      </c>
      <c r="D148" s="18">
        <v>0</v>
      </c>
      <c r="E148" s="18">
        <v>140013.6277595179</v>
      </c>
      <c r="F148" s="18">
        <v>120535.91784000011</v>
      </c>
      <c r="G148" s="18">
        <v>140013.6277595179</v>
      </c>
    </row>
    <row r="149" spans="1:7" ht="11.25" customHeight="1" x14ac:dyDescent="0.2">
      <c r="A149" s="28">
        <v>44835</v>
      </c>
      <c r="B149" s="18">
        <v>0</v>
      </c>
      <c r="C149" s="18">
        <v>120535.91784000011</v>
      </c>
      <c r="D149" s="18">
        <v>0</v>
      </c>
      <c r="E149" s="18">
        <v>140013.6277595179</v>
      </c>
      <c r="F149" s="18">
        <v>120535.91784000011</v>
      </c>
      <c r="G149" s="18">
        <v>140013.6277595179</v>
      </c>
    </row>
    <row r="150" spans="1:7" ht="11.25" customHeight="1" x14ac:dyDescent="0.2">
      <c r="A150" s="24" t="s">
        <v>32</v>
      </c>
      <c r="B150" s="18">
        <v>0</v>
      </c>
      <c r="C150" s="18">
        <v>1.5970308595569808E-9</v>
      </c>
      <c r="D150" s="18">
        <v>0</v>
      </c>
      <c r="E150" s="18">
        <v>0</v>
      </c>
      <c r="F150" s="18">
        <v>1.5970308595569808E-9</v>
      </c>
      <c r="G150" s="18">
        <v>0</v>
      </c>
    </row>
    <row r="151" spans="1:7" ht="11.25" customHeight="1" x14ac:dyDescent="0.2">
      <c r="A151" s="25" t="s">
        <v>25</v>
      </c>
      <c r="B151" s="18">
        <v>0</v>
      </c>
      <c r="C151" s="18">
        <v>1.5970308595569808E-9</v>
      </c>
      <c r="D151" s="18">
        <v>0</v>
      </c>
      <c r="E151" s="18">
        <v>0</v>
      </c>
      <c r="F151" s="18">
        <v>1.5970308595569808E-9</v>
      </c>
      <c r="G151" s="18">
        <v>0</v>
      </c>
    </row>
    <row r="152" spans="1:7" ht="11.25" customHeight="1" x14ac:dyDescent="0.2">
      <c r="A152" s="26" t="s">
        <v>25</v>
      </c>
      <c r="B152" s="18">
        <v>0</v>
      </c>
      <c r="C152" s="18">
        <v>1.5970308595569808E-9</v>
      </c>
      <c r="D152" s="18">
        <v>0</v>
      </c>
      <c r="E152" s="18">
        <v>0</v>
      </c>
      <c r="F152" s="18">
        <v>1.5970308595569808E-9</v>
      </c>
      <c r="G152" s="18">
        <v>0</v>
      </c>
    </row>
    <row r="153" spans="1:7" ht="11.25" customHeight="1" x14ac:dyDescent="0.2">
      <c r="A153" s="27" t="s">
        <v>25</v>
      </c>
      <c r="B153" s="18">
        <v>0</v>
      </c>
      <c r="C153" s="18">
        <v>1.5970308595569808E-9</v>
      </c>
      <c r="D153" s="18">
        <v>0</v>
      </c>
      <c r="E153" s="18">
        <v>0</v>
      </c>
      <c r="F153" s="18">
        <v>1.5970308595569808E-9</v>
      </c>
      <c r="G153" s="18">
        <v>0</v>
      </c>
    </row>
    <row r="154" spans="1:7" ht="11.25" customHeight="1" x14ac:dyDescent="0.2">
      <c r="A154" s="28">
        <v>44501</v>
      </c>
      <c r="B154" s="18">
        <v>0</v>
      </c>
      <c r="C154" s="18">
        <v>1.5419016108353389E-10</v>
      </c>
      <c r="D154" s="18">
        <v>0</v>
      </c>
      <c r="E154" s="18">
        <v>0</v>
      </c>
      <c r="F154" s="18">
        <v>1.5419016108353389E-10</v>
      </c>
      <c r="G154" s="18">
        <v>0</v>
      </c>
    </row>
    <row r="155" spans="1:7" ht="11.25" customHeight="1" x14ac:dyDescent="0.2">
      <c r="A155" s="28">
        <v>44531</v>
      </c>
      <c r="B155" s="18">
        <v>0</v>
      </c>
      <c r="C155" s="18">
        <v>1.4017314242664726E-10</v>
      </c>
      <c r="D155" s="18">
        <v>0</v>
      </c>
      <c r="E155" s="18">
        <v>0</v>
      </c>
      <c r="F155" s="18">
        <v>1.4017314242664726E-10</v>
      </c>
      <c r="G155" s="18">
        <v>0</v>
      </c>
    </row>
    <row r="156" spans="1:7" ht="11.25" customHeight="1" x14ac:dyDescent="0.2">
      <c r="A156" s="28">
        <v>44562</v>
      </c>
      <c r="B156" s="18">
        <v>0</v>
      </c>
      <c r="C156" s="18">
        <v>1.1970951163675635E-10</v>
      </c>
      <c r="D156" s="18">
        <v>0</v>
      </c>
      <c r="E156" s="18">
        <v>0</v>
      </c>
      <c r="F156" s="18">
        <v>1.1970951163675635E-10</v>
      </c>
      <c r="G156" s="18">
        <v>0</v>
      </c>
    </row>
    <row r="157" spans="1:7" ht="11.25" customHeight="1" x14ac:dyDescent="0.2">
      <c r="A157" s="28">
        <v>44593</v>
      </c>
      <c r="B157" s="18">
        <v>0</v>
      </c>
      <c r="C157" s="18">
        <v>1.381451397719502E-10</v>
      </c>
      <c r="D157" s="18">
        <v>0</v>
      </c>
      <c r="E157" s="18">
        <v>0</v>
      </c>
      <c r="F157" s="18">
        <v>1.381451397719502E-10</v>
      </c>
      <c r="G157" s="18">
        <v>0</v>
      </c>
    </row>
    <row r="158" spans="1:7" ht="11.25" customHeight="1" x14ac:dyDescent="0.2">
      <c r="A158" s="28">
        <v>44621</v>
      </c>
      <c r="B158" s="18">
        <v>0</v>
      </c>
      <c r="C158" s="18">
        <v>1.3643960983245053E-10</v>
      </c>
      <c r="D158" s="18">
        <v>0</v>
      </c>
      <c r="E158" s="18">
        <v>0</v>
      </c>
      <c r="F158" s="18">
        <v>1.3643960983245053E-10</v>
      </c>
      <c r="G158" s="18">
        <v>0</v>
      </c>
    </row>
    <row r="159" spans="1:7" ht="11.25" customHeight="1" x14ac:dyDescent="0.2">
      <c r="A159" s="28">
        <v>44652</v>
      </c>
      <c r="B159" s="18">
        <v>0</v>
      </c>
      <c r="C159" s="18">
        <v>1.3643960983245053E-10</v>
      </c>
      <c r="D159" s="18">
        <v>0</v>
      </c>
      <c r="E159" s="18">
        <v>0</v>
      </c>
      <c r="F159" s="18">
        <v>1.3643960983245053E-10</v>
      </c>
      <c r="G159" s="18">
        <v>0</v>
      </c>
    </row>
    <row r="160" spans="1:7" ht="11.25" customHeight="1" x14ac:dyDescent="0.2">
      <c r="A160" s="28">
        <v>44682</v>
      </c>
      <c r="B160" s="18">
        <v>0</v>
      </c>
      <c r="C160" s="18">
        <v>1.1446098824308137E-10</v>
      </c>
      <c r="D160" s="18">
        <v>0</v>
      </c>
      <c r="E160" s="18">
        <v>0</v>
      </c>
      <c r="F160" s="18">
        <v>1.1446098824308137E-10</v>
      </c>
      <c r="G160" s="18">
        <v>0</v>
      </c>
    </row>
    <row r="161" spans="1:7" ht="11.25" customHeight="1" x14ac:dyDescent="0.2">
      <c r="A161" s="28">
        <v>44713</v>
      </c>
      <c r="B161" s="18">
        <v>0</v>
      </c>
      <c r="C161" s="18">
        <v>1.0685488405215437E-10</v>
      </c>
      <c r="D161" s="18">
        <v>0</v>
      </c>
      <c r="E161" s="18">
        <v>0</v>
      </c>
      <c r="F161" s="18">
        <v>1.0685488405215437E-10</v>
      </c>
      <c r="G161" s="18">
        <v>0</v>
      </c>
    </row>
    <row r="162" spans="1:7" ht="11.25" customHeight="1" x14ac:dyDescent="0.2">
      <c r="A162" s="28">
        <v>44743</v>
      </c>
      <c r="B162" s="18">
        <v>0</v>
      </c>
      <c r="C162" s="18">
        <v>1.6033914107538296E-10</v>
      </c>
      <c r="D162" s="18">
        <v>0</v>
      </c>
      <c r="E162" s="18">
        <v>0</v>
      </c>
      <c r="F162" s="18">
        <v>1.6033914107538296E-10</v>
      </c>
      <c r="G162" s="18">
        <v>0</v>
      </c>
    </row>
    <row r="163" spans="1:7" ht="11.25" customHeight="1" x14ac:dyDescent="0.2">
      <c r="A163" s="28">
        <v>44774</v>
      </c>
      <c r="B163" s="18">
        <v>0</v>
      </c>
      <c r="C163" s="18">
        <v>9.1092772436240905E-11</v>
      </c>
      <c r="D163" s="18">
        <v>0</v>
      </c>
      <c r="E163" s="18">
        <v>0</v>
      </c>
      <c r="F163" s="18">
        <v>9.1092772436240905E-11</v>
      </c>
      <c r="G163" s="18">
        <v>0</v>
      </c>
    </row>
    <row r="164" spans="1:7" ht="11.25" customHeight="1" x14ac:dyDescent="0.2">
      <c r="A164" s="28">
        <v>44805</v>
      </c>
      <c r="B164" s="18">
        <v>0</v>
      </c>
      <c r="C164" s="18">
        <v>1.4959294958316604E-10</v>
      </c>
      <c r="D164" s="18">
        <v>0</v>
      </c>
      <c r="E164" s="18">
        <v>0</v>
      </c>
      <c r="F164" s="18">
        <v>1.4959294958316604E-10</v>
      </c>
      <c r="G164" s="18">
        <v>0</v>
      </c>
    </row>
    <row r="165" spans="1:7" ht="11.25" customHeight="1" x14ac:dyDescent="0.2">
      <c r="A165" s="28">
        <v>44835</v>
      </c>
      <c r="B165" s="18">
        <v>0</v>
      </c>
      <c r="C165" s="18">
        <v>1.4959294958316604E-10</v>
      </c>
      <c r="D165" s="18">
        <v>0</v>
      </c>
      <c r="E165" s="18">
        <v>0</v>
      </c>
      <c r="F165" s="18">
        <v>1.4959294958316604E-10</v>
      </c>
      <c r="G165" s="18">
        <v>0</v>
      </c>
    </row>
    <row r="166" spans="1:7" ht="11.25" customHeight="1" x14ac:dyDescent="0.2">
      <c r="A166" s="20" t="s">
        <v>753</v>
      </c>
      <c r="B166" s="18">
        <v>0</v>
      </c>
      <c r="C166" s="18">
        <v>682924.78835069994</v>
      </c>
      <c r="D166" s="18">
        <v>0</v>
      </c>
      <c r="E166" s="18">
        <v>771228.51897768036</v>
      </c>
      <c r="F166" s="18">
        <v>682924.7883506997</v>
      </c>
      <c r="G166" s="18">
        <v>771228.51897768036</v>
      </c>
    </row>
    <row r="167" spans="1:7" ht="11.25" customHeight="1" x14ac:dyDescent="0.2">
      <c r="A167" s="21" t="s">
        <v>39</v>
      </c>
      <c r="B167" s="18">
        <v>0</v>
      </c>
      <c r="C167" s="18">
        <v>451023.75225599995</v>
      </c>
      <c r="D167" s="18">
        <v>0</v>
      </c>
      <c r="E167" s="18">
        <v>507970.3235006844</v>
      </c>
      <c r="F167" s="18">
        <v>451023.75225599995</v>
      </c>
      <c r="G167" s="18">
        <v>507970.32350068446</v>
      </c>
    </row>
    <row r="168" spans="1:7" ht="11.25" customHeight="1" x14ac:dyDescent="0.2">
      <c r="A168" s="22" t="s">
        <v>41</v>
      </c>
      <c r="B168" s="18">
        <v>0</v>
      </c>
      <c r="C168" s="18">
        <v>451023.75225599995</v>
      </c>
      <c r="D168" s="18">
        <v>0</v>
      </c>
      <c r="E168" s="18">
        <v>507970.3235006844</v>
      </c>
      <c r="F168" s="18">
        <v>451023.75225599995</v>
      </c>
      <c r="G168" s="18">
        <v>507970.32350068446</v>
      </c>
    </row>
    <row r="169" spans="1:7" ht="11.25" customHeight="1" x14ac:dyDescent="0.2">
      <c r="A169" s="23" t="s">
        <v>44</v>
      </c>
      <c r="B169" s="18">
        <v>0</v>
      </c>
      <c r="C169" s="18">
        <v>451023.75225599995</v>
      </c>
      <c r="D169" s="18">
        <v>0</v>
      </c>
      <c r="E169" s="18">
        <v>507970.3235006844</v>
      </c>
      <c r="F169" s="18">
        <v>451023.75225599995</v>
      </c>
      <c r="G169" s="18">
        <v>507970.32350068446</v>
      </c>
    </row>
    <row r="170" spans="1:7" ht="11.25" customHeight="1" x14ac:dyDescent="0.2">
      <c r="A170" s="24" t="s">
        <v>52</v>
      </c>
      <c r="B170" s="18">
        <v>0</v>
      </c>
      <c r="C170" s="18">
        <v>451023.75225599995</v>
      </c>
      <c r="D170" s="18">
        <v>0</v>
      </c>
      <c r="E170" s="18">
        <v>507970.3235006844</v>
      </c>
      <c r="F170" s="18">
        <v>451023.75225599995</v>
      </c>
      <c r="G170" s="18">
        <v>507970.32350068446</v>
      </c>
    </row>
    <row r="171" spans="1:7" ht="11.25" customHeight="1" x14ac:dyDescent="0.2">
      <c r="A171" s="25" t="s">
        <v>54</v>
      </c>
      <c r="B171" s="18">
        <v>0</v>
      </c>
      <c r="C171" s="18">
        <v>451023.75225599995</v>
      </c>
      <c r="D171" s="18">
        <v>0</v>
      </c>
      <c r="E171" s="18">
        <v>507970.3235006844</v>
      </c>
      <c r="F171" s="18">
        <v>451023.75225599995</v>
      </c>
      <c r="G171" s="18">
        <v>507970.32350068446</v>
      </c>
    </row>
    <row r="172" spans="1:7" ht="11.25" customHeight="1" x14ac:dyDescent="0.2">
      <c r="A172" s="26" t="s">
        <v>25</v>
      </c>
      <c r="B172" s="18">
        <v>0</v>
      </c>
      <c r="C172" s="18">
        <v>451023.75225599995</v>
      </c>
      <c r="D172" s="18">
        <v>0</v>
      </c>
      <c r="E172" s="18">
        <v>507970.3235006844</v>
      </c>
      <c r="F172" s="18">
        <v>451023.75225599995</v>
      </c>
      <c r="G172" s="18">
        <v>507970.32350068446</v>
      </c>
    </row>
    <row r="173" spans="1:7" ht="11.25" customHeight="1" x14ac:dyDescent="0.2">
      <c r="A173" s="27" t="s">
        <v>35</v>
      </c>
      <c r="B173" s="18">
        <v>0</v>
      </c>
      <c r="C173" s="18">
        <v>451023.75225599995</v>
      </c>
      <c r="D173" s="18">
        <v>0</v>
      </c>
      <c r="E173" s="18">
        <v>507970.3235006844</v>
      </c>
      <c r="F173" s="18">
        <v>451023.75225599995</v>
      </c>
      <c r="G173" s="18">
        <v>507970.32350068446</v>
      </c>
    </row>
    <row r="174" spans="1:7" ht="11.25" customHeight="1" x14ac:dyDescent="0.2">
      <c r="A174" s="28">
        <v>44501</v>
      </c>
      <c r="B174" s="18">
        <v>0</v>
      </c>
      <c r="C174" s="18">
        <v>61125.259511999997</v>
      </c>
      <c r="D174" s="18">
        <v>0</v>
      </c>
      <c r="E174" s="18">
        <v>68842.977100572112</v>
      </c>
      <c r="F174" s="18">
        <v>61125.259511999997</v>
      </c>
      <c r="G174" s="18">
        <v>68842.977100572112</v>
      </c>
    </row>
    <row r="175" spans="1:7" ht="11.25" customHeight="1" x14ac:dyDescent="0.2">
      <c r="A175" s="28">
        <v>44531</v>
      </c>
      <c r="B175" s="18">
        <v>0</v>
      </c>
      <c r="C175" s="18">
        <v>87381.574791999999</v>
      </c>
      <c r="D175" s="18">
        <v>0</v>
      </c>
      <c r="E175" s="18">
        <v>98414.432927464513</v>
      </c>
      <c r="F175" s="18">
        <v>87381.574791999999</v>
      </c>
      <c r="G175" s="18">
        <v>98414.432927464513</v>
      </c>
    </row>
    <row r="176" spans="1:7" ht="11.25" customHeight="1" x14ac:dyDescent="0.2">
      <c r="A176" s="28">
        <v>44562</v>
      </c>
      <c r="B176" s="18">
        <v>0</v>
      </c>
      <c r="C176" s="18">
        <v>102490.36652000001</v>
      </c>
      <c r="D176" s="18">
        <v>0</v>
      </c>
      <c r="E176" s="18">
        <v>115430.87116023505</v>
      </c>
      <c r="F176" s="18">
        <v>102490.36652000001</v>
      </c>
      <c r="G176" s="18">
        <v>115430.87116023505</v>
      </c>
    </row>
    <row r="177" spans="1:7" ht="11.25" customHeight="1" x14ac:dyDescent="0.2">
      <c r="A177" s="28">
        <v>44593</v>
      </c>
      <c r="B177" s="18">
        <v>0</v>
      </c>
      <c r="C177" s="18">
        <v>80770.077727999989</v>
      </c>
      <c r="D177" s="18">
        <v>0</v>
      </c>
      <c r="E177" s="18">
        <v>90968.163666421984</v>
      </c>
      <c r="F177" s="18">
        <v>80770.077727999989</v>
      </c>
      <c r="G177" s="18">
        <v>90968.163666421984</v>
      </c>
    </row>
    <row r="178" spans="1:7" ht="11.25" customHeight="1" x14ac:dyDescent="0.2">
      <c r="A178" s="28">
        <v>44621</v>
      </c>
      <c r="B178" s="18">
        <v>0</v>
      </c>
      <c r="C178" s="18">
        <v>19864.008023999999</v>
      </c>
      <c r="D178" s="18">
        <v>0</v>
      </c>
      <c r="E178" s="18">
        <v>22372.051430773037</v>
      </c>
      <c r="F178" s="18">
        <v>19864.008023999999</v>
      </c>
      <c r="G178" s="18">
        <v>22372.051430773037</v>
      </c>
    </row>
    <row r="179" spans="1:7" ht="11.25" customHeight="1" x14ac:dyDescent="0.2">
      <c r="A179" s="28">
        <v>44652</v>
      </c>
      <c r="B179" s="18">
        <v>0</v>
      </c>
      <c r="C179" s="18">
        <v>19864.008023999999</v>
      </c>
      <c r="D179" s="18">
        <v>0</v>
      </c>
      <c r="E179" s="18">
        <v>22372.051430773037</v>
      </c>
      <c r="F179" s="18">
        <v>19864.008023999999</v>
      </c>
      <c r="G179" s="18">
        <v>22372.051430773037</v>
      </c>
    </row>
    <row r="180" spans="1:7" ht="11.25" customHeight="1" x14ac:dyDescent="0.2">
      <c r="A180" s="28">
        <v>44682</v>
      </c>
      <c r="B180" s="18">
        <v>0</v>
      </c>
      <c r="C180" s="18">
        <v>9076.9724480000004</v>
      </c>
      <c r="D180" s="18">
        <v>0</v>
      </c>
      <c r="E180" s="18">
        <v>10223.037274099615</v>
      </c>
      <c r="F180" s="18">
        <v>9076.9724480000004</v>
      </c>
      <c r="G180" s="18">
        <v>10223.037274099615</v>
      </c>
    </row>
    <row r="181" spans="1:7" ht="11.25" customHeight="1" x14ac:dyDescent="0.2">
      <c r="A181" s="28">
        <v>44713</v>
      </c>
      <c r="B181" s="18">
        <v>0</v>
      </c>
      <c r="C181" s="18">
        <v>1989.3798159999999</v>
      </c>
      <c r="D181" s="18">
        <v>0</v>
      </c>
      <c r="E181" s="18">
        <v>2240.5602889970824</v>
      </c>
      <c r="F181" s="18">
        <v>1989.3798159999999</v>
      </c>
      <c r="G181" s="18">
        <v>2240.5602889970824</v>
      </c>
    </row>
    <row r="182" spans="1:7" ht="11.25" customHeight="1" x14ac:dyDescent="0.2">
      <c r="A182" s="28">
        <v>44743</v>
      </c>
      <c r="B182" s="18">
        <v>0</v>
      </c>
      <c r="C182" s="18">
        <v>1834.689752</v>
      </c>
      <c r="D182" s="18">
        <v>0</v>
      </c>
      <c r="E182" s="18">
        <v>2066.3389504104152</v>
      </c>
      <c r="F182" s="18">
        <v>1834.689752</v>
      </c>
      <c r="G182" s="18">
        <v>2066.3389504104152</v>
      </c>
    </row>
    <row r="183" spans="1:7" ht="11.25" customHeight="1" x14ac:dyDescent="0.2">
      <c r="A183" s="28">
        <v>44774</v>
      </c>
      <c r="B183" s="18">
        <v>0</v>
      </c>
      <c r="C183" s="18">
        <v>11370.266312000002</v>
      </c>
      <c r="D183" s="18">
        <v>0</v>
      </c>
      <c r="E183" s="18">
        <v>12805.884009224568</v>
      </c>
      <c r="F183" s="18">
        <v>11370.266312000002</v>
      </c>
      <c r="G183" s="18">
        <v>12805.884009224568</v>
      </c>
    </row>
    <row r="184" spans="1:7" ht="11.25" customHeight="1" x14ac:dyDescent="0.2">
      <c r="A184" s="28">
        <v>44805</v>
      </c>
      <c r="B184" s="18">
        <v>0</v>
      </c>
      <c r="C184" s="18">
        <v>27628.574664</v>
      </c>
      <c r="D184" s="18">
        <v>0</v>
      </c>
      <c r="E184" s="18">
        <v>31116.97763085644</v>
      </c>
      <c r="F184" s="18">
        <v>27628.574664</v>
      </c>
      <c r="G184" s="18">
        <v>31116.97763085644</v>
      </c>
    </row>
    <row r="185" spans="1:7" ht="11.25" customHeight="1" x14ac:dyDescent="0.2">
      <c r="A185" s="28">
        <v>44835</v>
      </c>
      <c r="B185" s="18">
        <v>0</v>
      </c>
      <c r="C185" s="18">
        <v>27628.574664</v>
      </c>
      <c r="D185" s="18">
        <v>0</v>
      </c>
      <c r="E185" s="18">
        <v>31116.97763085644</v>
      </c>
      <c r="F185" s="18">
        <v>27628.574664</v>
      </c>
      <c r="G185" s="18">
        <v>31116.97763085644</v>
      </c>
    </row>
    <row r="186" spans="1:7" ht="11.25" customHeight="1" x14ac:dyDescent="0.2">
      <c r="A186" s="21" t="s">
        <v>43</v>
      </c>
      <c r="B186" s="18">
        <v>0</v>
      </c>
      <c r="C186" s="18">
        <v>231901.03609470002</v>
      </c>
      <c r="D186" s="18">
        <v>0</v>
      </c>
      <c r="E186" s="18">
        <v>263258.19547699596</v>
      </c>
      <c r="F186" s="18">
        <v>231901.03609470002</v>
      </c>
      <c r="G186" s="18">
        <v>263258.19547699601</v>
      </c>
    </row>
    <row r="187" spans="1:7" ht="11.25" customHeight="1" x14ac:dyDescent="0.2">
      <c r="A187" s="22" t="s">
        <v>23</v>
      </c>
      <c r="B187" s="18">
        <v>0</v>
      </c>
      <c r="C187" s="18">
        <v>231901.03609470002</v>
      </c>
      <c r="D187" s="18">
        <v>0</v>
      </c>
      <c r="E187" s="18">
        <v>263258.19547699596</v>
      </c>
      <c r="F187" s="18">
        <v>231901.03609470002</v>
      </c>
      <c r="G187" s="18">
        <v>263258.19547699601</v>
      </c>
    </row>
    <row r="188" spans="1:7" ht="11.25" customHeight="1" x14ac:dyDescent="0.2">
      <c r="A188" s="23" t="s">
        <v>44</v>
      </c>
      <c r="B188" s="18">
        <v>0</v>
      </c>
      <c r="C188" s="18">
        <v>231901.03609470002</v>
      </c>
      <c r="D188" s="18">
        <v>0</v>
      </c>
      <c r="E188" s="18">
        <v>263258.19547699596</v>
      </c>
      <c r="F188" s="18">
        <v>231901.03609470002</v>
      </c>
      <c r="G188" s="18">
        <v>263258.19547699601</v>
      </c>
    </row>
    <row r="189" spans="1:7" ht="11.25" customHeight="1" x14ac:dyDescent="0.2">
      <c r="A189" s="24" t="s">
        <v>52</v>
      </c>
      <c r="B189" s="18">
        <v>0</v>
      </c>
      <c r="C189" s="18">
        <v>231901.03609470002</v>
      </c>
      <c r="D189" s="18">
        <v>0</v>
      </c>
      <c r="E189" s="18">
        <v>263258.19547699596</v>
      </c>
      <c r="F189" s="18">
        <v>231901.03609470002</v>
      </c>
      <c r="G189" s="18">
        <v>263258.19547699601</v>
      </c>
    </row>
    <row r="190" spans="1:7" ht="11.25" customHeight="1" x14ac:dyDescent="0.2">
      <c r="A190" s="25" t="s">
        <v>54</v>
      </c>
      <c r="B190" s="18">
        <v>0</v>
      </c>
      <c r="C190" s="18">
        <v>231901.03609470002</v>
      </c>
      <c r="D190" s="18">
        <v>0</v>
      </c>
      <c r="E190" s="18">
        <v>263258.19547699596</v>
      </c>
      <c r="F190" s="18">
        <v>231901.03609470002</v>
      </c>
      <c r="G190" s="18">
        <v>263258.19547699601</v>
      </c>
    </row>
    <row r="191" spans="1:7" ht="11.25" customHeight="1" x14ac:dyDescent="0.2">
      <c r="A191" s="26" t="s">
        <v>25</v>
      </c>
      <c r="B191" s="18">
        <v>0</v>
      </c>
      <c r="C191" s="18">
        <v>231901.03609470002</v>
      </c>
      <c r="D191" s="18">
        <v>0</v>
      </c>
      <c r="E191" s="18">
        <v>263258.19547699596</v>
      </c>
      <c r="F191" s="18">
        <v>231901.03609470002</v>
      </c>
      <c r="G191" s="18">
        <v>263258.19547699601</v>
      </c>
    </row>
    <row r="192" spans="1:7" ht="11.25" customHeight="1" x14ac:dyDescent="0.2">
      <c r="A192" s="27" t="s">
        <v>25</v>
      </c>
      <c r="B192" s="18">
        <v>0</v>
      </c>
      <c r="C192" s="18">
        <v>231901.03609470002</v>
      </c>
      <c r="D192" s="18">
        <v>0</v>
      </c>
      <c r="E192" s="18">
        <v>263258.19547699596</v>
      </c>
      <c r="F192" s="18">
        <v>231901.03609470002</v>
      </c>
      <c r="G192" s="18">
        <v>263258.19547699601</v>
      </c>
    </row>
    <row r="193" spans="1:7" ht="11.25" customHeight="1" x14ac:dyDescent="0.2">
      <c r="A193" s="28">
        <v>44501</v>
      </c>
      <c r="B193" s="18">
        <v>0</v>
      </c>
      <c r="C193" s="18">
        <v>21365.559274499996</v>
      </c>
      <c r="D193" s="18">
        <v>0</v>
      </c>
      <c r="E193" s="18">
        <v>24254.564251557542</v>
      </c>
      <c r="F193" s="18">
        <v>21365.559274499996</v>
      </c>
      <c r="G193" s="18">
        <v>24254.564251557542</v>
      </c>
    </row>
    <row r="194" spans="1:7" ht="11.25" customHeight="1" x14ac:dyDescent="0.2">
      <c r="A194" s="28">
        <v>44531</v>
      </c>
      <c r="B194" s="18">
        <v>0</v>
      </c>
      <c r="C194" s="18">
        <v>23373.427051799998</v>
      </c>
      <c r="D194" s="18">
        <v>0</v>
      </c>
      <c r="E194" s="18">
        <v>26533.931591652348</v>
      </c>
      <c r="F194" s="18">
        <v>23373.427051799998</v>
      </c>
      <c r="G194" s="18">
        <v>26533.931591652348</v>
      </c>
    </row>
    <row r="195" spans="1:7" ht="11.25" customHeight="1" x14ac:dyDescent="0.2">
      <c r="A195" s="28">
        <v>44562</v>
      </c>
      <c r="B195" s="18">
        <v>0</v>
      </c>
      <c r="C195" s="18">
        <v>47452.456012499999</v>
      </c>
      <c r="D195" s="18">
        <v>0</v>
      </c>
      <c r="E195" s="18">
        <v>53868.875064882843</v>
      </c>
      <c r="F195" s="18">
        <v>47452.456012499999</v>
      </c>
      <c r="G195" s="18">
        <v>53868.875064882843</v>
      </c>
    </row>
    <row r="196" spans="1:7" ht="11.25" customHeight="1" x14ac:dyDescent="0.2">
      <c r="A196" s="28">
        <v>44593</v>
      </c>
      <c r="B196" s="18">
        <v>0</v>
      </c>
      <c r="C196" s="18">
        <v>42000.984811799994</v>
      </c>
      <c r="D196" s="18">
        <v>0</v>
      </c>
      <c r="E196" s="18">
        <v>47680.267652171518</v>
      </c>
      <c r="F196" s="18">
        <v>42000.984811799994</v>
      </c>
      <c r="G196" s="18">
        <v>47680.267652171518</v>
      </c>
    </row>
    <row r="197" spans="1:7" ht="11.25" customHeight="1" x14ac:dyDescent="0.2">
      <c r="A197" s="28">
        <v>44621</v>
      </c>
      <c r="B197" s="18">
        <v>0</v>
      </c>
      <c r="C197" s="18">
        <v>20084.083091099998</v>
      </c>
      <c r="D197" s="18">
        <v>0</v>
      </c>
      <c r="E197" s="18">
        <v>22799.809614537007</v>
      </c>
      <c r="F197" s="18">
        <v>20084.083091099998</v>
      </c>
      <c r="G197" s="18">
        <v>22799.809614537007</v>
      </c>
    </row>
    <row r="198" spans="1:7" ht="11.25" customHeight="1" x14ac:dyDescent="0.2">
      <c r="A198" s="28">
        <v>44652</v>
      </c>
      <c r="B198" s="18">
        <v>0</v>
      </c>
      <c r="C198" s="18">
        <v>20084.083091099998</v>
      </c>
      <c r="D198" s="18">
        <v>0</v>
      </c>
      <c r="E198" s="18">
        <v>22799.809614537007</v>
      </c>
      <c r="F198" s="18">
        <v>20084.083091099998</v>
      </c>
      <c r="G198" s="18">
        <v>22799.809614537007</v>
      </c>
    </row>
    <row r="199" spans="1:7" ht="11.25" customHeight="1" x14ac:dyDescent="0.2">
      <c r="A199" s="28">
        <v>44682</v>
      </c>
      <c r="B199" s="18">
        <v>0</v>
      </c>
      <c r="C199" s="18">
        <v>19756.021861799996</v>
      </c>
      <c r="D199" s="18">
        <v>0</v>
      </c>
      <c r="E199" s="18">
        <v>22427.388651328307</v>
      </c>
      <c r="F199" s="18">
        <v>19756.021861799996</v>
      </c>
      <c r="G199" s="18">
        <v>22427.388651328307</v>
      </c>
    </row>
    <row r="200" spans="1:7" ht="11.25" customHeight="1" x14ac:dyDescent="0.2">
      <c r="A200" s="28">
        <v>44713</v>
      </c>
      <c r="B200" s="18">
        <v>0</v>
      </c>
      <c r="C200" s="18">
        <v>178.79129099999955</v>
      </c>
      <c r="D200" s="18">
        <v>0</v>
      </c>
      <c r="E200" s="18">
        <v>202.96706486658968</v>
      </c>
      <c r="F200" s="18">
        <v>178.79129099999955</v>
      </c>
      <c r="G200" s="18">
        <v>202.96706486658968</v>
      </c>
    </row>
    <row r="201" spans="1:7" ht="11.25" customHeight="1" x14ac:dyDescent="0.2">
      <c r="A201" s="28">
        <v>44743</v>
      </c>
      <c r="B201" s="18">
        <v>0</v>
      </c>
      <c r="C201" s="18">
        <v>4628.1996746999994</v>
      </c>
      <c r="D201" s="18">
        <v>0</v>
      </c>
      <c r="E201" s="18">
        <v>5254.0148814651557</v>
      </c>
      <c r="F201" s="18">
        <v>4628.1996746999994</v>
      </c>
      <c r="G201" s="18">
        <v>5254.0148814651557</v>
      </c>
    </row>
    <row r="202" spans="1:7" ht="11.25" customHeight="1" x14ac:dyDescent="0.2">
      <c r="A202" s="28">
        <v>44774</v>
      </c>
      <c r="B202" s="18">
        <v>0</v>
      </c>
      <c r="C202" s="18">
        <v>7080.9667109999991</v>
      </c>
      <c r="D202" s="18">
        <v>0</v>
      </c>
      <c r="E202" s="18">
        <v>8038.439801576822</v>
      </c>
      <c r="F202" s="18">
        <v>7080.9667109999991</v>
      </c>
      <c r="G202" s="18">
        <v>8038.439801576822</v>
      </c>
    </row>
    <row r="203" spans="1:7" ht="11.25" customHeight="1" x14ac:dyDescent="0.2">
      <c r="A203" s="28">
        <v>44805</v>
      </c>
      <c r="B203" s="18">
        <v>0</v>
      </c>
      <c r="C203" s="18">
        <v>12948.231611699997</v>
      </c>
      <c r="D203" s="18">
        <v>0</v>
      </c>
      <c r="E203" s="18">
        <v>14699.063644210441</v>
      </c>
      <c r="F203" s="18">
        <v>12948.231611699997</v>
      </c>
      <c r="G203" s="18">
        <v>14699.063644210441</v>
      </c>
    </row>
    <row r="204" spans="1:7" ht="11.25" customHeight="1" x14ac:dyDescent="0.2">
      <c r="A204" s="28">
        <v>44835</v>
      </c>
      <c r="B204" s="18">
        <v>0</v>
      </c>
      <c r="C204" s="18">
        <v>12948.231611699997</v>
      </c>
      <c r="D204" s="18">
        <v>0</v>
      </c>
      <c r="E204" s="18">
        <v>14699.063644210441</v>
      </c>
      <c r="F204" s="18">
        <v>12948.231611699997</v>
      </c>
      <c r="G204" s="18">
        <v>14699.063644210441</v>
      </c>
    </row>
    <row r="205" spans="1:7" ht="11.25" customHeight="1" x14ac:dyDescent="0.2">
      <c r="A205" s="20" t="s">
        <v>752</v>
      </c>
      <c r="B205" s="18">
        <v>25669.77600000002</v>
      </c>
      <c r="C205" s="18">
        <v>3883252.4029359557</v>
      </c>
      <c r="D205" s="18">
        <v>33357.517595777957</v>
      </c>
      <c r="E205" s="18">
        <v>2349995.6581825591</v>
      </c>
      <c r="F205" s="18">
        <v>3908922.1789359548</v>
      </c>
      <c r="G205" s="18">
        <v>2383353.1757783359</v>
      </c>
    </row>
    <row r="206" spans="1:7" ht="11.25" customHeight="1" x14ac:dyDescent="0.2">
      <c r="A206" s="21" t="s">
        <v>39</v>
      </c>
      <c r="B206" s="18">
        <v>25669.77600000002</v>
      </c>
      <c r="C206" s="18">
        <v>106197.44140000011</v>
      </c>
      <c r="D206" s="18">
        <v>33357.517595777957</v>
      </c>
      <c r="E206" s="18">
        <v>122219.52292526771</v>
      </c>
      <c r="F206" s="18">
        <v>131867.21740000017</v>
      </c>
      <c r="G206" s="18">
        <v>155577.04052104568</v>
      </c>
    </row>
    <row r="207" spans="1:7" ht="11.25" customHeight="1" x14ac:dyDescent="0.2">
      <c r="A207" s="22" t="s">
        <v>41</v>
      </c>
      <c r="B207" s="18">
        <v>25669.77600000002</v>
      </c>
      <c r="C207" s="18">
        <v>106197.44140000011</v>
      </c>
      <c r="D207" s="18">
        <v>33357.517595777957</v>
      </c>
      <c r="E207" s="18">
        <v>122219.52292526771</v>
      </c>
      <c r="F207" s="18">
        <v>131867.21740000017</v>
      </c>
      <c r="G207" s="18">
        <v>155577.04052104568</v>
      </c>
    </row>
    <row r="208" spans="1:7" ht="11.25" customHeight="1" x14ac:dyDescent="0.2">
      <c r="A208" s="23" t="s">
        <v>44</v>
      </c>
      <c r="B208" s="18">
        <v>25669.77600000002</v>
      </c>
      <c r="C208" s="18">
        <v>106197.44140000011</v>
      </c>
      <c r="D208" s="18">
        <v>33357.517595777957</v>
      </c>
      <c r="E208" s="18">
        <v>122219.52292526771</v>
      </c>
      <c r="F208" s="18">
        <v>131867.21740000017</v>
      </c>
      <c r="G208" s="18">
        <v>155577.04052104568</v>
      </c>
    </row>
    <row r="209" spans="1:7" ht="11.25" customHeight="1" x14ac:dyDescent="0.2">
      <c r="A209" s="24" t="s">
        <v>52</v>
      </c>
      <c r="B209" s="18">
        <v>12118.406400000009</v>
      </c>
      <c r="C209" s="18">
        <v>40305.188185600033</v>
      </c>
      <c r="D209" s="18">
        <v>15747.700904004312</v>
      </c>
      <c r="E209" s="18">
        <v>46285.155032108611</v>
      </c>
      <c r="F209" s="18">
        <v>52423.594585600047</v>
      </c>
      <c r="G209" s="18">
        <v>62032.855936112916</v>
      </c>
    </row>
    <row r="210" spans="1:7" ht="11.25" customHeight="1" x14ac:dyDescent="0.2">
      <c r="A210" s="25" t="s">
        <v>25</v>
      </c>
      <c r="B210" s="18">
        <v>12118.406400000009</v>
      </c>
      <c r="C210" s="18">
        <v>40305.188185600033</v>
      </c>
      <c r="D210" s="18">
        <v>15747.700904004312</v>
      </c>
      <c r="E210" s="18">
        <v>46285.155032108611</v>
      </c>
      <c r="F210" s="18">
        <v>52423.594585600047</v>
      </c>
      <c r="G210" s="18">
        <v>62032.855936112916</v>
      </c>
    </row>
    <row r="211" spans="1:7" ht="11.25" customHeight="1" x14ac:dyDescent="0.2">
      <c r="A211" s="26" t="s">
        <v>25</v>
      </c>
      <c r="B211" s="18">
        <v>12118.406400000009</v>
      </c>
      <c r="C211" s="18">
        <v>40305.188185600033</v>
      </c>
      <c r="D211" s="18">
        <v>15747.700904004312</v>
      </c>
      <c r="E211" s="18">
        <v>46285.155032108611</v>
      </c>
      <c r="F211" s="18">
        <v>52423.594585600047</v>
      </c>
      <c r="G211" s="18">
        <v>62032.855936112916</v>
      </c>
    </row>
    <row r="212" spans="1:7" ht="11.25" customHeight="1" x14ac:dyDescent="0.2">
      <c r="A212" s="27" t="s">
        <v>35</v>
      </c>
      <c r="B212" s="18">
        <v>0</v>
      </c>
      <c r="C212" s="18">
        <v>33537.461804800041</v>
      </c>
      <c r="D212" s="18">
        <v>0</v>
      </c>
      <c r="E212" s="18">
        <v>37771.92495331489</v>
      </c>
      <c r="F212" s="18">
        <v>33537.461804800041</v>
      </c>
      <c r="G212" s="18">
        <v>37771.92495331489</v>
      </c>
    </row>
    <row r="213" spans="1:7" ht="11.25" customHeight="1" x14ac:dyDescent="0.2">
      <c r="A213" s="28">
        <v>44501</v>
      </c>
      <c r="B213" s="18">
        <v>0</v>
      </c>
      <c r="C213" s="18">
        <v>5111.7960248000036</v>
      </c>
      <c r="D213" s="18">
        <v>0</v>
      </c>
      <c r="E213" s="18">
        <v>5757.2149302534353</v>
      </c>
      <c r="F213" s="18">
        <v>5111.7960248000036</v>
      </c>
      <c r="G213" s="18">
        <v>5757.2149302534353</v>
      </c>
    </row>
    <row r="214" spans="1:7" ht="11.25" customHeight="1" x14ac:dyDescent="0.2">
      <c r="A214" s="28">
        <v>44531</v>
      </c>
      <c r="B214" s="18">
        <v>0</v>
      </c>
      <c r="C214" s="18">
        <v>7136.9923300000064</v>
      </c>
      <c r="D214" s="18">
        <v>0</v>
      </c>
      <c r="E214" s="18">
        <v>8038.1139231759335</v>
      </c>
      <c r="F214" s="18">
        <v>7136.9923300000064</v>
      </c>
      <c r="G214" s="18">
        <v>8038.1139231759335</v>
      </c>
    </row>
    <row r="215" spans="1:7" ht="11.25" customHeight="1" x14ac:dyDescent="0.2">
      <c r="A215" s="28">
        <v>44562</v>
      </c>
      <c r="B215" s="18">
        <v>0</v>
      </c>
      <c r="C215" s="18">
        <v>7287.0772216000105</v>
      </c>
      <c r="D215" s="18">
        <v>0</v>
      </c>
      <c r="E215" s="18">
        <v>8207.1486371067986</v>
      </c>
      <c r="F215" s="18">
        <v>7287.0772216000105</v>
      </c>
      <c r="G215" s="18">
        <v>8207.1486371067986</v>
      </c>
    </row>
    <row r="216" spans="1:7" ht="11.25" customHeight="1" x14ac:dyDescent="0.2">
      <c r="A216" s="28">
        <v>44593</v>
      </c>
      <c r="B216" s="18">
        <v>0</v>
      </c>
      <c r="C216" s="18">
        <v>6341.650359600002</v>
      </c>
      <c r="D216" s="18">
        <v>0</v>
      </c>
      <c r="E216" s="18">
        <v>7142.3515249055044</v>
      </c>
      <c r="F216" s="18">
        <v>6341.650359600002</v>
      </c>
      <c r="G216" s="18">
        <v>7142.3515249055044</v>
      </c>
    </row>
    <row r="217" spans="1:7" ht="11.25" customHeight="1" x14ac:dyDescent="0.2">
      <c r="A217" s="28">
        <v>44621</v>
      </c>
      <c r="B217" s="18">
        <v>0</v>
      </c>
      <c r="C217" s="18">
        <v>2689.3113600000001</v>
      </c>
      <c r="D217" s="18">
        <v>0</v>
      </c>
      <c r="E217" s="18">
        <v>3028.8656743689089</v>
      </c>
      <c r="F217" s="18">
        <v>2689.3113600000001</v>
      </c>
      <c r="G217" s="18">
        <v>3028.8656743689089</v>
      </c>
    </row>
    <row r="218" spans="1:7" ht="11.25" customHeight="1" x14ac:dyDescent="0.2">
      <c r="A218" s="28">
        <v>44652</v>
      </c>
      <c r="B218" s="18">
        <v>0</v>
      </c>
      <c r="C218" s="18">
        <v>2689.3113600000001</v>
      </c>
      <c r="D218" s="18">
        <v>0</v>
      </c>
      <c r="E218" s="18">
        <v>3028.8656743689089</v>
      </c>
      <c r="F218" s="18">
        <v>2689.3113600000001</v>
      </c>
      <c r="G218" s="18">
        <v>3028.8656743689089</v>
      </c>
    </row>
    <row r="219" spans="1:7" ht="11.25" customHeight="1" x14ac:dyDescent="0.2">
      <c r="A219" s="28">
        <v>44682</v>
      </c>
      <c r="B219" s="18">
        <v>0</v>
      </c>
      <c r="C219" s="18">
        <v>-3361.1335875999962</v>
      </c>
      <c r="D219" s="18">
        <v>0</v>
      </c>
      <c r="E219" s="18">
        <v>-3785.5126415894265</v>
      </c>
      <c r="F219" s="18">
        <v>-3361.1335875999962</v>
      </c>
      <c r="G219" s="18">
        <v>-3785.5126415894265</v>
      </c>
    </row>
    <row r="220" spans="1:7" ht="11.25" customHeight="1" x14ac:dyDescent="0.2">
      <c r="A220" s="28">
        <v>44713</v>
      </c>
      <c r="B220" s="18">
        <v>0</v>
      </c>
      <c r="C220" s="18">
        <v>205.03266080000026</v>
      </c>
      <c r="D220" s="18">
        <v>0</v>
      </c>
      <c r="E220" s="18">
        <v>230.92022651540228</v>
      </c>
      <c r="F220" s="18">
        <v>205.03266080000026</v>
      </c>
      <c r="G220" s="18">
        <v>230.92022651540228</v>
      </c>
    </row>
    <row r="221" spans="1:7" ht="11.25" customHeight="1" x14ac:dyDescent="0.2">
      <c r="A221" s="28">
        <v>44743</v>
      </c>
      <c r="B221" s="18">
        <v>0</v>
      </c>
      <c r="C221" s="18">
        <v>225.48946520000013</v>
      </c>
      <c r="D221" s="18">
        <v>0</v>
      </c>
      <c r="E221" s="18">
        <v>253.9599212030559</v>
      </c>
      <c r="F221" s="18">
        <v>225.48946520000013</v>
      </c>
      <c r="G221" s="18">
        <v>253.9599212030559</v>
      </c>
    </row>
    <row r="222" spans="1:7" ht="11.25" customHeight="1" x14ac:dyDescent="0.2">
      <c r="A222" s="28">
        <v>44774</v>
      </c>
      <c r="B222" s="18">
        <v>0</v>
      </c>
      <c r="C222" s="18">
        <v>1194.2564888000015</v>
      </c>
      <c r="D222" s="18">
        <v>0</v>
      </c>
      <c r="E222" s="18">
        <v>1345.0441399684796</v>
      </c>
      <c r="F222" s="18">
        <v>1194.2564888000015</v>
      </c>
      <c r="G222" s="18">
        <v>1345.0441399684796</v>
      </c>
    </row>
    <row r="223" spans="1:7" ht="11.25" customHeight="1" x14ac:dyDescent="0.2">
      <c r="A223" s="28">
        <v>44805</v>
      </c>
      <c r="B223" s="18">
        <v>0</v>
      </c>
      <c r="C223" s="18">
        <v>2008.8390608000061</v>
      </c>
      <c r="D223" s="18">
        <v>0</v>
      </c>
      <c r="E223" s="18">
        <v>2262.4764715189458</v>
      </c>
      <c r="F223" s="18">
        <v>2008.8390608000061</v>
      </c>
      <c r="G223" s="18">
        <v>2262.4764715189458</v>
      </c>
    </row>
    <row r="224" spans="1:7" ht="11.25" customHeight="1" x14ac:dyDescent="0.2">
      <c r="A224" s="28">
        <v>44835</v>
      </c>
      <c r="B224" s="18">
        <v>0</v>
      </c>
      <c r="C224" s="18">
        <v>2008.8390608000061</v>
      </c>
      <c r="D224" s="18">
        <v>0</v>
      </c>
      <c r="E224" s="18">
        <v>2262.4764715189458</v>
      </c>
      <c r="F224" s="18">
        <v>2008.8390608000061</v>
      </c>
      <c r="G224" s="18">
        <v>2262.4764715189458</v>
      </c>
    </row>
    <row r="225" spans="1:7" ht="11.25" customHeight="1" x14ac:dyDescent="0.2">
      <c r="A225" s="27" t="s">
        <v>25</v>
      </c>
      <c r="B225" s="18">
        <v>12118.406400000009</v>
      </c>
      <c r="C225" s="18">
        <v>0</v>
      </c>
      <c r="D225" s="18">
        <v>15747.700904004312</v>
      </c>
      <c r="E225" s="18">
        <v>0</v>
      </c>
      <c r="F225" s="18">
        <v>12118.406400000009</v>
      </c>
      <c r="G225" s="18">
        <v>15747.700904004309</v>
      </c>
    </row>
    <row r="226" spans="1:7" ht="11.25" customHeight="1" x14ac:dyDescent="0.2">
      <c r="A226" s="28">
        <v>44501</v>
      </c>
      <c r="B226" s="18">
        <v>1171.7855999999995</v>
      </c>
      <c r="C226" s="18">
        <v>0</v>
      </c>
      <c r="D226" s="18">
        <v>1522.7191219151728</v>
      </c>
      <c r="E226" s="18">
        <v>0</v>
      </c>
      <c r="F226" s="18">
        <v>1171.7855999999995</v>
      </c>
      <c r="G226" s="18">
        <v>1522.7191219151728</v>
      </c>
    </row>
    <row r="227" spans="1:7" ht="11.25" customHeight="1" x14ac:dyDescent="0.2">
      <c r="A227" s="28">
        <v>44531</v>
      </c>
      <c r="B227" s="18">
        <v>1218.6336000000001</v>
      </c>
      <c r="C227" s="18">
        <v>0</v>
      </c>
      <c r="D227" s="18">
        <v>1583.5974476289236</v>
      </c>
      <c r="E227" s="18">
        <v>0</v>
      </c>
      <c r="F227" s="18">
        <v>1218.6336000000001</v>
      </c>
      <c r="G227" s="18">
        <v>1583.5974476289236</v>
      </c>
    </row>
    <row r="228" spans="1:7" ht="11.25" customHeight="1" x14ac:dyDescent="0.2">
      <c r="A228" s="28">
        <v>44562</v>
      </c>
      <c r="B228" s="18">
        <v>1729.8624000000045</v>
      </c>
      <c r="C228" s="18">
        <v>0</v>
      </c>
      <c r="D228" s="18">
        <v>2247.9321769802268</v>
      </c>
      <c r="E228" s="18">
        <v>0</v>
      </c>
      <c r="F228" s="18">
        <v>1729.8624000000045</v>
      </c>
      <c r="G228" s="18">
        <v>2247.9321769802268</v>
      </c>
    </row>
    <row r="229" spans="1:7" ht="11.25" customHeight="1" x14ac:dyDescent="0.2">
      <c r="A229" s="28">
        <v>44593</v>
      </c>
      <c r="B229" s="18">
        <v>1201.065600000002</v>
      </c>
      <c r="C229" s="18">
        <v>0</v>
      </c>
      <c r="D229" s="18">
        <v>1560.7680754862699</v>
      </c>
      <c r="E229" s="18">
        <v>0</v>
      </c>
      <c r="F229" s="18">
        <v>1201.065600000002</v>
      </c>
      <c r="G229" s="18">
        <v>1560.7680754862699</v>
      </c>
    </row>
    <row r="230" spans="1:7" ht="11.25" customHeight="1" x14ac:dyDescent="0.2">
      <c r="A230" s="28">
        <v>44621</v>
      </c>
      <c r="B230" s="18">
        <v>1633.2383999999984</v>
      </c>
      <c r="C230" s="18">
        <v>0</v>
      </c>
      <c r="D230" s="18">
        <v>2122.3706301956095</v>
      </c>
      <c r="E230" s="18">
        <v>0</v>
      </c>
      <c r="F230" s="18">
        <v>1633.2383999999984</v>
      </c>
      <c r="G230" s="18">
        <v>2122.3706301956095</v>
      </c>
    </row>
    <row r="231" spans="1:7" ht="11.25" customHeight="1" x14ac:dyDescent="0.2">
      <c r="A231" s="28">
        <v>44652</v>
      </c>
      <c r="B231" s="18">
        <v>1633.2383999999984</v>
      </c>
      <c r="C231" s="18">
        <v>0</v>
      </c>
      <c r="D231" s="18">
        <v>2122.3706301956095</v>
      </c>
      <c r="E231" s="18">
        <v>0</v>
      </c>
      <c r="F231" s="18">
        <v>1633.2383999999984</v>
      </c>
      <c r="G231" s="18">
        <v>2122.3706301956095</v>
      </c>
    </row>
    <row r="232" spans="1:7" ht="11.25" customHeight="1" x14ac:dyDescent="0.2">
      <c r="A232" s="28">
        <v>44682</v>
      </c>
      <c r="B232" s="18">
        <v>281.0880000000007</v>
      </c>
      <c r="C232" s="18">
        <v>0</v>
      </c>
      <c r="D232" s="18">
        <v>365.26995428250126</v>
      </c>
      <c r="E232" s="18">
        <v>0</v>
      </c>
      <c r="F232" s="18">
        <v>281.0880000000007</v>
      </c>
      <c r="G232" s="18">
        <v>365.26995428250126</v>
      </c>
    </row>
    <row r="233" spans="1:7" ht="11.25" customHeight="1" x14ac:dyDescent="0.2">
      <c r="A233" s="28">
        <v>44713</v>
      </c>
      <c r="B233" s="18">
        <v>381.22560000000112</v>
      </c>
      <c r="C233" s="18">
        <v>0</v>
      </c>
      <c r="D233" s="18">
        <v>495.39737549564262</v>
      </c>
      <c r="E233" s="18">
        <v>0</v>
      </c>
      <c r="F233" s="18">
        <v>381.22560000000112</v>
      </c>
      <c r="G233" s="18">
        <v>495.39737549564262</v>
      </c>
    </row>
    <row r="234" spans="1:7" ht="11.25" customHeight="1" x14ac:dyDescent="0.2">
      <c r="A234" s="28">
        <v>44743</v>
      </c>
      <c r="B234" s="18">
        <v>271.71840000000003</v>
      </c>
      <c r="C234" s="18">
        <v>0</v>
      </c>
      <c r="D234" s="18">
        <v>353.0942891397504</v>
      </c>
      <c r="E234" s="18">
        <v>0</v>
      </c>
      <c r="F234" s="18">
        <v>271.71840000000003</v>
      </c>
      <c r="G234" s="18">
        <v>353.0942891397504</v>
      </c>
    </row>
    <row r="235" spans="1:7" ht="11.25" customHeight="1" x14ac:dyDescent="0.2">
      <c r="A235" s="28">
        <v>44774</v>
      </c>
      <c r="B235" s="18">
        <v>815.15520000000095</v>
      </c>
      <c r="C235" s="18">
        <v>0</v>
      </c>
      <c r="D235" s="18">
        <v>1059.2828674192524</v>
      </c>
      <c r="E235" s="18">
        <v>0</v>
      </c>
      <c r="F235" s="18">
        <v>815.15520000000095</v>
      </c>
      <c r="G235" s="18">
        <v>1059.2828674192524</v>
      </c>
    </row>
    <row r="236" spans="1:7" ht="11.25" customHeight="1" x14ac:dyDescent="0.2">
      <c r="A236" s="28">
        <v>44805</v>
      </c>
      <c r="B236" s="18">
        <v>890.69760000000213</v>
      </c>
      <c r="C236" s="18">
        <v>0</v>
      </c>
      <c r="D236" s="18">
        <v>1157.4491676326759</v>
      </c>
      <c r="E236" s="18">
        <v>0</v>
      </c>
      <c r="F236" s="18">
        <v>890.69760000000213</v>
      </c>
      <c r="G236" s="18">
        <v>1157.4491676326759</v>
      </c>
    </row>
    <row r="237" spans="1:7" ht="11.25" customHeight="1" x14ac:dyDescent="0.2">
      <c r="A237" s="28">
        <v>44835</v>
      </c>
      <c r="B237" s="18">
        <v>890.69760000000213</v>
      </c>
      <c r="C237" s="18">
        <v>0</v>
      </c>
      <c r="D237" s="18">
        <v>1157.4491676326759</v>
      </c>
      <c r="E237" s="18">
        <v>0</v>
      </c>
      <c r="F237" s="18">
        <v>890.69760000000213</v>
      </c>
      <c r="G237" s="18">
        <v>1157.4491676326759</v>
      </c>
    </row>
    <row r="238" spans="1:7" ht="11.25" customHeight="1" x14ac:dyDescent="0.2">
      <c r="A238" s="27" t="s">
        <v>34</v>
      </c>
      <c r="B238" s="18">
        <v>0</v>
      </c>
      <c r="C238" s="18">
        <v>6767.7263808000052</v>
      </c>
      <c r="D238" s="18">
        <v>0</v>
      </c>
      <c r="E238" s="18">
        <v>8513.2300787937165</v>
      </c>
      <c r="F238" s="18">
        <v>6767.7263808000052</v>
      </c>
      <c r="G238" s="18">
        <v>8513.2300787937147</v>
      </c>
    </row>
    <row r="239" spans="1:7" ht="11.25" customHeight="1" x14ac:dyDescent="0.2">
      <c r="A239" s="28">
        <v>44501</v>
      </c>
      <c r="B239" s="18">
        <v>0</v>
      </c>
      <c r="C239" s="18">
        <v>701.88961919999929</v>
      </c>
      <c r="D239" s="18">
        <v>0</v>
      </c>
      <c r="E239" s="18">
        <v>882.91805577697744</v>
      </c>
      <c r="F239" s="18">
        <v>701.88961919999929</v>
      </c>
      <c r="G239" s="18">
        <v>882.91805577697744</v>
      </c>
    </row>
    <row r="240" spans="1:7" ht="11.25" customHeight="1" x14ac:dyDescent="0.2">
      <c r="A240" s="28">
        <v>44531</v>
      </c>
      <c r="B240" s="18">
        <v>0</v>
      </c>
      <c r="C240" s="18">
        <v>1292.0210688000006</v>
      </c>
      <c r="D240" s="18">
        <v>0</v>
      </c>
      <c r="E240" s="18">
        <v>1625.2537420171464</v>
      </c>
      <c r="F240" s="18">
        <v>1292.0210688000006</v>
      </c>
      <c r="G240" s="18">
        <v>1625.2537420171464</v>
      </c>
    </row>
    <row r="241" spans="1:7" ht="11.25" customHeight="1" x14ac:dyDescent="0.2">
      <c r="A241" s="28">
        <v>44562</v>
      </c>
      <c r="B241" s="18">
        <v>0</v>
      </c>
      <c r="C241" s="18">
        <v>1388.4585792000028</v>
      </c>
      <c r="D241" s="18">
        <v>0</v>
      </c>
      <c r="E241" s="18">
        <v>1746.5640119758193</v>
      </c>
      <c r="F241" s="18">
        <v>1388.4585792000028</v>
      </c>
      <c r="G241" s="18">
        <v>1746.5640119758193</v>
      </c>
    </row>
    <row r="242" spans="1:7" ht="11.25" customHeight="1" x14ac:dyDescent="0.2">
      <c r="A242" s="28">
        <v>44593</v>
      </c>
      <c r="B242" s="18">
        <v>0</v>
      </c>
      <c r="C242" s="18">
        <v>1492.3339199999991</v>
      </c>
      <c r="D242" s="18">
        <v>0</v>
      </c>
      <c r="E242" s="18">
        <v>1877.2304464599727</v>
      </c>
      <c r="F242" s="18">
        <v>1492.3339199999991</v>
      </c>
      <c r="G242" s="18">
        <v>1877.2304464599727</v>
      </c>
    </row>
    <row r="243" spans="1:7" ht="11.25" customHeight="1" x14ac:dyDescent="0.2">
      <c r="A243" s="28">
        <v>44621</v>
      </c>
      <c r="B243" s="18">
        <v>0</v>
      </c>
      <c r="C243" s="18">
        <v>1336.902336000001</v>
      </c>
      <c r="D243" s="18">
        <v>0</v>
      </c>
      <c r="E243" s="18">
        <v>1681.7105980427377</v>
      </c>
      <c r="F243" s="18">
        <v>1336.902336000001</v>
      </c>
      <c r="G243" s="18">
        <v>1681.7105980427377</v>
      </c>
    </row>
    <row r="244" spans="1:7" ht="11.25" customHeight="1" x14ac:dyDescent="0.2">
      <c r="A244" s="28">
        <v>44652</v>
      </c>
      <c r="B244" s="18">
        <v>0</v>
      </c>
      <c r="C244" s="18">
        <v>1336.902336000001</v>
      </c>
      <c r="D244" s="18">
        <v>0</v>
      </c>
      <c r="E244" s="18">
        <v>1681.7105980427377</v>
      </c>
      <c r="F244" s="18">
        <v>1336.902336000001</v>
      </c>
      <c r="G244" s="18">
        <v>1681.7105980427377</v>
      </c>
    </row>
    <row r="245" spans="1:7" ht="11.25" customHeight="1" x14ac:dyDescent="0.2">
      <c r="A245" s="28">
        <v>44682</v>
      </c>
      <c r="B245" s="18">
        <v>0</v>
      </c>
      <c r="C245" s="18">
        <v>-1792.70784</v>
      </c>
      <c r="D245" s="18">
        <v>0</v>
      </c>
      <c r="E245" s="18">
        <v>-2255.0755522969648</v>
      </c>
      <c r="F245" s="18">
        <v>-1792.70784</v>
      </c>
      <c r="G245" s="18">
        <v>-2255.0755522969648</v>
      </c>
    </row>
    <row r="246" spans="1:7" ht="11.25" customHeight="1" x14ac:dyDescent="0.2">
      <c r="A246" s="28">
        <v>44713</v>
      </c>
      <c r="B246" s="18">
        <v>0</v>
      </c>
      <c r="C246" s="18">
        <v>109.46960640000009</v>
      </c>
      <c r="D246" s="18">
        <v>0</v>
      </c>
      <c r="E246" s="18">
        <v>137.70354968281475</v>
      </c>
      <c r="F246" s="18">
        <v>109.46960640000009</v>
      </c>
      <c r="G246" s="18">
        <v>137.70354968281475</v>
      </c>
    </row>
    <row r="247" spans="1:7" ht="11.25" customHeight="1" x14ac:dyDescent="0.2">
      <c r="A247" s="28">
        <v>44743</v>
      </c>
      <c r="B247" s="18">
        <v>0</v>
      </c>
      <c r="C247" s="18">
        <v>121.03956480000001</v>
      </c>
      <c r="D247" s="18">
        <v>0</v>
      </c>
      <c r="E247" s="18">
        <v>152.2575833891284</v>
      </c>
      <c r="F247" s="18">
        <v>121.03956480000001</v>
      </c>
      <c r="G247" s="18">
        <v>152.2575833891284</v>
      </c>
    </row>
    <row r="248" spans="1:7" ht="11.25" customHeight="1" x14ac:dyDescent="0.2">
      <c r="A248" s="28">
        <v>44774</v>
      </c>
      <c r="B248" s="18">
        <v>0</v>
      </c>
      <c r="C248" s="18">
        <v>313.78744320000044</v>
      </c>
      <c r="D248" s="18">
        <v>0</v>
      </c>
      <c r="E248" s="18">
        <v>394.71818887013598</v>
      </c>
      <c r="F248" s="18">
        <v>313.78744320000044</v>
      </c>
      <c r="G248" s="18">
        <v>394.71818887013598</v>
      </c>
    </row>
    <row r="249" spans="1:7" ht="11.25" customHeight="1" x14ac:dyDescent="0.2">
      <c r="A249" s="28">
        <v>44805</v>
      </c>
      <c r="B249" s="18">
        <v>0</v>
      </c>
      <c r="C249" s="18">
        <v>233.8148736000002</v>
      </c>
      <c r="D249" s="18">
        <v>0</v>
      </c>
      <c r="E249" s="18">
        <v>294.11942841660436</v>
      </c>
      <c r="F249" s="18">
        <v>233.8148736000002</v>
      </c>
      <c r="G249" s="18">
        <v>294.11942841660436</v>
      </c>
    </row>
    <row r="250" spans="1:7" ht="11.25" customHeight="1" x14ac:dyDescent="0.2">
      <c r="A250" s="28">
        <v>44835</v>
      </c>
      <c r="B250" s="18">
        <v>0</v>
      </c>
      <c r="C250" s="18">
        <v>233.8148736000002</v>
      </c>
      <c r="D250" s="18">
        <v>0</v>
      </c>
      <c r="E250" s="18">
        <v>294.11942841660436</v>
      </c>
      <c r="F250" s="18">
        <v>233.8148736000002</v>
      </c>
      <c r="G250" s="18">
        <v>294.11942841660436</v>
      </c>
    </row>
    <row r="251" spans="1:7" ht="11.25" customHeight="1" x14ac:dyDescent="0.2">
      <c r="A251" s="24" t="s">
        <v>25</v>
      </c>
      <c r="B251" s="18">
        <v>13551.369600000016</v>
      </c>
      <c r="C251" s="18">
        <v>65892.253214400102</v>
      </c>
      <c r="D251" s="18">
        <v>17609.816691773653</v>
      </c>
      <c r="E251" s="18">
        <v>75934.367893159084</v>
      </c>
      <c r="F251" s="18">
        <v>79443.622814400107</v>
      </c>
      <c r="G251" s="18">
        <v>93544.184584932736</v>
      </c>
    </row>
    <row r="252" spans="1:7" ht="11.25" customHeight="1" x14ac:dyDescent="0.2">
      <c r="A252" s="25" t="s">
        <v>25</v>
      </c>
      <c r="B252" s="18">
        <v>13551.369600000016</v>
      </c>
      <c r="C252" s="18">
        <v>65892.253214400102</v>
      </c>
      <c r="D252" s="18">
        <v>17609.816691773653</v>
      </c>
      <c r="E252" s="18">
        <v>75934.367893159084</v>
      </c>
      <c r="F252" s="18">
        <v>79443.622814400107</v>
      </c>
      <c r="G252" s="18">
        <v>93544.184584932736</v>
      </c>
    </row>
    <row r="253" spans="1:7" ht="11.25" customHeight="1" x14ac:dyDescent="0.2">
      <c r="A253" s="26" t="s">
        <v>25</v>
      </c>
      <c r="B253" s="18">
        <v>13551.369600000016</v>
      </c>
      <c r="C253" s="18">
        <v>65892.253214400102</v>
      </c>
      <c r="D253" s="18">
        <v>17609.816691773653</v>
      </c>
      <c r="E253" s="18">
        <v>75934.367893159084</v>
      </c>
      <c r="F253" s="18">
        <v>79443.622814400107</v>
      </c>
      <c r="G253" s="18">
        <v>93544.184584932736</v>
      </c>
    </row>
    <row r="254" spans="1:7" ht="11.25" customHeight="1" x14ac:dyDescent="0.2">
      <c r="A254" s="27" t="s">
        <v>35</v>
      </c>
      <c r="B254" s="18">
        <v>0</v>
      </c>
      <c r="C254" s="18">
        <v>52808.728113600075</v>
      </c>
      <c r="D254" s="18">
        <v>0</v>
      </c>
      <c r="E254" s="18">
        <v>59476.394689517707</v>
      </c>
      <c r="F254" s="18">
        <v>52808.72811360006</v>
      </c>
      <c r="G254" s="18">
        <v>59476.394689517707</v>
      </c>
    </row>
    <row r="255" spans="1:7" ht="11.25" customHeight="1" x14ac:dyDescent="0.2">
      <c r="A255" s="28">
        <v>44501</v>
      </c>
      <c r="B255" s="18">
        <v>0</v>
      </c>
      <c r="C255" s="18">
        <v>4948.8111844000032</v>
      </c>
      <c r="D255" s="18">
        <v>0</v>
      </c>
      <c r="E255" s="18">
        <v>5573.6515110552746</v>
      </c>
      <c r="F255" s="18">
        <v>4948.8111844000032</v>
      </c>
      <c r="G255" s="18">
        <v>5573.6515110552746</v>
      </c>
    </row>
    <row r="256" spans="1:7" ht="11.25" customHeight="1" x14ac:dyDescent="0.2">
      <c r="A256" s="28">
        <v>44531</v>
      </c>
      <c r="B256" s="18">
        <v>0</v>
      </c>
      <c r="C256" s="18">
        <v>6788.5160648000083</v>
      </c>
      <c r="D256" s="18">
        <v>0</v>
      </c>
      <c r="E256" s="18">
        <v>7645.6388034499105</v>
      </c>
      <c r="F256" s="18">
        <v>6788.5160648000083</v>
      </c>
      <c r="G256" s="18">
        <v>7645.6388034499105</v>
      </c>
    </row>
    <row r="257" spans="1:7" ht="11.25" customHeight="1" x14ac:dyDescent="0.2">
      <c r="A257" s="28">
        <v>44562</v>
      </c>
      <c r="B257" s="18">
        <v>0</v>
      </c>
      <c r="C257" s="18">
        <v>11451.533256400024</v>
      </c>
      <c r="D257" s="18">
        <v>0</v>
      </c>
      <c r="E257" s="18">
        <v>12897.411774293048</v>
      </c>
      <c r="F257" s="18">
        <v>11451.533256400024</v>
      </c>
      <c r="G257" s="18">
        <v>12897.411774293048</v>
      </c>
    </row>
    <row r="258" spans="1:7" ht="11.25" customHeight="1" x14ac:dyDescent="0.2">
      <c r="A258" s="28">
        <v>44593</v>
      </c>
      <c r="B258" s="18">
        <v>0</v>
      </c>
      <c r="C258" s="18">
        <v>7461.8141340000129</v>
      </c>
      <c r="D258" s="18">
        <v>0</v>
      </c>
      <c r="E258" s="18">
        <v>8403.9479530527115</v>
      </c>
      <c r="F258" s="18">
        <v>7461.8141340000129</v>
      </c>
      <c r="G258" s="18">
        <v>8403.9479530527115</v>
      </c>
    </row>
    <row r="259" spans="1:7" ht="11.25" customHeight="1" x14ac:dyDescent="0.2">
      <c r="A259" s="28">
        <v>44621</v>
      </c>
      <c r="B259" s="18">
        <v>0</v>
      </c>
      <c r="C259" s="18">
        <v>2644.7354776000029</v>
      </c>
      <c r="D259" s="18">
        <v>0</v>
      </c>
      <c r="E259" s="18">
        <v>2978.6616101931431</v>
      </c>
      <c r="F259" s="18">
        <v>2644.7354776000029</v>
      </c>
      <c r="G259" s="18">
        <v>2978.6616101931431</v>
      </c>
    </row>
    <row r="260" spans="1:7" ht="11.25" customHeight="1" x14ac:dyDescent="0.2">
      <c r="A260" s="28">
        <v>44652</v>
      </c>
      <c r="B260" s="18">
        <v>0</v>
      </c>
      <c r="C260" s="18">
        <v>2644.7354776000029</v>
      </c>
      <c r="D260" s="18">
        <v>0</v>
      </c>
      <c r="E260" s="18">
        <v>2978.6616101931431</v>
      </c>
      <c r="F260" s="18">
        <v>2644.7354776000029</v>
      </c>
      <c r="G260" s="18">
        <v>2978.6616101931431</v>
      </c>
    </row>
    <row r="261" spans="1:7" ht="11.25" customHeight="1" x14ac:dyDescent="0.2">
      <c r="A261" s="28">
        <v>44682</v>
      </c>
      <c r="B261" s="18">
        <v>0</v>
      </c>
      <c r="C261" s="18">
        <v>4332.9752812000042</v>
      </c>
      <c r="D261" s="18">
        <v>0</v>
      </c>
      <c r="E261" s="18">
        <v>4880.0597403179318</v>
      </c>
      <c r="F261" s="18">
        <v>4332.9752812000042</v>
      </c>
      <c r="G261" s="18">
        <v>4880.0597403179318</v>
      </c>
    </row>
    <row r="262" spans="1:7" ht="11.25" customHeight="1" x14ac:dyDescent="0.2">
      <c r="A262" s="28">
        <v>44713</v>
      </c>
      <c r="B262" s="18">
        <v>0</v>
      </c>
      <c r="C262" s="18">
        <v>2210.4417564000032</v>
      </c>
      <c r="D262" s="18">
        <v>0</v>
      </c>
      <c r="E262" s="18">
        <v>2489.5336630533147</v>
      </c>
      <c r="F262" s="18">
        <v>2210.4417564000032</v>
      </c>
      <c r="G262" s="18">
        <v>2489.5336630533147</v>
      </c>
    </row>
    <row r="263" spans="1:7" ht="11.25" customHeight="1" x14ac:dyDescent="0.2">
      <c r="A263" s="28">
        <v>44743</v>
      </c>
      <c r="B263" s="18">
        <v>0</v>
      </c>
      <c r="C263" s="18">
        <v>2592.8623784000051</v>
      </c>
      <c r="D263" s="18">
        <v>0</v>
      </c>
      <c r="E263" s="18">
        <v>2920.2389775716806</v>
      </c>
      <c r="F263" s="18">
        <v>2592.8623784000051</v>
      </c>
      <c r="G263" s="18">
        <v>2920.2389775716806</v>
      </c>
    </row>
    <row r="264" spans="1:7" ht="11.25" customHeight="1" x14ac:dyDescent="0.2">
      <c r="A264" s="28">
        <v>44774</v>
      </c>
      <c r="B264" s="18">
        <v>0</v>
      </c>
      <c r="C264" s="18">
        <v>2569.4812212000047</v>
      </c>
      <c r="D264" s="18">
        <v>0</v>
      </c>
      <c r="E264" s="18">
        <v>2893.9056992747019</v>
      </c>
      <c r="F264" s="18">
        <v>2569.4812212000047</v>
      </c>
      <c r="G264" s="18">
        <v>2893.9056992747019</v>
      </c>
    </row>
    <row r="265" spans="1:7" ht="11.25" customHeight="1" x14ac:dyDescent="0.2">
      <c r="A265" s="28">
        <v>44805</v>
      </c>
      <c r="B265" s="18">
        <v>0</v>
      </c>
      <c r="C265" s="18">
        <v>2581.4109408000022</v>
      </c>
      <c r="D265" s="18">
        <v>0</v>
      </c>
      <c r="E265" s="18">
        <v>2907.3416735314267</v>
      </c>
      <c r="F265" s="18">
        <v>2581.4109408000022</v>
      </c>
      <c r="G265" s="18">
        <v>2907.3416735314267</v>
      </c>
    </row>
    <row r="266" spans="1:7" ht="11.25" customHeight="1" x14ac:dyDescent="0.2">
      <c r="A266" s="28">
        <v>44835</v>
      </c>
      <c r="B266" s="18">
        <v>0</v>
      </c>
      <c r="C266" s="18">
        <v>2581.4109408000022</v>
      </c>
      <c r="D266" s="18">
        <v>0</v>
      </c>
      <c r="E266" s="18">
        <v>2907.3416735314267</v>
      </c>
      <c r="F266" s="18">
        <v>2581.4109408000022</v>
      </c>
      <c r="G266" s="18">
        <v>2907.3416735314267</v>
      </c>
    </row>
    <row r="267" spans="1:7" ht="11.25" customHeight="1" x14ac:dyDescent="0.2">
      <c r="A267" s="27" t="s">
        <v>25</v>
      </c>
      <c r="B267" s="18">
        <v>13551.369600000016</v>
      </c>
      <c r="C267" s="18">
        <v>0</v>
      </c>
      <c r="D267" s="18">
        <v>17609.816691773653</v>
      </c>
      <c r="E267" s="18">
        <v>0</v>
      </c>
      <c r="F267" s="18">
        <v>13551.369600000018</v>
      </c>
      <c r="G267" s="18">
        <v>17609.816691773653</v>
      </c>
    </row>
    <row r="268" spans="1:7" ht="11.25" customHeight="1" x14ac:dyDescent="0.2">
      <c r="A268" s="28">
        <v>44501</v>
      </c>
      <c r="B268" s="18">
        <v>1425.9360000000013</v>
      </c>
      <c r="C268" s="18">
        <v>0</v>
      </c>
      <c r="D268" s="18">
        <v>1852.9840389122694</v>
      </c>
      <c r="E268" s="18">
        <v>0</v>
      </c>
      <c r="F268" s="18">
        <v>1425.9360000000013</v>
      </c>
      <c r="G268" s="18">
        <v>1852.9840389122694</v>
      </c>
    </row>
    <row r="269" spans="1:7" ht="11.25" customHeight="1" x14ac:dyDescent="0.2">
      <c r="A269" s="28">
        <v>44531</v>
      </c>
      <c r="B269" s="18">
        <v>1363.8624000000045</v>
      </c>
      <c r="C269" s="18">
        <v>0</v>
      </c>
      <c r="D269" s="18">
        <v>1772.3202573415547</v>
      </c>
      <c r="E269" s="18">
        <v>0</v>
      </c>
      <c r="F269" s="18">
        <v>1363.8624000000045</v>
      </c>
      <c r="G269" s="18">
        <v>1772.3202573415547</v>
      </c>
    </row>
    <row r="270" spans="1:7" ht="11.25" customHeight="1" x14ac:dyDescent="0.2">
      <c r="A270" s="28">
        <v>44562</v>
      </c>
      <c r="B270" s="18">
        <v>1454.0448000000024</v>
      </c>
      <c r="C270" s="18">
        <v>0</v>
      </c>
      <c r="D270" s="18">
        <v>1889.5110343405208</v>
      </c>
      <c r="E270" s="18">
        <v>0</v>
      </c>
      <c r="F270" s="18">
        <v>1454.0448000000024</v>
      </c>
      <c r="G270" s="18">
        <v>1889.5110343405208</v>
      </c>
    </row>
    <row r="271" spans="1:7" ht="11.25" customHeight="1" x14ac:dyDescent="0.2">
      <c r="A271" s="28">
        <v>44593</v>
      </c>
      <c r="B271" s="18">
        <v>1742.7455999999995</v>
      </c>
      <c r="C271" s="18">
        <v>0</v>
      </c>
      <c r="D271" s="18">
        <v>2264.6737165515019</v>
      </c>
      <c r="E271" s="18">
        <v>0</v>
      </c>
      <c r="F271" s="18">
        <v>1742.7455999999995</v>
      </c>
      <c r="G271" s="18">
        <v>2264.6737165515019</v>
      </c>
    </row>
    <row r="272" spans="1:7" ht="11.25" customHeight="1" x14ac:dyDescent="0.2">
      <c r="A272" s="28">
        <v>44621</v>
      </c>
      <c r="B272" s="18">
        <v>1241.4720000000027</v>
      </c>
      <c r="C272" s="18">
        <v>0</v>
      </c>
      <c r="D272" s="18">
        <v>1613.2756314143801</v>
      </c>
      <c r="E272" s="18">
        <v>0</v>
      </c>
      <c r="F272" s="18">
        <v>1241.4720000000027</v>
      </c>
      <c r="G272" s="18">
        <v>1613.2756314143801</v>
      </c>
    </row>
    <row r="273" spans="1:7" ht="11.25" customHeight="1" x14ac:dyDescent="0.2">
      <c r="A273" s="28">
        <v>44652</v>
      </c>
      <c r="B273" s="18">
        <v>1241.4720000000027</v>
      </c>
      <c r="C273" s="18">
        <v>0</v>
      </c>
      <c r="D273" s="18">
        <v>1613.2756314143801</v>
      </c>
      <c r="E273" s="18">
        <v>0</v>
      </c>
      <c r="F273" s="18">
        <v>1241.4720000000027</v>
      </c>
      <c r="G273" s="18">
        <v>1613.2756314143801</v>
      </c>
    </row>
    <row r="274" spans="1:7" ht="11.25" customHeight="1" x14ac:dyDescent="0.2">
      <c r="A274" s="28">
        <v>44682</v>
      </c>
      <c r="B274" s="18">
        <v>1158.3168000000001</v>
      </c>
      <c r="C274" s="18">
        <v>0</v>
      </c>
      <c r="D274" s="18">
        <v>1505.2166032724704</v>
      </c>
      <c r="E274" s="18">
        <v>0</v>
      </c>
      <c r="F274" s="18">
        <v>1158.3168000000001</v>
      </c>
      <c r="G274" s="18">
        <v>1505.2166032724704</v>
      </c>
    </row>
    <row r="275" spans="1:7" ht="11.25" customHeight="1" x14ac:dyDescent="0.2">
      <c r="A275" s="28">
        <v>44713</v>
      </c>
      <c r="B275" s="18">
        <v>833.89440000000059</v>
      </c>
      <c r="C275" s="18">
        <v>0</v>
      </c>
      <c r="D275" s="18">
        <v>1083.6341977047518</v>
      </c>
      <c r="E275" s="18">
        <v>0</v>
      </c>
      <c r="F275" s="18">
        <v>833.89440000000059</v>
      </c>
      <c r="G275" s="18">
        <v>1083.6341977047518</v>
      </c>
    </row>
    <row r="276" spans="1:7" ht="11.25" customHeight="1" x14ac:dyDescent="0.2">
      <c r="A276" s="28">
        <v>44743</v>
      </c>
      <c r="B276" s="18">
        <v>797.58719999999983</v>
      </c>
      <c r="C276" s="18">
        <v>0</v>
      </c>
      <c r="D276" s="18">
        <v>1036.4534952765946</v>
      </c>
      <c r="E276" s="18">
        <v>0</v>
      </c>
      <c r="F276" s="18">
        <v>797.58719999999983</v>
      </c>
      <c r="G276" s="18">
        <v>1036.4534952765946</v>
      </c>
    </row>
    <row r="277" spans="1:7" ht="11.25" customHeight="1" x14ac:dyDescent="0.2">
      <c r="A277" s="28">
        <v>44774</v>
      </c>
      <c r="B277" s="18">
        <v>857.31840000000091</v>
      </c>
      <c r="C277" s="18">
        <v>0</v>
      </c>
      <c r="D277" s="18">
        <v>1114.0733605616274</v>
      </c>
      <c r="E277" s="18">
        <v>0</v>
      </c>
      <c r="F277" s="18">
        <v>857.31840000000091</v>
      </c>
      <c r="G277" s="18">
        <v>1114.0733605616274</v>
      </c>
    </row>
    <row r="278" spans="1:7" ht="11.25" customHeight="1" x14ac:dyDescent="0.2">
      <c r="A278" s="28">
        <v>44805</v>
      </c>
      <c r="B278" s="18">
        <v>717.36000000000092</v>
      </c>
      <c r="C278" s="18">
        <v>0</v>
      </c>
      <c r="D278" s="18">
        <v>932.19936249179898</v>
      </c>
      <c r="E278" s="18">
        <v>0</v>
      </c>
      <c r="F278" s="18">
        <v>717.36000000000092</v>
      </c>
      <c r="G278" s="18">
        <v>932.19936249179898</v>
      </c>
    </row>
    <row r="279" spans="1:7" ht="11.25" customHeight="1" x14ac:dyDescent="0.2">
      <c r="A279" s="28">
        <v>44835</v>
      </c>
      <c r="B279" s="18">
        <v>717.36000000000092</v>
      </c>
      <c r="C279" s="18">
        <v>0</v>
      </c>
      <c r="D279" s="18">
        <v>932.19936249179898</v>
      </c>
      <c r="E279" s="18">
        <v>0</v>
      </c>
      <c r="F279" s="18">
        <v>717.36000000000092</v>
      </c>
      <c r="G279" s="18">
        <v>932.19936249179898</v>
      </c>
    </row>
    <row r="280" spans="1:7" ht="11.25" customHeight="1" x14ac:dyDescent="0.2">
      <c r="A280" s="27" t="s">
        <v>34</v>
      </c>
      <c r="B280" s="18">
        <v>0</v>
      </c>
      <c r="C280" s="18">
        <v>13083.525100800012</v>
      </c>
      <c r="D280" s="18">
        <v>0</v>
      </c>
      <c r="E280" s="18">
        <v>16457.973203641362</v>
      </c>
      <c r="F280" s="18">
        <v>13083.525100800012</v>
      </c>
      <c r="G280" s="18">
        <v>16457.97320364137</v>
      </c>
    </row>
    <row r="281" spans="1:7" ht="11.25" customHeight="1" x14ac:dyDescent="0.2">
      <c r="A281" s="28">
        <v>44501</v>
      </c>
      <c r="B281" s="18">
        <v>0</v>
      </c>
      <c r="C281" s="18">
        <v>737.36234880000018</v>
      </c>
      <c r="D281" s="18">
        <v>0</v>
      </c>
      <c r="E281" s="18">
        <v>927.5397635139185</v>
      </c>
      <c r="F281" s="18">
        <v>737.36234880000018</v>
      </c>
      <c r="G281" s="18">
        <v>927.5397635139185</v>
      </c>
    </row>
    <row r="282" spans="1:7" ht="11.25" customHeight="1" x14ac:dyDescent="0.2">
      <c r="A282" s="28">
        <v>44531</v>
      </c>
      <c r="B282" s="18">
        <v>0</v>
      </c>
      <c r="C282" s="18">
        <v>1508.862432000001</v>
      </c>
      <c r="D282" s="18">
        <v>0</v>
      </c>
      <c r="E282" s="18">
        <v>1898.0219231832803</v>
      </c>
      <c r="F282" s="18">
        <v>1508.862432000001</v>
      </c>
      <c r="G282" s="18">
        <v>1898.0219231832803</v>
      </c>
    </row>
    <row r="283" spans="1:7" ht="11.25" customHeight="1" x14ac:dyDescent="0.2">
      <c r="A283" s="28">
        <v>44562</v>
      </c>
      <c r="B283" s="18">
        <v>0</v>
      </c>
      <c r="C283" s="18">
        <v>2672.2789632000031</v>
      </c>
      <c r="D283" s="18">
        <v>0</v>
      </c>
      <c r="E283" s="18">
        <v>3361.5019828494796</v>
      </c>
      <c r="F283" s="18">
        <v>2672.2789632000031</v>
      </c>
      <c r="G283" s="18">
        <v>3361.5019828494796</v>
      </c>
    </row>
    <row r="284" spans="1:7" ht="11.25" customHeight="1" x14ac:dyDescent="0.2">
      <c r="A284" s="28">
        <v>44593</v>
      </c>
      <c r="B284" s="18">
        <v>0</v>
      </c>
      <c r="C284" s="18">
        <v>1518.7159680000009</v>
      </c>
      <c r="D284" s="18">
        <v>0</v>
      </c>
      <c r="E284" s="18">
        <v>1910.4168419990961</v>
      </c>
      <c r="F284" s="18">
        <v>1518.7159680000009</v>
      </c>
      <c r="G284" s="18">
        <v>1910.4168419990961</v>
      </c>
    </row>
    <row r="285" spans="1:7" ht="11.25" customHeight="1" x14ac:dyDescent="0.2">
      <c r="A285" s="28">
        <v>44621</v>
      </c>
      <c r="B285" s="18">
        <v>0</v>
      </c>
      <c r="C285" s="18">
        <v>648.99838080000006</v>
      </c>
      <c r="D285" s="18">
        <v>0</v>
      </c>
      <c r="E285" s="18">
        <v>816.38533026240123</v>
      </c>
      <c r="F285" s="18">
        <v>648.99838080000006</v>
      </c>
      <c r="G285" s="18">
        <v>816.38533026240123</v>
      </c>
    </row>
    <row r="286" spans="1:7" ht="11.25" customHeight="1" x14ac:dyDescent="0.2">
      <c r="A286" s="28">
        <v>44652</v>
      </c>
      <c r="B286" s="18">
        <v>0</v>
      </c>
      <c r="C286" s="18">
        <v>648.99838080000006</v>
      </c>
      <c r="D286" s="18">
        <v>0</v>
      </c>
      <c r="E286" s="18">
        <v>816.38533026240123</v>
      </c>
      <c r="F286" s="18">
        <v>648.99838080000006</v>
      </c>
      <c r="G286" s="18">
        <v>816.38533026240123</v>
      </c>
    </row>
    <row r="287" spans="1:7" ht="11.25" customHeight="1" x14ac:dyDescent="0.2">
      <c r="A287" s="28">
        <v>44682</v>
      </c>
      <c r="B287" s="18">
        <v>0</v>
      </c>
      <c r="C287" s="18">
        <v>1864.2890112000032</v>
      </c>
      <c r="D287" s="18">
        <v>0</v>
      </c>
      <c r="E287" s="18">
        <v>2345.1186399525141</v>
      </c>
      <c r="F287" s="18">
        <v>1864.2890112000032</v>
      </c>
      <c r="G287" s="18">
        <v>2345.1186399525141</v>
      </c>
    </row>
    <row r="288" spans="1:7" ht="11.25" customHeight="1" x14ac:dyDescent="0.2">
      <c r="A288" s="28">
        <v>44713</v>
      </c>
      <c r="B288" s="18">
        <v>0</v>
      </c>
      <c r="C288" s="18">
        <v>587.08003200000098</v>
      </c>
      <c r="D288" s="18">
        <v>0</v>
      </c>
      <c r="E288" s="18">
        <v>738.49725976817388</v>
      </c>
      <c r="F288" s="18">
        <v>587.08003200000098</v>
      </c>
      <c r="G288" s="18">
        <v>738.49725976817388</v>
      </c>
    </row>
    <row r="289" spans="1:7" ht="11.25" customHeight="1" x14ac:dyDescent="0.2">
      <c r="A289" s="28">
        <v>44743</v>
      </c>
      <c r="B289" s="18">
        <v>0</v>
      </c>
      <c r="C289" s="18">
        <v>839.52126720000183</v>
      </c>
      <c r="D289" s="18">
        <v>0</v>
      </c>
      <c r="E289" s="18">
        <v>1056.0470831075809</v>
      </c>
      <c r="F289" s="18">
        <v>839.52126720000183</v>
      </c>
      <c r="G289" s="18">
        <v>1056.0470831075809</v>
      </c>
    </row>
    <row r="290" spans="1:7" ht="11.25" customHeight="1" x14ac:dyDescent="0.2">
      <c r="A290" s="28">
        <v>44774</v>
      </c>
      <c r="B290" s="18">
        <v>0</v>
      </c>
      <c r="C290" s="18">
        <v>747.21588479999991</v>
      </c>
      <c r="D290" s="18">
        <v>0</v>
      </c>
      <c r="E290" s="18">
        <v>939.93468232973464</v>
      </c>
      <c r="F290" s="18">
        <v>747.21588479999991</v>
      </c>
      <c r="G290" s="18">
        <v>939.93468232973464</v>
      </c>
    </row>
    <row r="291" spans="1:7" ht="11.25" customHeight="1" x14ac:dyDescent="0.2">
      <c r="A291" s="28">
        <v>44805</v>
      </c>
      <c r="B291" s="18">
        <v>0</v>
      </c>
      <c r="C291" s="18">
        <v>655.10121600000116</v>
      </c>
      <c r="D291" s="18">
        <v>0</v>
      </c>
      <c r="E291" s="18">
        <v>824.06218320639243</v>
      </c>
      <c r="F291" s="18">
        <v>655.10121600000116</v>
      </c>
      <c r="G291" s="18">
        <v>824.06218320639243</v>
      </c>
    </row>
    <row r="292" spans="1:7" ht="11.25" customHeight="1" x14ac:dyDescent="0.2">
      <c r="A292" s="28">
        <v>44835</v>
      </c>
      <c r="B292" s="18">
        <v>0</v>
      </c>
      <c r="C292" s="18">
        <v>655.10121600000116</v>
      </c>
      <c r="D292" s="18">
        <v>0</v>
      </c>
      <c r="E292" s="18">
        <v>824.06218320639243</v>
      </c>
      <c r="F292" s="18">
        <v>655.10121600000116</v>
      </c>
      <c r="G292" s="18">
        <v>824.06218320639243</v>
      </c>
    </row>
    <row r="293" spans="1:7" ht="11.25" customHeight="1" x14ac:dyDescent="0.2">
      <c r="A293" s="21" t="s">
        <v>43</v>
      </c>
      <c r="B293" s="18">
        <v>0</v>
      </c>
      <c r="C293" s="18">
        <v>3777054.9615359558</v>
      </c>
      <c r="D293" s="18">
        <v>0</v>
      </c>
      <c r="E293" s="18">
        <v>2227776.1352572911</v>
      </c>
      <c r="F293" s="18">
        <v>3777054.9615359539</v>
      </c>
      <c r="G293" s="18">
        <v>2227776.1352572911</v>
      </c>
    </row>
    <row r="294" spans="1:7" ht="11.25" customHeight="1" x14ac:dyDescent="0.2">
      <c r="A294" s="22" t="s">
        <v>33</v>
      </c>
      <c r="B294" s="18">
        <v>0</v>
      </c>
      <c r="C294" s="18">
        <v>35.991555957446806</v>
      </c>
      <c r="D294" s="18">
        <v>0</v>
      </c>
      <c r="E294" s="18">
        <v>45.339755611872135</v>
      </c>
      <c r="F294" s="18">
        <v>35.991555957446806</v>
      </c>
      <c r="G294" s="18">
        <v>45.339755611872135</v>
      </c>
    </row>
    <row r="295" spans="1:7" ht="11.25" customHeight="1" x14ac:dyDescent="0.2">
      <c r="A295" s="23" t="s">
        <v>44</v>
      </c>
      <c r="B295" s="18">
        <v>0</v>
      </c>
      <c r="C295" s="18">
        <v>35.991555957446806</v>
      </c>
      <c r="D295" s="18">
        <v>0</v>
      </c>
      <c r="E295" s="18">
        <v>45.339755611872135</v>
      </c>
      <c r="F295" s="18">
        <v>35.991555957446806</v>
      </c>
      <c r="G295" s="18">
        <v>45.339755611872135</v>
      </c>
    </row>
    <row r="296" spans="1:7" ht="11.25" customHeight="1" x14ac:dyDescent="0.2">
      <c r="A296" s="24" t="s">
        <v>25</v>
      </c>
      <c r="B296" s="18">
        <v>0</v>
      </c>
      <c r="C296" s="18">
        <v>35.991555957446806</v>
      </c>
      <c r="D296" s="18">
        <v>0</v>
      </c>
      <c r="E296" s="18">
        <v>45.339755611872135</v>
      </c>
      <c r="F296" s="18">
        <v>35.991555957446806</v>
      </c>
      <c r="G296" s="18">
        <v>45.339755611872135</v>
      </c>
    </row>
    <row r="297" spans="1:7" ht="11.25" customHeight="1" x14ac:dyDescent="0.2">
      <c r="A297" s="25" t="s">
        <v>25</v>
      </c>
      <c r="B297" s="18">
        <v>0</v>
      </c>
      <c r="C297" s="18">
        <v>35.991555957446806</v>
      </c>
      <c r="D297" s="18">
        <v>0</v>
      </c>
      <c r="E297" s="18">
        <v>45.339755611872135</v>
      </c>
      <c r="F297" s="18">
        <v>35.991555957446806</v>
      </c>
      <c r="G297" s="18">
        <v>45.339755611872135</v>
      </c>
    </row>
    <row r="298" spans="1:7" ht="11.25" customHeight="1" x14ac:dyDescent="0.2">
      <c r="A298" s="26" t="s">
        <v>25</v>
      </c>
      <c r="B298" s="18">
        <v>0</v>
      </c>
      <c r="C298" s="18">
        <v>35.991555957446806</v>
      </c>
      <c r="D298" s="18">
        <v>0</v>
      </c>
      <c r="E298" s="18">
        <v>45.339755611872135</v>
      </c>
      <c r="F298" s="18">
        <v>35.991555957446806</v>
      </c>
      <c r="G298" s="18">
        <v>45.339755611872135</v>
      </c>
    </row>
    <row r="299" spans="1:7" ht="11.25" customHeight="1" x14ac:dyDescent="0.2">
      <c r="A299" s="27" t="s">
        <v>35</v>
      </c>
      <c r="B299" s="18">
        <v>0</v>
      </c>
      <c r="C299" s="18">
        <v>25.47805276595745</v>
      </c>
      <c r="D299" s="18">
        <v>0</v>
      </c>
      <c r="E299" s="18">
        <v>31.580471366356818</v>
      </c>
      <c r="F299" s="18">
        <v>25.47805276595745</v>
      </c>
      <c r="G299" s="18">
        <v>31.580471366356818</v>
      </c>
    </row>
    <row r="300" spans="1:7" ht="11.25" customHeight="1" x14ac:dyDescent="0.2">
      <c r="A300" s="28">
        <v>44501</v>
      </c>
      <c r="B300" s="18">
        <v>0</v>
      </c>
      <c r="C300" s="18">
        <v>3.5880663829787234</v>
      </c>
      <c r="D300" s="18">
        <v>0</v>
      </c>
      <c r="E300" s="18">
        <v>4.447468129104835</v>
      </c>
      <c r="F300" s="18">
        <v>3.5880663829787234</v>
      </c>
      <c r="G300" s="18">
        <v>4.447468129104835</v>
      </c>
    </row>
    <row r="301" spans="1:7" ht="11.25" customHeight="1" x14ac:dyDescent="0.2">
      <c r="A301" s="28">
        <v>44531</v>
      </c>
      <c r="B301" s="18">
        <v>0</v>
      </c>
      <c r="C301" s="18">
        <v>3.1986638297872343</v>
      </c>
      <c r="D301" s="18">
        <v>0</v>
      </c>
      <c r="E301" s="18">
        <v>3.9647971693570243</v>
      </c>
      <c r="F301" s="18">
        <v>3.1986638297872343</v>
      </c>
      <c r="G301" s="18">
        <v>3.9647971693570243</v>
      </c>
    </row>
    <row r="302" spans="1:7" ht="11.25" customHeight="1" x14ac:dyDescent="0.2">
      <c r="A302" s="28">
        <v>44562</v>
      </c>
      <c r="B302" s="18">
        <v>0</v>
      </c>
      <c r="C302" s="18">
        <v>4.9231608510638285</v>
      </c>
      <c r="D302" s="18">
        <v>0</v>
      </c>
      <c r="E302" s="18">
        <v>6.1023399910973328</v>
      </c>
      <c r="F302" s="18">
        <v>4.9231608510638285</v>
      </c>
      <c r="G302" s="18">
        <v>6.1023399910973328</v>
      </c>
    </row>
    <row r="303" spans="1:7" ht="11.25" customHeight="1" x14ac:dyDescent="0.2">
      <c r="A303" s="28">
        <v>44593</v>
      </c>
      <c r="B303" s="18">
        <v>0</v>
      </c>
      <c r="C303" s="18">
        <v>3.7271387234042557</v>
      </c>
      <c r="D303" s="18">
        <v>0</v>
      </c>
      <c r="E303" s="18">
        <v>4.6198506147290539</v>
      </c>
      <c r="F303" s="18">
        <v>3.7271387234042557</v>
      </c>
      <c r="G303" s="18">
        <v>4.6198506147290539</v>
      </c>
    </row>
    <row r="304" spans="1:7" ht="11.25" customHeight="1" x14ac:dyDescent="0.2">
      <c r="A304" s="28">
        <v>44621</v>
      </c>
      <c r="B304" s="18">
        <v>0</v>
      </c>
      <c r="C304" s="18">
        <v>3.2542927659574472</v>
      </c>
      <c r="D304" s="18">
        <v>0</v>
      </c>
      <c r="E304" s="18">
        <v>4.0337501636067117</v>
      </c>
      <c r="F304" s="18">
        <v>3.2542927659574472</v>
      </c>
      <c r="G304" s="18">
        <v>4.0337501636067117</v>
      </c>
    </row>
    <row r="305" spans="1:7" ht="11.25" customHeight="1" x14ac:dyDescent="0.2">
      <c r="A305" s="28">
        <v>44652</v>
      </c>
      <c r="B305" s="18">
        <v>0</v>
      </c>
      <c r="C305" s="18">
        <v>3.2542927659574472</v>
      </c>
      <c r="D305" s="18">
        <v>0</v>
      </c>
      <c r="E305" s="18">
        <v>4.0337501636067117</v>
      </c>
      <c r="F305" s="18">
        <v>3.2542927659574472</v>
      </c>
      <c r="G305" s="18">
        <v>4.0337501636067117</v>
      </c>
    </row>
    <row r="306" spans="1:7" ht="11.25" customHeight="1" x14ac:dyDescent="0.2">
      <c r="A306" s="28">
        <v>44682</v>
      </c>
      <c r="B306" s="18">
        <v>0</v>
      </c>
      <c r="C306" s="18">
        <v>3.5324374468085109</v>
      </c>
      <c r="D306" s="18">
        <v>0</v>
      </c>
      <c r="E306" s="18">
        <v>4.3785151348551477</v>
      </c>
      <c r="F306" s="18">
        <v>3.5324374468085109</v>
      </c>
      <c r="G306" s="18">
        <v>4.3785151348551477</v>
      </c>
    </row>
    <row r="307" spans="1:7" ht="11.25" customHeight="1" x14ac:dyDescent="0.2">
      <c r="A307" s="27" t="s">
        <v>36</v>
      </c>
      <c r="B307" s="18">
        <v>0</v>
      </c>
      <c r="C307" s="18">
        <v>3.1347287234042551</v>
      </c>
      <c r="D307" s="18">
        <v>0</v>
      </c>
      <c r="E307" s="18">
        <v>4.0398619384564434</v>
      </c>
      <c r="F307" s="18">
        <v>3.1347287234042551</v>
      </c>
      <c r="G307" s="18">
        <v>4.0398619384564434</v>
      </c>
    </row>
    <row r="308" spans="1:7" ht="11.25" customHeight="1" x14ac:dyDescent="0.2">
      <c r="A308" s="28">
        <v>44501</v>
      </c>
      <c r="B308" s="18">
        <v>0</v>
      </c>
      <c r="C308" s="18">
        <v>0.41796382978723406</v>
      </c>
      <c r="D308" s="18">
        <v>0</v>
      </c>
      <c r="E308" s="18">
        <v>0.53864825846085918</v>
      </c>
      <c r="F308" s="18">
        <v>0.41796382978723406</v>
      </c>
      <c r="G308" s="18">
        <v>0.53864825846085918</v>
      </c>
    </row>
    <row r="309" spans="1:7" ht="11.25" customHeight="1" x14ac:dyDescent="0.2">
      <c r="A309" s="28">
        <v>44531</v>
      </c>
      <c r="B309" s="18">
        <v>0</v>
      </c>
      <c r="C309" s="18">
        <v>0.37616744680851061</v>
      </c>
      <c r="D309" s="18">
        <v>0</v>
      </c>
      <c r="E309" s="18">
        <v>0.4847834326147733</v>
      </c>
      <c r="F309" s="18">
        <v>0.37616744680851061</v>
      </c>
      <c r="G309" s="18">
        <v>0.4847834326147733</v>
      </c>
    </row>
    <row r="310" spans="1:7" ht="11.25" customHeight="1" x14ac:dyDescent="0.2">
      <c r="A310" s="28">
        <v>44562</v>
      </c>
      <c r="B310" s="18">
        <v>0</v>
      </c>
      <c r="C310" s="18">
        <v>0.54335297872340427</v>
      </c>
      <c r="D310" s="18">
        <v>0</v>
      </c>
      <c r="E310" s="18">
        <v>0.70024273599911691</v>
      </c>
      <c r="F310" s="18">
        <v>0.54335297872340427</v>
      </c>
      <c r="G310" s="18">
        <v>0.70024273599911691</v>
      </c>
    </row>
    <row r="311" spans="1:7" ht="11.25" customHeight="1" x14ac:dyDescent="0.2">
      <c r="A311" s="28">
        <v>44593</v>
      </c>
      <c r="B311" s="18">
        <v>0</v>
      </c>
      <c r="C311" s="18">
        <v>0.50155659574468092</v>
      </c>
      <c r="D311" s="18">
        <v>0</v>
      </c>
      <c r="E311" s="18">
        <v>0.64637791015303114</v>
      </c>
      <c r="F311" s="18">
        <v>0.50155659574468092</v>
      </c>
      <c r="G311" s="18">
        <v>0.64637791015303114</v>
      </c>
    </row>
    <row r="312" spans="1:7" ht="11.25" customHeight="1" x14ac:dyDescent="0.2">
      <c r="A312" s="28">
        <v>44621</v>
      </c>
      <c r="B312" s="18">
        <v>0</v>
      </c>
      <c r="C312" s="18">
        <v>0.41796382978723406</v>
      </c>
      <c r="D312" s="18">
        <v>0</v>
      </c>
      <c r="E312" s="18">
        <v>0.53864825846085918</v>
      </c>
      <c r="F312" s="18">
        <v>0.41796382978723406</v>
      </c>
      <c r="G312" s="18">
        <v>0.53864825846085918</v>
      </c>
    </row>
    <row r="313" spans="1:7" ht="11.25" customHeight="1" x14ac:dyDescent="0.2">
      <c r="A313" s="28">
        <v>44652</v>
      </c>
      <c r="B313" s="18">
        <v>0</v>
      </c>
      <c r="C313" s="18">
        <v>0.41796382978723406</v>
      </c>
      <c r="D313" s="18">
        <v>0</v>
      </c>
      <c r="E313" s="18">
        <v>0.53864825846085918</v>
      </c>
      <c r="F313" s="18">
        <v>0.41796382978723406</v>
      </c>
      <c r="G313" s="18">
        <v>0.53864825846085918</v>
      </c>
    </row>
    <row r="314" spans="1:7" ht="11.25" customHeight="1" x14ac:dyDescent="0.2">
      <c r="A314" s="28">
        <v>44682</v>
      </c>
      <c r="B314" s="18">
        <v>0</v>
      </c>
      <c r="C314" s="18">
        <v>0.45976021276595747</v>
      </c>
      <c r="D314" s="18">
        <v>0</v>
      </c>
      <c r="E314" s="18">
        <v>0.59251308430694505</v>
      </c>
      <c r="F314" s="18">
        <v>0.45976021276595747</v>
      </c>
      <c r="G314" s="18">
        <v>0.59251308430694505</v>
      </c>
    </row>
    <row r="315" spans="1:7" ht="11.25" customHeight="1" x14ac:dyDescent="0.2">
      <c r="A315" s="27" t="s">
        <v>34</v>
      </c>
      <c r="B315" s="18">
        <v>0</v>
      </c>
      <c r="C315" s="18">
        <v>7.3787744680851048</v>
      </c>
      <c r="D315" s="18">
        <v>0</v>
      </c>
      <c r="E315" s="18">
        <v>9.7194223070588741</v>
      </c>
      <c r="F315" s="18">
        <v>7.3787744680851048</v>
      </c>
      <c r="G315" s="18">
        <v>9.7194223070588741</v>
      </c>
    </row>
    <row r="316" spans="1:7" ht="11.25" customHeight="1" x14ac:dyDescent="0.2">
      <c r="A316" s="28">
        <v>44501</v>
      </c>
      <c r="B316" s="18">
        <v>0</v>
      </c>
      <c r="C316" s="18">
        <v>0.98822872340425527</v>
      </c>
      <c r="D316" s="18">
        <v>0</v>
      </c>
      <c r="E316" s="18">
        <v>1.301708344695385</v>
      </c>
      <c r="F316" s="18">
        <v>0.98822872340425527</v>
      </c>
      <c r="G316" s="18">
        <v>1.301708344695385</v>
      </c>
    </row>
    <row r="317" spans="1:7" ht="11.25" customHeight="1" x14ac:dyDescent="0.2">
      <c r="A317" s="28">
        <v>44531</v>
      </c>
      <c r="B317" s="18">
        <v>0</v>
      </c>
      <c r="C317" s="18">
        <v>0.85646489361702116</v>
      </c>
      <c r="D317" s="18">
        <v>0</v>
      </c>
      <c r="E317" s="18">
        <v>1.1281472320693335</v>
      </c>
      <c r="F317" s="18">
        <v>0.85646489361702116</v>
      </c>
      <c r="G317" s="18">
        <v>1.1281472320693335</v>
      </c>
    </row>
    <row r="318" spans="1:7" ht="11.25" customHeight="1" x14ac:dyDescent="0.2">
      <c r="A318" s="28">
        <v>44562</v>
      </c>
      <c r="B318" s="18">
        <v>0</v>
      </c>
      <c r="C318" s="18">
        <v>1.2517563829787233</v>
      </c>
      <c r="D318" s="18">
        <v>0</v>
      </c>
      <c r="E318" s="18">
        <v>1.6488305699474877</v>
      </c>
      <c r="F318" s="18">
        <v>1.2517563829787233</v>
      </c>
      <c r="G318" s="18">
        <v>1.6488305699474877</v>
      </c>
    </row>
    <row r="319" spans="1:7" ht="11.25" customHeight="1" x14ac:dyDescent="0.2">
      <c r="A319" s="28">
        <v>44593</v>
      </c>
      <c r="B319" s="18">
        <v>0</v>
      </c>
      <c r="C319" s="18">
        <v>1.1858744680851063</v>
      </c>
      <c r="D319" s="18">
        <v>0</v>
      </c>
      <c r="E319" s="18">
        <v>1.5620500136344617</v>
      </c>
      <c r="F319" s="18">
        <v>1.1858744680851063</v>
      </c>
      <c r="G319" s="18">
        <v>1.5620500136344617</v>
      </c>
    </row>
    <row r="320" spans="1:7" ht="11.25" customHeight="1" x14ac:dyDescent="0.2">
      <c r="A320" s="28">
        <v>44621</v>
      </c>
      <c r="B320" s="18">
        <v>0</v>
      </c>
      <c r="C320" s="18">
        <v>0.98822872340425527</v>
      </c>
      <c r="D320" s="18">
        <v>0</v>
      </c>
      <c r="E320" s="18">
        <v>1.301708344695385</v>
      </c>
      <c r="F320" s="18">
        <v>0.98822872340425527</v>
      </c>
      <c r="G320" s="18">
        <v>1.301708344695385</v>
      </c>
    </row>
    <row r="321" spans="1:7" ht="11.25" customHeight="1" x14ac:dyDescent="0.2">
      <c r="A321" s="28">
        <v>44652</v>
      </c>
      <c r="B321" s="18">
        <v>0</v>
      </c>
      <c r="C321" s="18">
        <v>0.98822872340425527</v>
      </c>
      <c r="D321" s="18">
        <v>0</v>
      </c>
      <c r="E321" s="18">
        <v>1.301708344695385</v>
      </c>
      <c r="F321" s="18">
        <v>0.98822872340425527</v>
      </c>
      <c r="G321" s="18">
        <v>1.301708344695385</v>
      </c>
    </row>
    <row r="322" spans="1:7" ht="11.25" customHeight="1" x14ac:dyDescent="0.2">
      <c r="A322" s="28">
        <v>44682</v>
      </c>
      <c r="B322" s="18">
        <v>0</v>
      </c>
      <c r="C322" s="18">
        <v>1.1199925531914894</v>
      </c>
      <c r="D322" s="18">
        <v>0</v>
      </c>
      <c r="E322" s="18">
        <v>1.4752694573214364</v>
      </c>
      <c r="F322" s="18">
        <v>1.1199925531914894</v>
      </c>
      <c r="G322" s="18">
        <v>1.4752694573214364</v>
      </c>
    </row>
    <row r="323" spans="1:7" ht="11.25" customHeight="1" x14ac:dyDescent="0.2">
      <c r="A323" s="22" t="s">
        <v>23</v>
      </c>
      <c r="B323" s="18">
        <v>0</v>
      </c>
      <c r="C323" s="18">
        <v>3777018.9699799977</v>
      </c>
      <c r="D323" s="18">
        <v>0</v>
      </c>
      <c r="E323" s="18">
        <v>2227730.7955016792</v>
      </c>
      <c r="F323" s="18">
        <v>3777018.9699799968</v>
      </c>
      <c r="G323" s="18">
        <v>2227730.7955016792</v>
      </c>
    </row>
    <row r="324" spans="1:7" ht="11.25" customHeight="1" x14ac:dyDescent="0.2">
      <c r="A324" s="23" t="s">
        <v>44</v>
      </c>
      <c r="B324" s="18">
        <v>0</v>
      </c>
      <c r="C324" s="18">
        <v>3777018.9699799977</v>
      </c>
      <c r="D324" s="18">
        <v>0</v>
      </c>
      <c r="E324" s="18">
        <v>2227730.7955016792</v>
      </c>
      <c r="F324" s="18">
        <v>3777018.9699799968</v>
      </c>
      <c r="G324" s="18">
        <v>2227730.7955016792</v>
      </c>
    </row>
    <row r="325" spans="1:7" ht="11.25" customHeight="1" x14ac:dyDescent="0.2">
      <c r="A325" s="24" t="s">
        <v>52</v>
      </c>
      <c r="B325" s="18">
        <v>0</v>
      </c>
      <c r="C325" s="18">
        <v>19986.353589999988</v>
      </c>
      <c r="D325" s="18">
        <v>0</v>
      </c>
      <c r="E325" s="18">
        <v>11788.189505032937</v>
      </c>
      <c r="F325" s="18">
        <v>19986.353589999992</v>
      </c>
      <c r="G325" s="18">
        <v>11788.189505032937</v>
      </c>
    </row>
    <row r="326" spans="1:7" ht="11.25" customHeight="1" x14ac:dyDescent="0.2">
      <c r="A326" s="25" t="s">
        <v>53</v>
      </c>
      <c r="B326" s="18">
        <v>0</v>
      </c>
      <c r="C326" s="18">
        <v>19986.353589999988</v>
      </c>
      <c r="D326" s="18">
        <v>0</v>
      </c>
      <c r="E326" s="18">
        <v>11788.189505032937</v>
      </c>
      <c r="F326" s="18">
        <v>19986.353589999992</v>
      </c>
      <c r="G326" s="18">
        <v>11788.189505032937</v>
      </c>
    </row>
    <row r="327" spans="1:7" ht="11.25" customHeight="1" x14ac:dyDescent="0.2">
      <c r="A327" s="26" t="s">
        <v>25</v>
      </c>
      <c r="B327" s="18">
        <v>0</v>
      </c>
      <c r="C327" s="18">
        <v>19986.353589999988</v>
      </c>
      <c r="D327" s="18">
        <v>0</v>
      </c>
      <c r="E327" s="18">
        <v>11788.189505032937</v>
      </c>
      <c r="F327" s="18">
        <v>19986.353589999992</v>
      </c>
      <c r="G327" s="18">
        <v>11788.189505032937</v>
      </c>
    </row>
    <row r="328" spans="1:7" ht="11.25" customHeight="1" x14ac:dyDescent="0.2">
      <c r="A328" s="27" t="s">
        <v>25</v>
      </c>
      <c r="B328" s="18">
        <v>0</v>
      </c>
      <c r="C328" s="18">
        <v>19986.353589999988</v>
      </c>
      <c r="D328" s="18">
        <v>0</v>
      </c>
      <c r="E328" s="18">
        <v>11788.189505032937</v>
      </c>
      <c r="F328" s="18">
        <v>19986.353589999992</v>
      </c>
      <c r="G328" s="18">
        <v>11788.189505032937</v>
      </c>
    </row>
    <row r="329" spans="1:7" ht="11.25" customHeight="1" x14ac:dyDescent="0.2">
      <c r="A329" s="28">
        <v>44501</v>
      </c>
      <c r="B329" s="18">
        <v>0</v>
      </c>
      <c r="C329" s="18">
        <v>2345.7873899999986</v>
      </c>
      <c r="D329" s="18">
        <v>0</v>
      </c>
      <c r="E329" s="18">
        <v>1383.5733550552379</v>
      </c>
      <c r="F329" s="18">
        <v>2345.7873899999986</v>
      </c>
      <c r="G329" s="18">
        <v>1383.5733550552379</v>
      </c>
    </row>
    <row r="330" spans="1:7" ht="11.25" customHeight="1" x14ac:dyDescent="0.2">
      <c r="A330" s="28">
        <v>44531</v>
      </c>
      <c r="B330" s="18">
        <v>0</v>
      </c>
      <c r="C330" s="18">
        <v>1945.3906699999986</v>
      </c>
      <c r="D330" s="18">
        <v>0</v>
      </c>
      <c r="E330" s="18">
        <v>1147.4145984666827</v>
      </c>
      <c r="F330" s="18">
        <v>1945.3906699999986</v>
      </c>
      <c r="G330" s="18">
        <v>1147.4145984666827</v>
      </c>
    </row>
    <row r="331" spans="1:7" ht="11.25" customHeight="1" x14ac:dyDescent="0.2">
      <c r="A331" s="28">
        <v>44562</v>
      </c>
      <c r="B331" s="18">
        <v>0</v>
      </c>
      <c r="C331" s="18">
        <v>3629.3957899999978</v>
      </c>
      <c r="D331" s="18">
        <v>0</v>
      </c>
      <c r="E331" s="18">
        <v>2140.660884869731</v>
      </c>
      <c r="F331" s="18">
        <v>3629.3957899999978</v>
      </c>
      <c r="G331" s="18">
        <v>2140.660884869731</v>
      </c>
    </row>
    <row r="332" spans="1:7" ht="11.25" customHeight="1" x14ac:dyDescent="0.2">
      <c r="A332" s="28">
        <v>44593</v>
      </c>
      <c r="B332" s="18">
        <v>0</v>
      </c>
      <c r="C332" s="18">
        <v>3911.2466799999979</v>
      </c>
      <c r="D332" s="18">
        <v>0</v>
      </c>
      <c r="E332" s="18">
        <v>2306.8998983306246</v>
      </c>
      <c r="F332" s="18">
        <v>3911.2466799999979</v>
      </c>
      <c r="G332" s="18">
        <v>2306.8998983306246</v>
      </c>
    </row>
    <row r="333" spans="1:7" ht="11.25" customHeight="1" x14ac:dyDescent="0.2">
      <c r="A333" s="28">
        <v>44621</v>
      </c>
      <c r="B333" s="18">
        <v>0</v>
      </c>
      <c r="C333" s="18">
        <v>1120.3729499999993</v>
      </c>
      <c r="D333" s="18">
        <v>0</v>
      </c>
      <c r="E333" s="18">
        <v>660.80931628873441</v>
      </c>
      <c r="F333" s="18">
        <v>1120.3729499999993</v>
      </c>
      <c r="G333" s="18">
        <v>660.80931628873441</v>
      </c>
    </row>
    <row r="334" spans="1:7" ht="11.25" customHeight="1" x14ac:dyDescent="0.2">
      <c r="A334" s="28">
        <v>44652</v>
      </c>
      <c r="B334" s="18">
        <v>0</v>
      </c>
      <c r="C334" s="18">
        <v>1120.3729499999993</v>
      </c>
      <c r="D334" s="18">
        <v>0</v>
      </c>
      <c r="E334" s="18">
        <v>660.80931628873441</v>
      </c>
      <c r="F334" s="18">
        <v>1120.3729499999993</v>
      </c>
      <c r="G334" s="18">
        <v>660.80931628873441</v>
      </c>
    </row>
    <row r="335" spans="1:7" ht="11.25" customHeight="1" x14ac:dyDescent="0.2">
      <c r="A335" s="28">
        <v>44682</v>
      </c>
      <c r="B335" s="18">
        <v>0</v>
      </c>
      <c r="C335" s="18">
        <v>-460.53975999999955</v>
      </c>
      <c r="D335" s="18">
        <v>0</v>
      </c>
      <c r="E335" s="18">
        <v>-271.63183824580716</v>
      </c>
      <c r="F335" s="18">
        <v>-460.53975999999955</v>
      </c>
      <c r="G335" s="18">
        <v>-271.63183824580716</v>
      </c>
    </row>
    <row r="336" spans="1:7" ht="11.25" customHeight="1" x14ac:dyDescent="0.2">
      <c r="A336" s="28">
        <v>44713</v>
      </c>
      <c r="B336" s="18">
        <v>0</v>
      </c>
      <c r="C336" s="18">
        <v>471.67735999999968</v>
      </c>
      <c r="D336" s="18">
        <v>0</v>
      </c>
      <c r="E336" s="18">
        <v>278.2009274415945</v>
      </c>
      <c r="F336" s="18">
        <v>471.67735999999968</v>
      </c>
      <c r="G336" s="18">
        <v>278.2009274415945</v>
      </c>
    </row>
    <row r="337" spans="1:7" ht="11.25" customHeight="1" x14ac:dyDescent="0.2">
      <c r="A337" s="28">
        <v>44743</v>
      </c>
      <c r="B337" s="18">
        <v>0</v>
      </c>
      <c r="C337" s="18">
        <v>538.36373999999967</v>
      </c>
      <c r="D337" s="18">
        <v>0</v>
      </c>
      <c r="E337" s="18">
        <v>317.53334900137128</v>
      </c>
      <c r="F337" s="18">
        <v>538.36373999999967</v>
      </c>
      <c r="G337" s="18">
        <v>317.53334900137128</v>
      </c>
    </row>
    <row r="338" spans="1:7" ht="11.25" customHeight="1" x14ac:dyDescent="0.2">
      <c r="A338" s="28">
        <v>44774</v>
      </c>
      <c r="B338" s="18">
        <v>0</v>
      </c>
      <c r="C338" s="18">
        <v>768.77283999999952</v>
      </c>
      <c r="D338" s="18">
        <v>0</v>
      </c>
      <c r="E338" s="18">
        <v>453.43138173922222</v>
      </c>
      <c r="F338" s="18">
        <v>768.77283999999952</v>
      </c>
      <c r="G338" s="18">
        <v>453.43138173922222</v>
      </c>
    </row>
    <row r="339" spans="1:7" ht="11.25" customHeight="1" x14ac:dyDescent="0.2">
      <c r="A339" s="28">
        <v>44805</v>
      </c>
      <c r="B339" s="18">
        <v>0</v>
      </c>
      <c r="C339" s="18">
        <v>2297.7564899999988</v>
      </c>
      <c r="D339" s="18">
        <v>0</v>
      </c>
      <c r="E339" s="18">
        <v>1355.2441578984051</v>
      </c>
      <c r="F339" s="18">
        <v>2297.7564899999988</v>
      </c>
      <c r="G339" s="18">
        <v>1355.2441578984051</v>
      </c>
    </row>
    <row r="340" spans="1:7" ht="11.25" customHeight="1" x14ac:dyDescent="0.2">
      <c r="A340" s="28">
        <v>44835</v>
      </c>
      <c r="B340" s="18">
        <v>0</v>
      </c>
      <c r="C340" s="18">
        <v>2297.7564899999988</v>
      </c>
      <c r="D340" s="18">
        <v>0</v>
      </c>
      <c r="E340" s="18">
        <v>1355.2441578984051</v>
      </c>
      <c r="F340" s="18">
        <v>2297.7564899999988</v>
      </c>
      <c r="G340" s="18">
        <v>1355.2441578984051</v>
      </c>
    </row>
    <row r="341" spans="1:7" ht="11.25" customHeight="1" x14ac:dyDescent="0.2">
      <c r="A341" s="24" t="s">
        <v>25</v>
      </c>
      <c r="B341" s="18">
        <v>0</v>
      </c>
      <c r="C341" s="18">
        <v>3757032.6163899982</v>
      </c>
      <c r="D341" s="18">
        <v>0</v>
      </c>
      <c r="E341" s="18">
        <v>2215942.6059966465</v>
      </c>
      <c r="F341" s="18">
        <v>3757032.6163899973</v>
      </c>
      <c r="G341" s="18">
        <v>2215942.6059966465</v>
      </c>
    </row>
    <row r="342" spans="1:7" ht="11.25" customHeight="1" x14ac:dyDescent="0.2">
      <c r="A342" s="25" t="s">
        <v>25</v>
      </c>
      <c r="B342" s="18">
        <v>0</v>
      </c>
      <c r="C342" s="18">
        <v>3757032.6163899982</v>
      </c>
      <c r="D342" s="18">
        <v>0</v>
      </c>
      <c r="E342" s="18">
        <v>2215942.6059966465</v>
      </c>
      <c r="F342" s="18">
        <v>3757032.6163899973</v>
      </c>
      <c r="G342" s="18">
        <v>2215942.6059966465</v>
      </c>
    </row>
    <row r="343" spans="1:7" ht="11.25" customHeight="1" x14ac:dyDescent="0.2">
      <c r="A343" s="26" t="s">
        <v>25</v>
      </c>
      <c r="B343" s="18">
        <v>0</v>
      </c>
      <c r="C343" s="18">
        <v>3757032.6163899982</v>
      </c>
      <c r="D343" s="18">
        <v>0</v>
      </c>
      <c r="E343" s="18">
        <v>2215942.6059966465</v>
      </c>
      <c r="F343" s="18">
        <v>3757032.6163899973</v>
      </c>
      <c r="G343" s="18">
        <v>2215942.6059966465</v>
      </c>
    </row>
    <row r="344" spans="1:7" ht="11.25" customHeight="1" x14ac:dyDescent="0.2">
      <c r="A344" s="27" t="s">
        <v>25</v>
      </c>
      <c r="B344" s="18">
        <v>0</v>
      </c>
      <c r="C344" s="18">
        <v>3757032.6163899982</v>
      </c>
      <c r="D344" s="18">
        <v>0</v>
      </c>
      <c r="E344" s="18">
        <v>2215942.6059966465</v>
      </c>
      <c r="F344" s="18">
        <v>3757032.6163899973</v>
      </c>
      <c r="G344" s="18">
        <v>2215942.6059966465</v>
      </c>
    </row>
    <row r="345" spans="1:7" ht="11.25" customHeight="1" x14ac:dyDescent="0.2">
      <c r="A345" s="28">
        <v>44501</v>
      </c>
      <c r="B345" s="18">
        <v>0</v>
      </c>
      <c r="C345" s="18">
        <v>330446.1182699998</v>
      </c>
      <c r="D345" s="18">
        <v>0</v>
      </c>
      <c r="E345" s="18">
        <v>194901.05815591576</v>
      </c>
      <c r="F345" s="18">
        <v>330446.1182699998</v>
      </c>
      <c r="G345" s="18">
        <v>194901.05815591576</v>
      </c>
    </row>
    <row r="346" spans="1:7" ht="11.25" customHeight="1" x14ac:dyDescent="0.2">
      <c r="A346" s="28">
        <v>44531</v>
      </c>
      <c r="B346" s="18">
        <v>0</v>
      </c>
      <c r="C346" s="18">
        <v>319097.46074999979</v>
      </c>
      <c r="D346" s="18">
        <v>0</v>
      </c>
      <c r="E346" s="18">
        <v>188207.48471986823</v>
      </c>
      <c r="F346" s="18">
        <v>319097.46074999979</v>
      </c>
      <c r="G346" s="18">
        <v>188207.48471986823</v>
      </c>
    </row>
    <row r="347" spans="1:7" ht="11.25" customHeight="1" x14ac:dyDescent="0.2">
      <c r="A347" s="28">
        <v>44562</v>
      </c>
      <c r="B347" s="18">
        <v>0</v>
      </c>
      <c r="C347" s="18">
        <v>319385.57653999981</v>
      </c>
      <c r="D347" s="18">
        <v>0</v>
      </c>
      <c r="E347" s="18">
        <v>188377.41884600176</v>
      </c>
      <c r="F347" s="18">
        <v>319385.57653999981</v>
      </c>
      <c r="G347" s="18">
        <v>188377.41884600176</v>
      </c>
    </row>
    <row r="348" spans="1:7" ht="11.25" customHeight="1" x14ac:dyDescent="0.2">
      <c r="A348" s="28">
        <v>44593</v>
      </c>
      <c r="B348" s="18">
        <v>0</v>
      </c>
      <c r="C348" s="18">
        <v>325198.7076399998</v>
      </c>
      <c r="D348" s="18">
        <v>0</v>
      </c>
      <c r="E348" s="18">
        <v>191806.07283812802</v>
      </c>
      <c r="F348" s="18">
        <v>325198.7076399998</v>
      </c>
      <c r="G348" s="18">
        <v>191806.07283812802</v>
      </c>
    </row>
    <row r="349" spans="1:7" ht="11.25" customHeight="1" x14ac:dyDescent="0.2">
      <c r="A349" s="28">
        <v>44621</v>
      </c>
      <c r="B349" s="18">
        <v>0</v>
      </c>
      <c r="C349" s="18">
        <v>317509.7958699998</v>
      </c>
      <c r="D349" s="18">
        <v>0</v>
      </c>
      <c r="E349" s="18">
        <v>187271.06105500879</v>
      </c>
      <c r="F349" s="18">
        <v>317509.7958699998</v>
      </c>
      <c r="G349" s="18">
        <v>187271.06105500879</v>
      </c>
    </row>
    <row r="350" spans="1:7" ht="11.25" customHeight="1" x14ac:dyDescent="0.2">
      <c r="A350" s="28">
        <v>44652</v>
      </c>
      <c r="B350" s="18">
        <v>0</v>
      </c>
      <c r="C350" s="18">
        <v>317509.7958699998</v>
      </c>
      <c r="D350" s="18">
        <v>0</v>
      </c>
      <c r="E350" s="18">
        <v>187271.06105500879</v>
      </c>
      <c r="F350" s="18">
        <v>317509.7958699998</v>
      </c>
      <c r="G350" s="18">
        <v>187271.06105500879</v>
      </c>
    </row>
    <row r="351" spans="1:7" ht="11.25" customHeight="1" x14ac:dyDescent="0.2">
      <c r="A351" s="28">
        <v>44682</v>
      </c>
      <c r="B351" s="18">
        <v>0</v>
      </c>
      <c r="C351" s="18">
        <v>308869.45461999974</v>
      </c>
      <c r="D351" s="18">
        <v>0</v>
      </c>
      <c r="E351" s="18">
        <v>182174.88482733935</v>
      </c>
      <c r="F351" s="18">
        <v>308869.45461999974</v>
      </c>
      <c r="G351" s="18">
        <v>182174.88482733935</v>
      </c>
    </row>
    <row r="352" spans="1:7" ht="11.25" customHeight="1" x14ac:dyDescent="0.2">
      <c r="A352" s="28">
        <v>44713</v>
      </c>
      <c r="B352" s="18">
        <v>0</v>
      </c>
      <c r="C352" s="18">
        <v>289422.02164999989</v>
      </c>
      <c r="D352" s="18">
        <v>0</v>
      </c>
      <c r="E352" s="18">
        <v>170704.55712576761</v>
      </c>
      <c r="F352" s="18">
        <v>289422.02164999989</v>
      </c>
      <c r="G352" s="18">
        <v>170704.55712576761</v>
      </c>
    </row>
    <row r="353" spans="1:7" ht="11.25" customHeight="1" x14ac:dyDescent="0.2">
      <c r="A353" s="28">
        <v>44743</v>
      </c>
      <c r="B353" s="18">
        <v>0</v>
      </c>
      <c r="C353" s="18">
        <v>281370.58099999983</v>
      </c>
      <c r="D353" s="18">
        <v>0</v>
      </c>
      <c r="E353" s="18">
        <v>165955.72148932546</v>
      </c>
      <c r="F353" s="18">
        <v>281370.58099999983</v>
      </c>
      <c r="G353" s="18">
        <v>165955.72148932546</v>
      </c>
    </row>
    <row r="354" spans="1:7" ht="11.25" customHeight="1" x14ac:dyDescent="0.2">
      <c r="A354" s="28">
        <v>44774</v>
      </c>
      <c r="B354" s="18">
        <v>0</v>
      </c>
      <c r="C354" s="18">
        <v>322609.21563999983</v>
      </c>
      <c r="D354" s="18">
        <v>0</v>
      </c>
      <c r="E354" s="18">
        <v>190278.75960010747</v>
      </c>
      <c r="F354" s="18">
        <v>322609.21563999983</v>
      </c>
      <c r="G354" s="18">
        <v>190278.75960010747</v>
      </c>
    </row>
    <row r="355" spans="1:7" ht="11.25" customHeight="1" x14ac:dyDescent="0.2">
      <c r="A355" s="28">
        <v>44805</v>
      </c>
      <c r="B355" s="18">
        <v>0</v>
      </c>
      <c r="C355" s="18">
        <v>312806.94426999975</v>
      </c>
      <c r="D355" s="18">
        <v>0</v>
      </c>
      <c r="E355" s="18">
        <v>184497.26314208753</v>
      </c>
      <c r="F355" s="18">
        <v>312806.94426999975</v>
      </c>
      <c r="G355" s="18">
        <v>184497.26314208753</v>
      </c>
    </row>
    <row r="356" spans="1:7" ht="11.25" customHeight="1" x14ac:dyDescent="0.2">
      <c r="A356" s="28">
        <v>44835</v>
      </c>
      <c r="B356" s="18">
        <v>0</v>
      </c>
      <c r="C356" s="18">
        <v>312806.94426999975</v>
      </c>
      <c r="D356" s="18">
        <v>0</v>
      </c>
      <c r="E356" s="18">
        <v>184497.26314208753</v>
      </c>
      <c r="F356" s="18">
        <v>312806.94426999975</v>
      </c>
      <c r="G356" s="18">
        <v>184497.26314208753</v>
      </c>
    </row>
    <row r="357" spans="1:7" ht="11.25" customHeight="1" x14ac:dyDescent="0.2">
      <c r="A357" s="20" t="s">
        <v>761</v>
      </c>
      <c r="B357" s="18">
        <v>0</v>
      </c>
      <c r="C357" s="18">
        <v>0</v>
      </c>
      <c r="D357" s="18">
        <v>0</v>
      </c>
      <c r="E357" s="18">
        <v>0</v>
      </c>
      <c r="F357" s="18">
        <v>0</v>
      </c>
      <c r="G357" s="18">
        <v>0</v>
      </c>
    </row>
    <row r="358" spans="1:7" ht="11.25" customHeight="1" x14ac:dyDescent="0.2">
      <c r="A358" s="21" t="s">
        <v>22</v>
      </c>
      <c r="B358" s="18">
        <v>0</v>
      </c>
      <c r="C358" s="18">
        <v>0</v>
      </c>
      <c r="D358" s="18">
        <v>0</v>
      </c>
      <c r="E358" s="18">
        <v>0</v>
      </c>
      <c r="F358" s="18">
        <v>0</v>
      </c>
      <c r="G358" s="18">
        <v>0</v>
      </c>
    </row>
    <row r="359" spans="1:7" ht="11.25" customHeight="1" x14ac:dyDescent="0.2">
      <c r="A359" s="22" t="s">
        <v>23</v>
      </c>
      <c r="B359" s="18">
        <v>0</v>
      </c>
      <c r="C359" s="18">
        <v>0</v>
      </c>
      <c r="D359" s="18">
        <v>0</v>
      </c>
      <c r="E359" s="18">
        <v>0</v>
      </c>
      <c r="F359" s="18">
        <v>0</v>
      </c>
      <c r="G359" s="18">
        <v>0</v>
      </c>
    </row>
    <row r="360" spans="1:7" ht="11.25" customHeight="1" x14ac:dyDescent="0.2">
      <c r="A360" s="23" t="s">
        <v>24</v>
      </c>
      <c r="B360" s="18">
        <v>0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</row>
    <row r="361" spans="1:7" ht="11.25" customHeight="1" x14ac:dyDescent="0.2">
      <c r="A361" s="24" t="s">
        <v>24</v>
      </c>
      <c r="B361" s="18">
        <v>0</v>
      </c>
      <c r="C361" s="18">
        <v>0</v>
      </c>
      <c r="D361" s="18">
        <v>0</v>
      </c>
      <c r="E361" s="18">
        <v>0</v>
      </c>
      <c r="F361" s="18">
        <v>0</v>
      </c>
      <c r="G361" s="18">
        <v>0</v>
      </c>
    </row>
    <row r="362" spans="1:7" ht="11.25" customHeight="1" x14ac:dyDescent="0.2">
      <c r="A362" s="25" t="s">
        <v>25</v>
      </c>
      <c r="B362" s="18">
        <v>0</v>
      </c>
      <c r="C362" s="18">
        <v>0</v>
      </c>
      <c r="D362" s="18">
        <v>0</v>
      </c>
      <c r="E362" s="18">
        <v>0</v>
      </c>
      <c r="F362" s="18">
        <v>0</v>
      </c>
      <c r="G362" s="18">
        <v>0</v>
      </c>
    </row>
    <row r="363" spans="1:7" ht="11.25" customHeight="1" x14ac:dyDescent="0.2">
      <c r="A363" s="26" t="s">
        <v>25</v>
      </c>
      <c r="B363" s="18">
        <v>0</v>
      </c>
      <c r="C363" s="18">
        <v>0</v>
      </c>
      <c r="D363" s="18">
        <v>0</v>
      </c>
      <c r="E363" s="18">
        <v>0</v>
      </c>
      <c r="F363" s="18">
        <v>0</v>
      </c>
      <c r="G363" s="18">
        <v>0</v>
      </c>
    </row>
    <row r="364" spans="1:7" ht="11.25" customHeight="1" x14ac:dyDescent="0.2">
      <c r="A364" s="27" t="s">
        <v>25</v>
      </c>
      <c r="B364" s="18">
        <v>0</v>
      </c>
      <c r="C364" s="18">
        <v>0</v>
      </c>
      <c r="D364" s="18">
        <v>0</v>
      </c>
      <c r="E364" s="18">
        <v>0</v>
      </c>
      <c r="F364" s="18">
        <v>0</v>
      </c>
      <c r="G364" s="18">
        <v>0</v>
      </c>
    </row>
    <row r="365" spans="1:7" ht="11.25" customHeight="1" x14ac:dyDescent="0.2">
      <c r="A365" s="28">
        <v>44501</v>
      </c>
      <c r="B365" s="18">
        <v>0</v>
      </c>
      <c r="C365" s="18">
        <v>0</v>
      </c>
      <c r="D365" s="18">
        <v>0</v>
      </c>
      <c r="E365" s="18">
        <v>0</v>
      </c>
      <c r="F365" s="18">
        <v>0</v>
      </c>
      <c r="G365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564B0-280A-427B-9CF1-945993291B1F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03" t="s">
        <v>831</v>
      </c>
      <c r="B1" s="125"/>
      <c r="C1" s="125"/>
      <c r="D1" s="125"/>
      <c r="E1" s="125"/>
      <c r="F1" s="125"/>
      <c r="G1" s="125"/>
      <c r="H1" s="125"/>
      <c r="I1" s="125"/>
      <c r="J1" s="125"/>
      <c r="L1" s="103" t="s">
        <v>841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</row>
    <row r="2" spans="1:22" ht="11.25" customHeight="1" x14ac:dyDescent="0.25">
      <c r="A2" s="117" t="s">
        <v>62</v>
      </c>
      <c r="B2" s="117" t="s">
        <v>63</v>
      </c>
      <c r="C2" s="117" t="s">
        <v>832</v>
      </c>
      <c r="D2" s="117" t="s">
        <v>68</v>
      </c>
      <c r="E2" s="117" t="s">
        <v>833</v>
      </c>
      <c r="F2" s="123"/>
      <c r="G2" s="123"/>
      <c r="H2" s="117" t="s">
        <v>602</v>
      </c>
      <c r="I2" s="123"/>
      <c r="J2" s="123"/>
      <c r="L2" s="117" t="s">
        <v>62</v>
      </c>
      <c r="M2" s="117" t="s">
        <v>63</v>
      </c>
      <c r="N2" s="117" t="s">
        <v>64</v>
      </c>
      <c r="O2" s="117" t="s">
        <v>65</v>
      </c>
      <c r="P2" s="117" t="s">
        <v>68</v>
      </c>
      <c r="Q2" s="117" t="s">
        <v>833</v>
      </c>
      <c r="R2" s="124"/>
      <c r="S2" s="124"/>
      <c r="T2" s="117" t="s">
        <v>602</v>
      </c>
      <c r="U2" s="124"/>
      <c r="V2" s="124"/>
    </row>
    <row r="3" spans="1:22" ht="11.25" customHeight="1" x14ac:dyDescent="0.25">
      <c r="A3" s="123"/>
      <c r="B3" s="123"/>
      <c r="C3" s="123"/>
      <c r="D3" s="123"/>
      <c r="E3" s="117" t="s">
        <v>560</v>
      </c>
      <c r="F3" s="123"/>
      <c r="G3" s="53" t="s">
        <v>588</v>
      </c>
      <c r="H3" s="117" t="s">
        <v>560</v>
      </c>
      <c r="I3" s="123"/>
      <c r="J3" s="53" t="s">
        <v>588</v>
      </c>
      <c r="L3" s="124"/>
      <c r="M3" s="124"/>
      <c r="N3" s="124"/>
      <c r="O3" s="124"/>
      <c r="P3" s="124"/>
      <c r="Q3" s="117" t="s">
        <v>560</v>
      </c>
      <c r="R3" s="124"/>
      <c r="S3" s="53" t="s">
        <v>588</v>
      </c>
      <c r="T3" s="117" t="s">
        <v>560</v>
      </c>
      <c r="U3" s="124"/>
      <c r="V3" s="53" t="s">
        <v>588</v>
      </c>
    </row>
    <row r="4" spans="1:22" ht="11.25" customHeight="1" x14ac:dyDescent="0.25">
      <c r="A4" s="123"/>
      <c r="B4" s="123"/>
      <c r="C4" s="123"/>
      <c r="D4" s="123"/>
      <c r="E4" s="53" t="s">
        <v>834</v>
      </c>
      <c r="F4" s="53" t="s">
        <v>835</v>
      </c>
      <c r="G4" s="53" t="s">
        <v>835</v>
      </c>
      <c r="H4" s="53" t="s">
        <v>834</v>
      </c>
      <c r="I4" s="53" t="s">
        <v>835</v>
      </c>
      <c r="J4" s="53" t="s">
        <v>835</v>
      </c>
      <c r="L4" s="124"/>
      <c r="M4" s="124"/>
      <c r="N4" s="124"/>
      <c r="O4" s="124"/>
      <c r="P4" s="124"/>
      <c r="Q4" s="53" t="s">
        <v>834</v>
      </c>
      <c r="R4" s="53" t="s">
        <v>835</v>
      </c>
      <c r="S4" s="53" t="s">
        <v>835</v>
      </c>
      <c r="T4" s="53" t="s">
        <v>834</v>
      </c>
      <c r="U4" s="53" t="s">
        <v>835</v>
      </c>
      <c r="V4" s="53" t="s">
        <v>835</v>
      </c>
    </row>
    <row r="5" spans="1:22" ht="11.25" customHeight="1" x14ac:dyDescent="0.25">
      <c r="A5" s="122" t="s">
        <v>39</v>
      </c>
      <c r="B5" s="122" t="s">
        <v>40</v>
      </c>
      <c r="C5" s="122" t="s">
        <v>25</v>
      </c>
      <c r="D5" s="54" t="s">
        <v>836</v>
      </c>
      <c r="E5" s="52">
        <f ca="1">ROUND('TUSD BE'!$AM$5+'TUSD BF'!$AM$5+'TUSD CVA'!$AM$5,2)</f>
        <v>57.09</v>
      </c>
      <c r="F5" s="52">
        <f ca="1">ROUND('TUSD BE'!$AM$7+'TUSD BF'!$AM$7+'TUSD CVA'!$AM$7,2)</f>
        <v>109.44</v>
      </c>
      <c r="G5" s="52">
        <f>ROUND('TE BE'!$AB$5+'TE BF'!$AB$5+'TE CVA'!$AB$5,2)</f>
        <v>542.84</v>
      </c>
      <c r="H5" s="52">
        <f ca="1">ROUND('TUSD BE'!$AM$5,2)</f>
        <v>55.97</v>
      </c>
      <c r="I5" s="52">
        <f ca="1">ROUND('TUSD BE'!$AM$7,2)</f>
        <v>109.59</v>
      </c>
      <c r="J5" s="52">
        <f>ROUND('TE BE'!$AB$5,2)</f>
        <v>560.79999999999995</v>
      </c>
      <c r="L5" s="119" t="s">
        <v>22</v>
      </c>
      <c r="M5" s="119" t="s">
        <v>842</v>
      </c>
      <c r="N5" s="119" t="s">
        <v>843</v>
      </c>
      <c r="O5" s="119" t="s">
        <v>843</v>
      </c>
      <c r="P5" s="54" t="s">
        <v>836</v>
      </c>
      <c r="Q5" s="52">
        <v>0</v>
      </c>
      <c r="R5" s="52">
        <f ca="1">ROUND('TUSD BE'!$AM$17+'TUSD BF'!$AM$17+'TUSD CVA'!$AM$17,2)</f>
        <v>914.77</v>
      </c>
      <c r="S5" s="52">
        <f>ROUND('TE BE'!$AB$8+'TE BF'!$AB$8+'TE CVA'!$AB$8,2)</f>
        <v>542.84</v>
      </c>
      <c r="T5" s="52">
        <v>0</v>
      </c>
      <c r="U5" s="52">
        <f ca="1">ROUND('TUSD BE'!$AM$17,2)</f>
        <v>900.67</v>
      </c>
      <c r="V5" s="52">
        <f>ROUND('TE BE'!$AB$8,2)</f>
        <v>560.79999999999995</v>
      </c>
    </row>
    <row r="6" spans="1:22" ht="11.25" customHeight="1" x14ac:dyDescent="0.25">
      <c r="A6" s="123"/>
      <c r="B6" s="123"/>
      <c r="C6" s="123"/>
      <c r="D6" s="54" t="s">
        <v>837</v>
      </c>
      <c r="E6" s="52">
        <f ca="1">ROUND('TUSD BE'!$AM$6+'TUSD BF'!$AM$6+'TUSD CVA'!$AM$6,2)</f>
        <v>19.02</v>
      </c>
      <c r="F6" s="52">
        <f ca="1">ROUND('TUSD BE'!$AM$7+'TUSD BF'!$AM$7+'TUSD CVA'!$AM$7,2)</f>
        <v>109.44</v>
      </c>
      <c r="G6" s="52">
        <f>ROUND('TE BE'!$AB$6+'TE BF'!$AB$6+'TE CVA'!$AB$6,2)</f>
        <v>317.39</v>
      </c>
      <c r="H6" s="52">
        <f ca="1">ROUND('TUSD BE'!$AM$6,2)</f>
        <v>18.649999999999999</v>
      </c>
      <c r="I6" s="52">
        <f ca="1">ROUND('TUSD BE'!$AM$7,2)</f>
        <v>109.59</v>
      </c>
      <c r="J6" s="52">
        <f>ROUND('TE BE'!$AB$6,2)</f>
        <v>328.06</v>
      </c>
      <c r="L6" s="120"/>
      <c r="M6" s="120"/>
      <c r="N6" s="120"/>
      <c r="O6" s="120"/>
      <c r="P6" s="54" t="s">
        <v>844</v>
      </c>
      <c r="Q6" s="52">
        <v>0</v>
      </c>
      <c r="R6" s="52">
        <f ca="1">ROUND('TUSD BE'!$AM$18+'TUSD BF'!$AM$18+'TUSD CVA'!$AM$18,2)</f>
        <v>607.79</v>
      </c>
      <c r="S6" s="52">
        <f>ROUND('TE BE'!$AB$9+'TE BF'!$AB$9+'TE CVA'!$AB$9,2)</f>
        <v>317.39</v>
      </c>
      <c r="T6" s="52">
        <v>0</v>
      </c>
      <c r="U6" s="52">
        <f ca="1">ROUND('TUSD BE'!$AM$18,2)</f>
        <v>599.62</v>
      </c>
      <c r="V6" s="52">
        <f>ROUND('TE BE'!$AB$9,2)</f>
        <v>328.06</v>
      </c>
    </row>
    <row r="7" spans="1:22" ht="11.25" customHeight="1" x14ac:dyDescent="0.25">
      <c r="A7" s="123"/>
      <c r="B7" s="122" t="s">
        <v>838</v>
      </c>
      <c r="C7" s="122" t="s">
        <v>25</v>
      </c>
      <c r="D7" s="54" t="s">
        <v>836</v>
      </c>
      <c r="E7" s="52">
        <f ca="1">ROUND('TUSD BE'!$AM$5+'TUSD BF'!$AM$5+'TUSD CVA'!$AM$5,2)</f>
        <v>57.09</v>
      </c>
      <c r="F7" s="52">
        <f ca="1">ROUND('TUSD BE'!$AM$8+'TUSD BF'!$AM$8+'TUSD CVA'!$AM$8,2)</f>
        <v>59.79</v>
      </c>
      <c r="G7" s="52">
        <v>0</v>
      </c>
      <c r="H7" s="52">
        <f ca="1">ROUND('TUSD BE'!$AM$5,2)</f>
        <v>55.97</v>
      </c>
      <c r="I7" s="52">
        <f ca="1">ROUND('TUSD BE'!$AM$8,2)</f>
        <v>61.74</v>
      </c>
      <c r="J7" s="52">
        <v>0</v>
      </c>
      <c r="L7" s="120"/>
      <c r="M7" s="121"/>
      <c r="N7" s="121"/>
      <c r="O7" s="121"/>
      <c r="P7" s="54" t="s">
        <v>837</v>
      </c>
      <c r="Q7" s="52">
        <v>0</v>
      </c>
      <c r="R7" s="52">
        <f ca="1">ROUND('TUSD BE'!$AM$19+'TUSD BF'!$AM$19+'TUSD CVA'!$AM$19,2)</f>
        <v>300.83</v>
      </c>
      <c r="S7" s="52">
        <f>ROUND('TE BE'!$AB$10+'TE BF'!$AB$10+'TE CVA'!$AB$10,2)</f>
        <v>317.39</v>
      </c>
      <c r="T7" s="52">
        <v>0</v>
      </c>
      <c r="U7" s="52">
        <f ca="1">ROUND('TUSD BE'!$AM$19,2)</f>
        <v>298.58999999999997</v>
      </c>
      <c r="V7" s="52">
        <f>ROUND('TE BE'!$AB$10,2)</f>
        <v>328.06</v>
      </c>
    </row>
    <row r="8" spans="1:22" ht="11.25" customHeight="1" x14ac:dyDescent="0.25">
      <c r="A8" s="123"/>
      <c r="B8" s="123"/>
      <c r="C8" s="123"/>
      <c r="D8" s="54" t="s">
        <v>837</v>
      </c>
      <c r="E8" s="52">
        <f ca="1">ROUND('TUSD BE'!$AM$6+'TUSD BF'!$AM$6+'TUSD CVA'!$AM$6,2)</f>
        <v>19.02</v>
      </c>
      <c r="F8" s="52">
        <f ca="1">ROUND('TUSD BE'!$AM$8+'TUSD BF'!$AM$8+'TUSD CVA'!$AM$8,2)</f>
        <v>59.79</v>
      </c>
      <c r="G8" s="52">
        <v>0</v>
      </c>
      <c r="H8" s="52">
        <f ca="1">ROUND('TUSD BE'!$AM$6,2)</f>
        <v>18.649999999999999</v>
      </c>
      <c r="I8" s="52">
        <f ca="1">ROUND('TUSD BE'!$AM$8,2)</f>
        <v>61.74</v>
      </c>
      <c r="J8" s="52">
        <v>0</v>
      </c>
      <c r="L8" s="120"/>
      <c r="M8" s="54" t="s">
        <v>845</v>
      </c>
      <c r="N8" s="54" t="s">
        <v>843</v>
      </c>
      <c r="O8" s="54" t="s">
        <v>843</v>
      </c>
      <c r="P8" s="54" t="s">
        <v>839</v>
      </c>
      <c r="Q8" s="52">
        <v>0</v>
      </c>
      <c r="R8" s="52">
        <f ca="1">ROUND('TUSD BE'!$AM$25+'TUSD BF'!$AM$25+'TUSD CVA'!$AM$25,2)</f>
        <v>398.95</v>
      </c>
      <c r="S8" s="52">
        <f>ROUND('TE BE'!$AB$16+'TE BF'!$AB$16+'TE CVA'!$AB$16,2)</f>
        <v>336.18</v>
      </c>
      <c r="T8" s="52">
        <v>0</v>
      </c>
      <c r="U8" s="52">
        <f ca="1">ROUND('TUSD BE'!$AM$25,2)</f>
        <v>394.82</v>
      </c>
      <c r="V8" s="52">
        <f>ROUND('TE BE'!$AB$16,2)</f>
        <v>347.45</v>
      </c>
    </row>
    <row r="9" spans="1:22" ht="11.25" customHeight="1" x14ac:dyDescent="0.25">
      <c r="A9" s="123"/>
      <c r="B9" s="122" t="s">
        <v>41</v>
      </c>
      <c r="C9" s="122" t="s">
        <v>25</v>
      </c>
      <c r="D9" s="54" t="s">
        <v>839</v>
      </c>
      <c r="E9" s="52">
        <f ca="1">ROUND('TUSD BE'!$AM$10+'TUSD BF'!$AM$10+'TUSD CVA'!$AM$10,2)</f>
        <v>19.02</v>
      </c>
      <c r="F9" s="52">
        <v>0</v>
      </c>
      <c r="G9" s="52">
        <v>0</v>
      </c>
      <c r="H9" s="52">
        <f ca="1">ROUND('TUSD BE'!$AM$10,2)</f>
        <v>18.649999999999999</v>
      </c>
      <c r="I9" s="52">
        <v>0</v>
      </c>
      <c r="J9" s="52">
        <v>0</v>
      </c>
      <c r="L9" s="120"/>
      <c r="M9" s="54" t="s">
        <v>847</v>
      </c>
      <c r="N9" s="54" t="s">
        <v>843</v>
      </c>
      <c r="O9" s="54" t="s">
        <v>843</v>
      </c>
      <c r="P9" s="54" t="s">
        <v>839</v>
      </c>
      <c r="Q9" s="52">
        <v>0</v>
      </c>
      <c r="R9" s="52">
        <f ca="1">ROUND('TUSD BE'!$AM$20+'TUSD BF'!$AM$20+'TUSD CVA'!$AM$20,2)</f>
        <v>398.95</v>
      </c>
      <c r="S9" s="52">
        <f>ROUND('TE BE'!$AB$11+'TE BF'!$AB$11+'TE CVA'!$AB$11,2)</f>
        <v>336.18</v>
      </c>
      <c r="T9" s="52">
        <v>0</v>
      </c>
      <c r="U9" s="52">
        <f ca="1">ROUND('TUSD BE'!$AM$20,2)</f>
        <v>394.82</v>
      </c>
      <c r="V9" s="52">
        <f>ROUND('TE BE'!$AB$11,2)</f>
        <v>347.45</v>
      </c>
    </row>
    <row r="10" spans="1:22" ht="11.25" customHeight="1" x14ac:dyDescent="0.25">
      <c r="A10" s="123"/>
      <c r="B10" s="123"/>
      <c r="C10" s="123"/>
      <c r="D10" s="54" t="s">
        <v>836</v>
      </c>
      <c r="E10" s="52">
        <v>0</v>
      </c>
      <c r="F10" s="52">
        <f ca="1">ROUND('TUSD BE'!$AM$11+'TUSD BF'!$AM$11+'TUSD CVA'!$AM$11,2)</f>
        <v>1493.78</v>
      </c>
      <c r="G10" s="52">
        <f>ROUND('TE BE'!$AB$5+'TE BF'!$AB$5+'TE CVA'!$AB$5,2)</f>
        <v>542.84</v>
      </c>
      <c r="H10" s="52">
        <v>0</v>
      </c>
      <c r="I10" s="52">
        <f ca="1">ROUND('TUSD BE'!$AM$11,2)</f>
        <v>1466.89</v>
      </c>
      <c r="J10" s="52">
        <f>ROUND('TE BE'!$AB$5,2)</f>
        <v>560.79999999999995</v>
      </c>
      <c r="L10" s="120"/>
      <c r="M10" s="54" t="s">
        <v>845</v>
      </c>
      <c r="N10" s="54" t="s">
        <v>843</v>
      </c>
      <c r="O10" s="54" t="s">
        <v>846</v>
      </c>
      <c r="P10" s="54" t="s">
        <v>839</v>
      </c>
      <c r="Q10" s="52">
        <v>0</v>
      </c>
      <c r="R10" s="52">
        <f ca="1">ROUND('TUSD BE'!$AM$26+'TUSD BF'!$AM$26+'TUSD CVA'!$AM$26,2)</f>
        <v>339.85</v>
      </c>
      <c r="S10" s="52">
        <f>ROUND('TE BE'!$AB$17+'TE BF'!$AB$17+'TE CVA'!$AB$17,2)</f>
        <v>336.18</v>
      </c>
      <c r="T10" s="52">
        <v>0</v>
      </c>
      <c r="U10" s="52">
        <f ca="1">ROUND('TUSD BE'!$AM$26,2)</f>
        <v>337.85</v>
      </c>
      <c r="V10" s="52">
        <f>ROUND('TE BE'!$AB$17,2)</f>
        <v>347.45</v>
      </c>
    </row>
    <row r="11" spans="1:22" ht="11.25" customHeight="1" x14ac:dyDescent="0.25">
      <c r="A11" s="123"/>
      <c r="B11" s="123"/>
      <c r="C11" s="123"/>
      <c r="D11" s="54" t="s">
        <v>837</v>
      </c>
      <c r="E11" s="52">
        <v>0</v>
      </c>
      <c r="F11" s="52">
        <f ca="1">ROUND('TUSD BE'!$AM$12+'TUSD BF'!$AM$12+'TUSD CVA'!$AM$12,2)</f>
        <v>109.44</v>
      </c>
      <c r="G11" s="52">
        <f>ROUND('TE BE'!$AB$6+'TE BF'!$AB$6+'TE CVA'!$AB$6,2)</f>
        <v>317.39</v>
      </c>
      <c r="H11" s="52">
        <v>0</v>
      </c>
      <c r="I11" s="52">
        <f ca="1">ROUND('TUSD BE'!$AM$12,2)</f>
        <v>109.59</v>
      </c>
      <c r="J11" s="52">
        <f>ROUND('TE BE'!$AB$6,2)</f>
        <v>328.06</v>
      </c>
      <c r="L11" s="121"/>
      <c r="M11" s="54" t="s">
        <v>847</v>
      </c>
      <c r="N11" s="54" t="s">
        <v>843</v>
      </c>
      <c r="O11" s="54" t="s">
        <v>846</v>
      </c>
      <c r="P11" s="54" t="s">
        <v>839</v>
      </c>
      <c r="Q11" s="52">
        <v>0</v>
      </c>
      <c r="R11" s="52">
        <f ca="1">ROUND('TUSD BE'!$AM$21+'TUSD BF'!$AM$21+'TUSD CVA'!$AM$21,2)</f>
        <v>339.85</v>
      </c>
      <c r="S11" s="52">
        <f>ROUND('TE BE'!$AB$12+'TE BF'!$AB$12+'TE CVA'!$AB$12,2)</f>
        <v>336.18</v>
      </c>
      <c r="T11" s="52">
        <v>0</v>
      </c>
      <c r="U11" s="52">
        <f ca="1">ROUND('TUSD BE'!$AM$21,2)</f>
        <v>337.85</v>
      </c>
      <c r="V11" s="52">
        <f>ROUND('TE BE'!$AB$12,2)</f>
        <v>347.45</v>
      </c>
    </row>
    <row r="12" spans="1:22" ht="11.25" customHeight="1" x14ac:dyDescent="0.25">
      <c r="A12" s="123"/>
      <c r="B12" s="122" t="s">
        <v>840</v>
      </c>
      <c r="C12" s="122" t="s">
        <v>25</v>
      </c>
      <c r="D12" s="54" t="s">
        <v>839</v>
      </c>
      <c r="E12" s="52">
        <f ca="1">ROUND('TUSD BE'!$AM$10+'TUSD BF'!$AM$10+'TUSD CVA'!$AM$10,2)</f>
        <v>19.02</v>
      </c>
      <c r="F12" s="52">
        <v>0</v>
      </c>
      <c r="G12" s="52">
        <v>0</v>
      </c>
      <c r="H12" s="52">
        <f ca="1">ROUND('TUSD BE'!$AM$10,2)</f>
        <v>18.649999999999999</v>
      </c>
      <c r="I12" s="52">
        <v>0</v>
      </c>
      <c r="J12" s="52">
        <v>0</v>
      </c>
      <c r="L12" s="119" t="s">
        <v>43</v>
      </c>
      <c r="M12" s="119" t="s">
        <v>842</v>
      </c>
      <c r="N12" s="119" t="s">
        <v>848</v>
      </c>
      <c r="O12" s="119" t="s">
        <v>849</v>
      </c>
      <c r="P12" s="54" t="s">
        <v>836</v>
      </c>
      <c r="Q12" s="52">
        <v>0</v>
      </c>
      <c r="R12" s="52">
        <f ca="1">ROUND(('TUSD BE'!$AM$30+'TUSD BF'!$AM$30+'TUSD CVA'!$AM$30)*(1-CUSTOS!$M$38),2)</f>
        <v>895.35</v>
      </c>
      <c r="S12" s="52">
        <f>ROUND(('TE BE'!$AB$21+'TE BF'!$AB$21+'TE CVA'!$AB$21)*(1-CUSTOS!$M$38),2)</f>
        <v>510.27</v>
      </c>
      <c r="T12" s="52">
        <v>0</v>
      </c>
      <c r="U12" s="52">
        <f ca="1">ROUND('TUSD BE'!$AM$30*(1-CUSTOS!$M$38),2)</f>
        <v>881.41</v>
      </c>
      <c r="V12" s="52">
        <f>ROUND('TE BE'!$AB$21*(1-CUSTOS!$M$38),2)</f>
        <v>527.15</v>
      </c>
    </row>
    <row r="13" spans="1:22" ht="11.25" customHeight="1" x14ac:dyDescent="0.25">
      <c r="A13" s="123"/>
      <c r="B13" s="123"/>
      <c r="C13" s="123"/>
      <c r="D13" s="54" t="s">
        <v>836</v>
      </c>
      <c r="E13" s="52">
        <v>0</v>
      </c>
      <c r="F13" s="52">
        <f ca="1">ROUND('TUSD BE'!$AM$13+'TUSD BF'!$AM$13+'TUSD CVA'!$AM$13,2)</f>
        <v>1444.13</v>
      </c>
      <c r="G13" s="52">
        <v>0</v>
      </c>
      <c r="H13" s="52">
        <v>0</v>
      </c>
      <c r="I13" s="52">
        <f ca="1">ROUND('TUSD BE'!$AM$13,2)</f>
        <v>1419.04</v>
      </c>
      <c r="J13" s="52">
        <v>0</v>
      </c>
      <c r="L13" s="120"/>
      <c r="M13" s="120"/>
      <c r="N13" s="120"/>
      <c r="O13" s="120"/>
      <c r="P13" s="54" t="s">
        <v>844</v>
      </c>
      <c r="Q13" s="52">
        <v>0</v>
      </c>
      <c r="R13" s="52">
        <f ca="1">ROUND(('TUSD BE'!$AM$31+'TUSD BF'!$AM$31+'TUSD CVA'!$AM$31)*(1-CUSTOS!$M$38),2)</f>
        <v>592.61</v>
      </c>
      <c r="S13" s="52">
        <f>ROUND(('TE BE'!$AB$22+'TE BF'!$AB$22+'TE CVA'!$AB$22)*(1-CUSTOS!$M$38),2)</f>
        <v>298.33999999999997</v>
      </c>
      <c r="T13" s="52">
        <v>0</v>
      </c>
      <c r="U13" s="52">
        <f ca="1">ROUND('TUSD BE'!$AM$31*(1-CUSTOS!$M$38),2)</f>
        <v>584.52</v>
      </c>
      <c r="V13" s="52">
        <f>ROUND('TE BE'!$AB$22*(1-CUSTOS!$M$38),2)</f>
        <v>308.37</v>
      </c>
    </row>
    <row r="14" spans="1:22" ht="11.25" customHeight="1" x14ac:dyDescent="0.25">
      <c r="A14" s="123"/>
      <c r="B14" s="123"/>
      <c r="C14" s="123"/>
      <c r="D14" s="54" t="s">
        <v>837</v>
      </c>
      <c r="E14" s="52">
        <v>0</v>
      </c>
      <c r="F14" s="52">
        <f ca="1">ROUND('TUSD BE'!$AM$14+'TUSD BF'!$AM$14+'TUSD CVA'!$AM$14,2)</f>
        <v>59.79</v>
      </c>
      <c r="G14" s="52">
        <v>0</v>
      </c>
      <c r="H14" s="52">
        <v>0</v>
      </c>
      <c r="I14" s="52">
        <f ca="1">ROUND('TUSD BE'!$AM$14,2)</f>
        <v>61.74</v>
      </c>
      <c r="J14" s="52">
        <v>0</v>
      </c>
      <c r="L14" s="120"/>
      <c r="M14" s="121"/>
      <c r="N14" s="121"/>
      <c r="O14" s="121"/>
      <c r="P14" s="54" t="s">
        <v>837</v>
      </c>
      <c r="Q14" s="52">
        <v>0</v>
      </c>
      <c r="R14" s="52">
        <f ca="1">ROUND(('TUSD BE'!$AM$32+'TUSD BF'!$AM$32+'TUSD CVA'!$AM$32)*(1-CUSTOS!$M$38),2)</f>
        <v>289.87</v>
      </c>
      <c r="S14" s="52">
        <f>ROUND(('TE BE'!$AB$23+'TE BF'!$AB$23+'TE CVA'!$AB$23)*(1-CUSTOS!$M$38),2)</f>
        <v>298.33999999999997</v>
      </c>
      <c r="T14" s="52">
        <v>0</v>
      </c>
      <c r="U14" s="52">
        <f ca="1">ROUND('TUSD BE'!$AM$32*(1-CUSTOS!$M$38),2)</f>
        <v>287.62</v>
      </c>
      <c r="V14" s="52">
        <f>ROUND('TE BE'!$AB$23*(1-CUSTOS!$M$38),2)</f>
        <v>308.37</v>
      </c>
    </row>
    <row r="15" spans="1:22" ht="11.25" customHeight="1" x14ac:dyDescent="0.25">
      <c r="A15" s="123"/>
      <c r="B15" s="54" t="s">
        <v>81</v>
      </c>
      <c r="C15" s="54" t="s">
        <v>25</v>
      </c>
      <c r="D15" s="54" t="s">
        <v>839</v>
      </c>
      <c r="E15" s="52">
        <f ca="1">ROUND('TUSD BE'!$AM$9+'TUSD BF'!$AM$9+'TUSD CVA'!$AM$9,2)</f>
        <v>14.98</v>
      </c>
      <c r="F15" s="52">
        <v>0</v>
      </c>
      <c r="G15" s="52">
        <v>0</v>
      </c>
      <c r="H15" s="52">
        <f ca="1">ROUND('TUSD BE'!$AM$9,2)</f>
        <v>14.67</v>
      </c>
      <c r="I15" s="52">
        <v>0</v>
      </c>
      <c r="J15" s="52">
        <v>0</v>
      </c>
      <c r="L15" s="120"/>
      <c r="M15" s="54" t="s">
        <v>845</v>
      </c>
      <c r="N15" s="54" t="s">
        <v>848</v>
      </c>
      <c r="O15" s="54" t="s">
        <v>849</v>
      </c>
      <c r="P15" s="54" t="s">
        <v>839</v>
      </c>
      <c r="Q15" s="52">
        <v>0</v>
      </c>
      <c r="R15" s="52">
        <f ca="1">ROUND(('TUSD BE'!$AM$42+'TUSD BF'!$AM$42+'TUSD CVA'!$AM$42)*(1-CUSTOS!$M$38),2)</f>
        <v>375.02</v>
      </c>
      <c r="S15" s="52">
        <f>ROUND(('TE BE'!$AB$33+'TE BF'!$AB$33+'TE CVA'!$AB$33)*(1-CUSTOS!$M$38),2)</f>
        <v>316</v>
      </c>
      <c r="T15" s="52">
        <v>0</v>
      </c>
      <c r="U15" s="52">
        <f ca="1">ROUND(('TUSD BE'!$AM$42)*(1-CUSTOS!$M$38),2)</f>
        <v>371.13</v>
      </c>
      <c r="V15" s="52">
        <f>ROUND(('TE BE'!$AB$33)*(1-CUSTOS!$M$38),2)</f>
        <v>326.60000000000002</v>
      </c>
    </row>
    <row r="16" spans="1:22" ht="11.25" customHeight="1" x14ac:dyDescent="0.25">
      <c r="L16" s="120"/>
      <c r="M16" s="54" t="s">
        <v>847</v>
      </c>
      <c r="N16" s="54" t="s">
        <v>848</v>
      </c>
      <c r="O16" s="54" t="s">
        <v>849</v>
      </c>
      <c r="P16" s="54" t="s">
        <v>839</v>
      </c>
      <c r="Q16" s="52">
        <v>0</v>
      </c>
      <c r="R16" s="52">
        <f ca="1">ROUND(('TUSD BE'!$AM$33+'TUSD BF'!$AM$33+'TUSD CVA'!$AM$33)*(1-CUSTOS!$M$38),2)</f>
        <v>375.02</v>
      </c>
      <c r="S16" s="52">
        <f>ROUND(('TE BE'!$AB$24+'TE BF'!$AB$24+'TE CVA'!$AB$24)*(1-CUSTOS!$M$38),2)</f>
        <v>316</v>
      </c>
      <c r="T16" s="52">
        <v>0</v>
      </c>
      <c r="U16" s="52">
        <f ca="1">ROUND(('TUSD BE'!$AM$33)*(1-CUSTOS!$M$38),2)</f>
        <v>371.13</v>
      </c>
      <c r="V16" s="52">
        <f>ROUND(('TE BE'!$AB$24)*(1-CUSTOS!$M$38),2)</f>
        <v>326.60000000000002</v>
      </c>
    </row>
    <row r="17" spans="12:22" ht="11.25" customHeight="1" x14ac:dyDescent="0.25">
      <c r="L17" s="120"/>
      <c r="M17" s="119" t="s">
        <v>842</v>
      </c>
      <c r="N17" s="119" t="s">
        <v>848</v>
      </c>
      <c r="O17" s="119" t="s">
        <v>850</v>
      </c>
      <c r="P17" s="54" t="s">
        <v>836</v>
      </c>
      <c r="Q17" s="52">
        <v>0</v>
      </c>
      <c r="R17" s="52">
        <f ca="1">ROUND(('TUSD BE'!$AM$34+'TUSD BF'!$AM$34+'TUSD CVA'!$AM$34)*(1-CUSTOS!$M$39),2)</f>
        <v>895.35</v>
      </c>
      <c r="S17" s="52">
        <f>ROUND(('TE BE'!$AB$25+'TE BF'!$AB$25+'TE CVA'!$AB$25)*(1-CUSTOS!$M$39),2)</f>
        <v>510.27</v>
      </c>
      <c r="T17" s="52">
        <v>0</v>
      </c>
      <c r="U17" s="52">
        <f ca="1">ROUND('TUSD BE'!$AM$34*(1-CUSTOS!$M$39),2)</f>
        <v>881.41</v>
      </c>
      <c r="V17" s="52">
        <f>ROUND('TE BE'!$AB$25*(1-CUSTOS!$M$39),2)</f>
        <v>527.15</v>
      </c>
    </row>
    <row r="18" spans="12:22" ht="11.25" customHeight="1" x14ac:dyDescent="0.25">
      <c r="L18" s="120"/>
      <c r="M18" s="120"/>
      <c r="N18" s="120"/>
      <c r="O18" s="120"/>
      <c r="P18" s="54" t="s">
        <v>844</v>
      </c>
      <c r="Q18" s="52">
        <v>0</v>
      </c>
      <c r="R18" s="52">
        <f ca="1">ROUND(('TUSD BE'!$AM$35+'TUSD BF'!$AM$35+'TUSD CVA'!$AM$35)*(1-CUSTOS!$M$39),2)</f>
        <v>592.61</v>
      </c>
      <c r="S18" s="52">
        <f>ROUND(('TE BE'!$AB$26+'TE BF'!$AB$26+'TE CVA'!$AB$26)*(1-CUSTOS!$M$39),2)</f>
        <v>298.33999999999997</v>
      </c>
      <c r="T18" s="52">
        <v>0</v>
      </c>
      <c r="U18" s="52">
        <f ca="1">ROUND('TUSD BE'!$AM$35*(1-CUSTOS!$M$39),2)</f>
        <v>584.52</v>
      </c>
      <c r="V18" s="52">
        <f>ROUND('TE BE'!$AB$26*(1-CUSTOS!$M$39),2)</f>
        <v>308.37</v>
      </c>
    </row>
    <row r="19" spans="12:22" ht="11.25" customHeight="1" x14ac:dyDescent="0.25">
      <c r="L19" s="120"/>
      <c r="M19" s="121"/>
      <c r="N19" s="121"/>
      <c r="O19" s="121"/>
      <c r="P19" s="54" t="s">
        <v>837</v>
      </c>
      <c r="Q19" s="52">
        <v>0</v>
      </c>
      <c r="R19" s="52">
        <f ca="1">ROUND(('TUSD BE'!$AM$36+'TUSD BF'!$AM$36+'TUSD CVA'!$AM$36)*(1-CUSTOS!$M$39),2)</f>
        <v>289.87</v>
      </c>
      <c r="S19" s="52">
        <f>ROUND(('TE BE'!$AB$27+'TE BF'!$AB$27+'TE CVA'!$AB$27)*(1-CUSTOS!$M$39),2)</f>
        <v>298.33999999999997</v>
      </c>
      <c r="T19" s="52">
        <v>0</v>
      </c>
      <c r="U19" s="52">
        <f ca="1">ROUND('TUSD BE'!$AM$36*(1-CUSTOS!$M$39),2)</f>
        <v>287.62</v>
      </c>
      <c r="V19" s="52">
        <f>ROUND('TE BE'!$AB$27*(1-CUSTOS!$M$39),2)</f>
        <v>308.37</v>
      </c>
    </row>
    <row r="20" spans="12:22" ht="11.25" customHeight="1" x14ac:dyDescent="0.25">
      <c r="L20" s="120"/>
      <c r="M20" s="54" t="s">
        <v>845</v>
      </c>
      <c r="N20" s="54" t="s">
        <v>848</v>
      </c>
      <c r="O20" s="54" t="s">
        <v>850</v>
      </c>
      <c r="P20" s="54" t="s">
        <v>839</v>
      </c>
      <c r="Q20" s="52">
        <v>0</v>
      </c>
      <c r="R20" s="52">
        <f ca="1">ROUND(('TUSD BE'!$AM$42+'TUSD BF'!$AM$42+'TUSD CVA'!$AM$42)*(1-CUSTOS!$M$39),2)</f>
        <v>375.02</v>
      </c>
      <c r="S20" s="52">
        <f>ROUND(('TE BE'!$AB$33+'TE BF'!$AB$33+'TE CVA'!$AB$33)*(1-CUSTOS!$M$39),2)</f>
        <v>316</v>
      </c>
      <c r="T20" s="52">
        <v>0</v>
      </c>
      <c r="U20" s="52">
        <f ca="1">ROUND(('TUSD BE'!$AM$42)*(1-CUSTOS!$M$39),2)</f>
        <v>371.13</v>
      </c>
      <c r="V20" s="52">
        <f>ROUND(('TE BE'!$AB$33)*(1-CUSTOS!$M$39),2)</f>
        <v>326.60000000000002</v>
      </c>
    </row>
    <row r="21" spans="12:22" ht="11.25" customHeight="1" x14ac:dyDescent="0.25">
      <c r="L21" s="120"/>
      <c r="M21" s="54" t="s">
        <v>847</v>
      </c>
      <c r="N21" s="54" t="s">
        <v>848</v>
      </c>
      <c r="O21" s="54" t="s">
        <v>850</v>
      </c>
      <c r="P21" s="54" t="s">
        <v>839</v>
      </c>
      <c r="Q21" s="52">
        <v>0</v>
      </c>
      <c r="R21" s="52">
        <f ca="1">ROUND(('TUSD BE'!$AM$33+'TUSD BF'!$AM$33+'TUSD CVA'!$AM$33)*(1-CUSTOS!$M$39),2)</f>
        <v>375.02</v>
      </c>
      <c r="S21" s="52">
        <f>ROUND(('TE BE'!$AB$24+'TE BF'!$AB$24+'TE CVA'!$AB$24)*(1-CUSTOS!$M$39),2)</f>
        <v>316</v>
      </c>
      <c r="T21" s="52">
        <v>0</v>
      </c>
      <c r="U21" s="52">
        <f ca="1">ROUND(('TUSD BE'!$AM$33)*(1-CUSTOS!$M$39),2)</f>
        <v>371.13</v>
      </c>
      <c r="V21" s="52">
        <f>ROUND(('TE BE'!$AB$24)*(1-CUSTOS!$M$39),2)</f>
        <v>326.60000000000002</v>
      </c>
    </row>
    <row r="22" spans="12:22" ht="11.25" customHeight="1" x14ac:dyDescent="0.25">
      <c r="L22" s="120"/>
      <c r="M22" s="119" t="s">
        <v>842</v>
      </c>
      <c r="N22" s="119" t="s">
        <v>848</v>
      </c>
      <c r="O22" s="119" t="s">
        <v>851</v>
      </c>
      <c r="P22" s="54" t="s">
        <v>836</v>
      </c>
      <c r="Q22" s="52">
        <v>0</v>
      </c>
      <c r="R22" s="52">
        <f ca="1">ROUND(('TUSD BE'!$AM$38+'TUSD BF'!$AM$38+'TUSD CVA'!$AM$38)*(1-CUSTOS!$M$40),2)</f>
        <v>876.3</v>
      </c>
      <c r="S22" s="52">
        <f>ROUND(('TE BE'!$AB$29+'TE BF'!$AB$29+'TE CVA'!$AB$29)*(1-CUSTOS!$M$40),2)</f>
        <v>499.42</v>
      </c>
      <c r="T22" s="52">
        <v>0</v>
      </c>
      <c r="U22" s="52">
        <f ca="1">ROUND('TUSD BE'!$AM$38*(1-CUSTOS!$M$40),2)</f>
        <v>862.66</v>
      </c>
      <c r="V22" s="52">
        <f>ROUND('TE BE'!$AB$29*(1-CUSTOS!$M$40),2)</f>
        <v>515.94000000000005</v>
      </c>
    </row>
    <row r="23" spans="12:22" ht="11.25" customHeight="1" x14ac:dyDescent="0.25">
      <c r="L23" s="120"/>
      <c r="M23" s="120"/>
      <c r="N23" s="120"/>
      <c r="O23" s="120"/>
      <c r="P23" s="54" t="s">
        <v>844</v>
      </c>
      <c r="Q23" s="52">
        <v>0</v>
      </c>
      <c r="R23" s="52">
        <f ca="1">ROUND(('TUSD BE'!$AM$39+'TUSD BF'!$AM$39+'TUSD CVA'!$AM$39)*(1-CUSTOS!$M$40),2)</f>
        <v>580</v>
      </c>
      <c r="S23" s="52">
        <f>ROUND(('TE BE'!$AB$30+'TE BF'!$AB$30+'TE CVA'!$AB$30)*(1-CUSTOS!$M$40),2)</f>
        <v>292</v>
      </c>
      <c r="T23" s="52">
        <v>0</v>
      </c>
      <c r="U23" s="52">
        <f ca="1">ROUND('TUSD BE'!$AM$39*(1-CUSTOS!$M$40),2)</f>
        <v>572.08000000000004</v>
      </c>
      <c r="V23" s="52">
        <f>ROUND('TE BE'!$AB$30*(1-CUSTOS!$M$40),2)</f>
        <v>301.81</v>
      </c>
    </row>
    <row r="24" spans="12:22" ht="11.25" customHeight="1" x14ac:dyDescent="0.25">
      <c r="L24" s="120"/>
      <c r="M24" s="121"/>
      <c r="N24" s="121"/>
      <c r="O24" s="121"/>
      <c r="P24" s="54" t="s">
        <v>837</v>
      </c>
      <c r="Q24" s="52">
        <v>0</v>
      </c>
      <c r="R24" s="52">
        <f ca="1">ROUND(('TUSD BE'!$AM$40+'TUSD BF'!$AM$40+'TUSD CVA'!$AM$40)*(1-CUSTOS!$M$40),2)</f>
        <v>283.7</v>
      </c>
      <c r="S24" s="52">
        <f>ROUND(('TE BE'!$AB$31+'TE BF'!$AB$31+'TE CVA'!$AB$31)*(1-CUSTOS!$M$40),2)</f>
        <v>292</v>
      </c>
      <c r="T24" s="52">
        <v>0</v>
      </c>
      <c r="U24" s="52">
        <f ca="1">ROUND('TUSD BE'!$AM$40*(1-CUSTOS!$M$40),2)</f>
        <v>281.5</v>
      </c>
      <c r="V24" s="52">
        <f>ROUND('TE BE'!$AB$31*(1-CUSTOS!$M$40),2)</f>
        <v>301.81</v>
      </c>
    </row>
    <row r="25" spans="12:22" ht="11.25" customHeight="1" x14ac:dyDescent="0.25">
      <c r="L25" s="120"/>
      <c r="M25" s="54" t="s">
        <v>845</v>
      </c>
      <c r="N25" s="54" t="s">
        <v>848</v>
      </c>
      <c r="O25" s="54" t="s">
        <v>851</v>
      </c>
      <c r="P25" s="54" t="s">
        <v>839</v>
      </c>
      <c r="Q25" s="52">
        <v>0</v>
      </c>
      <c r="R25" s="52">
        <f ca="1">ROUND(('TUSD BE'!$AM$42+'TUSD BF'!$AM$42+'TUSD CVA'!$AM$42)*(1-CUSTOS!$M$40),2)</f>
        <v>367.04</v>
      </c>
      <c r="S25" s="52">
        <f>ROUND(('TE BE'!$AB$33+'TE BF'!$AB$33+'TE CVA'!$AB$33)*(1-CUSTOS!$M$40),2)</f>
        <v>309.27999999999997</v>
      </c>
      <c r="T25" s="52">
        <v>0</v>
      </c>
      <c r="U25" s="52">
        <f ca="1">ROUND(('TUSD BE'!$AM$42)*(1-CUSTOS!$M$40),2)</f>
        <v>363.23</v>
      </c>
      <c r="V25" s="52">
        <f>ROUND(('TE BE'!$AB$33)*(1-CUSTOS!$M$40),2)</f>
        <v>319.64999999999998</v>
      </c>
    </row>
    <row r="26" spans="12:22" ht="11.25" customHeight="1" x14ac:dyDescent="0.25">
      <c r="L26" s="121"/>
      <c r="M26" s="54" t="s">
        <v>847</v>
      </c>
      <c r="N26" s="54" t="s">
        <v>848</v>
      </c>
      <c r="O26" s="54" t="s">
        <v>851</v>
      </c>
      <c r="P26" s="54" t="s">
        <v>839</v>
      </c>
      <c r="Q26" s="52">
        <v>0</v>
      </c>
      <c r="R26" s="52">
        <f ca="1">ROUND(('TUSD BE'!$AM$33+'TUSD BF'!$AM$33+'TUSD CVA'!$AM$33)*(1-CUSTOS!$M$40),2)</f>
        <v>367.04</v>
      </c>
      <c r="S26" s="52">
        <f>ROUND(('TE BE'!$AB$24+'TE BF'!$AB$24+'TE CVA'!$AB$24)*(1-CUSTOS!$M$40),2)</f>
        <v>309.27999999999997</v>
      </c>
      <c r="T26" s="52">
        <v>0</v>
      </c>
      <c r="U26" s="52">
        <f ca="1">ROUND(('TUSD BE'!$AM$33)*(1-CUSTOS!$M$40),2)</f>
        <v>363.23</v>
      </c>
      <c r="V26" s="52">
        <f>ROUND(('TE BE'!$AB$24)*(1-CUSTOS!$M$40),2)</f>
        <v>319.64999999999998</v>
      </c>
    </row>
    <row r="27" spans="12:22" ht="11.25" customHeight="1" x14ac:dyDescent="0.25">
      <c r="L27" s="119" t="s">
        <v>37</v>
      </c>
      <c r="M27" s="119" t="s">
        <v>842</v>
      </c>
      <c r="N27" s="119" t="s">
        <v>839</v>
      </c>
      <c r="O27" s="119" t="s">
        <v>839</v>
      </c>
      <c r="P27" s="54" t="s">
        <v>836</v>
      </c>
      <c r="Q27" s="52">
        <v>0</v>
      </c>
      <c r="R27" s="52">
        <f ca="1">ROUND(('TUSD BE'!$AM$45+'TUSD BF'!$AM$45+'TUSD CVA'!$AM$45)*(1-CUSTOS!$M$31),2)</f>
        <v>1090.8900000000001</v>
      </c>
      <c r="S27" s="52">
        <f>ROUND(('TE BE'!$AB$36+'TE BF'!$AB$36+'TE CVA'!$AB$36)*(1-CUSTOS!$M$31),2)</f>
        <v>542.84</v>
      </c>
      <c r="T27" s="52">
        <v>0</v>
      </c>
      <c r="U27" s="52">
        <f ca="1">ROUND('TUSD BE'!$AM$45*(1-CUSTOS!$M$31),2)</f>
        <v>1073.3900000000001</v>
      </c>
      <c r="V27" s="52">
        <f>ROUND('TE BE'!$AB$36*(1-CUSTOS!$M$31),2)</f>
        <v>560.79999999999995</v>
      </c>
    </row>
    <row r="28" spans="12:22" ht="11.25" customHeight="1" x14ac:dyDescent="0.25">
      <c r="L28" s="120"/>
      <c r="M28" s="120"/>
      <c r="N28" s="120"/>
      <c r="O28" s="120"/>
      <c r="P28" s="54" t="s">
        <v>844</v>
      </c>
      <c r="Q28" s="52">
        <v>0</v>
      </c>
      <c r="R28" s="52">
        <f ca="1">ROUND(('TUSD BE'!$AM$46+'TUSD BF'!$AM$46+'TUSD CVA'!$AM$46)*(1-CUSTOS!$M$31),2)</f>
        <v>713.48</v>
      </c>
      <c r="S28" s="52">
        <f>ROUND(('TE BE'!$AB$37+'TE BF'!$AB$37+'TE CVA'!$AB$37)*(1-CUSTOS!$M$31),2)</f>
        <v>317.39</v>
      </c>
      <c r="T28" s="52">
        <v>0</v>
      </c>
      <c r="U28" s="52">
        <f ca="1">ROUND('TUSD BE'!$AM$46*(1-CUSTOS!$M$31),2)</f>
        <v>703.26</v>
      </c>
      <c r="V28" s="52">
        <f>ROUND('TE BE'!$AB$37*(1-CUSTOS!$M$31),2)</f>
        <v>328.06</v>
      </c>
    </row>
    <row r="29" spans="12:22" ht="11.25" customHeight="1" x14ac:dyDescent="0.25">
      <c r="L29" s="120"/>
      <c r="M29" s="121"/>
      <c r="N29" s="121"/>
      <c r="O29" s="121"/>
      <c r="P29" s="54" t="s">
        <v>837</v>
      </c>
      <c r="Q29" s="52">
        <v>0</v>
      </c>
      <c r="R29" s="52">
        <f ca="1">ROUND(('TUSD BE'!$AM$47+'TUSD BF'!$AM$47+'TUSD CVA'!$AM$47)*(1-CUSTOS!$M$31),2)</f>
        <v>336.05</v>
      </c>
      <c r="S29" s="52">
        <f>ROUND(('TE BE'!$AB$38+'TE BF'!$AB$38+'TE CVA'!$AB$38)*(1-CUSTOS!$M$31),2)</f>
        <v>317.39</v>
      </c>
      <c r="T29" s="52">
        <v>0</v>
      </c>
      <c r="U29" s="52">
        <f ca="1">ROUND('TUSD BE'!$AM$47*(1-CUSTOS!$M$31),2)</f>
        <v>333.12</v>
      </c>
      <c r="V29" s="52">
        <f>ROUND('TE BE'!$AB$38*(1-CUSTOS!$M$31),2)</f>
        <v>328.06</v>
      </c>
    </row>
    <row r="30" spans="12:22" ht="11.25" customHeight="1" x14ac:dyDescent="0.25">
      <c r="L30" s="120"/>
      <c r="M30" s="54" t="s">
        <v>845</v>
      </c>
      <c r="N30" s="54" t="s">
        <v>839</v>
      </c>
      <c r="O30" s="54" t="s">
        <v>839</v>
      </c>
      <c r="P30" s="54" t="s">
        <v>839</v>
      </c>
      <c r="Q30" s="52">
        <v>0</v>
      </c>
      <c r="R30" s="52">
        <f ca="1">ROUND(('TUSD BE'!$AM$49+'TUSD BF'!$AM$49+'TUSD CVA'!$AM$49)*(1-CUSTOS!$M$31),2)</f>
        <v>398.95</v>
      </c>
      <c r="S30" s="52">
        <f>ROUND(('TE BE'!$AB$40+'TE BF'!$AB$40+'TE CVA'!$AB$40)*(1-CUSTOS!$M$31),2)</f>
        <v>336.18</v>
      </c>
      <c r="T30" s="52">
        <v>0</v>
      </c>
      <c r="U30" s="52">
        <f ca="1">ROUND(('TUSD BE'!$AM$49)*(1-CUSTOS!$M$31),2)</f>
        <v>394.82</v>
      </c>
      <c r="V30" s="52">
        <f>ROUND(('TE BE'!$AB$40)*(1-CUSTOS!$M$31),2)</f>
        <v>347.45</v>
      </c>
    </row>
    <row r="31" spans="12:22" ht="11.25" customHeight="1" x14ac:dyDescent="0.25">
      <c r="L31" s="121"/>
      <c r="M31" s="54" t="s">
        <v>847</v>
      </c>
      <c r="N31" s="54" t="s">
        <v>839</v>
      </c>
      <c r="O31" s="54" t="s">
        <v>839</v>
      </c>
      <c r="P31" s="54" t="s">
        <v>839</v>
      </c>
      <c r="Q31" s="52">
        <v>0</v>
      </c>
      <c r="R31" s="52">
        <f ca="1">ROUND(('TUSD BE'!$AM$48+'TUSD BF'!$AM$48+'TUSD CVA'!$AM$48)*(1-CUSTOS!$M$31),2)</f>
        <v>398.95</v>
      </c>
      <c r="S31" s="52">
        <f>ROUND(('TE BE'!$AB$39+'TE BF'!$AB$39+'TE CVA'!$AB$39)*(1-CUSTOS!$M$31),2)</f>
        <v>336.18</v>
      </c>
      <c r="T31" s="52">
        <v>0</v>
      </c>
      <c r="U31" s="52">
        <f ca="1">ROUND(('TUSD BE'!$AM$48)*(1-CUSTOS!$M$31),2)</f>
        <v>394.82</v>
      </c>
      <c r="V31" s="52">
        <f>ROUND(('TE BE'!$AB$39)*(1-CUSTOS!$M$31),2)</f>
        <v>347.45</v>
      </c>
    </row>
    <row r="32" spans="12:22" ht="11.25" customHeight="1" x14ac:dyDescent="0.25">
      <c r="L32" s="119" t="s">
        <v>46</v>
      </c>
      <c r="M32" s="119" t="s">
        <v>847</v>
      </c>
      <c r="N32" s="119" t="s">
        <v>852</v>
      </c>
      <c r="O32" s="54" t="s">
        <v>853</v>
      </c>
      <c r="P32" s="54" t="s">
        <v>839</v>
      </c>
      <c r="Q32" s="52">
        <v>0</v>
      </c>
      <c r="R32" s="52">
        <f ca="1">ROUND(('TUSD BE'!$AM$50+'TUSD BF'!$AM$50+'TUSD CVA'!$AM$50),2)</f>
        <v>219.42</v>
      </c>
      <c r="S32" s="52">
        <f>ROUND(('TE BE'!$AB$41+'TE BF'!$AB$41+'TE CVA'!$AB$41),2)</f>
        <v>184.9</v>
      </c>
      <c r="T32" s="52">
        <v>0</v>
      </c>
      <c r="U32" s="52">
        <f ca="1">ROUND(('TUSD BE'!$AM$50),2)</f>
        <v>217.15</v>
      </c>
      <c r="V32" s="52">
        <f>ROUND(('TE BE'!$AB$41),2)</f>
        <v>191.1</v>
      </c>
    </row>
    <row r="33" spans="12:22" ht="11.25" customHeight="1" x14ac:dyDescent="0.25">
      <c r="L33" s="121"/>
      <c r="M33" s="121"/>
      <c r="N33" s="121"/>
      <c r="O33" s="54" t="s">
        <v>854</v>
      </c>
      <c r="P33" s="54" t="s">
        <v>839</v>
      </c>
      <c r="Q33" s="52">
        <v>0</v>
      </c>
      <c r="R33" s="52">
        <f ca="1">ROUND(('TUSD BE'!$AM$51+'TUSD BF'!$AM$51+'TUSD CVA'!$AM$51),2)</f>
        <v>239.37</v>
      </c>
      <c r="S33" s="52">
        <f>ROUND(('TE BE'!$AB$42+'TE BF'!$AB$42+'TE CVA'!$AB$42),2)</f>
        <v>201.71</v>
      </c>
      <c r="T33" s="52">
        <v>0</v>
      </c>
      <c r="U33" s="52">
        <f ca="1">ROUND(('TUSD BE'!$AM$51),2)</f>
        <v>236.89</v>
      </c>
      <c r="V33" s="52">
        <f>ROUND(('TE BE'!$AB$42),2)</f>
        <v>208.47</v>
      </c>
    </row>
    <row r="34" spans="12:22" ht="11.25" customHeight="1" x14ac:dyDescent="0.25">
      <c r="L34" s="119" t="s">
        <v>82</v>
      </c>
      <c r="M34" s="119" t="s">
        <v>855</v>
      </c>
      <c r="N34" s="54" t="s">
        <v>83</v>
      </c>
      <c r="O34" s="54" t="s">
        <v>839</v>
      </c>
      <c r="P34" s="54" t="s">
        <v>839</v>
      </c>
      <c r="Q34" s="52">
        <f ca="1">ROUND(('TUSD BE'!$AM$15+'TUSD BF'!$AM$15+'TUSD CVA'!$AM$15),2)</f>
        <v>4.3499999999999996</v>
      </c>
      <c r="R34" s="52">
        <v>0</v>
      </c>
      <c r="S34" s="52">
        <v>0</v>
      </c>
      <c r="T34" s="52">
        <f ca="1">ROUND(('TUSD BE'!$AM$15),2)</f>
        <v>4.26</v>
      </c>
      <c r="U34" s="52">
        <v>0</v>
      </c>
      <c r="V34" s="52">
        <v>0</v>
      </c>
    </row>
    <row r="35" spans="12:22" ht="11.25" customHeight="1" x14ac:dyDescent="0.25">
      <c r="L35" s="121"/>
      <c r="M35" s="121"/>
      <c r="N35" s="54" t="s">
        <v>84</v>
      </c>
      <c r="O35" s="54" t="s">
        <v>839</v>
      </c>
      <c r="P35" s="54" t="s">
        <v>839</v>
      </c>
      <c r="Q35" s="52">
        <f ca="1">ROUND(('TUSD BE'!$AM$16+'TUSD BF'!$AM$16+'TUSD CVA'!$AM$16),2)</f>
        <v>21.45</v>
      </c>
      <c r="R35" s="52">
        <v>0</v>
      </c>
      <c r="S35" s="52">
        <v>0</v>
      </c>
      <c r="T35" s="52">
        <f ca="1">ROUND(('TUSD BE'!$AM$16),2)</f>
        <v>20.99</v>
      </c>
      <c r="U35" s="52">
        <v>0</v>
      </c>
      <c r="V35" s="52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F11B1-6ACF-4417-9EC6-22D2B4E14B05}">
  <dimension ref="A1:AN1156"/>
  <sheetViews>
    <sheetView showGridLines="0" workbookViewId="0">
      <selection sqref="A1:O1156 Q1:AJ13"/>
    </sheetView>
  </sheetViews>
  <sheetFormatPr defaultRowHeight="11.25" customHeight="1" x14ac:dyDescent="0.25"/>
  <cols>
    <col min="1" max="1" width="23.710937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8" width="10.28515625" style="3" bestFit="1" customWidth="1"/>
    <col min="9" max="9" width="8.7109375" style="6" bestFit="1" customWidth="1"/>
    <col min="10" max="10" width="10.140625" style="4" bestFit="1" customWidth="1"/>
    <col min="11" max="12" width="10.85546875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8.71093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65" t="s">
        <v>8</v>
      </c>
      <c r="J1" s="53" t="s">
        <v>802</v>
      </c>
      <c r="K1" s="53" t="s">
        <v>803</v>
      </c>
      <c r="L1" s="53" t="s">
        <v>804</v>
      </c>
      <c r="M1" s="53" t="s">
        <v>805</v>
      </c>
      <c r="N1" s="53" t="s">
        <v>806</v>
      </c>
      <c r="O1" s="53" t="s">
        <v>807</v>
      </c>
      <c r="P1" s="7"/>
      <c r="Q1" s="117" t="s">
        <v>808</v>
      </c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L1" s="57" t="s">
        <v>829</v>
      </c>
      <c r="AM1" s="57" t="s">
        <v>59</v>
      </c>
      <c r="AN1" s="57" t="s">
        <v>830</v>
      </c>
    </row>
    <row r="2" spans="1:40" ht="11.25" customHeight="1" x14ac:dyDescent="0.2">
      <c r="A2" s="58" t="s">
        <v>21</v>
      </c>
      <c r="B2" s="58" t="s">
        <v>39</v>
      </c>
      <c r="C2" s="58" t="s">
        <v>40</v>
      </c>
      <c r="D2" s="58" t="s">
        <v>42</v>
      </c>
      <c r="E2" s="58" t="s">
        <v>25</v>
      </c>
      <c r="F2" s="58" t="s">
        <v>25</v>
      </c>
      <c r="G2" s="58" t="s">
        <v>25</v>
      </c>
      <c r="H2" s="58" t="s">
        <v>35</v>
      </c>
      <c r="I2" s="66">
        <v>44501</v>
      </c>
      <c r="J2" s="67">
        <f ca="1">EFEITO!$J$2*EFEITO!$Y$2</f>
        <v>130336.69045778178</v>
      </c>
      <c r="K2" s="67">
        <f ca="1">EFEITO!$L$2*EFEITO!$Z$2</f>
        <v>236702.28525155335</v>
      </c>
      <c r="L2" s="67">
        <f>EFEITO!$N$2*EFEITO!$AA$2</f>
        <v>686449.07090811653</v>
      </c>
      <c r="M2" s="67">
        <f ca="1">$J$2-EFEITO!$K$2*EFEITO!$Y$2</f>
        <v>0</v>
      </c>
      <c r="N2" s="67">
        <f ca="1">$K$2-EFEITO!$M$2*EFEITO!$Z$2</f>
        <v>0</v>
      </c>
      <c r="O2" s="67">
        <f>$L$2-EFEITO!$O$2*EFEITO!$AA$2</f>
        <v>0</v>
      </c>
      <c r="P2" s="18"/>
      <c r="Q2" s="51" t="s">
        <v>62</v>
      </c>
      <c r="R2" s="51" t="s">
        <v>810</v>
      </c>
      <c r="S2" s="51" t="s">
        <v>811</v>
      </c>
      <c r="T2" s="51" t="s">
        <v>812</v>
      </c>
      <c r="U2" s="51" t="s">
        <v>813</v>
      </c>
      <c r="V2" s="51" t="s">
        <v>814</v>
      </c>
      <c r="W2" s="51" t="s">
        <v>815</v>
      </c>
      <c r="X2" s="68" t="s">
        <v>816</v>
      </c>
      <c r="Y2" s="68" t="s">
        <v>817</v>
      </c>
      <c r="Z2" s="68" t="s">
        <v>818</v>
      </c>
      <c r="AA2" s="68" t="s">
        <v>819</v>
      </c>
      <c r="AB2" s="68" t="s">
        <v>820</v>
      </c>
      <c r="AC2" s="68" t="s">
        <v>821</v>
      </c>
      <c r="AD2" s="68" t="s">
        <v>822</v>
      </c>
      <c r="AE2" s="68" t="s">
        <v>823</v>
      </c>
      <c r="AF2" s="68" t="s">
        <v>824</v>
      </c>
      <c r="AG2" s="68" t="s">
        <v>825</v>
      </c>
      <c r="AH2" s="68" t="s">
        <v>826</v>
      </c>
      <c r="AI2" s="68" t="s">
        <v>827</v>
      </c>
      <c r="AJ2" s="68" t="s">
        <v>828</v>
      </c>
      <c r="AL2" s="58"/>
      <c r="AM2" s="58"/>
      <c r="AN2" s="58"/>
    </row>
    <row r="3" spans="1:40" ht="11.25" customHeight="1" x14ac:dyDescent="0.2">
      <c r="A3" s="58" t="s">
        <v>28</v>
      </c>
      <c r="B3" s="58" t="s">
        <v>39</v>
      </c>
      <c r="C3" s="58" t="s">
        <v>40</v>
      </c>
      <c r="D3" s="58" t="s">
        <v>42</v>
      </c>
      <c r="E3" s="58" t="s">
        <v>25</v>
      </c>
      <c r="F3" s="58" t="s">
        <v>25</v>
      </c>
      <c r="G3" s="58" t="s">
        <v>25</v>
      </c>
      <c r="H3" s="58" t="s">
        <v>35</v>
      </c>
      <c r="I3" s="66">
        <v>44501</v>
      </c>
      <c r="J3" s="67">
        <f ca="1">EFEITO!$J$3*EFEITO!$Y$3</f>
        <v>856.10145534961032</v>
      </c>
      <c r="K3" s="67">
        <f ca="1">EFEITO!$L$3*EFEITO!$Z$3</f>
        <v>545.6776363095272</v>
      </c>
      <c r="L3" s="67">
        <f>EFEITO!$N$3*EFEITO!$AA$3</f>
        <v>1582.493832123042</v>
      </c>
      <c r="M3" s="67">
        <f ca="1">$J$3-EFEITO!$K$3*EFEITO!$Y$3</f>
        <v>0</v>
      </c>
      <c r="N3" s="67">
        <f ca="1">$K$3-EFEITO!$M$3*EFEITO!$Z$3</f>
        <v>0</v>
      </c>
      <c r="O3" s="67">
        <f>$L$3-EFEITO!$O$3*EFEITO!$AA$3</f>
        <v>0</v>
      </c>
      <c r="P3" s="18"/>
      <c r="Q3" s="67" t="s">
        <v>809</v>
      </c>
      <c r="R3" s="67">
        <f>SUMIF($B$2:$B$1156,$Q$3,$J$2:$J$1156)</f>
        <v>0</v>
      </c>
      <c r="S3" s="67">
        <f>SUMIF($B$2:$B$1156,$Q$3,$K$2:$K$1156)</f>
        <v>0</v>
      </c>
      <c r="T3" s="67">
        <f>SUMIF($B$2:$B$1156,$Q$3,$L$2:$L$1156)</f>
        <v>0</v>
      </c>
      <c r="U3" s="67">
        <f>SUMIF($B$2:$B$1156,$Q$3,$M$2:$M$1156)</f>
        <v>0</v>
      </c>
      <c r="V3" s="67">
        <f>SUMIF($B$2:$B$1156,$Q$3,$N$2:$N$1156)</f>
        <v>0</v>
      </c>
      <c r="W3" s="67">
        <f>SUMIF($B$2:$B$1156,$Q$3,$O$2:$O$1156)</f>
        <v>0</v>
      </c>
      <c r="X3" s="59">
        <f>$R$3-$U$3</f>
        <v>0</v>
      </c>
      <c r="Y3" s="59">
        <f>$S$3-$V$3</f>
        <v>0</v>
      </c>
      <c r="Z3" s="59">
        <f>$T$3-$W$3</f>
        <v>0</v>
      </c>
      <c r="AA3" s="59">
        <f>SUMIF(EFEITO!$B$2:$B$1156,$Q$3,EFEITO!$AE$2:$AE$1156)</f>
        <v>0</v>
      </c>
      <c r="AB3" s="59">
        <f>SUMIF(EFEITO!$B$2:$B$1156,$Q$3,EFEITO!$AF$2:$AF$1156)</f>
        <v>0</v>
      </c>
      <c r="AC3" s="59">
        <f>SUMIF(EFEITO!$B$2:$B$1156,$Q$3,EFEITO!$AG$2:$AH$1156)</f>
        <v>0</v>
      </c>
      <c r="AD3" s="59">
        <f>SUMIF(SUBSIDIO!$B$2:$B$1156,$Q$3,SUBSIDIO!$AD$2:$AD$1156)</f>
        <v>0</v>
      </c>
      <c r="AE3" s="59">
        <f>SUMIF(SUBSIDIO!$B$2:$B$1156,$Q$3,SUBSIDIO!$AE$2:$AE$1156)</f>
        <v>0</v>
      </c>
      <c r="AF3" s="59" t="str">
        <f>IF(ABS($X$3-$AA$3)&lt;0.01,"OK","ERRO")</f>
        <v>OK</v>
      </c>
      <c r="AG3" s="59" t="str">
        <f>IF(ABS($Y$3-$AB$3)&lt;0.01,"OK","ERRO")</f>
        <v>OK</v>
      </c>
      <c r="AH3" s="59" t="str">
        <f>IF(ABS($Z$3-$AC$3)&lt;0.01,"OK","ERRO")</f>
        <v>OK</v>
      </c>
      <c r="AI3" s="59" t="str">
        <f>IF(ABS($U$3-$AD$3)&lt;0.01,"OK","ERRO")</f>
        <v>OK</v>
      </c>
      <c r="AJ3" s="59" t="str">
        <f>IF(ABS(($V$3+$W$3)-$AE$3)&lt;0.01,"OK","ERRO")</f>
        <v>OK</v>
      </c>
    </row>
    <row r="4" spans="1:40" ht="11.25" customHeight="1" x14ac:dyDescent="0.2">
      <c r="A4" s="58" t="s">
        <v>21</v>
      </c>
      <c r="B4" s="58" t="s">
        <v>39</v>
      </c>
      <c r="C4" s="58" t="s">
        <v>40</v>
      </c>
      <c r="D4" s="58" t="s">
        <v>42</v>
      </c>
      <c r="E4" s="58" t="s">
        <v>25</v>
      </c>
      <c r="F4" s="58" t="s">
        <v>25</v>
      </c>
      <c r="G4" s="58" t="s">
        <v>25</v>
      </c>
      <c r="H4" s="58" t="s">
        <v>35</v>
      </c>
      <c r="I4" s="66">
        <v>44531</v>
      </c>
      <c r="J4" s="67">
        <f ca="1">EFEITO!$J$4*EFEITO!$Y$4</f>
        <v>123716.17253641145</v>
      </c>
      <c r="K4" s="67">
        <f ca="1">EFEITO!$L$4*EFEITO!$Z$4</f>
        <v>238356.39110698499</v>
      </c>
      <c r="L4" s="67">
        <f>EFEITO!$N$4*EFEITO!$AA$4</f>
        <v>691246.06484688655</v>
      </c>
      <c r="M4" s="67">
        <f ca="1">$J$4-EFEITO!$K$4*EFEITO!$Y$4</f>
        <v>0</v>
      </c>
      <c r="N4" s="67">
        <f ca="1">$K$4-EFEITO!$M$4*EFEITO!$Z$4</f>
        <v>0</v>
      </c>
      <c r="O4" s="67">
        <f>$L$4-EFEITO!$O$4*EFEITO!$AA$4</f>
        <v>0</v>
      </c>
      <c r="P4" s="18"/>
      <c r="Q4" s="67" t="s">
        <v>687</v>
      </c>
      <c r="R4" s="67">
        <f>SUMIF($B$2:$B$1156,$Q$4,$J$2:$J$1156)</f>
        <v>0</v>
      </c>
      <c r="S4" s="67">
        <f>SUMIF($B$2:$B$1156,$Q$4,$K$2:$K$1156)</f>
        <v>0</v>
      </c>
      <c r="T4" s="67">
        <f>SUMIF($B$2:$B$1156,$Q$4,$L$2:$L$1156)</f>
        <v>0</v>
      </c>
      <c r="U4" s="67">
        <f>SUMIF($B$2:$B$1156,$Q$4,$M$2:$M$1156)</f>
        <v>0</v>
      </c>
      <c r="V4" s="67">
        <f>SUMIF($B$2:$B$1156,$Q$4,$N$2:$N$1156)</f>
        <v>0</v>
      </c>
      <c r="W4" s="67">
        <f>SUMIF($B$2:$B$1156,$Q$4,$O$2:$O$1156)</f>
        <v>0</v>
      </c>
      <c r="X4" s="59">
        <f>$R$4-$U$4</f>
        <v>0</v>
      </c>
      <c r="Y4" s="59">
        <f>$S$4-$V$4</f>
        <v>0</v>
      </c>
      <c r="Z4" s="59">
        <f>$T$4-$W$4</f>
        <v>0</v>
      </c>
      <c r="AA4" s="59">
        <f>SUMIF(EFEITO!$B$2:$B$1156,$Q$4,EFEITO!$AE$2:$AE$1156)</f>
        <v>0</v>
      </c>
      <c r="AB4" s="59">
        <f>SUMIF(EFEITO!$B$2:$B$1156,$Q$4,EFEITO!$AF$2:$AF$1156)</f>
        <v>0</v>
      </c>
      <c r="AC4" s="59">
        <f>SUMIF(EFEITO!$B$2:$B$1156,$Q$4,EFEITO!$AG$2:$AH$1156)</f>
        <v>0</v>
      </c>
      <c r="AD4" s="59">
        <f>SUMIF(SUBSIDIO!$B$2:$B$1156,$Q$4,SUBSIDIO!$AD$2:$AD$1156)</f>
        <v>0</v>
      </c>
      <c r="AE4" s="59">
        <f>SUMIF(SUBSIDIO!$B$2:$B$1156,$Q$4,SUBSIDIO!$AE$2:$AE$1156)</f>
        <v>0</v>
      </c>
      <c r="AF4" s="59" t="str">
        <f>IF(ABS($X$4-$AA$4)&lt;0.01,"OK","ERRO")</f>
        <v>OK</v>
      </c>
      <c r="AG4" s="59" t="str">
        <f>IF(ABS($Y$4-$AB$4)&lt;0.01,"OK","ERRO")</f>
        <v>OK</v>
      </c>
      <c r="AH4" s="59" t="str">
        <f>IF(ABS($Z$4-$AC$4)&lt;0.01,"OK","ERRO")</f>
        <v>OK</v>
      </c>
      <c r="AI4" s="59" t="str">
        <f>IF(ABS($U$4-$AD$4)&lt;0.01,"OK","ERRO")</f>
        <v>OK</v>
      </c>
      <c r="AJ4" s="59" t="str">
        <f>IF(ABS(($V$4+$W$4)-$AE$4)&lt;0.01,"OK","ERRO")</f>
        <v>OK</v>
      </c>
    </row>
    <row r="5" spans="1:40" ht="11.25" customHeight="1" x14ac:dyDescent="0.2">
      <c r="A5" s="58" t="s">
        <v>27</v>
      </c>
      <c r="B5" s="58" t="s">
        <v>39</v>
      </c>
      <c r="C5" s="58" t="s">
        <v>40</v>
      </c>
      <c r="D5" s="58" t="s">
        <v>42</v>
      </c>
      <c r="E5" s="58" t="s">
        <v>25</v>
      </c>
      <c r="F5" s="58" t="s">
        <v>25</v>
      </c>
      <c r="G5" s="58" t="s">
        <v>25</v>
      </c>
      <c r="H5" s="58" t="s">
        <v>35</v>
      </c>
      <c r="I5" s="66">
        <v>44531</v>
      </c>
      <c r="J5" s="67">
        <f ca="1">EFEITO!$J$5*EFEITO!$Y$5</f>
        <v>-5707.3430356640683</v>
      </c>
      <c r="K5" s="67">
        <f ca="1">EFEITO!$L$5*EFEITO!$Z$5</f>
        <v>-469.39658686954715</v>
      </c>
      <c r="L5" s="67">
        <f>EFEITO!$N$5*EFEITO!$AA$5</f>
        <v>-1361.2747785751558</v>
      </c>
      <c r="M5" s="67">
        <f ca="1">$J$5-EFEITO!$K$5*EFEITO!$Y$5</f>
        <v>0</v>
      </c>
      <c r="N5" s="67">
        <f ca="1">$K$5-EFEITO!$M$5*EFEITO!$Z$5</f>
        <v>0</v>
      </c>
      <c r="O5" s="67">
        <f>$L$5-EFEITO!$O$5*EFEITO!$AA$5</f>
        <v>0</v>
      </c>
      <c r="P5" s="18"/>
      <c r="Q5" s="67" t="s">
        <v>688</v>
      </c>
      <c r="R5" s="67">
        <f>SUMIF($B$2:$B$1156,$Q$5,$J$2:$J$1156)</f>
        <v>0</v>
      </c>
      <c r="S5" s="67">
        <f>SUMIF($B$2:$B$1156,$Q$5,$K$2:$K$1156)</f>
        <v>0</v>
      </c>
      <c r="T5" s="67">
        <f>SUMIF($B$2:$B$1156,$Q$5,$L$2:$L$1156)</f>
        <v>0</v>
      </c>
      <c r="U5" s="67">
        <f>SUMIF($B$2:$B$1156,$Q$5,$M$2:$M$1156)</f>
        <v>0</v>
      </c>
      <c r="V5" s="67">
        <f>SUMIF($B$2:$B$1156,$Q$5,$N$2:$N$1156)</f>
        <v>0</v>
      </c>
      <c r="W5" s="67">
        <f>SUMIF($B$2:$B$1156,$Q$5,$O$2:$O$1156)</f>
        <v>0</v>
      </c>
      <c r="X5" s="59">
        <f>$R$5-$U$5</f>
        <v>0</v>
      </c>
      <c r="Y5" s="59">
        <f>$S$5-$V$5</f>
        <v>0</v>
      </c>
      <c r="Z5" s="59">
        <f>$T$5-$W$5</f>
        <v>0</v>
      </c>
      <c r="AA5" s="59">
        <f>SUMIF(EFEITO!$B$2:$B$1156,$Q$5,EFEITO!$AE$2:$AE$1156)</f>
        <v>0</v>
      </c>
      <c r="AB5" s="59">
        <f>SUMIF(EFEITO!$B$2:$B$1156,$Q$5,EFEITO!$AF$2:$AF$1156)</f>
        <v>0</v>
      </c>
      <c r="AC5" s="59">
        <f>SUMIF(EFEITO!$B$2:$B$1156,$Q$5,EFEITO!$AG$2:$AH$1156)</f>
        <v>0</v>
      </c>
      <c r="AD5" s="59">
        <f>SUMIF(SUBSIDIO!$B$2:$B$1156,$Q$5,SUBSIDIO!$AD$2:$AD$1156)</f>
        <v>0</v>
      </c>
      <c r="AE5" s="59">
        <f>SUMIF(SUBSIDIO!$B$2:$B$1156,$Q$5,SUBSIDIO!$AE$2:$AE$1156)</f>
        <v>0</v>
      </c>
      <c r="AF5" s="59" t="str">
        <f>IF(ABS($X$5-$AA$5)&lt;0.01,"OK","ERRO")</f>
        <v>OK</v>
      </c>
      <c r="AG5" s="59" t="str">
        <f>IF(ABS($Y$5-$AB$5)&lt;0.01,"OK","ERRO")</f>
        <v>OK</v>
      </c>
      <c r="AH5" s="59" t="str">
        <f>IF(ABS($Z$5-$AC$5)&lt;0.01,"OK","ERRO")</f>
        <v>OK</v>
      </c>
      <c r="AI5" s="59" t="str">
        <f>IF(ABS($U$5-$AD$5)&lt;0.01,"OK","ERRO")</f>
        <v>OK</v>
      </c>
      <c r="AJ5" s="59" t="str">
        <f>IF(ABS(($V$5+$W$5)-$AE$5)&lt;0.01,"OK","ERRO")</f>
        <v>OK</v>
      </c>
    </row>
    <row r="6" spans="1:40" ht="11.25" customHeight="1" x14ac:dyDescent="0.2">
      <c r="A6" s="58" t="s">
        <v>28</v>
      </c>
      <c r="B6" s="58" t="s">
        <v>39</v>
      </c>
      <c r="C6" s="58" t="s">
        <v>40</v>
      </c>
      <c r="D6" s="58" t="s">
        <v>42</v>
      </c>
      <c r="E6" s="58" t="s">
        <v>25</v>
      </c>
      <c r="F6" s="58" t="s">
        <v>25</v>
      </c>
      <c r="G6" s="58" t="s">
        <v>25</v>
      </c>
      <c r="H6" s="58" t="s">
        <v>35</v>
      </c>
      <c r="I6" s="66">
        <v>44531</v>
      </c>
      <c r="J6" s="67">
        <f ca="1">EFEITO!$J$6*EFEITO!$Y$6</f>
        <v>856.10145534961032</v>
      </c>
      <c r="K6" s="67">
        <f ca="1">EFEITO!$L$6*EFEITO!$Z$6</f>
        <v>430.76357330812255</v>
      </c>
      <c r="L6" s="67">
        <f>EFEITO!$N$6*EFEITO!$AA$6</f>
        <v>1249.2370082704158</v>
      </c>
      <c r="M6" s="67">
        <f ca="1">$J$6-EFEITO!$K$6*EFEITO!$Y$6</f>
        <v>0</v>
      </c>
      <c r="N6" s="67">
        <f ca="1">$K$6-EFEITO!$M$6*EFEITO!$Z$6</f>
        <v>0</v>
      </c>
      <c r="O6" s="67">
        <f>$L$6-EFEITO!$O$6*EFEITO!$AA$6</f>
        <v>0</v>
      </c>
      <c r="P6" s="18"/>
      <c r="Q6" s="67" t="s">
        <v>689</v>
      </c>
      <c r="R6" s="67">
        <f>SUMIF($B$2:$B$1156,$Q$6,$J$2:$J$1156)</f>
        <v>0</v>
      </c>
      <c r="S6" s="67">
        <f>SUMIF($B$2:$B$1156,$Q$6,$K$2:$K$1156)</f>
        <v>0</v>
      </c>
      <c r="T6" s="67">
        <f>SUMIF($B$2:$B$1156,$Q$6,$L$2:$L$1156)</f>
        <v>0</v>
      </c>
      <c r="U6" s="67">
        <f>SUMIF($B$2:$B$1156,$Q$6,$M$2:$M$1156)</f>
        <v>0</v>
      </c>
      <c r="V6" s="67">
        <f>SUMIF($B$2:$B$1156,$Q$6,$N$2:$N$1156)</f>
        <v>0</v>
      </c>
      <c r="W6" s="67">
        <f>SUMIF($B$2:$B$1156,$Q$6,$O$2:$O$1156)</f>
        <v>0</v>
      </c>
      <c r="X6" s="59">
        <f>$R$6-$U$6</f>
        <v>0</v>
      </c>
      <c r="Y6" s="59">
        <f>$S$6-$V$6</f>
        <v>0</v>
      </c>
      <c r="Z6" s="59">
        <f>$T$6-$W$6</f>
        <v>0</v>
      </c>
      <c r="AA6" s="59">
        <f>SUMIF(EFEITO!$B$2:$B$1156,$Q$6,EFEITO!$AE$2:$AE$1156)</f>
        <v>0</v>
      </c>
      <c r="AB6" s="59">
        <f>SUMIF(EFEITO!$B$2:$B$1156,$Q$6,EFEITO!$AF$2:$AF$1156)</f>
        <v>0</v>
      </c>
      <c r="AC6" s="59">
        <f>SUMIF(EFEITO!$B$2:$B$1156,$Q$6,EFEITO!$AG$2:$AH$1156)</f>
        <v>0</v>
      </c>
      <c r="AD6" s="59">
        <f>SUMIF(SUBSIDIO!$B$2:$B$1156,$Q$6,SUBSIDIO!$AD$2:$AD$1156)</f>
        <v>0</v>
      </c>
      <c r="AE6" s="59">
        <f>SUMIF(SUBSIDIO!$B$2:$B$1156,$Q$6,SUBSIDIO!$AE$2:$AE$1156)</f>
        <v>0</v>
      </c>
      <c r="AF6" s="59" t="str">
        <f>IF(ABS($X$6-$AA$6)&lt;0.01,"OK","ERRO")</f>
        <v>OK</v>
      </c>
      <c r="AG6" s="59" t="str">
        <f>IF(ABS($Y$6-$AB$6)&lt;0.01,"OK","ERRO")</f>
        <v>OK</v>
      </c>
      <c r="AH6" s="59" t="str">
        <f>IF(ABS($Z$6-$AC$6)&lt;0.01,"OK","ERRO")</f>
        <v>OK</v>
      </c>
      <c r="AI6" s="59" t="str">
        <f>IF(ABS($U$6-$AD$6)&lt;0.01,"OK","ERRO")</f>
        <v>OK</v>
      </c>
      <c r="AJ6" s="59" t="str">
        <f>IF(ABS(($V$6+$W$6)-$AE$6)&lt;0.01,"OK","ERRO")</f>
        <v>OK</v>
      </c>
    </row>
    <row r="7" spans="1:40" ht="11.25" customHeight="1" x14ac:dyDescent="0.2">
      <c r="A7" s="58" t="s">
        <v>21</v>
      </c>
      <c r="B7" s="58" t="s">
        <v>39</v>
      </c>
      <c r="C7" s="58" t="s">
        <v>40</v>
      </c>
      <c r="D7" s="58" t="s">
        <v>42</v>
      </c>
      <c r="E7" s="58" t="s">
        <v>25</v>
      </c>
      <c r="F7" s="58" t="s">
        <v>25</v>
      </c>
      <c r="G7" s="58" t="s">
        <v>25</v>
      </c>
      <c r="H7" s="58" t="s">
        <v>35</v>
      </c>
      <c r="I7" s="66">
        <v>44562</v>
      </c>
      <c r="J7" s="67">
        <f ca="1">EFEITO!$J$7*EFEITO!$Y$7</f>
        <v>122974.21794177513</v>
      </c>
      <c r="K7" s="67">
        <f ca="1">EFEITO!$L$7*EFEITO!$Z$7</f>
        <v>233729.4037207246</v>
      </c>
      <c r="L7" s="67">
        <f>EFEITO!$N$7*EFEITO!$AA$7</f>
        <v>677827.55818132334</v>
      </c>
      <c r="M7" s="67">
        <f ca="1">$J$7-EFEITO!$K$7*EFEITO!$Y$7</f>
        <v>0</v>
      </c>
      <c r="N7" s="67">
        <f ca="1">$K$7-EFEITO!$M$7*EFEITO!$Z$7</f>
        <v>0</v>
      </c>
      <c r="O7" s="67">
        <f>$L$7-EFEITO!$O$7*EFEITO!$AA$7</f>
        <v>0</v>
      </c>
      <c r="P7" s="18"/>
      <c r="Q7" s="67" t="s">
        <v>39</v>
      </c>
      <c r="R7" s="67">
        <f ca="1">SUMIF($B$2:$B$1156,$Q$7,$J$2:$J$1156)</f>
        <v>33851474.886589073</v>
      </c>
      <c r="S7" s="67">
        <f ca="1">SUMIF($B$2:$B$1156,$Q$7,$K$2:$K$1156)</f>
        <v>43643872.354553714</v>
      </c>
      <c r="T7" s="67">
        <f>SUMIF($B$2:$B$1156,$Q$7,$L$2:$L$1156)</f>
        <v>82078988.130222678</v>
      </c>
      <c r="U7" s="67">
        <f ca="1">SUMIF($B$2:$B$1156,$Q$7,$M$2:$M$1156)</f>
        <v>99799.254721278223</v>
      </c>
      <c r="V7" s="67">
        <f ca="1">SUMIF($B$2:$B$1156,$Q$7,$N$2:$N$1156)</f>
        <v>283507.49003971287</v>
      </c>
      <c r="W7" s="67">
        <f>SUMIF($B$2:$B$1156,$Q$7,$O$2:$O$1156)</f>
        <v>704953.64161509671</v>
      </c>
      <c r="X7" s="59">
        <f ca="1">$R$7-$U$7</f>
        <v>33751675.631867796</v>
      </c>
      <c r="Y7" s="59">
        <f ca="1">$S$7-$V$7</f>
        <v>43360364.864514001</v>
      </c>
      <c r="Z7" s="59">
        <f>$T$7-$W$7</f>
        <v>81374034.488607585</v>
      </c>
      <c r="AA7" s="59">
        <f ca="1">SUMIF(EFEITO!$B$2:$B$1156,$Q$7,EFEITO!$AE$2:$AE$1156)</f>
        <v>33751675.631867841</v>
      </c>
      <c r="AB7" s="59">
        <f ca="1">SUMIF(EFEITO!$B$2:$B$1156,$Q$7,EFEITO!$AF$2:$AF$1156)</f>
        <v>43360364.864513971</v>
      </c>
      <c r="AC7" s="59">
        <f>SUMIF(EFEITO!$B$2:$B$1156,$Q$7,EFEITO!$AG$2:$AH$1156)</f>
        <v>81374034.488607675</v>
      </c>
      <c r="AD7" s="59">
        <f ca="1">SUMIF(SUBSIDIO!$B$2:$B$1156,$Q$7,SUBSIDIO!$AD$2:$AD$1156)</f>
        <v>99799.254721278136</v>
      </c>
      <c r="AE7" s="59">
        <f ca="1">SUMIF(SUBSIDIO!$B$2:$B$1156,$Q$7,SUBSIDIO!$AE$2:$AE$1156)</f>
        <v>988461.13165480911</v>
      </c>
      <c r="AF7" s="59" t="str">
        <f ca="1">IF(ABS($X$7-$AA$7)&lt;0.01,"OK","ERRO")</f>
        <v>OK</v>
      </c>
      <c r="AG7" s="59" t="str">
        <f ca="1">IF(ABS($Y$7-$AB$7)&lt;0.01,"OK","ERRO")</f>
        <v>OK</v>
      </c>
      <c r="AH7" s="59" t="str">
        <f>IF(ABS($Z$7-$AC$7)&lt;0.01,"OK","ERRO")</f>
        <v>OK</v>
      </c>
      <c r="AI7" s="59" t="str">
        <f ca="1">IF(ABS($U$7-$AD$7)&lt;0.01,"OK","ERRO")</f>
        <v>OK</v>
      </c>
      <c r="AJ7" s="59" t="str">
        <f ca="1">IF(ABS(($V$7+$W$7)-$AE$7)&lt;0.01,"OK","ERRO")</f>
        <v>OK</v>
      </c>
    </row>
    <row r="8" spans="1:40" ht="11.25" customHeight="1" x14ac:dyDescent="0.2">
      <c r="A8" s="58" t="s">
        <v>28</v>
      </c>
      <c r="B8" s="58" t="s">
        <v>39</v>
      </c>
      <c r="C8" s="58" t="s">
        <v>40</v>
      </c>
      <c r="D8" s="58" t="s">
        <v>42</v>
      </c>
      <c r="E8" s="58" t="s">
        <v>25</v>
      </c>
      <c r="F8" s="58" t="s">
        <v>25</v>
      </c>
      <c r="G8" s="58" t="s">
        <v>25</v>
      </c>
      <c r="H8" s="58" t="s">
        <v>35</v>
      </c>
      <c r="I8" s="66">
        <v>44562</v>
      </c>
      <c r="J8" s="67">
        <f ca="1">EFEITO!$J$8*EFEITO!$Y$8</f>
        <v>856.10145534961032</v>
      </c>
      <c r="K8" s="67">
        <f ca="1">EFEITO!$L$8*EFEITO!$Z$8</f>
        <v>422.11765809182646</v>
      </c>
      <c r="L8" s="67">
        <f>EFEITO!$N$8*EFEITO!$AA$8</f>
        <v>1224.163399618647</v>
      </c>
      <c r="M8" s="67">
        <f ca="1">$J$8-EFEITO!$K$8*EFEITO!$Y$8</f>
        <v>0</v>
      </c>
      <c r="N8" s="67">
        <f ca="1">$K$8-EFEITO!$M$8*EFEITO!$Z$8</f>
        <v>0</v>
      </c>
      <c r="O8" s="67">
        <f>$L$8-EFEITO!$O$8*EFEITO!$AA$8</f>
        <v>0</v>
      </c>
      <c r="P8" s="18"/>
      <c r="Q8" s="67" t="s">
        <v>690</v>
      </c>
      <c r="R8" s="67">
        <f>SUMIF($B$2:$B$1156,$Q$8,$J$2:$J$1156)</f>
        <v>0</v>
      </c>
      <c r="S8" s="67">
        <f>SUMIF($B$2:$B$1156,$Q$8,$K$2:$K$1156)</f>
        <v>0</v>
      </c>
      <c r="T8" s="67">
        <f>SUMIF($B$2:$B$1156,$Q$8,$L$2:$L$1156)</f>
        <v>0</v>
      </c>
      <c r="U8" s="67">
        <f>SUMIF($B$2:$B$1156,$Q$8,$M$2:$M$1156)</f>
        <v>0</v>
      </c>
      <c r="V8" s="67">
        <f>SUMIF($B$2:$B$1156,$Q$8,$N$2:$N$1156)</f>
        <v>0</v>
      </c>
      <c r="W8" s="67">
        <f>SUMIF($B$2:$B$1156,$Q$8,$O$2:$O$1156)</f>
        <v>0</v>
      </c>
      <c r="X8" s="59">
        <f>$R$8-$U$8</f>
        <v>0</v>
      </c>
      <c r="Y8" s="59">
        <f>$S$8-$V$8</f>
        <v>0</v>
      </c>
      <c r="Z8" s="59">
        <f>$T$8-$W$8</f>
        <v>0</v>
      </c>
      <c r="AA8" s="59">
        <f>SUMIF(EFEITO!$B$2:$B$1156,$Q$8,EFEITO!$AE$2:$AE$1156)</f>
        <v>0</v>
      </c>
      <c r="AB8" s="59">
        <f>SUMIF(EFEITO!$B$2:$B$1156,$Q$8,EFEITO!$AF$2:$AF$1156)</f>
        <v>0</v>
      </c>
      <c r="AC8" s="59">
        <f>SUMIF(EFEITO!$B$2:$B$1156,$Q$8,EFEITO!$AG$2:$AH$1156)</f>
        <v>0</v>
      </c>
      <c r="AD8" s="59">
        <f>SUMIF(SUBSIDIO!$B$2:$B$1156,$Q$8,SUBSIDIO!$AD$2:$AD$1156)</f>
        <v>0</v>
      </c>
      <c r="AE8" s="59">
        <f>SUMIF(SUBSIDIO!$B$2:$B$1156,$Q$8,SUBSIDIO!$AE$2:$AE$1156)</f>
        <v>0</v>
      </c>
      <c r="AF8" s="59" t="str">
        <f>IF(ABS($X$8-$AA$8)&lt;0.01,"OK","ERRO")</f>
        <v>OK</v>
      </c>
      <c r="AG8" s="59" t="str">
        <f>IF(ABS($Y$8-$AB$8)&lt;0.01,"OK","ERRO")</f>
        <v>OK</v>
      </c>
      <c r="AH8" s="59" t="str">
        <f>IF(ABS($Z$8-$AC$8)&lt;0.01,"OK","ERRO")</f>
        <v>OK</v>
      </c>
      <c r="AI8" s="59" t="str">
        <f>IF(ABS($U$8-$AD$8)&lt;0.01,"OK","ERRO")</f>
        <v>OK</v>
      </c>
      <c r="AJ8" s="59" t="str">
        <f>IF(ABS(($V$8+$W$8)-$AE$8)&lt;0.01,"OK","ERRO")</f>
        <v>OK</v>
      </c>
    </row>
    <row r="9" spans="1:40" ht="11.25" customHeight="1" x14ac:dyDescent="0.2">
      <c r="A9" s="58" t="s">
        <v>21</v>
      </c>
      <c r="B9" s="58" t="s">
        <v>39</v>
      </c>
      <c r="C9" s="58" t="s">
        <v>40</v>
      </c>
      <c r="D9" s="58" t="s">
        <v>42</v>
      </c>
      <c r="E9" s="58" t="s">
        <v>25</v>
      </c>
      <c r="F9" s="58" t="s">
        <v>25</v>
      </c>
      <c r="G9" s="58" t="s">
        <v>25</v>
      </c>
      <c r="H9" s="58" t="s">
        <v>35</v>
      </c>
      <c r="I9" s="66">
        <v>44593</v>
      </c>
      <c r="J9" s="67">
        <f ca="1">EFEITO!$J$9*EFEITO!$Y$9</f>
        <v>118084.92740788958</v>
      </c>
      <c r="K9" s="67">
        <f ca="1">EFEITO!$L$9*EFEITO!$Z$9</f>
        <v>197662.69479103328</v>
      </c>
      <c r="L9" s="67">
        <f>EFEITO!$N$9*EFEITO!$AA$9</f>
        <v>573232.20622184069</v>
      </c>
      <c r="M9" s="67">
        <f ca="1">$J$9-EFEITO!$K$9*EFEITO!$Y$9</f>
        <v>0</v>
      </c>
      <c r="N9" s="67">
        <f ca="1">$K$9-EFEITO!$M$9*EFEITO!$Z$9</f>
        <v>0</v>
      </c>
      <c r="O9" s="67">
        <f>$L$9-EFEITO!$O$9*EFEITO!$AA$9</f>
        <v>0</v>
      </c>
      <c r="P9" s="18"/>
      <c r="Q9" s="67" t="s">
        <v>22</v>
      </c>
      <c r="R9" s="67">
        <f>SUMIF($B$2:$B$1156,$Q$9,$J$2:$J$1156)</f>
        <v>0</v>
      </c>
      <c r="S9" s="67">
        <f ca="1">SUMIF($B$2:$B$1156,$Q$9,$K$2:$K$1156)</f>
        <v>239537904.24469313</v>
      </c>
      <c r="T9" s="67">
        <f>SUMIF($B$2:$B$1156,$Q$9,$L$2:$L$1156)</f>
        <v>206122887.51856625</v>
      </c>
      <c r="U9" s="67">
        <f>SUMIF($B$2:$B$1156,$Q$9,$M$2:$M$1156)</f>
        <v>0</v>
      </c>
      <c r="V9" s="67">
        <f ca="1">SUMIF($B$2:$B$1156,$Q$9,$N$2:$N$1156)</f>
        <v>6098948.4517803779</v>
      </c>
      <c r="W9" s="67">
        <f>SUMIF($B$2:$B$1156,$Q$9,$O$2:$O$1156)</f>
        <v>6033058.1495180437</v>
      </c>
      <c r="X9" s="59">
        <f>$R$9-$U$9</f>
        <v>0</v>
      </c>
      <c r="Y9" s="59">
        <f ca="1">$S$9-$V$9</f>
        <v>233438955.79291275</v>
      </c>
      <c r="Z9" s="59">
        <f>$T$9-$W$9</f>
        <v>200089829.36904821</v>
      </c>
      <c r="AA9" s="59">
        <f>SUMIF(EFEITO!$B$2:$B$1156,$Q$9,EFEITO!$AE$2:$AE$1156)</f>
        <v>0</v>
      </c>
      <c r="AB9" s="59">
        <f ca="1">SUMIF(EFEITO!$B$2:$B$1156,$Q$9,EFEITO!$AF$2:$AF$1156)</f>
        <v>233438955.79291284</v>
      </c>
      <c r="AC9" s="59">
        <f>SUMIF(EFEITO!$B$2:$B$1156,$Q$9,EFEITO!$AG$2:$AH$1156)</f>
        <v>200089829.36904809</v>
      </c>
      <c r="AD9" s="59">
        <f>SUMIF(SUBSIDIO!$B$2:$B$1156,$Q$9,SUBSIDIO!$AD$2:$AD$1156)</f>
        <v>0</v>
      </c>
      <c r="AE9" s="59">
        <f ca="1">SUMIF(SUBSIDIO!$B$2:$B$1156,$Q$9,SUBSIDIO!$AE$2:$AE$1156)</f>
        <v>12132006.60129842</v>
      </c>
      <c r="AF9" s="59" t="str">
        <f>IF(ABS($X$9-$AA$9)&lt;0.01,"OK","ERRO")</f>
        <v>OK</v>
      </c>
      <c r="AG9" s="59" t="str">
        <f ca="1">IF(ABS($Y$9-$AB$9)&lt;0.01,"OK","ERRO")</f>
        <v>OK</v>
      </c>
      <c r="AH9" s="59" t="str">
        <f>IF(ABS($Z$9-$AC$9)&lt;0.01,"OK","ERRO")</f>
        <v>OK</v>
      </c>
      <c r="AI9" s="59" t="str">
        <f>IF(ABS($U$9-$AD$9)&lt;0.01,"OK","ERRO")</f>
        <v>OK</v>
      </c>
      <c r="AJ9" s="59" t="str">
        <f ca="1">IF(ABS(($V$9+$W$9)-$AE$9)&lt;0.01,"OK","ERRO")</f>
        <v>OK</v>
      </c>
    </row>
    <row r="10" spans="1:40" ht="11.25" customHeight="1" x14ac:dyDescent="0.2">
      <c r="A10" s="58" t="s">
        <v>28</v>
      </c>
      <c r="B10" s="58" t="s">
        <v>39</v>
      </c>
      <c r="C10" s="58" t="s">
        <v>40</v>
      </c>
      <c r="D10" s="58" t="s">
        <v>42</v>
      </c>
      <c r="E10" s="58" t="s">
        <v>25</v>
      </c>
      <c r="F10" s="58" t="s">
        <v>25</v>
      </c>
      <c r="G10" s="58" t="s">
        <v>25</v>
      </c>
      <c r="H10" s="58" t="s">
        <v>35</v>
      </c>
      <c r="I10" s="66">
        <v>44593</v>
      </c>
      <c r="J10" s="67">
        <f ca="1">EFEITO!$J$10*EFEITO!$Y$10</f>
        <v>8637.1124606382909</v>
      </c>
      <c r="K10" s="67">
        <f ca="1">EFEITO!$L$10*EFEITO!$Z$10</f>
        <v>19728.227452151623</v>
      </c>
      <c r="L10" s="67">
        <f>EFEITO!$N$10*EFEITO!$AA$10</f>
        <v>57212.896744116282</v>
      </c>
      <c r="M10" s="67">
        <f ca="1">$J$10-EFEITO!$K$10*EFEITO!$Y$10</f>
        <v>0</v>
      </c>
      <c r="N10" s="67">
        <f ca="1">$K$10-EFEITO!$M$10*EFEITO!$Z$10</f>
        <v>0</v>
      </c>
      <c r="O10" s="67">
        <f>$L$10-EFEITO!$O$10*EFEITO!$AA$10</f>
        <v>0</v>
      </c>
      <c r="P10" s="18"/>
      <c r="Q10" s="67" t="s">
        <v>43</v>
      </c>
      <c r="R10" s="67">
        <f>SUMIF($B$2:$B$1156,$Q$10,$J$2:$J$1156)</f>
        <v>0</v>
      </c>
      <c r="S10" s="67">
        <f ca="1">SUMIF($B$2:$B$1156,$Q$10,$K$2:$K$1156)</f>
        <v>21870075.768697619</v>
      </c>
      <c r="T10" s="67">
        <f>SUMIF($B$2:$B$1156,$Q$10,$L$2:$L$1156)</f>
        <v>18428659.163875543</v>
      </c>
      <c r="U10" s="67">
        <f>SUMIF($B$2:$B$1156,$Q$10,$M$2:$M$1156)</f>
        <v>0</v>
      </c>
      <c r="V10" s="67">
        <f ca="1">SUMIF($B$2:$B$1156,$Q$10,$N$2:$N$1156)</f>
        <v>1452340.7149809422</v>
      </c>
      <c r="W10" s="67">
        <f>SUMIF($B$2:$B$1156,$Q$10,$O$2:$O$1156)</f>
        <v>1223804.2175965826</v>
      </c>
      <c r="X10" s="59">
        <f>$R$10-$U$10</f>
        <v>0</v>
      </c>
      <c r="Y10" s="59">
        <f ca="1">$S$10-$V$10</f>
        <v>20417735.053716678</v>
      </c>
      <c r="Z10" s="59">
        <f>$T$10-$W$10</f>
        <v>17204854.94627896</v>
      </c>
      <c r="AA10" s="59">
        <f>SUMIF(EFEITO!$B$2:$B$1156,$Q$10,EFEITO!$AE$2:$AE$1156)</f>
        <v>0</v>
      </c>
      <c r="AB10" s="59">
        <f ca="1">SUMIF(EFEITO!$B$2:$B$1156,$Q$10,EFEITO!$AF$2:$AF$1156)</f>
        <v>20417735.053716682</v>
      </c>
      <c r="AC10" s="59">
        <f>SUMIF(EFEITO!$B$2:$B$1156,$Q$10,EFEITO!$AG$2:$AH$1156)</f>
        <v>17204854.946278963</v>
      </c>
      <c r="AD10" s="59">
        <f>SUMIF(SUBSIDIO!$B$2:$B$1156,$Q$10,SUBSIDIO!$AD$2:$AD$1156)</f>
        <v>0</v>
      </c>
      <c r="AE10" s="59">
        <f ca="1">SUMIF(SUBSIDIO!$B$2:$B$1156,$Q$10,SUBSIDIO!$AE$2:$AE$1156)</f>
        <v>2676144.9325775239</v>
      </c>
      <c r="AF10" s="59" t="str">
        <f>IF(ABS($X$10-$AA$10)&lt;0.01,"OK","ERRO")</f>
        <v>OK</v>
      </c>
      <c r="AG10" s="59" t="str">
        <f ca="1">IF(ABS($Y$10-$AB$10)&lt;0.01,"OK","ERRO")</f>
        <v>OK</v>
      </c>
      <c r="AH10" s="59" t="str">
        <f>IF(ABS($Z$10-$AC$10)&lt;0.01,"OK","ERRO")</f>
        <v>OK</v>
      </c>
      <c r="AI10" s="59" t="str">
        <f>IF(ABS($U$10-$AD$10)&lt;0.01,"OK","ERRO")</f>
        <v>OK</v>
      </c>
      <c r="AJ10" s="59" t="str">
        <f ca="1">IF(ABS(($V$10+$W$10)-$AE$10)&lt;0.01,"OK","ERRO")</f>
        <v>OK</v>
      </c>
    </row>
    <row r="11" spans="1:40" ht="11.25" customHeight="1" x14ac:dyDescent="0.2">
      <c r="A11" s="58" t="s">
        <v>21</v>
      </c>
      <c r="B11" s="58" t="s">
        <v>39</v>
      </c>
      <c r="C11" s="58" t="s">
        <v>40</v>
      </c>
      <c r="D11" s="58" t="s">
        <v>42</v>
      </c>
      <c r="E11" s="58" t="s">
        <v>25</v>
      </c>
      <c r="F11" s="58" t="s">
        <v>25</v>
      </c>
      <c r="G11" s="58" t="s">
        <v>25</v>
      </c>
      <c r="H11" s="58" t="s">
        <v>35</v>
      </c>
      <c r="I11" s="66">
        <v>44621</v>
      </c>
      <c r="J11" s="67">
        <f ca="1">EFEITO!$J$11*EFEITO!$Y$11</f>
        <v>116620.04269540247</v>
      </c>
      <c r="K11" s="67">
        <f ca="1">EFEITO!$L$11*EFEITO!$Z$11</f>
        <v>210731.15980341207</v>
      </c>
      <c r="L11" s="67">
        <f>EFEITO!$N$11*EFEITO!$AA$11</f>
        <v>611131.44178016647</v>
      </c>
      <c r="M11" s="67">
        <f ca="1">$J$11-EFEITO!$K$11*EFEITO!$Y$11</f>
        <v>0</v>
      </c>
      <c r="N11" s="67">
        <f ca="1">$K$11-EFEITO!$M$11*EFEITO!$Z$11</f>
        <v>0</v>
      </c>
      <c r="O11" s="67">
        <f>$L$11-EFEITO!$O$11*EFEITO!$AA$11</f>
        <v>0</v>
      </c>
      <c r="P11" s="18"/>
      <c r="Q11" s="67" t="s">
        <v>37</v>
      </c>
      <c r="R11" s="67">
        <f>SUMIF($B$2:$B$1156,$Q$11,$J$2:$J$1156)</f>
        <v>0</v>
      </c>
      <c r="S11" s="67">
        <f ca="1">SUMIF($B$2:$B$1156,$Q$11,$K$2:$K$1156)</f>
        <v>79174177.913432181</v>
      </c>
      <c r="T11" s="67">
        <f>SUMIF($B$2:$B$1156,$Q$11,$L$2:$L$1156)</f>
        <v>66734066.014011316</v>
      </c>
      <c r="U11" s="67">
        <f>SUMIF($B$2:$B$1156,$Q$11,$M$2:$M$1156)</f>
        <v>0</v>
      </c>
      <c r="V11" s="67">
        <f ca="1">SUMIF($B$2:$B$1156,$Q$11,$N$2:$N$1156)</f>
        <v>116979.80129017291</v>
      </c>
      <c r="W11" s="67">
        <f>SUMIF($B$2:$B$1156,$Q$11,$O$2:$O$1156)</f>
        <v>98572.132254771495</v>
      </c>
      <c r="X11" s="59">
        <f>$R$11-$U$11</f>
        <v>0</v>
      </c>
      <c r="Y11" s="59">
        <f ca="1">$S$11-$V$11</f>
        <v>79057198.112142012</v>
      </c>
      <c r="Z11" s="59">
        <f>$T$11-$W$11</f>
        <v>66635493.881756544</v>
      </c>
      <c r="AA11" s="59">
        <f>SUMIF(EFEITO!$B$2:$B$1156,$Q$11,EFEITO!$AE$2:$AE$1156)</f>
        <v>0</v>
      </c>
      <c r="AB11" s="59">
        <f ca="1">SUMIF(EFEITO!$B$2:$B$1156,$Q$11,EFEITO!$AF$2:$AF$1156)</f>
        <v>79057198.112142041</v>
      </c>
      <c r="AC11" s="59">
        <f>SUMIF(EFEITO!$B$2:$B$1156,$Q$11,EFEITO!$AG$2:$AH$1156)</f>
        <v>66635493.881756522</v>
      </c>
      <c r="AD11" s="59">
        <f>SUMIF(SUBSIDIO!$B$2:$B$1156,$Q$11,SUBSIDIO!$AD$2:$AD$1156)</f>
        <v>0</v>
      </c>
      <c r="AE11" s="59">
        <f ca="1">SUMIF(SUBSIDIO!$B$2:$B$1156,$Q$11,SUBSIDIO!$AE$2:$AE$1156)</f>
        <v>215551.93354494424</v>
      </c>
      <c r="AF11" s="59" t="str">
        <f>IF(ABS($X$11-$AA$11)&lt;0.01,"OK","ERRO")</f>
        <v>OK</v>
      </c>
      <c r="AG11" s="59" t="str">
        <f ca="1">IF(ABS($Y$11-$AB$11)&lt;0.01,"OK","ERRO")</f>
        <v>OK</v>
      </c>
      <c r="AH11" s="59" t="str">
        <f>IF(ABS($Z$11-$AC$11)&lt;0.01,"OK","ERRO")</f>
        <v>OK</v>
      </c>
      <c r="AI11" s="59" t="str">
        <f>IF(ABS($U$11-$AD$11)&lt;0.01,"OK","ERRO")</f>
        <v>OK</v>
      </c>
      <c r="AJ11" s="59" t="str">
        <f ca="1">IF(ABS(($V$11+$W$11)-$AE$11)&lt;0.01,"OK","ERRO")</f>
        <v>OK</v>
      </c>
    </row>
    <row r="12" spans="1:40" ht="11.25" customHeight="1" x14ac:dyDescent="0.2">
      <c r="A12" s="58" t="s">
        <v>28</v>
      </c>
      <c r="B12" s="58" t="s">
        <v>39</v>
      </c>
      <c r="C12" s="58" t="s">
        <v>40</v>
      </c>
      <c r="D12" s="58" t="s">
        <v>42</v>
      </c>
      <c r="E12" s="58" t="s">
        <v>25</v>
      </c>
      <c r="F12" s="58" t="s">
        <v>25</v>
      </c>
      <c r="G12" s="58" t="s">
        <v>25</v>
      </c>
      <c r="H12" s="58" t="s">
        <v>35</v>
      </c>
      <c r="I12" s="66">
        <v>44621</v>
      </c>
      <c r="J12" s="67">
        <f ca="1">EFEITO!$J$12*EFEITO!$Y$12</f>
        <v>8503.9411231394624</v>
      </c>
      <c r="K12" s="67">
        <f ca="1">EFEITO!$L$12*EFEITO!$Z$12</f>
        <v>21040.546051627662</v>
      </c>
      <c r="L12" s="67">
        <f>EFEITO!$N$12*EFEITO!$AA$12</f>
        <v>61018.689672513268</v>
      </c>
      <c r="M12" s="67">
        <f ca="1">$J$12-EFEITO!$K$12*EFEITO!$Y$12</f>
        <v>0</v>
      </c>
      <c r="N12" s="67">
        <f ca="1">$K$12-EFEITO!$M$12*EFEITO!$Z$12</f>
        <v>0</v>
      </c>
      <c r="O12" s="67">
        <f>$L$12-EFEITO!$O$12*EFEITO!$AA$12</f>
        <v>0</v>
      </c>
      <c r="P12" s="18"/>
      <c r="Q12" s="67" t="s">
        <v>46</v>
      </c>
      <c r="R12" s="67">
        <f>SUMIF($B$2:$B$1156,$Q$12,$J$2:$J$1156)</f>
        <v>0</v>
      </c>
      <c r="S12" s="67">
        <f ca="1">SUMIF($B$2:$B$1156,$Q$12,$K$2:$K$1156)</f>
        <v>9324686.8943201359</v>
      </c>
      <c r="T12" s="67">
        <f>SUMIF($B$2:$B$1156,$Q$12,$L$2:$L$1156)</f>
        <v>7857375.8857844174</v>
      </c>
      <c r="U12" s="67">
        <f>SUMIF($B$2:$B$1156,$Q$12,$M$2:$M$1156)</f>
        <v>0</v>
      </c>
      <c r="V12" s="67">
        <f ca="1">SUMIF($B$2:$B$1156,$Q$12,$N$2:$N$1156)</f>
        <v>0</v>
      </c>
      <c r="W12" s="67">
        <f>SUMIF($B$2:$B$1156,$Q$12,$O$2:$O$1156)</f>
        <v>0</v>
      </c>
      <c r="X12" s="59">
        <f>$R$12-$U$12</f>
        <v>0</v>
      </c>
      <c r="Y12" s="59">
        <f ca="1">$S$12-$V$12</f>
        <v>9324686.8943201359</v>
      </c>
      <c r="Z12" s="59">
        <f>$T$12-$W$12</f>
        <v>7857375.8857844174</v>
      </c>
      <c r="AA12" s="59">
        <f>SUMIF(EFEITO!$B$2:$B$1156,$Q$12,EFEITO!$AE$2:$AE$1156)</f>
        <v>0</v>
      </c>
      <c r="AB12" s="59">
        <f ca="1">SUMIF(EFEITO!$B$2:$B$1156,$Q$12,EFEITO!$AF$2:$AF$1156)</f>
        <v>9324686.8943201359</v>
      </c>
      <c r="AC12" s="59">
        <f>SUMIF(EFEITO!$B$2:$B$1156,$Q$12,EFEITO!$AG$2:$AH$1156)</f>
        <v>7857375.8857844174</v>
      </c>
      <c r="AD12" s="59">
        <f>SUMIF(SUBSIDIO!$B$2:$B$1156,$Q$12,SUBSIDIO!$AD$2:$AD$1156)</f>
        <v>0</v>
      </c>
      <c r="AE12" s="59">
        <f>SUMIF(SUBSIDIO!$B$2:$B$1156,$Q$12,SUBSIDIO!$AE$2:$AE$1156)</f>
        <v>0</v>
      </c>
      <c r="AF12" s="59" t="str">
        <f>IF(ABS($X$12-$AA$12)&lt;0.01,"OK","ERRO")</f>
        <v>OK</v>
      </c>
      <c r="AG12" s="59" t="str">
        <f ca="1">IF(ABS($Y$12-$AB$12)&lt;0.01,"OK","ERRO")</f>
        <v>OK</v>
      </c>
      <c r="AH12" s="59" t="str">
        <f>IF(ABS($Z$12-$AC$12)&lt;0.01,"OK","ERRO")</f>
        <v>OK</v>
      </c>
      <c r="AI12" s="59" t="str">
        <f>IF(ABS($U$12-$AD$12)&lt;0.01,"OK","ERRO")</f>
        <v>OK</v>
      </c>
      <c r="AJ12" s="59" t="str">
        <f ca="1">IF(ABS(($V$12+$W$12)-$AE$12)&lt;0.01,"OK","ERRO")</f>
        <v>OK</v>
      </c>
    </row>
    <row r="13" spans="1:40" ht="11.25" customHeight="1" x14ac:dyDescent="0.2">
      <c r="A13" s="58" t="s">
        <v>21</v>
      </c>
      <c r="B13" s="58" t="s">
        <v>39</v>
      </c>
      <c r="C13" s="58" t="s">
        <v>40</v>
      </c>
      <c r="D13" s="58" t="s">
        <v>42</v>
      </c>
      <c r="E13" s="58" t="s">
        <v>25</v>
      </c>
      <c r="F13" s="58" t="s">
        <v>25</v>
      </c>
      <c r="G13" s="58" t="s">
        <v>25</v>
      </c>
      <c r="H13" s="58" t="s">
        <v>35</v>
      </c>
      <c r="I13" s="66">
        <v>44652</v>
      </c>
      <c r="J13" s="67">
        <f ca="1">EFEITO!$J$13*EFEITO!$Y$13</f>
        <v>116620.04269540247</v>
      </c>
      <c r="K13" s="67">
        <f ca="1">EFEITO!$L$13*EFEITO!$Z$13</f>
        <v>210731.15980341207</v>
      </c>
      <c r="L13" s="67">
        <f>EFEITO!$N$13*EFEITO!$AA$13</f>
        <v>611131.44178016647</v>
      </c>
      <c r="M13" s="67">
        <f ca="1">$J$13-EFEITO!$K$13*EFEITO!$Y$13</f>
        <v>0</v>
      </c>
      <c r="N13" s="67">
        <f ca="1">$K$13-EFEITO!$M$13*EFEITO!$Z$13</f>
        <v>0</v>
      </c>
      <c r="O13" s="67">
        <f>$L$13-EFEITO!$O$13*EFEITO!$AA$13</f>
        <v>0</v>
      </c>
      <c r="P13" s="18"/>
      <c r="Q13" s="67" t="s">
        <v>82</v>
      </c>
      <c r="R13" s="67">
        <f>SUMIF($B$2:$B$1156,$Q$13,$J$2:$J$1156)</f>
        <v>0</v>
      </c>
      <c r="S13" s="67">
        <f>SUMIF($B$2:$B$1156,$Q$13,$K$2:$K$1156)</f>
        <v>0</v>
      </c>
      <c r="T13" s="67">
        <f>SUMIF($B$2:$B$1156,$Q$13,$L$2:$L$1156)</f>
        <v>0</v>
      </c>
      <c r="U13" s="67">
        <f>SUMIF($B$2:$B$1156,$Q$13,$M$2:$M$1156)</f>
        <v>0</v>
      </c>
      <c r="V13" s="67">
        <f>SUMIF($B$2:$B$1156,$Q$13,$N$2:$N$1156)</f>
        <v>0</v>
      </c>
      <c r="W13" s="67">
        <f>SUMIF($B$2:$B$1156,$Q$13,$O$2:$O$1156)</f>
        <v>0</v>
      </c>
      <c r="X13" s="59">
        <f>$R$13-$U$13</f>
        <v>0</v>
      </c>
      <c r="Y13" s="59">
        <f>$S$13-$V$13</f>
        <v>0</v>
      </c>
      <c r="Z13" s="59">
        <f>$T$13-$W$13</f>
        <v>0</v>
      </c>
      <c r="AA13" s="59">
        <f>SUMIF(EFEITO!$B$2:$B$1156,$Q$13,EFEITO!$AE$2:$AE$1156)</f>
        <v>0</v>
      </c>
      <c r="AB13" s="59">
        <f>SUMIF(EFEITO!$B$2:$B$1156,$Q$13,EFEITO!$AF$2:$AF$1156)</f>
        <v>0</v>
      </c>
      <c r="AC13" s="59">
        <f>SUMIF(EFEITO!$B$2:$B$1156,$Q$13,EFEITO!$AG$2:$AH$1156)</f>
        <v>0</v>
      </c>
      <c r="AD13" s="59">
        <f>SUMIF(SUBSIDIO!$B$2:$B$1156,$Q$13,SUBSIDIO!$AD$2:$AD$1156)</f>
        <v>0</v>
      </c>
      <c r="AE13" s="59">
        <f>SUMIF(SUBSIDIO!$B$2:$B$1156,$Q$13,SUBSIDIO!$AE$2:$AE$1156)</f>
        <v>0</v>
      </c>
      <c r="AF13" s="59" t="str">
        <f>IF(ABS($X$13-$AA$13)&lt;0.01,"OK","ERRO")</f>
        <v>OK</v>
      </c>
      <c r="AG13" s="59" t="str">
        <f>IF(ABS($Y$13-$AB$13)&lt;0.01,"OK","ERRO")</f>
        <v>OK</v>
      </c>
      <c r="AH13" s="59" t="str">
        <f>IF(ABS($Z$13-$AC$13)&lt;0.01,"OK","ERRO")</f>
        <v>OK</v>
      </c>
      <c r="AI13" s="59" t="str">
        <f>IF(ABS($U$13-$AD$13)&lt;0.01,"OK","ERRO")</f>
        <v>OK</v>
      </c>
      <c r="AJ13" s="59" t="str">
        <f>IF(ABS(($V$13+$W$13)-$AE$13)&lt;0.01,"OK","ERRO")</f>
        <v>OK</v>
      </c>
    </row>
    <row r="14" spans="1:40" ht="11.25" customHeight="1" x14ac:dyDescent="0.2">
      <c r="A14" s="58" t="s">
        <v>28</v>
      </c>
      <c r="B14" s="58" t="s">
        <v>39</v>
      </c>
      <c r="C14" s="58" t="s">
        <v>40</v>
      </c>
      <c r="D14" s="58" t="s">
        <v>42</v>
      </c>
      <c r="E14" s="58" t="s">
        <v>25</v>
      </c>
      <c r="F14" s="58" t="s">
        <v>25</v>
      </c>
      <c r="G14" s="58" t="s">
        <v>25</v>
      </c>
      <c r="H14" s="58" t="s">
        <v>35</v>
      </c>
      <c r="I14" s="66">
        <v>44652</v>
      </c>
      <c r="J14" s="67">
        <f ca="1">EFEITO!$J$14*EFEITO!$Y$14</f>
        <v>8503.9411231394624</v>
      </c>
      <c r="K14" s="67">
        <f ca="1">EFEITO!$L$14*EFEITO!$Z$14</f>
        <v>21040.546051627662</v>
      </c>
      <c r="L14" s="67">
        <f>EFEITO!$N$14*EFEITO!$AA$14</f>
        <v>61018.689672513268</v>
      </c>
      <c r="M14" s="67">
        <f ca="1">$J$14-EFEITO!$K$14*EFEITO!$Y$14</f>
        <v>0</v>
      </c>
      <c r="N14" s="67">
        <f ca="1">$K$14-EFEITO!$M$14*EFEITO!$Z$14</f>
        <v>0</v>
      </c>
      <c r="O14" s="67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8" t="s">
        <v>21</v>
      </c>
      <c r="B15" s="58" t="s">
        <v>39</v>
      </c>
      <c r="C15" s="58" t="s">
        <v>40</v>
      </c>
      <c r="D15" s="58" t="s">
        <v>42</v>
      </c>
      <c r="E15" s="58" t="s">
        <v>25</v>
      </c>
      <c r="F15" s="58" t="s">
        <v>25</v>
      </c>
      <c r="G15" s="58" t="s">
        <v>25</v>
      </c>
      <c r="H15" s="58" t="s">
        <v>35</v>
      </c>
      <c r="I15" s="66">
        <v>44682</v>
      </c>
      <c r="J15" s="67">
        <f ca="1">EFEITO!$J$15*EFEITO!$Y$15</f>
        <v>116068.33286862161</v>
      </c>
      <c r="K15" s="67">
        <f ca="1">EFEITO!$L$15*EFEITO!$Z$15</f>
        <v>201987.2940286528</v>
      </c>
      <c r="L15" s="67">
        <f>EFEITO!$N$15*EFEITO!$AA$15</f>
        <v>585773.77135949454</v>
      </c>
      <c r="M15" s="67">
        <f ca="1">$J$15-EFEITO!$K$15*EFEITO!$Y$15</f>
        <v>0</v>
      </c>
      <c r="N15" s="67">
        <f ca="1">$K$15-EFEITO!$M$15*EFEITO!$Z$15</f>
        <v>0</v>
      </c>
      <c r="O15" s="67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8" t="s">
        <v>28</v>
      </c>
      <c r="B16" s="58" t="s">
        <v>39</v>
      </c>
      <c r="C16" s="58" t="s">
        <v>40</v>
      </c>
      <c r="D16" s="58" t="s">
        <v>42</v>
      </c>
      <c r="E16" s="58" t="s">
        <v>25</v>
      </c>
      <c r="F16" s="58" t="s">
        <v>25</v>
      </c>
      <c r="G16" s="58" t="s">
        <v>25</v>
      </c>
      <c r="H16" s="58" t="s">
        <v>35</v>
      </c>
      <c r="I16" s="66">
        <v>44682</v>
      </c>
      <c r="J16" s="67">
        <f ca="1">EFEITO!$J$16*EFEITO!$Y$16</f>
        <v>34624.547749695346</v>
      </c>
      <c r="K16" s="67">
        <f ca="1">EFEITO!$L$16*EFEITO!$Z$16</f>
        <v>82405.859555990144</v>
      </c>
      <c r="L16" s="67">
        <f>EFEITO!$N$16*EFEITO!$AA$16</f>
        <v>238981.32487177983</v>
      </c>
      <c r="M16" s="67">
        <f ca="1">$J$16-EFEITO!$K$16*EFEITO!$Y$16</f>
        <v>0</v>
      </c>
      <c r="N16" s="67">
        <f ca="1">$K$16-EFEITO!$M$16*EFEITO!$Z$16</f>
        <v>0</v>
      </c>
      <c r="O16" s="67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8" t="s">
        <v>21</v>
      </c>
      <c r="B17" s="58" t="s">
        <v>39</v>
      </c>
      <c r="C17" s="58" t="s">
        <v>40</v>
      </c>
      <c r="D17" s="58" t="s">
        <v>42</v>
      </c>
      <c r="E17" s="58" t="s">
        <v>25</v>
      </c>
      <c r="F17" s="58" t="s">
        <v>25</v>
      </c>
      <c r="G17" s="58" t="s">
        <v>25</v>
      </c>
      <c r="H17" s="58" t="s">
        <v>35</v>
      </c>
      <c r="I17" s="66">
        <v>44713</v>
      </c>
      <c r="J17" s="67">
        <f ca="1">EFEITO!$J$17*EFEITO!$Y$17</f>
        <v>114603.4481561345</v>
      </c>
      <c r="K17" s="67">
        <f ca="1">EFEITO!$L$17*EFEITO!$Z$17</f>
        <v>196545.51121473007</v>
      </c>
      <c r="L17" s="67">
        <f>EFEITO!$N$17*EFEITO!$AA$17</f>
        <v>569992.31511909061</v>
      </c>
      <c r="M17" s="67">
        <f ca="1">$J$17-EFEITO!$K$17*EFEITO!$Y$17</f>
        <v>0</v>
      </c>
      <c r="N17" s="67">
        <f ca="1">$K$17-EFEITO!$M$17*EFEITO!$Z$17</f>
        <v>0</v>
      </c>
      <c r="O17" s="67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8" t="s">
        <v>28</v>
      </c>
      <c r="B18" s="58" t="s">
        <v>39</v>
      </c>
      <c r="C18" s="58" t="s">
        <v>40</v>
      </c>
      <c r="D18" s="58" t="s">
        <v>42</v>
      </c>
      <c r="E18" s="58" t="s">
        <v>25</v>
      </c>
      <c r="F18" s="58" t="s">
        <v>25</v>
      </c>
      <c r="G18" s="58" t="s">
        <v>25</v>
      </c>
      <c r="H18" s="58" t="s">
        <v>35</v>
      </c>
      <c r="I18" s="66">
        <v>44713</v>
      </c>
      <c r="J18" s="67">
        <f ca="1">EFEITO!$J$18*EFEITO!$Y$18</f>
        <v>8465.8921695683675</v>
      </c>
      <c r="K18" s="67">
        <f ca="1">EFEITO!$L$18*EFEITO!$Z$18</f>
        <v>19866.89042150665</v>
      </c>
      <c r="L18" s="67">
        <f>EFEITO!$N$18*EFEITO!$AA$18</f>
        <v>57615.026644898455</v>
      </c>
      <c r="M18" s="67">
        <f ca="1">$J$18-EFEITO!$K$18*EFEITO!$Y$18</f>
        <v>0</v>
      </c>
      <c r="N18" s="67">
        <f ca="1">$K$18-EFEITO!$M$18*EFEITO!$Z$18</f>
        <v>0</v>
      </c>
      <c r="O18" s="67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8" t="s">
        <v>21</v>
      </c>
      <c r="B19" s="58" t="s">
        <v>39</v>
      </c>
      <c r="C19" s="58" t="s">
        <v>40</v>
      </c>
      <c r="D19" s="58" t="s">
        <v>42</v>
      </c>
      <c r="E19" s="58" t="s">
        <v>25</v>
      </c>
      <c r="F19" s="58" t="s">
        <v>25</v>
      </c>
      <c r="G19" s="58" t="s">
        <v>25</v>
      </c>
      <c r="H19" s="58" t="s">
        <v>35</v>
      </c>
      <c r="I19" s="66">
        <v>44743</v>
      </c>
      <c r="J19" s="67">
        <f ca="1">EFEITO!$J$19*EFEITO!$Y$19</f>
        <v>115782.9657168384</v>
      </c>
      <c r="K19" s="67">
        <f ca="1">EFEITO!$L$19*EFEITO!$Z$19</f>
        <v>205303.49500294382</v>
      </c>
      <c r="L19" s="67">
        <f>EFEITO!$N$19*EFEITO!$AA$19</f>
        <v>595390.92852097878</v>
      </c>
      <c r="M19" s="67">
        <f ca="1">$J$19-EFEITO!$K$19*EFEITO!$Y$19</f>
        <v>0</v>
      </c>
      <c r="N19" s="67">
        <f ca="1">$K$19-EFEITO!$M$19*EFEITO!$Z$19</f>
        <v>0</v>
      </c>
      <c r="O19" s="67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8" t="s">
        <v>28</v>
      </c>
      <c r="B20" s="58" t="s">
        <v>39</v>
      </c>
      <c r="C20" s="58" t="s">
        <v>40</v>
      </c>
      <c r="D20" s="58" t="s">
        <v>42</v>
      </c>
      <c r="E20" s="58" t="s">
        <v>25</v>
      </c>
      <c r="F20" s="58" t="s">
        <v>25</v>
      </c>
      <c r="G20" s="58" t="s">
        <v>25</v>
      </c>
      <c r="H20" s="58" t="s">
        <v>35</v>
      </c>
      <c r="I20" s="66">
        <v>44743</v>
      </c>
      <c r="J20" s="67">
        <f ca="1">EFEITO!$J$20*EFEITO!$Y$20</f>
        <v>8751.259321351572</v>
      </c>
      <c r="K20" s="67">
        <f ca="1">EFEITO!$L$20*EFEITO!$Z$20</f>
        <v>20863.906720499792</v>
      </c>
      <c r="L20" s="67">
        <f>EFEITO!$N$20*EFEITO!$AA$20</f>
        <v>60506.426326134097</v>
      </c>
      <c r="M20" s="67">
        <f ca="1">$J$20-EFEITO!$K$20*EFEITO!$Y$20</f>
        <v>0</v>
      </c>
      <c r="N20" s="67">
        <f ca="1">$K$20-EFEITO!$M$20*EFEITO!$Z$20</f>
        <v>0</v>
      </c>
      <c r="O20" s="67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8" t="s">
        <v>21</v>
      </c>
      <c r="B21" s="58" t="s">
        <v>39</v>
      </c>
      <c r="C21" s="58" t="s">
        <v>40</v>
      </c>
      <c r="D21" s="58" t="s">
        <v>42</v>
      </c>
      <c r="E21" s="58" t="s">
        <v>25</v>
      </c>
      <c r="F21" s="58" t="s">
        <v>25</v>
      </c>
      <c r="G21" s="58" t="s">
        <v>25</v>
      </c>
      <c r="H21" s="58" t="s">
        <v>35</v>
      </c>
      <c r="I21" s="66">
        <v>44774</v>
      </c>
      <c r="J21" s="67">
        <f ca="1">EFEITO!$J$21*EFEITO!$Y$21</f>
        <v>119644.93450430442</v>
      </c>
      <c r="K21" s="67">
        <f ca="1">EFEITO!$L$21*EFEITO!$Z$21</f>
        <v>215295.98415368691</v>
      </c>
      <c r="L21" s="67">
        <f>EFEITO!$N$21*EFEITO!$AA$21</f>
        <v>624369.67237339797</v>
      </c>
      <c r="M21" s="67">
        <f ca="1">$J$21-EFEITO!$K$21*EFEITO!$Y$21</f>
        <v>0</v>
      </c>
      <c r="N21" s="67">
        <f ca="1">$K$21-EFEITO!$M$21*EFEITO!$Z$21</f>
        <v>0</v>
      </c>
      <c r="O21" s="67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8" t="s">
        <v>27</v>
      </c>
      <c r="B22" s="58" t="s">
        <v>39</v>
      </c>
      <c r="C22" s="58" t="s">
        <v>40</v>
      </c>
      <c r="D22" s="58" t="s">
        <v>42</v>
      </c>
      <c r="E22" s="58" t="s">
        <v>25</v>
      </c>
      <c r="F22" s="58" t="s">
        <v>25</v>
      </c>
      <c r="G22" s="58" t="s">
        <v>25</v>
      </c>
      <c r="H22" s="58" t="s">
        <v>35</v>
      </c>
      <c r="I22" s="66">
        <v>44774</v>
      </c>
      <c r="J22" s="67">
        <f ca="1">EFEITO!$J$22*EFEITO!$Y$22</f>
        <v>1674.1539571281269</v>
      </c>
      <c r="K22" s="67">
        <f ca="1">EFEITO!$L$22*EFEITO!$Z$22</f>
        <v>4365.9683003000337</v>
      </c>
      <c r="L22" s="67">
        <f>EFEITO!$N$22*EFEITO!$AA$22</f>
        <v>12661.537594240777</v>
      </c>
      <c r="M22" s="67">
        <f ca="1">$J$22-EFEITO!$K$22*EFEITO!$Y$22</f>
        <v>0</v>
      </c>
      <c r="N22" s="67">
        <f ca="1">$K$22-EFEITO!$M$22*EFEITO!$Z$22</f>
        <v>0</v>
      </c>
      <c r="O22" s="67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8" t="s">
        <v>28</v>
      </c>
      <c r="B23" s="58" t="s">
        <v>39</v>
      </c>
      <c r="C23" s="58" t="s">
        <v>40</v>
      </c>
      <c r="D23" s="58" t="s">
        <v>42</v>
      </c>
      <c r="E23" s="58" t="s">
        <v>25</v>
      </c>
      <c r="F23" s="58" t="s">
        <v>25</v>
      </c>
      <c r="G23" s="58" t="s">
        <v>25</v>
      </c>
      <c r="H23" s="58" t="s">
        <v>35</v>
      </c>
      <c r="I23" s="66">
        <v>44774</v>
      </c>
      <c r="J23" s="67">
        <f ca="1">EFEITO!$J$23*EFEITO!$Y$23</f>
        <v>8618.0879838527435</v>
      </c>
      <c r="K23" s="67">
        <f ca="1">EFEITO!$L$23*EFEITO!$Z$23</f>
        <v>21205.256208596347</v>
      </c>
      <c r="L23" s="67">
        <f>EFEITO!$N$23*EFEITO!$AA$23</f>
        <v>61496.357786702043</v>
      </c>
      <c r="M23" s="67">
        <f ca="1">$J$23-EFEITO!$K$23*EFEITO!$Y$23</f>
        <v>0</v>
      </c>
      <c r="N23" s="67">
        <f ca="1">$K$23-EFEITO!$M$23*EFEITO!$Z$23</f>
        <v>0</v>
      </c>
      <c r="O23" s="67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8" t="s">
        <v>21</v>
      </c>
      <c r="B24" s="58" t="s">
        <v>39</v>
      </c>
      <c r="C24" s="58" t="s">
        <v>40</v>
      </c>
      <c r="D24" s="58" t="s">
        <v>42</v>
      </c>
      <c r="E24" s="58" t="s">
        <v>25</v>
      </c>
      <c r="F24" s="58" t="s">
        <v>25</v>
      </c>
      <c r="G24" s="58" t="s">
        <v>25</v>
      </c>
      <c r="H24" s="58" t="s">
        <v>35</v>
      </c>
      <c r="I24" s="66">
        <v>44805</v>
      </c>
      <c r="J24" s="67">
        <f ca="1">EFEITO!$J$24*EFEITO!$Y$24</f>
        <v>121832.74933464231</v>
      </c>
      <c r="K24" s="67">
        <f ca="1">EFEITO!$L$24*EFEITO!$Z$24</f>
        <v>223612.26017211616</v>
      </c>
      <c r="L24" s="67">
        <f>EFEITO!$N$24*EFEITO!$AA$24</f>
        <v>648487.31002188683</v>
      </c>
      <c r="M24" s="67">
        <f ca="1">$J$24-EFEITO!$K$24*EFEITO!$Y$24</f>
        <v>0</v>
      </c>
      <c r="N24" s="67">
        <f ca="1">$K$24-EFEITO!$M$24*EFEITO!$Z$24</f>
        <v>0</v>
      </c>
      <c r="O24" s="67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8" t="s">
        <v>28</v>
      </c>
      <c r="B25" s="58" t="s">
        <v>39</v>
      </c>
      <c r="C25" s="58" t="s">
        <v>40</v>
      </c>
      <c r="D25" s="58" t="s">
        <v>42</v>
      </c>
      <c r="E25" s="58" t="s">
        <v>25</v>
      </c>
      <c r="F25" s="58" t="s">
        <v>25</v>
      </c>
      <c r="G25" s="58" t="s">
        <v>25</v>
      </c>
      <c r="H25" s="58" t="s">
        <v>35</v>
      </c>
      <c r="I25" s="66">
        <v>44805</v>
      </c>
      <c r="J25" s="67">
        <f ca="1">EFEITO!$J$25*EFEITO!$Y$25</f>
        <v>5745.3919892351623</v>
      </c>
      <c r="K25" s="67">
        <f ca="1">EFEITO!$L$25*EFEITO!$Z$25</f>
        <v>13762.327068977747</v>
      </c>
      <c r="L25" s="67">
        <f>EFEITO!$N$25*EFEITO!$AA$25</f>
        <v>39911.471999493086</v>
      </c>
      <c r="M25" s="67">
        <f ca="1">$J$25-EFEITO!$K$25*EFEITO!$Y$25</f>
        <v>0</v>
      </c>
      <c r="N25" s="67">
        <f ca="1">$K$25-EFEITO!$M$25*EFEITO!$Z$25</f>
        <v>0</v>
      </c>
      <c r="O25" s="67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8" t="s">
        <v>55</v>
      </c>
      <c r="B26" s="58" t="s">
        <v>39</v>
      </c>
      <c r="C26" s="58" t="s">
        <v>40</v>
      </c>
      <c r="D26" s="58" t="s">
        <v>42</v>
      </c>
      <c r="E26" s="58" t="s">
        <v>25</v>
      </c>
      <c r="F26" s="58" t="s">
        <v>25</v>
      </c>
      <c r="G26" s="58" t="s">
        <v>25</v>
      </c>
      <c r="H26" s="58" t="s">
        <v>35</v>
      </c>
      <c r="I26" s="66">
        <v>44835</v>
      </c>
      <c r="J26" s="67">
        <f ca="1">EFEITO!$J$26*EFEITO!$Y$26</f>
        <v>121832.74933464231</v>
      </c>
      <c r="K26" s="67">
        <f ca="1">EFEITO!$L$26*EFEITO!$Z$26</f>
        <v>223612.26017211616</v>
      </c>
      <c r="L26" s="67">
        <f>EFEITO!$N$26*EFEITO!$AA$26</f>
        <v>648487.31002188683</v>
      </c>
      <c r="M26" s="67">
        <f ca="1">$J$26-EFEITO!$K$26*EFEITO!$Y$26</f>
        <v>0</v>
      </c>
      <c r="N26" s="67">
        <f ca="1">$K$26-EFEITO!$M$26*EFEITO!$Z$26</f>
        <v>0</v>
      </c>
      <c r="O26" s="67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8" t="s">
        <v>55</v>
      </c>
      <c r="B27" s="58" t="s">
        <v>39</v>
      </c>
      <c r="C27" s="58" t="s">
        <v>40</v>
      </c>
      <c r="D27" s="58" t="s">
        <v>42</v>
      </c>
      <c r="E27" s="58" t="s">
        <v>25</v>
      </c>
      <c r="F27" s="58" t="s">
        <v>25</v>
      </c>
      <c r="G27" s="58" t="s">
        <v>25</v>
      </c>
      <c r="H27" s="58" t="s">
        <v>35</v>
      </c>
      <c r="I27" s="66">
        <v>44835</v>
      </c>
      <c r="J27" s="67">
        <f ca="1">EFEITO!$J$27*EFEITO!$Y$27</f>
        <v>5745.3919892351623</v>
      </c>
      <c r="K27" s="67">
        <f ca="1">EFEITO!$L$27*EFEITO!$Z$27</f>
        <v>13762.327068977747</v>
      </c>
      <c r="L27" s="67">
        <f>EFEITO!$N$27*EFEITO!$AA$27</f>
        <v>39911.471999493086</v>
      </c>
      <c r="M27" s="67">
        <f ca="1">$J$27-EFEITO!$K$27*EFEITO!$Y$27</f>
        <v>0</v>
      </c>
      <c r="N27" s="67">
        <f ca="1">$K$27-EFEITO!$M$27*EFEITO!$Z$27</f>
        <v>0</v>
      </c>
      <c r="O27" s="67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8" t="s">
        <v>21</v>
      </c>
      <c r="B28" s="58" t="s">
        <v>39</v>
      </c>
      <c r="C28" s="58" t="s">
        <v>40</v>
      </c>
      <c r="D28" s="58" t="s">
        <v>42</v>
      </c>
      <c r="E28" s="58" t="s">
        <v>25</v>
      </c>
      <c r="F28" s="58" t="s">
        <v>25</v>
      </c>
      <c r="G28" s="58" t="s">
        <v>25</v>
      </c>
      <c r="H28" s="58" t="s">
        <v>34</v>
      </c>
      <c r="I28" s="66">
        <v>44501</v>
      </c>
      <c r="J28" s="67">
        <f ca="1">EFEITO!$J$28*EFEITO!$Y$28</f>
        <v>338265.67841823044</v>
      </c>
      <c r="K28" s="67">
        <f ca="1">EFEITO!$L$28*EFEITO!$Z$28</f>
        <v>20972.2542656154</v>
      </c>
      <c r="L28" s="67">
        <f>EFEITO!$N$28*EFEITO!$AA$28</f>
        <v>104024.68105501389</v>
      </c>
      <c r="M28" s="67">
        <f ca="1">$J$28-EFEITO!$K$28*EFEITO!$Y$28</f>
        <v>0</v>
      </c>
      <c r="N28" s="67">
        <f ca="1">$K$28-EFEITO!$M$28*EFEITO!$Z$28</f>
        <v>0</v>
      </c>
      <c r="O28" s="67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8" t="s">
        <v>28</v>
      </c>
      <c r="B29" s="58" t="s">
        <v>39</v>
      </c>
      <c r="C29" s="58" t="s">
        <v>40</v>
      </c>
      <c r="D29" s="58" t="s">
        <v>42</v>
      </c>
      <c r="E29" s="58" t="s">
        <v>25</v>
      </c>
      <c r="F29" s="58" t="s">
        <v>25</v>
      </c>
      <c r="G29" s="58" t="s">
        <v>25</v>
      </c>
      <c r="H29" s="58" t="s">
        <v>34</v>
      </c>
      <c r="I29" s="66">
        <v>44501</v>
      </c>
      <c r="J29" s="67">
        <f ca="1">EFEITO!$J$29*EFEITO!$Y$29</f>
        <v>1141.8250748294699</v>
      </c>
      <c r="K29" s="67">
        <f ca="1">EFEITO!$L$29*EFEITO!$Z$29</f>
        <v>88.647991458226457</v>
      </c>
      <c r="L29" s="67">
        <f>EFEITO!$N$29*EFEITO!$AA$29</f>
        <v>439.70375911037087</v>
      </c>
      <c r="M29" s="67">
        <f ca="1">$J$29-EFEITO!$K$29*EFEITO!$Y$29</f>
        <v>0</v>
      </c>
      <c r="N29" s="67">
        <f ca="1">$K$29-EFEITO!$M$29*EFEITO!$Z$29</f>
        <v>0</v>
      </c>
      <c r="O29" s="67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8" t="s">
        <v>21</v>
      </c>
      <c r="B30" s="58" t="s">
        <v>39</v>
      </c>
      <c r="C30" s="58" t="s">
        <v>40</v>
      </c>
      <c r="D30" s="58" t="s">
        <v>42</v>
      </c>
      <c r="E30" s="58" t="s">
        <v>25</v>
      </c>
      <c r="F30" s="58" t="s">
        <v>25</v>
      </c>
      <c r="G30" s="58" t="s">
        <v>25</v>
      </c>
      <c r="H30" s="58" t="s">
        <v>34</v>
      </c>
      <c r="I30" s="66">
        <v>44531</v>
      </c>
      <c r="J30" s="67">
        <f ca="1">EFEITO!$J$30*EFEITO!$Y$30</f>
        <v>312174.97545837704</v>
      </c>
      <c r="K30" s="67">
        <f ca="1">EFEITO!$L$30*EFEITO!$Z$30</f>
        <v>24229.356578934261</v>
      </c>
      <c r="L30" s="67">
        <f>EFEITO!$N$30*EFEITO!$AA$30</f>
        <v>120180.26571536419</v>
      </c>
      <c r="M30" s="67">
        <f ca="1">$J$30-EFEITO!$K$30*EFEITO!$Y$30</f>
        <v>0</v>
      </c>
      <c r="N30" s="67">
        <f ca="1">$K$30-EFEITO!$M$30*EFEITO!$Z$30</f>
        <v>0</v>
      </c>
      <c r="O30" s="67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8" t="s">
        <v>27</v>
      </c>
      <c r="B31" s="58" t="s">
        <v>39</v>
      </c>
      <c r="C31" s="58" t="s">
        <v>40</v>
      </c>
      <c r="D31" s="58" t="s">
        <v>42</v>
      </c>
      <c r="E31" s="58" t="s">
        <v>25</v>
      </c>
      <c r="F31" s="58" t="s">
        <v>25</v>
      </c>
      <c r="G31" s="58" t="s">
        <v>25</v>
      </c>
      <c r="H31" s="58" t="s">
        <v>34</v>
      </c>
      <c r="I31" s="66">
        <v>44531</v>
      </c>
      <c r="J31" s="67">
        <f ca="1">EFEITO!$J$31*EFEITO!$Y$31</f>
        <v>-26033.611706111915</v>
      </c>
      <c r="K31" s="67">
        <f ca="1">EFEITO!$L$31*EFEITO!$Z$31</f>
        <v>-14.118013454458286</v>
      </c>
      <c r="L31" s="67">
        <f>EFEITO!$N$31*EFEITO!$AA$31</f>
        <v>-70.026894969429435</v>
      </c>
      <c r="M31" s="67">
        <f ca="1">$J$31-EFEITO!$K$31*EFEITO!$Y$31</f>
        <v>0</v>
      </c>
      <c r="N31" s="67">
        <f ca="1">$K$31-EFEITO!$M$31*EFEITO!$Z$31</f>
        <v>0</v>
      </c>
      <c r="O31" s="67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8" t="s">
        <v>28</v>
      </c>
      <c r="B32" s="58" t="s">
        <v>39</v>
      </c>
      <c r="C32" s="58" t="s">
        <v>40</v>
      </c>
      <c r="D32" s="58" t="s">
        <v>42</v>
      </c>
      <c r="E32" s="58" t="s">
        <v>25</v>
      </c>
      <c r="F32" s="58" t="s">
        <v>25</v>
      </c>
      <c r="G32" s="58" t="s">
        <v>25</v>
      </c>
      <c r="H32" s="58" t="s">
        <v>34</v>
      </c>
      <c r="I32" s="66">
        <v>44531</v>
      </c>
      <c r="J32" s="67">
        <f ca="1">EFEITO!$J$32*EFEITO!$Y$32</f>
        <v>1141.8250748294699</v>
      </c>
      <c r="K32" s="67">
        <f ca="1">EFEITO!$L$32*EFEITO!$Z$32</f>
        <v>100.24883972313016</v>
      </c>
      <c r="L32" s="67">
        <f>EFEITO!$N$32*EFEITO!$AA$32</f>
        <v>497.24523869765397</v>
      </c>
      <c r="M32" s="67">
        <f ca="1">$J$32-EFEITO!$K$32*EFEITO!$Y$32</f>
        <v>0</v>
      </c>
      <c r="N32" s="67">
        <f ca="1">$K$32-EFEITO!$M$32*EFEITO!$Z$32</f>
        <v>0</v>
      </c>
      <c r="O32" s="67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8" t="s">
        <v>21</v>
      </c>
      <c r="B33" s="58" t="s">
        <v>39</v>
      </c>
      <c r="C33" s="58" t="s">
        <v>40</v>
      </c>
      <c r="D33" s="58" t="s">
        <v>42</v>
      </c>
      <c r="E33" s="58" t="s">
        <v>25</v>
      </c>
      <c r="F33" s="58" t="s">
        <v>25</v>
      </c>
      <c r="G33" s="58" t="s">
        <v>25</v>
      </c>
      <c r="H33" s="58" t="s">
        <v>34</v>
      </c>
      <c r="I33" s="66">
        <v>44562</v>
      </c>
      <c r="J33" s="67">
        <f ca="1">EFEITO!$J$33*EFEITO!$Y$33</f>
        <v>310119.69032368402</v>
      </c>
      <c r="K33" s="67">
        <f ca="1">EFEITO!$L$33*EFEITO!$Z$33</f>
        <v>21849.322171228028</v>
      </c>
      <c r="L33" s="67">
        <f>EFEITO!$N$33*EFEITO!$AA$33</f>
        <v>108375.03404947132</v>
      </c>
      <c r="M33" s="67">
        <f ca="1">$J$33-EFEITO!$K$33*EFEITO!$Y$33</f>
        <v>0</v>
      </c>
      <c r="N33" s="67">
        <f ca="1">$K$33-EFEITO!$M$33*EFEITO!$Z$33</f>
        <v>0</v>
      </c>
      <c r="O33" s="67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8" t="s">
        <v>28</v>
      </c>
      <c r="B34" s="58" t="s">
        <v>39</v>
      </c>
      <c r="C34" s="58" t="s">
        <v>40</v>
      </c>
      <c r="D34" s="58" t="s">
        <v>42</v>
      </c>
      <c r="E34" s="58" t="s">
        <v>25</v>
      </c>
      <c r="F34" s="58" t="s">
        <v>25</v>
      </c>
      <c r="G34" s="58" t="s">
        <v>25</v>
      </c>
      <c r="H34" s="58" t="s">
        <v>34</v>
      </c>
      <c r="I34" s="66">
        <v>44562</v>
      </c>
      <c r="J34" s="67">
        <f ca="1">EFEITO!$J$34*EFEITO!$Y$34</f>
        <v>1141.8250748294699</v>
      </c>
      <c r="K34" s="67">
        <f ca="1">EFEITO!$L$34*EFEITO!$Z$34</f>
        <v>91.165156647781018</v>
      </c>
      <c r="L34" s="67">
        <f>EFEITO!$N$34*EFEITO!$AA$34</f>
        <v>452.18917449251717</v>
      </c>
      <c r="M34" s="67">
        <f ca="1">$J$34-EFEITO!$K$34*EFEITO!$Y$34</f>
        <v>0</v>
      </c>
      <c r="N34" s="67">
        <f ca="1">$K$34-EFEITO!$M$34*EFEITO!$Z$34</f>
        <v>0</v>
      </c>
      <c r="O34" s="67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8" t="s">
        <v>21</v>
      </c>
      <c r="B35" s="58" t="s">
        <v>39</v>
      </c>
      <c r="C35" s="58" t="s">
        <v>40</v>
      </c>
      <c r="D35" s="58" t="s">
        <v>42</v>
      </c>
      <c r="E35" s="58" t="s">
        <v>25</v>
      </c>
      <c r="F35" s="58" t="s">
        <v>25</v>
      </c>
      <c r="G35" s="58" t="s">
        <v>25</v>
      </c>
      <c r="H35" s="58" t="s">
        <v>34</v>
      </c>
      <c r="I35" s="66">
        <v>44593</v>
      </c>
      <c r="J35" s="67">
        <f ca="1">EFEITO!$J$35*EFEITO!$Y$35</f>
        <v>296931.61070940364</v>
      </c>
      <c r="K35" s="67">
        <f ca="1">EFEITO!$L$35*EFEITO!$Z$35</f>
        <v>19253.249325079152</v>
      </c>
      <c r="L35" s="67">
        <f>EFEITO!$N$35*EFEITO!$AA$35</f>
        <v>95498.228037302048</v>
      </c>
      <c r="M35" s="67">
        <f ca="1">$J$35-EFEITO!$K$35*EFEITO!$Y$35</f>
        <v>0</v>
      </c>
      <c r="N35" s="67">
        <f ca="1">$K$35-EFEITO!$M$35*EFEITO!$Z$35</f>
        <v>0</v>
      </c>
      <c r="O35" s="67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8" t="s">
        <v>28</v>
      </c>
      <c r="B36" s="58" t="s">
        <v>39</v>
      </c>
      <c r="C36" s="58" t="s">
        <v>40</v>
      </c>
      <c r="D36" s="58" t="s">
        <v>42</v>
      </c>
      <c r="E36" s="58" t="s">
        <v>25</v>
      </c>
      <c r="F36" s="58" t="s">
        <v>25</v>
      </c>
      <c r="G36" s="58" t="s">
        <v>25</v>
      </c>
      <c r="H36" s="58" t="s">
        <v>34</v>
      </c>
      <c r="I36" s="66">
        <v>44593</v>
      </c>
      <c r="J36" s="67">
        <f ca="1">EFEITO!$J$36*EFEITO!$Y$36</f>
        <v>21466.311406794033</v>
      </c>
      <c r="K36" s="67">
        <f ca="1">EFEITO!$L$36*EFEITO!$Z$36</f>
        <v>1966.0154550068885</v>
      </c>
      <c r="L36" s="67">
        <f>EFEITO!$N$36*EFEITO!$AA$36</f>
        <v>9751.6522576033349</v>
      </c>
      <c r="M36" s="67">
        <f ca="1">$J$36-EFEITO!$K$36*EFEITO!$Y$36</f>
        <v>0</v>
      </c>
      <c r="N36" s="67">
        <f ca="1">$K$36-EFEITO!$M$36*EFEITO!$Z$36</f>
        <v>0</v>
      </c>
      <c r="O36" s="67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8" t="s">
        <v>21</v>
      </c>
      <c r="B37" s="58" t="s">
        <v>39</v>
      </c>
      <c r="C37" s="58" t="s">
        <v>40</v>
      </c>
      <c r="D37" s="58" t="s">
        <v>42</v>
      </c>
      <c r="E37" s="58" t="s">
        <v>25</v>
      </c>
      <c r="F37" s="58" t="s">
        <v>25</v>
      </c>
      <c r="G37" s="58" t="s">
        <v>25</v>
      </c>
      <c r="H37" s="58" t="s">
        <v>34</v>
      </c>
      <c r="I37" s="66">
        <v>44621</v>
      </c>
      <c r="J37" s="67">
        <f ca="1">EFEITO!$J$37*EFEITO!$Y$37</f>
        <v>299329.44336654554</v>
      </c>
      <c r="K37" s="67">
        <f ca="1">EFEITO!$L$37*EFEITO!$Z$37</f>
        <v>20543.679531602542</v>
      </c>
      <c r="L37" s="67">
        <f>EFEITO!$N$37*EFEITO!$AA$37</f>
        <v>101898.90337516672</v>
      </c>
      <c r="M37" s="67">
        <f ca="1">$J$37-EFEITO!$K$37*EFEITO!$Y$37</f>
        <v>0</v>
      </c>
      <c r="N37" s="67">
        <f ca="1">$K$37-EFEITO!$M$37*EFEITO!$Z$37</f>
        <v>0</v>
      </c>
      <c r="O37" s="67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8" t="s">
        <v>28</v>
      </c>
      <c r="B38" s="58" t="s">
        <v>39</v>
      </c>
      <c r="C38" s="58" t="s">
        <v>40</v>
      </c>
      <c r="D38" s="58" t="s">
        <v>42</v>
      </c>
      <c r="E38" s="58" t="s">
        <v>25</v>
      </c>
      <c r="F38" s="58" t="s">
        <v>25</v>
      </c>
      <c r="G38" s="58" t="s">
        <v>25</v>
      </c>
      <c r="H38" s="58" t="s">
        <v>34</v>
      </c>
      <c r="I38" s="66">
        <v>44621</v>
      </c>
      <c r="J38" s="67">
        <f ca="1">EFEITO!$J$38*EFEITO!$Y$38</f>
        <v>20609.942600671933</v>
      </c>
      <c r="K38" s="67">
        <f ca="1">EFEITO!$L$38*EFEITO!$Z$38</f>
        <v>2144.2964156062108</v>
      </c>
      <c r="L38" s="67">
        <f>EFEITO!$N$38*EFEITO!$AA$38</f>
        <v>10635.945373147526</v>
      </c>
      <c r="M38" s="67">
        <f ca="1">$J$38-EFEITO!$K$38*EFEITO!$Y$38</f>
        <v>0</v>
      </c>
      <c r="N38" s="67">
        <f ca="1">$K$38-EFEITO!$M$38*EFEITO!$Z$38</f>
        <v>0</v>
      </c>
      <c r="O38" s="67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8" t="s">
        <v>21</v>
      </c>
      <c r="B39" s="58" t="s">
        <v>39</v>
      </c>
      <c r="C39" s="58" t="s">
        <v>40</v>
      </c>
      <c r="D39" s="58" t="s">
        <v>42</v>
      </c>
      <c r="E39" s="58" t="s">
        <v>25</v>
      </c>
      <c r="F39" s="58" t="s">
        <v>25</v>
      </c>
      <c r="G39" s="58" t="s">
        <v>25</v>
      </c>
      <c r="H39" s="58" t="s">
        <v>34</v>
      </c>
      <c r="I39" s="66">
        <v>44652</v>
      </c>
      <c r="J39" s="67">
        <f ca="1">EFEITO!$J$39*EFEITO!$Y$39</f>
        <v>299329.44336654554</v>
      </c>
      <c r="K39" s="67">
        <f ca="1">EFEITO!$L$39*EFEITO!$Z$39</f>
        <v>20543.679531602542</v>
      </c>
      <c r="L39" s="67">
        <f>EFEITO!$N$39*EFEITO!$AA$39</f>
        <v>101898.90337516672</v>
      </c>
      <c r="M39" s="67">
        <f ca="1">$J$39-EFEITO!$K$39*EFEITO!$Y$39</f>
        <v>0</v>
      </c>
      <c r="N39" s="67">
        <f ca="1">$K$39-EFEITO!$M$39*EFEITO!$Z$39</f>
        <v>0</v>
      </c>
      <c r="O39" s="67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8" t="s">
        <v>28</v>
      </c>
      <c r="B40" s="58" t="s">
        <v>39</v>
      </c>
      <c r="C40" s="58" t="s">
        <v>40</v>
      </c>
      <c r="D40" s="58" t="s">
        <v>42</v>
      </c>
      <c r="E40" s="58" t="s">
        <v>25</v>
      </c>
      <c r="F40" s="58" t="s">
        <v>25</v>
      </c>
      <c r="G40" s="58" t="s">
        <v>25</v>
      </c>
      <c r="H40" s="58" t="s">
        <v>34</v>
      </c>
      <c r="I40" s="66">
        <v>44652</v>
      </c>
      <c r="J40" s="67">
        <f ca="1">EFEITO!$J$40*EFEITO!$Y$40</f>
        <v>20609.942600671933</v>
      </c>
      <c r="K40" s="67">
        <f ca="1">EFEITO!$L$40*EFEITO!$Z$40</f>
        <v>2144.2964156062108</v>
      </c>
      <c r="L40" s="67">
        <f>EFEITO!$N$40*EFEITO!$AA$40</f>
        <v>10635.945373147526</v>
      </c>
      <c r="M40" s="67">
        <f ca="1">$J$40-EFEITO!$K$40*EFEITO!$Y$40</f>
        <v>0</v>
      </c>
      <c r="N40" s="67">
        <f ca="1">$K$40-EFEITO!$M$40*EFEITO!$Z$40</f>
        <v>0</v>
      </c>
      <c r="O40" s="67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8" t="s">
        <v>21</v>
      </c>
      <c r="B41" s="58" t="s">
        <v>39</v>
      </c>
      <c r="C41" s="58" t="s">
        <v>40</v>
      </c>
      <c r="D41" s="58" t="s">
        <v>42</v>
      </c>
      <c r="E41" s="58" t="s">
        <v>25</v>
      </c>
      <c r="F41" s="58" t="s">
        <v>25</v>
      </c>
      <c r="G41" s="58" t="s">
        <v>25</v>
      </c>
      <c r="H41" s="58" t="s">
        <v>34</v>
      </c>
      <c r="I41" s="66">
        <v>44682</v>
      </c>
      <c r="J41" s="67">
        <f ca="1">EFEITO!$J$41*EFEITO!$Y$41</f>
        <v>299786.1733964773</v>
      </c>
      <c r="K41" s="67">
        <f ca="1">EFEITO!$L$41*EFEITO!$Z$41</f>
        <v>19982.789462190925</v>
      </c>
      <c r="L41" s="67">
        <f>EFEITO!$N$41*EFEITO!$AA$41</f>
        <v>99116.827121536291</v>
      </c>
      <c r="M41" s="67">
        <f ca="1">$J$41-EFEITO!$K$41*EFEITO!$Y$41</f>
        <v>0</v>
      </c>
      <c r="N41" s="67">
        <f ca="1">$K$41-EFEITO!$M$41*EFEITO!$Z$41</f>
        <v>0</v>
      </c>
      <c r="O41" s="67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8" t="s">
        <v>28</v>
      </c>
      <c r="B42" s="58" t="s">
        <v>39</v>
      </c>
      <c r="C42" s="58" t="s">
        <v>40</v>
      </c>
      <c r="D42" s="58" t="s">
        <v>42</v>
      </c>
      <c r="E42" s="58" t="s">
        <v>25</v>
      </c>
      <c r="F42" s="58" t="s">
        <v>25</v>
      </c>
      <c r="G42" s="58" t="s">
        <v>25</v>
      </c>
      <c r="H42" s="58" t="s">
        <v>34</v>
      </c>
      <c r="I42" s="66">
        <v>44682</v>
      </c>
      <c r="J42" s="67">
        <f ca="1">EFEITO!$J$42*EFEITO!$Y$42</f>
        <v>84495.055537380773</v>
      </c>
      <c r="K42" s="67">
        <f ca="1">EFEITO!$L$42*EFEITO!$Z$42</f>
        <v>8004.5853027835583</v>
      </c>
      <c r="L42" s="67">
        <f>EFEITO!$N$42*EFEITO!$AA$42</f>
        <v>39703.620915225336</v>
      </c>
      <c r="M42" s="67">
        <f ca="1">$J$42-EFEITO!$K$42*EFEITO!$Y$42</f>
        <v>0</v>
      </c>
      <c r="N42" s="67">
        <f ca="1">$K$42-EFEITO!$M$42*EFEITO!$Z$42</f>
        <v>0</v>
      </c>
      <c r="O42" s="67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8" t="s">
        <v>21</v>
      </c>
      <c r="B43" s="58" t="s">
        <v>39</v>
      </c>
      <c r="C43" s="58" t="s">
        <v>40</v>
      </c>
      <c r="D43" s="58" t="s">
        <v>42</v>
      </c>
      <c r="E43" s="58" t="s">
        <v>25</v>
      </c>
      <c r="F43" s="58" t="s">
        <v>25</v>
      </c>
      <c r="G43" s="58" t="s">
        <v>25</v>
      </c>
      <c r="H43" s="58" t="s">
        <v>34</v>
      </c>
      <c r="I43" s="66">
        <v>44713</v>
      </c>
      <c r="J43" s="67">
        <f ca="1">EFEITO!$J$43*EFEITO!$Y$43</f>
        <v>300071.62966518471</v>
      </c>
      <c r="K43" s="67">
        <f ca="1">EFEITO!$L$43*EFEITO!$Z$43</f>
        <v>19235.519726787505</v>
      </c>
      <c r="L43" s="67">
        <f>EFEITO!$N$43*EFEITO!$AA$43</f>
        <v>95410.287285479964</v>
      </c>
      <c r="M43" s="67">
        <f ca="1">$J$43-EFEITO!$K$43*EFEITO!$Y$43</f>
        <v>0</v>
      </c>
      <c r="N43" s="67">
        <f ca="1">$K$43-EFEITO!$M$43*EFEITO!$Z$43</f>
        <v>0</v>
      </c>
      <c r="O43" s="67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8" t="s">
        <v>28</v>
      </c>
      <c r="B44" s="58" t="s">
        <v>39</v>
      </c>
      <c r="C44" s="58" t="s">
        <v>40</v>
      </c>
      <c r="D44" s="58" t="s">
        <v>42</v>
      </c>
      <c r="E44" s="58" t="s">
        <v>25</v>
      </c>
      <c r="F44" s="58" t="s">
        <v>25</v>
      </c>
      <c r="G44" s="58" t="s">
        <v>25</v>
      </c>
      <c r="H44" s="58" t="s">
        <v>34</v>
      </c>
      <c r="I44" s="66">
        <v>44713</v>
      </c>
      <c r="J44" s="67">
        <f ca="1">EFEITO!$J$44*EFEITO!$Y$44</f>
        <v>22265.588959174664</v>
      </c>
      <c r="K44" s="67">
        <f ca="1">EFEITO!$L$44*EFEITO!$Z$44</f>
        <v>1974.8802541527116</v>
      </c>
      <c r="L44" s="67">
        <f>EFEITO!$N$44*EFEITO!$AA$44</f>
        <v>9795.6226335143747</v>
      </c>
      <c r="M44" s="67">
        <f ca="1">$J$44-EFEITO!$K$44*EFEITO!$Y$44</f>
        <v>0</v>
      </c>
      <c r="N44" s="67">
        <f ca="1">$K$44-EFEITO!$M$44*EFEITO!$Z$44</f>
        <v>0</v>
      </c>
      <c r="O44" s="67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8" t="s">
        <v>21</v>
      </c>
      <c r="B45" s="58" t="s">
        <v>39</v>
      </c>
      <c r="C45" s="58" t="s">
        <v>40</v>
      </c>
      <c r="D45" s="58" t="s">
        <v>42</v>
      </c>
      <c r="E45" s="58" t="s">
        <v>25</v>
      </c>
      <c r="F45" s="58" t="s">
        <v>25</v>
      </c>
      <c r="G45" s="58" t="s">
        <v>25</v>
      </c>
      <c r="H45" s="58" t="s">
        <v>34</v>
      </c>
      <c r="I45" s="66">
        <v>44743</v>
      </c>
      <c r="J45" s="67">
        <f ca="1">EFEITO!$J$45*EFEITO!$Y$45</f>
        <v>299614.89963525289</v>
      </c>
      <c r="K45" s="67">
        <f ca="1">EFEITO!$L$45*EFEITO!$Z$45</f>
        <v>19194.150664107001</v>
      </c>
      <c r="L45" s="67">
        <f>EFEITO!$N$45*EFEITO!$AA$45</f>
        <v>95205.092197895137</v>
      </c>
      <c r="M45" s="67">
        <f ca="1">$J$45-EFEITO!$K$45*EFEITO!$Y$45</f>
        <v>0</v>
      </c>
      <c r="N45" s="67">
        <f ca="1">$K$45-EFEITO!$M$45*EFEITO!$Z$45</f>
        <v>0</v>
      </c>
      <c r="O45" s="67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8" t="s">
        <v>28</v>
      </c>
      <c r="B46" s="58" t="s">
        <v>39</v>
      </c>
      <c r="C46" s="58" t="s">
        <v>40</v>
      </c>
      <c r="D46" s="58" t="s">
        <v>42</v>
      </c>
      <c r="E46" s="58" t="s">
        <v>25</v>
      </c>
      <c r="F46" s="58" t="s">
        <v>25</v>
      </c>
      <c r="G46" s="58" t="s">
        <v>25</v>
      </c>
      <c r="H46" s="58" t="s">
        <v>34</v>
      </c>
      <c r="I46" s="66">
        <v>44743</v>
      </c>
      <c r="J46" s="67">
        <f ca="1">EFEITO!$J$46*EFEITO!$Y$46</f>
        <v>20495.760093188983</v>
      </c>
      <c r="K46" s="67">
        <f ca="1">EFEITO!$L$46*EFEITO!$Z$46</f>
        <v>1918.9554101586943</v>
      </c>
      <c r="L46" s="67">
        <f>EFEITO!$N$46*EFEITO!$AA$46</f>
        <v>9518.2292743719045</v>
      </c>
      <c r="M46" s="67">
        <f ca="1">$J$46-EFEITO!$K$46*EFEITO!$Y$46</f>
        <v>0</v>
      </c>
      <c r="N46" s="67">
        <f ca="1">$K$46-EFEITO!$M$46*EFEITO!$Z$46</f>
        <v>0</v>
      </c>
      <c r="O46" s="67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8" t="s">
        <v>21</v>
      </c>
      <c r="B47" s="58" t="s">
        <v>39</v>
      </c>
      <c r="C47" s="58" t="s">
        <v>40</v>
      </c>
      <c r="D47" s="58" t="s">
        <v>42</v>
      </c>
      <c r="E47" s="58" t="s">
        <v>25</v>
      </c>
      <c r="F47" s="58" t="s">
        <v>25</v>
      </c>
      <c r="G47" s="58" t="s">
        <v>25</v>
      </c>
      <c r="H47" s="58" t="s">
        <v>34</v>
      </c>
      <c r="I47" s="66">
        <v>44774</v>
      </c>
      <c r="J47" s="67">
        <f ca="1">EFEITO!$J$47*EFEITO!$Y$47</f>
        <v>306522.94133797119</v>
      </c>
      <c r="K47" s="67">
        <f ca="1">EFEITO!$L$47*EFEITO!$Z$47</f>
        <v>22296.392597285874</v>
      </c>
      <c r="L47" s="67">
        <f>EFEITO!$N$47*EFEITO!$AA$47</f>
        <v>110592.55239016992</v>
      </c>
      <c r="M47" s="67">
        <f ca="1">$J$47-EFEITO!$K$47*EFEITO!$Y$47</f>
        <v>0</v>
      </c>
      <c r="N47" s="67">
        <f ca="1">$K$47-EFEITO!$M$47*EFEITO!$Z$47</f>
        <v>0</v>
      </c>
      <c r="O47" s="67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8" t="s">
        <v>27</v>
      </c>
      <c r="B48" s="58" t="s">
        <v>39</v>
      </c>
      <c r="C48" s="58" t="s">
        <v>40</v>
      </c>
      <c r="D48" s="58" t="s">
        <v>42</v>
      </c>
      <c r="E48" s="58" t="s">
        <v>25</v>
      </c>
      <c r="F48" s="58" t="s">
        <v>25</v>
      </c>
      <c r="G48" s="58" t="s">
        <v>25</v>
      </c>
      <c r="H48" s="58" t="s">
        <v>34</v>
      </c>
      <c r="I48" s="66">
        <v>44774</v>
      </c>
      <c r="J48" s="67">
        <f ca="1">EFEITO!$J$48*EFEITO!$Y$48</f>
        <v>4110.5702693860912</v>
      </c>
      <c r="K48" s="67">
        <f ca="1">EFEITO!$L$48*EFEITO!$Z$48</f>
        <v>386.22069364948288</v>
      </c>
      <c r="L48" s="67">
        <f>EFEITO!$N$48*EFEITO!$AA$48</f>
        <v>1915.6969949388872</v>
      </c>
      <c r="M48" s="67">
        <f ca="1">$J$48-EFEITO!$K$48*EFEITO!$Y$48</f>
        <v>0</v>
      </c>
      <c r="N48" s="67">
        <f ca="1">$K$48-EFEITO!$M$48*EFEITO!$Z$48</f>
        <v>0</v>
      </c>
      <c r="O48" s="67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8" t="s">
        <v>28</v>
      </c>
      <c r="B49" s="58" t="s">
        <v>39</v>
      </c>
      <c r="C49" s="58" t="s">
        <v>40</v>
      </c>
      <c r="D49" s="58" t="s">
        <v>42</v>
      </c>
      <c r="E49" s="58" t="s">
        <v>25</v>
      </c>
      <c r="F49" s="58" t="s">
        <v>25</v>
      </c>
      <c r="G49" s="58" t="s">
        <v>25</v>
      </c>
      <c r="H49" s="58" t="s">
        <v>34</v>
      </c>
      <c r="I49" s="66">
        <v>44774</v>
      </c>
      <c r="J49" s="67">
        <f ca="1">EFEITO!$J$49*EFEITO!$Y$49</f>
        <v>21523.402660535507</v>
      </c>
      <c r="K49" s="67">
        <f ca="1">EFEITO!$L$49*EFEITO!$Z$49</f>
        <v>2167.279228206492</v>
      </c>
      <c r="L49" s="67">
        <f>EFEITO!$N$49*EFEITO!$AA$49</f>
        <v>10749.942644027993</v>
      </c>
      <c r="M49" s="67">
        <f ca="1">$J$49-EFEITO!$K$49*EFEITO!$Y$49</f>
        <v>0</v>
      </c>
      <c r="N49" s="67">
        <f ca="1">$K$49-EFEITO!$M$49*EFEITO!$Z$49</f>
        <v>0</v>
      </c>
      <c r="O49" s="67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8" t="s">
        <v>21</v>
      </c>
      <c r="B50" s="58" t="s">
        <v>39</v>
      </c>
      <c r="C50" s="58" t="s">
        <v>40</v>
      </c>
      <c r="D50" s="58" t="s">
        <v>42</v>
      </c>
      <c r="E50" s="58" t="s">
        <v>25</v>
      </c>
      <c r="F50" s="58" t="s">
        <v>25</v>
      </c>
      <c r="G50" s="58" t="s">
        <v>25</v>
      </c>
      <c r="H50" s="58" t="s">
        <v>34</v>
      </c>
      <c r="I50" s="66">
        <v>44805</v>
      </c>
      <c r="J50" s="67">
        <f ca="1">EFEITO!$J$50*EFEITO!$Y$50</f>
        <v>311090.24163728906</v>
      </c>
      <c r="K50" s="67">
        <f ca="1">EFEITO!$L$50*EFEITO!$Z$50</f>
        <v>22000.242640636538</v>
      </c>
      <c r="L50" s="67">
        <f>EFEITO!$N$50*EFEITO!$AA$50</f>
        <v>109123.61612825304</v>
      </c>
      <c r="M50" s="67">
        <f ca="1">$J$50-EFEITO!$K$50*EFEITO!$Y$50</f>
        <v>0</v>
      </c>
      <c r="N50" s="67">
        <f ca="1">$K$50-EFEITO!$M$50*EFEITO!$Z$50</f>
        <v>0</v>
      </c>
      <c r="O50" s="67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8" t="s">
        <v>28</v>
      </c>
      <c r="B51" s="58" t="s">
        <v>39</v>
      </c>
      <c r="C51" s="58" t="s">
        <v>40</v>
      </c>
      <c r="D51" s="58" t="s">
        <v>42</v>
      </c>
      <c r="E51" s="58" t="s">
        <v>25</v>
      </c>
      <c r="F51" s="58" t="s">
        <v>25</v>
      </c>
      <c r="G51" s="58" t="s">
        <v>25</v>
      </c>
      <c r="H51" s="58" t="s">
        <v>34</v>
      </c>
      <c r="I51" s="66">
        <v>44805</v>
      </c>
      <c r="J51" s="67">
        <f ca="1">EFEITO!$J$51*EFEITO!$Y$51</f>
        <v>13644.809644212166</v>
      </c>
      <c r="K51" s="67">
        <f ca="1">EFEITO!$L$51*EFEITO!$Z$51</f>
        <v>1336.6147156534807</v>
      </c>
      <c r="L51" s="67">
        <f>EFEITO!$N$51*EFEITO!$AA$51</f>
        <v>6629.7555679197021</v>
      </c>
      <c r="M51" s="67">
        <f ca="1">$J$51-EFEITO!$K$51*EFEITO!$Y$51</f>
        <v>0</v>
      </c>
      <c r="N51" s="67">
        <f ca="1">$K$51-EFEITO!$M$51*EFEITO!$Z$51</f>
        <v>0</v>
      </c>
      <c r="O51" s="67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8" t="s">
        <v>55</v>
      </c>
      <c r="B52" s="58" t="s">
        <v>39</v>
      </c>
      <c r="C52" s="58" t="s">
        <v>40</v>
      </c>
      <c r="D52" s="58" t="s">
        <v>42</v>
      </c>
      <c r="E52" s="58" t="s">
        <v>25</v>
      </c>
      <c r="F52" s="58" t="s">
        <v>25</v>
      </c>
      <c r="G52" s="58" t="s">
        <v>25</v>
      </c>
      <c r="H52" s="58" t="s">
        <v>34</v>
      </c>
      <c r="I52" s="66">
        <v>44835</v>
      </c>
      <c r="J52" s="67">
        <f ca="1">EFEITO!$J$52*EFEITO!$Y$52</f>
        <v>311090.24163728906</v>
      </c>
      <c r="K52" s="67">
        <f ca="1">EFEITO!$L$52*EFEITO!$Z$52</f>
        <v>22000.242640636538</v>
      </c>
      <c r="L52" s="67">
        <f>EFEITO!$N$52*EFEITO!$AA$52</f>
        <v>109123.61612825304</v>
      </c>
      <c r="M52" s="67">
        <f ca="1">$J$52-EFEITO!$K$52*EFEITO!$Y$52</f>
        <v>0</v>
      </c>
      <c r="N52" s="67">
        <f ca="1">$K$52-EFEITO!$M$52*EFEITO!$Z$52</f>
        <v>0</v>
      </c>
      <c r="O52" s="67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8" t="s">
        <v>55</v>
      </c>
      <c r="B53" s="58" t="s">
        <v>39</v>
      </c>
      <c r="C53" s="58" t="s">
        <v>40</v>
      </c>
      <c r="D53" s="58" t="s">
        <v>42</v>
      </c>
      <c r="E53" s="58" t="s">
        <v>25</v>
      </c>
      <c r="F53" s="58" t="s">
        <v>25</v>
      </c>
      <c r="G53" s="58" t="s">
        <v>25</v>
      </c>
      <c r="H53" s="58" t="s">
        <v>34</v>
      </c>
      <c r="I53" s="66">
        <v>44835</v>
      </c>
      <c r="J53" s="67">
        <f ca="1">EFEITO!$J$53*EFEITO!$Y$53</f>
        <v>13644.809644212166</v>
      </c>
      <c r="K53" s="67">
        <f ca="1">EFEITO!$L$53*EFEITO!$Z$53</f>
        <v>1336.6147156534807</v>
      </c>
      <c r="L53" s="67">
        <f>EFEITO!$N$53*EFEITO!$AA$53</f>
        <v>6629.7555679197021</v>
      </c>
      <c r="M53" s="67">
        <f ca="1">$J$53-EFEITO!$K$53*EFEITO!$Y$53</f>
        <v>0</v>
      </c>
      <c r="N53" s="67">
        <f ca="1">$K$53-EFEITO!$M$53*EFEITO!$Z$53</f>
        <v>0</v>
      </c>
      <c r="O53" s="67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8" t="s">
        <v>21</v>
      </c>
      <c r="B54" s="58" t="s">
        <v>39</v>
      </c>
      <c r="C54" s="58" t="s">
        <v>40</v>
      </c>
      <c r="D54" s="58" t="s">
        <v>51</v>
      </c>
      <c r="E54" s="58" t="s">
        <v>25</v>
      </c>
      <c r="F54" s="58" t="s">
        <v>25</v>
      </c>
      <c r="G54" s="58" t="s">
        <v>25</v>
      </c>
      <c r="H54" s="58" t="s">
        <v>35</v>
      </c>
      <c r="I54" s="66">
        <v>44501</v>
      </c>
      <c r="J54" s="67">
        <f ca="1">EFEITO!$J$54*EFEITO!$Y$54</f>
        <v>951.22383927734472</v>
      </c>
      <c r="K54" s="67">
        <f ca="1">EFEITO!$L$54*EFEITO!$Z$54</f>
        <v>841.49926706457177</v>
      </c>
      <c r="L54" s="67">
        <f>EFEITO!$N$54*EFEITO!$AA$54</f>
        <v>2440.3921129550881</v>
      </c>
      <c r="M54" s="67">
        <f ca="1">$J$54-EFEITO!$K$54*EFEITO!$Y$54</f>
        <v>0</v>
      </c>
      <c r="N54" s="67">
        <f ca="1">$K$54-EFEITO!$M$54*EFEITO!$Z$54</f>
        <v>0</v>
      </c>
      <c r="O54" s="67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8" t="s">
        <v>21</v>
      </c>
      <c r="B55" s="58" t="s">
        <v>39</v>
      </c>
      <c r="C55" s="58" t="s">
        <v>40</v>
      </c>
      <c r="D55" s="58" t="s">
        <v>51</v>
      </c>
      <c r="E55" s="58" t="s">
        <v>25</v>
      </c>
      <c r="F55" s="58" t="s">
        <v>25</v>
      </c>
      <c r="G55" s="58" t="s">
        <v>25</v>
      </c>
      <c r="H55" s="58" t="s">
        <v>35</v>
      </c>
      <c r="I55" s="66">
        <v>44531</v>
      </c>
      <c r="J55" s="67">
        <f ca="1">EFEITO!$J$55*EFEITO!$Y$55</f>
        <v>894.15040892070408</v>
      </c>
      <c r="K55" s="67">
        <f ca="1">EFEITO!$L$55*EFEITO!$Z$55</f>
        <v>876.95846364786235</v>
      </c>
      <c r="L55" s="67">
        <f>EFEITO!$N$55*EFEITO!$AA$55</f>
        <v>2543.22564717247</v>
      </c>
      <c r="M55" s="67">
        <f ca="1">$J$55-EFEITO!$K$55*EFEITO!$Y$55</f>
        <v>0</v>
      </c>
      <c r="N55" s="67">
        <f ca="1">$K$55-EFEITO!$M$55*EFEITO!$Z$55</f>
        <v>0</v>
      </c>
      <c r="O55" s="67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8" t="s">
        <v>21</v>
      </c>
      <c r="B56" s="58" t="s">
        <v>39</v>
      </c>
      <c r="C56" s="58" t="s">
        <v>40</v>
      </c>
      <c r="D56" s="58" t="s">
        <v>51</v>
      </c>
      <c r="E56" s="58" t="s">
        <v>25</v>
      </c>
      <c r="F56" s="58" t="s">
        <v>25</v>
      </c>
      <c r="G56" s="58" t="s">
        <v>25</v>
      </c>
      <c r="H56" s="58" t="s">
        <v>35</v>
      </c>
      <c r="I56" s="66">
        <v>44562</v>
      </c>
      <c r="J56" s="67">
        <f ca="1">EFEITO!$J$56*EFEITO!$Y$56</f>
        <v>875.1259321351572</v>
      </c>
      <c r="K56" s="67">
        <f ca="1">EFEITO!$L$56*EFEITO!$Z$56</f>
        <v>945.35969162488891</v>
      </c>
      <c r="L56" s="67">
        <f>EFEITO!$N$56*EFEITO!$AA$56</f>
        <v>2741.5928042276046</v>
      </c>
      <c r="M56" s="67">
        <f ca="1">$J$56-EFEITO!$K$56*EFEITO!$Y$56</f>
        <v>0</v>
      </c>
      <c r="N56" s="67">
        <f ca="1">$K$56-EFEITO!$M$56*EFEITO!$Z$56</f>
        <v>0</v>
      </c>
      <c r="O56" s="67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8" t="s">
        <v>21</v>
      </c>
      <c r="B57" s="58" t="s">
        <v>39</v>
      </c>
      <c r="C57" s="58" t="s">
        <v>40</v>
      </c>
      <c r="D57" s="58" t="s">
        <v>51</v>
      </c>
      <c r="E57" s="58" t="s">
        <v>25</v>
      </c>
      <c r="F57" s="58" t="s">
        <v>25</v>
      </c>
      <c r="G57" s="58" t="s">
        <v>25</v>
      </c>
      <c r="H57" s="58" t="s">
        <v>35</v>
      </c>
      <c r="I57" s="66">
        <v>44593</v>
      </c>
      <c r="J57" s="67">
        <f ca="1">EFEITO!$J$57*EFEITO!$Y$57</f>
        <v>932.19936249179784</v>
      </c>
      <c r="K57" s="67">
        <f ca="1">EFEITO!$L$57*EFEITO!$Z$57</f>
        <v>928.17730315705978</v>
      </c>
      <c r="L57" s="67">
        <f>EFEITO!$N$57*EFEITO!$AA$57</f>
        <v>2691.7629743753546</v>
      </c>
      <c r="M57" s="67">
        <f ca="1">$J$57-EFEITO!$K$57*EFEITO!$Y$57</f>
        <v>0</v>
      </c>
      <c r="N57" s="67">
        <f ca="1">$K$57-EFEITO!$M$57*EFEITO!$Z$57</f>
        <v>0</v>
      </c>
      <c r="O57" s="67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8" t="s">
        <v>21</v>
      </c>
      <c r="B58" s="58" t="s">
        <v>39</v>
      </c>
      <c r="C58" s="58" t="s">
        <v>40</v>
      </c>
      <c r="D58" s="58" t="s">
        <v>51</v>
      </c>
      <c r="E58" s="58" t="s">
        <v>25</v>
      </c>
      <c r="F58" s="58" t="s">
        <v>25</v>
      </c>
      <c r="G58" s="58" t="s">
        <v>25</v>
      </c>
      <c r="H58" s="58" t="s">
        <v>35</v>
      </c>
      <c r="I58" s="66">
        <v>44621</v>
      </c>
      <c r="J58" s="67">
        <f ca="1">EFEITO!$J$58*EFEITO!$Y$58</f>
        <v>894.15040892070408</v>
      </c>
      <c r="K58" s="67">
        <f ca="1">EFEITO!$L$58*EFEITO!$Z$58</f>
        <v>942.62364250580777</v>
      </c>
      <c r="L58" s="67">
        <f>EFEITO!$N$58*EFEITO!$AA$58</f>
        <v>2733.6581179453992</v>
      </c>
      <c r="M58" s="67">
        <f ca="1">$J$58-EFEITO!$K$58*EFEITO!$Y$58</f>
        <v>0</v>
      </c>
      <c r="N58" s="67">
        <f ca="1">$K$58-EFEITO!$M$58*EFEITO!$Z$58</f>
        <v>0</v>
      </c>
      <c r="O58" s="67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8" t="s">
        <v>21</v>
      </c>
      <c r="B59" s="58" t="s">
        <v>39</v>
      </c>
      <c r="C59" s="58" t="s">
        <v>40</v>
      </c>
      <c r="D59" s="58" t="s">
        <v>51</v>
      </c>
      <c r="E59" s="58" t="s">
        <v>25</v>
      </c>
      <c r="F59" s="58" t="s">
        <v>25</v>
      </c>
      <c r="G59" s="58" t="s">
        <v>25</v>
      </c>
      <c r="H59" s="58" t="s">
        <v>35</v>
      </c>
      <c r="I59" s="66">
        <v>44652</v>
      </c>
      <c r="J59" s="67">
        <f ca="1">EFEITO!$J$59*EFEITO!$Y$59</f>
        <v>894.15040892070408</v>
      </c>
      <c r="K59" s="67">
        <f ca="1">EFEITO!$L$59*EFEITO!$Z$59</f>
        <v>942.62364250580777</v>
      </c>
      <c r="L59" s="67">
        <f>EFEITO!$N$59*EFEITO!$AA$59</f>
        <v>2733.6581179453992</v>
      </c>
      <c r="M59" s="67">
        <f ca="1">$J$59-EFEITO!$K$59*EFEITO!$Y$59</f>
        <v>0</v>
      </c>
      <c r="N59" s="67">
        <f ca="1">$K$59-EFEITO!$M$59*EFEITO!$Z$59</f>
        <v>0</v>
      </c>
      <c r="O59" s="67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8" t="s">
        <v>21</v>
      </c>
      <c r="B60" s="58" t="s">
        <v>39</v>
      </c>
      <c r="C60" s="58" t="s">
        <v>40</v>
      </c>
      <c r="D60" s="58" t="s">
        <v>51</v>
      </c>
      <c r="E60" s="58" t="s">
        <v>25</v>
      </c>
      <c r="F60" s="58" t="s">
        <v>25</v>
      </c>
      <c r="G60" s="58" t="s">
        <v>25</v>
      </c>
      <c r="H60" s="58" t="s">
        <v>35</v>
      </c>
      <c r="I60" s="66">
        <v>44682</v>
      </c>
      <c r="J60" s="67">
        <f ca="1">EFEITO!$J$60*EFEITO!$Y$60</f>
        <v>799.02802499296956</v>
      </c>
      <c r="K60" s="67">
        <f ca="1">EFEITO!$L$60*EFEITO!$Z$60</f>
        <v>834.27609739019783</v>
      </c>
      <c r="L60" s="67">
        <f>EFEITO!$N$60*EFEITO!$AA$60</f>
        <v>2419.4445411700663</v>
      </c>
      <c r="M60" s="67">
        <f ca="1">$J$60-EFEITO!$K$60*EFEITO!$Y$60</f>
        <v>0</v>
      </c>
      <c r="N60" s="67">
        <f ca="1">$K$60-EFEITO!$M$60*EFEITO!$Z$60</f>
        <v>0</v>
      </c>
      <c r="O60" s="67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8" t="s">
        <v>21</v>
      </c>
      <c r="B61" s="58" t="s">
        <v>39</v>
      </c>
      <c r="C61" s="58" t="s">
        <v>40</v>
      </c>
      <c r="D61" s="58" t="s">
        <v>51</v>
      </c>
      <c r="E61" s="58" t="s">
        <v>25</v>
      </c>
      <c r="F61" s="58" t="s">
        <v>25</v>
      </c>
      <c r="G61" s="58" t="s">
        <v>25</v>
      </c>
      <c r="H61" s="58" t="s">
        <v>35</v>
      </c>
      <c r="I61" s="66">
        <v>44713</v>
      </c>
      <c r="J61" s="67">
        <f ca="1">EFEITO!$J$61*EFEITO!$Y$61</f>
        <v>722.93011785078204</v>
      </c>
      <c r="K61" s="67">
        <f ca="1">EFEITO!$L$61*EFEITO!$Z$61</f>
        <v>716.07877544589587</v>
      </c>
      <c r="L61" s="67">
        <f>EFEITO!$N$61*EFEITO!$AA$61</f>
        <v>2076.6660937787933</v>
      </c>
      <c r="M61" s="67">
        <f ca="1">$J$61-EFEITO!$K$61*EFEITO!$Y$61</f>
        <v>0</v>
      </c>
      <c r="N61" s="67">
        <f ca="1">$K$61-EFEITO!$M$61*EFEITO!$Z$61</f>
        <v>0</v>
      </c>
      <c r="O61" s="67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8" t="s">
        <v>21</v>
      </c>
      <c r="B62" s="58" t="s">
        <v>39</v>
      </c>
      <c r="C62" s="58" t="s">
        <v>40</v>
      </c>
      <c r="D62" s="58" t="s">
        <v>51</v>
      </c>
      <c r="E62" s="58" t="s">
        <v>25</v>
      </c>
      <c r="F62" s="58" t="s">
        <v>25</v>
      </c>
      <c r="G62" s="58" t="s">
        <v>25</v>
      </c>
      <c r="H62" s="58" t="s">
        <v>35</v>
      </c>
      <c r="I62" s="66">
        <v>44743</v>
      </c>
      <c r="J62" s="67">
        <f ca="1">EFEITO!$J$62*EFEITO!$Y$62</f>
        <v>799.02802499296956</v>
      </c>
      <c r="K62" s="67">
        <f ca="1">EFEITO!$L$62*EFEITO!$Z$62</f>
        <v>858.79109749716417</v>
      </c>
      <c r="L62" s="67">
        <f>EFEITO!$N$62*EFEITO!$AA$62</f>
        <v>2490.5393302586263</v>
      </c>
      <c r="M62" s="67">
        <f ca="1">$J$62-EFEITO!$K$62*EFEITO!$Y$62</f>
        <v>0</v>
      </c>
      <c r="N62" s="67">
        <f ca="1">$K$62-EFEITO!$M$62*EFEITO!$Z$62</f>
        <v>0</v>
      </c>
      <c r="O62" s="67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8" t="s">
        <v>21</v>
      </c>
      <c r="B63" s="58" t="s">
        <v>39</v>
      </c>
      <c r="C63" s="58" t="s">
        <v>40</v>
      </c>
      <c r="D63" s="58" t="s">
        <v>51</v>
      </c>
      <c r="E63" s="58" t="s">
        <v>25</v>
      </c>
      <c r="F63" s="58" t="s">
        <v>25</v>
      </c>
      <c r="G63" s="58" t="s">
        <v>25</v>
      </c>
      <c r="H63" s="58" t="s">
        <v>35</v>
      </c>
      <c r="I63" s="66">
        <v>44774</v>
      </c>
      <c r="J63" s="67">
        <f ca="1">EFEITO!$J$63*EFEITO!$Y$63</f>
        <v>932.19936249179784</v>
      </c>
      <c r="K63" s="67">
        <f ca="1">EFEITO!$L$63*EFEITO!$Z$63</f>
        <v>984.64935697489295</v>
      </c>
      <c r="L63" s="67">
        <f>EFEITO!$N$63*EFEITO!$AA$63</f>
        <v>2855.5348992400741</v>
      </c>
      <c r="M63" s="67">
        <f ca="1">$J$63-EFEITO!$K$63*EFEITO!$Y$63</f>
        <v>0</v>
      </c>
      <c r="N63" s="67">
        <f ca="1">$K$63-EFEITO!$M$63*EFEITO!$Z$63</f>
        <v>0</v>
      </c>
      <c r="O63" s="67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8" t="s">
        <v>21</v>
      </c>
      <c r="B64" s="58" t="s">
        <v>39</v>
      </c>
      <c r="C64" s="58" t="s">
        <v>40</v>
      </c>
      <c r="D64" s="58" t="s">
        <v>51</v>
      </c>
      <c r="E64" s="58" t="s">
        <v>25</v>
      </c>
      <c r="F64" s="58" t="s">
        <v>25</v>
      </c>
      <c r="G64" s="58" t="s">
        <v>25</v>
      </c>
      <c r="H64" s="58" t="s">
        <v>35</v>
      </c>
      <c r="I64" s="66">
        <v>44805</v>
      </c>
      <c r="J64" s="67">
        <f ca="1">EFEITO!$J$64*EFEITO!$Y$64</f>
        <v>970.2483160628916</v>
      </c>
      <c r="K64" s="67">
        <f ca="1">EFEITO!$L$64*EFEITO!$Z$64</f>
        <v>1005.1150043856193</v>
      </c>
      <c r="L64" s="67">
        <f>EFEITO!$N$64*EFEITO!$AA$64</f>
        <v>2914.8863526309701</v>
      </c>
      <c r="M64" s="67">
        <f ca="1">$J$64-EFEITO!$K$64*EFEITO!$Y$64</f>
        <v>0</v>
      </c>
      <c r="N64" s="67">
        <f ca="1">$K$64-EFEITO!$M$64*EFEITO!$Z$64</f>
        <v>0</v>
      </c>
      <c r="O64" s="67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8" t="s">
        <v>55</v>
      </c>
      <c r="B65" s="58" t="s">
        <v>39</v>
      </c>
      <c r="C65" s="58" t="s">
        <v>40</v>
      </c>
      <c r="D65" s="58" t="s">
        <v>51</v>
      </c>
      <c r="E65" s="58" t="s">
        <v>25</v>
      </c>
      <c r="F65" s="58" t="s">
        <v>25</v>
      </c>
      <c r="G65" s="58" t="s">
        <v>25</v>
      </c>
      <c r="H65" s="58" t="s">
        <v>35</v>
      </c>
      <c r="I65" s="66">
        <v>44835</v>
      </c>
      <c r="J65" s="67">
        <f ca="1">EFEITO!$J$65*EFEITO!$Y$65</f>
        <v>970.2483160628916</v>
      </c>
      <c r="K65" s="67">
        <f ca="1">EFEITO!$L$65*EFEITO!$Z$65</f>
        <v>1005.1150043856193</v>
      </c>
      <c r="L65" s="67">
        <f>EFEITO!$N$65*EFEITO!$AA$65</f>
        <v>2914.8863526309701</v>
      </c>
      <c r="M65" s="67">
        <f ca="1">$J$65-EFEITO!$K$65*EFEITO!$Y$65</f>
        <v>0</v>
      </c>
      <c r="N65" s="67">
        <f ca="1">$K$65-EFEITO!$M$65*EFEITO!$Z$65</f>
        <v>0</v>
      </c>
      <c r="O65" s="67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8" t="s">
        <v>21</v>
      </c>
      <c r="B66" s="58" t="s">
        <v>39</v>
      </c>
      <c r="C66" s="58" t="s">
        <v>40</v>
      </c>
      <c r="D66" s="58" t="s">
        <v>51</v>
      </c>
      <c r="E66" s="58" t="s">
        <v>25</v>
      </c>
      <c r="F66" s="58" t="s">
        <v>25</v>
      </c>
      <c r="G66" s="58" t="s">
        <v>25</v>
      </c>
      <c r="H66" s="58" t="s">
        <v>34</v>
      </c>
      <c r="I66" s="66">
        <v>44501</v>
      </c>
      <c r="J66" s="67">
        <f ca="1">EFEITO!$J$66*EFEITO!$Y$66</f>
        <v>285.45626870736749</v>
      </c>
      <c r="K66" s="67">
        <f ca="1">EFEITO!$L$66*EFEITO!$Z$66</f>
        <v>33.270357288025728</v>
      </c>
      <c r="L66" s="67">
        <f>EFEITO!$N$66*EFEITO!$AA$66</f>
        <v>165.02462070315153</v>
      </c>
      <c r="M66" s="67">
        <f ca="1">$J$66-EFEITO!$K$66*EFEITO!$Y$66</f>
        <v>0</v>
      </c>
      <c r="N66" s="67">
        <f ca="1">$K$66-EFEITO!$M$66*EFEITO!$Z$66</f>
        <v>0</v>
      </c>
      <c r="O66" s="67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8" t="s">
        <v>21</v>
      </c>
      <c r="B67" s="58" t="s">
        <v>39</v>
      </c>
      <c r="C67" s="58" t="s">
        <v>40</v>
      </c>
      <c r="D67" s="58" t="s">
        <v>51</v>
      </c>
      <c r="E67" s="58" t="s">
        <v>25</v>
      </c>
      <c r="F67" s="58" t="s">
        <v>25</v>
      </c>
      <c r="G67" s="58" t="s">
        <v>25</v>
      </c>
      <c r="H67" s="58" t="s">
        <v>34</v>
      </c>
      <c r="I67" s="66">
        <v>44531</v>
      </c>
      <c r="J67" s="67">
        <f ca="1">EFEITO!$J$67*EFEITO!$Y$67</f>
        <v>342.54752244884094</v>
      </c>
      <c r="K67" s="67">
        <f ca="1">EFEITO!$L$67*EFEITO!$Z$67</f>
        <v>37.538593913792191</v>
      </c>
      <c r="L67" s="67">
        <f>EFEITO!$N$67*EFEITO!$AA$67</f>
        <v>186.19554243809532</v>
      </c>
      <c r="M67" s="67">
        <f ca="1">$J$67-EFEITO!$K$67*EFEITO!$Y$67</f>
        <v>0</v>
      </c>
      <c r="N67" s="67">
        <f ca="1">$K$67-EFEITO!$M$67*EFEITO!$Z$67</f>
        <v>0</v>
      </c>
      <c r="O67" s="67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8" t="s">
        <v>21</v>
      </c>
      <c r="B68" s="58" t="s">
        <v>39</v>
      </c>
      <c r="C68" s="58" t="s">
        <v>40</v>
      </c>
      <c r="D68" s="58" t="s">
        <v>51</v>
      </c>
      <c r="E68" s="58" t="s">
        <v>25</v>
      </c>
      <c r="F68" s="58" t="s">
        <v>25</v>
      </c>
      <c r="G68" s="58" t="s">
        <v>25</v>
      </c>
      <c r="H68" s="58" t="s">
        <v>34</v>
      </c>
      <c r="I68" s="66">
        <v>44562</v>
      </c>
      <c r="J68" s="67">
        <f ca="1">EFEITO!$J$68*EFEITO!$Y$68</f>
        <v>456.73002993178795</v>
      </c>
      <c r="K68" s="67">
        <f ca="1">EFEITO!$L$68*EFEITO!$Z$68</f>
        <v>37.429151949028949</v>
      </c>
      <c r="L68" s="67">
        <f>EFEITO!$N$68*EFEITO!$AA$68</f>
        <v>185.65269829104548</v>
      </c>
      <c r="M68" s="67">
        <f ca="1">$J$68-EFEITO!$K$68*EFEITO!$Y$68</f>
        <v>0</v>
      </c>
      <c r="N68" s="67">
        <f ca="1">$K$68-EFEITO!$M$68*EFEITO!$Z$68</f>
        <v>0</v>
      </c>
      <c r="O68" s="67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8" t="s">
        <v>21</v>
      </c>
      <c r="B69" s="58" t="s">
        <v>39</v>
      </c>
      <c r="C69" s="58" t="s">
        <v>40</v>
      </c>
      <c r="D69" s="58" t="s">
        <v>51</v>
      </c>
      <c r="E69" s="58" t="s">
        <v>25</v>
      </c>
      <c r="F69" s="58" t="s">
        <v>25</v>
      </c>
      <c r="G69" s="58" t="s">
        <v>25</v>
      </c>
      <c r="H69" s="58" t="s">
        <v>34</v>
      </c>
      <c r="I69" s="66">
        <v>44593</v>
      </c>
      <c r="J69" s="67">
        <f ca="1">EFEITO!$J$69*EFEITO!$Y$69</f>
        <v>570.91253741473497</v>
      </c>
      <c r="K69" s="67">
        <f ca="1">EFEITO!$L$69*EFEITO!$Z$69</f>
        <v>39.399107314767306</v>
      </c>
      <c r="L69" s="67">
        <f>EFEITO!$N$69*EFEITO!$AA$69</f>
        <v>195.42389293794258</v>
      </c>
      <c r="M69" s="67">
        <f ca="1">$J$69-EFEITO!$K$69*EFEITO!$Y$69</f>
        <v>0</v>
      </c>
      <c r="N69" s="67">
        <f ca="1">$K$69-EFEITO!$M$69*EFEITO!$Z$69</f>
        <v>0</v>
      </c>
      <c r="O69" s="67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8" t="s">
        <v>21</v>
      </c>
      <c r="B70" s="58" t="s">
        <v>39</v>
      </c>
      <c r="C70" s="58" t="s">
        <v>40</v>
      </c>
      <c r="D70" s="58" t="s">
        <v>51</v>
      </c>
      <c r="E70" s="58" t="s">
        <v>25</v>
      </c>
      <c r="F70" s="58" t="s">
        <v>25</v>
      </c>
      <c r="G70" s="58" t="s">
        <v>25</v>
      </c>
      <c r="H70" s="58" t="s">
        <v>34</v>
      </c>
      <c r="I70" s="66">
        <v>44621</v>
      </c>
      <c r="J70" s="67">
        <f ca="1">EFEITO!$J$70*EFEITO!$Y$70</f>
        <v>799.27755238062889</v>
      </c>
      <c r="K70" s="67">
        <f ca="1">EFEITO!$L$70*EFEITO!$Z$70</f>
        <v>44.433437693876471</v>
      </c>
      <c r="L70" s="67">
        <f>EFEITO!$N$70*EFEITO!$AA$70</f>
        <v>220.39472370223527</v>
      </c>
      <c r="M70" s="67">
        <f ca="1">$J$70-EFEITO!$K$70*EFEITO!$Y$70</f>
        <v>0</v>
      </c>
      <c r="N70" s="67">
        <f ca="1">$K$70-EFEITO!$M$70*EFEITO!$Z$70</f>
        <v>0</v>
      </c>
      <c r="O70" s="67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8" t="s">
        <v>21</v>
      </c>
      <c r="B71" s="58" t="s">
        <v>39</v>
      </c>
      <c r="C71" s="58" t="s">
        <v>40</v>
      </c>
      <c r="D71" s="58" t="s">
        <v>51</v>
      </c>
      <c r="E71" s="58" t="s">
        <v>25</v>
      </c>
      <c r="F71" s="58" t="s">
        <v>25</v>
      </c>
      <c r="G71" s="58" t="s">
        <v>25</v>
      </c>
      <c r="H71" s="58" t="s">
        <v>34</v>
      </c>
      <c r="I71" s="66">
        <v>44652</v>
      </c>
      <c r="J71" s="67">
        <f ca="1">EFEITO!$J$71*EFEITO!$Y$71</f>
        <v>799.27755238062889</v>
      </c>
      <c r="K71" s="67">
        <f ca="1">EFEITO!$L$71*EFEITO!$Z$71</f>
        <v>44.433437693876471</v>
      </c>
      <c r="L71" s="67">
        <f>EFEITO!$N$71*EFEITO!$AA$71</f>
        <v>220.39472370223527</v>
      </c>
      <c r="M71" s="67">
        <f ca="1">$J$71-EFEITO!$K$71*EFEITO!$Y$71</f>
        <v>0</v>
      </c>
      <c r="N71" s="67">
        <f ca="1">$K$71-EFEITO!$M$71*EFEITO!$Z$71</f>
        <v>0</v>
      </c>
      <c r="O71" s="67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8" t="s">
        <v>21</v>
      </c>
      <c r="B72" s="58" t="s">
        <v>39</v>
      </c>
      <c r="C72" s="58" t="s">
        <v>40</v>
      </c>
      <c r="D72" s="58" t="s">
        <v>51</v>
      </c>
      <c r="E72" s="58" t="s">
        <v>25</v>
      </c>
      <c r="F72" s="58" t="s">
        <v>25</v>
      </c>
      <c r="G72" s="58" t="s">
        <v>25</v>
      </c>
      <c r="H72" s="58" t="s">
        <v>34</v>
      </c>
      <c r="I72" s="66">
        <v>44682</v>
      </c>
      <c r="J72" s="67">
        <f ca="1">EFEITO!$J$72*EFEITO!$Y$72</f>
        <v>456.73002993178795</v>
      </c>
      <c r="K72" s="67">
        <f ca="1">EFEITO!$L$72*EFEITO!$Z$72</f>
        <v>34.145893006131665</v>
      </c>
      <c r="L72" s="67">
        <f>EFEITO!$N$72*EFEITO!$AA$72</f>
        <v>169.36737387955026</v>
      </c>
      <c r="M72" s="67">
        <f ca="1">$J$72-EFEITO!$K$72*EFEITO!$Y$72</f>
        <v>0</v>
      </c>
      <c r="N72" s="67">
        <f ca="1">$K$72-EFEITO!$M$72*EFEITO!$Z$72</f>
        <v>0</v>
      </c>
      <c r="O72" s="67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8" t="s">
        <v>21</v>
      </c>
      <c r="B73" s="58" t="s">
        <v>39</v>
      </c>
      <c r="C73" s="58" t="s">
        <v>40</v>
      </c>
      <c r="D73" s="58" t="s">
        <v>51</v>
      </c>
      <c r="E73" s="58" t="s">
        <v>25</v>
      </c>
      <c r="F73" s="58" t="s">
        <v>25</v>
      </c>
      <c r="G73" s="58" t="s">
        <v>25</v>
      </c>
      <c r="H73" s="58" t="s">
        <v>34</v>
      </c>
      <c r="I73" s="66">
        <v>44713</v>
      </c>
      <c r="J73" s="67">
        <f ca="1">EFEITO!$J$73*EFEITO!$Y$73</f>
        <v>456.73002993178795</v>
      </c>
      <c r="K73" s="67">
        <f ca="1">EFEITO!$L$73*EFEITO!$Z$73</f>
        <v>32.066495675630058</v>
      </c>
      <c r="L73" s="67">
        <f>EFEITO!$N$73*EFEITO!$AA$73</f>
        <v>159.05333508560327</v>
      </c>
      <c r="M73" s="67">
        <f ca="1">$J$73-EFEITO!$K$73*EFEITO!$Y$73</f>
        <v>0</v>
      </c>
      <c r="N73" s="67">
        <f ca="1">$K$73-EFEITO!$M$73*EFEITO!$Z$73</f>
        <v>0</v>
      </c>
      <c r="O73" s="67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8" t="s">
        <v>21</v>
      </c>
      <c r="B74" s="58" t="s">
        <v>39</v>
      </c>
      <c r="C74" s="58" t="s">
        <v>40</v>
      </c>
      <c r="D74" s="58" t="s">
        <v>51</v>
      </c>
      <c r="E74" s="58" t="s">
        <v>25</v>
      </c>
      <c r="F74" s="58" t="s">
        <v>25</v>
      </c>
      <c r="G74" s="58" t="s">
        <v>25</v>
      </c>
      <c r="H74" s="58" t="s">
        <v>34</v>
      </c>
      <c r="I74" s="66">
        <v>44743</v>
      </c>
      <c r="J74" s="67">
        <f ca="1">EFEITO!$J$74*EFEITO!$Y$74</f>
        <v>399.63877619031445</v>
      </c>
      <c r="K74" s="67">
        <f ca="1">EFEITO!$L$74*EFEITO!$Z$74</f>
        <v>32.613705499446269</v>
      </c>
      <c r="L74" s="67">
        <f>EFEITO!$N$74*EFEITO!$AA$74</f>
        <v>161.76755582085249</v>
      </c>
      <c r="M74" s="67">
        <f ca="1">$J$74-EFEITO!$K$74*EFEITO!$Y$74</f>
        <v>0</v>
      </c>
      <c r="N74" s="67">
        <f ca="1">$K$74-EFEITO!$M$74*EFEITO!$Z$74</f>
        <v>0</v>
      </c>
      <c r="O74" s="67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8" t="s">
        <v>21</v>
      </c>
      <c r="B75" s="58" t="s">
        <v>39</v>
      </c>
      <c r="C75" s="58" t="s">
        <v>40</v>
      </c>
      <c r="D75" s="58" t="s">
        <v>51</v>
      </c>
      <c r="E75" s="58" t="s">
        <v>25</v>
      </c>
      <c r="F75" s="58" t="s">
        <v>25</v>
      </c>
      <c r="G75" s="58" t="s">
        <v>25</v>
      </c>
      <c r="H75" s="58" t="s">
        <v>34</v>
      </c>
      <c r="I75" s="66">
        <v>44774</v>
      </c>
      <c r="J75" s="67">
        <f ca="1">EFEITO!$J$75*EFEITO!$Y$75</f>
        <v>399.63877619031445</v>
      </c>
      <c r="K75" s="67">
        <f ca="1">EFEITO!$L$75*EFEITO!$Z$75</f>
        <v>38.41412963189812</v>
      </c>
      <c r="L75" s="67">
        <f>EFEITO!$N$75*EFEITO!$AA$75</f>
        <v>190.53829561449402</v>
      </c>
      <c r="M75" s="67">
        <f ca="1">$J$75-EFEITO!$K$75*EFEITO!$Y$75</f>
        <v>0</v>
      </c>
      <c r="N75" s="67">
        <f ca="1">$K$75-EFEITO!$M$75*EFEITO!$Z$75</f>
        <v>0</v>
      </c>
      <c r="O75" s="67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8" t="s">
        <v>21</v>
      </c>
      <c r="B76" s="58" t="s">
        <v>39</v>
      </c>
      <c r="C76" s="58" t="s">
        <v>40</v>
      </c>
      <c r="D76" s="58" t="s">
        <v>51</v>
      </c>
      <c r="E76" s="58" t="s">
        <v>25</v>
      </c>
      <c r="F76" s="58" t="s">
        <v>25</v>
      </c>
      <c r="G76" s="58" t="s">
        <v>25</v>
      </c>
      <c r="H76" s="58" t="s">
        <v>34</v>
      </c>
      <c r="I76" s="66">
        <v>44805</v>
      </c>
      <c r="J76" s="67">
        <f ca="1">EFEITO!$J$76*EFEITO!$Y$76</f>
        <v>513.82128367326141</v>
      </c>
      <c r="K76" s="67">
        <f ca="1">EFEITO!$L$76*EFEITO!$Z$76</f>
        <v>37.648035878555426</v>
      </c>
      <c r="L76" s="67">
        <f>EFEITO!$N$76*EFEITO!$AA$76</f>
        <v>186.73838658514515</v>
      </c>
      <c r="M76" s="67">
        <f ca="1">$J$76-EFEITO!$K$76*EFEITO!$Y$76</f>
        <v>0</v>
      </c>
      <c r="N76" s="67">
        <f ca="1">$K$76-EFEITO!$M$76*EFEITO!$Z$76</f>
        <v>0</v>
      </c>
      <c r="O76" s="67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8" t="s">
        <v>55</v>
      </c>
      <c r="B77" s="58" t="s">
        <v>39</v>
      </c>
      <c r="C77" s="58" t="s">
        <v>40</v>
      </c>
      <c r="D77" s="58" t="s">
        <v>51</v>
      </c>
      <c r="E77" s="58" t="s">
        <v>25</v>
      </c>
      <c r="F77" s="58" t="s">
        <v>25</v>
      </c>
      <c r="G77" s="58" t="s">
        <v>25</v>
      </c>
      <c r="H77" s="58" t="s">
        <v>34</v>
      </c>
      <c r="I77" s="66">
        <v>44835</v>
      </c>
      <c r="J77" s="67">
        <f ca="1">EFEITO!$J$77*EFEITO!$Y$77</f>
        <v>513.82128367326141</v>
      </c>
      <c r="K77" s="67">
        <f ca="1">EFEITO!$L$77*EFEITO!$Z$77</f>
        <v>37.648035878555426</v>
      </c>
      <c r="L77" s="67">
        <f>EFEITO!$N$77*EFEITO!$AA$77</f>
        <v>186.73838658514515</v>
      </c>
      <c r="M77" s="67">
        <f ca="1">$J$77-EFEITO!$K$77*EFEITO!$Y$77</f>
        <v>0</v>
      </c>
      <c r="N77" s="67">
        <f ca="1">$K$77-EFEITO!$M$77*EFEITO!$Z$77</f>
        <v>0</v>
      </c>
      <c r="O77" s="67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8" t="s">
        <v>21</v>
      </c>
      <c r="B78" s="58" t="s">
        <v>39</v>
      </c>
      <c r="C78" s="58" t="s">
        <v>40</v>
      </c>
      <c r="D78" s="58" t="s">
        <v>38</v>
      </c>
      <c r="E78" s="58" t="s">
        <v>25</v>
      </c>
      <c r="F78" s="58" t="s">
        <v>25</v>
      </c>
      <c r="G78" s="58" t="s">
        <v>25</v>
      </c>
      <c r="H78" s="58" t="s">
        <v>35</v>
      </c>
      <c r="I78" s="66">
        <v>44501</v>
      </c>
      <c r="J78" s="67">
        <f ca="1">EFEITO!$J$78*EFEITO!$Y$78</f>
        <v>4737.0947196011766</v>
      </c>
      <c r="K78" s="67">
        <f ca="1">EFEITO!$L$78*EFEITO!$Z$78</f>
        <v>14393.25999583784</v>
      </c>
      <c r="L78" s="67">
        <f>EFEITO!$N$78*EFEITO!$AA$78</f>
        <v>41741.210656169642</v>
      </c>
      <c r="M78" s="67">
        <f ca="1">$J$78-EFEITO!$K$78*EFEITO!$Y$78</f>
        <v>0</v>
      </c>
      <c r="N78" s="67">
        <f ca="1">$K$78-EFEITO!$M$78*EFEITO!$Z$78</f>
        <v>0</v>
      </c>
      <c r="O78" s="67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8" t="s">
        <v>21</v>
      </c>
      <c r="B79" s="58" t="s">
        <v>39</v>
      </c>
      <c r="C79" s="58" t="s">
        <v>40</v>
      </c>
      <c r="D79" s="58" t="s">
        <v>38</v>
      </c>
      <c r="E79" s="58" t="s">
        <v>25</v>
      </c>
      <c r="F79" s="58" t="s">
        <v>25</v>
      </c>
      <c r="G79" s="58" t="s">
        <v>25</v>
      </c>
      <c r="H79" s="58" t="s">
        <v>35</v>
      </c>
      <c r="I79" s="66">
        <v>44531</v>
      </c>
      <c r="J79" s="67">
        <f ca="1">EFEITO!$J$79*EFEITO!$Y$79</f>
        <v>5517.0982678085993</v>
      </c>
      <c r="K79" s="67">
        <f ca="1">EFEITO!$L$79*EFEITO!$Z$79</f>
        <v>15691.241697929896</v>
      </c>
      <c r="L79" s="67">
        <f>EFEITO!$N$79*EFEITO!$AA$79</f>
        <v>45505.425828447886</v>
      </c>
      <c r="M79" s="67">
        <f ca="1">$J$79-EFEITO!$K$79*EFEITO!$Y$79</f>
        <v>0</v>
      </c>
      <c r="N79" s="67">
        <f ca="1">$K$79-EFEITO!$M$79*EFEITO!$Z$79</f>
        <v>0</v>
      </c>
      <c r="O79" s="67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8" t="s">
        <v>21</v>
      </c>
      <c r="B80" s="58" t="s">
        <v>39</v>
      </c>
      <c r="C80" s="58" t="s">
        <v>40</v>
      </c>
      <c r="D80" s="58" t="s">
        <v>38</v>
      </c>
      <c r="E80" s="58" t="s">
        <v>25</v>
      </c>
      <c r="F80" s="58" t="s">
        <v>25</v>
      </c>
      <c r="G80" s="58" t="s">
        <v>25</v>
      </c>
      <c r="H80" s="58" t="s">
        <v>35</v>
      </c>
      <c r="I80" s="66">
        <v>44562</v>
      </c>
      <c r="J80" s="67">
        <f ca="1">EFEITO!$J$80*EFEITO!$Y$80</f>
        <v>5612.2206517363338</v>
      </c>
      <c r="K80" s="67">
        <f ca="1">EFEITO!$L$80*EFEITO!$Z$80</f>
        <v>14785.062229690249</v>
      </c>
      <c r="L80" s="67">
        <f>EFEITO!$N$80*EFEITO!$AA$80</f>
        <v>42877.457731781462</v>
      </c>
      <c r="M80" s="67">
        <f ca="1">$J$80-EFEITO!$K$80*EFEITO!$Y$80</f>
        <v>0</v>
      </c>
      <c r="N80" s="67">
        <f ca="1">$K$80-EFEITO!$M$80*EFEITO!$Z$80</f>
        <v>0</v>
      </c>
      <c r="O80" s="67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8" t="s">
        <v>21</v>
      </c>
      <c r="B81" s="58" t="s">
        <v>39</v>
      </c>
      <c r="C81" s="58" t="s">
        <v>40</v>
      </c>
      <c r="D81" s="58" t="s">
        <v>38</v>
      </c>
      <c r="E81" s="58" t="s">
        <v>25</v>
      </c>
      <c r="F81" s="58" t="s">
        <v>25</v>
      </c>
      <c r="G81" s="58" t="s">
        <v>25</v>
      </c>
      <c r="H81" s="58" t="s">
        <v>35</v>
      </c>
      <c r="I81" s="66">
        <v>44593</v>
      </c>
      <c r="J81" s="67">
        <f ca="1">EFEITO!$J$81*EFEITO!$Y$81</f>
        <v>5250.7555928109432</v>
      </c>
      <c r="K81" s="67">
        <f ca="1">EFEITO!$L$81*EFEITO!$Z$81</f>
        <v>11938.257842268784</v>
      </c>
      <c r="L81" s="67">
        <f>EFEITO!$N$81*EFEITO!$AA$81</f>
        <v>34621.5753488724</v>
      </c>
      <c r="M81" s="67">
        <f ca="1">$J$81-EFEITO!$K$81*EFEITO!$Y$81</f>
        <v>0</v>
      </c>
      <c r="N81" s="67">
        <f ca="1">$K$81-EFEITO!$M$81*EFEITO!$Z$81</f>
        <v>0</v>
      </c>
      <c r="O81" s="67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8" t="s">
        <v>21</v>
      </c>
      <c r="B82" s="58" t="s">
        <v>39</v>
      </c>
      <c r="C82" s="58" t="s">
        <v>40</v>
      </c>
      <c r="D82" s="58" t="s">
        <v>38</v>
      </c>
      <c r="E82" s="58" t="s">
        <v>25</v>
      </c>
      <c r="F82" s="58" t="s">
        <v>25</v>
      </c>
      <c r="G82" s="58" t="s">
        <v>25</v>
      </c>
      <c r="H82" s="58" t="s">
        <v>35</v>
      </c>
      <c r="I82" s="66">
        <v>44621</v>
      </c>
      <c r="J82" s="67">
        <f ca="1">EFEITO!$J$82*EFEITO!$Y$82</f>
        <v>4699.0457660300826</v>
      </c>
      <c r="K82" s="67">
        <f ca="1">EFEITO!$L$82*EFEITO!$Z$82</f>
        <v>12619.315188990442</v>
      </c>
      <c r="L82" s="67">
        <f>EFEITO!$N$82*EFEITO!$AA$82</f>
        <v>36596.677458238963</v>
      </c>
      <c r="M82" s="67">
        <f ca="1">$J$82-EFEITO!$K$82*EFEITO!$Y$82</f>
        <v>0</v>
      </c>
      <c r="N82" s="67">
        <f ca="1">$K$82-EFEITO!$M$82*EFEITO!$Z$82</f>
        <v>0</v>
      </c>
      <c r="O82" s="67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8" t="s">
        <v>21</v>
      </c>
      <c r="B83" s="58" t="s">
        <v>39</v>
      </c>
      <c r="C83" s="58" t="s">
        <v>40</v>
      </c>
      <c r="D83" s="58" t="s">
        <v>38</v>
      </c>
      <c r="E83" s="58" t="s">
        <v>25</v>
      </c>
      <c r="F83" s="58" t="s">
        <v>25</v>
      </c>
      <c r="G83" s="58" t="s">
        <v>25</v>
      </c>
      <c r="H83" s="58" t="s">
        <v>35</v>
      </c>
      <c r="I83" s="66">
        <v>44652</v>
      </c>
      <c r="J83" s="67">
        <f ca="1">EFEITO!$J$83*EFEITO!$Y$83</f>
        <v>4699.0457660300826</v>
      </c>
      <c r="K83" s="67">
        <f ca="1">EFEITO!$L$83*EFEITO!$Z$83</f>
        <v>12619.315188990442</v>
      </c>
      <c r="L83" s="67">
        <f>EFEITO!$N$83*EFEITO!$AA$83</f>
        <v>36596.677458238963</v>
      </c>
      <c r="M83" s="67">
        <f ca="1">$J$83-EFEITO!$K$83*EFEITO!$Y$83</f>
        <v>0</v>
      </c>
      <c r="N83" s="67">
        <f ca="1">$K$83-EFEITO!$M$83*EFEITO!$Z$83</f>
        <v>0</v>
      </c>
      <c r="O83" s="67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8" t="s">
        <v>21</v>
      </c>
      <c r="B84" s="58" t="s">
        <v>39</v>
      </c>
      <c r="C84" s="58" t="s">
        <v>40</v>
      </c>
      <c r="D84" s="58" t="s">
        <v>38</v>
      </c>
      <c r="E84" s="58" t="s">
        <v>25</v>
      </c>
      <c r="F84" s="58" t="s">
        <v>25</v>
      </c>
      <c r="G84" s="58" t="s">
        <v>25</v>
      </c>
      <c r="H84" s="58" t="s">
        <v>35</v>
      </c>
      <c r="I84" s="66">
        <v>44682</v>
      </c>
      <c r="J84" s="67">
        <f ca="1">EFEITO!$J$84*EFEITO!$Y$84</f>
        <v>4356.6051838902385</v>
      </c>
      <c r="K84" s="67">
        <f ca="1">EFEITO!$L$84*EFEITO!$Z$84</f>
        <v>12226.090209596112</v>
      </c>
      <c r="L84" s="67">
        <f>EFEITO!$N$84*EFEITO!$AA$84</f>
        <v>35456.304345760407</v>
      </c>
      <c r="M84" s="67">
        <f ca="1">$J$84-EFEITO!$K$84*EFEITO!$Y$84</f>
        <v>0</v>
      </c>
      <c r="N84" s="67">
        <f ca="1">$K$84-EFEITO!$M$84*EFEITO!$Z$84</f>
        <v>0</v>
      </c>
      <c r="O84" s="67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8" t="s">
        <v>21</v>
      </c>
      <c r="B85" s="58" t="s">
        <v>39</v>
      </c>
      <c r="C85" s="58" t="s">
        <v>40</v>
      </c>
      <c r="D85" s="58" t="s">
        <v>38</v>
      </c>
      <c r="E85" s="58" t="s">
        <v>25</v>
      </c>
      <c r="F85" s="58" t="s">
        <v>25</v>
      </c>
      <c r="G85" s="58" t="s">
        <v>25</v>
      </c>
      <c r="H85" s="58" t="s">
        <v>35</v>
      </c>
      <c r="I85" s="66">
        <v>44713</v>
      </c>
      <c r="J85" s="67">
        <f ca="1">EFEITO!$J$85*EFEITO!$Y$85</f>
        <v>4527.825474960161</v>
      </c>
      <c r="K85" s="67">
        <f ca="1">EFEITO!$L$85*EFEITO!$Z$85</f>
        <v>12070.46373570278</v>
      </c>
      <c r="L85" s="67">
        <f>EFEITO!$N$85*EFEITO!$AA$85</f>
        <v>35004.979390028566</v>
      </c>
      <c r="M85" s="67">
        <f ca="1">$J$85-EFEITO!$K$85*EFEITO!$Y$85</f>
        <v>0</v>
      </c>
      <c r="N85" s="67">
        <f ca="1">$K$85-EFEITO!$M$85*EFEITO!$Z$85</f>
        <v>0</v>
      </c>
      <c r="O85" s="67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8" t="s">
        <v>21</v>
      </c>
      <c r="B86" s="58" t="s">
        <v>39</v>
      </c>
      <c r="C86" s="58" t="s">
        <v>40</v>
      </c>
      <c r="D86" s="58" t="s">
        <v>38</v>
      </c>
      <c r="E86" s="58" t="s">
        <v>25</v>
      </c>
      <c r="F86" s="58" t="s">
        <v>25</v>
      </c>
      <c r="G86" s="58" t="s">
        <v>25</v>
      </c>
      <c r="H86" s="58" t="s">
        <v>35</v>
      </c>
      <c r="I86" s="66">
        <v>44743</v>
      </c>
      <c r="J86" s="67">
        <f ca="1">EFEITO!$J$86*EFEITO!$Y$86</f>
        <v>4299.531753533598</v>
      </c>
      <c r="K86" s="67">
        <f ca="1">EFEITO!$L$86*EFEITO!$Z$86</f>
        <v>12003.704137197203</v>
      </c>
      <c r="L86" s="67">
        <f>EFEITO!$N$86*EFEITO!$AA$86</f>
        <v>34811.373044742752</v>
      </c>
      <c r="M86" s="67">
        <f ca="1">$J$86-EFEITO!$K$86*EFEITO!$Y$86</f>
        <v>0</v>
      </c>
      <c r="N86" s="67">
        <f ca="1">$K$86-EFEITO!$M$86*EFEITO!$Z$86</f>
        <v>0</v>
      </c>
      <c r="O86" s="67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8" t="s">
        <v>21</v>
      </c>
      <c r="B87" s="58" t="s">
        <v>39</v>
      </c>
      <c r="C87" s="58" t="s">
        <v>40</v>
      </c>
      <c r="D87" s="58" t="s">
        <v>38</v>
      </c>
      <c r="E87" s="58" t="s">
        <v>25</v>
      </c>
      <c r="F87" s="58" t="s">
        <v>25</v>
      </c>
      <c r="G87" s="58" t="s">
        <v>25</v>
      </c>
      <c r="H87" s="58" t="s">
        <v>35</v>
      </c>
      <c r="I87" s="66">
        <v>44774</v>
      </c>
      <c r="J87" s="67">
        <f ca="1">EFEITO!$J$87*EFEITO!$Y$87</f>
        <v>4147.335939249223</v>
      </c>
      <c r="K87" s="67">
        <f ca="1">EFEITO!$L$87*EFEITO!$Z$87</f>
        <v>10855.110717006974</v>
      </c>
      <c r="L87" s="67">
        <f>EFEITO!$N$87*EFEITO!$AA$87</f>
        <v>31480.391743472934</v>
      </c>
      <c r="M87" s="67">
        <f ca="1">$J$87-EFEITO!$K$87*EFEITO!$Y$87</f>
        <v>0</v>
      </c>
      <c r="N87" s="67">
        <f ca="1">$K$87-EFEITO!$M$87*EFEITO!$Z$87</f>
        <v>0</v>
      </c>
      <c r="O87" s="67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8" t="s">
        <v>21</v>
      </c>
      <c r="B88" s="58" t="s">
        <v>39</v>
      </c>
      <c r="C88" s="58" t="s">
        <v>40</v>
      </c>
      <c r="D88" s="58" t="s">
        <v>38</v>
      </c>
      <c r="E88" s="58" t="s">
        <v>25</v>
      </c>
      <c r="F88" s="58" t="s">
        <v>25</v>
      </c>
      <c r="G88" s="58" t="s">
        <v>25</v>
      </c>
      <c r="H88" s="58" t="s">
        <v>35</v>
      </c>
      <c r="I88" s="66">
        <v>44805</v>
      </c>
      <c r="J88" s="67">
        <f ca="1">EFEITO!$J$88*EFEITO!$Y$88</f>
        <v>4242.4583231769575</v>
      </c>
      <c r="K88" s="67">
        <f ca="1">EFEITO!$L$88*EFEITO!$Z$88</f>
        <v>9958.4526997017256</v>
      </c>
      <c r="L88" s="67">
        <f>EFEITO!$N$88*EFEITO!$AA$88</f>
        <v>28880.036355068583</v>
      </c>
      <c r="M88" s="67">
        <f ca="1">$J$88-EFEITO!$K$88*EFEITO!$Y$88</f>
        <v>0</v>
      </c>
      <c r="N88" s="67">
        <f ca="1">$K$88-EFEITO!$M$88*EFEITO!$Z$88</f>
        <v>0</v>
      </c>
      <c r="O88" s="67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8" t="s">
        <v>55</v>
      </c>
      <c r="B89" s="58" t="s">
        <v>39</v>
      </c>
      <c r="C89" s="58" t="s">
        <v>40</v>
      </c>
      <c r="D89" s="58" t="s">
        <v>38</v>
      </c>
      <c r="E89" s="58" t="s">
        <v>25</v>
      </c>
      <c r="F89" s="58" t="s">
        <v>25</v>
      </c>
      <c r="G89" s="58" t="s">
        <v>25</v>
      </c>
      <c r="H89" s="58" t="s">
        <v>35</v>
      </c>
      <c r="I89" s="66">
        <v>44835</v>
      </c>
      <c r="J89" s="67">
        <f ca="1">EFEITO!$J$89*EFEITO!$Y$89</f>
        <v>4242.4583231769575</v>
      </c>
      <c r="K89" s="67">
        <f ca="1">EFEITO!$L$89*EFEITO!$Z$89</f>
        <v>9958.4526997017256</v>
      </c>
      <c r="L89" s="67">
        <f>EFEITO!$N$89*EFEITO!$AA$89</f>
        <v>28880.036355068583</v>
      </c>
      <c r="M89" s="67">
        <f ca="1">$J$89-EFEITO!$K$89*EFEITO!$Y$89</f>
        <v>0</v>
      </c>
      <c r="N89" s="67">
        <f ca="1">$K$89-EFEITO!$M$89*EFEITO!$Z$89</f>
        <v>0</v>
      </c>
      <c r="O89" s="67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8" t="s">
        <v>21</v>
      </c>
      <c r="B90" s="58" t="s">
        <v>39</v>
      </c>
      <c r="C90" s="58" t="s">
        <v>40</v>
      </c>
      <c r="D90" s="58" t="s">
        <v>38</v>
      </c>
      <c r="E90" s="58" t="s">
        <v>25</v>
      </c>
      <c r="F90" s="58" t="s">
        <v>25</v>
      </c>
      <c r="G90" s="58" t="s">
        <v>25</v>
      </c>
      <c r="H90" s="58" t="s">
        <v>34</v>
      </c>
      <c r="I90" s="66">
        <v>44501</v>
      </c>
      <c r="J90" s="67">
        <f ca="1">EFEITO!$J$90*EFEITO!$Y$90</f>
        <v>14329.904689109848</v>
      </c>
      <c r="K90" s="67">
        <f ca="1">EFEITO!$L$90*EFEITO!$Z$90</f>
        <v>1320.4173048685209</v>
      </c>
      <c r="L90" s="67">
        <f>EFEITO!$N$90*EFEITO!$AA$90</f>
        <v>6549.4146341563264</v>
      </c>
      <c r="M90" s="67">
        <f ca="1">$J$90-EFEITO!$K$90*EFEITO!$Y$90</f>
        <v>0</v>
      </c>
      <c r="N90" s="67">
        <f ca="1">$K$90-EFEITO!$M$90*EFEITO!$Z$90</f>
        <v>0</v>
      </c>
      <c r="O90" s="67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8" t="s">
        <v>21</v>
      </c>
      <c r="B91" s="58" t="s">
        <v>39</v>
      </c>
      <c r="C91" s="58" t="s">
        <v>40</v>
      </c>
      <c r="D91" s="58" t="s">
        <v>38</v>
      </c>
      <c r="E91" s="58" t="s">
        <v>25</v>
      </c>
      <c r="F91" s="58" t="s">
        <v>25</v>
      </c>
      <c r="G91" s="58" t="s">
        <v>25</v>
      </c>
      <c r="H91" s="58" t="s">
        <v>34</v>
      </c>
      <c r="I91" s="66">
        <v>44531</v>
      </c>
      <c r="J91" s="67">
        <f ca="1">EFEITO!$J$91*EFEITO!$Y$91</f>
        <v>15871.368540129632</v>
      </c>
      <c r="K91" s="67">
        <f ca="1">EFEITO!$L$91*EFEITO!$Z$91</f>
        <v>1573.9943372249541</v>
      </c>
      <c r="L91" s="67">
        <f>EFEITO!$N$91*EFEITO!$AA$91</f>
        <v>7807.1845228708071</v>
      </c>
      <c r="M91" s="67">
        <f ca="1">$J$91-EFEITO!$K$91*EFEITO!$Y$91</f>
        <v>0</v>
      </c>
      <c r="N91" s="67">
        <f ca="1">$K$91-EFEITO!$M$91*EFEITO!$Z$91</f>
        <v>0</v>
      </c>
      <c r="O91" s="67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8" t="s">
        <v>21</v>
      </c>
      <c r="B92" s="58" t="s">
        <v>39</v>
      </c>
      <c r="C92" s="58" t="s">
        <v>40</v>
      </c>
      <c r="D92" s="58" t="s">
        <v>38</v>
      </c>
      <c r="E92" s="58" t="s">
        <v>25</v>
      </c>
      <c r="F92" s="58" t="s">
        <v>25</v>
      </c>
      <c r="G92" s="58" t="s">
        <v>25</v>
      </c>
      <c r="H92" s="58" t="s">
        <v>34</v>
      </c>
      <c r="I92" s="66">
        <v>44562</v>
      </c>
      <c r="J92" s="67">
        <f ca="1">EFEITO!$J$92*EFEITO!$Y$92</f>
        <v>14329.904689109848</v>
      </c>
      <c r="K92" s="67">
        <f ca="1">EFEITO!$L$92*EFEITO!$Z$92</f>
        <v>1343.7284433630919</v>
      </c>
      <c r="L92" s="67">
        <f>EFEITO!$N$92*EFEITO!$AA$92</f>
        <v>6665.0404374779428</v>
      </c>
      <c r="M92" s="67">
        <f ca="1">$J$92-EFEITO!$K$92*EFEITO!$Y$92</f>
        <v>0</v>
      </c>
      <c r="N92" s="67">
        <f ca="1">$K$92-EFEITO!$M$92*EFEITO!$Z$92</f>
        <v>0</v>
      </c>
      <c r="O92" s="67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8" t="s">
        <v>21</v>
      </c>
      <c r="B93" s="58" t="s">
        <v>39</v>
      </c>
      <c r="C93" s="58" t="s">
        <v>40</v>
      </c>
      <c r="D93" s="58" t="s">
        <v>38</v>
      </c>
      <c r="E93" s="58" t="s">
        <v>25</v>
      </c>
      <c r="F93" s="58" t="s">
        <v>25</v>
      </c>
      <c r="G93" s="58" t="s">
        <v>25</v>
      </c>
      <c r="H93" s="58" t="s">
        <v>34</v>
      </c>
      <c r="I93" s="66">
        <v>44593</v>
      </c>
      <c r="J93" s="67">
        <f ca="1">EFEITO!$J$93*EFEITO!$Y$93</f>
        <v>14044.448420402479</v>
      </c>
      <c r="K93" s="67">
        <f ca="1">EFEITO!$L$93*EFEITO!$Z$93</f>
        <v>1204.2993802547207</v>
      </c>
      <c r="L93" s="67">
        <f>EFEITO!$N$93*EFEITO!$AA$93</f>
        <v>5973.4569941364452</v>
      </c>
      <c r="M93" s="67">
        <f ca="1">$J$93-EFEITO!$K$93*EFEITO!$Y$93</f>
        <v>0</v>
      </c>
      <c r="N93" s="67">
        <f ca="1">$K$93-EFEITO!$M$93*EFEITO!$Z$93</f>
        <v>0</v>
      </c>
      <c r="O93" s="67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8" t="s">
        <v>21</v>
      </c>
      <c r="B94" s="58" t="s">
        <v>39</v>
      </c>
      <c r="C94" s="58" t="s">
        <v>40</v>
      </c>
      <c r="D94" s="58" t="s">
        <v>38</v>
      </c>
      <c r="E94" s="58" t="s">
        <v>25</v>
      </c>
      <c r="F94" s="58" t="s">
        <v>25</v>
      </c>
      <c r="G94" s="58" t="s">
        <v>25</v>
      </c>
      <c r="H94" s="58" t="s">
        <v>34</v>
      </c>
      <c r="I94" s="66">
        <v>44621</v>
      </c>
      <c r="J94" s="67">
        <f ca="1">EFEITO!$J$94*EFEITO!$Y$94</f>
        <v>13873.174659178059</v>
      </c>
      <c r="K94" s="67">
        <f ca="1">EFEITO!$L$94*EFEITO!$Z$94</f>
        <v>1299.5138895987418</v>
      </c>
      <c r="L94" s="67">
        <f>EFEITO!$N$94*EFEITO!$AA$94</f>
        <v>6445.7314020698068</v>
      </c>
      <c r="M94" s="67">
        <f ca="1">$J$94-EFEITO!$K$94*EFEITO!$Y$94</f>
        <v>0</v>
      </c>
      <c r="N94" s="67">
        <f ca="1">$K$94-EFEITO!$M$94*EFEITO!$Z$94</f>
        <v>0</v>
      </c>
      <c r="O94" s="67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8" t="s">
        <v>21</v>
      </c>
      <c r="B95" s="58" t="s">
        <v>39</v>
      </c>
      <c r="C95" s="58" t="s">
        <v>40</v>
      </c>
      <c r="D95" s="58" t="s">
        <v>38</v>
      </c>
      <c r="E95" s="58" t="s">
        <v>25</v>
      </c>
      <c r="F95" s="58" t="s">
        <v>25</v>
      </c>
      <c r="G95" s="58" t="s">
        <v>25</v>
      </c>
      <c r="H95" s="58" t="s">
        <v>34</v>
      </c>
      <c r="I95" s="66">
        <v>44652</v>
      </c>
      <c r="J95" s="67">
        <f ca="1">EFEITO!$J$95*EFEITO!$Y$95</f>
        <v>13873.174659178059</v>
      </c>
      <c r="K95" s="67">
        <f ca="1">EFEITO!$L$95*EFEITO!$Z$95</f>
        <v>1299.5138895987418</v>
      </c>
      <c r="L95" s="67">
        <f>EFEITO!$N$95*EFEITO!$AA$95</f>
        <v>6445.7314020698068</v>
      </c>
      <c r="M95" s="67">
        <f ca="1">$J$95-EFEITO!$K$95*EFEITO!$Y$95</f>
        <v>0</v>
      </c>
      <c r="N95" s="67">
        <f ca="1">$K$95-EFEITO!$M$95*EFEITO!$Z$95</f>
        <v>0</v>
      </c>
      <c r="O95" s="67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8" t="s">
        <v>21</v>
      </c>
      <c r="B96" s="58" t="s">
        <v>39</v>
      </c>
      <c r="C96" s="58" t="s">
        <v>40</v>
      </c>
      <c r="D96" s="58" t="s">
        <v>38</v>
      </c>
      <c r="E96" s="58" t="s">
        <v>25</v>
      </c>
      <c r="F96" s="58" t="s">
        <v>25</v>
      </c>
      <c r="G96" s="58" t="s">
        <v>25</v>
      </c>
      <c r="H96" s="58" t="s">
        <v>34</v>
      </c>
      <c r="I96" s="66">
        <v>44682</v>
      </c>
      <c r="J96" s="67">
        <f ca="1">EFEITO!$J$96*EFEITO!$Y$96</f>
        <v>13873.174659178059</v>
      </c>
      <c r="K96" s="67">
        <f ca="1">EFEITO!$L$96*EFEITO!$Z$96</f>
        <v>1003.2544909846442</v>
      </c>
      <c r="L96" s="67">
        <f>EFEITO!$N$96*EFEITO!$AA$96</f>
        <v>4976.2522960058886</v>
      </c>
      <c r="M96" s="67">
        <f ca="1">$J$96-EFEITO!$K$96*EFEITO!$Y$96</f>
        <v>0</v>
      </c>
      <c r="N96" s="67">
        <f ca="1">$K$96-EFEITO!$M$96*EFEITO!$Z$96</f>
        <v>0</v>
      </c>
      <c r="O96" s="67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8" t="s">
        <v>21</v>
      </c>
      <c r="B97" s="58" t="s">
        <v>39</v>
      </c>
      <c r="C97" s="58" t="s">
        <v>40</v>
      </c>
      <c r="D97" s="58" t="s">
        <v>38</v>
      </c>
      <c r="E97" s="58" t="s">
        <v>25</v>
      </c>
      <c r="F97" s="58" t="s">
        <v>25</v>
      </c>
      <c r="G97" s="58" t="s">
        <v>25</v>
      </c>
      <c r="H97" s="58" t="s">
        <v>34</v>
      </c>
      <c r="I97" s="66">
        <v>44713</v>
      </c>
      <c r="J97" s="67">
        <f ca="1">EFEITO!$J$97*EFEITO!$Y$97</f>
        <v>13873.174659178059</v>
      </c>
      <c r="K97" s="67">
        <f ca="1">EFEITO!$L$97*EFEITO!$Z$97</f>
        <v>908.91551735872918</v>
      </c>
      <c r="L97" s="67">
        <f>EFEITO!$N$97*EFEITO!$AA$97</f>
        <v>4508.3206412489253</v>
      </c>
      <c r="M97" s="67">
        <f ca="1">$J$97-EFEITO!$K$97*EFEITO!$Y$97</f>
        <v>0</v>
      </c>
      <c r="N97" s="67">
        <f ca="1">$K$97-EFEITO!$M$97*EFEITO!$Z$97</f>
        <v>0</v>
      </c>
      <c r="O97" s="67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8" t="s">
        <v>21</v>
      </c>
      <c r="B98" s="58" t="s">
        <v>39</v>
      </c>
      <c r="C98" s="58" t="s">
        <v>40</v>
      </c>
      <c r="D98" s="58" t="s">
        <v>38</v>
      </c>
      <c r="E98" s="58" t="s">
        <v>25</v>
      </c>
      <c r="F98" s="58" t="s">
        <v>25</v>
      </c>
      <c r="G98" s="58" t="s">
        <v>25</v>
      </c>
      <c r="H98" s="58" t="s">
        <v>34</v>
      </c>
      <c r="I98" s="66">
        <v>44743</v>
      </c>
      <c r="J98" s="67">
        <f ca="1">EFEITO!$J$98*EFEITO!$Y$98</f>
        <v>13873.174659178059</v>
      </c>
      <c r="K98" s="67">
        <f ca="1">EFEITO!$L$98*EFEITO!$Z$98</f>
        <v>908.14942360538646</v>
      </c>
      <c r="L98" s="67">
        <f>EFEITO!$N$98*EFEITO!$AA$98</f>
        <v>4504.5207322195765</v>
      </c>
      <c r="M98" s="67">
        <f ca="1">$J$98-EFEITO!$K$98*EFEITO!$Y$98</f>
        <v>0</v>
      </c>
      <c r="N98" s="67">
        <f ca="1">$K$98-EFEITO!$M$98*EFEITO!$Z$98</f>
        <v>0</v>
      </c>
      <c r="O98" s="67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8" t="s">
        <v>21</v>
      </c>
      <c r="B99" s="58" t="s">
        <v>39</v>
      </c>
      <c r="C99" s="58" t="s">
        <v>40</v>
      </c>
      <c r="D99" s="58" t="s">
        <v>38</v>
      </c>
      <c r="E99" s="58" t="s">
        <v>25</v>
      </c>
      <c r="F99" s="58" t="s">
        <v>25</v>
      </c>
      <c r="G99" s="58" t="s">
        <v>25</v>
      </c>
      <c r="H99" s="58" t="s">
        <v>34</v>
      </c>
      <c r="I99" s="66">
        <v>44774</v>
      </c>
      <c r="J99" s="67">
        <f ca="1">EFEITO!$J$99*EFEITO!$Y$99</f>
        <v>13873.174659178059</v>
      </c>
      <c r="K99" s="67">
        <f ca="1">EFEITO!$L$99*EFEITO!$Z$99</f>
        <v>1038.7136875679348</v>
      </c>
      <c r="L99" s="67">
        <f>EFEITO!$N$99*EFEITO!$AA$99</f>
        <v>5152.133799650037</v>
      </c>
      <c r="M99" s="67">
        <f ca="1">$J$99-EFEITO!$K$99*EFEITO!$Y$99</f>
        <v>0</v>
      </c>
      <c r="N99" s="67">
        <f ca="1">$K$99-EFEITO!$M$99*EFEITO!$Z$99</f>
        <v>0</v>
      </c>
      <c r="O99" s="67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8" t="s">
        <v>21</v>
      </c>
      <c r="B100" s="58" t="s">
        <v>39</v>
      </c>
      <c r="C100" s="58" t="s">
        <v>40</v>
      </c>
      <c r="D100" s="58" t="s">
        <v>38</v>
      </c>
      <c r="E100" s="58" t="s">
        <v>25</v>
      </c>
      <c r="F100" s="58" t="s">
        <v>25</v>
      </c>
      <c r="G100" s="58" t="s">
        <v>25</v>
      </c>
      <c r="H100" s="58" t="s">
        <v>34</v>
      </c>
      <c r="I100" s="66">
        <v>44805</v>
      </c>
      <c r="J100" s="67">
        <f ca="1">EFEITO!$J$100*EFEITO!$Y$100</f>
        <v>13873.174659178059</v>
      </c>
      <c r="K100" s="67">
        <f ca="1">EFEITO!$L$100*EFEITO!$Z$100</f>
        <v>958.60216936124129</v>
      </c>
      <c r="L100" s="67">
        <f>EFEITO!$N$100*EFEITO!$AA$100</f>
        <v>4754.771884009554</v>
      </c>
      <c r="M100" s="67">
        <f ca="1">$J$100-EFEITO!$K$100*EFEITO!$Y$100</f>
        <v>0</v>
      </c>
      <c r="N100" s="67">
        <f ca="1">$K$100-EFEITO!$M$100*EFEITO!$Z$100</f>
        <v>0</v>
      </c>
      <c r="O100" s="67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8" t="s">
        <v>55</v>
      </c>
      <c r="B101" s="58" t="s">
        <v>39</v>
      </c>
      <c r="C101" s="58" t="s">
        <v>40</v>
      </c>
      <c r="D101" s="58" t="s">
        <v>38</v>
      </c>
      <c r="E101" s="58" t="s">
        <v>25</v>
      </c>
      <c r="F101" s="58" t="s">
        <v>25</v>
      </c>
      <c r="G101" s="58" t="s">
        <v>25</v>
      </c>
      <c r="H101" s="58" t="s">
        <v>34</v>
      </c>
      <c r="I101" s="66">
        <v>44835</v>
      </c>
      <c r="J101" s="67">
        <f ca="1">EFEITO!$J$101*EFEITO!$Y$101</f>
        <v>13873.174659178059</v>
      </c>
      <c r="K101" s="67">
        <f ca="1">EFEITO!$L$101*EFEITO!$Z$101</f>
        <v>958.60216936124129</v>
      </c>
      <c r="L101" s="67">
        <f>EFEITO!$N$101*EFEITO!$AA$101</f>
        <v>4754.771884009554</v>
      </c>
      <c r="M101" s="67">
        <f ca="1">$J$101-EFEITO!$K$101*EFEITO!$Y$101</f>
        <v>0</v>
      </c>
      <c r="N101" s="67">
        <f ca="1">$K$101-EFEITO!$M$101*EFEITO!$Z$101</f>
        <v>0</v>
      </c>
      <c r="O101" s="67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8" t="s">
        <v>21</v>
      </c>
      <c r="B102" s="58" t="s">
        <v>39</v>
      </c>
      <c r="C102" s="58" t="s">
        <v>40</v>
      </c>
      <c r="D102" s="58" t="s">
        <v>45</v>
      </c>
      <c r="E102" s="58" t="s">
        <v>25</v>
      </c>
      <c r="F102" s="58" t="s">
        <v>25</v>
      </c>
      <c r="G102" s="58" t="s">
        <v>25</v>
      </c>
      <c r="H102" s="58" t="s">
        <v>35</v>
      </c>
      <c r="I102" s="66">
        <v>44501</v>
      </c>
      <c r="J102" s="67">
        <f ca="1">EFEITO!$J$102*EFEITO!$Y$102</f>
        <v>77220.351272534841</v>
      </c>
      <c r="K102" s="67">
        <f ca="1">EFEITO!$L$102*EFEITO!$Z$102</f>
        <v>96569.291425825184</v>
      </c>
      <c r="L102" s="67">
        <f>EFEITO!$N$102*EFEITO!$AA$102</f>
        <v>280056.0218802442</v>
      </c>
      <c r="M102" s="67">
        <f ca="1">$J$102-EFEITO!$K$102*EFEITO!$Y$102</f>
        <v>0</v>
      </c>
      <c r="N102" s="67">
        <f ca="1">$K$102-EFEITO!$M$102*EFEITO!$Z$102</f>
        <v>0</v>
      </c>
      <c r="O102" s="67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8" t="s">
        <v>27</v>
      </c>
      <c r="B103" s="58" t="s">
        <v>39</v>
      </c>
      <c r="C103" s="58" t="s">
        <v>40</v>
      </c>
      <c r="D103" s="58" t="s">
        <v>45</v>
      </c>
      <c r="E103" s="58" t="s">
        <v>25</v>
      </c>
      <c r="F103" s="58" t="s">
        <v>25</v>
      </c>
      <c r="G103" s="58" t="s">
        <v>25</v>
      </c>
      <c r="H103" s="58" t="s">
        <v>35</v>
      </c>
      <c r="I103" s="66">
        <v>44501</v>
      </c>
      <c r="J103" s="67">
        <f ca="1">EFEITO!$J$103*EFEITO!$Y$103</f>
        <v>-18815.207540905878</v>
      </c>
      <c r="K103" s="67">
        <f ca="1">EFEITO!$L$103*EFEITO!$Z$103</f>
        <v>0</v>
      </c>
      <c r="L103" s="67">
        <f>EFEITO!$N$103*EFEITO!$AA$103</f>
        <v>0</v>
      </c>
      <c r="M103" s="67">
        <f ca="1">$J$103-EFEITO!$K$103*EFEITO!$Y$103</f>
        <v>0</v>
      </c>
      <c r="N103" s="67">
        <f ca="1">$K$103-EFEITO!$M$103*EFEITO!$Z$103</f>
        <v>0</v>
      </c>
      <c r="O103" s="67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8" t="s">
        <v>28</v>
      </c>
      <c r="B104" s="58" t="s">
        <v>39</v>
      </c>
      <c r="C104" s="58" t="s">
        <v>40</v>
      </c>
      <c r="D104" s="58" t="s">
        <v>45</v>
      </c>
      <c r="E104" s="58" t="s">
        <v>25</v>
      </c>
      <c r="F104" s="58" t="s">
        <v>25</v>
      </c>
      <c r="G104" s="58" t="s">
        <v>25</v>
      </c>
      <c r="H104" s="58" t="s">
        <v>35</v>
      </c>
      <c r="I104" s="66">
        <v>44501</v>
      </c>
      <c r="J104" s="67">
        <f ca="1">EFEITO!$J$104*EFEITO!$Y$104</f>
        <v>13735.672239164858</v>
      </c>
      <c r="K104" s="67">
        <f ca="1">EFEITO!$L$104*EFEITO!$Z$104</f>
        <v>21413.41482557603</v>
      </c>
      <c r="L104" s="67">
        <f>EFEITO!$N$104*EFEITO!$AA$104</f>
        <v>62100.028719052221</v>
      </c>
      <c r="M104" s="67">
        <f ca="1">$J$104-EFEITO!$K$104*EFEITO!$Y$104</f>
        <v>0</v>
      </c>
      <c r="N104" s="67">
        <f ca="1">$K$104-EFEITO!$M$104*EFEITO!$Z$104</f>
        <v>0</v>
      </c>
      <c r="O104" s="67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8" t="s">
        <v>21</v>
      </c>
      <c r="B105" s="58" t="s">
        <v>39</v>
      </c>
      <c r="C105" s="58" t="s">
        <v>40</v>
      </c>
      <c r="D105" s="58" t="s">
        <v>45</v>
      </c>
      <c r="E105" s="58" t="s">
        <v>25</v>
      </c>
      <c r="F105" s="58" t="s">
        <v>25</v>
      </c>
      <c r="G105" s="58" t="s">
        <v>25</v>
      </c>
      <c r="H105" s="58" t="s">
        <v>35</v>
      </c>
      <c r="I105" s="66">
        <v>44531</v>
      </c>
      <c r="J105" s="67">
        <f ca="1">EFEITO!$J$105*EFEITO!$Y$105</f>
        <v>77220.351272534841</v>
      </c>
      <c r="K105" s="67">
        <f ca="1">EFEITO!$L$105*EFEITO!$Z$105</f>
        <v>88934.401080011841</v>
      </c>
      <c r="L105" s="67">
        <f>EFEITO!$N$105*EFEITO!$AA$105</f>
        <v>257914.43850347571</v>
      </c>
      <c r="M105" s="67">
        <f ca="1">$J$105-EFEITO!$K$105*EFEITO!$Y$105</f>
        <v>0</v>
      </c>
      <c r="N105" s="67">
        <f ca="1">$K$105-EFEITO!$M$105*EFEITO!$Z$105</f>
        <v>0</v>
      </c>
      <c r="O105" s="67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8" t="s">
        <v>28</v>
      </c>
      <c r="B106" s="58" t="s">
        <v>39</v>
      </c>
      <c r="C106" s="58" t="s">
        <v>40</v>
      </c>
      <c r="D106" s="58" t="s">
        <v>45</v>
      </c>
      <c r="E106" s="58" t="s">
        <v>25</v>
      </c>
      <c r="F106" s="58" t="s">
        <v>25</v>
      </c>
      <c r="G106" s="58" t="s">
        <v>25</v>
      </c>
      <c r="H106" s="58" t="s">
        <v>35</v>
      </c>
      <c r="I106" s="66">
        <v>44531</v>
      </c>
      <c r="J106" s="67">
        <f ca="1">EFEITO!$J$106*EFEITO!$Y$106</f>
        <v>13526.402994523842</v>
      </c>
      <c r="K106" s="67">
        <f ca="1">EFEITO!$L$106*EFEITO!$Z$106</f>
        <v>21067.578216924187</v>
      </c>
      <c r="L106" s="67">
        <f>EFEITO!$N$106*EFEITO!$AA$106</f>
        <v>61097.084372981466</v>
      </c>
      <c r="M106" s="67">
        <f ca="1">$J$106-EFEITO!$K$106*EFEITO!$Y$106</f>
        <v>0</v>
      </c>
      <c r="N106" s="67">
        <f ca="1">$K$106-EFEITO!$M$106*EFEITO!$Z$106</f>
        <v>0</v>
      </c>
      <c r="O106" s="67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8" t="s">
        <v>21</v>
      </c>
      <c r="B107" s="58" t="s">
        <v>39</v>
      </c>
      <c r="C107" s="58" t="s">
        <v>40</v>
      </c>
      <c r="D107" s="58" t="s">
        <v>45</v>
      </c>
      <c r="E107" s="58" t="s">
        <v>25</v>
      </c>
      <c r="F107" s="58" t="s">
        <v>25</v>
      </c>
      <c r="G107" s="58" t="s">
        <v>25</v>
      </c>
      <c r="H107" s="58" t="s">
        <v>35</v>
      </c>
      <c r="I107" s="66">
        <v>44562</v>
      </c>
      <c r="J107" s="67">
        <f ca="1">EFEITO!$J$107*EFEITO!$Y$107</f>
        <v>90042.848625993458</v>
      </c>
      <c r="K107" s="67">
        <f ca="1">EFEITO!$L$107*EFEITO!$Z$107</f>
        <v>92194.896094238371</v>
      </c>
      <c r="L107" s="67">
        <f>EFEITO!$N$107*EFEITO!$AA$107</f>
        <v>267370.04545225424</v>
      </c>
      <c r="M107" s="67">
        <f ca="1">$J$107-EFEITO!$K$107*EFEITO!$Y$107</f>
        <v>0</v>
      </c>
      <c r="N107" s="67">
        <f ca="1">$K$107-EFEITO!$M$107*EFEITO!$Z$107</f>
        <v>0</v>
      </c>
      <c r="O107" s="67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8" t="s">
        <v>28</v>
      </c>
      <c r="B108" s="58" t="s">
        <v>39</v>
      </c>
      <c r="C108" s="58" t="s">
        <v>40</v>
      </c>
      <c r="D108" s="58" t="s">
        <v>45</v>
      </c>
      <c r="E108" s="58" t="s">
        <v>25</v>
      </c>
      <c r="F108" s="58" t="s">
        <v>25</v>
      </c>
      <c r="G108" s="58" t="s">
        <v>25</v>
      </c>
      <c r="H108" s="58" t="s">
        <v>35</v>
      </c>
      <c r="I108" s="66">
        <v>44562</v>
      </c>
      <c r="J108" s="67">
        <f ca="1">EFEITO!$J$108*EFEITO!$Y$108</f>
        <v>14135.186251661344</v>
      </c>
      <c r="K108" s="67">
        <f ca="1">EFEITO!$L$108*EFEITO!$Z$108</f>
        <v>21583.159312923824</v>
      </c>
      <c r="L108" s="67">
        <f>EFEITO!$N$108*EFEITO!$AA$108</f>
        <v>62592.296656000253</v>
      </c>
      <c r="M108" s="67">
        <f ca="1">$J$108-EFEITO!$K$108*EFEITO!$Y$108</f>
        <v>0</v>
      </c>
      <c r="N108" s="67">
        <f ca="1">$K$108-EFEITO!$M$108*EFEITO!$Z$108</f>
        <v>0</v>
      </c>
      <c r="O108" s="67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8" t="s">
        <v>21</v>
      </c>
      <c r="B109" s="58" t="s">
        <v>39</v>
      </c>
      <c r="C109" s="58" t="s">
        <v>40</v>
      </c>
      <c r="D109" s="58" t="s">
        <v>45</v>
      </c>
      <c r="E109" s="58" t="s">
        <v>25</v>
      </c>
      <c r="F109" s="58" t="s">
        <v>25</v>
      </c>
      <c r="G109" s="58" t="s">
        <v>25</v>
      </c>
      <c r="H109" s="58" t="s">
        <v>35</v>
      </c>
      <c r="I109" s="66">
        <v>44593</v>
      </c>
      <c r="J109" s="67">
        <f ca="1">EFEITO!$J$109*EFEITO!$Y$109</f>
        <v>90080.897579564553</v>
      </c>
      <c r="K109" s="67">
        <f ca="1">EFEITO!$L$109*EFEITO!$Z$109</f>
        <v>95422.88684493021</v>
      </c>
      <c r="L109" s="67">
        <f>EFEITO!$N$109*EFEITO!$AA$109</f>
        <v>276731.38832800015</v>
      </c>
      <c r="M109" s="67">
        <f ca="1">$J$109-EFEITO!$K$109*EFEITO!$Y$109</f>
        <v>0</v>
      </c>
      <c r="N109" s="67">
        <f ca="1">$K$109-EFEITO!$M$109*EFEITO!$Z$109</f>
        <v>0</v>
      </c>
      <c r="O109" s="67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8" t="s">
        <v>28</v>
      </c>
      <c r="B110" s="58" t="s">
        <v>39</v>
      </c>
      <c r="C110" s="58" t="s">
        <v>40</v>
      </c>
      <c r="D110" s="58" t="s">
        <v>45</v>
      </c>
      <c r="E110" s="58" t="s">
        <v>25</v>
      </c>
      <c r="F110" s="58" t="s">
        <v>25</v>
      </c>
      <c r="G110" s="58" t="s">
        <v>25</v>
      </c>
      <c r="H110" s="58" t="s">
        <v>35</v>
      </c>
      <c r="I110" s="66">
        <v>44593</v>
      </c>
      <c r="J110" s="67">
        <f ca="1">EFEITO!$J$110*EFEITO!$Y$110</f>
        <v>14572.749217728922</v>
      </c>
      <c r="K110" s="67">
        <f ca="1">EFEITO!$L$110*EFEITO!$Z$110</f>
        <v>19834.82392583102</v>
      </c>
      <c r="L110" s="67">
        <f>EFEITO!$N$110*EFEITO!$AA$110</f>
        <v>57522.032121671</v>
      </c>
      <c r="M110" s="67">
        <f ca="1">$J$110-EFEITO!$K$110*EFEITO!$Y$110</f>
        <v>0</v>
      </c>
      <c r="N110" s="67">
        <f ca="1">$K$110-EFEITO!$M$110*EFEITO!$Z$110</f>
        <v>0</v>
      </c>
      <c r="O110" s="67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8" t="s">
        <v>21</v>
      </c>
      <c r="B111" s="58" t="s">
        <v>39</v>
      </c>
      <c r="C111" s="58" t="s">
        <v>40</v>
      </c>
      <c r="D111" s="58" t="s">
        <v>45</v>
      </c>
      <c r="E111" s="58" t="s">
        <v>25</v>
      </c>
      <c r="F111" s="58" t="s">
        <v>25</v>
      </c>
      <c r="G111" s="58" t="s">
        <v>25</v>
      </c>
      <c r="H111" s="58" t="s">
        <v>35</v>
      </c>
      <c r="I111" s="66">
        <v>44621</v>
      </c>
      <c r="J111" s="67">
        <f ca="1">EFEITO!$J$111*EFEITO!$Y$111</f>
        <v>90042.848625993458</v>
      </c>
      <c r="K111" s="67">
        <f ca="1">EFEITO!$L$111*EFEITO!$Z$111</f>
        <v>104462.90257633881</v>
      </c>
      <c r="L111" s="67">
        <f>EFEITO!$N$111*EFEITO!$AA$111</f>
        <v>302947.90919185802</v>
      </c>
      <c r="M111" s="67">
        <f ca="1">$J$111-EFEITO!$K$111*EFEITO!$Y$111</f>
        <v>0</v>
      </c>
      <c r="N111" s="67">
        <f ca="1">$K$111-EFEITO!$M$111*EFEITO!$Z$111</f>
        <v>0</v>
      </c>
      <c r="O111" s="67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8" t="s">
        <v>28</v>
      </c>
      <c r="B112" s="58" t="s">
        <v>39</v>
      </c>
      <c r="C112" s="58" t="s">
        <v>40</v>
      </c>
      <c r="D112" s="58" t="s">
        <v>45</v>
      </c>
      <c r="E112" s="58" t="s">
        <v>25</v>
      </c>
      <c r="F112" s="58" t="s">
        <v>25</v>
      </c>
      <c r="G112" s="58" t="s">
        <v>25</v>
      </c>
      <c r="H112" s="58" t="s">
        <v>35</v>
      </c>
      <c r="I112" s="66">
        <v>44621</v>
      </c>
      <c r="J112" s="67">
        <f ca="1">EFEITO!$J$112*EFEITO!$Y$112</f>
        <v>13735.672239164858</v>
      </c>
      <c r="K112" s="67">
        <f ca="1">EFEITO!$L$112*EFEITO!$Z$112</f>
        <v>20717.035603787521</v>
      </c>
      <c r="L112" s="67">
        <f>EFEITO!$N$112*EFEITO!$AA$112</f>
        <v>60080.492366505307</v>
      </c>
      <c r="M112" s="67">
        <f ca="1">$J$112-EFEITO!$K$112*EFEITO!$Y$112</f>
        <v>0</v>
      </c>
      <c r="N112" s="67">
        <f ca="1">$K$112-EFEITO!$M$112*EFEITO!$Z$112</f>
        <v>0</v>
      </c>
      <c r="O112" s="67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8" t="s">
        <v>21</v>
      </c>
      <c r="B113" s="58" t="s">
        <v>39</v>
      </c>
      <c r="C113" s="58" t="s">
        <v>40</v>
      </c>
      <c r="D113" s="58" t="s">
        <v>45</v>
      </c>
      <c r="E113" s="58" t="s">
        <v>25</v>
      </c>
      <c r="F113" s="58" t="s">
        <v>25</v>
      </c>
      <c r="G113" s="58" t="s">
        <v>25</v>
      </c>
      <c r="H113" s="58" t="s">
        <v>35</v>
      </c>
      <c r="I113" s="66">
        <v>44652</v>
      </c>
      <c r="J113" s="67">
        <f ca="1">EFEITO!$J$113*EFEITO!$Y$113</f>
        <v>90042.848625993458</v>
      </c>
      <c r="K113" s="67">
        <f ca="1">EFEITO!$L$113*EFEITO!$Z$113</f>
        <v>104462.90257633881</v>
      </c>
      <c r="L113" s="67">
        <f>EFEITO!$N$113*EFEITO!$AA$113</f>
        <v>302947.90919185802</v>
      </c>
      <c r="M113" s="67">
        <f ca="1">$J$113-EFEITO!$K$113*EFEITO!$Y$113</f>
        <v>0</v>
      </c>
      <c r="N113" s="67">
        <f ca="1">$K$113-EFEITO!$M$113*EFEITO!$Z$113</f>
        <v>0</v>
      </c>
      <c r="O113" s="67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8" t="s">
        <v>28</v>
      </c>
      <c r="B114" s="58" t="s">
        <v>39</v>
      </c>
      <c r="C114" s="58" t="s">
        <v>40</v>
      </c>
      <c r="D114" s="58" t="s">
        <v>45</v>
      </c>
      <c r="E114" s="58" t="s">
        <v>25</v>
      </c>
      <c r="F114" s="58" t="s">
        <v>25</v>
      </c>
      <c r="G114" s="58" t="s">
        <v>25</v>
      </c>
      <c r="H114" s="58" t="s">
        <v>35</v>
      </c>
      <c r="I114" s="66">
        <v>44652</v>
      </c>
      <c r="J114" s="67">
        <f ca="1">EFEITO!$J$114*EFEITO!$Y$114</f>
        <v>13735.672239164858</v>
      </c>
      <c r="K114" s="67">
        <f ca="1">EFEITO!$L$114*EFEITO!$Z$114</f>
        <v>20717.035603787521</v>
      </c>
      <c r="L114" s="67">
        <f>EFEITO!$N$114*EFEITO!$AA$114</f>
        <v>60080.492366505307</v>
      </c>
      <c r="M114" s="67">
        <f ca="1">$J$114-EFEITO!$K$114*EFEITO!$Y$114</f>
        <v>0</v>
      </c>
      <c r="N114" s="67">
        <f ca="1">$K$114-EFEITO!$M$114*EFEITO!$Z$114</f>
        <v>0</v>
      </c>
      <c r="O114" s="67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8" t="s">
        <v>21</v>
      </c>
      <c r="B115" s="58" t="s">
        <v>39</v>
      </c>
      <c r="C115" s="58" t="s">
        <v>40</v>
      </c>
      <c r="D115" s="58" t="s">
        <v>45</v>
      </c>
      <c r="E115" s="58" t="s">
        <v>25</v>
      </c>
      <c r="F115" s="58" t="s">
        <v>25</v>
      </c>
      <c r="G115" s="58" t="s">
        <v>25</v>
      </c>
      <c r="H115" s="58" t="s">
        <v>35</v>
      </c>
      <c r="I115" s="66">
        <v>44682</v>
      </c>
      <c r="J115" s="67">
        <f ca="1">EFEITO!$J$115*EFEITO!$Y$115</f>
        <v>90042.848625993458</v>
      </c>
      <c r="K115" s="67">
        <f ca="1">EFEITO!$L$115*EFEITO!$Z$115</f>
        <v>89962.389455032986</v>
      </c>
      <c r="L115" s="67">
        <f>EFEITO!$N$115*EFEITO!$AA$115</f>
        <v>260895.65883342593</v>
      </c>
      <c r="M115" s="67">
        <f ca="1">$J$115-EFEITO!$K$115*EFEITO!$Y$115</f>
        <v>0</v>
      </c>
      <c r="N115" s="67">
        <f ca="1">$K$115-EFEITO!$M$115*EFEITO!$Z$115</f>
        <v>0</v>
      </c>
      <c r="O115" s="67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8" t="s">
        <v>28</v>
      </c>
      <c r="B116" s="58" t="s">
        <v>39</v>
      </c>
      <c r="C116" s="58" t="s">
        <v>40</v>
      </c>
      <c r="D116" s="58" t="s">
        <v>45</v>
      </c>
      <c r="E116" s="58" t="s">
        <v>25</v>
      </c>
      <c r="F116" s="58" t="s">
        <v>25</v>
      </c>
      <c r="G116" s="58" t="s">
        <v>25</v>
      </c>
      <c r="H116" s="58" t="s">
        <v>35</v>
      </c>
      <c r="I116" s="66">
        <v>44682</v>
      </c>
      <c r="J116" s="67">
        <f ca="1">EFEITO!$J$116*EFEITO!$Y$116</f>
        <v>18035.203992698458</v>
      </c>
      <c r="K116" s="67">
        <f ca="1">EFEITO!$L$116*EFEITO!$Z$116</f>
        <v>7040.6204771489174</v>
      </c>
      <c r="L116" s="67">
        <f>EFEITO!$N$116*EFEITO!$AA$116</f>
        <v>20418.169516273472</v>
      </c>
      <c r="M116" s="67">
        <f ca="1">$J$116-EFEITO!$K$116*EFEITO!$Y$116</f>
        <v>0</v>
      </c>
      <c r="N116" s="67">
        <f ca="1">$K$116-EFEITO!$M$116*EFEITO!$Z$116</f>
        <v>0</v>
      </c>
      <c r="O116" s="67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8" t="s">
        <v>21</v>
      </c>
      <c r="B117" s="58" t="s">
        <v>39</v>
      </c>
      <c r="C117" s="58" t="s">
        <v>40</v>
      </c>
      <c r="D117" s="58" t="s">
        <v>45</v>
      </c>
      <c r="E117" s="58" t="s">
        <v>25</v>
      </c>
      <c r="F117" s="58" t="s">
        <v>25</v>
      </c>
      <c r="G117" s="58" t="s">
        <v>25</v>
      </c>
      <c r="H117" s="58" t="s">
        <v>35</v>
      </c>
      <c r="I117" s="66">
        <v>44713</v>
      </c>
      <c r="J117" s="67">
        <f ca="1">EFEITO!$J$117*EFEITO!$Y$117</f>
        <v>90042.848625993458</v>
      </c>
      <c r="K117" s="67">
        <f ca="1">EFEITO!$L$117*EFEITO!$Z$117</f>
        <v>87847.751811877621</v>
      </c>
      <c r="L117" s="67">
        <f>EFEITO!$N$117*EFEITO!$AA$117</f>
        <v>254763.09849963503</v>
      </c>
      <c r="M117" s="67">
        <f ca="1">$J$117-EFEITO!$K$117*EFEITO!$Y$117</f>
        <v>0</v>
      </c>
      <c r="N117" s="67">
        <f ca="1">$K$117-EFEITO!$M$117*EFEITO!$Z$117</f>
        <v>0</v>
      </c>
      <c r="O117" s="67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8" t="s">
        <v>28</v>
      </c>
      <c r="B118" s="58" t="s">
        <v>39</v>
      </c>
      <c r="C118" s="58" t="s">
        <v>40</v>
      </c>
      <c r="D118" s="58" t="s">
        <v>45</v>
      </c>
      <c r="E118" s="58" t="s">
        <v>25</v>
      </c>
      <c r="F118" s="58" t="s">
        <v>25</v>
      </c>
      <c r="G118" s="58" t="s">
        <v>25</v>
      </c>
      <c r="H118" s="58" t="s">
        <v>35</v>
      </c>
      <c r="I118" s="66">
        <v>44713</v>
      </c>
      <c r="J118" s="67">
        <f ca="1">EFEITO!$J$118*EFEITO!$Y$118</f>
        <v>4508.8009981746145</v>
      </c>
      <c r="K118" s="67">
        <f ca="1">EFEITO!$L$118*EFEITO!$Z$118</f>
        <v>1740.6744495593723</v>
      </c>
      <c r="L118" s="67">
        <f>EFEITO!$N$118*EFEITO!$AA$118</f>
        <v>5048.0474127390662</v>
      </c>
      <c r="M118" s="67">
        <f ca="1">$J$118-EFEITO!$K$118*EFEITO!$Y$118</f>
        <v>0</v>
      </c>
      <c r="N118" s="67">
        <f ca="1">$K$118-EFEITO!$M$118*EFEITO!$Z$118</f>
        <v>0</v>
      </c>
      <c r="O118" s="67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8" t="s">
        <v>21</v>
      </c>
      <c r="B119" s="58" t="s">
        <v>39</v>
      </c>
      <c r="C119" s="58" t="s">
        <v>40</v>
      </c>
      <c r="D119" s="58" t="s">
        <v>45</v>
      </c>
      <c r="E119" s="58" t="s">
        <v>25</v>
      </c>
      <c r="F119" s="58" t="s">
        <v>25</v>
      </c>
      <c r="G119" s="58" t="s">
        <v>25</v>
      </c>
      <c r="H119" s="58" t="s">
        <v>35</v>
      </c>
      <c r="I119" s="66">
        <v>44743</v>
      </c>
      <c r="J119" s="67">
        <f ca="1">EFEITO!$J$119*EFEITO!$Y$119</f>
        <v>90042.848625993458</v>
      </c>
      <c r="K119" s="67">
        <f ca="1">EFEITO!$L$119*EFEITO!$Z$119</f>
        <v>100853.17825255278</v>
      </c>
      <c r="L119" s="67">
        <f>EFEITO!$N$119*EFEITO!$AA$119</f>
        <v>292479.51888601884</v>
      </c>
      <c r="M119" s="67">
        <f ca="1">$J$119-EFEITO!$K$119*EFEITO!$Y$119</f>
        <v>0</v>
      </c>
      <c r="N119" s="67">
        <f ca="1">$K$119-EFEITO!$M$119*EFEITO!$Z$119</f>
        <v>0</v>
      </c>
      <c r="O119" s="67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8" t="s">
        <v>28</v>
      </c>
      <c r="B120" s="58" t="s">
        <v>39</v>
      </c>
      <c r="C120" s="58" t="s">
        <v>40</v>
      </c>
      <c r="D120" s="58" t="s">
        <v>45</v>
      </c>
      <c r="E120" s="58" t="s">
        <v>25</v>
      </c>
      <c r="F120" s="58" t="s">
        <v>25</v>
      </c>
      <c r="G120" s="58" t="s">
        <v>25</v>
      </c>
      <c r="H120" s="58" t="s">
        <v>35</v>
      </c>
      <c r="I120" s="66">
        <v>44743</v>
      </c>
      <c r="J120" s="67">
        <f ca="1">EFEITO!$J$120*EFEITO!$Y$120</f>
        <v>4508.8009981746145</v>
      </c>
      <c r="K120" s="67">
        <f ca="1">EFEITO!$L$120*EFEITO!$Z$120</f>
        <v>1864.7816376008896</v>
      </c>
      <c r="L120" s="67">
        <f>EFEITO!$N$120*EFEITO!$AA$120</f>
        <v>5407.9647824999029</v>
      </c>
      <c r="M120" s="67">
        <f ca="1">$J$120-EFEITO!$K$120*EFEITO!$Y$120</f>
        <v>0</v>
      </c>
      <c r="N120" s="67">
        <f ca="1">$K$120-EFEITO!$M$120*EFEITO!$Z$120</f>
        <v>0</v>
      </c>
      <c r="O120" s="67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8" t="s">
        <v>21</v>
      </c>
      <c r="B121" s="58" t="s">
        <v>39</v>
      </c>
      <c r="C121" s="58" t="s">
        <v>40</v>
      </c>
      <c r="D121" s="58" t="s">
        <v>45</v>
      </c>
      <c r="E121" s="58" t="s">
        <v>25</v>
      </c>
      <c r="F121" s="58" t="s">
        <v>25</v>
      </c>
      <c r="G121" s="58" t="s">
        <v>25</v>
      </c>
      <c r="H121" s="58" t="s">
        <v>35</v>
      </c>
      <c r="I121" s="66">
        <v>44774</v>
      </c>
      <c r="J121" s="67">
        <f ca="1">EFEITO!$J$121*EFEITO!$Y$121</f>
        <v>90195.044440277823</v>
      </c>
      <c r="K121" s="67">
        <f ca="1">EFEITO!$L$121*EFEITO!$Z$121</f>
        <v>109092.84489564778</v>
      </c>
      <c r="L121" s="67">
        <f>EFEITO!$N$121*EFEITO!$AA$121</f>
        <v>316374.98531860596</v>
      </c>
      <c r="M121" s="67">
        <f ca="1">$J$121-EFEITO!$K$121*EFEITO!$Y$121</f>
        <v>0</v>
      </c>
      <c r="N121" s="67">
        <f ca="1">$K$121-EFEITO!$M$121*EFEITO!$Z$121</f>
        <v>0</v>
      </c>
      <c r="O121" s="67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8" t="s">
        <v>28</v>
      </c>
      <c r="B122" s="58" t="s">
        <v>39</v>
      </c>
      <c r="C122" s="58" t="s">
        <v>40</v>
      </c>
      <c r="D122" s="58" t="s">
        <v>45</v>
      </c>
      <c r="E122" s="58" t="s">
        <v>25</v>
      </c>
      <c r="F122" s="58" t="s">
        <v>25</v>
      </c>
      <c r="G122" s="58" t="s">
        <v>25</v>
      </c>
      <c r="H122" s="58" t="s">
        <v>35</v>
      </c>
      <c r="I122" s="66">
        <v>44774</v>
      </c>
      <c r="J122" s="67">
        <f ca="1">EFEITO!$J$122*EFEITO!$Y$122</f>
        <v>4508.8009981746145</v>
      </c>
      <c r="K122" s="67">
        <f ca="1">EFEITO!$L$122*EFEITO!$Z$122</f>
        <v>1984.9489149109297</v>
      </c>
      <c r="L122" s="67">
        <f>EFEITO!$N$122*EFEITO!$AA$122</f>
        <v>5756.4562040143628</v>
      </c>
      <c r="M122" s="67">
        <f ca="1">$J$122-EFEITO!$K$122*EFEITO!$Y$122</f>
        <v>0</v>
      </c>
      <c r="N122" s="67">
        <f ca="1">$K$122-EFEITO!$M$122*EFEITO!$Z$122</f>
        <v>0</v>
      </c>
      <c r="O122" s="67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8" t="s">
        <v>21</v>
      </c>
      <c r="B123" s="58" t="s">
        <v>39</v>
      </c>
      <c r="C123" s="58" t="s">
        <v>40</v>
      </c>
      <c r="D123" s="58" t="s">
        <v>45</v>
      </c>
      <c r="E123" s="58" t="s">
        <v>25</v>
      </c>
      <c r="F123" s="58" t="s">
        <v>25</v>
      </c>
      <c r="G123" s="58" t="s">
        <v>25</v>
      </c>
      <c r="H123" s="58" t="s">
        <v>35</v>
      </c>
      <c r="I123" s="66">
        <v>44805</v>
      </c>
      <c r="J123" s="67">
        <f ca="1">EFEITO!$J$123*EFEITO!$Y$123</f>
        <v>90214.06891706337</v>
      </c>
      <c r="K123" s="67">
        <f ca="1">EFEITO!$L$123*EFEITO!$Z$123</f>
        <v>114458.45610209527</v>
      </c>
      <c r="L123" s="67">
        <f>EFEITO!$N$123*EFEITO!$AA$123</f>
        <v>331935.53989291331</v>
      </c>
      <c r="M123" s="67">
        <f ca="1">$J$123-EFEITO!$K$123*EFEITO!$Y$123</f>
        <v>0</v>
      </c>
      <c r="N123" s="67">
        <f ca="1">$K$123-EFEITO!$M$123*EFEITO!$Z$123</f>
        <v>0</v>
      </c>
      <c r="O123" s="67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8" t="s">
        <v>28</v>
      </c>
      <c r="B124" s="58" t="s">
        <v>39</v>
      </c>
      <c r="C124" s="58" t="s">
        <v>40</v>
      </c>
      <c r="D124" s="58" t="s">
        <v>45</v>
      </c>
      <c r="E124" s="58" t="s">
        <v>25</v>
      </c>
      <c r="F124" s="58" t="s">
        <v>25</v>
      </c>
      <c r="G124" s="58" t="s">
        <v>25</v>
      </c>
      <c r="H124" s="58" t="s">
        <v>35</v>
      </c>
      <c r="I124" s="66">
        <v>44805</v>
      </c>
      <c r="J124" s="67">
        <f ca="1">EFEITO!$J$124*EFEITO!$Y$124</f>
        <v>4508.8009981746145</v>
      </c>
      <c r="K124" s="67">
        <f ca="1">EFEITO!$L$124*EFEITO!$Z$124</f>
        <v>1840.1571955291597</v>
      </c>
      <c r="L124" s="67">
        <f>EFEITO!$N$124*EFEITO!$AA$124</f>
        <v>5336.5526059600534</v>
      </c>
      <c r="M124" s="67">
        <f ca="1">$J$124-EFEITO!$K$124*EFEITO!$Y$124</f>
        <v>0</v>
      </c>
      <c r="N124" s="67">
        <f ca="1">$K$124-EFEITO!$M$124*EFEITO!$Z$124</f>
        <v>0</v>
      </c>
      <c r="O124" s="67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8" t="s">
        <v>55</v>
      </c>
      <c r="B125" s="58" t="s">
        <v>39</v>
      </c>
      <c r="C125" s="58" t="s">
        <v>40</v>
      </c>
      <c r="D125" s="58" t="s">
        <v>45</v>
      </c>
      <c r="E125" s="58" t="s">
        <v>25</v>
      </c>
      <c r="F125" s="58" t="s">
        <v>25</v>
      </c>
      <c r="G125" s="58" t="s">
        <v>25</v>
      </c>
      <c r="H125" s="58" t="s">
        <v>35</v>
      </c>
      <c r="I125" s="66">
        <v>44835</v>
      </c>
      <c r="J125" s="67">
        <f ca="1">EFEITO!$J$125*EFEITO!$Y$125</f>
        <v>90214.06891706337</v>
      </c>
      <c r="K125" s="67">
        <f ca="1">EFEITO!$L$125*EFEITO!$Z$125</f>
        <v>114458.45610209527</v>
      </c>
      <c r="L125" s="67">
        <f>EFEITO!$N$125*EFEITO!$AA$125</f>
        <v>331935.53989291331</v>
      </c>
      <c r="M125" s="67">
        <f ca="1">$J$125-EFEITO!$K$125*EFEITO!$Y$125</f>
        <v>0</v>
      </c>
      <c r="N125" s="67">
        <f ca="1">$K$125-EFEITO!$M$125*EFEITO!$Z$125</f>
        <v>0</v>
      </c>
      <c r="O125" s="67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8" t="s">
        <v>55</v>
      </c>
      <c r="B126" s="58" t="s">
        <v>39</v>
      </c>
      <c r="C126" s="58" t="s">
        <v>40</v>
      </c>
      <c r="D126" s="58" t="s">
        <v>45</v>
      </c>
      <c r="E126" s="58" t="s">
        <v>25</v>
      </c>
      <c r="F126" s="58" t="s">
        <v>25</v>
      </c>
      <c r="G126" s="58" t="s">
        <v>25</v>
      </c>
      <c r="H126" s="58" t="s">
        <v>35</v>
      </c>
      <c r="I126" s="66">
        <v>44835</v>
      </c>
      <c r="J126" s="67">
        <f ca="1">EFEITO!$J$126*EFEITO!$Y$126</f>
        <v>4508.8009981746145</v>
      </c>
      <c r="K126" s="67">
        <f ca="1">EFEITO!$L$126*EFEITO!$Z$126</f>
        <v>1840.1571955291597</v>
      </c>
      <c r="L126" s="67">
        <f>EFEITO!$N$126*EFEITO!$AA$126</f>
        <v>5336.5526059600534</v>
      </c>
      <c r="M126" s="67">
        <f ca="1">$J$126-EFEITO!$K$126*EFEITO!$Y$126</f>
        <v>0</v>
      </c>
      <c r="N126" s="67">
        <f ca="1">$K$126-EFEITO!$M$126*EFEITO!$Z$126</f>
        <v>0</v>
      </c>
      <c r="O126" s="67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8" t="s">
        <v>21</v>
      </c>
      <c r="B127" s="58" t="s">
        <v>39</v>
      </c>
      <c r="C127" s="58" t="s">
        <v>40</v>
      </c>
      <c r="D127" s="58" t="s">
        <v>45</v>
      </c>
      <c r="E127" s="58" t="s">
        <v>25</v>
      </c>
      <c r="F127" s="58" t="s">
        <v>25</v>
      </c>
      <c r="G127" s="58" t="s">
        <v>25</v>
      </c>
      <c r="H127" s="58" t="s">
        <v>34</v>
      </c>
      <c r="I127" s="66">
        <v>44501</v>
      </c>
      <c r="J127" s="67">
        <f ca="1">EFEITO!$J$127*EFEITO!$Y$127</f>
        <v>133479.35124756504</v>
      </c>
      <c r="K127" s="67">
        <f ca="1">EFEITO!$L$127*EFEITO!$Z$127</f>
        <v>7876.4287620458008</v>
      </c>
      <c r="L127" s="67">
        <f>EFEITO!$N$127*EFEITO!$AA$127</f>
        <v>39067.95041902997</v>
      </c>
      <c r="M127" s="67">
        <f ca="1">$J$127-EFEITO!$K$127*EFEITO!$Y$127</f>
        <v>0</v>
      </c>
      <c r="N127" s="67">
        <f ca="1">$K$127-EFEITO!$M$127*EFEITO!$Z$127</f>
        <v>0</v>
      </c>
      <c r="O127" s="67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8" t="s">
        <v>27</v>
      </c>
      <c r="B128" s="58" t="s">
        <v>39</v>
      </c>
      <c r="C128" s="58" t="s">
        <v>40</v>
      </c>
      <c r="D128" s="58" t="s">
        <v>45</v>
      </c>
      <c r="E128" s="58" t="s">
        <v>25</v>
      </c>
      <c r="F128" s="58" t="s">
        <v>25</v>
      </c>
      <c r="G128" s="58" t="s">
        <v>25</v>
      </c>
      <c r="H128" s="58" t="s">
        <v>34</v>
      </c>
      <c r="I128" s="66">
        <v>44501</v>
      </c>
      <c r="J128" s="67">
        <f ca="1">EFEITO!$J$128*EFEITO!$Y$128</f>
        <v>-63542.565414259996</v>
      </c>
      <c r="K128" s="67">
        <f ca="1">EFEITO!$L$128*EFEITO!$Z$128</f>
        <v>0</v>
      </c>
      <c r="L128" s="67">
        <f>EFEITO!$N$128*EFEITO!$AA$128</f>
        <v>0</v>
      </c>
      <c r="M128" s="67">
        <f ca="1">$J$128-EFEITO!$K$128*EFEITO!$Y$128</f>
        <v>0</v>
      </c>
      <c r="N128" s="67">
        <f ca="1">$K$128-EFEITO!$M$128*EFEITO!$Z$128</f>
        <v>0</v>
      </c>
      <c r="O128" s="67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8" t="s">
        <v>28</v>
      </c>
      <c r="B129" s="58" t="s">
        <v>39</v>
      </c>
      <c r="C129" s="58" t="s">
        <v>40</v>
      </c>
      <c r="D129" s="58" t="s">
        <v>45</v>
      </c>
      <c r="E129" s="58" t="s">
        <v>25</v>
      </c>
      <c r="F129" s="58" t="s">
        <v>25</v>
      </c>
      <c r="G129" s="58" t="s">
        <v>25</v>
      </c>
      <c r="H129" s="58" t="s">
        <v>34</v>
      </c>
      <c r="I129" s="66">
        <v>44501</v>
      </c>
      <c r="J129" s="67">
        <f ca="1">EFEITO!$J$129*EFEITO!$Y$129</f>
        <v>22950.684004072344</v>
      </c>
      <c r="K129" s="67">
        <f ca="1">EFEITO!$L$129*EFEITO!$Z$129</f>
        <v>1908.0112136823702</v>
      </c>
      <c r="L129" s="67">
        <f>EFEITO!$N$129*EFEITO!$AA$129</f>
        <v>9463.9448596669208</v>
      </c>
      <c r="M129" s="67">
        <f ca="1">$J$129-EFEITO!$K$129*EFEITO!$Y$129</f>
        <v>0</v>
      </c>
      <c r="N129" s="67">
        <f ca="1">$K$129-EFEITO!$M$129*EFEITO!$Z$129</f>
        <v>0</v>
      </c>
      <c r="O129" s="67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8" t="s">
        <v>21</v>
      </c>
      <c r="B130" s="58" t="s">
        <v>39</v>
      </c>
      <c r="C130" s="58" t="s">
        <v>40</v>
      </c>
      <c r="D130" s="58" t="s">
        <v>45</v>
      </c>
      <c r="E130" s="58" t="s">
        <v>25</v>
      </c>
      <c r="F130" s="58" t="s">
        <v>25</v>
      </c>
      <c r="G130" s="58" t="s">
        <v>25</v>
      </c>
      <c r="H130" s="58" t="s">
        <v>34</v>
      </c>
      <c r="I130" s="66">
        <v>44531</v>
      </c>
      <c r="J130" s="67">
        <f ca="1">EFEITO!$J$130*EFEITO!$Y$130</f>
        <v>131595.33987409642</v>
      </c>
      <c r="K130" s="67">
        <f ca="1">EFEITO!$L$130*EFEITO!$Z$130</f>
        <v>8239.1194332711875</v>
      </c>
      <c r="L130" s="67">
        <f>EFEITO!$N$130*EFEITO!$AA$130</f>
        <v>40866.93592235315</v>
      </c>
      <c r="M130" s="67">
        <f ca="1">$J$130-EFEITO!$K$130*EFEITO!$Y$130</f>
        <v>0</v>
      </c>
      <c r="N130" s="67">
        <f ca="1">$K$130-EFEITO!$M$130*EFEITO!$Z$130</f>
        <v>0</v>
      </c>
      <c r="O130" s="67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8" t="s">
        <v>28</v>
      </c>
      <c r="B131" s="58" t="s">
        <v>39</v>
      </c>
      <c r="C131" s="58" t="s">
        <v>40</v>
      </c>
      <c r="D131" s="58" t="s">
        <v>45</v>
      </c>
      <c r="E131" s="58" t="s">
        <v>25</v>
      </c>
      <c r="F131" s="58" t="s">
        <v>25</v>
      </c>
      <c r="G131" s="58" t="s">
        <v>25</v>
      </c>
      <c r="H131" s="58" t="s">
        <v>34</v>
      </c>
      <c r="I131" s="66">
        <v>44531</v>
      </c>
      <c r="J131" s="67">
        <f ca="1">EFEITO!$J$131*EFEITO!$Y$131</f>
        <v>23293.231526521187</v>
      </c>
      <c r="K131" s="67">
        <f ca="1">EFEITO!$L$131*EFEITO!$Z$131</f>
        <v>2108.7277770581572</v>
      </c>
      <c r="L131" s="67">
        <f>EFEITO!$N$131*EFEITO!$AA$131</f>
        <v>10459.521025356329</v>
      </c>
      <c r="M131" s="67">
        <f ca="1">$J$131-EFEITO!$K$131*EFEITO!$Y$131</f>
        <v>0</v>
      </c>
      <c r="N131" s="67">
        <f ca="1">$K$131-EFEITO!$M$131*EFEITO!$Z$131</f>
        <v>0</v>
      </c>
      <c r="O131" s="67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8" t="s">
        <v>21</v>
      </c>
      <c r="B132" s="58" t="s">
        <v>39</v>
      </c>
      <c r="C132" s="58" t="s">
        <v>40</v>
      </c>
      <c r="D132" s="58" t="s">
        <v>45</v>
      </c>
      <c r="E132" s="58" t="s">
        <v>25</v>
      </c>
      <c r="F132" s="58" t="s">
        <v>25</v>
      </c>
      <c r="G132" s="58" t="s">
        <v>25</v>
      </c>
      <c r="H132" s="58" t="s">
        <v>34</v>
      </c>
      <c r="I132" s="66">
        <v>44562</v>
      </c>
      <c r="J132" s="67">
        <f ca="1">EFEITO!$J$132*EFEITO!$Y$132</f>
        <v>180294.1793155733</v>
      </c>
      <c r="K132" s="67">
        <f ca="1">EFEITO!$L$132*EFEITO!$Z$132</f>
        <v>8104.2869326828722</v>
      </c>
      <c r="L132" s="67">
        <f>EFEITO!$N$132*EFEITO!$AA$132</f>
        <v>40198.151933187743</v>
      </c>
      <c r="M132" s="67">
        <f ca="1">$J$132-EFEITO!$K$132*EFEITO!$Y$132</f>
        <v>0</v>
      </c>
      <c r="N132" s="67">
        <f ca="1">$K$132-EFEITO!$M$132*EFEITO!$Z$132</f>
        <v>0</v>
      </c>
      <c r="O132" s="67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8" t="s">
        <v>28</v>
      </c>
      <c r="B133" s="58" t="s">
        <v>39</v>
      </c>
      <c r="C133" s="58" t="s">
        <v>40</v>
      </c>
      <c r="D133" s="58" t="s">
        <v>45</v>
      </c>
      <c r="E133" s="58" t="s">
        <v>25</v>
      </c>
      <c r="F133" s="58" t="s">
        <v>25</v>
      </c>
      <c r="G133" s="58" t="s">
        <v>25</v>
      </c>
      <c r="H133" s="58" t="s">
        <v>34</v>
      </c>
      <c r="I133" s="66">
        <v>44562</v>
      </c>
      <c r="J133" s="67">
        <f ca="1">EFEITO!$J$133*EFEITO!$Y$133</f>
        <v>24720.512870058024</v>
      </c>
      <c r="K133" s="67">
        <f ca="1">EFEITO!$L$133*EFEITO!$Z$133</f>
        <v>2040.3265490811305</v>
      </c>
      <c r="L133" s="67">
        <f>EFEITO!$N$133*EFEITO!$AA$133</f>
        <v>10120.243433450178</v>
      </c>
      <c r="M133" s="67">
        <f ca="1">$J$133-EFEITO!$K$133*EFEITO!$Y$133</f>
        <v>0</v>
      </c>
      <c r="N133" s="67">
        <f ca="1">$K$133-EFEITO!$M$133*EFEITO!$Z$133</f>
        <v>0</v>
      </c>
      <c r="O133" s="67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8" t="s">
        <v>21</v>
      </c>
      <c r="B134" s="58" t="s">
        <v>39</v>
      </c>
      <c r="C134" s="58" t="s">
        <v>40</v>
      </c>
      <c r="D134" s="58" t="s">
        <v>45</v>
      </c>
      <c r="E134" s="58" t="s">
        <v>25</v>
      </c>
      <c r="F134" s="58" t="s">
        <v>25</v>
      </c>
      <c r="G134" s="58" t="s">
        <v>25</v>
      </c>
      <c r="H134" s="58" t="s">
        <v>34</v>
      </c>
      <c r="I134" s="66">
        <v>44593</v>
      </c>
      <c r="J134" s="67">
        <f ca="1">EFEITO!$J$134*EFEITO!$Y$134</f>
        <v>180237.08806183183</v>
      </c>
      <c r="K134" s="67">
        <f ca="1">EFEITO!$L$134*EFEITO!$Z$134</f>
        <v>8528.0462202461476</v>
      </c>
      <c r="L134" s="67">
        <f>EFEITO!$N$134*EFEITO!$AA$134</f>
        <v>42300.044470564724</v>
      </c>
      <c r="M134" s="67">
        <f ca="1">$J$134-EFEITO!$K$134*EFEITO!$Y$134</f>
        <v>0</v>
      </c>
      <c r="N134" s="67">
        <f ca="1">$K$134-EFEITO!$M$134*EFEITO!$Z$134</f>
        <v>0</v>
      </c>
      <c r="O134" s="67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8" t="s">
        <v>28</v>
      </c>
      <c r="B135" s="58" t="s">
        <v>39</v>
      </c>
      <c r="C135" s="58" t="s">
        <v>40</v>
      </c>
      <c r="D135" s="58" t="s">
        <v>45</v>
      </c>
      <c r="E135" s="58" t="s">
        <v>25</v>
      </c>
      <c r="F135" s="58" t="s">
        <v>25</v>
      </c>
      <c r="G135" s="58" t="s">
        <v>25</v>
      </c>
      <c r="H135" s="58" t="s">
        <v>34</v>
      </c>
      <c r="I135" s="66">
        <v>44593</v>
      </c>
      <c r="J135" s="67">
        <f ca="1">EFEITO!$J$135*EFEITO!$Y$135</f>
        <v>25063.060392506864</v>
      </c>
      <c r="K135" s="67">
        <f ca="1">EFEITO!$L$135*EFEITO!$Z$135</f>
        <v>1957.4789817553558</v>
      </c>
      <c r="L135" s="67">
        <f>EFEITO!$N$135*EFEITO!$AA$135</f>
        <v>9709.3104141334479</v>
      </c>
      <c r="M135" s="67">
        <f ca="1">$J$135-EFEITO!$K$135*EFEITO!$Y$135</f>
        <v>0</v>
      </c>
      <c r="N135" s="67">
        <f ca="1">$K$135-EFEITO!$M$135*EFEITO!$Z$135</f>
        <v>0</v>
      </c>
      <c r="O135" s="67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8" t="s">
        <v>21</v>
      </c>
      <c r="B136" s="58" t="s">
        <v>39</v>
      </c>
      <c r="C136" s="58" t="s">
        <v>40</v>
      </c>
      <c r="D136" s="58" t="s">
        <v>45</v>
      </c>
      <c r="E136" s="58" t="s">
        <v>25</v>
      </c>
      <c r="F136" s="58" t="s">
        <v>25</v>
      </c>
      <c r="G136" s="58" t="s">
        <v>25</v>
      </c>
      <c r="H136" s="58" t="s">
        <v>34</v>
      </c>
      <c r="I136" s="66">
        <v>44621</v>
      </c>
      <c r="J136" s="67">
        <f ca="1">EFEITO!$J$136*EFEITO!$Y$136</f>
        <v>180179.99680809033</v>
      </c>
      <c r="K136" s="67">
        <f ca="1">EFEITO!$L$136*EFEITO!$Z$136</f>
        <v>9386.6184338137846</v>
      </c>
      <c r="L136" s="67">
        <f>EFEITO!$N$136*EFEITO!$AA$136</f>
        <v>46558.656804170729</v>
      </c>
      <c r="M136" s="67">
        <f ca="1">$J$136-EFEITO!$K$136*EFEITO!$Y$136</f>
        <v>0</v>
      </c>
      <c r="N136" s="67">
        <f ca="1">$K$136-EFEITO!$M$136*EFEITO!$Z$136</f>
        <v>0</v>
      </c>
      <c r="O136" s="67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8" t="s">
        <v>28</v>
      </c>
      <c r="B137" s="58" t="s">
        <v>39</v>
      </c>
      <c r="C137" s="58" t="s">
        <v>40</v>
      </c>
      <c r="D137" s="58" t="s">
        <v>45</v>
      </c>
      <c r="E137" s="58" t="s">
        <v>25</v>
      </c>
      <c r="F137" s="58" t="s">
        <v>25</v>
      </c>
      <c r="G137" s="58" t="s">
        <v>25</v>
      </c>
      <c r="H137" s="58" t="s">
        <v>34</v>
      </c>
      <c r="I137" s="66">
        <v>44621</v>
      </c>
      <c r="J137" s="67">
        <f ca="1">EFEITO!$J$137*EFEITO!$Y$137</f>
        <v>24263.782840126234</v>
      </c>
      <c r="K137" s="67">
        <f ca="1">EFEITO!$L$137*EFEITO!$Z$137</f>
        <v>2010.9961025245814</v>
      </c>
      <c r="L137" s="67">
        <f>EFEITO!$N$137*EFEITO!$AA$137</f>
        <v>9974.7612020408196</v>
      </c>
      <c r="M137" s="67">
        <f ca="1">$J$137-EFEITO!$K$137*EFEITO!$Y$137</f>
        <v>0</v>
      </c>
      <c r="N137" s="67">
        <f ca="1">$K$137-EFEITO!$M$137*EFEITO!$Z$137</f>
        <v>0</v>
      </c>
      <c r="O137" s="67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8" t="s">
        <v>21</v>
      </c>
      <c r="B138" s="58" t="s">
        <v>39</v>
      </c>
      <c r="C138" s="58" t="s">
        <v>40</v>
      </c>
      <c r="D138" s="58" t="s">
        <v>45</v>
      </c>
      <c r="E138" s="58" t="s">
        <v>25</v>
      </c>
      <c r="F138" s="58" t="s">
        <v>25</v>
      </c>
      <c r="G138" s="58" t="s">
        <v>25</v>
      </c>
      <c r="H138" s="58" t="s">
        <v>34</v>
      </c>
      <c r="I138" s="66">
        <v>44652</v>
      </c>
      <c r="J138" s="67">
        <f ca="1">EFEITO!$J$138*EFEITO!$Y$138</f>
        <v>180179.99680809033</v>
      </c>
      <c r="K138" s="67">
        <f ca="1">EFEITO!$L$138*EFEITO!$Z$138</f>
        <v>9386.6184338137846</v>
      </c>
      <c r="L138" s="67">
        <f>EFEITO!$N$138*EFEITO!$AA$138</f>
        <v>46558.656804170729</v>
      </c>
      <c r="M138" s="67">
        <f ca="1">$J$138-EFEITO!$K$138*EFEITO!$Y$138</f>
        <v>0</v>
      </c>
      <c r="N138" s="67">
        <f ca="1">$K$138-EFEITO!$M$138*EFEITO!$Z$138</f>
        <v>0</v>
      </c>
      <c r="O138" s="67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8" t="s">
        <v>28</v>
      </c>
      <c r="B139" s="58" t="s">
        <v>39</v>
      </c>
      <c r="C139" s="58" t="s">
        <v>40</v>
      </c>
      <c r="D139" s="58" t="s">
        <v>45</v>
      </c>
      <c r="E139" s="58" t="s">
        <v>25</v>
      </c>
      <c r="F139" s="58" t="s">
        <v>25</v>
      </c>
      <c r="G139" s="58" t="s">
        <v>25</v>
      </c>
      <c r="H139" s="58" t="s">
        <v>34</v>
      </c>
      <c r="I139" s="66">
        <v>44652</v>
      </c>
      <c r="J139" s="67">
        <f ca="1">EFEITO!$J$139*EFEITO!$Y$139</f>
        <v>24263.782840126234</v>
      </c>
      <c r="K139" s="67">
        <f ca="1">EFEITO!$L$139*EFEITO!$Z$139</f>
        <v>2010.9961025245814</v>
      </c>
      <c r="L139" s="67">
        <f>EFEITO!$N$139*EFEITO!$AA$139</f>
        <v>9974.7612020408196</v>
      </c>
      <c r="M139" s="67">
        <f ca="1">$J$139-EFEITO!$K$139*EFEITO!$Y$139</f>
        <v>0</v>
      </c>
      <c r="N139" s="67">
        <f ca="1">$K$139-EFEITO!$M$139*EFEITO!$Z$139</f>
        <v>0</v>
      </c>
      <c r="O139" s="67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8" t="s">
        <v>21</v>
      </c>
      <c r="B140" s="58" t="s">
        <v>39</v>
      </c>
      <c r="C140" s="58" t="s">
        <v>40</v>
      </c>
      <c r="D140" s="58" t="s">
        <v>45</v>
      </c>
      <c r="E140" s="58" t="s">
        <v>25</v>
      </c>
      <c r="F140" s="58" t="s">
        <v>25</v>
      </c>
      <c r="G140" s="58" t="s">
        <v>25</v>
      </c>
      <c r="H140" s="58" t="s">
        <v>34</v>
      </c>
      <c r="I140" s="66">
        <v>44682</v>
      </c>
      <c r="J140" s="67">
        <f ca="1">EFEITO!$J$140*EFEITO!$Y$140</f>
        <v>176354.88280741163</v>
      </c>
      <c r="K140" s="67">
        <f ca="1">EFEITO!$L$140*EFEITO!$Z$140</f>
        <v>8049.6753922660146</v>
      </c>
      <c r="L140" s="67">
        <f>EFEITO!$N$140*EFEITO!$AA$140</f>
        <v>39927.272703809875</v>
      </c>
      <c r="M140" s="67">
        <f ca="1">$J$140-EFEITO!$K$140*EFEITO!$Y$140</f>
        <v>0</v>
      </c>
      <c r="N140" s="67">
        <f ca="1">$K$140-EFEITO!$M$140*EFEITO!$Z$140</f>
        <v>0</v>
      </c>
      <c r="O140" s="67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8" t="s">
        <v>28</v>
      </c>
      <c r="B141" s="58" t="s">
        <v>39</v>
      </c>
      <c r="C141" s="58" t="s">
        <v>40</v>
      </c>
      <c r="D141" s="58" t="s">
        <v>45</v>
      </c>
      <c r="E141" s="58" t="s">
        <v>25</v>
      </c>
      <c r="F141" s="58" t="s">
        <v>25</v>
      </c>
      <c r="G141" s="58" t="s">
        <v>25</v>
      </c>
      <c r="H141" s="58" t="s">
        <v>34</v>
      </c>
      <c r="I141" s="66">
        <v>44682</v>
      </c>
      <c r="J141" s="67">
        <f ca="1">EFEITO!$J$141*EFEITO!$Y$141</f>
        <v>11874.980778226487</v>
      </c>
      <c r="K141" s="67">
        <f ca="1">EFEITO!$L$141*EFEITO!$Z$141</f>
        <v>734.57446749088376</v>
      </c>
      <c r="L141" s="67">
        <f>EFEITO!$N$141*EFEITO!$AA$141</f>
        <v>3643.5699149985298</v>
      </c>
      <c r="M141" s="67">
        <f ca="1">$J$141-EFEITO!$K$141*EFEITO!$Y$141</f>
        <v>0</v>
      </c>
      <c r="N141" s="67">
        <f ca="1">$K$141-EFEITO!$M$141*EFEITO!$Z$141</f>
        <v>0</v>
      </c>
      <c r="O141" s="67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8" t="s">
        <v>21</v>
      </c>
      <c r="B142" s="58" t="s">
        <v>39</v>
      </c>
      <c r="C142" s="58" t="s">
        <v>40</v>
      </c>
      <c r="D142" s="58" t="s">
        <v>45</v>
      </c>
      <c r="E142" s="58" t="s">
        <v>25</v>
      </c>
      <c r="F142" s="58" t="s">
        <v>25</v>
      </c>
      <c r="G142" s="58" t="s">
        <v>25</v>
      </c>
      <c r="H142" s="58" t="s">
        <v>34</v>
      </c>
      <c r="I142" s="66">
        <v>44713</v>
      </c>
      <c r="J142" s="67">
        <f ca="1">EFEITO!$J$142*EFEITO!$Y$142</f>
        <v>175612.69650877247</v>
      </c>
      <c r="K142" s="67">
        <f ca="1">EFEITO!$L$142*EFEITO!$Z$142</f>
        <v>7764.4696320930043</v>
      </c>
      <c r="L142" s="67">
        <f>EFEITO!$N$142*EFEITO!$AA$142</f>
        <v>38512.62085659799</v>
      </c>
      <c r="M142" s="67">
        <f ca="1">$J$142-EFEITO!$K$142*EFEITO!$Y$142</f>
        <v>0</v>
      </c>
      <c r="N142" s="67">
        <f ca="1">$K$142-EFEITO!$M$142*EFEITO!$Z$142</f>
        <v>0</v>
      </c>
      <c r="O142" s="67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8" t="s">
        <v>28</v>
      </c>
      <c r="B143" s="58" t="s">
        <v>39</v>
      </c>
      <c r="C143" s="58" t="s">
        <v>40</v>
      </c>
      <c r="D143" s="58" t="s">
        <v>45</v>
      </c>
      <c r="E143" s="58" t="s">
        <v>25</v>
      </c>
      <c r="F143" s="58" t="s">
        <v>25</v>
      </c>
      <c r="G143" s="58" t="s">
        <v>25</v>
      </c>
      <c r="H143" s="58" t="s">
        <v>34</v>
      </c>
      <c r="I143" s="66">
        <v>44713</v>
      </c>
      <c r="J143" s="67">
        <f ca="1">EFEITO!$J$143*EFEITO!$Y$143</f>
        <v>3025.8364482980951</v>
      </c>
      <c r="K143" s="67">
        <f ca="1">EFEITO!$L$143*EFEITO!$Z$143</f>
        <v>179.81314810600747</v>
      </c>
      <c r="L143" s="67">
        <f>EFEITO!$N$143*EFEITO!$AA$143</f>
        <v>891.89293360288809</v>
      </c>
      <c r="M143" s="67">
        <f ca="1">$J$143-EFEITO!$K$143*EFEITO!$Y$143</f>
        <v>0</v>
      </c>
      <c r="N143" s="67">
        <f ca="1">$K$143-EFEITO!$M$143*EFEITO!$Z$143</f>
        <v>0</v>
      </c>
      <c r="O143" s="67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8" t="s">
        <v>21</v>
      </c>
      <c r="B144" s="58" t="s">
        <v>39</v>
      </c>
      <c r="C144" s="58" t="s">
        <v>40</v>
      </c>
      <c r="D144" s="58" t="s">
        <v>45</v>
      </c>
      <c r="E144" s="58" t="s">
        <v>25</v>
      </c>
      <c r="F144" s="58" t="s">
        <v>25</v>
      </c>
      <c r="G144" s="58" t="s">
        <v>25</v>
      </c>
      <c r="H144" s="58" t="s">
        <v>34</v>
      </c>
      <c r="I144" s="66">
        <v>44743</v>
      </c>
      <c r="J144" s="67">
        <f ca="1">EFEITO!$J$144*EFEITO!$Y$144</f>
        <v>176982.88659856783</v>
      </c>
      <c r="K144" s="67">
        <f ca="1">EFEITO!$L$144*EFEITO!$Z$144</f>
        <v>8613.6298366910032</v>
      </c>
      <c r="L144" s="67">
        <f>EFEITO!$N$144*EFEITO!$AA$144</f>
        <v>42724.548593557702</v>
      </c>
      <c r="M144" s="67">
        <f ca="1">$J$144-EFEITO!$K$144*EFEITO!$Y$144</f>
        <v>0</v>
      </c>
      <c r="N144" s="67">
        <f ca="1">$K$144-EFEITO!$M$144*EFEITO!$Z$144</f>
        <v>0</v>
      </c>
      <c r="O144" s="67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8" t="s">
        <v>28</v>
      </c>
      <c r="B145" s="58" t="s">
        <v>39</v>
      </c>
      <c r="C145" s="58" t="s">
        <v>40</v>
      </c>
      <c r="D145" s="58" t="s">
        <v>45</v>
      </c>
      <c r="E145" s="58" t="s">
        <v>25</v>
      </c>
      <c r="F145" s="58" t="s">
        <v>25</v>
      </c>
      <c r="G145" s="58" t="s">
        <v>25</v>
      </c>
      <c r="H145" s="58" t="s">
        <v>34</v>
      </c>
      <c r="I145" s="66">
        <v>44743</v>
      </c>
      <c r="J145" s="67">
        <f ca="1">EFEITO!$J$145*EFEITO!$Y$145</f>
        <v>3025.8364482980951</v>
      </c>
      <c r="K145" s="67">
        <f ca="1">EFEITO!$L$145*EFEITO!$Z$145</f>
        <v>185.72301420322256</v>
      </c>
      <c r="L145" s="67">
        <f>EFEITO!$N$145*EFEITO!$AA$145</f>
        <v>921.20651754357948</v>
      </c>
      <c r="M145" s="67">
        <f ca="1">$J$145-EFEITO!$K$145*EFEITO!$Y$145</f>
        <v>0</v>
      </c>
      <c r="N145" s="67">
        <f ca="1">$K$145-EFEITO!$M$145*EFEITO!$Z$145</f>
        <v>0</v>
      </c>
      <c r="O145" s="67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8" t="s">
        <v>21</v>
      </c>
      <c r="B146" s="58" t="s">
        <v>39</v>
      </c>
      <c r="C146" s="58" t="s">
        <v>40</v>
      </c>
      <c r="D146" s="58" t="s">
        <v>45</v>
      </c>
      <c r="E146" s="58" t="s">
        <v>25</v>
      </c>
      <c r="F146" s="58" t="s">
        <v>25</v>
      </c>
      <c r="G146" s="58" t="s">
        <v>25</v>
      </c>
      <c r="H146" s="58" t="s">
        <v>34</v>
      </c>
      <c r="I146" s="66">
        <v>44774</v>
      </c>
      <c r="J146" s="67">
        <f ca="1">EFEITO!$J$146*EFEITO!$Y$146</f>
        <v>178124.71167339731</v>
      </c>
      <c r="K146" s="67">
        <f ca="1">EFEITO!$L$146*EFEITO!$Z$146</f>
        <v>10223.521138358301</v>
      </c>
      <c r="L146" s="67">
        <f>EFEITO!$N$146*EFEITO!$AA$146</f>
        <v>50709.785996660859</v>
      </c>
      <c r="M146" s="67">
        <f ca="1">$J$146-EFEITO!$K$146*EFEITO!$Y$146</f>
        <v>0</v>
      </c>
      <c r="N146" s="67">
        <f ca="1">$K$146-EFEITO!$M$146*EFEITO!$Z$146</f>
        <v>0</v>
      </c>
      <c r="O146" s="67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8" t="s">
        <v>28</v>
      </c>
      <c r="B147" s="58" t="s">
        <v>39</v>
      </c>
      <c r="C147" s="58" t="s">
        <v>40</v>
      </c>
      <c r="D147" s="58" t="s">
        <v>45</v>
      </c>
      <c r="E147" s="58" t="s">
        <v>25</v>
      </c>
      <c r="F147" s="58" t="s">
        <v>25</v>
      </c>
      <c r="G147" s="58" t="s">
        <v>25</v>
      </c>
      <c r="H147" s="58" t="s">
        <v>34</v>
      </c>
      <c r="I147" s="66">
        <v>44774</v>
      </c>
      <c r="J147" s="67">
        <f ca="1">EFEITO!$J$147*EFEITO!$Y$147</f>
        <v>3082.9277020395689</v>
      </c>
      <c r="K147" s="67">
        <f ca="1">EFEITO!$L$147*EFEITO!$Z$147</f>
        <v>202.24875088247219</v>
      </c>
      <c r="L147" s="67">
        <f>EFEITO!$N$147*EFEITO!$AA$147</f>
        <v>1003.1759837481054</v>
      </c>
      <c r="M147" s="67">
        <f ca="1">$J$147-EFEITO!$K$147*EFEITO!$Y$147</f>
        <v>0</v>
      </c>
      <c r="N147" s="67">
        <f ca="1">$K$147-EFEITO!$M$147*EFEITO!$Z$147</f>
        <v>0</v>
      </c>
      <c r="O147" s="67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8" t="s">
        <v>21</v>
      </c>
      <c r="B148" s="58" t="s">
        <v>39</v>
      </c>
      <c r="C148" s="58" t="s">
        <v>40</v>
      </c>
      <c r="D148" s="58" t="s">
        <v>45</v>
      </c>
      <c r="E148" s="58" t="s">
        <v>25</v>
      </c>
      <c r="F148" s="58" t="s">
        <v>25</v>
      </c>
      <c r="G148" s="58" t="s">
        <v>25</v>
      </c>
      <c r="H148" s="58" t="s">
        <v>34</v>
      </c>
      <c r="I148" s="66">
        <v>44805</v>
      </c>
      <c r="J148" s="67">
        <f ca="1">EFEITO!$J$148*EFEITO!$Y$148</f>
        <v>182235.28194278339</v>
      </c>
      <c r="K148" s="67">
        <f ca="1">EFEITO!$L$148*EFEITO!$Z$148</f>
        <v>10304.070424424046</v>
      </c>
      <c r="L148" s="67">
        <f>EFEITO!$N$148*EFEITO!$AA$148</f>
        <v>51109.319288889536</v>
      </c>
      <c r="M148" s="67">
        <f ca="1">$J$148-EFEITO!$K$148*EFEITO!$Y$148</f>
        <v>0</v>
      </c>
      <c r="N148" s="67">
        <f ca="1">$K$148-EFEITO!$M$148*EFEITO!$Z$148</f>
        <v>0</v>
      </c>
      <c r="O148" s="67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8" t="s">
        <v>28</v>
      </c>
      <c r="B149" s="58" t="s">
        <v>39</v>
      </c>
      <c r="C149" s="58" t="s">
        <v>40</v>
      </c>
      <c r="D149" s="58" t="s">
        <v>45</v>
      </c>
      <c r="E149" s="58" t="s">
        <v>25</v>
      </c>
      <c r="F149" s="58" t="s">
        <v>25</v>
      </c>
      <c r="G149" s="58" t="s">
        <v>25</v>
      </c>
      <c r="H149" s="58" t="s">
        <v>34</v>
      </c>
      <c r="I149" s="66">
        <v>44805</v>
      </c>
      <c r="J149" s="67">
        <f ca="1">EFEITO!$J$149*EFEITO!$Y$149</f>
        <v>2968.7451945566218</v>
      </c>
      <c r="K149" s="67">
        <f ca="1">EFEITO!$L$149*EFEITO!$Z$149</f>
        <v>178.60928649361179</v>
      </c>
      <c r="L149" s="67">
        <f>EFEITO!$N$149*EFEITO!$AA$149</f>
        <v>885.92164798533975</v>
      </c>
      <c r="M149" s="67">
        <f ca="1">$J$149-EFEITO!$K$149*EFEITO!$Y$149</f>
        <v>0</v>
      </c>
      <c r="N149" s="67">
        <f ca="1">$K$149-EFEITO!$M$149*EFEITO!$Z$149</f>
        <v>0</v>
      </c>
      <c r="O149" s="67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8" t="s">
        <v>55</v>
      </c>
      <c r="B150" s="58" t="s">
        <v>39</v>
      </c>
      <c r="C150" s="58" t="s">
        <v>40</v>
      </c>
      <c r="D150" s="58" t="s">
        <v>45</v>
      </c>
      <c r="E150" s="58" t="s">
        <v>25</v>
      </c>
      <c r="F150" s="58" t="s">
        <v>25</v>
      </c>
      <c r="G150" s="58" t="s">
        <v>25</v>
      </c>
      <c r="H150" s="58" t="s">
        <v>34</v>
      </c>
      <c r="I150" s="66">
        <v>44835</v>
      </c>
      <c r="J150" s="67">
        <f ca="1">EFEITO!$J$150*EFEITO!$Y$150</f>
        <v>182235.28194278339</v>
      </c>
      <c r="K150" s="67">
        <f ca="1">EFEITO!$L$150*EFEITO!$Z$150</f>
        <v>10304.070424424046</v>
      </c>
      <c r="L150" s="67">
        <f>EFEITO!$N$150*EFEITO!$AA$150</f>
        <v>51109.319288889536</v>
      </c>
      <c r="M150" s="67">
        <f ca="1">$J$150-EFEITO!$K$150*EFEITO!$Y$150</f>
        <v>0</v>
      </c>
      <c r="N150" s="67">
        <f ca="1">$K$150-EFEITO!$M$150*EFEITO!$Z$150</f>
        <v>0</v>
      </c>
      <c r="O150" s="67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8" t="s">
        <v>55</v>
      </c>
      <c r="B151" s="58" t="s">
        <v>39</v>
      </c>
      <c r="C151" s="58" t="s">
        <v>40</v>
      </c>
      <c r="D151" s="58" t="s">
        <v>45</v>
      </c>
      <c r="E151" s="58" t="s">
        <v>25</v>
      </c>
      <c r="F151" s="58" t="s">
        <v>25</v>
      </c>
      <c r="G151" s="58" t="s">
        <v>25</v>
      </c>
      <c r="H151" s="58" t="s">
        <v>34</v>
      </c>
      <c r="I151" s="66">
        <v>44835</v>
      </c>
      <c r="J151" s="67">
        <f ca="1">EFEITO!$J$151*EFEITO!$Y$151</f>
        <v>2968.7451945566218</v>
      </c>
      <c r="K151" s="67">
        <f ca="1">EFEITO!$L$151*EFEITO!$Z$151</f>
        <v>178.60928649361179</v>
      </c>
      <c r="L151" s="67">
        <f>EFEITO!$N$151*EFEITO!$AA$151</f>
        <v>885.92164798533975</v>
      </c>
      <c r="M151" s="67">
        <f ca="1">$J$151-EFEITO!$K$151*EFEITO!$Y$151</f>
        <v>0</v>
      </c>
      <c r="N151" s="67">
        <f ca="1">$K$151-EFEITO!$M$151*EFEITO!$Z$151</f>
        <v>0</v>
      </c>
      <c r="O151" s="67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8" t="s">
        <v>21</v>
      </c>
      <c r="B152" s="58" t="s">
        <v>39</v>
      </c>
      <c r="C152" s="58" t="s">
        <v>40</v>
      </c>
      <c r="D152" s="58" t="s">
        <v>49</v>
      </c>
      <c r="E152" s="58" t="s">
        <v>50</v>
      </c>
      <c r="F152" s="58" t="s">
        <v>25</v>
      </c>
      <c r="G152" s="58" t="s">
        <v>25</v>
      </c>
      <c r="H152" s="58" t="s">
        <v>35</v>
      </c>
      <c r="I152" s="66">
        <v>44501</v>
      </c>
      <c r="J152" s="67">
        <f ca="1">EFEITO!$J$152*EFEITO!$Y$126</f>
        <v>41891.897881774261</v>
      </c>
      <c r="K152" s="67">
        <f ca="1">EFEITO!$L$152*EFEITO!$Z$126</f>
        <v>119334.97116801584</v>
      </c>
      <c r="L152" s="67">
        <f>EFEITO!$N$152*EFEITO!$AA$126</f>
        <v>346077.68994741363</v>
      </c>
      <c r="M152" s="67">
        <f ca="1">$J$152-EFEITO!$K$152*EFEITO!$Y$152</f>
        <v>1256.7569364532246</v>
      </c>
      <c r="N152" s="67">
        <f ca="1">$K$152-EFEITO!$M$152*EFEITO!$Z$152</f>
        <v>3580.0491350404773</v>
      </c>
      <c r="O152" s="67">
        <f>$L$152-EFEITO!$O$152*EFEITO!$AA$152</f>
        <v>10382.330698422389</v>
      </c>
      <c r="P152" s="18"/>
      <c r="Q152" s="18"/>
      <c r="R152" s="18"/>
      <c r="S152" s="18"/>
      <c r="T152" s="18"/>
      <c r="U152" s="18"/>
      <c r="V152" s="18"/>
      <c r="W152" s="18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8" t="s">
        <v>21</v>
      </c>
      <c r="B153" s="58" t="s">
        <v>39</v>
      </c>
      <c r="C153" s="58" t="s">
        <v>40</v>
      </c>
      <c r="D153" s="58" t="s">
        <v>49</v>
      </c>
      <c r="E153" s="58" t="s">
        <v>50</v>
      </c>
      <c r="F153" s="58" t="s">
        <v>25</v>
      </c>
      <c r="G153" s="58" t="s">
        <v>25</v>
      </c>
      <c r="H153" s="58" t="s">
        <v>35</v>
      </c>
      <c r="I153" s="66">
        <v>44531</v>
      </c>
      <c r="J153" s="67">
        <f ca="1">EFEITO!$J$153*EFEITO!$Y$126</f>
        <v>42862.146197837152</v>
      </c>
      <c r="K153" s="67">
        <f ca="1">EFEITO!$L$153*EFEITO!$Z$126</f>
        <v>120444.82213267988</v>
      </c>
      <c r="L153" s="67">
        <f>EFEITO!$N$153*EFEITO!$AA$126</f>
        <v>349296.31609092746</v>
      </c>
      <c r="M153" s="67">
        <f ca="1">$J$153-EFEITO!$K$153*EFEITO!$Y$153</f>
        <v>1285.8643859351141</v>
      </c>
      <c r="N153" s="67">
        <f ca="1">$K$153-EFEITO!$M$153*EFEITO!$Z$153</f>
        <v>3613.3446639804024</v>
      </c>
      <c r="O153" s="67">
        <f>$L$153-EFEITO!$O$153*EFEITO!$AA$153</f>
        <v>10478.889482727798</v>
      </c>
      <c r="P153" s="18"/>
      <c r="Q153" s="18"/>
      <c r="R153" s="18"/>
      <c r="S153" s="18"/>
      <c r="T153" s="18"/>
      <c r="U153" s="18"/>
      <c r="V153" s="18"/>
      <c r="W153" s="18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8" t="s">
        <v>21</v>
      </c>
      <c r="B154" s="58" t="s">
        <v>39</v>
      </c>
      <c r="C154" s="58" t="s">
        <v>40</v>
      </c>
      <c r="D154" s="58" t="s">
        <v>49</v>
      </c>
      <c r="E154" s="58" t="s">
        <v>50</v>
      </c>
      <c r="F154" s="58" t="s">
        <v>25</v>
      </c>
      <c r="G154" s="58" t="s">
        <v>25</v>
      </c>
      <c r="H154" s="58" t="s">
        <v>35</v>
      </c>
      <c r="I154" s="66">
        <v>44562</v>
      </c>
      <c r="J154" s="67">
        <f ca="1">EFEITO!$J$154*EFEITO!$Y$126</f>
        <v>41378.237008564494</v>
      </c>
      <c r="K154" s="67">
        <f ca="1">EFEITO!$L$154*EFEITO!$Z$126</f>
        <v>117997.37147467949</v>
      </c>
      <c r="L154" s="67">
        <f>EFEITO!$N$154*EFEITO!$AA$126</f>
        <v>342198.58051776909</v>
      </c>
      <c r="M154" s="67">
        <f ca="1">$J$154-EFEITO!$K$154*EFEITO!$Y$154</f>
        <v>1241.347110256931</v>
      </c>
      <c r="N154" s="67">
        <f ca="1">$K$154-EFEITO!$M$154*EFEITO!$Z$154</f>
        <v>3539.9211442403903</v>
      </c>
      <c r="O154" s="67">
        <f>$L$154-EFEITO!$O$154*EFEITO!$AA$154</f>
        <v>10265.957415533077</v>
      </c>
      <c r="P154" s="18"/>
      <c r="Q154" s="18"/>
      <c r="R154" s="18"/>
      <c r="S154" s="18"/>
      <c r="T154" s="18"/>
      <c r="U154" s="18"/>
      <c r="V154" s="18"/>
      <c r="W154" s="18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8" t="s">
        <v>21</v>
      </c>
      <c r="B155" s="58" t="s">
        <v>39</v>
      </c>
      <c r="C155" s="58" t="s">
        <v>40</v>
      </c>
      <c r="D155" s="58" t="s">
        <v>49</v>
      </c>
      <c r="E155" s="58" t="s">
        <v>50</v>
      </c>
      <c r="F155" s="58" t="s">
        <v>25</v>
      </c>
      <c r="G155" s="58" t="s">
        <v>25</v>
      </c>
      <c r="H155" s="58" t="s">
        <v>35</v>
      </c>
      <c r="I155" s="66">
        <v>44593</v>
      </c>
      <c r="J155" s="67">
        <f ca="1">EFEITO!$J$155*EFEITO!$Y$126</f>
        <v>41815.799974632078</v>
      </c>
      <c r="K155" s="67">
        <f ca="1">EFEITO!$L$155*EFEITO!$Z$126</f>
        <v>111763.55716176519</v>
      </c>
      <c r="L155" s="67">
        <f>EFEITO!$N$155*EFEITO!$AA$126</f>
        <v>324120.19129239232</v>
      </c>
      <c r="M155" s="67">
        <f ca="1">$J$155-EFEITO!$K$155*EFEITO!$Y$155</f>
        <v>1254.4739992389659</v>
      </c>
      <c r="N155" s="67">
        <f ca="1">$K$155-EFEITO!$M$155*EFEITO!$Z$155</f>
        <v>3352.9067148529575</v>
      </c>
      <c r="O155" s="67">
        <f>$L$155-EFEITO!$O$155*EFEITO!$AA$155</f>
        <v>9723.6057387717883</v>
      </c>
      <c r="P155" s="18"/>
      <c r="Q155" s="18"/>
      <c r="R155" s="18"/>
      <c r="S155" s="18"/>
      <c r="T155" s="18"/>
      <c r="U155" s="18"/>
      <c r="V155" s="18"/>
      <c r="W155" s="18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8" t="s">
        <v>21</v>
      </c>
      <c r="B156" s="58" t="s">
        <v>39</v>
      </c>
      <c r="C156" s="58" t="s">
        <v>40</v>
      </c>
      <c r="D156" s="58" t="s">
        <v>49</v>
      </c>
      <c r="E156" s="58" t="s">
        <v>50</v>
      </c>
      <c r="F156" s="58" t="s">
        <v>25</v>
      </c>
      <c r="G156" s="58" t="s">
        <v>25</v>
      </c>
      <c r="H156" s="58" t="s">
        <v>35</v>
      </c>
      <c r="I156" s="66">
        <v>44621</v>
      </c>
      <c r="J156" s="67">
        <f ca="1">EFEITO!$J$156*EFEITO!$Y$126</f>
        <v>42291.41189427075</v>
      </c>
      <c r="K156" s="67">
        <f ca="1">EFEITO!$L$156*EFEITO!$Z$126</f>
        <v>123150.77471145104</v>
      </c>
      <c r="L156" s="67">
        <f>EFEITO!$N$156*EFEITO!$AA$126</f>
        <v>357143.72082402854</v>
      </c>
      <c r="M156" s="67">
        <f ca="1">$J$156-EFEITO!$K$156*EFEITO!$Y$156</f>
        <v>1268.7423568281229</v>
      </c>
      <c r="N156" s="67">
        <f ca="1">$K$156-EFEITO!$M$156*EFEITO!$Z$156</f>
        <v>3694.5232413435297</v>
      </c>
      <c r="O156" s="67">
        <f>$L$156-EFEITO!$O$156*EFEITO!$AA$156</f>
        <v>10714.311624720867</v>
      </c>
      <c r="P156" s="18"/>
      <c r="Q156" s="18"/>
      <c r="R156" s="18"/>
      <c r="S156" s="18"/>
      <c r="T156" s="18"/>
      <c r="U156" s="18"/>
      <c r="V156" s="18"/>
      <c r="W156" s="18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8" t="s">
        <v>21</v>
      </c>
      <c r="B157" s="58" t="s">
        <v>39</v>
      </c>
      <c r="C157" s="58" t="s">
        <v>40</v>
      </c>
      <c r="D157" s="58" t="s">
        <v>49</v>
      </c>
      <c r="E157" s="58" t="s">
        <v>50</v>
      </c>
      <c r="F157" s="58" t="s">
        <v>25</v>
      </c>
      <c r="G157" s="58" t="s">
        <v>25</v>
      </c>
      <c r="H157" s="58" t="s">
        <v>35</v>
      </c>
      <c r="I157" s="66">
        <v>44652</v>
      </c>
      <c r="J157" s="67">
        <f ca="1">EFEITO!$J$157*EFEITO!$Y$126</f>
        <v>42291.41189427075</v>
      </c>
      <c r="K157" s="67">
        <f ca="1">EFEITO!$L$157*EFEITO!$Z$126</f>
        <v>123150.77471145104</v>
      </c>
      <c r="L157" s="67">
        <f>EFEITO!$N$157*EFEITO!$AA$126</f>
        <v>357143.72082402854</v>
      </c>
      <c r="M157" s="67">
        <f ca="1">$J$157-EFEITO!$K$157*EFEITO!$Y$157</f>
        <v>1268.7423568281229</v>
      </c>
      <c r="N157" s="67">
        <f ca="1">$K$157-EFEITO!$M$157*EFEITO!$Z$157</f>
        <v>3694.5232413435297</v>
      </c>
      <c r="O157" s="67">
        <f>$L$157-EFEITO!$O$157*EFEITO!$AA$157</f>
        <v>10714.311624720867</v>
      </c>
      <c r="P157" s="18"/>
      <c r="Q157" s="18"/>
      <c r="R157" s="18"/>
      <c r="S157" s="18"/>
      <c r="T157" s="18"/>
      <c r="U157" s="18"/>
      <c r="V157" s="18"/>
      <c r="W157" s="18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8" t="s">
        <v>21</v>
      </c>
      <c r="B158" s="58" t="s">
        <v>39</v>
      </c>
      <c r="C158" s="58" t="s">
        <v>40</v>
      </c>
      <c r="D158" s="58" t="s">
        <v>49</v>
      </c>
      <c r="E158" s="58" t="s">
        <v>50</v>
      </c>
      <c r="F158" s="58" t="s">
        <v>25</v>
      </c>
      <c r="G158" s="58" t="s">
        <v>25</v>
      </c>
      <c r="H158" s="58" t="s">
        <v>35</v>
      </c>
      <c r="I158" s="66">
        <v>44682</v>
      </c>
      <c r="J158" s="67">
        <f ca="1">EFEITO!$J$158*EFEITO!$Y$126</f>
        <v>41168.96776392348</v>
      </c>
      <c r="K158" s="67">
        <f ca="1">EFEITO!$L$158*EFEITO!$Z$126</f>
        <v>115405.89519105066</v>
      </c>
      <c r="L158" s="67">
        <f>EFEITO!$N$158*EFEITO!$AA$126</f>
        <v>334683.16305871541</v>
      </c>
      <c r="M158" s="67">
        <f ca="1">$J$158-EFEITO!$K$158*EFEITO!$Y$158</f>
        <v>1235.0690329177014</v>
      </c>
      <c r="N158" s="67">
        <f ca="1">$K$158-EFEITO!$M$158*EFEITO!$Z$158</f>
        <v>3462.1768557315227</v>
      </c>
      <c r="O158" s="67">
        <f>$L$158-EFEITO!$O$158*EFEITO!$AA$158</f>
        <v>10040.494891761453</v>
      </c>
      <c r="P158" s="18"/>
      <c r="Q158" s="18"/>
      <c r="R158" s="18"/>
      <c r="S158" s="18"/>
      <c r="T158" s="18"/>
      <c r="U158" s="18"/>
      <c r="V158" s="18"/>
      <c r="W158" s="18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8" t="s">
        <v>21</v>
      </c>
      <c r="B159" s="58" t="s">
        <v>39</v>
      </c>
      <c r="C159" s="58" t="s">
        <v>40</v>
      </c>
      <c r="D159" s="58" t="s">
        <v>49</v>
      </c>
      <c r="E159" s="58" t="s">
        <v>50</v>
      </c>
      <c r="F159" s="58" t="s">
        <v>25</v>
      </c>
      <c r="G159" s="58" t="s">
        <v>25</v>
      </c>
      <c r="H159" s="58" t="s">
        <v>35</v>
      </c>
      <c r="I159" s="66">
        <v>44713</v>
      </c>
      <c r="J159" s="67">
        <f ca="1">EFEITO!$J$159*EFEITO!$Y$126</f>
        <v>41130.918810352385</v>
      </c>
      <c r="K159" s="67">
        <f ca="1">EFEITO!$L$159*EFEITO!$Z$126</f>
        <v>111173.44608776178</v>
      </c>
      <c r="L159" s="67">
        <f>EFEITO!$N$159*EFEITO!$AA$126</f>
        <v>322408.83815504628</v>
      </c>
      <c r="M159" s="67">
        <f ca="1">$J$159-EFEITO!$K$159*EFEITO!$Y$159</f>
        <v>1233.9275643105721</v>
      </c>
      <c r="N159" s="67">
        <f ca="1">$K$159-EFEITO!$M$159*EFEITO!$Z$159</f>
        <v>3335.2033826328552</v>
      </c>
      <c r="O159" s="67">
        <f>$L$159-EFEITO!$O$159*EFEITO!$AA$159</f>
        <v>9672.2651446514064</v>
      </c>
      <c r="P159" s="18"/>
      <c r="Q159" s="18"/>
      <c r="R159" s="18"/>
      <c r="S159" s="18"/>
      <c r="T159" s="18"/>
      <c r="U159" s="18"/>
      <c r="V159" s="18"/>
      <c r="W159" s="18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8" t="s">
        <v>21</v>
      </c>
      <c r="B160" s="58" t="s">
        <v>39</v>
      </c>
      <c r="C160" s="58" t="s">
        <v>40</v>
      </c>
      <c r="D160" s="58" t="s">
        <v>49</v>
      </c>
      <c r="E160" s="58" t="s">
        <v>50</v>
      </c>
      <c r="F160" s="58" t="s">
        <v>25</v>
      </c>
      <c r="G160" s="58" t="s">
        <v>25</v>
      </c>
      <c r="H160" s="58" t="s">
        <v>35</v>
      </c>
      <c r="I160" s="66">
        <v>44743</v>
      </c>
      <c r="J160" s="67">
        <f ca="1">EFEITO!$J$160*EFEITO!$Y$126</f>
        <v>41834.824451417619</v>
      </c>
      <c r="K160" s="67">
        <f ca="1">EFEITO!$L$160*EFEITO!$Z$126</f>
        <v>109301.00351262746</v>
      </c>
      <c r="L160" s="67">
        <f>EFEITO!$N$160*EFEITO!$AA$126</f>
        <v>316978.65625095618</v>
      </c>
      <c r="M160" s="67">
        <f ca="1">$J$160-EFEITO!$K$160*EFEITO!$Y$160</f>
        <v>1255.044733542527</v>
      </c>
      <c r="N160" s="67">
        <f ca="1">$K$160-EFEITO!$M$160*EFEITO!$Z$160</f>
        <v>3279.0301053788135</v>
      </c>
      <c r="O160" s="67">
        <f>$L$160-EFEITO!$O$160*EFEITO!$AA$160</f>
        <v>9509.3596875286894</v>
      </c>
      <c r="P160" s="18"/>
      <c r="Q160" s="18"/>
      <c r="R160" s="18"/>
      <c r="S160" s="18"/>
      <c r="T160" s="18"/>
      <c r="U160" s="18"/>
      <c r="V160" s="18"/>
      <c r="W160" s="18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8" t="s">
        <v>21</v>
      </c>
      <c r="B161" s="58" t="s">
        <v>39</v>
      </c>
      <c r="C161" s="58" t="s">
        <v>40</v>
      </c>
      <c r="D161" s="58" t="s">
        <v>49</v>
      </c>
      <c r="E161" s="58" t="s">
        <v>50</v>
      </c>
      <c r="F161" s="58" t="s">
        <v>25</v>
      </c>
      <c r="G161" s="58" t="s">
        <v>25</v>
      </c>
      <c r="H161" s="58" t="s">
        <v>35</v>
      </c>
      <c r="I161" s="66">
        <v>44774</v>
      </c>
      <c r="J161" s="67">
        <f ca="1">EFEITO!$J$161*EFEITO!$Y$126</f>
        <v>41397.261485350042</v>
      </c>
      <c r="K161" s="67">
        <f ca="1">EFEITO!$L$161*EFEITO!$Z$126</f>
        <v>111793.43481814556</v>
      </c>
      <c r="L161" s="67">
        <f>EFEITO!$N$161*EFEITO!$AA$126</f>
        <v>324206.83806659398</v>
      </c>
      <c r="M161" s="67">
        <f ca="1">$J$161-EFEITO!$K$161*EFEITO!$Y$161</f>
        <v>1241.9178445604994</v>
      </c>
      <c r="N161" s="67">
        <f ca="1">$K$161-EFEITO!$M$161*EFEITO!$Z$161</f>
        <v>3353.8030445443728</v>
      </c>
      <c r="O161" s="67">
        <f>$L$161-EFEITO!$O$161*EFEITO!$AA$161</f>
        <v>9726.2051419977797</v>
      </c>
      <c r="P161" s="18"/>
      <c r="Q161" s="18"/>
      <c r="R161" s="18"/>
      <c r="S161" s="18"/>
      <c r="T161" s="18"/>
      <c r="U161" s="18"/>
      <c r="V161" s="18"/>
      <c r="W161" s="18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8" t="s">
        <v>21</v>
      </c>
      <c r="B162" s="58" t="s">
        <v>39</v>
      </c>
      <c r="C162" s="58" t="s">
        <v>40</v>
      </c>
      <c r="D162" s="58" t="s">
        <v>49</v>
      </c>
      <c r="E162" s="58" t="s">
        <v>50</v>
      </c>
      <c r="F162" s="58" t="s">
        <v>25</v>
      </c>
      <c r="G162" s="58" t="s">
        <v>25</v>
      </c>
      <c r="H162" s="58" t="s">
        <v>35</v>
      </c>
      <c r="I162" s="66">
        <v>44805</v>
      </c>
      <c r="J162" s="67">
        <f ca="1">EFEITO!$J$162*EFEITO!$Y$126</f>
        <v>41777.751021060983</v>
      </c>
      <c r="K162" s="67">
        <f ca="1">EFEITO!$L$162*EFEITO!$Z$126</f>
        <v>117476.20883847693</v>
      </c>
      <c r="L162" s="67">
        <f>EFEITO!$N$162*EFEITO!$AA$126</f>
        <v>340687.18147473462</v>
      </c>
      <c r="M162" s="67">
        <f ca="1">$J$162-EFEITO!$K$162*EFEITO!$Y$162</f>
        <v>1253.3325306318293</v>
      </c>
      <c r="N162" s="67">
        <f ca="1">$K$162-EFEITO!$M$162*EFEITO!$Z$162</f>
        <v>3524.286265154311</v>
      </c>
      <c r="O162" s="67">
        <f>$L$162-EFEITO!$O$162*EFEITO!$AA$162</f>
        <v>10220.615444242023</v>
      </c>
      <c r="P162" s="18"/>
      <c r="Q162" s="18"/>
      <c r="R162" s="18"/>
      <c r="S162" s="18"/>
      <c r="T162" s="18"/>
      <c r="U162" s="18"/>
      <c r="V162" s="18"/>
      <c r="W162" s="18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8" t="s">
        <v>55</v>
      </c>
      <c r="B163" s="58" t="s">
        <v>39</v>
      </c>
      <c r="C163" s="58" t="s">
        <v>40</v>
      </c>
      <c r="D163" s="58" t="s">
        <v>49</v>
      </c>
      <c r="E163" s="58" t="s">
        <v>50</v>
      </c>
      <c r="F163" s="58" t="s">
        <v>25</v>
      </c>
      <c r="G163" s="58" t="s">
        <v>25</v>
      </c>
      <c r="H163" s="58" t="s">
        <v>35</v>
      </c>
      <c r="I163" s="66">
        <v>44835</v>
      </c>
      <c r="J163" s="67">
        <f ca="1">EFEITO!$J$163*EFEITO!$Y$126</f>
        <v>41777.751021060983</v>
      </c>
      <c r="K163" s="67">
        <f ca="1">EFEITO!$L$163*EFEITO!$Z$126</f>
        <v>117476.20883847693</v>
      </c>
      <c r="L163" s="67">
        <f>EFEITO!$N$163*EFEITO!$AA$126</f>
        <v>340687.18147473462</v>
      </c>
      <c r="M163" s="67">
        <f ca="1">$J$163-EFEITO!$K$163*EFEITO!$Y$163</f>
        <v>1253.3325306318293</v>
      </c>
      <c r="N163" s="67">
        <f ca="1">$K$163-EFEITO!$M$163*EFEITO!$Z$163</f>
        <v>3524.286265154311</v>
      </c>
      <c r="O163" s="67">
        <f>$L$163-EFEITO!$O$163*EFEITO!$AA$163</f>
        <v>10220.615444242023</v>
      </c>
      <c r="P163" s="18"/>
      <c r="Q163" s="18"/>
      <c r="R163" s="18"/>
      <c r="S163" s="18"/>
      <c r="T163" s="18"/>
      <c r="U163" s="18"/>
      <c r="V163" s="18"/>
      <c r="W163" s="18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8" t="s">
        <v>21</v>
      </c>
      <c r="B164" s="58" t="s">
        <v>39</v>
      </c>
      <c r="C164" s="58" t="s">
        <v>40</v>
      </c>
      <c r="D164" s="58" t="s">
        <v>49</v>
      </c>
      <c r="E164" s="58" t="s">
        <v>50</v>
      </c>
      <c r="F164" s="58" t="s">
        <v>25</v>
      </c>
      <c r="G164" s="58" t="s">
        <v>25</v>
      </c>
      <c r="H164" s="58" t="s">
        <v>34</v>
      </c>
      <c r="I164" s="66">
        <v>44501</v>
      </c>
      <c r="J164" s="67">
        <f ca="1">EFEITO!$J$164*EFEITO!$Y$151</f>
        <v>121318.91420063117</v>
      </c>
      <c r="K164" s="67">
        <f ca="1">EFEITO!$L$164*EFEITO!$Z$151</f>
        <v>11184.093263085279</v>
      </c>
      <c r="L164" s="67">
        <f>EFEITO!$N$164*EFEITO!$AA$151</f>
        <v>55474.329075317306</v>
      </c>
      <c r="M164" s="67">
        <f ca="1">$J$164-EFEITO!$K$164*EFEITO!$Y$164</f>
        <v>3639.5674260189262</v>
      </c>
      <c r="N164" s="67">
        <f ca="1">$K$164-EFEITO!$M$164*EFEITO!$Z$164</f>
        <v>335.52279789255772</v>
      </c>
      <c r="O164" s="67">
        <f>$L$164-EFEITO!$O$164*EFEITO!$AA$164</f>
        <v>1664.2298722595297</v>
      </c>
      <c r="P164" s="18"/>
      <c r="Q164" s="18"/>
      <c r="R164" s="18"/>
      <c r="S164" s="18"/>
      <c r="T164" s="18"/>
      <c r="U164" s="18"/>
      <c r="V164" s="18"/>
      <c r="W164" s="18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8" t="s">
        <v>21</v>
      </c>
      <c r="B165" s="58" t="s">
        <v>39</v>
      </c>
      <c r="C165" s="58" t="s">
        <v>40</v>
      </c>
      <c r="D165" s="58" t="s">
        <v>49</v>
      </c>
      <c r="E165" s="58" t="s">
        <v>50</v>
      </c>
      <c r="F165" s="58" t="s">
        <v>25</v>
      </c>
      <c r="G165" s="58" t="s">
        <v>25</v>
      </c>
      <c r="H165" s="58" t="s">
        <v>34</v>
      </c>
      <c r="I165" s="66">
        <v>44531</v>
      </c>
      <c r="J165" s="67">
        <f ca="1">EFEITO!$J$165*EFEITO!$Y$151</f>
        <v>119720.35909586992</v>
      </c>
      <c r="K165" s="67">
        <f ca="1">EFEITO!$L$165*EFEITO!$Z$151</f>
        <v>12505.604987601433</v>
      </c>
      <c r="L165" s="67">
        <f>EFEITO!$N$165*EFEITO!$AA$151</f>
        <v>62029.172150944127</v>
      </c>
      <c r="M165" s="67">
        <f ca="1">$J$165-EFEITO!$K$165*EFEITO!$Y$165</f>
        <v>3591.6107728760981</v>
      </c>
      <c r="N165" s="67">
        <f ca="1">$K$165-EFEITO!$M$165*EFEITO!$Z$165</f>
        <v>375.16814962804347</v>
      </c>
      <c r="O165" s="67">
        <f>$L$165-EFEITO!$O$165*EFEITO!$AA$165</f>
        <v>1860.8751645283264</v>
      </c>
      <c r="P165" s="18"/>
      <c r="Q165" s="18"/>
      <c r="R165" s="18"/>
      <c r="S165" s="18"/>
      <c r="T165" s="18"/>
      <c r="U165" s="18"/>
      <c r="V165" s="18"/>
      <c r="W165" s="18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8" t="s">
        <v>21</v>
      </c>
      <c r="B166" s="58" t="s">
        <v>39</v>
      </c>
      <c r="C166" s="58" t="s">
        <v>40</v>
      </c>
      <c r="D166" s="58" t="s">
        <v>49</v>
      </c>
      <c r="E166" s="58" t="s">
        <v>50</v>
      </c>
      <c r="F166" s="58" t="s">
        <v>25</v>
      </c>
      <c r="G166" s="58" t="s">
        <v>25</v>
      </c>
      <c r="H166" s="58" t="s">
        <v>34</v>
      </c>
      <c r="I166" s="66">
        <v>44562</v>
      </c>
      <c r="J166" s="67">
        <f ca="1">EFEITO!$J$166*EFEITO!$Y$151</f>
        <v>119663.26784212845</v>
      </c>
      <c r="K166" s="67">
        <f ca="1">EFEITO!$L$166*EFEITO!$Z$151</f>
        <v>11528.178800300915</v>
      </c>
      <c r="L166" s="67">
        <f>EFEITO!$N$166*EFEITO!$AA$151</f>
        <v>57181.031073642007</v>
      </c>
      <c r="M166" s="67">
        <f ca="1">$J$166-EFEITO!$K$166*EFEITO!$Y$166</f>
        <v>3589.8980352638609</v>
      </c>
      <c r="N166" s="67">
        <f ca="1">$K$166-EFEITO!$M$166*EFEITO!$Z$166</f>
        <v>345.84536400902834</v>
      </c>
      <c r="O166" s="67">
        <f>$L$166-EFEITO!$O$166*EFEITO!$AA$166</f>
        <v>1715.4309322092668</v>
      </c>
      <c r="P166" s="18"/>
      <c r="Q166" s="18"/>
      <c r="R166" s="18"/>
      <c r="S166" s="18"/>
      <c r="T166" s="18"/>
      <c r="U166" s="18"/>
      <c r="V166" s="18"/>
      <c r="W166" s="18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8" t="s">
        <v>21</v>
      </c>
      <c r="B167" s="58" t="s">
        <v>39</v>
      </c>
      <c r="C167" s="58" t="s">
        <v>40</v>
      </c>
      <c r="D167" s="58" t="s">
        <v>49</v>
      </c>
      <c r="E167" s="58" t="s">
        <v>50</v>
      </c>
      <c r="F167" s="58" t="s">
        <v>25</v>
      </c>
      <c r="G167" s="58" t="s">
        <v>25</v>
      </c>
      <c r="H167" s="58" t="s">
        <v>34</v>
      </c>
      <c r="I167" s="66">
        <v>44593</v>
      </c>
      <c r="J167" s="67">
        <f ca="1">EFEITO!$J$167*EFEITO!$Y$151</f>
        <v>121147.64043940675</v>
      </c>
      <c r="K167" s="67">
        <f ca="1">EFEITO!$L$167*EFEITO!$Z$151</f>
        <v>11262.125383961473</v>
      </c>
      <c r="L167" s="67">
        <f>EFEITO!$N$167*EFEITO!$AA$151</f>
        <v>55861.376952163846</v>
      </c>
      <c r="M167" s="67">
        <f ca="1">$J$167-EFEITO!$K$167*EFEITO!$Y$167</f>
        <v>3634.4292131822003</v>
      </c>
      <c r="N167" s="67">
        <f ca="1">$K$167-EFEITO!$M$167*EFEITO!$Z$167</f>
        <v>337.86376151884542</v>
      </c>
      <c r="O167" s="67">
        <f>$L$167-EFEITO!$O$167*EFEITO!$AA$167</f>
        <v>1675.8413085649227</v>
      </c>
      <c r="P167" s="18"/>
      <c r="Q167" s="18"/>
      <c r="R167" s="18"/>
      <c r="S167" s="18"/>
      <c r="T167" s="18"/>
      <c r="U167" s="18"/>
      <c r="V167" s="18"/>
      <c r="W167" s="18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8" t="s">
        <v>21</v>
      </c>
      <c r="B168" s="58" t="s">
        <v>39</v>
      </c>
      <c r="C168" s="58" t="s">
        <v>40</v>
      </c>
      <c r="D168" s="58" t="s">
        <v>49</v>
      </c>
      <c r="E168" s="58" t="s">
        <v>50</v>
      </c>
      <c r="F168" s="58" t="s">
        <v>25</v>
      </c>
      <c r="G168" s="58" t="s">
        <v>25</v>
      </c>
      <c r="H168" s="58" t="s">
        <v>34</v>
      </c>
      <c r="I168" s="66">
        <v>44621</v>
      </c>
      <c r="J168" s="67">
        <f ca="1">EFEITO!$J$168*EFEITO!$Y$151</f>
        <v>123260.01682784127</v>
      </c>
      <c r="K168" s="67">
        <f ca="1">EFEITO!$L$168*EFEITO!$Z$151</f>
        <v>12312.221035864784</v>
      </c>
      <c r="L168" s="67">
        <f>EFEITO!$N$168*EFEITO!$AA$151</f>
        <v>61069.966543107061</v>
      </c>
      <c r="M168" s="67">
        <f ca="1">$J$168-EFEITO!$K$168*EFEITO!$Y$168</f>
        <v>3697.8005048352352</v>
      </c>
      <c r="N168" s="67">
        <f ca="1">$K$168-EFEITO!$M$168*EFEITO!$Z$168</f>
        <v>369.36663107594359</v>
      </c>
      <c r="O168" s="67">
        <f>$L$168-EFEITO!$O$168*EFEITO!$AA$168</f>
        <v>1832.0989962932144</v>
      </c>
      <c r="P168" s="18"/>
      <c r="Q168" s="18"/>
      <c r="R168" s="18"/>
      <c r="S168" s="18"/>
      <c r="T168" s="18"/>
      <c r="U168" s="18"/>
      <c r="V168" s="18"/>
      <c r="W168" s="18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8" t="s">
        <v>21</v>
      </c>
      <c r="B169" s="58" t="s">
        <v>39</v>
      </c>
      <c r="C169" s="58" t="s">
        <v>40</v>
      </c>
      <c r="D169" s="58" t="s">
        <v>49</v>
      </c>
      <c r="E169" s="58" t="s">
        <v>50</v>
      </c>
      <c r="F169" s="58" t="s">
        <v>25</v>
      </c>
      <c r="G169" s="58" t="s">
        <v>25</v>
      </c>
      <c r="H169" s="58" t="s">
        <v>34</v>
      </c>
      <c r="I169" s="66">
        <v>44652</v>
      </c>
      <c r="J169" s="67">
        <f ca="1">EFEITO!$J$169*EFEITO!$Y$151</f>
        <v>123260.01682784127</v>
      </c>
      <c r="K169" s="67">
        <f ca="1">EFEITO!$L$169*EFEITO!$Z$151</f>
        <v>12312.221035864784</v>
      </c>
      <c r="L169" s="67">
        <f>EFEITO!$N$169*EFEITO!$AA$151</f>
        <v>61069.966543107061</v>
      </c>
      <c r="M169" s="67">
        <f ca="1">$J$169-EFEITO!$K$169*EFEITO!$Y$169</f>
        <v>3697.8005048352352</v>
      </c>
      <c r="N169" s="67">
        <f ca="1">$K$169-EFEITO!$M$169*EFEITO!$Z$169</f>
        <v>369.36663107594359</v>
      </c>
      <c r="O169" s="67">
        <f>$L$169-EFEITO!$O$169*EFEITO!$AA$169</f>
        <v>1832.0989962932144</v>
      </c>
      <c r="P169" s="18"/>
      <c r="Q169" s="18"/>
      <c r="R169" s="18"/>
      <c r="S169" s="18"/>
      <c r="T169" s="18"/>
      <c r="U169" s="18"/>
      <c r="V169" s="18"/>
      <c r="W169" s="18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8" t="s">
        <v>21</v>
      </c>
      <c r="B170" s="58" t="s">
        <v>39</v>
      </c>
      <c r="C170" s="58" t="s">
        <v>40</v>
      </c>
      <c r="D170" s="58" t="s">
        <v>49</v>
      </c>
      <c r="E170" s="58" t="s">
        <v>50</v>
      </c>
      <c r="F170" s="58" t="s">
        <v>25</v>
      </c>
      <c r="G170" s="58" t="s">
        <v>25</v>
      </c>
      <c r="H170" s="58" t="s">
        <v>34</v>
      </c>
      <c r="I170" s="66">
        <v>44682</v>
      </c>
      <c r="J170" s="67">
        <f ca="1">EFEITO!$J$170*EFEITO!$Y$151</f>
        <v>119149.44655845518</v>
      </c>
      <c r="K170" s="67">
        <f ca="1">EFEITO!$L$170*EFEITO!$Z$151</f>
        <v>11632.69587664981</v>
      </c>
      <c r="L170" s="67">
        <f>EFEITO!$N$170*EFEITO!$AA$151</f>
        <v>57699.4472340746</v>
      </c>
      <c r="M170" s="67">
        <f ca="1">$J$170-EFEITO!$K$170*EFEITO!$Y$170</f>
        <v>3574.4833967536542</v>
      </c>
      <c r="N170" s="67">
        <f ca="1">$K$170-EFEITO!$M$170*EFEITO!$Z$170</f>
        <v>348.98087629949441</v>
      </c>
      <c r="O170" s="67">
        <f>$L$170-EFEITO!$O$170*EFEITO!$AA$170</f>
        <v>1730.9834170222384</v>
      </c>
      <c r="P170" s="18"/>
      <c r="Q170" s="18"/>
      <c r="R170" s="18"/>
      <c r="S170" s="18"/>
      <c r="T170" s="18"/>
      <c r="U170" s="18"/>
      <c r="V170" s="18"/>
      <c r="W170" s="18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8" t="s">
        <v>21</v>
      </c>
      <c r="B171" s="58" t="s">
        <v>39</v>
      </c>
      <c r="C171" s="58" t="s">
        <v>40</v>
      </c>
      <c r="D171" s="58" t="s">
        <v>49</v>
      </c>
      <c r="E171" s="58" t="s">
        <v>50</v>
      </c>
      <c r="F171" s="58" t="s">
        <v>25</v>
      </c>
      <c r="G171" s="58" t="s">
        <v>25</v>
      </c>
      <c r="H171" s="58" t="s">
        <v>34</v>
      </c>
      <c r="I171" s="66">
        <v>44713</v>
      </c>
      <c r="J171" s="67">
        <f ca="1">EFEITO!$J$171*EFEITO!$Y$151</f>
        <v>119891.63285709434</v>
      </c>
      <c r="K171" s="67">
        <f ca="1">EFEITO!$L$171*EFEITO!$Z$151</f>
        <v>10667.198863508485</v>
      </c>
      <c r="L171" s="67">
        <f>EFEITO!$N$171*EFEITO!$AA$151</f>
        <v>52910.476168800909</v>
      </c>
      <c r="M171" s="67">
        <f ca="1">$J$171-EFEITO!$K$171*EFEITO!$Y$171</f>
        <v>3596.7489857128385</v>
      </c>
      <c r="N171" s="67">
        <f ca="1">$K$171-EFEITO!$M$171*EFEITO!$Z$171</f>
        <v>320.01596590525514</v>
      </c>
      <c r="O171" s="67">
        <f>$L$171-EFEITO!$O$171*EFEITO!$AA$171</f>
        <v>1587.3142850640361</v>
      </c>
      <c r="P171" s="18"/>
      <c r="Q171" s="18"/>
      <c r="R171" s="18"/>
      <c r="S171" s="18"/>
      <c r="T171" s="18"/>
      <c r="U171" s="18"/>
      <c r="V171" s="18"/>
      <c r="W171" s="18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8" t="s">
        <v>21</v>
      </c>
      <c r="B172" s="58" t="s">
        <v>39</v>
      </c>
      <c r="C172" s="58" t="s">
        <v>40</v>
      </c>
      <c r="D172" s="58" t="s">
        <v>49</v>
      </c>
      <c r="E172" s="58" t="s">
        <v>50</v>
      </c>
      <c r="F172" s="58" t="s">
        <v>25</v>
      </c>
      <c r="G172" s="58" t="s">
        <v>25</v>
      </c>
      <c r="H172" s="58" t="s">
        <v>34</v>
      </c>
      <c r="I172" s="66">
        <v>44743</v>
      </c>
      <c r="J172" s="67">
        <f ca="1">EFEITO!$J$172*EFEITO!$Y$151</f>
        <v>120462.54539450907</v>
      </c>
      <c r="K172" s="67">
        <f ca="1">EFEITO!$L$172*EFEITO!$Z$151</f>
        <v>10254.274330456772</v>
      </c>
      <c r="L172" s="67">
        <f>EFEITO!$N$172*EFEITO!$AA$151</f>
        <v>50862.325201981861</v>
      </c>
      <c r="M172" s="67">
        <f ca="1">$J$172-EFEITO!$K$172*EFEITO!$Y$172</f>
        <v>3613.8763618352677</v>
      </c>
      <c r="N172" s="67">
        <f ca="1">$K$172-EFEITO!$M$172*EFEITO!$Z$172</f>
        <v>307.62822991370376</v>
      </c>
      <c r="O172" s="67">
        <f>$L$172-EFEITO!$O$172*EFEITO!$AA$172</f>
        <v>1525.8697560594592</v>
      </c>
      <c r="P172" s="18"/>
      <c r="Q172" s="18"/>
      <c r="R172" s="18"/>
      <c r="S172" s="18"/>
      <c r="T172" s="18"/>
      <c r="U172" s="18"/>
      <c r="V172" s="18"/>
      <c r="W172" s="18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8" t="s">
        <v>21</v>
      </c>
      <c r="B173" s="58" t="s">
        <v>39</v>
      </c>
      <c r="C173" s="58" t="s">
        <v>40</v>
      </c>
      <c r="D173" s="58" t="s">
        <v>49</v>
      </c>
      <c r="E173" s="58" t="s">
        <v>50</v>
      </c>
      <c r="F173" s="58" t="s">
        <v>25</v>
      </c>
      <c r="G173" s="58" t="s">
        <v>25</v>
      </c>
      <c r="H173" s="58" t="s">
        <v>34</v>
      </c>
      <c r="I173" s="66">
        <v>44774</v>
      </c>
      <c r="J173" s="67">
        <f ca="1">EFEITO!$J$173*EFEITO!$Y$151</f>
        <v>119948.72411083581</v>
      </c>
      <c r="K173" s="67">
        <f ca="1">EFEITO!$L$173*EFEITO!$Z$151</f>
        <v>11561.449157588941</v>
      </c>
      <c r="L173" s="67">
        <f>EFEITO!$N$173*EFEITO!$AA$151</f>
        <v>57346.055694345159</v>
      </c>
      <c r="M173" s="67">
        <f ca="1">$J$173-EFEITO!$K$173*EFEITO!$Y$173</f>
        <v>3598.4617233250756</v>
      </c>
      <c r="N173" s="67">
        <f ca="1">$K$173-EFEITO!$M$173*EFEITO!$Z$173</f>
        <v>346.84347472766785</v>
      </c>
      <c r="O173" s="67">
        <f>$L$173-EFEITO!$O$173*EFEITO!$AA$173</f>
        <v>1720.3816708303639</v>
      </c>
      <c r="P173" s="18"/>
      <c r="Q173" s="18"/>
      <c r="R173" s="18"/>
      <c r="S173" s="18"/>
      <c r="T173" s="18"/>
      <c r="U173" s="18"/>
      <c r="V173" s="18"/>
      <c r="W173" s="18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8" t="s">
        <v>21</v>
      </c>
      <c r="B174" s="58" t="s">
        <v>39</v>
      </c>
      <c r="C174" s="58" t="s">
        <v>40</v>
      </c>
      <c r="D174" s="58" t="s">
        <v>49</v>
      </c>
      <c r="E174" s="58" t="s">
        <v>50</v>
      </c>
      <c r="F174" s="58" t="s">
        <v>25</v>
      </c>
      <c r="G174" s="58" t="s">
        <v>25</v>
      </c>
      <c r="H174" s="58" t="s">
        <v>34</v>
      </c>
      <c r="I174" s="66">
        <v>44805</v>
      </c>
      <c r="J174" s="67">
        <f ca="1">EFEITO!$J$174*EFEITO!$Y$151</f>
        <v>121661.46172308002</v>
      </c>
      <c r="K174" s="67">
        <f ca="1">EFEITO!$L$174*EFEITO!$Z$151</f>
        <v>11661.04134552349</v>
      </c>
      <c r="L174" s="67">
        <f>EFEITO!$N$174*EFEITO!$AA$151</f>
        <v>57840.043868160508</v>
      </c>
      <c r="M174" s="67">
        <f ca="1">$J$174-EFEITO!$K$174*EFEITO!$Y$174</f>
        <v>3649.843851692407</v>
      </c>
      <c r="N174" s="67">
        <f ca="1">$K$174-EFEITO!$M$174*EFEITO!$Z$174</f>
        <v>349.83124036570371</v>
      </c>
      <c r="O174" s="67">
        <f>$L$174-EFEITO!$O$174*EFEITO!$AA$174</f>
        <v>1735.2013160448187</v>
      </c>
      <c r="P174" s="18"/>
      <c r="Q174" s="18"/>
      <c r="R174" s="18"/>
      <c r="S174" s="18"/>
      <c r="T174" s="18"/>
      <c r="U174" s="18"/>
      <c r="V174" s="18"/>
      <c r="W174" s="18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8" t="s">
        <v>55</v>
      </c>
      <c r="B175" s="58" t="s">
        <v>39</v>
      </c>
      <c r="C175" s="58" t="s">
        <v>40</v>
      </c>
      <c r="D175" s="58" t="s">
        <v>49</v>
      </c>
      <c r="E175" s="58" t="s">
        <v>50</v>
      </c>
      <c r="F175" s="58" t="s">
        <v>25</v>
      </c>
      <c r="G175" s="58" t="s">
        <v>25</v>
      </c>
      <c r="H175" s="58" t="s">
        <v>34</v>
      </c>
      <c r="I175" s="66">
        <v>44835</v>
      </c>
      <c r="J175" s="67">
        <f ca="1">EFEITO!$J$175*EFEITO!$Y$151</f>
        <v>121661.46172308002</v>
      </c>
      <c r="K175" s="67">
        <f ca="1">EFEITO!$L$175*EFEITO!$Z$151</f>
        <v>11661.04134552349</v>
      </c>
      <c r="L175" s="67">
        <f>EFEITO!$N$175*EFEITO!$AA$151</f>
        <v>57840.043868160508</v>
      </c>
      <c r="M175" s="67">
        <f ca="1">$J$175-EFEITO!$K$175*EFEITO!$Y$175</f>
        <v>3649.843851692407</v>
      </c>
      <c r="N175" s="67">
        <f ca="1">$K$175-EFEITO!$M$175*EFEITO!$Z$175</f>
        <v>349.83124036570371</v>
      </c>
      <c r="O175" s="67">
        <f>$L$175-EFEITO!$O$175*EFEITO!$AA$175</f>
        <v>1735.2013160448187</v>
      </c>
      <c r="P175" s="18"/>
      <c r="Q175" s="18"/>
      <c r="R175" s="18"/>
      <c r="S175" s="18"/>
      <c r="T175" s="18"/>
      <c r="U175" s="18"/>
      <c r="V175" s="18"/>
      <c r="W175" s="18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8" t="s">
        <v>21</v>
      </c>
      <c r="B176" s="58" t="s">
        <v>39</v>
      </c>
      <c r="C176" s="58" t="s">
        <v>41</v>
      </c>
      <c r="D176" s="58" t="s">
        <v>42</v>
      </c>
      <c r="E176" s="58" t="s">
        <v>25</v>
      </c>
      <c r="F176" s="58" t="s">
        <v>25</v>
      </c>
      <c r="G176" s="58" t="s">
        <v>25</v>
      </c>
      <c r="H176" s="58" t="s">
        <v>35</v>
      </c>
      <c r="I176" s="66">
        <v>44501</v>
      </c>
      <c r="J176" s="67">
        <f>EFEITO!$J$176*EFEITO!$Y$176</f>
        <v>0</v>
      </c>
      <c r="K176" s="67">
        <f ca="1">EFEITO!$L$176*EFEITO!$Z$176</f>
        <v>745290.03970281768</v>
      </c>
      <c r="L176" s="67">
        <f>EFEITO!$N$176*EFEITO!$AA$176</f>
        <v>2161380.2957895822</v>
      </c>
      <c r="M176" s="67">
        <f>$J$176-EFEITO!$K$176*EFEITO!$Y$176</f>
        <v>0</v>
      </c>
      <c r="N176" s="67">
        <f ca="1">$K$176-EFEITO!$M$176*EFEITO!$Z$176</f>
        <v>0</v>
      </c>
      <c r="O176" s="67">
        <f>$L$176-EFEITO!$O$176*EFEITO!$AA$176</f>
        <v>0</v>
      </c>
      <c r="P176" s="18"/>
      <c r="Q176" s="18"/>
      <c r="R176" s="18"/>
      <c r="S176" s="18"/>
      <c r="T176" s="18"/>
      <c r="U176" s="18"/>
      <c r="V176" s="18"/>
      <c r="W176" s="18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8" t="s">
        <v>27</v>
      </c>
      <c r="B177" s="58" t="s">
        <v>39</v>
      </c>
      <c r="C177" s="58" t="s">
        <v>41</v>
      </c>
      <c r="D177" s="58" t="s">
        <v>42</v>
      </c>
      <c r="E177" s="58" t="s">
        <v>25</v>
      </c>
      <c r="F177" s="58" t="s">
        <v>25</v>
      </c>
      <c r="G177" s="58" t="s">
        <v>25</v>
      </c>
      <c r="H177" s="58" t="s">
        <v>35</v>
      </c>
      <c r="I177" s="66">
        <v>44501</v>
      </c>
      <c r="J177" s="67">
        <f>EFEITO!$J$177*EFEITO!$Y$177</f>
        <v>0</v>
      </c>
      <c r="K177" s="67">
        <f ca="1">EFEITO!$L$177*EFEITO!$Z$177</f>
        <v>-4092.2539464271649</v>
      </c>
      <c r="L177" s="67">
        <f>EFEITO!$N$177*EFEITO!$AA$177</f>
        <v>-11867.751578568952</v>
      </c>
      <c r="M177" s="67">
        <f>$J$177-EFEITO!$K$177*EFEITO!$Y$177</f>
        <v>0</v>
      </c>
      <c r="N177" s="67">
        <f ca="1">$K$177-EFEITO!$M$177*EFEITO!$Z$177</f>
        <v>0</v>
      </c>
      <c r="O177" s="67">
        <f>$L$177-EFEITO!$O$177*EFEITO!$AA$177</f>
        <v>0</v>
      </c>
      <c r="P177" s="18"/>
      <c r="Q177" s="18"/>
      <c r="R177" s="18"/>
      <c r="S177" s="18"/>
      <c r="T177" s="18"/>
      <c r="U177" s="18"/>
      <c r="V177" s="18"/>
      <c r="W177" s="18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8" t="s">
        <v>28</v>
      </c>
      <c r="B178" s="58" t="s">
        <v>39</v>
      </c>
      <c r="C178" s="58" t="s">
        <v>41</v>
      </c>
      <c r="D178" s="58" t="s">
        <v>42</v>
      </c>
      <c r="E178" s="58" t="s">
        <v>25</v>
      </c>
      <c r="F178" s="58" t="s">
        <v>25</v>
      </c>
      <c r="G178" s="58" t="s">
        <v>25</v>
      </c>
      <c r="H178" s="58" t="s">
        <v>35</v>
      </c>
      <c r="I178" s="66">
        <v>44501</v>
      </c>
      <c r="J178" s="67">
        <f>EFEITO!$J$178*EFEITO!$Y$178</f>
        <v>0</v>
      </c>
      <c r="K178" s="67">
        <f ca="1">EFEITO!$L$178*EFEITO!$Z$178</f>
        <v>19461.626825988365</v>
      </c>
      <c r="L178" s="67">
        <f>EFEITO!$N$178*EFEITO!$AA$178</f>
        <v>56439.740912778187</v>
      </c>
      <c r="M178" s="67">
        <f>$J$178-EFEITO!$K$178*EFEITO!$Y$178</f>
        <v>0</v>
      </c>
      <c r="N178" s="67">
        <f ca="1">$K$178-EFEITO!$M$178*EFEITO!$Z$178</f>
        <v>0</v>
      </c>
      <c r="O178" s="67">
        <f>$L$178-EFEITO!$O$178*EFEITO!$AA$178</f>
        <v>0</v>
      </c>
      <c r="P178" s="18"/>
      <c r="Q178" s="18"/>
      <c r="R178" s="18"/>
      <c r="S178" s="18"/>
      <c r="T178" s="18"/>
      <c r="U178" s="18"/>
      <c r="V178" s="18"/>
      <c r="W178" s="18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8" t="s">
        <v>21</v>
      </c>
      <c r="B179" s="58" t="s">
        <v>39</v>
      </c>
      <c r="C179" s="58" t="s">
        <v>41</v>
      </c>
      <c r="D179" s="58" t="s">
        <v>42</v>
      </c>
      <c r="E179" s="58" t="s">
        <v>25</v>
      </c>
      <c r="F179" s="58" t="s">
        <v>25</v>
      </c>
      <c r="G179" s="58" t="s">
        <v>25</v>
      </c>
      <c r="H179" s="58" t="s">
        <v>35</v>
      </c>
      <c r="I179" s="66">
        <v>44531</v>
      </c>
      <c r="J179" s="67">
        <f>EFEITO!$J$179*EFEITO!$Y$179</f>
        <v>0</v>
      </c>
      <c r="K179" s="67">
        <f ca="1">EFEITO!$L$179*EFEITO!$Z$179</f>
        <v>701565.78594060696</v>
      </c>
      <c r="L179" s="67">
        <f>EFEITO!$N$179*EFEITO!$AA$179</f>
        <v>2034577.6612509142</v>
      </c>
      <c r="M179" s="67">
        <f>$J$179-EFEITO!$K$179*EFEITO!$Y$179</f>
        <v>0</v>
      </c>
      <c r="N179" s="67">
        <f ca="1">$K$179-EFEITO!$M$179*EFEITO!$Z$179</f>
        <v>0</v>
      </c>
      <c r="O179" s="67">
        <f>$L$179-EFEITO!$O$179*EFEITO!$AA$179</f>
        <v>0</v>
      </c>
      <c r="P179" s="18"/>
      <c r="Q179" s="18"/>
      <c r="R179" s="18"/>
      <c r="S179" s="18"/>
      <c r="T179" s="18"/>
      <c r="U179" s="18"/>
      <c r="V179" s="18"/>
      <c r="W179" s="18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8" t="s">
        <v>27</v>
      </c>
      <c r="B180" s="58" t="s">
        <v>39</v>
      </c>
      <c r="C180" s="58" t="s">
        <v>41</v>
      </c>
      <c r="D180" s="58" t="s">
        <v>42</v>
      </c>
      <c r="E180" s="58" t="s">
        <v>25</v>
      </c>
      <c r="F180" s="58" t="s">
        <v>25</v>
      </c>
      <c r="G180" s="58" t="s">
        <v>25</v>
      </c>
      <c r="H180" s="58" t="s">
        <v>35</v>
      </c>
      <c r="I180" s="66">
        <v>44531</v>
      </c>
      <c r="J180" s="67">
        <f>EFEITO!$J$180*EFEITO!$Y$180</f>
        <v>0</v>
      </c>
      <c r="K180" s="67">
        <f ca="1">EFEITO!$L$180*EFEITO!$Z$180</f>
        <v>469.39658686954715</v>
      </c>
      <c r="L180" s="67">
        <f>EFEITO!$N$180*EFEITO!$AA$180</f>
        <v>1361.2747785751558</v>
      </c>
      <c r="M180" s="67">
        <f>$J$180-EFEITO!$K$180*EFEITO!$Y$180</f>
        <v>0</v>
      </c>
      <c r="N180" s="67">
        <f ca="1">$K$180-EFEITO!$M$180*EFEITO!$Z$180</f>
        <v>0</v>
      </c>
      <c r="O180" s="67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8" t="s">
        <v>28</v>
      </c>
      <c r="B181" s="58" t="s">
        <v>39</v>
      </c>
      <c r="C181" s="58" t="s">
        <v>41</v>
      </c>
      <c r="D181" s="58" t="s">
        <v>42</v>
      </c>
      <c r="E181" s="58" t="s">
        <v>25</v>
      </c>
      <c r="F181" s="58" t="s">
        <v>25</v>
      </c>
      <c r="G181" s="58" t="s">
        <v>25</v>
      </c>
      <c r="H181" s="58" t="s">
        <v>35</v>
      </c>
      <c r="I181" s="66">
        <v>44531</v>
      </c>
      <c r="J181" s="67">
        <f>EFEITO!$J$181*EFEITO!$Y$181</f>
        <v>0</v>
      </c>
      <c r="K181" s="67">
        <f ca="1">EFEITO!$L$181*EFEITO!$Z$181</f>
        <v>17291.064338838976</v>
      </c>
      <c r="L181" s="67">
        <f>EFEITO!$N$181*EFEITO!$AA$181</f>
        <v>50144.995591379011</v>
      </c>
      <c r="M181" s="67">
        <f>$J$181-EFEITO!$K$181*EFEITO!$Y$181</f>
        <v>0</v>
      </c>
      <c r="N181" s="67">
        <f ca="1">$K$181-EFEITO!$M$181*EFEITO!$Z$181</f>
        <v>0</v>
      </c>
      <c r="O181" s="67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8" t="s">
        <v>21</v>
      </c>
      <c r="B182" s="58" t="s">
        <v>39</v>
      </c>
      <c r="C182" s="58" t="s">
        <v>41</v>
      </c>
      <c r="D182" s="58" t="s">
        <v>42</v>
      </c>
      <c r="E182" s="58" t="s">
        <v>25</v>
      </c>
      <c r="F182" s="58" t="s">
        <v>25</v>
      </c>
      <c r="G182" s="58" t="s">
        <v>25</v>
      </c>
      <c r="H182" s="58" t="s">
        <v>35</v>
      </c>
      <c r="I182" s="66">
        <v>44562</v>
      </c>
      <c r="J182" s="67">
        <f>EFEITO!$J$182*EFEITO!$Y$182</f>
        <v>0</v>
      </c>
      <c r="K182" s="67">
        <f ca="1">EFEITO!$L$182*EFEITO!$Z$182</f>
        <v>674604.97680511174</v>
      </c>
      <c r="L182" s="67">
        <f>EFEITO!$N$182*EFEITO!$AA$182</f>
        <v>1956389.897400965</v>
      </c>
      <c r="M182" s="67">
        <f>$J$182-EFEITO!$K$182*EFEITO!$Y$182</f>
        <v>0</v>
      </c>
      <c r="N182" s="67">
        <f ca="1">$K$182-EFEITO!$M$182*EFEITO!$Z$182</f>
        <v>0</v>
      </c>
      <c r="O182" s="67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8" t="s">
        <v>28</v>
      </c>
      <c r="B183" s="58" t="s">
        <v>39</v>
      </c>
      <c r="C183" s="58" t="s">
        <v>41</v>
      </c>
      <c r="D183" s="58" t="s">
        <v>42</v>
      </c>
      <c r="E183" s="58" t="s">
        <v>25</v>
      </c>
      <c r="F183" s="58" t="s">
        <v>25</v>
      </c>
      <c r="G183" s="58" t="s">
        <v>25</v>
      </c>
      <c r="H183" s="58" t="s">
        <v>35</v>
      </c>
      <c r="I183" s="66">
        <v>44562</v>
      </c>
      <c r="J183" s="67">
        <f>EFEITO!$J$183*EFEITO!$Y$183</f>
        <v>0</v>
      </c>
      <c r="K183" s="67">
        <f ca="1">EFEITO!$L$183*EFEITO!$Z$183</f>
        <v>16246.2219012443</v>
      </c>
      <c r="L183" s="67">
        <f>EFEITO!$N$183*EFEITO!$AA$183</f>
        <v>47114.897593930422</v>
      </c>
      <c r="M183" s="67">
        <f>$J$183-EFEITO!$K$183*EFEITO!$Y$183</f>
        <v>0</v>
      </c>
      <c r="N183" s="67">
        <f ca="1">$K$183-EFEITO!$M$183*EFEITO!$Z$183</f>
        <v>0</v>
      </c>
      <c r="O183" s="67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8" t="s">
        <v>21</v>
      </c>
      <c r="B184" s="58" t="s">
        <v>39</v>
      </c>
      <c r="C184" s="58" t="s">
        <v>41</v>
      </c>
      <c r="D184" s="58" t="s">
        <v>42</v>
      </c>
      <c r="E184" s="58" t="s">
        <v>25</v>
      </c>
      <c r="F184" s="58" t="s">
        <v>25</v>
      </c>
      <c r="G184" s="58" t="s">
        <v>25</v>
      </c>
      <c r="H184" s="58" t="s">
        <v>35</v>
      </c>
      <c r="I184" s="66">
        <v>44593</v>
      </c>
      <c r="J184" s="67">
        <f>EFEITO!$J$184*EFEITO!$Y$184</f>
        <v>0</v>
      </c>
      <c r="K184" s="67">
        <f ca="1">EFEITO!$L$184*EFEITO!$Z$184</f>
        <v>656881.50726349326</v>
      </c>
      <c r="L184" s="67">
        <f>EFEITO!$N$184*EFEITO!$AA$184</f>
        <v>1904990.9039895465</v>
      </c>
      <c r="M184" s="67">
        <f>$J$184-EFEITO!$K$184*EFEITO!$Y$184</f>
        <v>0</v>
      </c>
      <c r="N184" s="67">
        <f ca="1">$K$184-EFEITO!$M$184*EFEITO!$Z$184</f>
        <v>0</v>
      </c>
      <c r="O184" s="67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8" t="s">
        <v>28</v>
      </c>
      <c r="B185" s="58" t="s">
        <v>39</v>
      </c>
      <c r="C185" s="58" t="s">
        <v>41</v>
      </c>
      <c r="D185" s="58" t="s">
        <v>42</v>
      </c>
      <c r="E185" s="58" t="s">
        <v>25</v>
      </c>
      <c r="F185" s="58" t="s">
        <v>25</v>
      </c>
      <c r="G185" s="58" t="s">
        <v>25</v>
      </c>
      <c r="H185" s="58" t="s">
        <v>35</v>
      </c>
      <c r="I185" s="66">
        <v>44593</v>
      </c>
      <c r="J185" s="67">
        <f>EFEITO!$J$185*EFEITO!$Y$185</f>
        <v>0</v>
      </c>
      <c r="K185" s="67">
        <f ca="1">EFEITO!$L$185*EFEITO!$Z$185</f>
        <v>15743.883282981016</v>
      </c>
      <c r="L185" s="67">
        <f>EFEITO!$N$185*EFEITO!$AA$185</f>
        <v>45658.089192517516</v>
      </c>
      <c r="M185" s="67">
        <f>$J$185-EFEITO!$K$185*EFEITO!$Y$185</f>
        <v>0</v>
      </c>
      <c r="N185" s="67">
        <f ca="1">$K$185-EFEITO!$M$185*EFEITO!$Z$185</f>
        <v>0</v>
      </c>
      <c r="O185" s="67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8" t="s">
        <v>21</v>
      </c>
      <c r="B186" s="58" t="s">
        <v>39</v>
      </c>
      <c r="C186" s="58" t="s">
        <v>41</v>
      </c>
      <c r="D186" s="58" t="s">
        <v>42</v>
      </c>
      <c r="E186" s="58" t="s">
        <v>25</v>
      </c>
      <c r="F186" s="58" t="s">
        <v>25</v>
      </c>
      <c r="G186" s="58" t="s">
        <v>25</v>
      </c>
      <c r="H186" s="58" t="s">
        <v>35</v>
      </c>
      <c r="I186" s="66">
        <v>44621</v>
      </c>
      <c r="J186" s="67">
        <f>EFEITO!$J$186*EFEITO!$Y$186</f>
        <v>0</v>
      </c>
      <c r="K186" s="67">
        <f ca="1">EFEITO!$L$186*EFEITO!$Z$186</f>
        <v>698652.11251271516</v>
      </c>
      <c r="L186" s="67">
        <f>EFEITO!$N$186*EFEITO!$AA$186</f>
        <v>2026127.8551352683</v>
      </c>
      <c r="M186" s="67">
        <f>$J$186-EFEITO!$K$186*EFEITO!$Y$186</f>
        <v>0</v>
      </c>
      <c r="N186" s="67">
        <f ca="1">$K$186-EFEITO!$M$186*EFEITO!$Z$186</f>
        <v>0</v>
      </c>
      <c r="O186" s="67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8" t="s">
        <v>28</v>
      </c>
      <c r="B187" s="58" t="s">
        <v>39</v>
      </c>
      <c r="C187" s="58" t="s">
        <v>41</v>
      </c>
      <c r="D187" s="58" t="s">
        <v>42</v>
      </c>
      <c r="E187" s="58" t="s">
        <v>25</v>
      </c>
      <c r="F187" s="58" t="s">
        <v>25</v>
      </c>
      <c r="G187" s="58" t="s">
        <v>25</v>
      </c>
      <c r="H187" s="58" t="s">
        <v>35</v>
      </c>
      <c r="I187" s="66">
        <v>44621</v>
      </c>
      <c r="J187" s="67">
        <f>EFEITO!$J$187*EFEITO!$Y$187</f>
        <v>0</v>
      </c>
      <c r="K187" s="67">
        <f ca="1">EFEITO!$L$187*EFEITO!$Z$187</f>
        <v>27150.034292570916</v>
      </c>
      <c r="L187" s="67">
        <f>EFEITO!$N$187*EFEITO!$AA$187</f>
        <v>78736.526753226615</v>
      </c>
      <c r="M187" s="67">
        <f>$J$187-EFEITO!$K$187*EFEITO!$Y$187</f>
        <v>0</v>
      </c>
      <c r="N187" s="67">
        <f ca="1">$K$187-EFEITO!$M$187*EFEITO!$Z$187</f>
        <v>0</v>
      </c>
      <c r="O187" s="67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8" t="s">
        <v>28</v>
      </c>
      <c r="B188" s="58" t="s">
        <v>39</v>
      </c>
      <c r="C188" s="58" t="s">
        <v>41</v>
      </c>
      <c r="D188" s="58" t="s">
        <v>42</v>
      </c>
      <c r="E188" s="58" t="s">
        <v>25</v>
      </c>
      <c r="F188" s="58" t="s">
        <v>25</v>
      </c>
      <c r="G188" s="58" t="s">
        <v>25</v>
      </c>
      <c r="H188" s="58" t="s">
        <v>35</v>
      </c>
      <c r="I188" s="66">
        <v>44621</v>
      </c>
      <c r="J188" s="67">
        <f>EFEITO!$J$188*EFEITO!$Y$188</f>
        <v>0</v>
      </c>
      <c r="K188" s="67">
        <f ca="1">EFEITO!$L$188*EFEITO!$Z$188</f>
        <v>184.40971062606366</v>
      </c>
      <c r="L188" s="67">
        <f>EFEITO!$N$188*EFEITO!$AA$188</f>
        <v>534.79785542064292</v>
      </c>
      <c r="M188" s="67">
        <f>$J$188-EFEITO!$K$188*EFEITO!$Y$188</f>
        <v>0</v>
      </c>
      <c r="N188" s="67">
        <f ca="1">$K$188-EFEITO!$M$188*EFEITO!$Z$188</f>
        <v>0</v>
      </c>
      <c r="O188" s="67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8" t="s">
        <v>21</v>
      </c>
      <c r="B189" s="58" t="s">
        <v>39</v>
      </c>
      <c r="C189" s="58" t="s">
        <v>41</v>
      </c>
      <c r="D189" s="58" t="s">
        <v>42</v>
      </c>
      <c r="E189" s="58" t="s">
        <v>25</v>
      </c>
      <c r="F189" s="58" t="s">
        <v>25</v>
      </c>
      <c r="G189" s="58" t="s">
        <v>25</v>
      </c>
      <c r="H189" s="58" t="s">
        <v>35</v>
      </c>
      <c r="I189" s="66">
        <v>44652</v>
      </c>
      <c r="J189" s="67">
        <f>EFEITO!$J$189*EFEITO!$Y$189</f>
        <v>0</v>
      </c>
      <c r="K189" s="67">
        <f ca="1">EFEITO!$L$189*EFEITO!$Z$189</f>
        <v>698652.11251271516</v>
      </c>
      <c r="L189" s="67">
        <f>EFEITO!$N$189*EFEITO!$AA$189</f>
        <v>2026127.8551352683</v>
      </c>
      <c r="M189" s="67">
        <f>$J$189-EFEITO!$K$189*EFEITO!$Y$189</f>
        <v>0</v>
      </c>
      <c r="N189" s="67">
        <f ca="1">$K$189-EFEITO!$M$189*EFEITO!$Z$189</f>
        <v>0</v>
      </c>
      <c r="O189" s="67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8" t="s">
        <v>28</v>
      </c>
      <c r="B190" s="58" t="s">
        <v>39</v>
      </c>
      <c r="C190" s="58" t="s">
        <v>41</v>
      </c>
      <c r="D190" s="58" t="s">
        <v>42</v>
      </c>
      <c r="E190" s="58" t="s">
        <v>25</v>
      </c>
      <c r="F190" s="58" t="s">
        <v>25</v>
      </c>
      <c r="G190" s="58" t="s">
        <v>25</v>
      </c>
      <c r="H190" s="58" t="s">
        <v>35</v>
      </c>
      <c r="I190" s="66">
        <v>44652</v>
      </c>
      <c r="J190" s="67">
        <f>EFEITO!$J$190*EFEITO!$Y$190</f>
        <v>0</v>
      </c>
      <c r="K190" s="67">
        <f ca="1">EFEITO!$L$190*EFEITO!$Z$190</f>
        <v>27150.034292570916</v>
      </c>
      <c r="L190" s="67">
        <f>EFEITO!$N$190*EFEITO!$AA$190</f>
        <v>78736.526753226615</v>
      </c>
      <c r="M190" s="67">
        <f>$J$190-EFEITO!$K$190*EFEITO!$Y$190</f>
        <v>0</v>
      </c>
      <c r="N190" s="67">
        <f ca="1">$K$190-EFEITO!$M$190*EFEITO!$Z$190</f>
        <v>0</v>
      </c>
      <c r="O190" s="67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8" t="s">
        <v>28</v>
      </c>
      <c r="B191" s="58" t="s">
        <v>39</v>
      </c>
      <c r="C191" s="58" t="s">
        <v>41</v>
      </c>
      <c r="D191" s="58" t="s">
        <v>42</v>
      </c>
      <c r="E191" s="58" t="s">
        <v>25</v>
      </c>
      <c r="F191" s="58" t="s">
        <v>25</v>
      </c>
      <c r="G191" s="58" t="s">
        <v>25</v>
      </c>
      <c r="H191" s="58" t="s">
        <v>35</v>
      </c>
      <c r="I191" s="66">
        <v>44652</v>
      </c>
      <c r="J191" s="67">
        <f>EFEITO!$J$191*EFEITO!$Y$191</f>
        <v>0</v>
      </c>
      <c r="K191" s="67">
        <f ca="1">EFEITO!$L$191*EFEITO!$Z$191</f>
        <v>184.40971062606366</v>
      </c>
      <c r="L191" s="67">
        <f>EFEITO!$N$191*EFEITO!$AA$191</f>
        <v>534.79785542064292</v>
      </c>
      <c r="M191" s="67">
        <f>$J$191-EFEITO!$K$191*EFEITO!$Y$191</f>
        <v>0</v>
      </c>
      <c r="N191" s="67">
        <f ca="1">$K$191-EFEITO!$M$191*EFEITO!$Z$191</f>
        <v>0</v>
      </c>
      <c r="O191" s="67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8" t="s">
        <v>21</v>
      </c>
      <c r="B192" s="58" t="s">
        <v>39</v>
      </c>
      <c r="C192" s="58" t="s">
        <v>41</v>
      </c>
      <c r="D192" s="58" t="s">
        <v>42</v>
      </c>
      <c r="E192" s="58" t="s">
        <v>25</v>
      </c>
      <c r="F192" s="58" t="s">
        <v>25</v>
      </c>
      <c r="G192" s="58" t="s">
        <v>25</v>
      </c>
      <c r="H192" s="58" t="s">
        <v>35</v>
      </c>
      <c r="I192" s="66">
        <v>44682</v>
      </c>
      <c r="J192" s="67">
        <f>EFEITO!$J$192*EFEITO!$Y$192</f>
        <v>0</v>
      </c>
      <c r="K192" s="67">
        <f ca="1">EFEITO!$L$192*EFEITO!$Z$192</f>
        <v>672463.96364844835</v>
      </c>
      <c r="L192" s="67">
        <f>EFEITO!$N$192*EFEITO!$AA$192</f>
        <v>1950180.8466914135</v>
      </c>
      <c r="M192" s="67">
        <f>$J$192-EFEITO!$K$192*EFEITO!$Y$192</f>
        <v>0</v>
      </c>
      <c r="N192" s="67">
        <f ca="1">$K$192-EFEITO!$M$192*EFEITO!$Z$192</f>
        <v>0</v>
      </c>
      <c r="O192" s="67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8" t="s">
        <v>27</v>
      </c>
      <c r="B193" s="58" t="s">
        <v>39</v>
      </c>
      <c r="C193" s="58" t="s">
        <v>41</v>
      </c>
      <c r="D193" s="58" t="s">
        <v>42</v>
      </c>
      <c r="E193" s="58" t="s">
        <v>25</v>
      </c>
      <c r="F193" s="58" t="s">
        <v>25</v>
      </c>
      <c r="G193" s="58" t="s">
        <v>25</v>
      </c>
      <c r="H193" s="58" t="s">
        <v>35</v>
      </c>
      <c r="I193" s="66">
        <v>44682</v>
      </c>
      <c r="J193" s="67">
        <f>EFEITO!$J$193*EFEITO!$Y$193</f>
        <v>0</v>
      </c>
      <c r="K193" s="67">
        <f ca="1">EFEITO!$L$193*EFEITO!$Z$193</f>
        <v>-7685.4525335339431</v>
      </c>
      <c r="L193" s="67">
        <f>EFEITO!$N$193*EFEITO!$AA$193</f>
        <v>-22288.216379263638</v>
      </c>
      <c r="M193" s="67">
        <f>$J$193-EFEITO!$K$193*EFEITO!$Y$193</f>
        <v>0</v>
      </c>
      <c r="N193" s="67">
        <f ca="1">$K$193-EFEITO!$M$193*EFEITO!$Z$193</f>
        <v>0</v>
      </c>
      <c r="O193" s="67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8" t="s">
        <v>28</v>
      </c>
      <c r="B194" s="58" t="s">
        <v>39</v>
      </c>
      <c r="C194" s="58" t="s">
        <v>41</v>
      </c>
      <c r="D194" s="58" t="s">
        <v>42</v>
      </c>
      <c r="E194" s="58" t="s">
        <v>25</v>
      </c>
      <c r="F194" s="58" t="s">
        <v>25</v>
      </c>
      <c r="G194" s="58" t="s">
        <v>25</v>
      </c>
      <c r="H194" s="58" t="s">
        <v>35</v>
      </c>
      <c r="I194" s="66">
        <v>44682</v>
      </c>
      <c r="J194" s="67">
        <f>EFEITO!$J$194*EFEITO!$Y$194</f>
        <v>0</v>
      </c>
      <c r="K194" s="67">
        <f ca="1">EFEITO!$L$194*EFEITO!$Z$194</f>
        <v>108812.0168140653</v>
      </c>
      <c r="L194" s="67">
        <f>EFEITO!$N$194*EFEITO!$AA$194</f>
        <v>315560.56911860046</v>
      </c>
      <c r="M194" s="67">
        <f>$J$194-EFEITO!$K$194*EFEITO!$Y$194</f>
        <v>0</v>
      </c>
      <c r="N194" s="67">
        <f ca="1">$K$194-EFEITO!$M$194*EFEITO!$Z$194</f>
        <v>0</v>
      </c>
      <c r="O194" s="67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8" t="s">
        <v>21</v>
      </c>
      <c r="B195" s="58" t="s">
        <v>39</v>
      </c>
      <c r="C195" s="58" t="s">
        <v>41</v>
      </c>
      <c r="D195" s="58" t="s">
        <v>42</v>
      </c>
      <c r="E195" s="58" t="s">
        <v>25</v>
      </c>
      <c r="F195" s="58" t="s">
        <v>25</v>
      </c>
      <c r="G195" s="58" t="s">
        <v>25</v>
      </c>
      <c r="H195" s="58" t="s">
        <v>35</v>
      </c>
      <c r="I195" s="66">
        <v>44713</v>
      </c>
      <c r="J195" s="67">
        <f>EFEITO!$J$195*EFEITO!$Y$195</f>
        <v>0</v>
      </c>
      <c r="K195" s="67">
        <f ca="1">EFEITO!$L$195*EFEITO!$Z$195</f>
        <v>634855.87408703158</v>
      </c>
      <c r="L195" s="67">
        <f>EFEITO!$N$195*EFEITO!$AA$195</f>
        <v>1841115.409867988</v>
      </c>
      <c r="M195" s="67">
        <f>$J$195-EFEITO!$K$195*EFEITO!$Y$195</f>
        <v>0</v>
      </c>
      <c r="N195" s="67">
        <f ca="1">$K$195-EFEITO!$M$195*EFEITO!$Z$195</f>
        <v>0</v>
      </c>
      <c r="O195" s="67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8" t="s">
        <v>27</v>
      </c>
      <c r="B196" s="58" t="s">
        <v>39</v>
      </c>
      <c r="C196" s="58" t="s">
        <v>41</v>
      </c>
      <c r="D196" s="58" t="s">
        <v>42</v>
      </c>
      <c r="E196" s="58" t="s">
        <v>25</v>
      </c>
      <c r="F196" s="58" t="s">
        <v>25</v>
      </c>
      <c r="G196" s="58" t="s">
        <v>25</v>
      </c>
      <c r="H196" s="58" t="s">
        <v>35</v>
      </c>
      <c r="I196" s="66">
        <v>44713</v>
      </c>
      <c r="J196" s="67">
        <f>EFEITO!$J$196*EFEITO!$Y$196</f>
        <v>0</v>
      </c>
      <c r="K196" s="67">
        <f ca="1">EFEITO!$L$196*EFEITO!$Z$196</f>
        <v>-8234.8511966454207</v>
      </c>
      <c r="L196" s="67">
        <f>EFEITO!$N$196*EFEITO!$AA$196</f>
        <v>-23881.50138473048</v>
      </c>
      <c r="M196" s="67">
        <f>$J$196-EFEITO!$K$196*EFEITO!$Y$196</f>
        <v>0</v>
      </c>
      <c r="N196" s="67">
        <f ca="1">$K$196-EFEITO!$M$196*EFEITO!$Z$196</f>
        <v>0</v>
      </c>
      <c r="O196" s="67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8" t="s">
        <v>28</v>
      </c>
      <c r="B197" s="58" t="s">
        <v>39</v>
      </c>
      <c r="C197" s="58" t="s">
        <v>41</v>
      </c>
      <c r="D197" s="58" t="s">
        <v>42</v>
      </c>
      <c r="E197" s="58" t="s">
        <v>25</v>
      </c>
      <c r="F197" s="58" t="s">
        <v>25</v>
      </c>
      <c r="G197" s="58" t="s">
        <v>25</v>
      </c>
      <c r="H197" s="58" t="s">
        <v>35</v>
      </c>
      <c r="I197" s="66">
        <v>44713</v>
      </c>
      <c r="J197" s="67">
        <f>EFEITO!$J$197*EFEITO!$Y$197</f>
        <v>0</v>
      </c>
      <c r="K197" s="67">
        <f ca="1">EFEITO!$L$197*EFEITO!$Z$197</f>
        <v>27590.538200742969</v>
      </c>
      <c r="L197" s="67">
        <f>EFEITO!$N$197*EFEITO!$AA$197</f>
        <v>80014.011244661684</v>
      </c>
      <c r="M197" s="67">
        <f>$J$197-EFEITO!$K$197*EFEITO!$Y$197</f>
        <v>0</v>
      </c>
      <c r="N197" s="67">
        <f ca="1">$K$197-EFEITO!$M$197*EFEITO!$Z$197</f>
        <v>0</v>
      </c>
      <c r="O197" s="67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8" t="s">
        <v>21</v>
      </c>
      <c r="B198" s="58" t="s">
        <v>39</v>
      </c>
      <c r="C198" s="58" t="s">
        <v>41</v>
      </c>
      <c r="D198" s="58" t="s">
        <v>42</v>
      </c>
      <c r="E198" s="58" t="s">
        <v>25</v>
      </c>
      <c r="F198" s="58" t="s">
        <v>25</v>
      </c>
      <c r="G198" s="58" t="s">
        <v>25</v>
      </c>
      <c r="H198" s="58" t="s">
        <v>35</v>
      </c>
      <c r="I198" s="66">
        <v>44743</v>
      </c>
      <c r="J198" s="67">
        <f>EFEITO!$J$198*EFEITO!$Y$198</f>
        <v>0</v>
      </c>
      <c r="K198" s="67">
        <f ca="1">EFEITO!$L$198*EFEITO!$Z$198</f>
        <v>662969.76376327244</v>
      </c>
      <c r="L198" s="67">
        <f>EFEITO!$N$198*EFEITO!$AA$198</f>
        <v>1922647.1679047099</v>
      </c>
      <c r="M198" s="67">
        <f>$J$198-EFEITO!$K$198*EFEITO!$Y$198</f>
        <v>0</v>
      </c>
      <c r="N198" s="67">
        <f ca="1">$K$198-EFEITO!$M$198*EFEITO!$Z$198</f>
        <v>0</v>
      </c>
      <c r="O198" s="67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8" t="s">
        <v>27</v>
      </c>
      <c r="B199" s="58" t="s">
        <v>39</v>
      </c>
      <c r="C199" s="58" t="s">
        <v>41</v>
      </c>
      <c r="D199" s="58" t="s">
        <v>42</v>
      </c>
      <c r="E199" s="58" t="s">
        <v>25</v>
      </c>
      <c r="F199" s="58" t="s">
        <v>25</v>
      </c>
      <c r="G199" s="58" t="s">
        <v>25</v>
      </c>
      <c r="H199" s="58" t="s">
        <v>35</v>
      </c>
      <c r="I199" s="66">
        <v>44743</v>
      </c>
      <c r="J199" s="67">
        <f>EFEITO!$J$199*EFEITO!$Y$199</f>
        <v>0</v>
      </c>
      <c r="K199" s="67">
        <f ca="1">EFEITO!$L$199*EFEITO!$Z$199</f>
        <v>-651.94578409463566</v>
      </c>
      <c r="L199" s="67">
        <f>EFEITO!$N$199*EFEITO!$AA$199</f>
        <v>-1890.6770473238992</v>
      </c>
      <c r="M199" s="67">
        <f>$J$199-EFEITO!$K$199*EFEITO!$Y$199</f>
        <v>0</v>
      </c>
      <c r="N199" s="67">
        <f ca="1">$K$199-EFEITO!$M$199*EFEITO!$Z$199</f>
        <v>0</v>
      </c>
      <c r="O199" s="67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8" t="s">
        <v>28</v>
      </c>
      <c r="B200" s="58" t="s">
        <v>39</v>
      </c>
      <c r="C200" s="58" t="s">
        <v>41</v>
      </c>
      <c r="D200" s="58" t="s">
        <v>42</v>
      </c>
      <c r="E200" s="58" t="s">
        <v>25</v>
      </c>
      <c r="F200" s="58" t="s">
        <v>25</v>
      </c>
      <c r="G200" s="58" t="s">
        <v>25</v>
      </c>
      <c r="H200" s="58" t="s">
        <v>35</v>
      </c>
      <c r="I200" s="66">
        <v>44743</v>
      </c>
      <c r="J200" s="67">
        <f>EFEITO!$J$200*EFEITO!$Y$200</f>
        <v>0</v>
      </c>
      <c r="K200" s="67">
        <f ca="1">EFEITO!$L$200*EFEITO!$Z$200</f>
        <v>30451.679485548415</v>
      </c>
      <c r="L200" s="67">
        <f>EFEITO!$N$200*EFEITO!$AA$200</f>
        <v>88311.471383689495</v>
      </c>
      <c r="M200" s="67">
        <f>$J$200-EFEITO!$K$200*EFEITO!$Y$200</f>
        <v>0</v>
      </c>
      <c r="N200" s="67">
        <f ca="1">$K$200-EFEITO!$M$200*EFEITO!$Z$200</f>
        <v>0</v>
      </c>
      <c r="O200" s="67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8" t="s">
        <v>21</v>
      </c>
      <c r="B201" s="58" t="s">
        <v>39</v>
      </c>
      <c r="C201" s="58" t="s">
        <v>41</v>
      </c>
      <c r="D201" s="58" t="s">
        <v>42</v>
      </c>
      <c r="E201" s="58" t="s">
        <v>25</v>
      </c>
      <c r="F201" s="58" t="s">
        <v>25</v>
      </c>
      <c r="G201" s="58" t="s">
        <v>25</v>
      </c>
      <c r="H201" s="58" t="s">
        <v>35</v>
      </c>
      <c r="I201" s="66">
        <v>44774</v>
      </c>
      <c r="J201" s="67">
        <f>EFEITO!$J$201*EFEITO!$Y$201</f>
        <v>0</v>
      </c>
      <c r="K201" s="67">
        <f ca="1">EFEITO!$L$201*EFEITO!$Z$201</f>
        <v>728733.87815736386</v>
      </c>
      <c r="L201" s="67">
        <f>EFEITO!$N$201*EFEITO!$AA$201</f>
        <v>2113366.5569336037</v>
      </c>
      <c r="M201" s="67">
        <f>$J$201-EFEITO!$K$201*EFEITO!$Y$201</f>
        <v>0</v>
      </c>
      <c r="N201" s="67">
        <f ca="1">$K$201-EFEITO!$M$201*EFEITO!$Z$201</f>
        <v>0</v>
      </c>
      <c r="O201" s="67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8" t="s">
        <v>28</v>
      </c>
      <c r="B202" s="58" t="s">
        <v>39</v>
      </c>
      <c r="C202" s="58" t="s">
        <v>41</v>
      </c>
      <c r="D202" s="58" t="s">
        <v>42</v>
      </c>
      <c r="E202" s="58" t="s">
        <v>25</v>
      </c>
      <c r="F202" s="58" t="s">
        <v>25</v>
      </c>
      <c r="G202" s="58" t="s">
        <v>25</v>
      </c>
      <c r="H202" s="58" t="s">
        <v>35</v>
      </c>
      <c r="I202" s="66">
        <v>44774</v>
      </c>
      <c r="J202" s="67">
        <f>EFEITO!$J$202*EFEITO!$Y$202</f>
        <v>0</v>
      </c>
      <c r="K202" s="67">
        <f ca="1">EFEITO!$L$202*EFEITO!$Z$202</f>
        <v>32534.141191063398</v>
      </c>
      <c r="L202" s="67">
        <f>EFEITO!$N$202*EFEITO!$AA$202</f>
        <v>94350.719806801659</v>
      </c>
      <c r="M202" s="67">
        <f>$J$202-EFEITO!$K$202*EFEITO!$Y$202</f>
        <v>0</v>
      </c>
      <c r="N202" s="67">
        <f ca="1">$K$202-EFEITO!$M$202*EFEITO!$Z$202</f>
        <v>0</v>
      </c>
      <c r="O202" s="67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8" t="s">
        <v>21</v>
      </c>
      <c r="B203" s="58" t="s">
        <v>39</v>
      </c>
      <c r="C203" s="58" t="s">
        <v>41</v>
      </c>
      <c r="D203" s="58" t="s">
        <v>42</v>
      </c>
      <c r="E203" s="58" t="s">
        <v>25</v>
      </c>
      <c r="F203" s="58" t="s">
        <v>25</v>
      </c>
      <c r="G203" s="58" t="s">
        <v>25</v>
      </c>
      <c r="H203" s="58" t="s">
        <v>35</v>
      </c>
      <c r="I203" s="66">
        <v>44805</v>
      </c>
      <c r="J203" s="67">
        <f>EFEITO!$J$203*EFEITO!$Y$203</f>
        <v>0</v>
      </c>
      <c r="K203" s="67">
        <f ca="1">EFEITO!$L$203*EFEITO!$Z$203</f>
        <v>780103.41925204033</v>
      </c>
      <c r="L203" s="67">
        <f>EFEITO!$N$203*EFEITO!$AA$203</f>
        <v>2262340.9266569125</v>
      </c>
      <c r="M203" s="67">
        <f>$J$203-EFEITO!$K$203*EFEITO!$Y$203</f>
        <v>0</v>
      </c>
      <c r="N203" s="67">
        <f ca="1">$K$203-EFEITO!$M$203*EFEITO!$Z$203</f>
        <v>0</v>
      </c>
      <c r="O203" s="67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8" t="s">
        <v>27</v>
      </c>
      <c r="B204" s="58" t="s">
        <v>39</v>
      </c>
      <c r="C204" s="58" t="s">
        <v>41</v>
      </c>
      <c r="D204" s="58" t="s">
        <v>42</v>
      </c>
      <c r="E204" s="58" t="s">
        <v>25</v>
      </c>
      <c r="F204" s="58" t="s">
        <v>25</v>
      </c>
      <c r="G204" s="58" t="s">
        <v>25</v>
      </c>
      <c r="H204" s="58" t="s">
        <v>35</v>
      </c>
      <c r="I204" s="66">
        <v>44805</v>
      </c>
      <c r="J204" s="67">
        <f>EFEITO!$J$204*EFEITO!$Y$204</f>
        <v>0</v>
      </c>
      <c r="K204" s="67">
        <f ca="1">EFEITO!$L$204*EFEITO!$Z$204</f>
        <v>-982.13219178533848</v>
      </c>
      <c r="L204" s="67">
        <f>EFEITO!$N$204*EFEITO!$AA$204</f>
        <v>-2848.234987860445</v>
      </c>
      <c r="M204" s="67">
        <f>$J$204-EFEITO!$K$204*EFEITO!$Y$204</f>
        <v>0</v>
      </c>
      <c r="N204" s="67">
        <f ca="1">$K$204-EFEITO!$M$204*EFEITO!$Z$204</f>
        <v>0</v>
      </c>
      <c r="O204" s="67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8" t="s">
        <v>28</v>
      </c>
      <c r="B205" s="58" t="s">
        <v>39</v>
      </c>
      <c r="C205" s="58" t="s">
        <v>41</v>
      </c>
      <c r="D205" s="58" t="s">
        <v>42</v>
      </c>
      <c r="E205" s="58" t="s">
        <v>25</v>
      </c>
      <c r="F205" s="58" t="s">
        <v>25</v>
      </c>
      <c r="G205" s="58" t="s">
        <v>25</v>
      </c>
      <c r="H205" s="58" t="s">
        <v>35</v>
      </c>
      <c r="I205" s="66">
        <v>44805</v>
      </c>
      <c r="J205" s="67">
        <f>EFEITO!$J$205*EFEITO!$Y$205</f>
        <v>0</v>
      </c>
      <c r="K205" s="67">
        <f ca="1">EFEITO!$L$205*EFEITO!$Z$205</f>
        <v>32092.214537349424</v>
      </c>
      <c r="L205" s="67">
        <f>EFEITO!$N$205*EFEITO!$AA$205</f>
        <v>93069.109278499847</v>
      </c>
      <c r="M205" s="67">
        <f>$J$205-EFEITO!$K$205*EFEITO!$Y$205</f>
        <v>0</v>
      </c>
      <c r="N205" s="67">
        <f ca="1">$K$205-EFEITO!$M$205*EFEITO!$Z$205</f>
        <v>0</v>
      </c>
      <c r="O205" s="67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8" t="s">
        <v>55</v>
      </c>
      <c r="B206" s="58" t="s">
        <v>39</v>
      </c>
      <c r="C206" s="58" t="s">
        <v>41</v>
      </c>
      <c r="D206" s="58" t="s">
        <v>42</v>
      </c>
      <c r="E206" s="58" t="s">
        <v>25</v>
      </c>
      <c r="F206" s="58" t="s">
        <v>25</v>
      </c>
      <c r="G206" s="58" t="s">
        <v>25</v>
      </c>
      <c r="H206" s="58" t="s">
        <v>35</v>
      </c>
      <c r="I206" s="66">
        <v>44835</v>
      </c>
      <c r="J206" s="67">
        <f>EFEITO!$J$206*EFEITO!$Y$206</f>
        <v>0</v>
      </c>
      <c r="K206" s="67">
        <f ca="1">EFEITO!$L$206*EFEITO!$Z$206</f>
        <v>780103.41925204033</v>
      </c>
      <c r="L206" s="67">
        <f>EFEITO!$N$206*EFEITO!$AA$206</f>
        <v>2262340.9266569125</v>
      </c>
      <c r="M206" s="67">
        <f>$J$206-EFEITO!$K$206*EFEITO!$Y$206</f>
        <v>0</v>
      </c>
      <c r="N206" s="67">
        <f ca="1">$K$206-EFEITO!$M$206*EFEITO!$Z$206</f>
        <v>0</v>
      </c>
      <c r="O206" s="67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8" t="s">
        <v>55</v>
      </c>
      <c r="B207" s="58" t="s">
        <v>39</v>
      </c>
      <c r="C207" s="58" t="s">
        <v>41</v>
      </c>
      <c r="D207" s="58" t="s">
        <v>42</v>
      </c>
      <c r="E207" s="58" t="s">
        <v>25</v>
      </c>
      <c r="F207" s="58" t="s">
        <v>25</v>
      </c>
      <c r="G207" s="58" t="s">
        <v>25</v>
      </c>
      <c r="H207" s="58" t="s">
        <v>35</v>
      </c>
      <c r="I207" s="66">
        <v>44835</v>
      </c>
      <c r="J207" s="67">
        <f>EFEITO!$J$207*EFEITO!$Y$207</f>
        <v>0</v>
      </c>
      <c r="K207" s="67">
        <f ca="1">EFEITO!$L$207*EFEITO!$Z$207</f>
        <v>-982.13219178533848</v>
      </c>
      <c r="L207" s="67">
        <f>EFEITO!$N$207*EFEITO!$AA$207</f>
        <v>-2848.234987860445</v>
      </c>
      <c r="M207" s="67">
        <f>$J$207-EFEITO!$K$207*EFEITO!$Y$207</f>
        <v>0</v>
      </c>
      <c r="N207" s="67">
        <f ca="1">$K$207-EFEITO!$M$207*EFEITO!$Z$207</f>
        <v>0</v>
      </c>
      <c r="O207" s="67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8" t="s">
        <v>55</v>
      </c>
      <c r="B208" s="58" t="s">
        <v>39</v>
      </c>
      <c r="C208" s="58" t="s">
        <v>41</v>
      </c>
      <c r="D208" s="58" t="s">
        <v>42</v>
      </c>
      <c r="E208" s="58" t="s">
        <v>25</v>
      </c>
      <c r="F208" s="58" t="s">
        <v>25</v>
      </c>
      <c r="G208" s="58" t="s">
        <v>25</v>
      </c>
      <c r="H208" s="58" t="s">
        <v>35</v>
      </c>
      <c r="I208" s="66">
        <v>44835</v>
      </c>
      <c r="J208" s="67">
        <f>EFEITO!$J$208*EFEITO!$Y$208</f>
        <v>0</v>
      </c>
      <c r="K208" s="67">
        <f ca="1">EFEITO!$L$208*EFEITO!$Z$208</f>
        <v>32092.214537349424</v>
      </c>
      <c r="L208" s="67">
        <f>EFEITO!$N$208*EFEITO!$AA$208</f>
        <v>93069.109278499847</v>
      </c>
      <c r="M208" s="67">
        <f>$J$208-EFEITO!$K$208*EFEITO!$Y$208</f>
        <v>0</v>
      </c>
      <c r="N208" s="67">
        <f ca="1">$K$208-EFEITO!$M$208*EFEITO!$Z$208</f>
        <v>0</v>
      </c>
      <c r="O208" s="67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8" t="s">
        <v>21</v>
      </c>
      <c r="B209" s="58" t="s">
        <v>39</v>
      </c>
      <c r="C209" s="58" t="s">
        <v>41</v>
      </c>
      <c r="D209" s="58" t="s">
        <v>42</v>
      </c>
      <c r="E209" s="58" t="s">
        <v>25</v>
      </c>
      <c r="F209" s="58" t="s">
        <v>25</v>
      </c>
      <c r="G209" s="58" t="s">
        <v>25</v>
      </c>
      <c r="H209" s="58" t="s">
        <v>25</v>
      </c>
      <c r="I209" s="66">
        <v>44501</v>
      </c>
      <c r="J209" s="67">
        <f ca="1">EFEITO!$J$209*EFEITO!$Y$209</f>
        <v>648886.85420143348</v>
      </c>
      <c r="K209" s="67">
        <f>EFEITO!$L$209*EFEITO!$Z$209</f>
        <v>0</v>
      </c>
      <c r="L209" s="67">
        <f>EFEITO!$N$209*EFEITO!$AA$209</f>
        <v>0</v>
      </c>
      <c r="M209" s="67">
        <f ca="1">$J$209-EFEITO!$K$209*EFEITO!$Y$209</f>
        <v>0</v>
      </c>
      <c r="N209" s="67">
        <f>$K$209-EFEITO!$M$209*EFEITO!$Z$209</f>
        <v>0</v>
      </c>
      <c r="O209" s="67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8" t="s">
        <v>27</v>
      </c>
      <c r="B210" s="58" t="s">
        <v>39</v>
      </c>
      <c r="C210" s="58" t="s">
        <v>41</v>
      </c>
      <c r="D210" s="58" t="s">
        <v>42</v>
      </c>
      <c r="E210" s="58" t="s">
        <v>25</v>
      </c>
      <c r="F210" s="58" t="s">
        <v>25</v>
      </c>
      <c r="G210" s="58" t="s">
        <v>25</v>
      </c>
      <c r="H210" s="58" t="s">
        <v>25</v>
      </c>
      <c r="I210" s="66">
        <v>44501</v>
      </c>
      <c r="J210" s="67">
        <f ca="1">EFEITO!$J$210*EFEITO!$Y$210</f>
        <v>-4185.384892820317</v>
      </c>
      <c r="K210" s="67">
        <f>EFEITO!$L$210*EFEITO!$Z$210</f>
        <v>0</v>
      </c>
      <c r="L210" s="67">
        <f>EFEITO!$N$210*EFEITO!$AA$210</f>
        <v>0</v>
      </c>
      <c r="M210" s="67">
        <f ca="1">$J$210-EFEITO!$K$210*EFEITO!$Y$210</f>
        <v>0</v>
      </c>
      <c r="N210" s="67">
        <f>$K$210-EFEITO!$M$210*EFEITO!$Z$210</f>
        <v>0</v>
      </c>
      <c r="O210" s="67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8" t="s">
        <v>28</v>
      </c>
      <c r="B211" s="58" t="s">
        <v>39</v>
      </c>
      <c r="C211" s="58" t="s">
        <v>41</v>
      </c>
      <c r="D211" s="58" t="s">
        <v>42</v>
      </c>
      <c r="E211" s="58" t="s">
        <v>25</v>
      </c>
      <c r="F211" s="58" t="s">
        <v>25</v>
      </c>
      <c r="G211" s="58" t="s">
        <v>25</v>
      </c>
      <c r="H211" s="58" t="s">
        <v>25</v>
      </c>
      <c r="I211" s="66">
        <v>44501</v>
      </c>
      <c r="J211" s="67">
        <f ca="1">EFEITO!$J$211*EFEITO!$Y$211</f>
        <v>22163.515455162134</v>
      </c>
      <c r="K211" s="67">
        <f>EFEITO!$L$211*EFEITO!$Z$211</f>
        <v>0</v>
      </c>
      <c r="L211" s="67">
        <f>EFEITO!$N$211*EFEITO!$AA$211</f>
        <v>0</v>
      </c>
      <c r="M211" s="67">
        <f ca="1">$J$211-EFEITO!$K$211*EFEITO!$Y$211</f>
        <v>0</v>
      </c>
      <c r="N211" s="67">
        <f>$K$211-EFEITO!$M$211*EFEITO!$Z$211</f>
        <v>0</v>
      </c>
      <c r="O211" s="67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8" t="s">
        <v>21</v>
      </c>
      <c r="B212" s="58" t="s">
        <v>39</v>
      </c>
      <c r="C212" s="58" t="s">
        <v>41</v>
      </c>
      <c r="D212" s="58" t="s">
        <v>42</v>
      </c>
      <c r="E212" s="58" t="s">
        <v>25</v>
      </c>
      <c r="F212" s="58" t="s">
        <v>25</v>
      </c>
      <c r="G212" s="58" t="s">
        <v>25</v>
      </c>
      <c r="H212" s="58" t="s">
        <v>25</v>
      </c>
      <c r="I212" s="66">
        <v>44531</v>
      </c>
      <c r="J212" s="67">
        <f ca="1">EFEITO!$J$212*EFEITO!$Y$212</f>
        <v>645234.15465860849</v>
      </c>
      <c r="K212" s="67">
        <f>EFEITO!$L$212*EFEITO!$Z$212</f>
        <v>0</v>
      </c>
      <c r="L212" s="67">
        <f>EFEITO!$N$212*EFEITO!$AA$212</f>
        <v>0</v>
      </c>
      <c r="M212" s="67">
        <f ca="1">$J$212-EFEITO!$K$212*EFEITO!$Y$212</f>
        <v>0</v>
      </c>
      <c r="N212" s="67">
        <f>$K$212-EFEITO!$M$212*EFEITO!$Z$212</f>
        <v>0</v>
      </c>
      <c r="O212" s="67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8" t="s">
        <v>27</v>
      </c>
      <c r="B213" s="58" t="s">
        <v>39</v>
      </c>
      <c r="C213" s="58" t="s">
        <v>41</v>
      </c>
      <c r="D213" s="58" t="s">
        <v>42</v>
      </c>
      <c r="E213" s="58" t="s">
        <v>25</v>
      </c>
      <c r="F213" s="58" t="s">
        <v>25</v>
      </c>
      <c r="G213" s="58" t="s">
        <v>25</v>
      </c>
      <c r="H213" s="58" t="s">
        <v>25</v>
      </c>
      <c r="I213" s="66">
        <v>44531</v>
      </c>
      <c r="J213" s="67">
        <f ca="1">EFEITO!$J$213*EFEITO!$Y$213</f>
        <v>989.27279284843848</v>
      </c>
      <c r="K213" s="67">
        <f>EFEITO!$L$213*EFEITO!$Z$213</f>
        <v>0</v>
      </c>
      <c r="L213" s="67">
        <f>EFEITO!$N$213*EFEITO!$AA$213</f>
        <v>0</v>
      </c>
      <c r="M213" s="67">
        <f ca="1">$J$213-EFEITO!$K$213*EFEITO!$Y$213</f>
        <v>0</v>
      </c>
      <c r="N213" s="67">
        <f>$K$213-EFEITO!$M$213*EFEITO!$Z$213</f>
        <v>0</v>
      </c>
      <c r="O213" s="67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8" t="s">
        <v>28</v>
      </c>
      <c r="B214" s="58" t="s">
        <v>39</v>
      </c>
      <c r="C214" s="58" t="s">
        <v>41</v>
      </c>
      <c r="D214" s="58" t="s">
        <v>42</v>
      </c>
      <c r="E214" s="58" t="s">
        <v>25</v>
      </c>
      <c r="F214" s="58" t="s">
        <v>25</v>
      </c>
      <c r="G214" s="58" t="s">
        <v>25</v>
      </c>
      <c r="H214" s="58" t="s">
        <v>25</v>
      </c>
      <c r="I214" s="66">
        <v>44531</v>
      </c>
      <c r="J214" s="67">
        <f ca="1">EFEITO!$J$214*EFEITO!$Y$214</f>
        <v>23400.106446222682</v>
      </c>
      <c r="K214" s="67">
        <f>EFEITO!$L$214*EFEITO!$Z$214</f>
        <v>0</v>
      </c>
      <c r="L214" s="67">
        <f>EFEITO!$N$214*EFEITO!$AA$214</f>
        <v>0</v>
      </c>
      <c r="M214" s="67">
        <f ca="1">$J$214-EFEITO!$K$214*EFEITO!$Y$214</f>
        <v>0</v>
      </c>
      <c r="N214" s="67">
        <f>$K$214-EFEITO!$M$214*EFEITO!$Z$214</f>
        <v>0</v>
      </c>
      <c r="O214" s="67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8" t="s">
        <v>21</v>
      </c>
      <c r="B215" s="58" t="s">
        <v>39</v>
      </c>
      <c r="C215" s="58" t="s">
        <v>41</v>
      </c>
      <c r="D215" s="58" t="s">
        <v>42</v>
      </c>
      <c r="E215" s="58" t="s">
        <v>25</v>
      </c>
      <c r="F215" s="58" t="s">
        <v>25</v>
      </c>
      <c r="G215" s="58" t="s">
        <v>25</v>
      </c>
      <c r="H215" s="58" t="s">
        <v>25</v>
      </c>
      <c r="I215" s="66">
        <v>44562</v>
      </c>
      <c r="J215" s="67">
        <f ca="1">EFEITO!$J$215*EFEITO!$Y$215</f>
        <v>647688.31216394401</v>
      </c>
      <c r="K215" s="67">
        <f>EFEITO!$L$215*EFEITO!$Z$215</f>
        <v>0</v>
      </c>
      <c r="L215" s="67">
        <f>EFEITO!$N$215*EFEITO!$AA$215</f>
        <v>0</v>
      </c>
      <c r="M215" s="67">
        <f ca="1">$J$215-EFEITO!$K$215*EFEITO!$Y$215</f>
        <v>0</v>
      </c>
      <c r="N215" s="67">
        <f>$K$215-EFEITO!$M$215*EFEITO!$Z$215</f>
        <v>0</v>
      </c>
      <c r="O215" s="67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8" t="s">
        <v>28</v>
      </c>
      <c r="B216" s="58" t="s">
        <v>39</v>
      </c>
      <c r="C216" s="58" t="s">
        <v>41</v>
      </c>
      <c r="D216" s="58" t="s">
        <v>42</v>
      </c>
      <c r="E216" s="58" t="s">
        <v>25</v>
      </c>
      <c r="F216" s="58" t="s">
        <v>25</v>
      </c>
      <c r="G216" s="58" t="s">
        <v>25</v>
      </c>
      <c r="H216" s="58" t="s">
        <v>25</v>
      </c>
      <c r="I216" s="66">
        <v>44562</v>
      </c>
      <c r="J216" s="67">
        <f ca="1">EFEITO!$J$216*EFEITO!$Y$216</f>
        <v>23514.253306935963</v>
      </c>
      <c r="K216" s="67">
        <f>EFEITO!$L$216*EFEITO!$Z$216</f>
        <v>0</v>
      </c>
      <c r="L216" s="67">
        <f>EFEITO!$N$216*EFEITO!$AA$216</f>
        <v>0</v>
      </c>
      <c r="M216" s="67">
        <f ca="1">$J$216-EFEITO!$K$216*EFEITO!$Y$216</f>
        <v>0</v>
      </c>
      <c r="N216" s="67">
        <f>$K$216-EFEITO!$M$216*EFEITO!$Z$216</f>
        <v>0</v>
      </c>
      <c r="O216" s="67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8" t="s">
        <v>21</v>
      </c>
      <c r="B217" s="58" t="s">
        <v>39</v>
      </c>
      <c r="C217" s="58" t="s">
        <v>41</v>
      </c>
      <c r="D217" s="58" t="s">
        <v>42</v>
      </c>
      <c r="E217" s="58" t="s">
        <v>25</v>
      </c>
      <c r="F217" s="58" t="s">
        <v>25</v>
      </c>
      <c r="G217" s="58" t="s">
        <v>25</v>
      </c>
      <c r="H217" s="58" t="s">
        <v>25</v>
      </c>
      <c r="I217" s="66">
        <v>44593</v>
      </c>
      <c r="J217" s="67">
        <f ca="1">EFEITO!$J$217*EFEITO!$Y$217</f>
        <v>648335.14437465265</v>
      </c>
      <c r="K217" s="67">
        <f>EFEITO!$L$217*EFEITO!$Z$217</f>
        <v>0</v>
      </c>
      <c r="L217" s="67">
        <f>EFEITO!$N$217*EFEITO!$AA$217</f>
        <v>0</v>
      </c>
      <c r="M217" s="67">
        <f ca="1">$J$217-EFEITO!$K$217*EFEITO!$Y$217</f>
        <v>0</v>
      </c>
      <c r="N217" s="67">
        <f>$K$217-EFEITO!$M$217*EFEITO!$Z$217</f>
        <v>0</v>
      </c>
      <c r="O217" s="67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8" t="s">
        <v>28</v>
      </c>
      <c r="B218" s="58" t="s">
        <v>39</v>
      </c>
      <c r="C218" s="58" t="s">
        <v>41</v>
      </c>
      <c r="D218" s="58" t="s">
        <v>42</v>
      </c>
      <c r="E218" s="58" t="s">
        <v>25</v>
      </c>
      <c r="F218" s="58" t="s">
        <v>25</v>
      </c>
      <c r="G218" s="58" t="s">
        <v>25</v>
      </c>
      <c r="H218" s="58" t="s">
        <v>25</v>
      </c>
      <c r="I218" s="66">
        <v>44593</v>
      </c>
      <c r="J218" s="67">
        <f ca="1">EFEITO!$J$218*EFEITO!$Y$218</f>
        <v>23400.106446222682</v>
      </c>
      <c r="K218" s="67">
        <f>EFEITO!$L$218*EFEITO!$Z$218</f>
        <v>0</v>
      </c>
      <c r="L218" s="67">
        <f>EFEITO!$N$218*EFEITO!$AA$218</f>
        <v>0</v>
      </c>
      <c r="M218" s="67">
        <f ca="1">$J$218-EFEITO!$K$218*EFEITO!$Y$218</f>
        <v>0</v>
      </c>
      <c r="N218" s="67">
        <f>$K$218-EFEITO!$M$218*EFEITO!$Z$218</f>
        <v>0</v>
      </c>
      <c r="O218" s="67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8" t="s">
        <v>21</v>
      </c>
      <c r="B219" s="58" t="s">
        <v>39</v>
      </c>
      <c r="C219" s="58" t="s">
        <v>41</v>
      </c>
      <c r="D219" s="58" t="s">
        <v>42</v>
      </c>
      <c r="E219" s="58" t="s">
        <v>25</v>
      </c>
      <c r="F219" s="58" t="s">
        <v>25</v>
      </c>
      <c r="G219" s="58" t="s">
        <v>25</v>
      </c>
      <c r="H219" s="58" t="s">
        <v>25</v>
      </c>
      <c r="I219" s="66">
        <v>44621</v>
      </c>
      <c r="J219" s="67">
        <f ca="1">EFEITO!$J$219*EFEITO!$Y$219</f>
        <v>642019.01808185107</v>
      </c>
      <c r="K219" s="67">
        <f>EFEITO!$L$219*EFEITO!$Z$219</f>
        <v>0</v>
      </c>
      <c r="L219" s="67">
        <f>EFEITO!$N$219*EFEITO!$AA$219</f>
        <v>0</v>
      </c>
      <c r="M219" s="67">
        <f ca="1">$J$219-EFEITO!$K$219*EFEITO!$Y$219</f>
        <v>0</v>
      </c>
      <c r="N219" s="67">
        <f>$K$219-EFEITO!$M$219*EFEITO!$Z$219</f>
        <v>0</v>
      </c>
      <c r="O219" s="67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8" t="s">
        <v>27</v>
      </c>
      <c r="B220" s="58" t="s">
        <v>39</v>
      </c>
      <c r="C220" s="58" t="s">
        <v>41</v>
      </c>
      <c r="D220" s="58" t="s">
        <v>42</v>
      </c>
      <c r="E220" s="58" t="s">
        <v>25</v>
      </c>
      <c r="F220" s="58" t="s">
        <v>25</v>
      </c>
      <c r="G220" s="58" t="s">
        <v>25</v>
      </c>
      <c r="H220" s="58" t="s">
        <v>25</v>
      </c>
      <c r="I220" s="66">
        <v>44621</v>
      </c>
      <c r="J220" s="67">
        <f ca="1">EFEITO!$J$220*EFEITO!$Y$220</f>
        <v>4280.5072767480515</v>
      </c>
      <c r="K220" s="67">
        <f>EFEITO!$L$220*EFEITO!$Z$220</f>
        <v>0</v>
      </c>
      <c r="L220" s="67">
        <f>EFEITO!$N$220*EFEITO!$AA$220</f>
        <v>0</v>
      </c>
      <c r="M220" s="67">
        <f ca="1">$J$220-EFEITO!$K$220*EFEITO!$Y$220</f>
        <v>0</v>
      </c>
      <c r="N220" s="67">
        <f>$K$220-EFEITO!$M$220*EFEITO!$Z$220</f>
        <v>0</v>
      </c>
      <c r="O220" s="67">
        <f>$L$220-EFEITO!$O$220*EFEITO!$AA$220</f>
        <v>0</v>
      </c>
      <c r="P220" s="18"/>
      <c r="Q220" s="18"/>
      <c r="R220" s="18"/>
      <c r="S220" s="18"/>
      <c r="T220" s="18"/>
      <c r="U220" s="18"/>
      <c r="V220" s="18"/>
      <c r="W220" s="18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8" t="s">
        <v>28</v>
      </c>
      <c r="B221" s="58" t="s">
        <v>39</v>
      </c>
      <c r="C221" s="58" t="s">
        <v>41</v>
      </c>
      <c r="D221" s="58" t="s">
        <v>42</v>
      </c>
      <c r="E221" s="58" t="s">
        <v>25</v>
      </c>
      <c r="F221" s="58" t="s">
        <v>25</v>
      </c>
      <c r="G221" s="58" t="s">
        <v>25</v>
      </c>
      <c r="H221" s="58" t="s">
        <v>25</v>
      </c>
      <c r="I221" s="66">
        <v>44621</v>
      </c>
      <c r="J221" s="67">
        <f ca="1">EFEITO!$J$221*EFEITO!$Y$221</f>
        <v>81424.760642140711</v>
      </c>
      <c r="K221" s="67">
        <f>EFEITO!$L$221*EFEITO!$Z$221</f>
        <v>0</v>
      </c>
      <c r="L221" s="67">
        <f>EFEITO!$N$221*EFEITO!$AA$221</f>
        <v>0</v>
      </c>
      <c r="M221" s="67">
        <f ca="1">$J$221-EFEITO!$K$221*EFEITO!$Y$221</f>
        <v>0</v>
      </c>
      <c r="N221" s="67">
        <f>$K$221-EFEITO!$M$221*EFEITO!$Z$221</f>
        <v>0</v>
      </c>
      <c r="O221" s="67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8" t="s">
        <v>28</v>
      </c>
      <c r="B222" s="58" t="s">
        <v>39</v>
      </c>
      <c r="C222" s="58" t="s">
        <v>41</v>
      </c>
      <c r="D222" s="58" t="s">
        <v>42</v>
      </c>
      <c r="E222" s="58" t="s">
        <v>25</v>
      </c>
      <c r="F222" s="58" t="s">
        <v>25</v>
      </c>
      <c r="G222" s="58" t="s">
        <v>25</v>
      </c>
      <c r="H222" s="58" t="s">
        <v>25</v>
      </c>
      <c r="I222" s="66">
        <v>44621</v>
      </c>
      <c r="J222" s="67">
        <f ca="1">EFEITO!$J$222*EFEITO!$Y$222</f>
        <v>22829.372142656273</v>
      </c>
      <c r="K222" s="67">
        <f>EFEITO!$L$222*EFEITO!$Z$222</f>
        <v>0</v>
      </c>
      <c r="L222" s="67">
        <f>EFEITO!$N$222*EFEITO!$AA$222</f>
        <v>0</v>
      </c>
      <c r="M222" s="67">
        <f ca="1">$J$222-EFEITO!$K$222*EFEITO!$Y$222</f>
        <v>0</v>
      </c>
      <c r="N222" s="67">
        <f>$K$222-EFEITO!$M$222*EFEITO!$Z$222</f>
        <v>0</v>
      </c>
      <c r="O222" s="67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8" t="s">
        <v>21</v>
      </c>
      <c r="B223" s="58" t="s">
        <v>39</v>
      </c>
      <c r="C223" s="58" t="s">
        <v>41</v>
      </c>
      <c r="D223" s="58" t="s">
        <v>42</v>
      </c>
      <c r="E223" s="58" t="s">
        <v>25</v>
      </c>
      <c r="F223" s="58" t="s">
        <v>25</v>
      </c>
      <c r="G223" s="58" t="s">
        <v>25</v>
      </c>
      <c r="H223" s="58" t="s">
        <v>25</v>
      </c>
      <c r="I223" s="66">
        <v>44652</v>
      </c>
      <c r="J223" s="67">
        <f ca="1">EFEITO!$J$223*EFEITO!$Y$223</f>
        <v>642019.01808185107</v>
      </c>
      <c r="K223" s="67">
        <f>EFEITO!$L$223*EFEITO!$Z$223</f>
        <v>0</v>
      </c>
      <c r="L223" s="67">
        <f>EFEITO!$N$223*EFEITO!$AA$223</f>
        <v>0</v>
      </c>
      <c r="M223" s="67">
        <f ca="1">$J$223-EFEITO!$K$223*EFEITO!$Y$223</f>
        <v>0</v>
      </c>
      <c r="N223" s="67">
        <f>$K$223-EFEITO!$M$223*EFEITO!$Z$223</f>
        <v>0</v>
      </c>
      <c r="O223" s="67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8" t="s">
        <v>27</v>
      </c>
      <c r="B224" s="58" t="s">
        <v>39</v>
      </c>
      <c r="C224" s="58" t="s">
        <v>41</v>
      </c>
      <c r="D224" s="58" t="s">
        <v>42</v>
      </c>
      <c r="E224" s="58" t="s">
        <v>25</v>
      </c>
      <c r="F224" s="58" t="s">
        <v>25</v>
      </c>
      <c r="G224" s="58" t="s">
        <v>25</v>
      </c>
      <c r="H224" s="58" t="s">
        <v>25</v>
      </c>
      <c r="I224" s="66">
        <v>44652</v>
      </c>
      <c r="J224" s="67">
        <f ca="1">EFEITO!$J$224*EFEITO!$Y$224</f>
        <v>4280.5072767480515</v>
      </c>
      <c r="K224" s="67">
        <f>EFEITO!$L$224*EFEITO!$Z$224</f>
        <v>0</v>
      </c>
      <c r="L224" s="67">
        <f>EFEITO!$N$224*EFEITO!$AA$224</f>
        <v>0</v>
      </c>
      <c r="M224" s="67">
        <f ca="1">$J$224-EFEITO!$K$224*EFEITO!$Y$224</f>
        <v>0</v>
      </c>
      <c r="N224" s="67">
        <f>$K$224-EFEITO!$M$224*EFEITO!$Z$224</f>
        <v>0</v>
      </c>
      <c r="O224" s="67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8" t="s">
        <v>28</v>
      </c>
      <c r="B225" s="58" t="s">
        <v>39</v>
      </c>
      <c r="C225" s="58" t="s">
        <v>41</v>
      </c>
      <c r="D225" s="58" t="s">
        <v>42</v>
      </c>
      <c r="E225" s="58" t="s">
        <v>25</v>
      </c>
      <c r="F225" s="58" t="s">
        <v>25</v>
      </c>
      <c r="G225" s="58" t="s">
        <v>25</v>
      </c>
      <c r="H225" s="58" t="s">
        <v>25</v>
      </c>
      <c r="I225" s="66">
        <v>44652</v>
      </c>
      <c r="J225" s="67">
        <f ca="1">EFEITO!$J$225*EFEITO!$Y$225</f>
        <v>81424.760642140711</v>
      </c>
      <c r="K225" s="67">
        <f>EFEITO!$L$225*EFEITO!$Z$225</f>
        <v>0</v>
      </c>
      <c r="L225" s="67">
        <f>EFEITO!$N$225*EFEITO!$AA$225</f>
        <v>0</v>
      </c>
      <c r="M225" s="67">
        <f ca="1">$J$225-EFEITO!$K$225*EFEITO!$Y$225</f>
        <v>0</v>
      </c>
      <c r="N225" s="67">
        <f>$K$225-EFEITO!$M$225*EFEITO!$Z$225</f>
        <v>0</v>
      </c>
      <c r="O225" s="67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8" t="s">
        <v>28</v>
      </c>
      <c r="B226" s="58" t="s">
        <v>39</v>
      </c>
      <c r="C226" s="58" t="s">
        <v>41</v>
      </c>
      <c r="D226" s="58" t="s">
        <v>42</v>
      </c>
      <c r="E226" s="58" t="s">
        <v>25</v>
      </c>
      <c r="F226" s="58" t="s">
        <v>25</v>
      </c>
      <c r="G226" s="58" t="s">
        <v>25</v>
      </c>
      <c r="H226" s="58" t="s">
        <v>25</v>
      </c>
      <c r="I226" s="66">
        <v>44652</v>
      </c>
      <c r="J226" s="67">
        <f ca="1">EFEITO!$J$226*EFEITO!$Y$226</f>
        <v>22829.372142656273</v>
      </c>
      <c r="K226" s="67">
        <f>EFEITO!$L$226*EFEITO!$Z$226</f>
        <v>0</v>
      </c>
      <c r="L226" s="67">
        <f>EFEITO!$N$226*EFEITO!$AA$226</f>
        <v>0</v>
      </c>
      <c r="M226" s="67">
        <f ca="1">$J$226-EFEITO!$K$226*EFEITO!$Y$226</f>
        <v>0</v>
      </c>
      <c r="N226" s="67">
        <f>$K$226-EFEITO!$M$226*EFEITO!$Z$226</f>
        <v>0</v>
      </c>
      <c r="O226" s="67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8" t="s">
        <v>21</v>
      </c>
      <c r="B227" s="58" t="s">
        <v>39</v>
      </c>
      <c r="C227" s="58" t="s">
        <v>41</v>
      </c>
      <c r="D227" s="58" t="s">
        <v>42</v>
      </c>
      <c r="E227" s="58" t="s">
        <v>25</v>
      </c>
      <c r="F227" s="58" t="s">
        <v>25</v>
      </c>
      <c r="G227" s="58" t="s">
        <v>25</v>
      </c>
      <c r="H227" s="58" t="s">
        <v>25</v>
      </c>
      <c r="I227" s="66">
        <v>44682</v>
      </c>
      <c r="J227" s="67">
        <f ca="1">EFEITO!$J$227*EFEITO!$Y$227</f>
        <v>640306.81517115189</v>
      </c>
      <c r="K227" s="67">
        <f>EFEITO!$L$227*EFEITO!$Z$227</f>
        <v>0</v>
      </c>
      <c r="L227" s="67">
        <f>EFEITO!$N$227*EFEITO!$AA$227</f>
        <v>0</v>
      </c>
      <c r="M227" s="67">
        <f ca="1">$J$227-EFEITO!$K$227*EFEITO!$Y$227</f>
        <v>0</v>
      </c>
      <c r="N227" s="67">
        <f>$K$227-EFEITO!$M$227*EFEITO!$Z$227</f>
        <v>0</v>
      </c>
      <c r="O227" s="67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8" t="s">
        <v>27</v>
      </c>
      <c r="B228" s="58" t="s">
        <v>39</v>
      </c>
      <c r="C228" s="58" t="s">
        <v>41</v>
      </c>
      <c r="D228" s="58" t="s">
        <v>42</v>
      </c>
      <c r="E228" s="58" t="s">
        <v>25</v>
      </c>
      <c r="F228" s="58" t="s">
        <v>25</v>
      </c>
      <c r="G228" s="58" t="s">
        <v>25</v>
      </c>
      <c r="H228" s="58" t="s">
        <v>25</v>
      </c>
      <c r="I228" s="66">
        <v>44682</v>
      </c>
      <c r="J228" s="67">
        <f ca="1">EFEITO!$J$228*EFEITO!$Y$228</f>
        <v>-12251.763049892201</v>
      </c>
      <c r="K228" s="67">
        <f>EFEITO!$L$228*EFEITO!$Z$228</f>
        <v>0</v>
      </c>
      <c r="L228" s="67">
        <f>EFEITO!$N$228*EFEITO!$AA$228</f>
        <v>0</v>
      </c>
      <c r="M228" s="67">
        <f ca="1">$J$228-EFEITO!$K$228*EFEITO!$Y$228</f>
        <v>0</v>
      </c>
      <c r="N228" s="67">
        <f>$K$228-EFEITO!$M$228*EFEITO!$Z$228</f>
        <v>0</v>
      </c>
      <c r="O228" s="67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8" t="s">
        <v>28</v>
      </c>
      <c r="B229" s="58" t="s">
        <v>39</v>
      </c>
      <c r="C229" s="58" t="s">
        <v>41</v>
      </c>
      <c r="D229" s="58" t="s">
        <v>42</v>
      </c>
      <c r="E229" s="58" t="s">
        <v>25</v>
      </c>
      <c r="F229" s="58" t="s">
        <v>25</v>
      </c>
      <c r="G229" s="58" t="s">
        <v>25</v>
      </c>
      <c r="H229" s="58" t="s">
        <v>25</v>
      </c>
      <c r="I229" s="66">
        <v>44682</v>
      </c>
      <c r="J229" s="67">
        <f ca="1">EFEITO!$J$229*EFEITO!$Y$229</f>
        <v>228978.60259084243</v>
      </c>
      <c r="K229" s="67">
        <f>EFEITO!$L$229*EFEITO!$Z$229</f>
        <v>0</v>
      </c>
      <c r="L229" s="67">
        <f>EFEITO!$N$229*EFEITO!$AA$229</f>
        <v>0</v>
      </c>
      <c r="M229" s="67">
        <f ca="1">$J$229-EFEITO!$K$229*EFEITO!$Y$229</f>
        <v>0</v>
      </c>
      <c r="N229" s="67">
        <f>$K$229-EFEITO!$M$229*EFEITO!$Z$229</f>
        <v>0</v>
      </c>
      <c r="O229" s="67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8" t="s">
        <v>21</v>
      </c>
      <c r="B230" s="58" t="s">
        <v>39</v>
      </c>
      <c r="C230" s="58" t="s">
        <v>41</v>
      </c>
      <c r="D230" s="58" t="s">
        <v>42</v>
      </c>
      <c r="E230" s="58" t="s">
        <v>25</v>
      </c>
      <c r="F230" s="58" t="s">
        <v>25</v>
      </c>
      <c r="G230" s="58" t="s">
        <v>25</v>
      </c>
      <c r="H230" s="58" t="s">
        <v>25</v>
      </c>
      <c r="I230" s="66">
        <v>44713</v>
      </c>
      <c r="J230" s="67">
        <f ca="1">EFEITO!$J$230*EFEITO!$Y$230</f>
        <v>641638.52854614018</v>
      </c>
      <c r="K230" s="67">
        <f>EFEITO!$L$230*EFEITO!$Z$230</f>
        <v>0</v>
      </c>
      <c r="L230" s="67">
        <f>EFEITO!$N$230*EFEITO!$AA$230</f>
        <v>0</v>
      </c>
      <c r="M230" s="67">
        <f ca="1">$J$230-EFEITO!$K$230*EFEITO!$Y$230</f>
        <v>0</v>
      </c>
      <c r="N230" s="67">
        <f>$K$230-EFEITO!$M$230*EFEITO!$Z$230</f>
        <v>0</v>
      </c>
      <c r="O230" s="67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8" t="s">
        <v>27</v>
      </c>
      <c r="B231" s="58" t="s">
        <v>39</v>
      </c>
      <c r="C231" s="58" t="s">
        <v>41</v>
      </c>
      <c r="D231" s="58" t="s">
        <v>42</v>
      </c>
      <c r="E231" s="58" t="s">
        <v>25</v>
      </c>
      <c r="F231" s="58" t="s">
        <v>25</v>
      </c>
      <c r="G231" s="58" t="s">
        <v>25</v>
      </c>
      <c r="H231" s="58" t="s">
        <v>25</v>
      </c>
      <c r="I231" s="66">
        <v>44713</v>
      </c>
      <c r="J231" s="67">
        <f ca="1">EFEITO!$J$231*EFEITO!$Y$231</f>
        <v>-36355.775137180113</v>
      </c>
      <c r="K231" s="67">
        <f>EFEITO!$L$231*EFEITO!$Z$231</f>
        <v>0</v>
      </c>
      <c r="L231" s="67">
        <f>EFEITO!$N$231*EFEITO!$AA$231</f>
        <v>0</v>
      </c>
      <c r="M231" s="67">
        <f ca="1">$J$231-EFEITO!$K$231*EFEITO!$Y$231</f>
        <v>0</v>
      </c>
      <c r="N231" s="67">
        <f>$K$231-EFEITO!$M$231*EFEITO!$Z$231</f>
        <v>0</v>
      </c>
      <c r="O231" s="67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8" t="s">
        <v>28</v>
      </c>
      <c r="B232" s="58" t="s">
        <v>39</v>
      </c>
      <c r="C232" s="58" t="s">
        <v>41</v>
      </c>
      <c r="D232" s="58" t="s">
        <v>42</v>
      </c>
      <c r="E232" s="58" t="s">
        <v>25</v>
      </c>
      <c r="F232" s="58" t="s">
        <v>25</v>
      </c>
      <c r="G232" s="58" t="s">
        <v>25</v>
      </c>
      <c r="H232" s="58" t="s">
        <v>25</v>
      </c>
      <c r="I232" s="66">
        <v>44713</v>
      </c>
      <c r="J232" s="67">
        <f ca="1">EFEITO!$J$232*EFEITO!$Y$232</f>
        <v>74290.581847560621</v>
      </c>
      <c r="K232" s="67">
        <f>EFEITO!$L$232*EFEITO!$Z$232</f>
        <v>0</v>
      </c>
      <c r="L232" s="67">
        <f>EFEITO!$N$232*EFEITO!$AA$232</f>
        <v>0</v>
      </c>
      <c r="M232" s="67">
        <f ca="1">$J$232-EFEITO!$K$232*EFEITO!$Y$232</f>
        <v>0</v>
      </c>
      <c r="N232" s="67">
        <f>$K$232-EFEITO!$M$232*EFEITO!$Z$232</f>
        <v>0</v>
      </c>
      <c r="O232" s="67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8" t="s">
        <v>21</v>
      </c>
      <c r="B233" s="58" t="s">
        <v>39</v>
      </c>
      <c r="C233" s="58" t="s">
        <v>41</v>
      </c>
      <c r="D233" s="58" t="s">
        <v>42</v>
      </c>
      <c r="E233" s="58" t="s">
        <v>25</v>
      </c>
      <c r="F233" s="58" t="s">
        <v>25</v>
      </c>
      <c r="G233" s="58" t="s">
        <v>25</v>
      </c>
      <c r="H233" s="58" t="s">
        <v>25</v>
      </c>
      <c r="I233" s="66">
        <v>44743</v>
      </c>
      <c r="J233" s="67">
        <f ca="1">EFEITO!$J$233*EFEITO!$Y$233</f>
        <v>663307.40760487807</v>
      </c>
      <c r="K233" s="67">
        <f>EFEITO!$L$233*EFEITO!$Z$233</f>
        <v>0</v>
      </c>
      <c r="L233" s="67">
        <f>EFEITO!$N$233*EFEITO!$AA$233</f>
        <v>0</v>
      </c>
      <c r="M233" s="67">
        <f ca="1">$J$233-EFEITO!$K$233*EFEITO!$Y$233</f>
        <v>0</v>
      </c>
      <c r="N233" s="67">
        <f>$K$233-EFEITO!$M$233*EFEITO!$Z$233</f>
        <v>0</v>
      </c>
      <c r="O233" s="67">
        <f>$L$233-EFEITO!$O$233*EFEITO!$AA$233</f>
        <v>0</v>
      </c>
      <c r="P233" s="18"/>
      <c r="Q233" s="18"/>
      <c r="R233" s="18"/>
      <c r="S233" s="18"/>
      <c r="T233" s="18"/>
      <c r="U233" s="18"/>
      <c r="V233" s="18"/>
      <c r="W233" s="18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8" t="s">
        <v>27</v>
      </c>
      <c r="B234" s="58" t="s">
        <v>39</v>
      </c>
      <c r="C234" s="58" t="s">
        <v>41</v>
      </c>
      <c r="D234" s="58" t="s">
        <v>42</v>
      </c>
      <c r="E234" s="58" t="s">
        <v>25</v>
      </c>
      <c r="F234" s="58" t="s">
        <v>25</v>
      </c>
      <c r="G234" s="58" t="s">
        <v>25</v>
      </c>
      <c r="H234" s="58" t="s">
        <v>25</v>
      </c>
      <c r="I234" s="66">
        <v>44743</v>
      </c>
      <c r="J234" s="67">
        <f ca="1">EFEITO!$J$234*EFEITO!$Y$234</f>
        <v>-1902.4476785546894</v>
      </c>
      <c r="K234" s="67">
        <f>EFEITO!$L$234*EFEITO!$Z$234</f>
        <v>0</v>
      </c>
      <c r="L234" s="67">
        <f>EFEITO!$N$234*EFEITO!$AA$234</f>
        <v>0</v>
      </c>
      <c r="M234" s="67">
        <f ca="1">$J$234-EFEITO!$K$234*EFEITO!$Y$234</f>
        <v>0</v>
      </c>
      <c r="N234" s="67">
        <f>$K$234-EFEITO!$M$234*EFEITO!$Z$234</f>
        <v>0</v>
      </c>
      <c r="O234" s="67">
        <f>$L$234-EFEITO!$O$234*EFEITO!$AA$234</f>
        <v>0</v>
      </c>
      <c r="P234" s="18"/>
      <c r="Q234" s="18"/>
      <c r="R234" s="18"/>
      <c r="S234" s="18"/>
      <c r="T234" s="18"/>
      <c r="U234" s="18"/>
      <c r="V234" s="18"/>
      <c r="W234" s="18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8" t="s">
        <v>28</v>
      </c>
      <c r="B235" s="58" t="s">
        <v>39</v>
      </c>
      <c r="C235" s="58" t="s">
        <v>41</v>
      </c>
      <c r="D235" s="58" t="s">
        <v>42</v>
      </c>
      <c r="E235" s="58" t="s">
        <v>25</v>
      </c>
      <c r="F235" s="58" t="s">
        <v>25</v>
      </c>
      <c r="G235" s="58" t="s">
        <v>25</v>
      </c>
      <c r="H235" s="58" t="s">
        <v>25</v>
      </c>
      <c r="I235" s="66">
        <v>44743</v>
      </c>
      <c r="J235" s="67">
        <f ca="1">EFEITO!$J$235*EFEITO!$Y$235</f>
        <v>74290.581847560621</v>
      </c>
      <c r="K235" s="67">
        <f>EFEITO!$L$235*EFEITO!$Z$235</f>
        <v>0</v>
      </c>
      <c r="L235" s="67">
        <f>EFEITO!$N$235*EFEITO!$AA$235</f>
        <v>0</v>
      </c>
      <c r="M235" s="67">
        <f ca="1">$J$235-EFEITO!$K$235*EFEITO!$Y$235</f>
        <v>0</v>
      </c>
      <c r="N235" s="67">
        <f>$K$235-EFEITO!$M$235*EFEITO!$Z$235</f>
        <v>0</v>
      </c>
      <c r="O235" s="67">
        <f>$L$235-EFEITO!$O$235*EFEITO!$AA$235</f>
        <v>0</v>
      </c>
      <c r="P235" s="18"/>
      <c r="Q235" s="18"/>
      <c r="R235" s="18"/>
      <c r="S235" s="18"/>
      <c r="T235" s="18"/>
      <c r="U235" s="18"/>
      <c r="V235" s="18"/>
      <c r="W235" s="18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8" t="s">
        <v>21</v>
      </c>
      <c r="B236" s="58" t="s">
        <v>39</v>
      </c>
      <c r="C236" s="58" t="s">
        <v>41</v>
      </c>
      <c r="D236" s="58" t="s">
        <v>42</v>
      </c>
      <c r="E236" s="58" t="s">
        <v>25</v>
      </c>
      <c r="F236" s="58" t="s">
        <v>25</v>
      </c>
      <c r="G236" s="58" t="s">
        <v>25</v>
      </c>
      <c r="H236" s="58" t="s">
        <v>25</v>
      </c>
      <c r="I236" s="66">
        <v>44774</v>
      </c>
      <c r="J236" s="67">
        <f ca="1">EFEITO!$J$236*EFEITO!$Y$236</f>
        <v>643940.49023719132</v>
      </c>
      <c r="K236" s="67">
        <f>EFEITO!$L$236*EFEITO!$Z$236</f>
        <v>0</v>
      </c>
      <c r="L236" s="67">
        <f>EFEITO!$N$236*EFEITO!$AA$236</f>
        <v>0</v>
      </c>
      <c r="M236" s="67">
        <f ca="1">$J$236-EFEITO!$K$236*EFEITO!$Y$236</f>
        <v>0</v>
      </c>
      <c r="N236" s="67">
        <f>$K$236-EFEITO!$M$236*EFEITO!$Z$236</f>
        <v>0</v>
      </c>
      <c r="O236" s="67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8" t="s">
        <v>27</v>
      </c>
      <c r="B237" s="58" t="s">
        <v>39</v>
      </c>
      <c r="C237" s="58" t="s">
        <v>41</v>
      </c>
      <c r="D237" s="58" t="s">
        <v>42</v>
      </c>
      <c r="E237" s="58" t="s">
        <v>25</v>
      </c>
      <c r="F237" s="58" t="s">
        <v>25</v>
      </c>
      <c r="G237" s="58" t="s">
        <v>25</v>
      </c>
      <c r="H237" s="58" t="s">
        <v>25</v>
      </c>
      <c r="I237" s="66">
        <v>44774</v>
      </c>
      <c r="J237" s="67">
        <f ca="1">EFEITO!$J$237*EFEITO!$Y$237</f>
        <v>-1788.3008178414082</v>
      </c>
      <c r="K237" s="67">
        <f>EFEITO!$L$237*EFEITO!$Z$237</f>
        <v>0</v>
      </c>
      <c r="L237" s="67">
        <f>EFEITO!$N$237*EFEITO!$AA$237</f>
        <v>0</v>
      </c>
      <c r="M237" s="67">
        <f ca="1">$J$237-EFEITO!$K$237*EFEITO!$Y$237</f>
        <v>0</v>
      </c>
      <c r="N237" s="67">
        <f>$K$237-EFEITO!$M$237*EFEITO!$Z$237</f>
        <v>0</v>
      </c>
      <c r="O237" s="67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8" t="s">
        <v>28</v>
      </c>
      <c r="B238" s="58" t="s">
        <v>39</v>
      </c>
      <c r="C238" s="58" t="s">
        <v>41</v>
      </c>
      <c r="D238" s="58" t="s">
        <v>42</v>
      </c>
      <c r="E238" s="58" t="s">
        <v>25</v>
      </c>
      <c r="F238" s="58" t="s">
        <v>25</v>
      </c>
      <c r="G238" s="58" t="s">
        <v>25</v>
      </c>
      <c r="H238" s="58" t="s">
        <v>25</v>
      </c>
      <c r="I238" s="66">
        <v>44774</v>
      </c>
      <c r="J238" s="67">
        <f ca="1">EFEITO!$J$238*EFEITO!$Y$238</f>
        <v>75546.197315406724</v>
      </c>
      <c r="K238" s="67">
        <f>EFEITO!$L$238*EFEITO!$Z$238</f>
        <v>0</v>
      </c>
      <c r="L238" s="67">
        <f>EFEITO!$N$238*EFEITO!$AA$238</f>
        <v>0</v>
      </c>
      <c r="M238" s="67">
        <f ca="1">$J$238-EFEITO!$K$238*EFEITO!$Y$238</f>
        <v>0</v>
      </c>
      <c r="N238" s="67">
        <f>$K$238-EFEITO!$M$238*EFEITO!$Z$238</f>
        <v>0</v>
      </c>
      <c r="O238" s="67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8" t="s">
        <v>21</v>
      </c>
      <c r="B239" s="58" t="s">
        <v>39</v>
      </c>
      <c r="C239" s="58" t="s">
        <v>41</v>
      </c>
      <c r="D239" s="58" t="s">
        <v>42</v>
      </c>
      <c r="E239" s="58" t="s">
        <v>25</v>
      </c>
      <c r="F239" s="58" t="s">
        <v>25</v>
      </c>
      <c r="G239" s="58" t="s">
        <v>25</v>
      </c>
      <c r="H239" s="58" t="s">
        <v>25</v>
      </c>
      <c r="I239" s="66">
        <v>44805</v>
      </c>
      <c r="J239" s="67">
        <f ca="1">EFEITO!$J$239*EFEITO!$Y$239</f>
        <v>649343.44164428662</v>
      </c>
      <c r="K239" s="67">
        <f>EFEITO!$L$239*EFEITO!$Z$239</f>
        <v>0</v>
      </c>
      <c r="L239" s="67">
        <f>EFEITO!$N$239*EFEITO!$AA$239</f>
        <v>0</v>
      </c>
      <c r="M239" s="67">
        <f ca="1">$J$239-EFEITO!$K$239*EFEITO!$Y$239</f>
        <v>0</v>
      </c>
      <c r="N239" s="67">
        <f>$K$239-EFEITO!$M$239*EFEITO!$Z$239</f>
        <v>0</v>
      </c>
      <c r="O239" s="67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8" t="s">
        <v>27</v>
      </c>
      <c r="B240" s="58" t="s">
        <v>39</v>
      </c>
      <c r="C240" s="58" t="s">
        <v>41</v>
      </c>
      <c r="D240" s="58" t="s">
        <v>42</v>
      </c>
      <c r="E240" s="58" t="s">
        <v>25</v>
      </c>
      <c r="F240" s="58" t="s">
        <v>25</v>
      </c>
      <c r="G240" s="58" t="s">
        <v>25</v>
      </c>
      <c r="H240" s="58" t="s">
        <v>25</v>
      </c>
      <c r="I240" s="66">
        <v>44805</v>
      </c>
      <c r="J240" s="67">
        <f ca="1">EFEITO!$J$240*EFEITO!$Y$240</f>
        <v>-951.22383927734472</v>
      </c>
      <c r="K240" s="67">
        <f>EFEITO!$L$240*EFEITO!$Z$240</f>
        <v>0</v>
      </c>
      <c r="L240" s="67">
        <f>EFEITO!$N$240*EFEITO!$AA$240</f>
        <v>0</v>
      </c>
      <c r="M240" s="67">
        <f ca="1">$J$240-EFEITO!$K$240*EFEITO!$Y$240</f>
        <v>0</v>
      </c>
      <c r="N240" s="67">
        <f>$K$240-EFEITO!$M$240*EFEITO!$Z$240</f>
        <v>0</v>
      </c>
      <c r="O240" s="67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8" t="s">
        <v>28</v>
      </c>
      <c r="B241" s="58" t="s">
        <v>39</v>
      </c>
      <c r="C241" s="58" t="s">
        <v>41</v>
      </c>
      <c r="D241" s="58" t="s">
        <v>42</v>
      </c>
      <c r="E241" s="58" t="s">
        <v>25</v>
      </c>
      <c r="F241" s="58" t="s">
        <v>25</v>
      </c>
      <c r="G241" s="58" t="s">
        <v>25</v>
      </c>
      <c r="H241" s="58" t="s">
        <v>25</v>
      </c>
      <c r="I241" s="66">
        <v>44805</v>
      </c>
      <c r="J241" s="67">
        <f ca="1">EFEITO!$J$241*EFEITO!$Y$241</f>
        <v>73111.064286856723</v>
      </c>
      <c r="K241" s="67">
        <f>EFEITO!$L$241*EFEITO!$Z$241</f>
        <v>0</v>
      </c>
      <c r="L241" s="67">
        <f>EFEITO!$N$241*EFEITO!$AA$241</f>
        <v>0</v>
      </c>
      <c r="M241" s="67">
        <f ca="1">$J$241-EFEITO!$K$241*EFEITO!$Y$241</f>
        <v>0</v>
      </c>
      <c r="N241" s="67">
        <f>$K$241-EFEITO!$M$241*EFEITO!$Z$241</f>
        <v>0</v>
      </c>
      <c r="O241" s="67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8" t="s">
        <v>55</v>
      </c>
      <c r="B242" s="58" t="s">
        <v>39</v>
      </c>
      <c r="C242" s="58" t="s">
        <v>41</v>
      </c>
      <c r="D242" s="58" t="s">
        <v>42</v>
      </c>
      <c r="E242" s="58" t="s">
        <v>25</v>
      </c>
      <c r="F242" s="58" t="s">
        <v>25</v>
      </c>
      <c r="G242" s="58" t="s">
        <v>25</v>
      </c>
      <c r="H242" s="58" t="s">
        <v>25</v>
      </c>
      <c r="I242" s="66">
        <v>44835</v>
      </c>
      <c r="J242" s="67">
        <f ca="1">EFEITO!$J$242*EFEITO!$Y$242</f>
        <v>649343.44164428662</v>
      </c>
      <c r="K242" s="67">
        <f>EFEITO!$L$242*EFEITO!$Z$242</f>
        <v>0</v>
      </c>
      <c r="L242" s="67">
        <f>EFEITO!$N$242*EFEITO!$AA$242</f>
        <v>0</v>
      </c>
      <c r="M242" s="67">
        <f ca="1">$J$242-EFEITO!$K$242*EFEITO!$Y$242</f>
        <v>0</v>
      </c>
      <c r="N242" s="67">
        <f>$K$242-EFEITO!$M$242*EFEITO!$Z$242</f>
        <v>0</v>
      </c>
      <c r="O242" s="67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8" t="s">
        <v>55</v>
      </c>
      <c r="B243" s="58" t="s">
        <v>39</v>
      </c>
      <c r="C243" s="58" t="s">
        <v>41</v>
      </c>
      <c r="D243" s="58" t="s">
        <v>42</v>
      </c>
      <c r="E243" s="58" t="s">
        <v>25</v>
      </c>
      <c r="F243" s="58" t="s">
        <v>25</v>
      </c>
      <c r="G243" s="58" t="s">
        <v>25</v>
      </c>
      <c r="H243" s="58" t="s">
        <v>25</v>
      </c>
      <c r="I243" s="66">
        <v>44835</v>
      </c>
      <c r="J243" s="67">
        <f ca="1">EFEITO!$J$243*EFEITO!$Y$243</f>
        <v>-951.22383927734472</v>
      </c>
      <c r="K243" s="67">
        <f>EFEITO!$L$243*EFEITO!$Z$243</f>
        <v>0</v>
      </c>
      <c r="L243" s="67">
        <f>EFEITO!$N$243*EFEITO!$AA$243</f>
        <v>0</v>
      </c>
      <c r="M243" s="67">
        <f ca="1">$J$243-EFEITO!$K$243*EFEITO!$Y$243</f>
        <v>0</v>
      </c>
      <c r="N243" s="67">
        <f>$K$243-EFEITO!$M$243*EFEITO!$Z$243</f>
        <v>0</v>
      </c>
      <c r="O243" s="67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8" t="s">
        <v>55</v>
      </c>
      <c r="B244" s="58" t="s">
        <v>39</v>
      </c>
      <c r="C244" s="58" t="s">
        <v>41</v>
      </c>
      <c r="D244" s="58" t="s">
        <v>42</v>
      </c>
      <c r="E244" s="58" t="s">
        <v>25</v>
      </c>
      <c r="F244" s="58" t="s">
        <v>25</v>
      </c>
      <c r="G244" s="58" t="s">
        <v>25</v>
      </c>
      <c r="H244" s="58" t="s">
        <v>25</v>
      </c>
      <c r="I244" s="66">
        <v>44835</v>
      </c>
      <c r="J244" s="67">
        <f ca="1">EFEITO!$J$244*EFEITO!$Y$244</f>
        <v>73111.064286856723</v>
      </c>
      <c r="K244" s="67">
        <f>EFEITO!$L$244*EFEITO!$Z$244</f>
        <v>0</v>
      </c>
      <c r="L244" s="67">
        <f>EFEITO!$N$244*EFEITO!$AA$244</f>
        <v>0</v>
      </c>
      <c r="M244" s="67">
        <f ca="1">$J$244-EFEITO!$K$244*EFEITO!$Y$244</f>
        <v>0</v>
      </c>
      <c r="N244" s="67">
        <f>$K$244-EFEITO!$M$244*EFEITO!$Z$244</f>
        <v>0</v>
      </c>
      <c r="O244" s="67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8" t="s">
        <v>21</v>
      </c>
      <c r="B245" s="58" t="s">
        <v>39</v>
      </c>
      <c r="C245" s="58" t="s">
        <v>41</v>
      </c>
      <c r="D245" s="58" t="s">
        <v>42</v>
      </c>
      <c r="E245" s="58" t="s">
        <v>25</v>
      </c>
      <c r="F245" s="58" t="s">
        <v>25</v>
      </c>
      <c r="G245" s="58" t="s">
        <v>25</v>
      </c>
      <c r="H245" s="58" t="s">
        <v>34</v>
      </c>
      <c r="I245" s="66">
        <v>44501</v>
      </c>
      <c r="J245" s="67">
        <f>EFEITO!$J$245*EFEITO!$Y$245</f>
        <v>0</v>
      </c>
      <c r="K245" s="67">
        <f ca="1">EFEITO!$L$245*EFEITO!$Z$245</f>
        <v>631754.67277380032</v>
      </c>
      <c r="L245" s="67">
        <f>EFEITO!$N$245*EFEITO!$AA$245</f>
        <v>229581.27520275972</v>
      </c>
      <c r="M245" s="67">
        <f>$J$245-EFEITO!$K$245*EFEITO!$Y$245</f>
        <v>0</v>
      </c>
      <c r="N245" s="67">
        <f ca="1">$K$245-EFEITO!$M$245*EFEITO!$Z$245</f>
        <v>0</v>
      </c>
      <c r="O245" s="67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8" t="s">
        <v>27</v>
      </c>
      <c r="B246" s="58" t="s">
        <v>39</v>
      </c>
      <c r="C246" s="58" t="s">
        <v>41</v>
      </c>
      <c r="D246" s="58" t="s">
        <v>42</v>
      </c>
      <c r="E246" s="58" t="s">
        <v>25</v>
      </c>
      <c r="F246" s="58" t="s">
        <v>25</v>
      </c>
      <c r="G246" s="58" t="s">
        <v>25</v>
      </c>
      <c r="H246" s="58" t="s">
        <v>34</v>
      </c>
      <c r="I246" s="66">
        <v>44501</v>
      </c>
      <c r="J246" s="67">
        <f>EFEITO!$J$246*EFEITO!$Y$246</f>
        <v>0</v>
      </c>
      <c r="K246" s="67">
        <f ca="1">EFEITO!$L$246*EFEITO!$Z$246</f>
        <v>-3486.4866802090451</v>
      </c>
      <c r="L246" s="67">
        <f>EFEITO!$N$246*EFEITO!$AA$246</f>
        <v>-1266.9982392143279</v>
      </c>
      <c r="M246" s="67">
        <f>$J$246-EFEITO!$K$246*EFEITO!$Y$246</f>
        <v>0</v>
      </c>
      <c r="N246" s="67">
        <f ca="1">$K$246-EFEITO!$M$246*EFEITO!$Z$246</f>
        <v>0</v>
      </c>
      <c r="O246" s="67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8" t="s">
        <v>28</v>
      </c>
      <c r="B247" s="58" t="s">
        <v>39</v>
      </c>
      <c r="C247" s="58" t="s">
        <v>41</v>
      </c>
      <c r="D247" s="58" t="s">
        <v>42</v>
      </c>
      <c r="E247" s="58" t="s">
        <v>25</v>
      </c>
      <c r="F247" s="58" t="s">
        <v>25</v>
      </c>
      <c r="G247" s="58" t="s">
        <v>25</v>
      </c>
      <c r="H247" s="58" t="s">
        <v>34</v>
      </c>
      <c r="I247" s="66">
        <v>44501</v>
      </c>
      <c r="J247" s="67">
        <f>EFEITO!$J$247*EFEITO!$Y$247</f>
        <v>0</v>
      </c>
      <c r="K247" s="67">
        <f ca="1">EFEITO!$L$247*EFEITO!$Z$247</f>
        <v>24087.231241804133</v>
      </c>
      <c r="L247" s="67">
        <f>EFEITO!$N$247*EFEITO!$AA$247</f>
        <v>8753.3618711786785</v>
      </c>
      <c r="M247" s="67">
        <f>$J$247-EFEITO!$K$247*EFEITO!$Y$247</f>
        <v>0</v>
      </c>
      <c r="N247" s="67">
        <f ca="1">$K$247-EFEITO!$M$247*EFEITO!$Z$247</f>
        <v>0</v>
      </c>
      <c r="O247" s="67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8" t="s">
        <v>21</v>
      </c>
      <c r="B248" s="58" t="s">
        <v>39</v>
      </c>
      <c r="C248" s="58" t="s">
        <v>41</v>
      </c>
      <c r="D248" s="58" t="s">
        <v>42</v>
      </c>
      <c r="E248" s="58" t="s">
        <v>25</v>
      </c>
      <c r="F248" s="58" t="s">
        <v>25</v>
      </c>
      <c r="G248" s="58" t="s">
        <v>25</v>
      </c>
      <c r="H248" s="58" t="s">
        <v>34</v>
      </c>
      <c r="I248" s="66">
        <v>44531</v>
      </c>
      <c r="J248" s="67">
        <f>EFEITO!$J$248*EFEITO!$Y$248</f>
        <v>0</v>
      </c>
      <c r="K248" s="67">
        <f ca="1">EFEITO!$L$248*EFEITO!$Z$248</f>
        <v>688351.07694679091</v>
      </c>
      <c r="L248" s="67">
        <f>EFEITO!$N$248*EFEITO!$AA$248</f>
        <v>250148.55424618407</v>
      </c>
      <c r="M248" s="67">
        <f>$J$248-EFEITO!$K$248*EFEITO!$Y$248</f>
        <v>0</v>
      </c>
      <c r="N248" s="67">
        <f ca="1">$K$248-EFEITO!$M$248*EFEITO!$Z$248</f>
        <v>0</v>
      </c>
      <c r="O248" s="67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8" t="s">
        <v>27</v>
      </c>
      <c r="B249" s="58" t="s">
        <v>39</v>
      </c>
      <c r="C249" s="58" t="s">
        <v>41</v>
      </c>
      <c r="D249" s="58" t="s">
        <v>42</v>
      </c>
      <c r="E249" s="58" t="s">
        <v>25</v>
      </c>
      <c r="F249" s="58" t="s">
        <v>25</v>
      </c>
      <c r="G249" s="58" t="s">
        <v>25</v>
      </c>
      <c r="H249" s="58" t="s">
        <v>34</v>
      </c>
      <c r="I249" s="66">
        <v>44531</v>
      </c>
      <c r="J249" s="67">
        <f>EFEITO!$J$249*EFEITO!$Y$249</f>
        <v>0</v>
      </c>
      <c r="K249" s="67">
        <f ca="1">EFEITO!$L$249*EFEITO!$Z$249</f>
        <v>192.69784993443307</v>
      </c>
      <c r="L249" s="67">
        <f>EFEITO!$N$249*EFEITO!$AA$249</f>
        <v>70.026894969429435</v>
      </c>
      <c r="M249" s="67">
        <f>$J$249-EFEITO!$K$249*EFEITO!$Y$249</f>
        <v>0</v>
      </c>
      <c r="N249" s="67">
        <f ca="1">$K$249-EFEITO!$M$249*EFEITO!$Z$249</f>
        <v>0</v>
      </c>
      <c r="O249" s="67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8" t="s">
        <v>28</v>
      </c>
      <c r="B250" s="58" t="s">
        <v>39</v>
      </c>
      <c r="C250" s="58" t="s">
        <v>41</v>
      </c>
      <c r="D250" s="58" t="s">
        <v>42</v>
      </c>
      <c r="E250" s="58" t="s">
        <v>25</v>
      </c>
      <c r="F250" s="58" t="s">
        <v>25</v>
      </c>
      <c r="G250" s="58" t="s">
        <v>25</v>
      </c>
      <c r="H250" s="58" t="s">
        <v>34</v>
      </c>
      <c r="I250" s="66">
        <v>44531</v>
      </c>
      <c r="J250" s="67">
        <f>EFEITO!$J$250*EFEITO!$Y$250</f>
        <v>0</v>
      </c>
      <c r="K250" s="67">
        <f ca="1">EFEITO!$L$250*EFEITO!$Z$250</f>
        <v>28735.880148749522</v>
      </c>
      <c r="L250" s="67">
        <f>EFEITO!$N$250*EFEITO!$AA$250</f>
        <v>10442.692856797781</v>
      </c>
      <c r="M250" s="67">
        <f>$J$250-EFEITO!$K$250*EFEITO!$Y$250</f>
        <v>0</v>
      </c>
      <c r="N250" s="67">
        <f ca="1">$K$250-EFEITO!$M$250*EFEITO!$Z$250</f>
        <v>0</v>
      </c>
      <c r="O250" s="67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8" t="s">
        <v>21</v>
      </c>
      <c r="B251" s="58" t="s">
        <v>39</v>
      </c>
      <c r="C251" s="58" t="s">
        <v>41</v>
      </c>
      <c r="D251" s="58" t="s">
        <v>42</v>
      </c>
      <c r="E251" s="58" t="s">
        <v>25</v>
      </c>
      <c r="F251" s="58" t="s">
        <v>25</v>
      </c>
      <c r="G251" s="58" t="s">
        <v>25</v>
      </c>
      <c r="H251" s="58" t="s">
        <v>34</v>
      </c>
      <c r="I251" s="66">
        <v>44562</v>
      </c>
      <c r="J251" s="67">
        <f>EFEITO!$J$251*EFEITO!$Y$251</f>
        <v>0</v>
      </c>
      <c r="K251" s="67">
        <f ca="1">EFEITO!$L$251*EFEITO!$Z$251</f>
        <v>614740.4982718376</v>
      </c>
      <c r="L251" s="67">
        <f>EFEITO!$N$251*EFEITO!$AA$251</f>
        <v>223398.28036786205</v>
      </c>
      <c r="M251" s="67">
        <f>$J$251-EFEITO!$K$251*EFEITO!$Y$251</f>
        <v>0</v>
      </c>
      <c r="N251" s="67">
        <f ca="1">$K$251-EFEITO!$M$251*EFEITO!$Z$251</f>
        <v>0</v>
      </c>
      <c r="O251" s="67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8" t="s">
        <v>28</v>
      </c>
      <c r="B252" s="58" t="s">
        <v>39</v>
      </c>
      <c r="C252" s="58" t="s">
        <v>41</v>
      </c>
      <c r="D252" s="58" t="s">
        <v>42</v>
      </c>
      <c r="E252" s="58" t="s">
        <v>25</v>
      </c>
      <c r="F252" s="58" t="s">
        <v>25</v>
      </c>
      <c r="G252" s="58" t="s">
        <v>25</v>
      </c>
      <c r="H252" s="58" t="s">
        <v>34</v>
      </c>
      <c r="I252" s="66">
        <v>44562</v>
      </c>
      <c r="J252" s="67">
        <f>EFEITO!$J$252*EFEITO!$Y$252</f>
        <v>0</v>
      </c>
      <c r="K252" s="67">
        <f ca="1">EFEITO!$L$252*EFEITO!$Z$252</f>
        <v>24913.292567492052</v>
      </c>
      <c r="L252" s="67">
        <f>EFEITO!$N$252*EFEITO!$AA$252</f>
        <v>9053.5546844972414</v>
      </c>
      <c r="M252" s="67">
        <f>$J$252-EFEITO!$K$252*EFEITO!$Y$252</f>
        <v>0</v>
      </c>
      <c r="N252" s="67">
        <f ca="1">$K$252-EFEITO!$M$252*EFEITO!$Z$252</f>
        <v>0</v>
      </c>
      <c r="O252" s="67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8" t="s">
        <v>21</v>
      </c>
      <c r="B253" s="58" t="s">
        <v>39</v>
      </c>
      <c r="C253" s="58" t="s">
        <v>41</v>
      </c>
      <c r="D253" s="58" t="s">
        <v>42</v>
      </c>
      <c r="E253" s="58" t="s">
        <v>25</v>
      </c>
      <c r="F253" s="58" t="s">
        <v>25</v>
      </c>
      <c r="G253" s="58" t="s">
        <v>25</v>
      </c>
      <c r="H253" s="58" t="s">
        <v>34</v>
      </c>
      <c r="I253" s="66">
        <v>44593</v>
      </c>
      <c r="J253" s="67">
        <f>EFEITO!$J$253*EFEITO!$Y$253</f>
        <v>0</v>
      </c>
      <c r="K253" s="67">
        <f ca="1">EFEITO!$L$253*EFEITO!$Z$253</f>
        <v>626551.83082557062</v>
      </c>
      <c r="L253" s="67">
        <f>EFEITO!$N$253*EFEITO!$AA$253</f>
        <v>227690.54903858513</v>
      </c>
      <c r="M253" s="67">
        <f>$J$253-EFEITO!$K$253*EFEITO!$Y$253</f>
        <v>0</v>
      </c>
      <c r="N253" s="67">
        <f ca="1">$K$253-EFEITO!$M$253*EFEITO!$Z$253</f>
        <v>0</v>
      </c>
      <c r="O253" s="67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8" t="s">
        <v>28</v>
      </c>
      <c r="B254" s="58" t="s">
        <v>39</v>
      </c>
      <c r="C254" s="58" t="s">
        <v>41</v>
      </c>
      <c r="D254" s="58" t="s">
        <v>42</v>
      </c>
      <c r="E254" s="58" t="s">
        <v>25</v>
      </c>
      <c r="F254" s="58" t="s">
        <v>25</v>
      </c>
      <c r="G254" s="58" t="s">
        <v>25</v>
      </c>
      <c r="H254" s="58" t="s">
        <v>34</v>
      </c>
      <c r="I254" s="66">
        <v>44593</v>
      </c>
      <c r="J254" s="67">
        <f>EFEITO!$J$254*EFEITO!$Y$254</f>
        <v>0</v>
      </c>
      <c r="K254" s="67">
        <f ca="1">EFEITO!$L$254*EFEITO!$Z$254</f>
        <v>23804.906484923453</v>
      </c>
      <c r="L254" s="67">
        <f>EFEITO!$N$254*EFEITO!$AA$254</f>
        <v>8650.7643273862595</v>
      </c>
      <c r="M254" s="67">
        <f>$J$254-EFEITO!$K$254*EFEITO!$Y$254</f>
        <v>0</v>
      </c>
      <c r="N254" s="67">
        <f ca="1">$K$254-EFEITO!$M$254*EFEITO!$Z$254</f>
        <v>0</v>
      </c>
      <c r="O254" s="67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8" t="s">
        <v>21</v>
      </c>
      <c r="B255" s="58" t="s">
        <v>39</v>
      </c>
      <c r="C255" s="58" t="s">
        <v>41</v>
      </c>
      <c r="D255" s="58" t="s">
        <v>42</v>
      </c>
      <c r="E255" s="58" t="s">
        <v>25</v>
      </c>
      <c r="F255" s="58" t="s">
        <v>25</v>
      </c>
      <c r="G255" s="58" t="s">
        <v>25</v>
      </c>
      <c r="H255" s="58" t="s">
        <v>34</v>
      </c>
      <c r="I255" s="66">
        <v>44621</v>
      </c>
      <c r="J255" s="67">
        <f>EFEITO!$J$255*EFEITO!$Y$255</f>
        <v>0</v>
      </c>
      <c r="K255" s="67">
        <f ca="1">EFEITO!$L$255*EFEITO!$Z$255</f>
        <v>681502.08747431519</v>
      </c>
      <c r="L255" s="67">
        <f>EFEITO!$N$255*EFEITO!$AA$255</f>
        <v>247659.61383196057</v>
      </c>
      <c r="M255" s="67">
        <f>$J$255-EFEITO!$K$255*EFEITO!$Y$255</f>
        <v>0</v>
      </c>
      <c r="N255" s="67">
        <f ca="1">$K$255-EFEITO!$M$255*EFEITO!$Z$255</f>
        <v>0</v>
      </c>
      <c r="O255" s="67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8" t="s">
        <v>28</v>
      </c>
      <c r="B256" s="58" t="s">
        <v>39</v>
      </c>
      <c r="C256" s="58" t="s">
        <v>41</v>
      </c>
      <c r="D256" s="58" t="s">
        <v>42</v>
      </c>
      <c r="E256" s="58" t="s">
        <v>25</v>
      </c>
      <c r="F256" s="58" t="s">
        <v>25</v>
      </c>
      <c r="G256" s="58" t="s">
        <v>25</v>
      </c>
      <c r="H256" s="58" t="s">
        <v>34</v>
      </c>
      <c r="I256" s="66">
        <v>44621</v>
      </c>
      <c r="J256" s="67">
        <f>EFEITO!$J$256*EFEITO!$Y$256</f>
        <v>0</v>
      </c>
      <c r="K256" s="67">
        <f ca="1">EFEITO!$L$256*EFEITO!$Z$256</f>
        <v>38818.907180202419</v>
      </c>
      <c r="L256" s="67">
        <f>EFEITO!$N$256*EFEITO!$AA$256</f>
        <v>14106.890849384206</v>
      </c>
      <c r="M256" s="67">
        <f>$J$256-EFEITO!$K$256*EFEITO!$Y$256</f>
        <v>0</v>
      </c>
      <c r="N256" s="67">
        <f ca="1">$K$256-EFEITO!$M$256*EFEITO!$Z$256</f>
        <v>0</v>
      </c>
      <c r="O256" s="67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8" t="s">
        <v>28</v>
      </c>
      <c r="B257" s="58" t="s">
        <v>39</v>
      </c>
      <c r="C257" s="58" t="s">
        <v>41</v>
      </c>
      <c r="D257" s="58" t="s">
        <v>42</v>
      </c>
      <c r="E257" s="58" t="s">
        <v>25</v>
      </c>
      <c r="F257" s="58" t="s">
        <v>25</v>
      </c>
      <c r="G257" s="58" t="s">
        <v>25</v>
      </c>
      <c r="H257" s="58" t="s">
        <v>34</v>
      </c>
      <c r="I257" s="66">
        <v>44621</v>
      </c>
      <c r="J257" s="67">
        <f>EFEITO!$J$257*EFEITO!$Y$257</f>
        <v>0</v>
      </c>
      <c r="K257" s="67">
        <f ca="1">EFEITO!$L$257*EFEITO!$Z$257</f>
        <v>291.28744757530581</v>
      </c>
      <c r="L257" s="67">
        <f>EFEITO!$N$257*EFEITO!$AA$257</f>
        <v>105.85460867471892</v>
      </c>
      <c r="M257" s="67">
        <f>$J$257-EFEITO!$K$257*EFEITO!$Y$257</f>
        <v>0</v>
      </c>
      <c r="N257" s="67">
        <f ca="1">$K$257-EFEITO!$M$257*EFEITO!$Z$257</f>
        <v>0</v>
      </c>
      <c r="O257" s="67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8" t="s">
        <v>21</v>
      </c>
      <c r="B258" s="58" t="s">
        <v>39</v>
      </c>
      <c r="C258" s="58" t="s">
        <v>41</v>
      </c>
      <c r="D258" s="58" t="s">
        <v>42</v>
      </c>
      <c r="E258" s="58" t="s">
        <v>25</v>
      </c>
      <c r="F258" s="58" t="s">
        <v>25</v>
      </c>
      <c r="G258" s="58" t="s">
        <v>25</v>
      </c>
      <c r="H258" s="58" t="s">
        <v>34</v>
      </c>
      <c r="I258" s="66">
        <v>44652</v>
      </c>
      <c r="J258" s="67">
        <f>EFEITO!$J$258*EFEITO!$Y$258</f>
        <v>0</v>
      </c>
      <c r="K258" s="67">
        <f ca="1">EFEITO!$L$258*EFEITO!$Z$258</f>
        <v>681502.08747431519</v>
      </c>
      <c r="L258" s="67">
        <f>EFEITO!$N$258*EFEITO!$AA$258</f>
        <v>247659.61383196057</v>
      </c>
      <c r="M258" s="67">
        <f>$J$258-EFEITO!$K$258*EFEITO!$Y$258</f>
        <v>0</v>
      </c>
      <c r="N258" s="67">
        <f ca="1">$K$258-EFEITO!$M$258*EFEITO!$Z$258</f>
        <v>0</v>
      </c>
      <c r="O258" s="67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8" t="s">
        <v>28</v>
      </c>
      <c r="B259" s="58" t="s">
        <v>39</v>
      </c>
      <c r="C259" s="58" t="s">
        <v>41</v>
      </c>
      <c r="D259" s="58" t="s">
        <v>42</v>
      </c>
      <c r="E259" s="58" t="s">
        <v>25</v>
      </c>
      <c r="F259" s="58" t="s">
        <v>25</v>
      </c>
      <c r="G259" s="58" t="s">
        <v>25</v>
      </c>
      <c r="H259" s="58" t="s">
        <v>34</v>
      </c>
      <c r="I259" s="66">
        <v>44652</v>
      </c>
      <c r="J259" s="67">
        <f>EFEITO!$J$259*EFEITO!$Y$259</f>
        <v>0</v>
      </c>
      <c r="K259" s="67">
        <f ca="1">EFEITO!$L$259*EFEITO!$Z$259</f>
        <v>38818.907180202419</v>
      </c>
      <c r="L259" s="67">
        <f>EFEITO!$N$259*EFEITO!$AA$259</f>
        <v>14106.890849384206</v>
      </c>
      <c r="M259" s="67">
        <f>$J$259-EFEITO!$K$259*EFEITO!$Y$259</f>
        <v>0</v>
      </c>
      <c r="N259" s="67">
        <f ca="1">$K$259-EFEITO!$M$259*EFEITO!$Z$259</f>
        <v>0</v>
      </c>
      <c r="O259" s="67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8" t="s">
        <v>28</v>
      </c>
      <c r="B260" s="58" t="s">
        <v>39</v>
      </c>
      <c r="C260" s="58" t="s">
        <v>41</v>
      </c>
      <c r="D260" s="58" t="s">
        <v>42</v>
      </c>
      <c r="E260" s="58" t="s">
        <v>25</v>
      </c>
      <c r="F260" s="58" t="s">
        <v>25</v>
      </c>
      <c r="G260" s="58" t="s">
        <v>25</v>
      </c>
      <c r="H260" s="58" t="s">
        <v>34</v>
      </c>
      <c r="I260" s="66">
        <v>44652</v>
      </c>
      <c r="J260" s="67">
        <f>EFEITO!$J$260*EFEITO!$Y$260</f>
        <v>0</v>
      </c>
      <c r="K260" s="67">
        <f ca="1">EFEITO!$L$260*EFEITO!$Z$260</f>
        <v>291.28744757530581</v>
      </c>
      <c r="L260" s="67">
        <f>EFEITO!$N$260*EFEITO!$AA$260</f>
        <v>105.85460867471892</v>
      </c>
      <c r="M260" s="67">
        <f>$J$260-EFEITO!$K$260*EFEITO!$Y$260</f>
        <v>0</v>
      </c>
      <c r="N260" s="67">
        <f ca="1">$K$260-EFEITO!$M$260*EFEITO!$Z$260</f>
        <v>0</v>
      </c>
      <c r="O260" s="67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8" t="s">
        <v>21</v>
      </c>
      <c r="B261" s="58" t="s">
        <v>39</v>
      </c>
      <c r="C261" s="58" t="s">
        <v>41</v>
      </c>
      <c r="D261" s="58" t="s">
        <v>42</v>
      </c>
      <c r="E261" s="58" t="s">
        <v>25</v>
      </c>
      <c r="F261" s="58" t="s">
        <v>25</v>
      </c>
      <c r="G261" s="58" t="s">
        <v>25</v>
      </c>
      <c r="H261" s="58" t="s">
        <v>34</v>
      </c>
      <c r="I261" s="66">
        <v>44682</v>
      </c>
      <c r="J261" s="67">
        <f>EFEITO!$J$261*EFEITO!$Y$261</f>
        <v>0</v>
      </c>
      <c r="K261" s="67">
        <f ca="1">EFEITO!$L$261*EFEITO!$Z$261</f>
        <v>658269.2994120653</v>
      </c>
      <c r="L261" s="67">
        <f>EFEITO!$N$261*EFEITO!$AA$261</f>
        <v>239216.75881289438</v>
      </c>
      <c r="M261" s="67">
        <f>$J$261-EFEITO!$K$261*EFEITO!$Y$261</f>
        <v>0</v>
      </c>
      <c r="N261" s="67">
        <f ca="1">$K$261-EFEITO!$M$261*EFEITO!$Z$261</f>
        <v>0</v>
      </c>
      <c r="O261" s="67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8" t="s">
        <v>27</v>
      </c>
      <c r="B262" s="58" t="s">
        <v>39</v>
      </c>
      <c r="C262" s="58" t="s">
        <v>41</v>
      </c>
      <c r="D262" s="58" t="s">
        <v>42</v>
      </c>
      <c r="E262" s="58" t="s">
        <v>25</v>
      </c>
      <c r="F262" s="58" t="s">
        <v>25</v>
      </c>
      <c r="G262" s="58" t="s">
        <v>25</v>
      </c>
      <c r="H262" s="58" t="s">
        <v>34</v>
      </c>
      <c r="I262" s="66">
        <v>44682</v>
      </c>
      <c r="J262" s="67">
        <f>EFEITO!$J$262*EFEITO!$Y$262</f>
        <v>0</v>
      </c>
      <c r="K262" s="67">
        <f ca="1">EFEITO!$L$262*EFEITO!$Z$262</f>
        <v>-10803.029850587751</v>
      </c>
      <c r="L262" s="67">
        <f>EFEITO!$N$262*EFEITO!$AA$262</f>
        <v>-3925.8488714644468</v>
      </c>
      <c r="M262" s="67">
        <f>$J$262-EFEITO!$K$262*EFEITO!$Y$262</f>
        <v>0</v>
      </c>
      <c r="N262" s="67">
        <f ca="1">$K$262-EFEITO!$M$262*EFEITO!$Z$262</f>
        <v>0</v>
      </c>
      <c r="O262" s="67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8" t="s">
        <v>28</v>
      </c>
      <c r="B263" s="58" t="s">
        <v>39</v>
      </c>
      <c r="C263" s="58" t="s">
        <v>41</v>
      </c>
      <c r="D263" s="58" t="s">
        <v>42</v>
      </c>
      <c r="E263" s="58" t="s">
        <v>25</v>
      </c>
      <c r="F263" s="58" t="s">
        <v>25</v>
      </c>
      <c r="G263" s="58" t="s">
        <v>25</v>
      </c>
      <c r="H263" s="58" t="s">
        <v>34</v>
      </c>
      <c r="I263" s="66">
        <v>44682</v>
      </c>
      <c r="J263" s="67">
        <f>EFEITO!$J$263*EFEITO!$Y$263</f>
        <v>0</v>
      </c>
      <c r="K263" s="67">
        <f ca="1">EFEITO!$L$263*EFEITO!$Z$263</f>
        <v>146557.91823850462</v>
      </c>
      <c r="L263" s="67">
        <f>EFEITO!$N$263*EFEITO!$AA$263</f>
        <v>53259.524955353954</v>
      </c>
      <c r="M263" s="67">
        <f>$J$263-EFEITO!$K$263*EFEITO!$Y$263</f>
        <v>0</v>
      </c>
      <c r="N263" s="67">
        <f ca="1">$K$263-EFEITO!$M$263*EFEITO!$Z$263</f>
        <v>0</v>
      </c>
      <c r="O263" s="67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8" t="s">
        <v>21</v>
      </c>
      <c r="B264" s="58" t="s">
        <v>39</v>
      </c>
      <c r="C264" s="58" t="s">
        <v>41</v>
      </c>
      <c r="D264" s="58" t="s">
        <v>42</v>
      </c>
      <c r="E264" s="58" t="s">
        <v>25</v>
      </c>
      <c r="F264" s="58" t="s">
        <v>25</v>
      </c>
      <c r="G264" s="58" t="s">
        <v>25</v>
      </c>
      <c r="H264" s="58" t="s">
        <v>34</v>
      </c>
      <c r="I264" s="66">
        <v>44713</v>
      </c>
      <c r="J264" s="67">
        <f>EFEITO!$J$264*EFEITO!$Y$264</f>
        <v>0</v>
      </c>
      <c r="K264" s="67">
        <f ca="1">EFEITO!$L$264*EFEITO!$Z$264</f>
        <v>606702.45850054151</v>
      </c>
      <c r="L264" s="67">
        <f>EFEITO!$N$264*EFEITO!$AA$264</f>
        <v>220477.23601258683</v>
      </c>
      <c r="M264" s="67">
        <f>$J$264-EFEITO!$K$264*EFEITO!$Y$264</f>
        <v>0</v>
      </c>
      <c r="N264" s="67">
        <f ca="1">$K$264-EFEITO!$M$264*EFEITO!$Z$264</f>
        <v>0</v>
      </c>
      <c r="O264" s="67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8" t="s">
        <v>27</v>
      </c>
      <c r="B265" s="58" t="s">
        <v>39</v>
      </c>
      <c r="C265" s="58" t="s">
        <v>41</v>
      </c>
      <c r="D265" s="58" t="s">
        <v>42</v>
      </c>
      <c r="E265" s="58" t="s">
        <v>25</v>
      </c>
      <c r="F265" s="58" t="s">
        <v>25</v>
      </c>
      <c r="G265" s="58" t="s">
        <v>25</v>
      </c>
      <c r="H265" s="58" t="s">
        <v>34</v>
      </c>
      <c r="I265" s="66">
        <v>44713</v>
      </c>
      <c r="J265" s="67">
        <f>EFEITO!$J$265*EFEITO!$Y$265</f>
        <v>0</v>
      </c>
      <c r="K265" s="67">
        <f ca="1">EFEITO!$L$265*EFEITO!$Z$265</f>
        <v>-9436.2195196574703</v>
      </c>
      <c r="L265" s="67">
        <f>EFEITO!$N$265*EFEITO!$AA$265</f>
        <v>-3429.1464769138429</v>
      </c>
      <c r="M265" s="67">
        <f>$J$265-EFEITO!$K$265*EFEITO!$Y$265</f>
        <v>0</v>
      </c>
      <c r="N265" s="67">
        <f ca="1">$K$265-EFEITO!$M$265*EFEITO!$Z$265</f>
        <v>0</v>
      </c>
      <c r="O265" s="67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8" t="s">
        <v>28</v>
      </c>
      <c r="B266" s="58" t="s">
        <v>39</v>
      </c>
      <c r="C266" s="58" t="s">
        <v>41</v>
      </c>
      <c r="D266" s="58" t="s">
        <v>42</v>
      </c>
      <c r="E266" s="58" t="s">
        <v>25</v>
      </c>
      <c r="F266" s="58" t="s">
        <v>25</v>
      </c>
      <c r="G266" s="58" t="s">
        <v>25</v>
      </c>
      <c r="H266" s="58" t="s">
        <v>34</v>
      </c>
      <c r="I266" s="66">
        <v>44713</v>
      </c>
      <c r="J266" s="67">
        <f>EFEITO!$J$266*EFEITO!$Y$266</f>
        <v>0</v>
      </c>
      <c r="K266" s="67">
        <f ca="1">EFEITO!$L$266*EFEITO!$Z$266</f>
        <v>37292.262198551325</v>
      </c>
      <c r="L266" s="67">
        <f>EFEITO!$N$266*EFEITO!$AA$266</f>
        <v>13552.10413109927</v>
      </c>
      <c r="M266" s="67">
        <f>$J$266-EFEITO!$K$266*EFEITO!$Y$266</f>
        <v>0</v>
      </c>
      <c r="N266" s="67">
        <f ca="1">$K$266-EFEITO!$M$266*EFEITO!$Z$266</f>
        <v>0</v>
      </c>
      <c r="O266" s="67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8" t="s">
        <v>21</v>
      </c>
      <c r="B267" s="58" t="s">
        <v>39</v>
      </c>
      <c r="C267" s="58" t="s">
        <v>41</v>
      </c>
      <c r="D267" s="58" t="s">
        <v>42</v>
      </c>
      <c r="E267" s="58" t="s">
        <v>25</v>
      </c>
      <c r="F267" s="58" t="s">
        <v>25</v>
      </c>
      <c r="G267" s="58" t="s">
        <v>25</v>
      </c>
      <c r="H267" s="58" t="s">
        <v>34</v>
      </c>
      <c r="I267" s="66">
        <v>44743</v>
      </c>
      <c r="J267" s="67">
        <f>EFEITO!$J$267*EFEITO!$Y$267</f>
        <v>0</v>
      </c>
      <c r="K267" s="67">
        <f ca="1">EFEITO!$L$267*EFEITO!$Z$267</f>
        <v>628112.8327882177</v>
      </c>
      <c r="L267" s="67">
        <f>EFEITO!$N$267*EFEITO!$AA$267</f>
        <v>228257.82117225221</v>
      </c>
      <c r="M267" s="67">
        <f>$J$267-EFEITO!$K$267*EFEITO!$Y$267</f>
        <v>0</v>
      </c>
      <c r="N267" s="67">
        <f ca="1">$K$267-EFEITO!$M$267*EFEITO!$Z$267</f>
        <v>0</v>
      </c>
      <c r="O267" s="67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8" t="s">
        <v>27</v>
      </c>
      <c r="B268" s="58" t="s">
        <v>39</v>
      </c>
      <c r="C268" s="58" t="s">
        <v>41</v>
      </c>
      <c r="D268" s="58" t="s">
        <v>42</v>
      </c>
      <c r="E268" s="58" t="s">
        <v>25</v>
      </c>
      <c r="F268" s="58" t="s">
        <v>25</v>
      </c>
      <c r="G268" s="58" t="s">
        <v>25</v>
      </c>
      <c r="H268" s="58" t="s">
        <v>34</v>
      </c>
      <c r="I268" s="66">
        <v>44743</v>
      </c>
      <c r="J268" s="67">
        <f>EFEITO!$J$268*EFEITO!$Y$268</f>
        <v>0</v>
      </c>
      <c r="K268" s="67">
        <f ca="1">EFEITO!$L$268*EFEITO!$Z$268</f>
        <v>-612.45053079936088</v>
      </c>
      <c r="L268" s="67">
        <f>EFEITO!$N$268*EFEITO!$AA$268</f>
        <v>-222.5661002904346</v>
      </c>
      <c r="M268" s="67">
        <f>$J$268-EFEITO!$K$268*EFEITO!$Y$268</f>
        <v>0</v>
      </c>
      <c r="N268" s="67">
        <f ca="1">$K$268-EFEITO!$M$268*EFEITO!$Z$268</f>
        <v>0</v>
      </c>
      <c r="O268" s="67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8" t="s">
        <v>28</v>
      </c>
      <c r="B269" s="58" t="s">
        <v>39</v>
      </c>
      <c r="C269" s="58" t="s">
        <v>41</v>
      </c>
      <c r="D269" s="58" t="s">
        <v>42</v>
      </c>
      <c r="E269" s="58" t="s">
        <v>25</v>
      </c>
      <c r="F269" s="58" t="s">
        <v>25</v>
      </c>
      <c r="G269" s="58" t="s">
        <v>25</v>
      </c>
      <c r="H269" s="58" t="s">
        <v>34</v>
      </c>
      <c r="I269" s="66">
        <v>44743</v>
      </c>
      <c r="J269" s="67">
        <f>EFEITO!$J$269*EFEITO!$Y$269</f>
        <v>0</v>
      </c>
      <c r="K269" s="67">
        <f ca="1">EFEITO!$L$269*EFEITO!$Z$269</f>
        <v>39707.707340752713</v>
      </c>
      <c r="L269" s="67">
        <f>EFEITO!$N$269*EFEITO!$AA$269</f>
        <v>14429.883116878862</v>
      </c>
      <c r="M269" s="67">
        <f>$J$269-EFEITO!$K$269*EFEITO!$Y$269</f>
        <v>0</v>
      </c>
      <c r="N269" s="67">
        <f ca="1">$K$269-EFEITO!$M$269*EFEITO!$Z$269</f>
        <v>0</v>
      </c>
      <c r="O269" s="67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8" t="s">
        <v>21</v>
      </c>
      <c r="B270" s="58" t="s">
        <v>39</v>
      </c>
      <c r="C270" s="58" t="s">
        <v>41</v>
      </c>
      <c r="D270" s="58" t="s">
        <v>42</v>
      </c>
      <c r="E270" s="58" t="s">
        <v>25</v>
      </c>
      <c r="F270" s="58" t="s">
        <v>25</v>
      </c>
      <c r="G270" s="58" t="s">
        <v>25</v>
      </c>
      <c r="H270" s="58" t="s">
        <v>34</v>
      </c>
      <c r="I270" s="66">
        <v>44774</v>
      </c>
      <c r="J270" s="67">
        <f>EFEITO!$J$270*EFEITO!$Y$270</f>
        <v>0</v>
      </c>
      <c r="K270" s="67">
        <f ca="1">EFEITO!$L$270*EFEITO!$Z$270</f>
        <v>721758.01272922242</v>
      </c>
      <c r="L270" s="67">
        <f>EFEITO!$N$270*EFEITO!$AA$270</f>
        <v>262288.72075080674</v>
      </c>
      <c r="M270" s="67">
        <f>$J$270-EFEITO!$K$270*EFEITO!$Y$270</f>
        <v>0</v>
      </c>
      <c r="N270" s="67">
        <f ca="1">$K$270-EFEITO!$M$270*EFEITO!$Z$270</f>
        <v>0</v>
      </c>
      <c r="O270" s="67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8" t="s">
        <v>28</v>
      </c>
      <c r="B271" s="58" t="s">
        <v>39</v>
      </c>
      <c r="C271" s="58" t="s">
        <v>41</v>
      </c>
      <c r="D271" s="58" t="s">
        <v>42</v>
      </c>
      <c r="E271" s="58" t="s">
        <v>25</v>
      </c>
      <c r="F271" s="58" t="s">
        <v>25</v>
      </c>
      <c r="G271" s="58" t="s">
        <v>25</v>
      </c>
      <c r="H271" s="58" t="s">
        <v>34</v>
      </c>
      <c r="I271" s="66">
        <v>44774</v>
      </c>
      <c r="J271" s="67">
        <f>EFEITO!$J$271*EFEITO!$Y$271</f>
        <v>0</v>
      </c>
      <c r="K271" s="67">
        <f ca="1">EFEITO!$L$271*EFEITO!$Z$271</f>
        <v>45942.752500646689</v>
      </c>
      <c r="L271" s="67">
        <f>EFEITO!$N$271*EFEITO!$AA$271</f>
        <v>16695.714586664897</v>
      </c>
      <c r="M271" s="67">
        <f>$J$271-EFEITO!$K$271*EFEITO!$Y$271</f>
        <v>0</v>
      </c>
      <c r="N271" s="67">
        <f ca="1">$K$271-EFEITO!$M$271*EFEITO!$Z$271</f>
        <v>0</v>
      </c>
      <c r="O271" s="67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8" t="s">
        <v>21</v>
      </c>
      <c r="B272" s="58" t="s">
        <v>39</v>
      </c>
      <c r="C272" s="58" t="s">
        <v>41</v>
      </c>
      <c r="D272" s="58" t="s">
        <v>42</v>
      </c>
      <c r="E272" s="58" t="s">
        <v>25</v>
      </c>
      <c r="F272" s="58" t="s">
        <v>25</v>
      </c>
      <c r="G272" s="58" t="s">
        <v>25</v>
      </c>
      <c r="H272" s="58" t="s">
        <v>34</v>
      </c>
      <c r="I272" s="66">
        <v>44805</v>
      </c>
      <c r="J272" s="67">
        <f>EFEITO!$J$272*EFEITO!$Y$272</f>
        <v>0</v>
      </c>
      <c r="K272" s="67">
        <f ca="1">EFEITO!$L$272*EFEITO!$Z$272</f>
        <v>752653.90133537655</v>
      </c>
      <c r="L272" s="67">
        <f>EFEITO!$N$272*EFEITO!$AA$272</f>
        <v>273516.36624423857</v>
      </c>
      <c r="M272" s="67">
        <f>$J$272-EFEITO!$K$272*EFEITO!$Y$272</f>
        <v>0</v>
      </c>
      <c r="N272" s="67">
        <f ca="1">$K$272-EFEITO!$M$272*EFEITO!$Z$272</f>
        <v>0</v>
      </c>
      <c r="O272" s="67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8" t="s">
        <v>27</v>
      </c>
      <c r="B273" s="58" t="s">
        <v>39</v>
      </c>
      <c r="C273" s="58" t="s">
        <v>41</v>
      </c>
      <c r="D273" s="58" t="s">
        <v>42</v>
      </c>
      <c r="E273" s="58" t="s">
        <v>25</v>
      </c>
      <c r="F273" s="58" t="s">
        <v>25</v>
      </c>
      <c r="G273" s="58" t="s">
        <v>25</v>
      </c>
      <c r="H273" s="58" t="s">
        <v>34</v>
      </c>
      <c r="I273" s="66">
        <v>44805</v>
      </c>
      <c r="J273" s="67">
        <f>EFEITO!$J$273*EFEITO!$Y$273</f>
        <v>0</v>
      </c>
      <c r="K273" s="67">
        <f ca="1">EFEITO!$L$273*EFEITO!$Z$273</f>
        <v>-495.9355517692386</v>
      </c>
      <c r="L273" s="67">
        <f>EFEITO!$N$273*EFEITO!$AA$273</f>
        <v>-180.22425682054708</v>
      </c>
      <c r="M273" s="67">
        <f>$J$273-EFEITO!$K$273*EFEITO!$Y$273</f>
        <v>0</v>
      </c>
      <c r="N273" s="67">
        <f ca="1">$K$273-EFEITO!$M$273*EFEITO!$Z$273</f>
        <v>0</v>
      </c>
      <c r="O273" s="67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8" t="s">
        <v>28</v>
      </c>
      <c r="B274" s="58" t="s">
        <v>39</v>
      </c>
      <c r="C274" s="58" t="s">
        <v>41</v>
      </c>
      <c r="D274" s="58" t="s">
        <v>42</v>
      </c>
      <c r="E274" s="58" t="s">
        <v>25</v>
      </c>
      <c r="F274" s="58" t="s">
        <v>25</v>
      </c>
      <c r="G274" s="58" t="s">
        <v>25</v>
      </c>
      <c r="H274" s="58" t="s">
        <v>34</v>
      </c>
      <c r="I274" s="66">
        <v>44805</v>
      </c>
      <c r="J274" s="67">
        <f>EFEITO!$J$274*EFEITO!$Y$274</f>
        <v>0</v>
      </c>
      <c r="K274" s="67">
        <f ca="1">EFEITO!$L$274*EFEITO!$Z$274</f>
        <v>49456.127252939608</v>
      </c>
      <c r="L274" s="67">
        <f>EFEITO!$N$274*EFEITO!$AA$274</f>
        <v>17972.484020526121</v>
      </c>
      <c r="M274" s="67">
        <f>$J$274-EFEITO!$K$274*EFEITO!$Y$274</f>
        <v>0</v>
      </c>
      <c r="N274" s="67">
        <f ca="1">$K$274-EFEITO!$M$274*EFEITO!$Z$274</f>
        <v>0</v>
      </c>
      <c r="O274" s="67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8" t="s">
        <v>55</v>
      </c>
      <c r="B275" s="58" t="s">
        <v>39</v>
      </c>
      <c r="C275" s="58" t="s">
        <v>41</v>
      </c>
      <c r="D275" s="58" t="s">
        <v>42</v>
      </c>
      <c r="E275" s="58" t="s">
        <v>25</v>
      </c>
      <c r="F275" s="58" t="s">
        <v>25</v>
      </c>
      <c r="G275" s="58" t="s">
        <v>25</v>
      </c>
      <c r="H275" s="58" t="s">
        <v>34</v>
      </c>
      <c r="I275" s="66">
        <v>44835</v>
      </c>
      <c r="J275" s="67">
        <f>EFEITO!$J$275*EFEITO!$Y$275</f>
        <v>0</v>
      </c>
      <c r="K275" s="67">
        <f ca="1">EFEITO!$L$275*EFEITO!$Z$275</f>
        <v>752653.90133537655</v>
      </c>
      <c r="L275" s="67">
        <f>EFEITO!$N$275*EFEITO!$AA$275</f>
        <v>273516.36624423857</v>
      </c>
      <c r="M275" s="67">
        <f>$J$275-EFEITO!$K$275*EFEITO!$Y$275</f>
        <v>0</v>
      </c>
      <c r="N275" s="67">
        <f ca="1">$K$275-EFEITO!$M$275*EFEITO!$Z$275</f>
        <v>0</v>
      </c>
      <c r="O275" s="67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8" t="s">
        <v>55</v>
      </c>
      <c r="B276" s="58" t="s">
        <v>39</v>
      </c>
      <c r="C276" s="58" t="s">
        <v>41</v>
      </c>
      <c r="D276" s="58" t="s">
        <v>42</v>
      </c>
      <c r="E276" s="58" t="s">
        <v>25</v>
      </c>
      <c r="F276" s="58" t="s">
        <v>25</v>
      </c>
      <c r="G276" s="58" t="s">
        <v>25</v>
      </c>
      <c r="H276" s="58" t="s">
        <v>34</v>
      </c>
      <c r="I276" s="66">
        <v>44835</v>
      </c>
      <c r="J276" s="67">
        <f>EFEITO!$J$276*EFEITO!$Y$276</f>
        <v>0</v>
      </c>
      <c r="K276" s="67">
        <f ca="1">EFEITO!$L$276*EFEITO!$Z$276</f>
        <v>-495.9355517692386</v>
      </c>
      <c r="L276" s="67">
        <f>EFEITO!$N$276*EFEITO!$AA$276</f>
        <v>-180.22425682054708</v>
      </c>
      <c r="M276" s="67">
        <f>$J$276-EFEITO!$K$276*EFEITO!$Y$276</f>
        <v>0</v>
      </c>
      <c r="N276" s="67">
        <f ca="1">$K$276-EFEITO!$M$276*EFEITO!$Z$276</f>
        <v>0</v>
      </c>
      <c r="O276" s="67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8" t="s">
        <v>55</v>
      </c>
      <c r="B277" s="58" t="s">
        <v>39</v>
      </c>
      <c r="C277" s="58" t="s">
        <v>41</v>
      </c>
      <c r="D277" s="58" t="s">
        <v>42</v>
      </c>
      <c r="E277" s="58" t="s">
        <v>25</v>
      </c>
      <c r="F277" s="58" t="s">
        <v>25</v>
      </c>
      <c r="G277" s="58" t="s">
        <v>25</v>
      </c>
      <c r="H277" s="58" t="s">
        <v>34</v>
      </c>
      <c r="I277" s="66">
        <v>44835</v>
      </c>
      <c r="J277" s="67">
        <f>EFEITO!$J$277*EFEITO!$Y$277</f>
        <v>0</v>
      </c>
      <c r="K277" s="67">
        <f ca="1">EFEITO!$L$277*EFEITO!$Z$277</f>
        <v>49456.127252939608</v>
      </c>
      <c r="L277" s="67">
        <f>EFEITO!$N$277*EFEITO!$AA$277</f>
        <v>17972.484020526121</v>
      </c>
      <c r="M277" s="67">
        <f>$J$277-EFEITO!$K$277*EFEITO!$Y$277</f>
        <v>0</v>
      </c>
      <c r="N277" s="67">
        <f ca="1">$K$277-EFEITO!$M$277*EFEITO!$Z$277</f>
        <v>0</v>
      </c>
      <c r="O277" s="67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8" t="s">
        <v>21</v>
      </c>
      <c r="B278" s="58" t="s">
        <v>39</v>
      </c>
      <c r="C278" s="58" t="s">
        <v>41</v>
      </c>
      <c r="D278" s="58" t="s">
        <v>51</v>
      </c>
      <c r="E278" s="58" t="s">
        <v>25</v>
      </c>
      <c r="F278" s="58" t="s">
        <v>25</v>
      </c>
      <c r="G278" s="58" t="s">
        <v>25</v>
      </c>
      <c r="H278" s="58" t="s">
        <v>35</v>
      </c>
      <c r="I278" s="66">
        <v>44501</v>
      </c>
      <c r="J278" s="67">
        <f>EFEITO!$J$278*EFEITO!$Y$278</f>
        <v>0</v>
      </c>
      <c r="K278" s="67">
        <f ca="1">EFEITO!$L$278*EFEITO!$Z$278</f>
        <v>8923.5694809005072</v>
      </c>
      <c r="L278" s="67">
        <f>EFEITO!$N$278*EFEITO!$AA$278</f>
        <v>25878.820615687222</v>
      </c>
      <c r="M278" s="67">
        <f>$J$278-EFEITO!$K$278*EFEITO!$Y$278</f>
        <v>0</v>
      </c>
      <c r="N278" s="67">
        <f ca="1">$K$278-EFEITO!$M$278*EFEITO!$Z$278</f>
        <v>0</v>
      </c>
      <c r="O278" s="67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8" t="s">
        <v>21</v>
      </c>
      <c r="B279" s="58" t="s">
        <v>39</v>
      </c>
      <c r="C279" s="58" t="s">
        <v>41</v>
      </c>
      <c r="D279" s="58" t="s">
        <v>51</v>
      </c>
      <c r="E279" s="58" t="s">
        <v>25</v>
      </c>
      <c r="F279" s="58" t="s">
        <v>25</v>
      </c>
      <c r="G279" s="58" t="s">
        <v>25</v>
      </c>
      <c r="H279" s="58" t="s">
        <v>35</v>
      </c>
      <c r="I279" s="66">
        <v>44531</v>
      </c>
      <c r="J279" s="67">
        <f>EFEITO!$J$279*EFEITO!$Y$279</f>
        <v>0</v>
      </c>
      <c r="K279" s="67">
        <f ca="1">EFEITO!$L$279*EFEITO!$Z$279</f>
        <v>8826.8227840498002</v>
      </c>
      <c r="L279" s="67">
        <f>EFEITO!$N$279*EFEITO!$AA$279</f>
        <v>25598.250108748438</v>
      </c>
      <c r="M279" s="67">
        <f>$J$279-EFEITO!$K$279*EFEITO!$Y$279</f>
        <v>0</v>
      </c>
      <c r="N279" s="67">
        <f ca="1">$K$279-EFEITO!$M$279*EFEITO!$Z$279</f>
        <v>0</v>
      </c>
      <c r="O279" s="67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8" t="s">
        <v>21</v>
      </c>
      <c r="B280" s="58" t="s">
        <v>39</v>
      </c>
      <c r="C280" s="58" t="s">
        <v>41</v>
      </c>
      <c r="D280" s="58" t="s">
        <v>51</v>
      </c>
      <c r="E280" s="58" t="s">
        <v>25</v>
      </c>
      <c r="F280" s="58" t="s">
        <v>25</v>
      </c>
      <c r="G280" s="58" t="s">
        <v>25</v>
      </c>
      <c r="H280" s="58" t="s">
        <v>35</v>
      </c>
      <c r="I280" s="66">
        <v>44562</v>
      </c>
      <c r="J280" s="67">
        <f>EFEITO!$J$280*EFEITO!$Y$280</f>
        <v>0</v>
      </c>
      <c r="K280" s="67">
        <f ca="1">EFEITO!$L$280*EFEITO!$Z$280</f>
        <v>8802.3077839428333</v>
      </c>
      <c r="L280" s="67">
        <f>EFEITO!$N$280*EFEITO!$AA$280</f>
        <v>25527.155319659876</v>
      </c>
      <c r="M280" s="67">
        <f>$J$280-EFEITO!$K$280*EFEITO!$Y$280</f>
        <v>0</v>
      </c>
      <c r="N280" s="67">
        <f ca="1">$K$280-EFEITO!$M$280*EFEITO!$Z$280</f>
        <v>0</v>
      </c>
      <c r="O280" s="67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8" t="s">
        <v>21</v>
      </c>
      <c r="B281" s="58" t="s">
        <v>39</v>
      </c>
      <c r="C281" s="58" t="s">
        <v>41</v>
      </c>
      <c r="D281" s="58" t="s">
        <v>51</v>
      </c>
      <c r="E281" s="58" t="s">
        <v>25</v>
      </c>
      <c r="F281" s="58" t="s">
        <v>25</v>
      </c>
      <c r="G281" s="58" t="s">
        <v>25</v>
      </c>
      <c r="H281" s="58" t="s">
        <v>35</v>
      </c>
      <c r="I281" s="66">
        <v>44593</v>
      </c>
      <c r="J281" s="67">
        <f>EFEITO!$J$281*EFEITO!$Y$281</f>
        <v>0</v>
      </c>
      <c r="K281" s="67">
        <f ca="1">EFEITO!$L$281*EFEITO!$Z$281</f>
        <v>8060.0723789185231</v>
      </c>
      <c r="L281" s="67">
        <f>EFEITO!$N$281*EFEITO!$AA$281</f>
        <v>23374.633625023202</v>
      </c>
      <c r="M281" s="67">
        <f>$J$281-EFEITO!$K$281*EFEITO!$Y$281</f>
        <v>0</v>
      </c>
      <c r="N281" s="67">
        <f ca="1">$K$281-EFEITO!$M$281*EFEITO!$Z$281</f>
        <v>0</v>
      </c>
      <c r="O281" s="67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8" t="s">
        <v>21</v>
      </c>
      <c r="B282" s="58" t="s">
        <v>39</v>
      </c>
      <c r="C282" s="58" t="s">
        <v>41</v>
      </c>
      <c r="D282" s="58" t="s">
        <v>51</v>
      </c>
      <c r="E282" s="58" t="s">
        <v>25</v>
      </c>
      <c r="F282" s="58" t="s">
        <v>25</v>
      </c>
      <c r="G282" s="58" t="s">
        <v>25</v>
      </c>
      <c r="H282" s="58" t="s">
        <v>35</v>
      </c>
      <c r="I282" s="66">
        <v>44621</v>
      </c>
      <c r="J282" s="67">
        <f>EFEITO!$J$282*EFEITO!$Y$282</f>
        <v>0</v>
      </c>
      <c r="K282" s="67">
        <f ca="1">EFEITO!$L$282*EFEITO!$Z$282</f>
        <v>8867.6446369064888</v>
      </c>
      <c r="L282" s="67">
        <f>EFEITO!$N$282*EFEITO!$AA$282</f>
        <v>25716.63562807894</v>
      </c>
      <c r="M282" s="67">
        <f>$J$282-EFEITO!$K$282*EFEITO!$Y$282</f>
        <v>0</v>
      </c>
      <c r="N282" s="67">
        <f ca="1">$K$282-EFEITO!$M$282*EFEITO!$Z$282</f>
        <v>0</v>
      </c>
      <c r="O282" s="67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8" t="s">
        <v>21</v>
      </c>
      <c r="B283" s="58" t="s">
        <v>39</v>
      </c>
      <c r="C283" s="58" t="s">
        <v>41</v>
      </c>
      <c r="D283" s="58" t="s">
        <v>51</v>
      </c>
      <c r="E283" s="58" t="s">
        <v>25</v>
      </c>
      <c r="F283" s="58" t="s">
        <v>25</v>
      </c>
      <c r="G283" s="58" t="s">
        <v>25</v>
      </c>
      <c r="H283" s="58" t="s">
        <v>35</v>
      </c>
      <c r="I283" s="66">
        <v>44652</v>
      </c>
      <c r="J283" s="67">
        <f>EFEITO!$J$283*EFEITO!$Y$283</f>
        <v>0</v>
      </c>
      <c r="K283" s="67">
        <f ca="1">EFEITO!$L$283*EFEITO!$Z$283</f>
        <v>8867.6446369064888</v>
      </c>
      <c r="L283" s="67">
        <f>EFEITO!$N$283*EFEITO!$AA$283</f>
        <v>25716.63562807894</v>
      </c>
      <c r="M283" s="67">
        <f>$J$283-EFEITO!$K$283*EFEITO!$Y$283</f>
        <v>0</v>
      </c>
      <c r="N283" s="67">
        <f ca="1">$K$283-EFEITO!$M$283*EFEITO!$Z$283</f>
        <v>0</v>
      </c>
      <c r="O283" s="67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8" t="s">
        <v>21</v>
      </c>
      <c r="B284" s="58" t="s">
        <v>39</v>
      </c>
      <c r="C284" s="58" t="s">
        <v>41</v>
      </c>
      <c r="D284" s="58" t="s">
        <v>51</v>
      </c>
      <c r="E284" s="58" t="s">
        <v>25</v>
      </c>
      <c r="F284" s="58" t="s">
        <v>25</v>
      </c>
      <c r="G284" s="58" t="s">
        <v>25</v>
      </c>
      <c r="H284" s="58" t="s">
        <v>35</v>
      </c>
      <c r="I284" s="66">
        <v>44682</v>
      </c>
      <c r="J284" s="67">
        <f>EFEITO!$J$284*EFEITO!$Y$284</f>
        <v>0</v>
      </c>
      <c r="K284" s="67">
        <f ca="1">EFEITO!$L$284*EFEITO!$Z$284</f>
        <v>8515.5698362631374</v>
      </c>
      <c r="L284" s="67">
        <f>EFEITO!$N$284*EFEITO!$AA$284</f>
        <v>24695.600197284752</v>
      </c>
      <c r="M284" s="67">
        <f>$J$284-EFEITO!$K$284*EFEITO!$Y$284</f>
        <v>0</v>
      </c>
      <c r="N284" s="67">
        <f ca="1">$K$284-EFEITO!$M$284*EFEITO!$Z$284</f>
        <v>0</v>
      </c>
      <c r="O284" s="67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8" t="s">
        <v>21</v>
      </c>
      <c r="B285" s="58" t="s">
        <v>39</v>
      </c>
      <c r="C285" s="58" t="s">
        <v>41</v>
      </c>
      <c r="D285" s="58" t="s">
        <v>51</v>
      </c>
      <c r="E285" s="58" t="s">
        <v>25</v>
      </c>
      <c r="F285" s="58" t="s">
        <v>25</v>
      </c>
      <c r="G285" s="58" t="s">
        <v>25</v>
      </c>
      <c r="H285" s="58" t="s">
        <v>35</v>
      </c>
      <c r="I285" s="66">
        <v>44713</v>
      </c>
      <c r="J285" s="67">
        <f>EFEITO!$J$285*EFEITO!$Y$285</f>
        <v>0</v>
      </c>
      <c r="K285" s="67">
        <f ca="1">EFEITO!$L$285*EFEITO!$Z$285</f>
        <v>8185.602312501961</v>
      </c>
      <c r="L285" s="67">
        <f>EFEITO!$N$285*EFEITO!$AA$285</f>
        <v>23738.677031650783</v>
      </c>
      <c r="M285" s="67">
        <f>$J$285-EFEITO!$K$285*EFEITO!$Y$285</f>
        <v>0</v>
      </c>
      <c r="N285" s="67">
        <f ca="1">$K$285-EFEITO!$M$285*EFEITO!$Z$285</f>
        <v>0</v>
      </c>
      <c r="O285" s="67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8" t="s">
        <v>21</v>
      </c>
      <c r="B286" s="58" t="s">
        <v>39</v>
      </c>
      <c r="C286" s="58" t="s">
        <v>41</v>
      </c>
      <c r="D286" s="58" t="s">
        <v>51</v>
      </c>
      <c r="E286" s="58" t="s">
        <v>25</v>
      </c>
      <c r="F286" s="58" t="s">
        <v>25</v>
      </c>
      <c r="G286" s="58" t="s">
        <v>25</v>
      </c>
      <c r="H286" s="58" t="s">
        <v>35</v>
      </c>
      <c r="I286" s="66">
        <v>44743</v>
      </c>
      <c r="J286" s="67">
        <f>EFEITO!$J$286*EFEITO!$Y$286</f>
        <v>0</v>
      </c>
      <c r="K286" s="67">
        <f ca="1">EFEITO!$L$286*EFEITO!$Z$286</f>
        <v>8858.2326279368499</v>
      </c>
      <c r="L286" s="67">
        <f>EFEITO!$N$286*EFEITO!$AA$286</f>
        <v>25689.340307268154</v>
      </c>
      <c r="M286" s="67">
        <f>$J$286-EFEITO!$K$286*EFEITO!$Y$286</f>
        <v>0</v>
      </c>
      <c r="N286" s="67">
        <f ca="1">$K$286-EFEITO!$M$286*EFEITO!$Z$286</f>
        <v>0</v>
      </c>
      <c r="O286" s="67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8" t="s">
        <v>21</v>
      </c>
      <c r="B287" s="58" t="s">
        <v>39</v>
      </c>
      <c r="C287" s="58" t="s">
        <v>41</v>
      </c>
      <c r="D287" s="58" t="s">
        <v>51</v>
      </c>
      <c r="E287" s="58" t="s">
        <v>25</v>
      </c>
      <c r="F287" s="58" t="s">
        <v>25</v>
      </c>
      <c r="G287" s="58" t="s">
        <v>25</v>
      </c>
      <c r="H287" s="58" t="s">
        <v>35</v>
      </c>
      <c r="I287" s="66">
        <v>44774</v>
      </c>
      <c r="J287" s="67">
        <f>EFEITO!$J$287*EFEITO!$Y$287</f>
        <v>0</v>
      </c>
      <c r="K287" s="67">
        <f ca="1">EFEITO!$L$287*EFEITO!$Z$287</f>
        <v>9390.1205766862076</v>
      </c>
      <c r="L287" s="67">
        <f>EFEITO!$N$287*EFEITO!$AA$287</f>
        <v>27231.843320528882</v>
      </c>
      <c r="M287" s="67">
        <f>$J$287-EFEITO!$K$287*EFEITO!$Y$287</f>
        <v>0</v>
      </c>
      <c r="N287" s="67">
        <f ca="1">$K$287-EFEITO!$M$287*EFEITO!$Z$287</f>
        <v>0</v>
      </c>
      <c r="O287" s="67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8" t="s">
        <v>21</v>
      </c>
      <c r="B288" s="58" t="s">
        <v>39</v>
      </c>
      <c r="C288" s="58" t="s">
        <v>41</v>
      </c>
      <c r="D288" s="58" t="s">
        <v>51</v>
      </c>
      <c r="E288" s="58" t="s">
        <v>25</v>
      </c>
      <c r="F288" s="58" t="s">
        <v>25</v>
      </c>
      <c r="G288" s="58" t="s">
        <v>25</v>
      </c>
      <c r="H288" s="58" t="s">
        <v>35</v>
      </c>
      <c r="I288" s="66">
        <v>44805</v>
      </c>
      <c r="J288" s="67">
        <f>EFEITO!$J$288*EFEITO!$Y$288</f>
        <v>0</v>
      </c>
      <c r="K288" s="67">
        <f ca="1">EFEITO!$L$288*EFEITO!$Z$288</f>
        <v>9074.92771816807</v>
      </c>
      <c r="L288" s="67">
        <f>EFEITO!$N$288*EFEITO!$AA$288</f>
        <v>26317.767460818821</v>
      </c>
      <c r="M288" s="67">
        <f>$J$288-EFEITO!$K$288*EFEITO!$Y$288</f>
        <v>0</v>
      </c>
      <c r="N288" s="67">
        <f ca="1">$K$288-EFEITO!$M$288*EFEITO!$Z$288</f>
        <v>0</v>
      </c>
      <c r="O288" s="67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8" t="s">
        <v>55</v>
      </c>
      <c r="B289" s="58" t="s">
        <v>39</v>
      </c>
      <c r="C289" s="58" t="s">
        <v>41</v>
      </c>
      <c r="D289" s="58" t="s">
        <v>51</v>
      </c>
      <c r="E289" s="58" t="s">
        <v>25</v>
      </c>
      <c r="F289" s="58" t="s">
        <v>25</v>
      </c>
      <c r="G289" s="58" t="s">
        <v>25</v>
      </c>
      <c r="H289" s="58" t="s">
        <v>35</v>
      </c>
      <c r="I289" s="66">
        <v>44835</v>
      </c>
      <c r="J289" s="67">
        <f>EFEITO!$J$289*EFEITO!$Y$289</f>
        <v>0</v>
      </c>
      <c r="K289" s="67">
        <f ca="1">EFEITO!$L$289*EFEITO!$Z$289</f>
        <v>9074.92771816807</v>
      </c>
      <c r="L289" s="67">
        <f>EFEITO!$N$289*EFEITO!$AA$289</f>
        <v>26317.767460818821</v>
      </c>
      <c r="M289" s="67">
        <f>$J$289-EFEITO!$K$289*EFEITO!$Y$289</f>
        <v>0</v>
      </c>
      <c r="N289" s="67">
        <f ca="1">$K$289-EFEITO!$M$289*EFEITO!$Z$289</f>
        <v>0</v>
      </c>
      <c r="O289" s="67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8" t="s">
        <v>21</v>
      </c>
      <c r="B290" s="58" t="s">
        <v>39</v>
      </c>
      <c r="C290" s="58" t="s">
        <v>41</v>
      </c>
      <c r="D290" s="58" t="s">
        <v>51</v>
      </c>
      <c r="E290" s="58" t="s">
        <v>25</v>
      </c>
      <c r="F290" s="58" t="s">
        <v>25</v>
      </c>
      <c r="G290" s="58" t="s">
        <v>25</v>
      </c>
      <c r="H290" s="58" t="s">
        <v>25</v>
      </c>
      <c r="I290" s="66">
        <v>44501</v>
      </c>
      <c r="J290" s="67">
        <f ca="1">EFEITO!$J$290*EFEITO!$Y$290</f>
        <v>5345.8779767386777</v>
      </c>
      <c r="K290" s="67">
        <f>EFEITO!$L$290*EFEITO!$Z$290</f>
        <v>0</v>
      </c>
      <c r="L290" s="67">
        <f>EFEITO!$N$290*EFEITO!$AA$290</f>
        <v>0</v>
      </c>
      <c r="M290" s="67">
        <f ca="1">$J$290-EFEITO!$K$290*EFEITO!$Y$290</f>
        <v>0</v>
      </c>
      <c r="N290" s="67">
        <f>$K$290-EFEITO!$M$290*EFEITO!$Z$290</f>
        <v>0</v>
      </c>
      <c r="O290" s="67">
        <f>$L$290-EFEITO!$O$290*EFEITO!$AA$290</f>
        <v>0</v>
      </c>
      <c r="P290" s="18"/>
      <c r="Q290" s="18"/>
      <c r="R290" s="18"/>
      <c r="S290" s="18"/>
      <c r="T290" s="18"/>
      <c r="U290" s="18"/>
      <c r="V290" s="18"/>
      <c r="W290" s="18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8" t="s">
        <v>21</v>
      </c>
      <c r="B291" s="58" t="s">
        <v>39</v>
      </c>
      <c r="C291" s="58" t="s">
        <v>41</v>
      </c>
      <c r="D291" s="58" t="s">
        <v>51</v>
      </c>
      <c r="E291" s="58" t="s">
        <v>25</v>
      </c>
      <c r="F291" s="58" t="s">
        <v>25</v>
      </c>
      <c r="G291" s="58" t="s">
        <v>25</v>
      </c>
      <c r="H291" s="58" t="s">
        <v>25</v>
      </c>
      <c r="I291" s="66">
        <v>44531</v>
      </c>
      <c r="J291" s="67">
        <f ca="1">EFEITO!$J$291*EFEITO!$Y$291</f>
        <v>7058.0808874378981</v>
      </c>
      <c r="K291" s="67">
        <f>EFEITO!$L$291*EFEITO!$Z$291</f>
        <v>0</v>
      </c>
      <c r="L291" s="67">
        <f>EFEITO!$N$291*EFEITO!$AA$291</f>
        <v>0</v>
      </c>
      <c r="M291" s="67">
        <f ca="1">$J$291-EFEITO!$K$291*EFEITO!$Y$291</f>
        <v>0</v>
      </c>
      <c r="N291" s="67">
        <f>$K$291-EFEITO!$M$291*EFEITO!$Z$291</f>
        <v>0</v>
      </c>
      <c r="O291" s="67">
        <f>$L$291-EFEITO!$O$291*EFEITO!$AA$291</f>
        <v>0</v>
      </c>
      <c r="P291" s="18"/>
      <c r="Q291" s="18"/>
      <c r="R291" s="18"/>
      <c r="S291" s="18"/>
      <c r="T291" s="18"/>
      <c r="U291" s="18"/>
      <c r="V291" s="18"/>
      <c r="W291" s="18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8" t="s">
        <v>21</v>
      </c>
      <c r="B292" s="58" t="s">
        <v>39</v>
      </c>
      <c r="C292" s="58" t="s">
        <v>41</v>
      </c>
      <c r="D292" s="58" t="s">
        <v>51</v>
      </c>
      <c r="E292" s="58" t="s">
        <v>25</v>
      </c>
      <c r="F292" s="58" t="s">
        <v>25</v>
      </c>
      <c r="G292" s="58" t="s">
        <v>25</v>
      </c>
      <c r="H292" s="58" t="s">
        <v>25</v>
      </c>
      <c r="I292" s="66">
        <v>44562</v>
      </c>
      <c r="J292" s="67">
        <f ca="1">EFEITO!$J$292*EFEITO!$Y$292</f>
        <v>4965.3884410277396</v>
      </c>
      <c r="K292" s="67">
        <f>EFEITO!$L$292*EFEITO!$Z$292</f>
        <v>0</v>
      </c>
      <c r="L292" s="67">
        <f>EFEITO!$N$292*EFEITO!$AA$292</f>
        <v>0</v>
      </c>
      <c r="M292" s="67">
        <f ca="1">$J$292-EFEITO!$K$292*EFEITO!$Y$292</f>
        <v>0</v>
      </c>
      <c r="N292" s="67">
        <f>$K$292-EFEITO!$M$292*EFEITO!$Z$292</f>
        <v>0</v>
      </c>
      <c r="O292" s="67">
        <f>$L$292-EFEITO!$O$292*EFEITO!$AA$292</f>
        <v>0</v>
      </c>
      <c r="P292" s="18"/>
      <c r="Q292" s="18"/>
      <c r="R292" s="18"/>
      <c r="S292" s="18"/>
      <c r="T292" s="18"/>
      <c r="U292" s="18"/>
      <c r="V292" s="18"/>
      <c r="W292" s="18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8" t="s">
        <v>21</v>
      </c>
      <c r="B293" s="58" t="s">
        <v>39</v>
      </c>
      <c r="C293" s="58" t="s">
        <v>41</v>
      </c>
      <c r="D293" s="58" t="s">
        <v>51</v>
      </c>
      <c r="E293" s="58" t="s">
        <v>25</v>
      </c>
      <c r="F293" s="58" t="s">
        <v>25</v>
      </c>
      <c r="G293" s="58" t="s">
        <v>25</v>
      </c>
      <c r="H293" s="58" t="s">
        <v>25</v>
      </c>
      <c r="I293" s="66">
        <v>44593</v>
      </c>
      <c r="J293" s="67">
        <f ca="1">EFEITO!$J$293*EFEITO!$Y$293</f>
        <v>4794.1681499578171</v>
      </c>
      <c r="K293" s="67">
        <f>EFEITO!$L$293*EFEITO!$Z$293</f>
        <v>0</v>
      </c>
      <c r="L293" s="67">
        <f>EFEITO!$N$293*EFEITO!$AA$293</f>
        <v>0</v>
      </c>
      <c r="M293" s="67">
        <f ca="1">$J$293-EFEITO!$K$293*EFEITO!$Y$293</f>
        <v>0</v>
      </c>
      <c r="N293" s="67">
        <f>$K$293-EFEITO!$M$293*EFEITO!$Z$293</f>
        <v>0</v>
      </c>
      <c r="O293" s="67">
        <f>$L$293-EFEITO!$O$293*EFEITO!$AA$293</f>
        <v>0</v>
      </c>
      <c r="P293" s="18"/>
      <c r="Q293" s="18"/>
      <c r="R293" s="18"/>
      <c r="S293" s="18"/>
      <c r="T293" s="18"/>
      <c r="U293" s="18"/>
      <c r="V293" s="18"/>
      <c r="W293" s="18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8" t="s">
        <v>21</v>
      </c>
      <c r="B294" s="58" t="s">
        <v>39</v>
      </c>
      <c r="C294" s="58" t="s">
        <v>41</v>
      </c>
      <c r="D294" s="58" t="s">
        <v>51</v>
      </c>
      <c r="E294" s="58" t="s">
        <v>25</v>
      </c>
      <c r="F294" s="58" t="s">
        <v>25</v>
      </c>
      <c r="G294" s="58" t="s">
        <v>25</v>
      </c>
      <c r="H294" s="58" t="s">
        <v>25</v>
      </c>
      <c r="I294" s="66">
        <v>44621</v>
      </c>
      <c r="J294" s="67">
        <f ca="1">EFEITO!$J$294*EFEITO!$Y$294</f>
        <v>5117.5842553121147</v>
      </c>
      <c r="K294" s="67">
        <f>EFEITO!$L$294*EFEITO!$Z$294</f>
        <v>0</v>
      </c>
      <c r="L294" s="67">
        <f>EFEITO!$N$294*EFEITO!$AA$294</f>
        <v>0</v>
      </c>
      <c r="M294" s="67">
        <f ca="1">$J$294-EFEITO!$K$294*EFEITO!$Y$294</f>
        <v>0</v>
      </c>
      <c r="N294" s="67">
        <f>$K$294-EFEITO!$M$294*EFEITO!$Z$294</f>
        <v>0</v>
      </c>
      <c r="O294" s="67">
        <f>$L$294-EFEITO!$O$294*EFEITO!$AA$294</f>
        <v>0</v>
      </c>
      <c r="P294" s="18"/>
      <c r="Q294" s="18"/>
      <c r="R294" s="18"/>
      <c r="S294" s="18"/>
      <c r="T294" s="18"/>
      <c r="U294" s="18"/>
      <c r="V294" s="18"/>
      <c r="W294" s="18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8" t="s">
        <v>21</v>
      </c>
      <c r="B295" s="58" t="s">
        <v>39</v>
      </c>
      <c r="C295" s="58" t="s">
        <v>41</v>
      </c>
      <c r="D295" s="58" t="s">
        <v>51</v>
      </c>
      <c r="E295" s="58" t="s">
        <v>25</v>
      </c>
      <c r="F295" s="58" t="s">
        <v>25</v>
      </c>
      <c r="G295" s="58" t="s">
        <v>25</v>
      </c>
      <c r="H295" s="58" t="s">
        <v>25</v>
      </c>
      <c r="I295" s="66">
        <v>44652</v>
      </c>
      <c r="J295" s="67">
        <f ca="1">EFEITO!$J$295*EFEITO!$Y$295</f>
        <v>5117.5842553121147</v>
      </c>
      <c r="K295" s="67">
        <f>EFEITO!$L$295*EFEITO!$Z$295</f>
        <v>0</v>
      </c>
      <c r="L295" s="67">
        <f>EFEITO!$N$295*EFEITO!$AA$295</f>
        <v>0</v>
      </c>
      <c r="M295" s="67">
        <f ca="1">$J$295-EFEITO!$K$295*EFEITO!$Y$295</f>
        <v>0</v>
      </c>
      <c r="N295" s="67">
        <f>$K$295-EFEITO!$M$295*EFEITO!$Z$295</f>
        <v>0</v>
      </c>
      <c r="O295" s="67">
        <f>$L$295-EFEITO!$O$295*EFEITO!$AA$295</f>
        <v>0</v>
      </c>
      <c r="P295" s="18"/>
      <c r="Q295" s="18"/>
      <c r="R295" s="18"/>
      <c r="S295" s="18"/>
      <c r="T295" s="18"/>
      <c r="U295" s="18"/>
      <c r="V295" s="18"/>
      <c r="W295" s="18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8" t="s">
        <v>21</v>
      </c>
      <c r="B296" s="58" t="s">
        <v>39</v>
      </c>
      <c r="C296" s="58" t="s">
        <v>41</v>
      </c>
      <c r="D296" s="58" t="s">
        <v>51</v>
      </c>
      <c r="E296" s="58" t="s">
        <v>25</v>
      </c>
      <c r="F296" s="58" t="s">
        <v>25</v>
      </c>
      <c r="G296" s="58" t="s">
        <v>25</v>
      </c>
      <c r="H296" s="58" t="s">
        <v>25</v>
      </c>
      <c r="I296" s="66">
        <v>44682</v>
      </c>
      <c r="J296" s="67">
        <f ca="1">EFEITO!$J$296*EFEITO!$Y$296</f>
        <v>5383.9269303097717</v>
      </c>
      <c r="K296" s="67">
        <f>EFEITO!$L$296*EFEITO!$Z$296</f>
        <v>0</v>
      </c>
      <c r="L296" s="67">
        <f>EFEITO!$N$296*EFEITO!$AA$296</f>
        <v>0</v>
      </c>
      <c r="M296" s="67">
        <f ca="1">$J$296-EFEITO!$K$296*EFEITO!$Y$296</f>
        <v>0</v>
      </c>
      <c r="N296" s="67">
        <f>$K$296-EFEITO!$M$296*EFEITO!$Z$296</f>
        <v>0</v>
      </c>
      <c r="O296" s="67">
        <f>$L$296-EFEITO!$O$296*EFEITO!$AA$296</f>
        <v>0</v>
      </c>
      <c r="P296" s="18"/>
      <c r="Q296" s="18"/>
      <c r="R296" s="18"/>
      <c r="S296" s="18"/>
      <c r="T296" s="18"/>
      <c r="U296" s="18"/>
      <c r="V296" s="18"/>
      <c r="W296" s="18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8" t="s">
        <v>21</v>
      </c>
      <c r="B297" s="58" t="s">
        <v>39</v>
      </c>
      <c r="C297" s="58" t="s">
        <v>41</v>
      </c>
      <c r="D297" s="58" t="s">
        <v>51</v>
      </c>
      <c r="E297" s="58" t="s">
        <v>25</v>
      </c>
      <c r="F297" s="58" t="s">
        <v>25</v>
      </c>
      <c r="G297" s="58" t="s">
        <v>25</v>
      </c>
      <c r="H297" s="58" t="s">
        <v>25</v>
      </c>
      <c r="I297" s="66">
        <v>44713</v>
      </c>
      <c r="J297" s="67">
        <f ca="1">EFEITO!$J$297*EFEITO!$Y$297</f>
        <v>4718.0702428156301</v>
      </c>
      <c r="K297" s="67">
        <f>EFEITO!$L$297*EFEITO!$Z$297</f>
        <v>0</v>
      </c>
      <c r="L297" s="67">
        <f>EFEITO!$N$297*EFEITO!$AA$297</f>
        <v>0</v>
      </c>
      <c r="M297" s="67">
        <f ca="1">$J$297-EFEITO!$K$297*EFEITO!$Y$297</f>
        <v>0</v>
      </c>
      <c r="N297" s="67">
        <f>$K$297-EFEITO!$M$297*EFEITO!$Z$297</f>
        <v>0</v>
      </c>
      <c r="O297" s="67">
        <f>$L$297-EFEITO!$O$297*EFEITO!$AA$297</f>
        <v>0</v>
      </c>
      <c r="P297" s="18"/>
      <c r="Q297" s="18"/>
      <c r="R297" s="18"/>
      <c r="S297" s="18"/>
      <c r="T297" s="18"/>
      <c r="U297" s="18"/>
      <c r="V297" s="18"/>
      <c r="W297" s="18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8" t="s">
        <v>21</v>
      </c>
      <c r="B298" s="58" t="s">
        <v>39</v>
      </c>
      <c r="C298" s="58" t="s">
        <v>41</v>
      </c>
      <c r="D298" s="58" t="s">
        <v>51</v>
      </c>
      <c r="E298" s="58" t="s">
        <v>25</v>
      </c>
      <c r="F298" s="58" t="s">
        <v>25</v>
      </c>
      <c r="G298" s="58" t="s">
        <v>25</v>
      </c>
      <c r="H298" s="58" t="s">
        <v>25</v>
      </c>
      <c r="I298" s="66">
        <v>44743</v>
      </c>
      <c r="J298" s="67">
        <f ca="1">EFEITO!$J$298*EFEITO!$Y$298</f>
        <v>4851.2415803144586</v>
      </c>
      <c r="K298" s="67">
        <f>EFEITO!$L$298*EFEITO!$Z$298</f>
        <v>0</v>
      </c>
      <c r="L298" s="67">
        <f>EFEITO!$N$298*EFEITO!$AA$298</f>
        <v>0</v>
      </c>
      <c r="M298" s="67">
        <f ca="1">$J$298-EFEITO!$K$298*EFEITO!$Y$298</f>
        <v>0</v>
      </c>
      <c r="N298" s="67">
        <f>$K$298-EFEITO!$M$298*EFEITO!$Z$298</f>
        <v>0</v>
      </c>
      <c r="O298" s="67">
        <f>$L$298-EFEITO!$O$298*EFEITO!$AA$298</f>
        <v>0</v>
      </c>
      <c r="P298" s="18"/>
      <c r="Q298" s="18"/>
      <c r="R298" s="18"/>
      <c r="S298" s="18"/>
      <c r="T298" s="18"/>
      <c r="U298" s="18"/>
      <c r="V298" s="18"/>
      <c r="W298" s="18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8" t="s">
        <v>21</v>
      </c>
      <c r="B299" s="58" t="s">
        <v>39</v>
      </c>
      <c r="C299" s="58" t="s">
        <v>41</v>
      </c>
      <c r="D299" s="58" t="s">
        <v>51</v>
      </c>
      <c r="E299" s="58" t="s">
        <v>25</v>
      </c>
      <c r="F299" s="58" t="s">
        <v>25</v>
      </c>
      <c r="G299" s="58" t="s">
        <v>25</v>
      </c>
      <c r="H299" s="58" t="s">
        <v>25</v>
      </c>
      <c r="I299" s="66">
        <v>44774</v>
      </c>
      <c r="J299" s="67">
        <f ca="1">EFEITO!$J$299*EFEITO!$Y$299</f>
        <v>5155.6332088832087</v>
      </c>
      <c r="K299" s="67">
        <f>EFEITO!$L$299*EFEITO!$Z$299</f>
        <v>0</v>
      </c>
      <c r="L299" s="67">
        <f>EFEITO!$N$299*EFEITO!$AA$299</f>
        <v>0</v>
      </c>
      <c r="M299" s="67">
        <f ca="1">$J$299-EFEITO!$K$299*EFEITO!$Y$299</f>
        <v>0</v>
      </c>
      <c r="N299" s="67">
        <f>$K$299-EFEITO!$M$299*EFEITO!$Z$299</f>
        <v>0</v>
      </c>
      <c r="O299" s="67">
        <f>$L$299-EFEITO!$O$299*EFEITO!$AA$299</f>
        <v>0</v>
      </c>
      <c r="P299" s="18"/>
      <c r="Q299" s="18"/>
      <c r="R299" s="18"/>
      <c r="S299" s="18"/>
      <c r="T299" s="18"/>
      <c r="U299" s="18"/>
      <c r="V299" s="18"/>
      <c r="W299" s="18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8" t="s">
        <v>21</v>
      </c>
      <c r="B300" s="58" t="s">
        <v>39</v>
      </c>
      <c r="C300" s="58" t="s">
        <v>41</v>
      </c>
      <c r="D300" s="58" t="s">
        <v>51</v>
      </c>
      <c r="E300" s="58" t="s">
        <v>25</v>
      </c>
      <c r="F300" s="58" t="s">
        <v>25</v>
      </c>
      <c r="G300" s="58" t="s">
        <v>25</v>
      </c>
      <c r="H300" s="58" t="s">
        <v>25</v>
      </c>
      <c r="I300" s="66">
        <v>44805</v>
      </c>
      <c r="J300" s="67">
        <f ca="1">EFEITO!$J$300*EFEITO!$Y$300</f>
        <v>5764.4164660207089</v>
      </c>
      <c r="K300" s="67">
        <f>EFEITO!$L$300*EFEITO!$Z$300</f>
        <v>0</v>
      </c>
      <c r="L300" s="67">
        <f>EFEITO!$N$300*EFEITO!$AA$300</f>
        <v>0</v>
      </c>
      <c r="M300" s="67">
        <f ca="1">$J$300-EFEITO!$K$300*EFEITO!$Y$300</f>
        <v>0</v>
      </c>
      <c r="N300" s="67">
        <f>$K$300-EFEITO!$M$300*EFEITO!$Z$300</f>
        <v>0</v>
      </c>
      <c r="O300" s="67">
        <f>$L$300-EFEITO!$O$300*EFEITO!$AA$300</f>
        <v>0</v>
      </c>
      <c r="P300" s="18"/>
      <c r="Q300" s="18"/>
      <c r="R300" s="18"/>
      <c r="S300" s="18"/>
      <c r="T300" s="18"/>
      <c r="U300" s="18"/>
      <c r="V300" s="18"/>
      <c r="W300" s="18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8" t="s">
        <v>55</v>
      </c>
      <c r="B301" s="58" t="s">
        <v>39</v>
      </c>
      <c r="C301" s="58" t="s">
        <v>41</v>
      </c>
      <c r="D301" s="58" t="s">
        <v>51</v>
      </c>
      <c r="E301" s="58" t="s">
        <v>25</v>
      </c>
      <c r="F301" s="58" t="s">
        <v>25</v>
      </c>
      <c r="G301" s="58" t="s">
        <v>25</v>
      </c>
      <c r="H301" s="58" t="s">
        <v>25</v>
      </c>
      <c r="I301" s="66">
        <v>44835</v>
      </c>
      <c r="J301" s="67">
        <f ca="1">EFEITO!$J$301*EFEITO!$Y$301</f>
        <v>5764.4164660207089</v>
      </c>
      <c r="K301" s="67">
        <f>EFEITO!$L$301*EFEITO!$Z$301</f>
        <v>0</v>
      </c>
      <c r="L301" s="67">
        <f>EFEITO!$N$301*EFEITO!$AA$301</f>
        <v>0</v>
      </c>
      <c r="M301" s="67">
        <f ca="1">$J$301-EFEITO!$K$301*EFEITO!$Y$301</f>
        <v>0</v>
      </c>
      <c r="N301" s="67">
        <f>$K$301-EFEITO!$M$301*EFEITO!$Z$301</f>
        <v>0</v>
      </c>
      <c r="O301" s="67">
        <f>$L$301-EFEITO!$O$301*EFEITO!$AA$301</f>
        <v>0</v>
      </c>
      <c r="P301" s="18"/>
      <c r="Q301" s="18"/>
      <c r="R301" s="18"/>
      <c r="S301" s="18"/>
      <c r="T301" s="18"/>
      <c r="U301" s="18"/>
      <c r="V301" s="18"/>
      <c r="W301" s="18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8" t="s">
        <v>21</v>
      </c>
      <c r="B302" s="58" t="s">
        <v>39</v>
      </c>
      <c r="C302" s="58" t="s">
        <v>41</v>
      </c>
      <c r="D302" s="58" t="s">
        <v>51</v>
      </c>
      <c r="E302" s="58" t="s">
        <v>25</v>
      </c>
      <c r="F302" s="58" t="s">
        <v>25</v>
      </c>
      <c r="G302" s="58" t="s">
        <v>25</v>
      </c>
      <c r="H302" s="58" t="s">
        <v>34</v>
      </c>
      <c r="I302" s="66">
        <v>44501</v>
      </c>
      <c r="J302" s="67">
        <f>EFEITO!$J$302*EFEITO!$Y$302</f>
        <v>0</v>
      </c>
      <c r="K302" s="67">
        <f ca="1">EFEITO!$L$302*EFEITO!$Z$302</f>
        <v>13000.382852553263</v>
      </c>
      <c r="L302" s="67">
        <f>EFEITO!$N$302*EFEITO!$AA$302</f>
        <v>4724.3726117747619</v>
      </c>
      <c r="M302" s="67">
        <f>$J$302-EFEITO!$K$302*EFEITO!$Y$302</f>
        <v>0</v>
      </c>
      <c r="N302" s="67">
        <f ca="1">$K$302-EFEITO!$M$302*EFEITO!$Z$302</f>
        <v>0</v>
      </c>
      <c r="O302" s="67">
        <f>$L$302-EFEITO!$O$302*EFEITO!$AA$302</f>
        <v>0</v>
      </c>
      <c r="P302" s="18"/>
      <c r="Q302" s="18"/>
      <c r="R302" s="18"/>
      <c r="S302" s="18"/>
      <c r="T302" s="18"/>
      <c r="U302" s="18"/>
      <c r="V302" s="18"/>
      <c r="W302" s="18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8" t="s">
        <v>21</v>
      </c>
      <c r="B303" s="58" t="s">
        <v>39</v>
      </c>
      <c r="C303" s="58" t="s">
        <v>41</v>
      </c>
      <c r="D303" s="58" t="s">
        <v>51</v>
      </c>
      <c r="E303" s="58" t="s">
        <v>25</v>
      </c>
      <c r="F303" s="58" t="s">
        <v>25</v>
      </c>
      <c r="G303" s="58" t="s">
        <v>25</v>
      </c>
      <c r="H303" s="58" t="s">
        <v>34</v>
      </c>
      <c r="I303" s="66">
        <v>44531</v>
      </c>
      <c r="J303" s="67">
        <f>EFEITO!$J$303*EFEITO!$Y$303</f>
        <v>0</v>
      </c>
      <c r="K303" s="67">
        <f ca="1">EFEITO!$L$303*EFEITO!$Z$303</f>
        <v>13269.263573392005</v>
      </c>
      <c r="L303" s="67">
        <f>EFEITO!$N$303*EFEITO!$AA$303</f>
        <v>4822.0845582437332</v>
      </c>
      <c r="M303" s="67">
        <f>$J$303-EFEITO!$K$303*EFEITO!$Y$303</f>
        <v>0</v>
      </c>
      <c r="N303" s="67">
        <f ca="1">$K$303-EFEITO!$M$303*EFEITO!$Z$303</f>
        <v>0</v>
      </c>
      <c r="O303" s="67">
        <f>$L$303-EFEITO!$O$303*EFEITO!$AA$303</f>
        <v>0</v>
      </c>
      <c r="P303" s="18"/>
      <c r="Q303" s="18"/>
      <c r="R303" s="18"/>
      <c r="S303" s="18"/>
      <c r="T303" s="18"/>
      <c r="U303" s="18"/>
      <c r="V303" s="18"/>
      <c r="W303" s="18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8" t="s">
        <v>21</v>
      </c>
      <c r="B304" s="58" t="s">
        <v>39</v>
      </c>
      <c r="C304" s="58" t="s">
        <v>41</v>
      </c>
      <c r="D304" s="58" t="s">
        <v>51</v>
      </c>
      <c r="E304" s="58" t="s">
        <v>25</v>
      </c>
      <c r="F304" s="58" t="s">
        <v>25</v>
      </c>
      <c r="G304" s="58" t="s">
        <v>25</v>
      </c>
      <c r="H304" s="58" t="s">
        <v>34</v>
      </c>
      <c r="I304" s="66">
        <v>44562</v>
      </c>
      <c r="J304" s="67">
        <f>EFEITO!$J$304*EFEITO!$Y$304</f>
        <v>0</v>
      </c>
      <c r="K304" s="67">
        <f ca="1">EFEITO!$L$304*EFEITO!$Z$304</f>
        <v>12272.911124506216</v>
      </c>
      <c r="L304" s="67">
        <f>EFEITO!$N$304*EFEITO!$AA$304</f>
        <v>4460.00751216149</v>
      </c>
      <c r="M304" s="67">
        <f>$J$304-EFEITO!$K$304*EFEITO!$Y$304</f>
        <v>0</v>
      </c>
      <c r="N304" s="67">
        <f ca="1">$K$304-EFEITO!$M$304*EFEITO!$Z$304</f>
        <v>0</v>
      </c>
      <c r="O304" s="67">
        <f>$L$304-EFEITO!$O$304*EFEITO!$AA$304</f>
        <v>0</v>
      </c>
      <c r="P304" s="18"/>
      <c r="Q304" s="18"/>
      <c r="R304" s="18"/>
      <c r="S304" s="18"/>
      <c r="T304" s="18"/>
      <c r="U304" s="18"/>
      <c r="V304" s="18"/>
      <c r="W304" s="18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8" t="s">
        <v>21</v>
      </c>
      <c r="B305" s="58" t="s">
        <v>39</v>
      </c>
      <c r="C305" s="58" t="s">
        <v>41</v>
      </c>
      <c r="D305" s="58" t="s">
        <v>51</v>
      </c>
      <c r="E305" s="58" t="s">
        <v>25</v>
      </c>
      <c r="F305" s="58" t="s">
        <v>25</v>
      </c>
      <c r="G305" s="58" t="s">
        <v>25</v>
      </c>
      <c r="H305" s="58" t="s">
        <v>34</v>
      </c>
      <c r="I305" s="66">
        <v>44593</v>
      </c>
      <c r="J305" s="67">
        <f>EFEITO!$J$305*EFEITO!$Y$305</f>
        <v>0</v>
      </c>
      <c r="K305" s="67">
        <f ca="1">EFEITO!$L$305*EFEITO!$Z$305</f>
        <v>11938.304005240225</v>
      </c>
      <c r="L305" s="67">
        <f>EFEITO!$N$305*EFEITO!$AA$305</f>
        <v>4338.4104232223253</v>
      </c>
      <c r="M305" s="67">
        <f>$J$305-EFEITO!$K$305*EFEITO!$Y$305</f>
        <v>0</v>
      </c>
      <c r="N305" s="67">
        <f ca="1">$K$305-EFEITO!$M$305*EFEITO!$Z$305</f>
        <v>0</v>
      </c>
      <c r="O305" s="67">
        <f>$L$305-EFEITO!$O$305*EFEITO!$AA$305</f>
        <v>0</v>
      </c>
      <c r="P305" s="18"/>
      <c r="Q305" s="18"/>
      <c r="R305" s="18"/>
      <c r="S305" s="18"/>
      <c r="T305" s="18"/>
      <c r="U305" s="18"/>
      <c r="V305" s="18"/>
      <c r="W305" s="18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8" t="s">
        <v>21</v>
      </c>
      <c r="B306" s="58" t="s">
        <v>39</v>
      </c>
      <c r="C306" s="58" t="s">
        <v>41</v>
      </c>
      <c r="D306" s="58" t="s">
        <v>51</v>
      </c>
      <c r="E306" s="58" t="s">
        <v>25</v>
      </c>
      <c r="F306" s="58" t="s">
        <v>25</v>
      </c>
      <c r="G306" s="58" t="s">
        <v>25</v>
      </c>
      <c r="H306" s="58" t="s">
        <v>34</v>
      </c>
      <c r="I306" s="66">
        <v>44621</v>
      </c>
      <c r="J306" s="67">
        <f>EFEITO!$J$306*EFEITO!$Y$306</f>
        <v>0</v>
      </c>
      <c r="K306" s="67">
        <f ca="1">EFEITO!$L$306*EFEITO!$Z$306</f>
        <v>13116.897831583387</v>
      </c>
      <c r="L306" s="67">
        <f>EFEITO!$N$306*EFEITO!$AA$306</f>
        <v>4766.7144552446507</v>
      </c>
      <c r="M306" s="67">
        <f>$J$306-EFEITO!$K$306*EFEITO!$Y$306</f>
        <v>0</v>
      </c>
      <c r="N306" s="67">
        <f ca="1">$K$306-EFEITO!$M$306*EFEITO!$Z$306</f>
        <v>0</v>
      </c>
      <c r="O306" s="67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8" t="s">
        <v>21</v>
      </c>
      <c r="B307" s="58" t="s">
        <v>39</v>
      </c>
      <c r="C307" s="58" t="s">
        <v>41</v>
      </c>
      <c r="D307" s="58" t="s">
        <v>51</v>
      </c>
      <c r="E307" s="58" t="s">
        <v>25</v>
      </c>
      <c r="F307" s="58" t="s">
        <v>25</v>
      </c>
      <c r="G307" s="58" t="s">
        <v>25</v>
      </c>
      <c r="H307" s="58" t="s">
        <v>34</v>
      </c>
      <c r="I307" s="66">
        <v>44652</v>
      </c>
      <c r="J307" s="67">
        <f>EFEITO!$J$307*EFEITO!$Y$307</f>
        <v>0</v>
      </c>
      <c r="K307" s="67">
        <f ca="1">EFEITO!$L$307*EFEITO!$Z$307</f>
        <v>13116.897831583387</v>
      </c>
      <c r="L307" s="67">
        <f>EFEITO!$N$307*EFEITO!$AA$307</f>
        <v>4766.7144552446507</v>
      </c>
      <c r="M307" s="67">
        <f>$J$307-EFEITO!$K$307*EFEITO!$Y$307</f>
        <v>0</v>
      </c>
      <c r="N307" s="67">
        <f ca="1">$K$307-EFEITO!$M$307*EFEITO!$Z$307</f>
        <v>0</v>
      </c>
      <c r="O307" s="67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8" t="s">
        <v>21</v>
      </c>
      <c r="B308" s="58" t="s">
        <v>39</v>
      </c>
      <c r="C308" s="58" t="s">
        <v>41</v>
      </c>
      <c r="D308" s="58" t="s">
        <v>51</v>
      </c>
      <c r="E308" s="58" t="s">
        <v>25</v>
      </c>
      <c r="F308" s="58" t="s">
        <v>25</v>
      </c>
      <c r="G308" s="58" t="s">
        <v>25</v>
      </c>
      <c r="H308" s="58" t="s">
        <v>34</v>
      </c>
      <c r="I308" s="66">
        <v>44682</v>
      </c>
      <c r="J308" s="67">
        <f>EFEITO!$J$308*EFEITO!$Y$308</f>
        <v>0</v>
      </c>
      <c r="K308" s="67">
        <f ca="1">EFEITO!$L$308*EFEITO!$Z$308</f>
        <v>12544.779408909835</v>
      </c>
      <c r="L308" s="67">
        <f>EFEITO!$N$308*EFEITO!$AA$308</f>
        <v>4558.8051469245611</v>
      </c>
      <c r="M308" s="67">
        <f>$J$308-EFEITO!$K$308*EFEITO!$Y$308</f>
        <v>0</v>
      </c>
      <c r="N308" s="67">
        <f ca="1">$K$308-EFEITO!$M$308*EFEITO!$Z$308</f>
        <v>0</v>
      </c>
      <c r="O308" s="67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8" t="s">
        <v>21</v>
      </c>
      <c r="B309" s="58" t="s">
        <v>39</v>
      </c>
      <c r="C309" s="58" t="s">
        <v>41</v>
      </c>
      <c r="D309" s="58" t="s">
        <v>51</v>
      </c>
      <c r="E309" s="58" t="s">
        <v>25</v>
      </c>
      <c r="F309" s="58" t="s">
        <v>25</v>
      </c>
      <c r="G309" s="58" t="s">
        <v>25</v>
      </c>
      <c r="H309" s="58" t="s">
        <v>34</v>
      </c>
      <c r="I309" s="66">
        <v>44713</v>
      </c>
      <c r="J309" s="67">
        <f>EFEITO!$J$309*EFEITO!$Y$309</f>
        <v>0</v>
      </c>
      <c r="K309" s="67">
        <f ca="1">EFEITO!$L$309*EFEITO!$Z$309</f>
        <v>12277.392469853528</v>
      </c>
      <c r="L309" s="67">
        <f>EFEITO!$N$309*EFEITO!$AA$309</f>
        <v>4461.6360446026392</v>
      </c>
      <c r="M309" s="67">
        <f>$J$309-EFEITO!$K$309*EFEITO!$Y$309</f>
        <v>0</v>
      </c>
      <c r="N309" s="67">
        <f ca="1">$K$309-EFEITO!$M$309*EFEITO!$Z$309</f>
        <v>0</v>
      </c>
      <c r="O309" s="67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8" t="s">
        <v>21</v>
      </c>
      <c r="B310" s="58" t="s">
        <v>39</v>
      </c>
      <c r="C310" s="58" t="s">
        <v>41</v>
      </c>
      <c r="D310" s="58" t="s">
        <v>51</v>
      </c>
      <c r="E310" s="58" t="s">
        <v>25</v>
      </c>
      <c r="F310" s="58" t="s">
        <v>25</v>
      </c>
      <c r="G310" s="58" t="s">
        <v>25</v>
      </c>
      <c r="H310" s="58" t="s">
        <v>34</v>
      </c>
      <c r="I310" s="66">
        <v>44743</v>
      </c>
      <c r="J310" s="67">
        <f>EFEITO!$J$310*EFEITO!$Y$310</f>
        <v>0</v>
      </c>
      <c r="K310" s="67">
        <f ca="1">EFEITO!$L$310*EFEITO!$Z$310</f>
        <v>12746.439949538893</v>
      </c>
      <c r="L310" s="67">
        <f>EFEITO!$N$310*EFEITO!$AA$310</f>
        <v>4632.0891067762896</v>
      </c>
      <c r="M310" s="67">
        <f>$J$310-EFEITO!$K$310*EFEITO!$Y$310</f>
        <v>0</v>
      </c>
      <c r="N310" s="67">
        <f ca="1">$K$310-EFEITO!$M$310*EFEITO!$Z$310</f>
        <v>0</v>
      </c>
      <c r="O310" s="67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8" t="s">
        <v>21</v>
      </c>
      <c r="B311" s="58" t="s">
        <v>39</v>
      </c>
      <c r="C311" s="58" t="s">
        <v>41</v>
      </c>
      <c r="D311" s="58" t="s">
        <v>51</v>
      </c>
      <c r="E311" s="58" t="s">
        <v>25</v>
      </c>
      <c r="F311" s="58" t="s">
        <v>25</v>
      </c>
      <c r="G311" s="58" t="s">
        <v>25</v>
      </c>
      <c r="H311" s="58" t="s">
        <v>34</v>
      </c>
      <c r="I311" s="66">
        <v>44774</v>
      </c>
      <c r="J311" s="67">
        <f>EFEITO!$J$311*EFEITO!$Y$311</f>
        <v>0</v>
      </c>
      <c r="K311" s="67">
        <f ca="1">EFEITO!$L$311*EFEITO!$Z$311</f>
        <v>14189.433151373487</v>
      </c>
      <c r="L311" s="67">
        <f>EFEITO!$N$311*EFEITO!$AA$311</f>
        <v>5156.4765528264361</v>
      </c>
      <c r="M311" s="67">
        <f>$J$311-EFEITO!$K$311*EFEITO!$Y$311</f>
        <v>0</v>
      </c>
      <c r="N311" s="67">
        <f ca="1">$K$311-EFEITO!$M$311*EFEITO!$Z$311</f>
        <v>0</v>
      </c>
      <c r="O311" s="67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8" t="s">
        <v>21</v>
      </c>
      <c r="B312" s="58" t="s">
        <v>39</v>
      </c>
      <c r="C312" s="58" t="s">
        <v>41</v>
      </c>
      <c r="D312" s="58" t="s">
        <v>51</v>
      </c>
      <c r="E312" s="58" t="s">
        <v>25</v>
      </c>
      <c r="F312" s="58" t="s">
        <v>25</v>
      </c>
      <c r="G312" s="58" t="s">
        <v>25</v>
      </c>
      <c r="H312" s="58" t="s">
        <v>34</v>
      </c>
      <c r="I312" s="66">
        <v>44805</v>
      </c>
      <c r="J312" s="67">
        <f>EFEITO!$J$312*EFEITO!$Y$312</f>
        <v>0</v>
      </c>
      <c r="K312" s="67">
        <f ca="1">EFEITO!$L$312*EFEITO!$Z$312</f>
        <v>13585.945311268752</v>
      </c>
      <c r="L312" s="67">
        <f>EFEITO!$N$312*EFEITO!$AA$312</f>
        <v>4937.1675174183001</v>
      </c>
      <c r="M312" s="67">
        <f>$J$312-EFEITO!$K$312*EFEITO!$Y$312</f>
        <v>0</v>
      </c>
      <c r="N312" s="67">
        <f ca="1">$K$312-EFEITO!$M$312*EFEITO!$Z$312</f>
        <v>0</v>
      </c>
      <c r="O312" s="67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8" t="s">
        <v>55</v>
      </c>
      <c r="B313" s="58" t="s">
        <v>39</v>
      </c>
      <c r="C313" s="58" t="s">
        <v>41</v>
      </c>
      <c r="D313" s="58" t="s">
        <v>51</v>
      </c>
      <c r="E313" s="58" t="s">
        <v>25</v>
      </c>
      <c r="F313" s="58" t="s">
        <v>25</v>
      </c>
      <c r="G313" s="58" t="s">
        <v>25</v>
      </c>
      <c r="H313" s="58" t="s">
        <v>34</v>
      </c>
      <c r="I313" s="66">
        <v>44835</v>
      </c>
      <c r="J313" s="67">
        <f>EFEITO!$J$313*EFEITO!$Y$313</f>
        <v>0</v>
      </c>
      <c r="K313" s="67">
        <f ca="1">EFEITO!$L$313*EFEITO!$Z$313</f>
        <v>13585.945311268752</v>
      </c>
      <c r="L313" s="67">
        <f>EFEITO!$N$313*EFEITO!$AA$313</f>
        <v>4937.1675174183001</v>
      </c>
      <c r="M313" s="67">
        <f>$J$313-EFEITO!$K$313*EFEITO!$Y$313</f>
        <v>0</v>
      </c>
      <c r="N313" s="67">
        <f ca="1">$K$313-EFEITO!$M$313*EFEITO!$Z$313</f>
        <v>0</v>
      </c>
      <c r="O313" s="67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8" t="s">
        <v>21</v>
      </c>
      <c r="B314" s="58" t="s">
        <v>39</v>
      </c>
      <c r="C314" s="58" t="s">
        <v>41</v>
      </c>
      <c r="D314" s="58" t="s">
        <v>38</v>
      </c>
      <c r="E314" s="58" t="s">
        <v>25</v>
      </c>
      <c r="F314" s="58" t="s">
        <v>25</v>
      </c>
      <c r="G314" s="58" t="s">
        <v>25</v>
      </c>
      <c r="H314" s="58" t="s">
        <v>35</v>
      </c>
      <c r="I314" s="66">
        <v>44501</v>
      </c>
      <c r="J314" s="67">
        <f>EFEITO!$J$314*EFEITO!$Y$314</f>
        <v>0</v>
      </c>
      <c r="K314" s="67">
        <f ca="1">EFEITO!$L$314*EFEITO!$Z$314</f>
        <v>124764.3870399203</v>
      </c>
      <c r="L314" s="67">
        <f>EFEITO!$N$314*EFEITO!$AA$314</f>
        <v>361823.28140582202</v>
      </c>
      <c r="M314" s="67">
        <f>$J$314-EFEITO!$K$314*EFEITO!$Y$314</f>
        <v>0</v>
      </c>
      <c r="N314" s="67">
        <f ca="1">$K$314-EFEITO!$M$314*EFEITO!$Z$314</f>
        <v>0</v>
      </c>
      <c r="O314" s="67">
        <f>$L$314-EFEITO!$O$314*EFEITO!$AA$314</f>
        <v>0</v>
      </c>
      <c r="P314" s="18"/>
      <c r="Q314" s="18"/>
      <c r="R314" s="18"/>
      <c r="S314" s="18"/>
      <c r="T314" s="18"/>
      <c r="U314" s="18"/>
      <c r="V314" s="18"/>
      <c r="W314" s="18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8" t="s">
        <v>28</v>
      </c>
      <c r="B315" s="58" t="s">
        <v>39</v>
      </c>
      <c r="C315" s="58" t="s">
        <v>41</v>
      </c>
      <c r="D315" s="58" t="s">
        <v>38</v>
      </c>
      <c r="E315" s="58" t="s">
        <v>25</v>
      </c>
      <c r="F315" s="58" t="s">
        <v>25</v>
      </c>
      <c r="G315" s="58" t="s">
        <v>25</v>
      </c>
      <c r="H315" s="58" t="s">
        <v>35</v>
      </c>
      <c r="I315" s="66">
        <v>44501</v>
      </c>
      <c r="J315" s="67">
        <f>EFEITO!$J$315*EFEITO!$Y$315</f>
        <v>0</v>
      </c>
      <c r="K315" s="67">
        <f ca="1">EFEITO!$L$315*EFEITO!$Z$315</f>
        <v>4190.8611566788459</v>
      </c>
      <c r="L315" s="67">
        <f>EFEITO!$N$315*EFEITO!$AA$315</f>
        <v>12153.717672179631</v>
      </c>
      <c r="M315" s="67">
        <f>$J$315-EFEITO!$K$315*EFEITO!$Y$315</f>
        <v>0</v>
      </c>
      <c r="N315" s="67">
        <f ca="1">$K$315-EFEITO!$M$315*EFEITO!$Z$315</f>
        <v>0</v>
      </c>
      <c r="O315" s="67">
        <f>$L$315-EFEITO!$O$315*EFEITO!$AA$315</f>
        <v>0</v>
      </c>
      <c r="P315" s="18"/>
      <c r="Q315" s="18"/>
      <c r="R315" s="18"/>
      <c r="S315" s="18"/>
      <c r="T315" s="18"/>
      <c r="U315" s="18"/>
      <c r="V315" s="18"/>
      <c r="W315" s="18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8" t="s">
        <v>21</v>
      </c>
      <c r="B316" s="58" t="s">
        <v>39</v>
      </c>
      <c r="C316" s="58" t="s">
        <v>41</v>
      </c>
      <c r="D316" s="58" t="s">
        <v>38</v>
      </c>
      <c r="E316" s="58" t="s">
        <v>25</v>
      </c>
      <c r="F316" s="58" t="s">
        <v>25</v>
      </c>
      <c r="G316" s="58" t="s">
        <v>25</v>
      </c>
      <c r="H316" s="58" t="s">
        <v>35</v>
      </c>
      <c r="I316" s="66">
        <v>44531</v>
      </c>
      <c r="J316" s="67">
        <f>EFEITO!$J$316*EFEITO!$Y$316</f>
        <v>0</v>
      </c>
      <c r="K316" s="67">
        <f ca="1">EFEITO!$L$316*EFEITO!$Z$316</f>
        <v>123546.73573996445</v>
      </c>
      <c r="L316" s="67">
        <f>EFEITO!$N$316*EFEITO!$AA$316</f>
        <v>358292.02862278931</v>
      </c>
      <c r="M316" s="67">
        <f>$J$316-EFEITO!$K$316*EFEITO!$Y$316</f>
        <v>0</v>
      </c>
      <c r="N316" s="67">
        <f ca="1">$K$316-EFEITO!$M$316*EFEITO!$Z$316</f>
        <v>0</v>
      </c>
      <c r="O316" s="67">
        <f>$L$316-EFEITO!$O$316*EFEITO!$AA$316</f>
        <v>0</v>
      </c>
      <c r="P316" s="18"/>
      <c r="Q316" s="18"/>
      <c r="R316" s="18"/>
      <c r="S316" s="18"/>
      <c r="T316" s="18"/>
      <c r="U316" s="18"/>
      <c r="V316" s="18"/>
      <c r="W316" s="18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8" t="s">
        <v>28</v>
      </c>
      <c r="B317" s="58" t="s">
        <v>39</v>
      </c>
      <c r="C317" s="58" t="s">
        <v>41</v>
      </c>
      <c r="D317" s="58" t="s">
        <v>38</v>
      </c>
      <c r="E317" s="58" t="s">
        <v>25</v>
      </c>
      <c r="F317" s="58" t="s">
        <v>25</v>
      </c>
      <c r="G317" s="58" t="s">
        <v>25</v>
      </c>
      <c r="H317" s="58" t="s">
        <v>35</v>
      </c>
      <c r="I317" s="66">
        <v>44531</v>
      </c>
      <c r="J317" s="67">
        <f>EFEITO!$J$317*EFEITO!$Y$317</f>
        <v>0</v>
      </c>
      <c r="K317" s="67">
        <f ca="1">EFEITO!$L$317*EFEITO!$Z$317</f>
        <v>4031.623097948328</v>
      </c>
      <c r="L317" s="67">
        <f>EFEITO!$N$317*EFEITO!$AA$317</f>
        <v>11691.918930555279</v>
      </c>
      <c r="M317" s="67">
        <f>$J$317-EFEITO!$K$317*EFEITO!$Y$317</f>
        <v>0</v>
      </c>
      <c r="N317" s="67">
        <f ca="1">$K$317-EFEITO!$M$317*EFEITO!$Z$317</f>
        <v>0</v>
      </c>
      <c r="O317" s="67">
        <f>$L$317-EFEITO!$O$317*EFEITO!$AA$317</f>
        <v>0</v>
      </c>
      <c r="P317" s="18"/>
      <c r="Q317" s="18"/>
      <c r="R317" s="18"/>
      <c r="S317" s="18"/>
      <c r="T317" s="18"/>
      <c r="U317" s="18"/>
      <c r="V317" s="18"/>
      <c r="W317" s="18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8" t="s">
        <v>21</v>
      </c>
      <c r="B318" s="58" t="s">
        <v>39</v>
      </c>
      <c r="C318" s="58" t="s">
        <v>41</v>
      </c>
      <c r="D318" s="58" t="s">
        <v>38</v>
      </c>
      <c r="E318" s="58" t="s">
        <v>25</v>
      </c>
      <c r="F318" s="58" t="s">
        <v>25</v>
      </c>
      <c r="G318" s="58" t="s">
        <v>25</v>
      </c>
      <c r="H318" s="58" t="s">
        <v>35</v>
      </c>
      <c r="I318" s="66">
        <v>44562</v>
      </c>
      <c r="J318" s="67">
        <f>EFEITO!$J$318*EFEITO!$Y$318</f>
        <v>0</v>
      </c>
      <c r="K318" s="67">
        <f ca="1">EFEITO!$L$318*EFEITO!$Z$318</f>
        <v>125660.82617329601</v>
      </c>
      <c r="L318" s="67">
        <f>EFEITO!$N$318*EFEITO!$AA$318</f>
        <v>364423.00201932376</v>
      </c>
      <c r="M318" s="67">
        <f>$J$318-EFEITO!$K$318*EFEITO!$Y$318</f>
        <v>0</v>
      </c>
      <c r="N318" s="67">
        <f ca="1">$K$318-EFEITO!$M$318*EFEITO!$Z$318</f>
        <v>0</v>
      </c>
      <c r="O318" s="67">
        <f>$L$318-EFEITO!$O$318*EFEITO!$AA$318</f>
        <v>0</v>
      </c>
      <c r="P318" s="18"/>
      <c r="Q318" s="18"/>
      <c r="R318" s="18"/>
      <c r="S318" s="18"/>
      <c r="T318" s="18"/>
      <c r="U318" s="18"/>
      <c r="V318" s="18"/>
      <c r="W318" s="18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8" t="s">
        <v>28</v>
      </c>
      <c r="B319" s="58" t="s">
        <v>39</v>
      </c>
      <c r="C319" s="58" t="s">
        <v>41</v>
      </c>
      <c r="D319" s="58" t="s">
        <v>38</v>
      </c>
      <c r="E319" s="58" t="s">
        <v>25</v>
      </c>
      <c r="F319" s="58" t="s">
        <v>25</v>
      </c>
      <c r="G319" s="58" t="s">
        <v>25</v>
      </c>
      <c r="H319" s="58" t="s">
        <v>35</v>
      </c>
      <c r="I319" s="66">
        <v>44562</v>
      </c>
      <c r="J319" s="67">
        <f>EFEITO!$J$319*EFEITO!$Y$319</f>
        <v>0</v>
      </c>
      <c r="K319" s="67">
        <f ca="1">EFEITO!$L$319*EFEITO!$Z$319</f>
        <v>3650.8745025370076</v>
      </c>
      <c r="L319" s="67">
        <f>EFEITO!$N$319*EFEITO!$AA$319</f>
        <v>10587.727987523578</v>
      </c>
      <c r="M319" s="67">
        <f>$J$319-EFEITO!$K$319*EFEITO!$Y$319</f>
        <v>0</v>
      </c>
      <c r="N319" s="67">
        <f ca="1">$K$319-EFEITO!$M$319*EFEITO!$Z$319</f>
        <v>0</v>
      </c>
      <c r="O319" s="67">
        <f>$L$319-EFEITO!$O$319*EFEITO!$AA$319</f>
        <v>0</v>
      </c>
      <c r="P319" s="18"/>
      <c r="Q319" s="18"/>
      <c r="R319" s="18"/>
      <c r="S319" s="18"/>
      <c r="T319" s="18"/>
      <c r="U319" s="18"/>
      <c r="V319" s="18"/>
      <c r="W319" s="18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8" t="s">
        <v>21</v>
      </c>
      <c r="B320" s="58" t="s">
        <v>39</v>
      </c>
      <c r="C320" s="58" t="s">
        <v>41</v>
      </c>
      <c r="D320" s="58" t="s">
        <v>38</v>
      </c>
      <c r="E320" s="58" t="s">
        <v>25</v>
      </c>
      <c r="F320" s="58" t="s">
        <v>25</v>
      </c>
      <c r="G320" s="58" t="s">
        <v>25</v>
      </c>
      <c r="H320" s="58" t="s">
        <v>35</v>
      </c>
      <c r="I320" s="66">
        <v>44593</v>
      </c>
      <c r="J320" s="67">
        <f>EFEITO!$J$320*EFEITO!$Y$320</f>
        <v>0</v>
      </c>
      <c r="K320" s="67">
        <f ca="1">EFEITO!$L$320*EFEITO!$Z$320</f>
        <v>131998.06314291159</v>
      </c>
      <c r="L320" s="67">
        <f>EFEITO!$N$320*EFEITO!$AA$320</f>
        <v>382801.32238616794</v>
      </c>
      <c r="M320" s="67">
        <f>$J$320-EFEITO!$K$320*EFEITO!$Y$320</f>
        <v>0</v>
      </c>
      <c r="N320" s="67">
        <f ca="1">$K$320-EFEITO!$M$320*EFEITO!$Z$320</f>
        <v>0</v>
      </c>
      <c r="O320" s="67">
        <f>$L$320-EFEITO!$O$320*EFEITO!$AA$320</f>
        <v>0</v>
      </c>
      <c r="P320" s="18"/>
      <c r="Q320" s="18"/>
      <c r="R320" s="18"/>
      <c r="S320" s="18"/>
      <c r="T320" s="18"/>
      <c r="U320" s="18"/>
      <c r="V320" s="18"/>
      <c r="W320" s="18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8" t="s">
        <v>28</v>
      </c>
      <c r="B321" s="58" t="s">
        <v>39</v>
      </c>
      <c r="C321" s="58" t="s">
        <v>41</v>
      </c>
      <c r="D321" s="58" t="s">
        <v>38</v>
      </c>
      <c r="E321" s="58" t="s">
        <v>25</v>
      </c>
      <c r="F321" s="58" t="s">
        <v>25</v>
      </c>
      <c r="G321" s="58" t="s">
        <v>25</v>
      </c>
      <c r="H321" s="58" t="s">
        <v>35</v>
      </c>
      <c r="I321" s="66">
        <v>44593</v>
      </c>
      <c r="J321" s="67">
        <f>EFEITO!$J$321*EFEITO!$Y$321</f>
        <v>0</v>
      </c>
      <c r="K321" s="67">
        <f ca="1">EFEITO!$L$321*EFEITO!$Z$321</f>
        <v>3792.9301727996958</v>
      </c>
      <c r="L321" s="67">
        <f>EFEITO!$N$321*EFEITO!$AA$321</f>
        <v>10999.696899295681</v>
      </c>
      <c r="M321" s="67">
        <f>$J$321-EFEITO!$K$321*EFEITO!$Y$321</f>
        <v>0</v>
      </c>
      <c r="N321" s="67">
        <f ca="1">$K$321-EFEITO!$M$321*EFEITO!$Z$321</f>
        <v>0</v>
      </c>
      <c r="O321" s="67">
        <f>$L$321-EFEITO!$O$321*EFEITO!$AA$321</f>
        <v>0</v>
      </c>
      <c r="P321" s="18"/>
      <c r="Q321" s="18"/>
      <c r="R321" s="18"/>
      <c r="S321" s="18"/>
      <c r="T321" s="18"/>
      <c r="U321" s="18"/>
      <c r="V321" s="18"/>
      <c r="W321" s="18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8" t="s">
        <v>21</v>
      </c>
      <c r="B322" s="58" t="s">
        <v>39</v>
      </c>
      <c r="C322" s="58" t="s">
        <v>41</v>
      </c>
      <c r="D322" s="58" t="s">
        <v>38</v>
      </c>
      <c r="E322" s="58" t="s">
        <v>25</v>
      </c>
      <c r="F322" s="58" t="s">
        <v>25</v>
      </c>
      <c r="G322" s="58" t="s">
        <v>25</v>
      </c>
      <c r="H322" s="58" t="s">
        <v>35</v>
      </c>
      <c r="I322" s="66">
        <v>44621</v>
      </c>
      <c r="J322" s="67">
        <f>EFEITO!$J$322*EFEITO!$Y$322</f>
        <v>0</v>
      </c>
      <c r="K322" s="67">
        <f ca="1">EFEITO!$L$322*EFEITO!$Z$322</f>
        <v>138657.93502464917</v>
      </c>
      <c r="L322" s="67">
        <f>EFEITO!$N$322*EFEITO!$AA$322</f>
        <v>402115.30095940962</v>
      </c>
      <c r="M322" s="67">
        <f>$J$322-EFEITO!$K$322*EFEITO!$Y$322</f>
        <v>0</v>
      </c>
      <c r="N322" s="67">
        <f ca="1">$K$322-EFEITO!$M$322*EFEITO!$Z$322</f>
        <v>0</v>
      </c>
      <c r="O322" s="67">
        <f>$L$322-EFEITO!$O$322*EFEITO!$AA$322</f>
        <v>0</v>
      </c>
      <c r="P322" s="18"/>
      <c r="Q322" s="18"/>
      <c r="R322" s="18"/>
      <c r="S322" s="18"/>
      <c r="T322" s="18"/>
      <c r="U322" s="18"/>
      <c r="V322" s="18"/>
      <c r="W322" s="18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8" t="s">
        <v>28</v>
      </c>
      <c r="B323" s="58" t="s">
        <v>39</v>
      </c>
      <c r="C323" s="58" t="s">
        <v>41</v>
      </c>
      <c r="D323" s="58" t="s">
        <v>38</v>
      </c>
      <c r="E323" s="58" t="s">
        <v>25</v>
      </c>
      <c r="F323" s="58" t="s">
        <v>25</v>
      </c>
      <c r="G323" s="58" t="s">
        <v>25</v>
      </c>
      <c r="H323" s="58" t="s">
        <v>35</v>
      </c>
      <c r="I323" s="66">
        <v>44621</v>
      </c>
      <c r="J323" s="67">
        <f>EFEITO!$J$323*EFEITO!$Y$323</f>
        <v>0</v>
      </c>
      <c r="K323" s="67">
        <f ca="1">EFEITO!$L$323*EFEITO!$Z$323</f>
        <v>4526.4102206429479</v>
      </c>
      <c r="L323" s="67">
        <f>EFEITO!$N$323*EFEITO!$AA$323</f>
        <v>13126.827597829302</v>
      </c>
      <c r="M323" s="67">
        <f>$J$323-EFEITO!$K$323*EFEITO!$Y$323</f>
        <v>0</v>
      </c>
      <c r="N323" s="67">
        <f ca="1">$K$323-EFEITO!$M$323*EFEITO!$Z$323</f>
        <v>0</v>
      </c>
      <c r="O323" s="67">
        <f>$L$323-EFEITO!$O$323*EFEITO!$AA$323</f>
        <v>0</v>
      </c>
      <c r="P323" s="18"/>
      <c r="Q323" s="18"/>
      <c r="R323" s="18"/>
      <c r="S323" s="18"/>
      <c r="T323" s="18"/>
      <c r="U323" s="18"/>
      <c r="V323" s="18"/>
      <c r="W323" s="18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8" t="s">
        <v>21</v>
      </c>
      <c r="B324" s="58" t="s">
        <v>39</v>
      </c>
      <c r="C324" s="58" t="s">
        <v>41</v>
      </c>
      <c r="D324" s="58" t="s">
        <v>38</v>
      </c>
      <c r="E324" s="58" t="s">
        <v>25</v>
      </c>
      <c r="F324" s="58" t="s">
        <v>25</v>
      </c>
      <c r="G324" s="58" t="s">
        <v>25</v>
      </c>
      <c r="H324" s="58" t="s">
        <v>35</v>
      </c>
      <c r="I324" s="66">
        <v>44652</v>
      </c>
      <c r="J324" s="67">
        <f>EFEITO!$J$324*EFEITO!$Y$324</f>
        <v>0</v>
      </c>
      <c r="K324" s="67">
        <f ca="1">EFEITO!$L$324*EFEITO!$Z$324</f>
        <v>138657.93502464917</v>
      </c>
      <c r="L324" s="67">
        <f>EFEITO!$N$324*EFEITO!$AA$324</f>
        <v>402115.30095940962</v>
      </c>
      <c r="M324" s="67">
        <f>$J$324-EFEITO!$K$324*EFEITO!$Y$324</f>
        <v>0</v>
      </c>
      <c r="N324" s="67">
        <f ca="1">$K$324-EFEITO!$M$324*EFEITO!$Z$324</f>
        <v>0</v>
      </c>
      <c r="O324" s="67">
        <f>$L$324-EFEITO!$O$324*EFEITO!$AA$324</f>
        <v>0</v>
      </c>
      <c r="P324" s="18"/>
      <c r="Q324" s="18"/>
      <c r="R324" s="18"/>
      <c r="S324" s="18"/>
      <c r="T324" s="18"/>
      <c r="U324" s="18"/>
      <c r="V324" s="18"/>
      <c r="W324" s="18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8" t="s">
        <v>28</v>
      </c>
      <c r="B325" s="58" t="s">
        <v>39</v>
      </c>
      <c r="C325" s="58" t="s">
        <v>41</v>
      </c>
      <c r="D325" s="58" t="s">
        <v>38</v>
      </c>
      <c r="E325" s="58" t="s">
        <v>25</v>
      </c>
      <c r="F325" s="58" t="s">
        <v>25</v>
      </c>
      <c r="G325" s="58" t="s">
        <v>25</v>
      </c>
      <c r="H325" s="58" t="s">
        <v>35</v>
      </c>
      <c r="I325" s="66">
        <v>44652</v>
      </c>
      <c r="J325" s="67">
        <f>EFEITO!$J$325*EFEITO!$Y$325</f>
        <v>0</v>
      </c>
      <c r="K325" s="67">
        <f ca="1">EFEITO!$L$325*EFEITO!$Z$325</f>
        <v>4526.4102206429479</v>
      </c>
      <c r="L325" s="67">
        <f>EFEITO!$N$325*EFEITO!$AA$325</f>
        <v>13126.827597829302</v>
      </c>
      <c r="M325" s="67">
        <f>$J$325-EFEITO!$K$325*EFEITO!$Y$325</f>
        <v>0</v>
      </c>
      <c r="N325" s="67">
        <f ca="1">$K$325-EFEITO!$M$325*EFEITO!$Z$325</f>
        <v>0</v>
      </c>
      <c r="O325" s="67">
        <f>$L$325-EFEITO!$O$325*EFEITO!$AA$325</f>
        <v>0</v>
      </c>
      <c r="P325" s="18"/>
      <c r="Q325" s="18"/>
      <c r="R325" s="18"/>
      <c r="S325" s="18"/>
      <c r="T325" s="18"/>
      <c r="U325" s="18"/>
      <c r="V325" s="18"/>
      <c r="W325" s="18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8" t="s">
        <v>21</v>
      </c>
      <c r="B326" s="58" t="s">
        <v>39</v>
      </c>
      <c r="C326" s="58" t="s">
        <v>41</v>
      </c>
      <c r="D326" s="58" t="s">
        <v>38</v>
      </c>
      <c r="E326" s="58" t="s">
        <v>25</v>
      </c>
      <c r="F326" s="58" t="s">
        <v>25</v>
      </c>
      <c r="G326" s="58" t="s">
        <v>25</v>
      </c>
      <c r="H326" s="58" t="s">
        <v>35</v>
      </c>
      <c r="I326" s="66">
        <v>44682</v>
      </c>
      <c r="J326" s="67">
        <f>EFEITO!$J$326*EFEITO!$Y$326</f>
        <v>0</v>
      </c>
      <c r="K326" s="67">
        <f ca="1">EFEITO!$L$326*EFEITO!$Z$326</f>
        <v>122353.16167225652</v>
      </c>
      <c r="L326" s="67">
        <f>EFEITO!$N$326*EFEITO!$AA$326</f>
        <v>354830.60107904003</v>
      </c>
      <c r="M326" s="67">
        <f>$J$326-EFEITO!$K$326*EFEITO!$Y$326</f>
        <v>0</v>
      </c>
      <c r="N326" s="67">
        <f ca="1">$K$326-EFEITO!$M$326*EFEITO!$Z$326</f>
        <v>0</v>
      </c>
      <c r="O326" s="67">
        <f>$L$326-EFEITO!$O$326*EFEITO!$AA$326</f>
        <v>0</v>
      </c>
      <c r="P326" s="18"/>
      <c r="Q326" s="18"/>
      <c r="R326" s="18"/>
      <c r="S326" s="18"/>
      <c r="T326" s="18"/>
      <c r="U326" s="18"/>
      <c r="V326" s="18"/>
      <c r="W326" s="18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8" t="s">
        <v>27</v>
      </c>
      <c r="B327" s="58" t="s">
        <v>39</v>
      </c>
      <c r="C327" s="58" t="s">
        <v>41</v>
      </c>
      <c r="D327" s="58" t="s">
        <v>38</v>
      </c>
      <c r="E327" s="58" t="s">
        <v>25</v>
      </c>
      <c r="F327" s="58" t="s">
        <v>25</v>
      </c>
      <c r="G327" s="58" t="s">
        <v>25</v>
      </c>
      <c r="H327" s="58" t="s">
        <v>35</v>
      </c>
      <c r="I327" s="66">
        <v>44682</v>
      </c>
      <c r="J327" s="67">
        <f>EFEITO!$J$327*EFEITO!$Y$327</f>
        <v>0</v>
      </c>
      <c r="K327" s="67">
        <f ca="1">EFEITO!$L$327*EFEITO!$Z$327</f>
        <v>123.88830411199052</v>
      </c>
      <c r="L327" s="67">
        <f>EFEITO!$N$327*EFEITO!$AA$327</f>
        <v>359.28259485825981</v>
      </c>
      <c r="M327" s="67">
        <f>$J$327-EFEITO!$K$327*EFEITO!$Y$327</f>
        <v>0</v>
      </c>
      <c r="N327" s="67">
        <f ca="1">$K$327-EFEITO!$M$327*EFEITO!$Z$327</f>
        <v>0</v>
      </c>
      <c r="O327" s="67">
        <f>$L$327-EFEITO!$O$327*EFEITO!$AA$327</f>
        <v>0</v>
      </c>
      <c r="P327" s="18"/>
      <c r="Q327" s="18"/>
      <c r="R327" s="18"/>
      <c r="S327" s="18"/>
      <c r="T327" s="18"/>
      <c r="U327" s="18"/>
      <c r="V327" s="18"/>
      <c r="W327" s="18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8" t="s">
        <v>28</v>
      </c>
      <c r="B328" s="58" t="s">
        <v>39</v>
      </c>
      <c r="C328" s="58" t="s">
        <v>41</v>
      </c>
      <c r="D328" s="58" t="s">
        <v>38</v>
      </c>
      <c r="E328" s="58" t="s">
        <v>25</v>
      </c>
      <c r="F328" s="58" t="s">
        <v>25</v>
      </c>
      <c r="G328" s="58" t="s">
        <v>25</v>
      </c>
      <c r="H328" s="58" t="s">
        <v>35</v>
      </c>
      <c r="I328" s="66">
        <v>44682</v>
      </c>
      <c r="J328" s="67">
        <f>EFEITO!$J$328*EFEITO!$Y$328</f>
        <v>0</v>
      </c>
      <c r="K328" s="67">
        <f ca="1">EFEITO!$L$328*EFEITO!$Z$328</f>
        <v>20154.39446293969</v>
      </c>
      <c r="L328" s="67">
        <f>EFEITO!$N$328*EFEITO!$AA$328</f>
        <v>58448.803479432594</v>
      </c>
      <c r="M328" s="67">
        <f>$J$328-EFEITO!$K$328*EFEITO!$Y$328</f>
        <v>0</v>
      </c>
      <c r="N328" s="67">
        <f ca="1">$K$328-EFEITO!$M$328*EFEITO!$Z$328</f>
        <v>0</v>
      </c>
      <c r="O328" s="67">
        <f>$L$328-EFEITO!$O$328*EFEITO!$AA$328</f>
        <v>0</v>
      </c>
      <c r="P328" s="18"/>
      <c r="Q328" s="18"/>
      <c r="R328" s="18"/>
      <c r="S328" s="18"/>
      <c r="T328" s="18"/>
      <c r="U328" s="18"/>
      <c r="V328" s="18"/>
      <c r="W328" s="18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8" t="s">
        <v>21</v>
      </c>
      <c r="B329" s="58" t="s">
        <v>39</v>
      </c>
      <c r="C329" s="58" t="s">
        <v>41</v>
      </c>
      <c r="D329" s="58" t="s">
        <v>38</v>
      </c>
      <c r="E329" s="58" t="s">
        <v>25</v>
      </c>
      <c r="F329" s="58" t="s">
        <v>25</v>
      </c>
      <c r="G329" s="58" t="s">
        <v>25</v>
      </c>
      <c r="H329" s="58" t="s">
        <v>35</v>
      </c>
      <c r="I329" s="66">
        <v>44713</v>
      </c>
      <c r="J329" s="67">
        <f>EFEITO!$J$329*EFEITO!$Y$329</f>
        <v>0</v>
      </c>
      <c r="K329" s="67">
        <f ca="1">EFEITO!$L$329*EFEITO!$Z$329</f>
        <v>112971.03035899805</v>
      </c>
      <c r="L329" s="67">
        <f>EFEITO!$N$329*EFEITO!$AA$329</f>
        <v>327621.92704245524</v>
      </c>
      <c r="M329" s="67">
        <f>$J$329-EFEITO!$K$329*EFEITO!$Y$329</f>
        <v>0</v>
      </c>
      <c r="N329" s="67">
        <f ca="1">$K$329-EFEITO!$M$329*EFEITO!$Z$329</f>
        <v>0</v>
      </c>
      <c r="O329" s="67">
        <f>$L$329-EFEITO!$O$329*EFEITO!$AA$329</f>
        <v>0</v>
      </c>
      <c r="P329" s="18"/>
      <c r="Q329" s="18"/>
      <c r="R329" s="18"/>
      <c r="S329" s="18"/>
      <c r="T329" s="18"/>
      <c r="U329" s="18"/>
      <c r="V329" s="18"/>
      <c r="W329" s="18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8" t="s">
        <v>28</v>
      </c>
      <c r="B330" s="58" t="s">
        <v>39</v>
      </c>
      <c r="C330" s="58" t="s">
        <v>41</v>
      </c>
      <c r="D330" s="58" t="s">
        <v>38</v>
      </c>
      <c r="E330" s="58" t="s">
        <v>25</v>
      </c>
      <c r="F330" s="58" t="s">
        <v>25</v>
      </c>
      <c r="G330" s="58" t="s">
        <v>25</v>
      </c>
      <c r="H330" s="58" t="s">
        <v>35</v>
      </c>
      <c r="I330" s="66">
        <v>44713</v>
      </c>
      <c r="J330" s="67">
        <f>EFEITO!$J$330*EFEITO!$Y$330</f>
        <v>0</v>
      </c>
      <c r="K330" s="67">
        <f ca="1">EFEITO!$L$330*EFEITO!$Z$330</f>
        <v>4568.4359351120329</v>
      </c>
      <c r="L330" s="67">
        <f>EFEITO!$N$330*EFEITO!$AA$330</f>
        <v>13248.704379123976</v>
      </c>
      <c r="M330" s="67">
        <f>$J$330-EFEITO!$K$330*EFEITO!$Y$330</f>
        <v>0</v>
      </c>
      <c r="N330" s="67">
        <f ca="1">$K$330-EFEITO!$M$330*EFEITO!$Z$330</f>
        <v>0</v>
      </c>
      <c r="O330" s="67">
        <f>$L$330-EFEITO!$O$330*EFEITO!$AA$330</f>
        <v>0</v>
      </c>
      <c r="P330" s="18"/>
      <c r="Q330" s="18"/>
      <c r="R330" s="18"/>
      <c r="S330" s="18"/>
      <c r="T330" s="18"/>
      <c r="U330" s="18"/>
      <c r="V330" s="18"/>
      <c r="W330" s="18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8" t="s">
        <v>21</v>
      </c>
      <c r="B331" s="58" t="s">
        <v>39</v>
      </c>
      <c r="C331" s="58" t="s">
        <v>41</v>
      </c>
      <c r="D331" s="58" t="s">
        <v>38</v>
      </c>
      <c r="E331" s="58" t="s">
        <v>25</v>
      </c>
      <c r="F331" s="58" t="s">
        <v>25</v>
      </c>
      <c r="G331" s="58" t="s">
        <v>25</v>
      </c>
      <c r="H331" s="58" t="s">
        <v>35</v>
      </c>
      <c r="I331" s="66">
        <v>44743</v>
      </c>
      <c r="J331" s="67">
        <f>EFEITO!$J$331*EFEITO!$Y$331</f>
        <v>0</v>
      </c>
      <c r="K331" s="67">
        <f ca="1">EFEITO!$L$331*EFEITO!$Z$331</f>
        <v>117101.80787702187</v>
      </c>
      <c r="L331" s="67">
        <f>EFEITO!$N$331*EFEITO!$AA$331</f>
        <v>339601.3990038776</v>
      </c>
      <c r="M331" s="67">
        <f>$J$331-EFEITO!$K$331*EFEITO!$Y$331</f>
        <v>0</v>
      </c>
      <c r="N331" s="67">
        <f ca="1">$K$331-EFEITO!$M$331*EFEITO!$Z$331</f>
        <v>0</v>
      </c>
      <c r="O331" s="67">
        <f>$L$331-EFEITO!$O$331*EFEITO!$AA$331</f>
        <v>0</v>
      </c>
      <c r="P331" s="18"/>
      <c r="Q331" s="18"/>
      <c r="R331" s="18"/>
      <c r="S331" s="18"/>
      <c r="T331" s="18"/>
      <c r="U331" s="18"/>
      <c r="V331" s="18"/>
      <c r="W331" s="18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8" t="s">
        <v>28</v>
      </c>
      <c r="B332" s="58" t="s">
        <v>39</v>
      </c>
      <c r="C332" s="58" t="s">
        <v>41</v>
      </c>
      <c r="D332" s="58" t="s">
        <v>38</v>
      </c>
      <c r="E332" s="58" t="s">
        <v>25</v>
      </c>
      <c r="F332" s="58" t="s">
        <v>25</v>
      </c>
      <c r="G332" s="58" t="s">
        <v>25</v>
      </c>
      <c r="H332" s="58" t="s">
        <v>35</v>
      </c>
      <c r="I332" s="66">
        <v>44743</v>
      </c>
      <c r="J332" s="67">
        <f>EFEITO!$J$332*EFEITO!$Y$332</f>
        <v>0</v>
      </c>
      <c r="K332" s="67">
        <f ca="1">EFEITO!$L$332*EFEITO!$Z$332</f>
        <v>4259.4812685853994</v>
      </c>
      <c r="L332" s="67">
        <f>EFEITO!$N$332*EFEITO!$AA$332</f>
        <v>12352.719604137345</v>
      </c>
      <c r="M332" s="67">
        <f>$J$332-EFEITO!$K$332*EFEITO!$Y$332</f>
        <v>0</v>
      </c>
      <c r="N332" s="67">
        <f ca="1">$K$332-EFEITO!$M$332*EFEITO!$Z$332</f>
        <v>0</v>
      </c>
      <c r="O332" s="67">
        <f>$L$332-EFEITO!$O$332*EFEITO!$AA$332</f>
        <v>0</v>
      </c>
      <c r="P332" s="18"/>
      <c r="Q332" s="18"/>
      <c r="R332" s="18"/>
      <c r="S332" s="18"/>
      <c r="T332" s="18"/>
      <c r="U332" s="18"/>
      <c r="V332" s="18"/>
      <c r="W332" s="18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8" t="s">
        <v>21</v>
      </c>
      <c r="B333" s="58" t="s">
        <v>39</v>
      </c>
      <c r="C333" s="58" t="s">
        <v>41</v>
      </c>
      <c r="D333" s="58" t="s">
        <v>38</v>
      </c>
      <c r="E333" s="58" t="s">
        <v>25</v>
      </c>
      <c r="F333" s="58" t="s">
        <v>25</v>
      </c>
      <c r="G333" s="58" t="s">
        <v>25</v>
      </c>
      <c r="H333" s="58" t="s">
        <v>35</v>
      </c>
      <c r="I333" s="66">
        <v>44774</v>
      </c>
      <c r="J333" s="67">
        <f>EFEITO!$J$333*EFEITO!$Y$333</f>
        <v>0</v>
      </c>
      <c r="K333" s="67">
        <f ca="1">EFEITO!$L$333*EFEITO!$Z$333</f>
        <v>128968.27179040595</v>
      </c>
      <c r="L333" s="67">
        <f>EFEITO!$N$333*EFEITO!$AA$333</f>
        <v>374014.76818470488</v>
      </c>
      <c r="M333" s="67">
        <f>$J$333-EFEITO!$K$333*EFEITO!$Y$333</f>
        <v>0</v>
      </c>
      <c r="N333" s="67">
        <f ca="1">$K$333-EFEITO!$M$333*EFEITO!$Z$333</f>
        <v>0</v>
      </c>
      <c r="O333" s="67">
        <f>$L$333-EFEITO!$O$333*EFEITO!$AA$333</f>
        <v>0</v>
      </c>
      <c r="P333" s="18"/>
      <c r="Q333" s="18"/>
      <c r="R333" s="18"/>
      <c r="S333" s="18"/>
      <c r="T333" s="18"/>
      <c r="U333" s="18"/>
      <c r="V333" s="18"/>
      <c r="W333" s="18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8" t="s">
        <v>28</v>
      </c>
      <c r="B334" s="58" t="s">
        <v>39</v>
      </c>
      <c r="C334" s="58" t="s">
        <v>41</v>
      </c>
      <c r="D334" s="58" t="s">
        <v>38</v>
      </c>
      <c r="E334" s="58" t="s">
        <v>25</v>
      </c>
      <c r="F334" s="58" t="s">
        <v>25</v>
      </c>
      <c r="G334" s="58" t="s">
        <v>25</v>
      </c>
      <c r="H334" s="58" t="s">
        <v>35</v>
      </c>
      <c r="I334" s="66">
        <v>44774</v>
      </c>
      <c r="J334" s="67">
        <f>EFEITO!$J$334*EFEITO!$Y$334</f>
        <v>0</v>
      </c>
      <c r="K334" s="67">
        <f ca="1">EFEITO!$L$334*EFEITO!$Z$334</f>
        <v>4471.1420284375099</v>
      </c>
      <c r="L334" s="67">
        <f>EFEITO!$N$334*EFEITO!$AA$334</f>
        <v>12966.546934928752</v>
      </c>
      <c r="M334" s="67">
        <f>$J$334-EFEITO!$K$334*EFEITO!$Y$334</f>
        <v>0</v>
      </c>
      <c r="N334" s="67">
        <f ca="1">$K$334-EFEITO!$M$334*EFEITO!$Z$334</f>
        <v>0</v>
      </c>
      <c r="O334" s="67">
        <f>$L$334-EFEITO!$O$334*EFEITO!$AA$334</f>
        <v>0</v>
      </c>
      <c r="P334" s="18"/>
      <c r="Q334" s="18"/>
      <c r="R334" s="18"/>
      <c r="S334" s="18"/>
      <c r="T334" s="18"/>
      <c r="U334" s="18"/>
      <c r="V334" s="18"/>
      <c r="W334" s="18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8" t="s">
        <v>21</v>
      </c>
      <c r="B335" s="58" t="s">
        <v>39</v>
      </c>
      <c r="C335" s="58" t="s">
        <v>41</v>
      </c>
      <c r="D335" s="58" t="s">
        <v>38</v>
      </c>
      <c r="E335" s="58" t="s">
        <v>25</v>
      </c>
      <c r="F335" s="58" t="s">
        <v>25</v>
      </c>
      <c r="G335" s="58" t="s">
        <v>25</v>
      </c>
      <c r="H335" s="58" t="s">
        <v>35</v>
      </c>
      <c r="I335" s="66">
        <v>44805</v>
      </c>
      <c r="J335" s="67">
        <f>EFEITO!$J$335*EFEITO!$Y$335</f>
        <v>0</v>
      </c>
      <c r="K335" s="67">
        <f ca="1">EFEITO!$L$335*EFEITO!$Z$335</f>
        <v>127485.33316786402</v>
      </c>
      <c r="L335" s="67">
        <f>EFEITO!$N$335*EFEITO!$AA$335</f>
        <v>369714.16821974958</v>
      </c>
      <c r="M335" s="67">
        <f>$J$335-EFEITO!$K$335*EFEITO!$Y$335</f>
        <v>0</v>
      </c>
      <c r="N335" s="67">
        <f ca="1">$K$335-EFEITO!$M$335*EFEITO!$Z$335</f>
        <v>0</v>
      </c>
      <c r="O335" s="67">
        <f>$L$335-EFEITO!$O$335*EFEITO!$AA$335</f>
        <v>0</v>
      </c>
      <c r="P335" s="18"/>
      <c r="Q335" s="18"/>
      <c r="R335" s="18"/>
      <c r="S335" s="18"/>
      <c r="T335" s="18"/>
      <c r="U335" s="18"/>
      <c r="V335" s="18"/>
      <c r="W335" s="18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8" t="s">
        <v>28</v>
      </c>
      <c r="B336" s="58" t="s">
        <v>39</v>
      </c>
      <c r="C336" s="58" t="s">
        <v>41</v>
      </c>
      <c r="D336" s="58" t="s">
        <v>38</v>
      </c>
      <c r="E336" s="58" t="s">
        <v>25</v>
      </c>
      <c r="F336" s="58" t="s">
        <v>25</v>
      </c>
      <c r="G336" s="58" t="s">
        <v>25</v>
      </c>
      <c r="H336" s="58" t="s">
        <v>35</v>
      </c>
      <c r="I336" s="66">
        <v>44805</v>
      </c>
      <c r="J336" s="67">
        <f>EFEITO!$J$336*EFEITO!$Y$336</f>
        <v>0</v>
      </c>
      <c r="K336" s="67">
        <f ca="1">EFEITO!$L$336*EFEITO!$Z$336</f>
        <v>4307.307407186936</v>
      </c>
      <c r="L336" s="67">
        <f>EFEITO!$N$336*EFEITO!$AA$336</f>
        <v>12491.417920350294</v>
      </c>
      <c r="M336" s="67">
        <f>$J$336-EFEITO!$K$336*EFEITO!$Y$336</f>
        <v>0</v>
      </c>
      <c r="N336" s="67">
        <f ca="1">$K$336-EFEITO!$M$336*EFEITO!$Z$336</f>
        <v>0</v>
      </c>
      <c r="O336" s="67">
        <f>$L$336-EFEITO!$O$336*EFEITO!$AA$336</f>
        <v>0</v>
      </c>
      <c r="P336" s="18"/>
      <c r="Q336" s="18"/>
      <c r="R336" s="18"/>
      <c r="S336" s="18"/>
      <c r="T336" s="18"/>
      <c r="U336" s="18"/>
      <c r="V336" s="18"/>
      <c r="W336" s="18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8" t="s">
        <v>55</v>
      </c>
      <c r="B337" s="58" t="s">
        <v>39</v>
      </c>
      <c r="C337" s="58" t="s">
        <v>41</v>
      </c>
      <c r="D337" s="58" t="s">
        <v>38</v>
      </c>
      <c r="E337" s="58" t="s">
        <v>25</v>
      </c>
      <c r="F337" s="58" t="s">
        <v>25</v>
      </c>
      <c r="G337" s="58" t="s">
        <v>25</v>
      </c>
      <c r="H337" s="58" t="s">
        <v>35</v>
      </c>
      <c r="I337" s="66">
        <v>44835</v>
      </c>
      <c r="J337" s="67">
        <f>EFEITO!$J$337*EFEITO!$Y$337</f>
        <v>0</v>
      </c>
      <c r="K337" s="67">
        <f ca="1">EFEITO!$L$337*EFEITO!$Z$337</f>
        <v>127485.33316786402</v>
      </c>
      <c r="L337" s="67">
        <f>EFEITO!$N$337*EFEITO!$AA$337</f>
        <v>369714.16821974958</v>
      </c>
      <c r="M337" s="67">
        <f>$J$337-EFEITO!$K$337*EFEITO!$Y$337</f>
        <v>0</v>
      </c>
      <c r="N337" s="67">
        <f ca="1">$K$337-EFEITO!$M$337*EFEITO!$Z$337</f>
        <v>0</v>
      </c>
      <c r="O337" s="67">
        <f>$L$337-EFEITO!$O$337*EFEITO!$AA$337</f>
        <v>0</v>
      </c>
      <c r="P337" s="18"/>
      <c r="Q337" s="18"/>
      <c r="R337" s="18"/>
      <c r="S337" s="18"/>
      <c r="T337" s="18"/>
      <c r="U337" s="18"/>
      <c r="V337" s="18"/>
      <c r="W337" s="18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8" t="s">
        <v>55</v>
      </c>
      <c r="B338" s="58" t="s">
        <v>39</v>
      </c>
      <c r="C338" s="58" t="s">
        <v>41</v>
      </c>
      <c r="D338" s="58" t="s">
        <v>38</v>
      </c>
      <c r="E338" s="58" t="s">
        <v>25</v>
      </c>
      <c r="F338" s="58" t="s">
        <v>25</v>
      </c>
      <c r="G338" s="58" t="s">
        <v>25</v>
      </c>
      <c r="H338" s="58" t="s">
        <v>35</v>
      </c>
      <c r="I338" s="66">
        <v>44835</v>
      </c>
      <c r="J338" s="67">
        <f>EFEITO!$J$338*EFEITO!$Y$338</f>
        <v>0</v>
      </c>
      <c r="K338" s="67">
        <f ca="1">EFEITO!$L$338*EFEITO!$Z$338</f>
        <v>4307.307407186936</v>
      </c>
      <c r="L338" s="67">
        <f>EFEITO!$N$338*EFEITO!$AA$338</f>
        <v>12491.417920350294</v>
      </c>
      <c r="M338" s="67">
        <f>$J$338-EFEITO!$K$338*EFEITO!$Y$338</f>
        <v>0</v>
      </c>
      <c r="N338" s="67">
        <f ca="1">$K$338-EFEITO!$M$338*EFEITO!$Z$338</f>
        <v>0</v>
      </c>
      <c r="O338" s="67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8" t="s">
        <v>21</v>
      </c>
      <c r="B339" s="58" t="s">
        <v>39</v>
      </c>
      <c r="C339" s="58" t="s">
        <v>41</v>
      </c>
      <c r="D339" s="58" t="s">
        <v>38</v>
      </c>
      <c r="E339" s="58" t="s">
        <v>25</v>
      </c>
      <c r="F339" s="58" t="s">
        <v>25</v>
      </c>
      <c r="G339" s="58" t="s">
        <v>25</v>
      </c>
      <c r="H339" s="58" t="s">
        <v>25</v>
      </c>
      <c r="I339" s="66">
        <v>44501</v>
      </c>
      <c r="J339" s="67">
        <f ca="1">EFEITO!$J$339*EFEITO!$Y$339</f>
        <v>195476.49897149435</v>
      </c>
      <c r="K339" s="67">
        <f>EFEITO!$L$339*EFEITO!$Z$339</f>
        <v>0</v>
      </c>
      <c r="L339" s="67">
        <f>EFEITO!$N$339*EFEITO!$AA$339</f>
        <v>0</v>
      </c>
      <c r="M339" s="67">
        <f ca="1">$J$339-EFEITO!$K$339*EFEITO!$Y$339</f>
        <v>0</v>
      </c>
      <c r="N339" s="67">
        <f>$K$339-EFEITO!$M$339*EFEITO!$Z$339</f>
        <v>0</v>
      </c>
      <c r="O339" s="67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8" t="s">
        <v>27</v>
      </c>
      <c r="B340" s="58" t="s">
        <v>39</v>
      </c>
      <c r="C340" s="58" t="s">
        <v>41</v>
      </c>
      <c r="D340" s="58" t="s">
        <v>38</v>
      </c>
      <c r="E340" s="58" t="s">
        <v>25</v>
      </c>
      <c r="F340" s="58" t="s">
        <v>25</v>
      </c>
      <c r="G340" s="58" t="s">
        <v>25</v>
      </c>
      <c r="H340" s="58" t="s">
        <v>25</v>
      </c>
      <c r="I340" s="66">
        <v>44501</v>
      </c>
      <c r="J340" s="67">
        <f ca="1">EFEITO!$J$340*EFEITO!$Y$340</f>
        <v>-1426.8357589160171</v>
      </c>
      <c r="K340" s="67">
        <f>EFEITO!$L$340*EFEITO!$Z$340</f>
        <v>0</v>
      </c>
      <c r="L340" s="67">
        <f>EFEITO!$N$340*EFEITO!$AA$340</f>
        <v>0</v>
      </c>
      <c r="M340" s="67">
        <f ca="1">$J$340-EFEITO!$K$340*EFEITO!$Y$340</f>
        <v>0</v>
      </c>
      <c r="N340" s="67">
        <f>$K$340-EFEITO!$M$340*EFEITO!$Z$340</f>
        <v>0</v>
      </c>
      <c r="O340" s="67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8" t="s">
        <v>28</v>
      </c>
      <c r="B341" s="58" t="s">
        <v>39</v>
      </c>
      <c r="C341" s="58" t="s">
        <v>41</v>
      </c>
      <c r="D341" s="58" t="s">
        <v>38</v>
      </c>
      <c r="E341" s="58" t="s">
        <v>25</v>
      </c>
      <c r="F341" s="58" t="s">
        <v>25</v>
      </c>
      <c r="G341" s="58" t="s">
        <v>25</v>
      </c>
      <c r="H341" s="58" t="s">
        <v>25</v>
      </c>
      <c r="I341" s="66">
        <v>44501</v>
      </c>
      <c r="J341" s="67">
        <f ca="1">EFEITO!$J$341*EFEITO!$Y$341</f>
        <v>8541.9900767105555</v>
      </c>
      <c r="K341" s="67">
        <f>EFEITO!$L$341*EFEITO!$Z$341</f>
        <v>0</v>
      </c>
      <c r="L341" s="67">
        <f>EFEITO!$N$341*EFEITO!$AA$341</f>
        <v>0</v>
      </c>
      <c r="M341" s="67">
        <f ca="1">$J$341-EFEITO!$K$341*EFEITO!$Y$341</f>
        <v>0</v>
      </c>
      <c r="N341" s="67">
        <f>$K$341-EFEITO!$M$341*EFEITO!$Z$341</f>
        <v>0</v>
      </c>
      <c r="O341" s="67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8" t="s">
        <v>21</v>
      </c>
      <c r="B342" s="58" t="s">
        <v>39</v>
      </c>
      <c r="C342" s="58" t="s">
        <v>41</v>
      </c>
      <c r="D342" s="58" t="s">
        <v>38</v>
      </c>
      <c r="E342" s="58" t="s">
        <v>25</v>
      </c>
      <c r="F342" s="58" t="s">
        <v>25</v>
      </c>
      <c r="G342" s="58" t="s">
        <v>25</v>
      </c>
      <c r="H342" s="58" t="s">
        <v>25</v>
      </c>
      <c r="I342" s="66">
        <v>44531</v>
      </c>
      <c r="J342" s="67">
        <f ca="1">EFEITO!$J$342*EFEITO!$Y$342</f>
        <v>182825.22190910566</v>
      </c>
      <c r="K342" s="67">
        <f>EFEITO!$L$342*EFEITO!$Z$342</f>
        <v>0</v>
      </c>
      <c r="L342" s="67">
        <f>EFEITO!$N$342*EFEITO!$AA$342</f>
        <v>0</v>
      </c>
      <c r="M342" s="67">
        <f ca="1">$J$342-EFEITO!$K$342*EFEITO!$Y$342</f>
        <v>0</v>
      </c>
      <c r="N342" s="67">
        <f>$K$342-EFEITO!$M$342*EFEITO!$Z$342</f>
        <v>0</v>
      </c>
      <c r="O342" s="67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8" t="s">
        <v>27</v>
      </c>
      <c r="B343" s="58" t="s">
        <v>39</v>
      </c>
      <c r="C343" s="58" t="s">
        <v>41</v>
      </c>
      <c r="D343" s="58" t="s">
        <v>38</v>
      </c>
      <c r="E343" s="58" t="s">
        <v>25</v>
      </c>
      <c r="F343" s="58" t="s">
        <v>25</v>
      </c>
      <c r="G343" s="58" t="s">
        <v>25</v>
      </c>
      <c r="H343" s="58" t="s">
        <v>25</v>
      </c>
      <c r="I343" s="66">
        <v>44531</v>
      </c>
      <c r="J343" s="67">
        <f ca="1">EFEITO!$J$343*EFEITO!$Y$343</f>
        <v>-14515.675787372282</v>
      </c>
      <c r="K343" s="67">
        <f>EFEITO!$L$343*EFEITO!$Z$343</f>
        <v>0</v>
      </c>
      <c r="L343" s="67">
        <f>EFEITO!$N$343*EFEITO!$AA$343</f>
        <v>0</v>
      </c>
      <c r="M343" s="67">
        <f ca="1">$J$343-EFEITO!$K$343*EFEITO!$Y$343</f>
        <v>0</v>
      </c>
      <c r="N343" s="67">
        <f>$K$343-EFEITO!$M$343*EFEITO!$Z$343</f>
        <v>0</v>
      </c>
      <c r="O343" s="67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8" t="s">
        <v>28</v>
      </c>
      <c r="B344" s="58" t="s">
        <v>39</v>
      </c>
      <c r="C344" s="58" t="s">
        <v>41</v>
      </c>
      <c r="D344" s="58" t="s">
        <v>38</v>
      </c>
      <c r="E344" s="58" t="s">
        <v>25</v>
      </c>
      <c r="F344" s="58" t="s">
        <v>25</v>
      </c>
      <c r="G344" s="58" t="s">
        <v>25</v>
      </c>
      <c r="H344" s="58" t="s">
        <v>25</v>
      </c>
      <c r="I344" s="66">
        <v>44531</v>
      </c>
      <c r="J344" s="67">
        <f ca="1">EFEITO!$J$344*EFEITO!$Y$344</f>
        <v>8541.9900767105555</v>
      </c>
      <c r="K344" s="67">
        <f>EFEITO!$L$344*EFEITO!$Z$344</f>
        <v>0</v>
      </c>
      <c r="L344" s="67">
        <f>EFEITO!$N$344*EFEITO!$AA$344</f>
        <v>0</v>
      </c>
      <c r="M344" s="67">
        <f ca="1">$J$344-EFEITO!$K$344*EFEITO!$Y$344</f>
        <v>0</v>
      </c>
      <c r="N344" s="67">
        <f>$K$344-EFEITO!$M$344*EFEITO!$Z$344</f>
        <v>0</v>
      </c>
      <c r="O344" s="67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8" t="s">
        <v>21</v>
      </c>
      <c r="B345" s="58" t="s">
        <v>39</v>
      </c>
      <c r="C345" s="58" t="s">
        <v>41</v>
      </c>
      <c r="D345" s="58" t="s">
        <v>38</v>
      </c>
      <c r="E345" s="58" t="s">
        <v>25</v>
      </c>
      <c r="F345" s="58" t="s">
        <v>25</v>
      </c>
      <c r="G345" s="58" t="s">
        <v>25</v>
      </c>
      <c r="H345" s="58" t="s">
        <v>25</v>
      </c>
      <c r="I345" s="66">
        <v>44562</v>
      </c>
      <c r="J345" s="67">
        <f ca="1">EFEITO!$J$345*EFEITO!$Y$345</f>
        <v>195514.54792506545</v>
      </c>
      <c r="K345" s="67">
        <f>EFEITO!$L$345*EFEITO!$Z$345</f>
        <v>0</v>
      </c>
      <c r="L345" s="67">
        <f>EFEITO!$N$345*EFEITO!$AA$345</f>
        <v>0</v>
      </c>
      <c r="M345" s="67">
        <f ca="1">$J$345-EFEITO!$K$345*EFEITO!$Y$345</f>
        <v>0</v>
      </c>
      <c r="N345" s="67">
        <f>$K$345-EFEITO!$M$345*EFEITO!$Z$345</f>
        <v>0</v>
      </c>
      <c r="O345" s="67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8" t="s">
        <v>28</v>
      </c>
      <c r="B346" s="58" t="s">
        <v>39</v>
      </c>
      <c r="C346" s="58" t="s">
        <v>41</v>
      </c>
      <c r="D346" s="58" t="s">
        <v>38</v>
      </c>
      <c r="E346" s="58" t="s">
        <v>25</v>
      </c>
      <c r="F346" s="58" t="s">
        <v>25</v>
      </c>
      <c r="G346" s="58" t="s">
        <v>25</v>
      </c>
      <c r="H346" s="58" t="s">
        <v>25</v>
      </c>
      <c r="I346" s="66">
        <v>44562</v>
      </c>
      <c r="J346" s="67">
        <f ca="1">EFEITO!$J$346*EFEITO!$Y$346</f>
        <v>8541.9900767105555</v>
      </c>
      <c r="K346" s="67">
        <f>EFEITO!$L$346*EFEITO!$Z$346</f>
        <v>0</v>
      </c>
      <c r="L346" s="67">
        <f>EFEITO!$N$346*EFEITO!$AA$346</f>
        <v>0</v>
      </c>
      <c r="M346" s="67">
        <f ca="1">$J$346-EFEITO!$K$346*EFEITO!$Y$346</f>
        <v>0</v>
      </c>
      <c r="N346" s="67">
        <f>$K$346-EFEITO!$M$346*EFEITO!$Z$346</f>
        <v>0</v>
      </c>
      <c r="O346" s="67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8" t="s">
        <v>21</v>
      </c>
      <c r="B347" s="58" t="s">
        <v>39</v>
      </c>
      <c r="C347" s="58" t="s">
        <v>41</v>
      </c>
      <c r="D347" s="58" t="s">
        <v>38</v>
      </c>
      <c r="E347" s="58" t="s">
        <v>25</v>
      </c>
      <c r="F347" s="58" t="s">
        <v>25</v>
      </c>
      <c r="G347" s="58" t="s">
        <v>25</v>
      </c>
      <c r="H347" s="58" t="s">
        <v>25</v>
      </c>
      <c r="I347" s="66">
        <v>44593</v>
      </c>
      <c r="J347" s="67">
        <f ca="1">EFEITO!$J$347*EFEITO!$Y$347</f>
        <v>192280.38687152247</v>
      </c>
      <c r="K347" s="67">
        <f>EFEITO!$L$347*EFEITO!$Z$347</f>
        <v>0</v>
      </c>
      <c r="L347" s="67">
        <f>EFEITO!$N$347*EFEITO!$AA$347</f>
        <v>0</v>
      </c>
      <c r="M347" s="67">
        <f ca="1">$J$347-EFEITO!$K$347*EFEITO!$Y$347</f>
        <v>0</v>
      </c>
      <c r="N347" s="67">
        <f>$K$347-EFEITO!$M$347*EFEITO!$Z$347</f>
        <v>0</v>
      </c>
      <c r="O347" s="67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8" t="s">
        <v>27</v>
      </c>
      <c r="B348" s="58" t="s">
        <v>39</v>
      </c>
      <c r="C348" s="58" t="s">
        <v>41</v>
      </c>
      <c r="D348" s="58" t="s">
        <v>38</v>
      </c>
      <c r="E348" s="58" t="s">
        <v>25</v>
      </c>
      <c r="F348" s="58" t="s">
        <v>25</v>
      </c>
      <c r="G348" s="58" t="s">
        <v>25</v>
      </c>
      <c r="H348" s="58" t="s">
        <v>25</v>
      </c>
      <c r="I348" s="66">
        <v>44593</v>
      </c>
      <c r="J348" s="67">
        <f ca="1">EFEITO!$J$348*EFEITO!$Y$348</f>
        <v>-8561.014553496103</v>
      </c>
      <c r="K348" s="67">
        <f>EFEITO!$L$348*EFEITO!$Z$348</f>
        <v>0</v>
      </c>
      <c r="L348" s="67">
        <f>EFEITO!$N$348*EFEITO!$AA$348</f>
        <v>0</v>
      </c>
      <c r="M348" s="67">
        <f ca="1">$J$348-EFEITO!$K$348*EFEITO!$Y$348</f>
        <v>0</v>
      </c>
      <c r="N348" s="67">
        <f>$K$348-EFEITO!$M$348*EFEITO!$Z$348</f>
        <v>0</v>
      </c>
      <c r="O348" s="67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8" t="s">
        <v>28</v>
      </c>
      <c r="B349" s="58" t="s">
        <v>39</v>
      </c>
      <c r="C349" s="58" t="s">
        <v>41</v>
      </c>
      <c r="D349" s="58" t="s">
        <v>38</v>
      </c>
      <c r="E349" s="58" t="s">
        <v>25</v>
      </c>
      <c r="F349" s="58" t="s">
        <v>25</v>
      </c>
      <c r="G349" s="58" t="s">
        <v>25</v>
      </c>
      <c r="H349" s="58" t="s">
        <v>25</v>
      </c>
      <c r="I349" s="66">
        <v>44593</v>
      </c>
      <c r="J349" s="67">
        <f ca="1">EFEITO!$J$349*EFEITO!$Y$349</f>
        <v>8541.9900767105555</v>
      </c>
      <c r="K349" s="67">
        <f>EFEITO!$L$349*EFEITO!$Z$349</f>
        <v>0</v>
      </c>
      <c r="L349" s="67">
        <f>EFEITO!$N$349*EFEITO!$AA$349</f>
        <v>0</v>
      </c>
      <c r="M349" s="67">
        <f ca="1">$J$349-EFEITO!$K$349*EFEITO!$Y$349</f>
        <v>0</v>
      </c>
      <c r="N349" s="67">
        <f>$K$349-EFEITO!$M$349*EFEITO!$Z$349</f>
        <v>0</v>
      </c>
      <c r="O349" s="67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8" t="s">
        <v>21</v>
      </c>
      <c r="B350" s="58" t="s">
        <v>39</v>
      </c>
      <c r="C350" s="58" t="s">
        <v>41</v>
      </c>
      <c r="D350" s="58" t="s">
        <v>38</v>
      </c>
      <c r="E350" s="58" t="s">
        <v>25</v>
      </c>
      <c r="F350" s="58" t="s">
        <v>25</v>
      </c>
      <c r="G350" s="58" t="s">
        <v>25</v>
      </c>
      <c r="H350" s="58" t="s">
        <v>25</v>
      </c>
      <c r="I350" s="66">
        <v>44621</v>
      </c>
      <c r="J350" s="67">
        <f ca="1">EFEITO!$J$350*EFEITO!$Y$350</f>
        <v>194715.51990007248</v>
      </c>
      <c r="K350" s="67">
        <f>EFEITO!$L$350*EFEITO!$Z$350</f>
        <v>0</v>
      </c>
      <c r="L350" s="67">
        <f>EFEITO!$N$350*EFEITO!$AA$350</f>
        <v>0</v>
      </c>
      <c r="M350" s="67">
        <f ca="1">$J$350-EFEITO!$K$350*EFEITO!$Y$350</f>
        <v>0</v>
      </c>
      <c r="N350" s="67">
        <f>$K$350-EFEITO!$M$350*EFEITO!$Z$350</f>
        <v>0</v>
      </c>
      <c r="O350" s="67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8" t="s">
        <v>28</v>
      </c>
      <c r="B351" s="58" t="s">
        <v>39</v>
      </c>
      <c r="C351" s="58" t="s">
        <v>41</v>
      </c>
      <c r="D351" s="58" t="s">
        <v>38</v>
      </c>
      <c r="E351" s="58" t="s">
        <v>25</v>
      </c>
      <c r="F351" s="58" t="s">
        <v>25</v>
      </c>
      <c r="G351" s="58" t="s">
        <v>25</v>
      </c>
      <c r="H351" s="58" t="s">
        <v>25</v>
      </c>
      <c r="I351" s="66">
        <v>44621</v>
      </c>
      <c r="J351" s="67">
        <f ca="1">EFEITO!$J$351*EFEITO!$Y$351</f>
        <v>8903.4551356359461</v>
      </c>
      <c r="K351" s="67">
        <f>EFEITO!$L$351*EFEITO!$Z$351</f>
        <v>0</v>
      </c>
      <c r="L351" s="67">
        <f>EFEITO!$N$351*EFEITO!$AA$351</f>
        <v>0</v>
      </c>
      <c r="M351" s="67">
        <f ca="1">$J$351-EFEITO!$K$351*EFEITO!$Y$351</f>
        <v>0</v>
      </c>
      <c r="N351" s="67">
        <f>$K$351-EFEITO!$M$351*EFEITO!$Z$351</f>
        <v>0</v>
      </c>
      <c r="O351" s="67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8" t="s">
        <v>21</v>
      </c>
      <c r="B352" s="58" t="s">
        <v>39</v>
      </c>
      <c r="C352" s="58" t="s">
        <v>41</v>
      </c>
      <c r="D352" s="58" t="s">
        <v>38</v>
      </c>
      <c r="E352" s="58" t="s">
        <v>25</v>
      </c>
      <c r="F352" s="58" t="s">
        <v>25</v>
      </c>
      <c r="G352" s="58" t="s">
        <v>25</v>
      </c>
      <c r="H352" s="58" t="s">
        <v>25</v>
      </c>
      <c r="I352" s="66">
        <v>44652</v>
      </c>
      <c r="J352" s="67">
        <f ca="1">EFEITO!$J$352*EFEITO!$Y$352</f>
        <v>194715.51990007248</v>
      </c>
      <c r="K352" s="67">
        <f>EFEITO!$L$352*EFEITO!$Z$352</f>
        <v>0</v>
      </c>
      <c r="L352" s="67">
        <f>EFEITO!$N$352*EFEITO!$AA$352</f>
        <v>0</v>
      </c>
      <c r="M352" s="67">
        <f ca="1">$J$352-EFEITO!$K$352*EFEITO!$Y$352</f>
        <v>0</v>
      </c>
      <c r="N352" s="67">
        <f>$K$352-EFEITO!$M$352*EFEITO!$Z$352</f>
        <v>0</v>
      </c>
      <c r="O352" s="67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8" t="s">
        <v>28</v>
      </c>
      <c r="B353" s="58" t="s">
        <v>39</v>
      </c>
      <c r="C353" s="58" t="s">
        <v>41</v>
      </c>
      <c r="D353" s="58" t="s">
        <v>38</v>
      </c>
      <c r="E353" s="58" t="s">
        <v>25</v>
      </c>
      <c r="F353" s="58" t="s">
        <v>25</v>
      </c>
      <c r="G353" s="58" t="s">
        <v>25</v>
      </c>
      <c r="H353" s="58" t="s">
        <v>25</v>
      </c>
      <c r="I353" s="66">
        <v>44652</v>
      </c>
      <c r="J353" s="67">
        <f ca="1">EFEITO!$J$353*EFEITO!$Y$353</f>
        <v>8903.4551356359461</v>
      </c>
      <c r="K353" s="67">
        <f>EFEITO!$L$353*EFEITO!$Z$353</f>
        <v>0</v>
      </c>
      <c r="L353" s="67">
        <f>EFEITO!$N$353*EFEITO!$AA$353</f>
        <v>0</v>
      </c>
      <c r="M353" s="67">
        <f ca="1">$J$353-EFEITO!$K$353*EFEITO!$Y$353</f>
        <v>0</v>
      </c>
      <c r="N353" s="67">
        <f>$K$353-EFEITO!$M$353*EFEITO!$Z$353</f>
        <v>0</v>
      </c>
      <c r="O353" s="67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8" t="s">
        <v>21</v>
      </c>
      <c r="B354" s="58" t="s">
        <v>39</v>
      </c>
      <c r="C354" s="58" t="s">
        <v>41</v>
      </c>
      <c r="D354" s="58" t="s">
        <v>38</v>
      </c>
      <c r="E354" s="58" t="s">
        <v>25</v>
      </c>
      <c r="F354" s="58" t="s">
        <v>25</v>
      </c>
      <c r="G354" s="58" t="s">
        <v>25</v>
      </c>
      <c r="H354" s="58" t="s">
        <v>25</v>
      </c>
      <c r="I354" s="66">
        <v>44682</v>
      </c>
      <c r="J354" s="67">
        <f ca="1">EFEITO!$J$354*EFEITO!$Y$354</f>
        <v>196465.77176434279</v>
      </c>
      <c r="K354" s="67">
        <f>EFEITO!$L$354*EFEITO!$Z$354</f>
        <v>0</v>
      </c>
      <c r="L354" s="67">
        <f>EFEITO!$N$354*EFEITO!$AA$354</f>
        <v>0</v>
      </c>
      <c r="M354" s="67">
        <f ca="1">$J$354-EFEITO!$K$354*EFEITO!$Y$354</f>
        <v>0</v>
      </c>
      <c r="N354" s="67">
        <f>$K$354-EFEITO!$M$354*EFEITO!$Z$354</f>
        <v>0</v>
      </c>
      <c r="O354" s="67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8" t="s">
        <v>27</v>
      </c>
      <c r="B355" s="58" t="s">
        <v>39</v>
      </c>
      <c r="C355" s="58" t="s">
        <v>41</v>
      </c>
      <c r="D355" s="58" t="s">
        <v>38</v>
      </c>
      <c r="E355" s="58" t="s">
        <v>25</v>
      </c>
      <c r="F355" s="58" t="s">
        <v>25</v>
      </c>
      <c r="G355" s="58" t="s">
        <v>25</v>
      </c>
      <c r="H355" s="58" t="s">
        <v>25</v>
      </c>
      <c r="I355" s="66">
        <v>44682</v>
      </c>
      <c r="J355" s="67">
        <f ca="1">EFEITO!$J$355*EFEITO!$Y$355</f>
        <v>-11414.686071328137</v>
      </c>
      <c r="K355" s="67">
        <f>EFEITO!$L$355*EFEITO!$Z$355</f>
        <v>0</v>
      </c>
      <c r="L355" s="67">
        <f>EFEITO!$N$355*EFEITO!$AA$355</f>
        <v>0</v>
      </c>
      <c r="M355" s="67">
        <f ca="1">$J$355-EFEITO!$K$355*EFEITO!$Y$355</f>
        <v>0</v>
      </c>
      <c r="N355" s="67">
        <f>$K$355-EFEITO!$M$355*EFEITO!$Z$355</f>
        <v>0</v>
      </c>
      <c r="O355" s="67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8" t="s">
        <v>28</v>
      </c>
      <c r="B356" s="58" t="s">
        <v>39</v>
      </c>
      <c r="C356" s="58" t="s">
        <v>41</v>
      </c>
      <c r="D356" s="58" t="s">
        <v>38</v>
      </c>
      <c r="E356" s="58" t="s">
        <v>25</v>
      </c>
      <c r="F356" s="58" t="s">
        <v>25</v>
      </c>
      <c r="G356" s="58" t="s">
        <v>25</v>
      </c>
      <c r="H356" s="58" t="s">
        <v>25</v>
      </c>
      <c r="I356" s="66">
        <v>44682</v>
      </c>
      <c r="J356" s="67">
        <f ca="1">EFEITO!$J$356*EFEITO!$Y$356</f>
        <v>35385.526821117222</v>
      </c>
      <c r="K356" s="67">
        <f>EFEITO!$L$356*EFEITO!$Z$356</f>
        <v>0</v>
      </c>
      <c r="L356" s="67">
        <f>EFEITO!$N$356*EFEITO!$AA$356</f>
        <v>0</v>
      </c>
      <c r="M356" s="67">
        <f ca="1">$J$356-EFEITO!$K$356*EFEITO!$Y$356</f>
        <v>0</v>
      </c>
      <c r="N356" s="67">
        <f>$K$356-EFEITO!$M$356*EFEITO!$Z$356</f>
        <v>0</v>
      </c>
      <c r="O356" s="67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8" t="s">
        <v>21</v>
      </c>
      <c r="B357" s="58" t="s">
        <v>39</v>
      </c>
      <c r="C357" s="58" t="s">
        <v>41</v>
      </c>
      <c r="D357" s="58" t="s">
        <v>38</v>
      </c>
      <c r="E357" s="58" t="s">
        <v>25</v>
      </c>
      <c r="F357" s="58" t="s">
        <v>25</v>
      </c>
      <c r="G357" s="58" t="s">
        <v>25</v>
      </c>
      <c r="H357" s="58" t="s">
        <v>25</v>
      </c>
      <c r="I357" s="66">
        <v>44713</v>
      </c>
      <c r="J357" s="67">
        <f ca="1">EFEITO!$J$357*EFEITO!$Y$357</f>
        <v>194753.56885364358</v>
      </c>
      <c r="K357" s="67">
        <f>EFEITO!$L$357*EFEITO!$Z$357</f>
        <v>0</v>
      </c>
      <c r="L357" s="67">
        <f>EFEITO!$N$357*EFEITO!$AA$357</f>
        <v>0</v>
      </c>
      <c r="M357" s="67">
        <f ca="1">$J$357-EFEITO!$K$357*EFEITO!$Y$357</f>
        <v>0</v>
      </c>
      <c r="N357" s="67">
        <f>$K$357-EFEITO!$M$357*EFEITO!$Z$357</f>
        <v>0</v>
      </c>
      <c r="O357" s="67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8" t="s">
        <v>28</v>
      </c>
      <c r="B358" s="58" t="s">
        <v>39</v>
      </c>
      <c r="C358" s="58" t="s">
        <v>41</v>
      </c>
      <c r="D358" s="58" t="s">
        <v>38</v>
      </c>
      <c r="E358" s="58" t="s">
        <v>25</v>
      </c>
      <c r="F358" s="58" t="s">
        <v>25</v>
      </c>
      <c r="G358" s="58" t="s">
        <v>25</v>
      </c>
      <c r="H358" s="58" t="s">
        <v>25</v>
      </c>
      <c r="I358" s="66">
        <v>44713</v>
      </c>
      <c r="J358" s="67">
        <f ca="1">EFEITO!$J$358*EFEITO!$Y$358</f>
        <v>8541.9900767105555</v>
      </c>
      <c r="K358" s="67">
        <f>EFEITO!$L$358*EFEITO!$Z$358</f>
        <v>0</v>
      </c>
      <c r="L358" s="67">
        <f>EFEITO!$N$358*EFEITO!$AA$358</f>
        <v>0</v>
      </c>
      <c r="M358" s="67">
        <f ca="1">$J$358-EFEITO!$K$358*EFEITO!$Y$358</f>
        <v>0</v>
      </c>
      <c r="N358" s="67">
        <f>$K$358-EFEITO!$M$358*EFEITO!$Z$358</f>
        <v>0</v>
      </c>
      <c r="O358" s="67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8" t="s">
        <v>21</v>
      </c>
      <c r="B359" s="58" t="s">
        <v>39</v>
      </c>
      <c r="C359" s="58" t="s">
        <v>41</v>
      </c>
      <c r="D359" s="58" t="s">
        <v>38</v>
      </c>
      <c r="E359" s="58" t="s">
        <v>25</v>
      </c>
      <c r="F359" s="58" t="s">
        <v>25</v>
      </c>
      <c r="G359" s="58" t="s">
        <v>25</v>
      </c>
      <c r="H359" s="58" t="s">
        <v>25</v>
      </c>
      <c r="I359" s="66">
        <v>44743</v>
      </c>
      <c r="J359" s="67">
        <f ca="1">EFEITO!$J$359*EFEITO!$Y$359</f>
        <v>200993.59723930294</v>
      </c>
      <c r="K359" s="67">
        <f>EFEITO!$L$359*EFEITO!$Z$359</f>
        <v>0</v>
      </c>
      <c r="L359" s="67">
        <f>EFEITO!$N$359*EFEITO!$AA$359</f>
        <v>0</v>
      </c>
      <c r="M359" s="67">
        <f ca="1">$J$359-EFEITO!$K$359*EFEITO!$Y$359</f>
        <v>0</v>
      </c>
      <c r="N359" s="67">
        <f>$K$359-EFEITO!$M$359*EFEITO!$Z$359</f>
        <v>0</v>
      </c>
      <c r="O359" s="67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8" t="s">
        <v>28</v>
      </c>
      <c r="B360" s="58" t="s">
        <v>39</v>
      </c>
      <c r="C360" s="58" t="s">
        <v>41</v>
      </c>
      <c r="D360" s="58" t="s">
        <v>38</v>
      </c>
      <c r="E360" s="58" t="s">
        <v>25</v>
      </c>
      <c r="F360" s="58" t="s">
        <v>25</v>
      </c>
      <c r="G360" s="58" t="s">
        <v>25</v>
      </c>
      <c r="H360" s="58" t="s">
        <v>25</v>
      </c>
      <c r="I360" s="66">
        <v>44743</v>
      </c>
      <c r="J360" s="67">
        <f ca="1">EFEITO!$J$360*EFEITO!$Y$360</f>
        <v>8541.9900767105555</v>
      </c>
      <c r="K360" s="67">
        <f>EFEITO!$L$360*EFEITO!$Z$360</f>
        <v>0</v>
      </c>
      <c r="L360" s="67">
        <f>EFEITO!$N$360*EFEITO!$AA$360</f>
        <v>0</v>
      </c>
      <c r="M360" s="67">
        <f ca="1">$J$360-EFEITO!$K$360*EFEITO!$Y$360</f>
        <v>0</v>
      </c>
      <c r="N360" s="67">
        <f>$K$360-EFEITO!$M$360*EFEITO!$Z$360</f>
        <v>0</v>
      </c>
      <c r="O360" s="67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8" t="s">
        <v>21</v>
      </c>
      <c r="B361" s="58" t="s">
        <v>39</v>
      </c>
      <c r="C361" s="58" t="s">
        <v>41</v>
      </c>
      <c r="D361" s="58" t="s">
        <v>38</v>
      </c>
      <c r="E361" s="58" t="s">
        <v>25</v>
      </c>
      <c r="F361" s="58" t="s">
        <v>25</v>
      </c>
      <c r="G361" s="58" t="s">
        <v>25</v>
      </c>
      <c r="H361" s="58" t="s">
        <v>25</v>
      </c>
      <c r="I361" s="66">
        <v>44774</v>
      </c>
      <c r="J361" s="67">
        <f ca="1">EFEITO!$J$361*EFEITO!$Y$361</f>
        <v>198900.90479289278</v>
      </c>
      <c r="K361" s="67">
        <f>EFEITO!$L$361*EFEITO!$Z$361</f>
        <v>0</v>
      </c>
      <c r="L361" s="67">
        <f>EFEITO!$N$361*EFEITO!$AA$361</f>
        <v>0</v>
      </c>
      <c r="M361" s="67">
        <f ca="1">$J$361-EFEITO!$K$361*EFEITO!$Y$361</f>
        <v>0</v>
      </c>
      <c r="N361" s="67">
        <f>$K$361-EFEITO!$M$361*EFEITO!$Z$361</f>
        <v>0</v>
      </c>
      <c r="O361" s="67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8" t="s">
        <v>28</v>
      </c>
      <c r="B362" s="58" t="s">
        <v>39</v>
      </c>
      <c r="C362" s="58" t="s">
        <v>41</v>
      </c>
      <c r="D362" s="58" t="s">
        <v>38</v>
      </c>
      <c r="E362" s="58" t="s">
        <v>25</v>
      </c>
      <c r="F362" s="58" t="s">
        <v>25</v>
      </c>
      <c r="G362" s="58" t="s">
        <v>25</v>
      </c>
      <c r="H362" s="58" t="s">
        <v>25</v>
      </c>
      <c r="I362" s="66">
        <v>44774</v>
      </c>
      <c r="J362" s="67">
        <f ca="1">EFEITO!$J$362*EFEITO!$Y$362</f>
        <v>8789.3082749226651</v>
      </c>
      <c r="K362" s="67">
        <f>EFEITO!$L$362*EFEITO!$Z$362</f>
        <v>0</v>
      </c>
      <c r="L362" s="67">
        <f>EFEITO!$N$362*EFEITO!$AA$362</f>
        <v>0</v>
      </c>
      <c r="M362" s="67">
        <f ca="1">$J$362-EFEITO!$K$362*EFEITO!$Y$362</f>
        <v>0</v>
      </c>
      <c r="N362" s="67">
        <f>$K$362-EFEITO!$M$362*EFEITO!$Z$362</f>
        <v>0</v>
      </c>
      <c r="O362" s="67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8" t="s">
        <v>21</v>
      </c>
      <c r="B363" s="58" t="s">
        <v>39</v>
      </c>
      <c r="C363" s="58" t="s">
        <v>41</v>
      </c>
      <c r="D363" s="58" t="s">
        <v>38</v>
      </c>
      <c r="E363" s="58" t="s">
        <v>25</v>
      </c>
      <c r="F363" s="58" t="s">
        <v>25</v>
      </c>
      <c r="G363" s="58" t="s">
        <v>25</v>
      </c>
      <c r="H363" s="58" t="s">
        <v>25</v>
      </c>
      <c r="I363" s="66">
        <v>44805</v>
      </c>
      <c r="J363" s="67">
        <f ca="1">EFEITO!$J$363*EFEITO!$Y$363</f>
        <v>208831.68167494825</v>
      </c>
      <c r="K363" s="67">
        <f>EFEITO!$L$363*EFEITO!$Z$363</f>
        <v>0</v>
      </c>
      <c r="L363" s="67">
        <f>EFEITO!$N$363*EFEITO!$AA$363</f>
        <v>0</v>
      </c>
      <c r="M363" s="67">
        <f ca="1">$J$363-EFEITO!$K$363*EFEITO!$Y$363</f>
        <v>0</v>
      </c>
      <c r="N363" s="67">
        <f>$K$363-EFEITO!$M$363*EFEITO!$Z$363</f>
        <v>0</v>
      </c>
      <c r="O363" s="67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8" t="s">
        <v>28</v>
      </c>
      <c r="B364" s="58" t="s">
        <v>39</v>
      </c>
      <c r="C364" s="58" t="s">
        <v>41</v>
      </c>
      <c r="D364" s="58" t="s">
        <v>38</v>
      </c>
      <c r="E364" s="58" t="s">
        <v>25</v>
      </c>
      <c r="F364" s="58" t="s">
        <v>25</v>
      </c>
      <c r="G364" s="58" t="s">
        <v>25</v>
      </c>
      <c r="H364" s="58" t="s">
        <v>25</v>
      </c>
      <c r="I364" s="66">
        <v>44805</v>
      </c>
      <c r="J364" s="67">
        <f ca="1">EFEITO!$J$364*EFEITO!$Y$364</f>
        <v>8656.1369374238366</v>
      </c>
      <c r="K364" s="67">
        <f>EFEITO!$L$364*EFEITO!$Z$364</f>
        <v>0</v>
      </c>
      <c r="L364" s="67">
        <f>EFEITO!$N$364*EFEITO!$AA$364</f>
        <v>0</v>
      </c>
      <c r="M364" s="67">
        <f ca="1">$J$364-EFEITO!$K$364*EFEITO!$Y$364</f>
        <v>0</v>
      </c>
      <c r="N364" s="67">
        <f>$K$364-EFEITO!$M$364*EFEITO!$Z$364</f>
        <v>0</v>
      </c>
      <c r="O364" s="67">
        <f>$L$364-EFEITO!$O$364*EFEITO!$AA$364</f>
        <v>0</v>
      </c>
      <c r="P364" s="18"/>
      <c r="Q364" s="18"/>
      <c r="R364" s="18"/>
      <c r="S364" s="18"/>
      <c r="T364" s="18"/>
      <c r="U364" s="18"/>
      <c r="V364" s="18"/>
      <c r="W364" s="18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8" t="s">
        <v>55</v>
      </c>
      <c r="B365" s="58" t="s">
        <v>39</v>
      </c>
      <c r="C365" s="58" t="s">
        <v>41</v>
      </c>
      <c r="D365" s="58" t="s">
        <v>38</v>
      </c>
      <c r="E365" s="58" t="s">
        <v>25</v>
      </c>
      <c r="F365" s="58" t="s">
        <v>25</v>
      </c>
      <c r="G365" s="58" t="s">
        <v>25</v>
      </c>
      <c r="H365" s="58" t="s">
        <v>25</v>
      </c>
      <c r="I365" s="66">
        <v>44835</v>
      </c>
      <c r="J365" s="67">
        <f ca="1">EFEITO!$J$365*EFEITO!$Y$365</f>
        <v>208831.68167494825</v>
      </c>
      <c r="K365" s="67">
        <f>EFEITO!$L$365*EFEITO!$Z$365</f>
        <v>0</v>
      </c>
      <c r="L365" s="67">
        <f>EFEITO!$N$365*EFEITO!$AA$365</f>
        <v>0</v>
      </c>
      <c r="M365" s="67">
        <f ca="1">$J$365-EFEITO!$K$365*EFEITO!$Y$365</f>
        <v>0</v>
      </c>
      <c r="N365" s="67">
        <f>$K$365-EFEITO!$M$365*EFEITO!$Z$365</f>
        <v>0</v>
      </c>
      <c r="O365" s="67">
        <f>$L$365-EFEITO!$O$365*EFEITO!$AA$365</f>
        <v>0</v>
      </c>
      <c r="P365" s="18"/>
      <c r="Q365" s="18"/>
      <c r="R365" s="18"/>
      <c r="S365" s="18"/>
      <c r="T365" s="18"/>
      <c r="U365" s="18"/>
      <c r="V365" s="18"/>
      <c r="W365" s="18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8" t="s">
        <v>55</v>
      </c>
      <c r="B366" s="58" t="s">
        <v>39</v>
      </c>
      <c r="C366" s="58" t="s">
        <v>41</v>
      </c>
      <c r="D366" s="58" t="s">
        <v>38</v>
      </c>
      <c r="E366" s="58" t="s">
        <v>25</v>
      </c>
      <c r="F366" s="58" t="s">
        <v>25</v>
      </c>
      <c r="G366" s="58" t="s">
        <v>25</v>
      </c>
      <c r="H366" s="58" t="s">
        <v>25</v>
      </c>
      <c r="I366" s="66">
        <v>44835</v>
      </c>
      <c r="J366" s="67">
        <f ca="1">EFEITO!$J$366*EFEITO!$Y$366</f>
        <v>8656.1369374238366</v>
      </c>
      <c r="K366" s="67">
        <f>EFEITO!$L$366*EFEITO!$Z$366</f>
        <v>0</v>
      </c>
      <c r="L366" s="67">
        <f>EFEITO!$N$366*EFEITO!$AA$366</f>
        <v>0</v>
      </c>
      <c r="M366" s="67">
        <f ca="1">$J$366-EFEITO!$K$366*EFEITO!$Y$366</f>
        <v>0</v>
      </c>
      <c r="N366" s="67">
        <f>$K$366-EFEITO!$M$366*EFEITO!$Z$366</f>
        <v>0</v>
      </c>
      <c r="O366" s="67">
        <f>$L$366-EFEITO!$O$366*EFEITO!$AA$366</f>
        <v>0</v>
      </c>
      <c r="P366" s="18"/>
      <c r="Q366" s="18"/>
      <c r="R366" s="18"/>
      <c r="S366" s="18"/>
      <c r="T366" s="18"/>
      <c r="U366" s="18"/>
      <c r="V366" s="18"/>
      <c r="W366" s="18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8" t="s">
        <v>21</v>
      </c>
      <c r="B367" s="58" t="s">
        <v>39</v>
      </c>
      <c r="C367" s="58" t="s">
        <v>41</v>
      </c>
      <c r="D367" s="58" t="s">
        <v>38</v>
      </c>
      <c r="E367" s="58" t="s">
        <v>25</v>
      </c>
      <c r="F367" s="58" t="s">
        <v>25</v>
      </c>
      <c r="G367" s="58" t="s">
        <v>25</v>
      </c>
      <c r="H367" s="58" t="s">
        <v>34</v>
      </c>
      <c r="I367" s="66">
        <v>44501</v>
      </c>
      <c r="J367" s="67">
        <f>EFEITO!$J$367*EFEITO!$Y$367</f>
        <v>0</v>
      </c>
      <c r="K367" s="67">
        <f ca="1">EFEITO!$L$367*EFEITO!$Z$367</f>
        <v>60925.383778494477</v>
      </c>
      <c r="L367" s="67">
        <f>EFEITO!$N$367*EFEITO!$AA$367</f>
        <v>22140.441381574798</v>
      </c>
      <c r="M367" s="67">
        <f>$J$367-EFEITO!$K$367*EFEITO!$Y$367</f>
        <v>0</v>
      </c>
      <c r="N367" s="67">
        <f ca="1">$K$367-EFEITO!$M$367*EFEITO!$Z$367</f>
        <v>0</v>
      </c>
      <c r="O367" s="67">
        <f>$L$367-EFEITO!$O$367*EFEITO!$AA$367</f>
        <v>0</v>
      </c>
      <c r="P367" s="18"/>
      <c r="Q367" s="18"/>
      <c r="R367" s="18"/>
      <c r="S367" s="18"/>
      <c r="T367" s="18"/>
      <c r="U367" s="18"/>
      <c r="V367" s="18"/>
      <c r="W367" s="18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8" t="s">
        <v>28</v>
      </c>
      <c r="B368" s="58" t="s">
        <v>39</v>
      </c>
      <c r="C368" s="58" t="s">
        <v>41</v>
      </c>
      <c r="D368" s="58" t="s">
        <v>38</v>
      </c>
      <c r="E368" s="58" t="s">
        <v>25</v>
      </c>
      <c r="F368" s="58" t="s">
        <v>25</v>
      </c>
      <c r="G368" s="58" t="s">
        <v>25</v>
      </c>
      <c r="H368" s="58" t="s">
        <v>34</v>
      </c>
      <c r="I368" s="66">
        <v>44501</v>
      </c>
      <c r="J368" s="67">
        <f>EFEITO!$J$368*EFEITO!$Y$368</f>
        <v>0</v>
      </c>
      <c r="K368" s="67">
        <f ca="1">EFEITO!$L$368*EFEITO!$Z$368</f>
        <v>7165.6712103525224</v>
      </c>
      <c r="L368" s="67">
        <f>EFEITO!$N$368*EFEITO!$AA$368</f>
        <v>2604.0233733980849</v>
      </c>
      <c r="M368" s="67">
        <f>$J$368-EFEITO!$K$368*EFEITO!$Y$368</f>
        <v>0</v>
      </c>
      <c r="N368" s="67">
        <f ca="1">$K$368-EFEITO!$M$368*EFEITO!$Z$368</f>
        <v>0</v>
      </c>
      <c r="O368" s="67">
        <f>$L$368-EFEITO!$O$368*EFEITO!$AA$368</f>
        <v>0</v>
      </c>
      <c r="P368" s="18"/>
      <c r="Q368" s="18"/>
      <c r="R368" s="18"/>
      <c r="S368" s="18"/>
      <c r="T368" s="18"/>
      <c r="U368" s="18"/>
      <c r="V368" s="18"/>
      <c r="W368" s="18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8" t="s">
        <v>21</v>
      </c>
      <c r="B369" s="58" t="s">
        <v>39</v>
      </c>
      <c r="C369" s="58" t="s">
        <v>41</v>
      </c>
      <c r="D369" s="58" t="s">
        <v>38</v>
      </c>
      <c r="E369" s="58" t="s">
        <v>25</v>
      </c>
      <c r="F369" s="58" t="s">
        <v>25</v>
      </c>
      <c r="G369" s="58" t="s">
        <v>25</v>
      </c>
      <c r="H369" s="58" t="s">
        <v>34</v>
      </c>
      <c r="I369" s="66">
        <v>44531</v>
      </c>
      <c r="J369" s="67">
        <f>EFEITO!$J$369*EFEITO!$Y$369</f>
        <v>0</v>
      </c>
      <c r="K369" s="67">
        <f ca="1">EFEITO!$L$369*EFEITO!$Z$369</f>
        <v>66536.028153329593</v>
      </c>
      <c r="L369" s="67">
        <f>EFEITO!$N$369*EFEITO!$AA$369</f>
        <v>24179.363997893997</v>
      </c>
      <c r="M369" s="67">
        <f>$J$369-EFEITO!$K$369*EFEITO!$Y$369</f>
        <v>0</v>
      </c>
      <c r="N369" s="67">
        <f ca="1">$K$369-EFEITO!$M$369*EFEITO!$Z$369</f>
        <v>0</v>
      </c>
      <c r="O369" s="67">
        <f>$L$369-EFEITO!$O$369*EFEITO!$AA$369</f>
        <v>0</v>
      </c>
      <c r="P369" s="18"/>
      <c r="Q369" s="18"/>
      <c r="R369" s="18"/>
      <c r="S369" s="18"/>
      <c r="T369" s="18"/>
      <c r="U369" s="18"/>
      <c r="V369" s="18"/>
      <c r="W369" s="18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8" t="s">
        <v>28</v>
      </c>
      <c r="B370" s="58" t="s">
        <v>39</v>
      </c>
      <c r="C370" s="58" t="s">
        <v>41</v>
      </c>
      <c r="D370" s="58" t="s">
        <v>38</v>
      </c>
      <c r="E370" s="58" t="s">
        <v>25</v>
      </c>
      <c r="F370" s="58" t="s">
        <v>25</v>
      </c>
      <c r="G370" s="58" t="s">
        <v>25</v>
      </c>
      <c r="H370" s="58" t="s">
        <v>34</v>
      </c>
      <c r="I370" s="66">
        <v>44531</v>
      </c>
      <c r="J370" s="67">
        <f>EFEITO!$J$370*EFEITO!$Y$370</f>
        <v>0</v>
      </c>
      <c r="K370" s="67">
        <f ca="1">EFEITO!$L$370*EFEITO!$Z$370</f>
        <v>8407.0038715580558</v>
      </c>
      <c r="L370" s="67">
        <f>EFEITO!$N$370*EFEITO!$AA$370</f>
        <v>3055.1268595965025</v>
      </c>
      <c r="M370" s="67">
        <f>$J$370-EFEITO!$K$370*EFEITO!$Y$370</f>
        <v>0</v>
      </c>
      <c r="N370" s="67">
        <f ca="1">$K$370-EFEITO!$M$370*EFEITO!$Z$370</f>
        <v>0</v>
      </c>
      <c r="O370" s="67">
        <f>$L$370-EFEITO!$O$370*EFEITO!$AA$370</f>
        <v>0</v>
      </c>
      <c r="P370" s="18"/>
      <c r="Q370" s="18"/>
      <c r="R370" s="18"/>
      <c r="S370" s="18"/>
      <c r="T370" s="18"/>
      <c r="U370" s="18"/>
      <c r="V370" s="18"/>
      <c r="W370" s="18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8" t="s">
        <v>21</v>
      </c>
      <c r="B371" s="58" t="s">
        <v>39</v>
      </c>
      <c r="C371" s="58" t="s">
        <v>41</v>
      </c>
      <c r="D371" s="58" t="s">
        <v>38</v>
      </c>
      <c r="E371" s="58" t="s">
        <v>25</v>
      </c>
      <c r="F371" s="58" t="s">
        <v>25</v>
      </c>
      <c r="G371" s="58" t="s">
        <v>25</v>
      </c>
      <c r="H371" s="58" t="s">
        <v>34</v>
      </c>
      <c r="I371" s="66">
        <v>44562</v>
      </c>
      <c r="J371" s="67">
        <f>EFEITO!$J$371*EFEITO!$Y$371</f>
        <v>0</v>
      </c>
      <c r="K371" s="67">
        <f ca="1">EFEITO!$L$371*EFEITO!$Z$371</f>
        <v>62132.359458703948</v>
      </c>
      <c r="L371" s="67">
        <f>EFEITO!$N$371*EFEITO!$AA$371</f>
        <v>22579.059452391069</v>
      </c>
      <c r="M371" s="67">
        <f>$J$371-EFEITO!$K$371*EFEITO!$Y$371</f>
        <v>0</v>
      </c>
      <c r="N371" s="67">
        <f ca="1">$K$371-EFEITO!$M$371*EFEITO!$Z$371</f>
        <v>0</v>
      </c>
      <c r="O371" s="67">
        <f>$L$371-EFEITO!$O$371*EFEITO!$AA$371</f>
        <v>0</v>
      </c>
      <c r="P371" s="18"/>
      <c r="Q371" s="18"/>
      <c r="R371" s="18"/>
      <c r="S371" s="18"/>
      <c r="T371" s="18"/>
      <c r="U371" s="18"/>
      <c r="V371" s="18"/>
      <c r="W371" s="18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8" t="s">
        <v>28</v>
      </c>
      <c r="B372" s="58" t="s">
        <v>39</v>
      </c>
      <c r="C372" s="58" t="s">
        <v>41</v>
      </c>
      <c r="D372" s="58" t="s">
        <v>38</v>
      </c>
      <c r="E372" s="58" t="s">
        <v>25</v>
      </c>
      <c r="F372" s="58" t="s">
        <v>25</v>
      </c>
      <c r="G372" s="58" t="s">
        <v>25</v>
      </c>
      <c r="H372" s="58" t="s">
        <v>34</v>
      </c>
      <c r="I372" s="66">
        <v>44562</v>
      </c>
      <c r="J372" s="67">
        <f>EFEITO!$J$372*EFEITO!$Y$372</f>
        <v>0</v>
      </c>
      <c r="K372" s="67">
        <f ca="1">EFEITO!$L$372*EFEITO!$Z$372</f>
        <v>7449.4897490156409</v>
      </c>
      <c r="L372" s="67">
        <f>EFEITO!$N$372*EFEITO!$AA$372</f>
        <v>2707.1637613375551</v>
      </c>
      <c r="M372" s="67">
        <f>$J$372-EFEITO!$K$372*EFEITO!$Y$372</f>
        <v>0</v>
      </c>
      <c r="N372" s="67">
        <f ca="1">$K$372-EFEITO!$M$372*EFEITO!$Z$372</f>
        <v>0</v>
      </c>
      <c r="O372" s="67">
        <f>$L$372-EFEITO!$O$372*EFEITO!$AA$372</f>
        <v>0</v>
      </c>
      <c r="P372" s="18"/>
      <c r="Q372" s="18"/>
      <c r="R372" s="18"/>
      <c r="S372" s="18"/>
      <c r="T372" s="18"/>
      <c r="U372" s="18"/>
      <c r="V372" s="18"/>
      <c r="W372" s="18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8" t="s">
        <v>21</v>
      </c>
      <c r="B373" s="58" t="s">
        <v>39</v>
      </c>
      <c r="C373" s="58" t="s">
        <v>41</v>
      </c>
      <c r="D373" s="58" t="s">
        <v>38</v>
      </c>
      <c r="E373" s="58" t="s">
        <v>25</v>
      </c>
      <c r="F373" s="58" t="s">
        <v>25</v>
      </c>
      <c r="G373" s="58" t="s">
        <v>25</v>
      </c>
      <c r="H373" s="58" t="s">
        <v>34</v>
      </c>
      <c r="I373" s="66">
        <v>44593</v>
      </c>
      <c r="J373" s="67">
        <f>EFEITO!$J$373*EFEITO!$Y$373</f>
        <v>0</v>
      </c>
      <c r="K373" s="67">
        <f ca="1">EFEITO!$L$373*EFEITO!$Z$373</f>
        <v>57141.634523580375</v>
      </c>
      <c r="L373" s="67">
        <f>EFEITO!$N$373*EFEITO!$AA$373</f>
        <v>20765.417157097552</v>
      </c>
      <c r="M373" s="67">
        <f>$J$373-EFEITO!$K$373*EFEITO!$Y$373</f>
        <v>0</v>
      </c>
      <c r="N373" s="67">
        <f ca="1">$K$373-EFEITO!$M$373*EFEITO!$Z$373</f>
        <v>0</v>
      </c>
      <c r="O373" s="67">
        <f>$L$373-EFEITO!$O$373*EFEITO!$AA$373</f>
        <v>0</v>
      </c>
      <c r="P373" s="18"/>
      <c r="Q373" s="18"/>
      <c r="R373" s="18"/>
      <c r="S373" s="18"/>
      <c r="T373" s="18"/>
      <c r="U373" s="18"/>
      <c r="V373" s="18"/>
      <c r="W373" s="18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8" t="s">
        <v>28</v>
      </c>
      <c r="B374" s="58" t="s">
        <v>39</v>
      </c>
      <c r="C374" s="58" t="s">
        <v>41</v>
      </c>
      <c r="D374" s="58" t="s">
        <v>38</v>
      </c>
      <c r="E374" s="58" t="s">
        <v>25</v>
      </c>
      <c r="F374" s="58" t="s">
        <v>25</v>
      </c>
      <c r="G374" s="58" t="s">
        <v>25</v>
      </c>
      <c r="H374" s="58" t="s">
        <v>34</v>
      </c>
      <c r="I374" s="66">
        <v>44593</v>
      </c>
      <c r="J374" s="67">
        <f>EFEITO!$J$374*EFEITO!$Y$374</f>
        <v>0</v>
      </c>
      <c r="K374" s="67">
        <f ca="1">EFEITO!$L$374*EFEITO!$Z$374</f>
        <v>7952.8942096970668</v>
      </c>
      <c r="L374" s="67">
        <f>EFEITO!$N$374*EFEITO!$AA$374</f>
        <v>2890.1022388933511</v>
      </c>
      <c r="M374" s="67">
        <f>$J$374-EFEITO!$K$374*EFEITO!$Y$374</f>
        <v>0</v>
      </c>
      <c r="N374" s="67">
        <f ca="1">$K$374-EFEITO!$M$374*EFEITO!$Z$374</f>
        <v>0</v>
      </c>
      <c r="O374" s="67">
        <f>$L$374-EFEITO!$O$374*EFEITO!$AA$374</f>
        <v>0</v>
      </c>
      <c r="P374" s="18"/>
      <c r="Q374" s="18"/>
      <c r="R374" s="18"/>
      <c r="S374" s="18"/>
      <c r="T374" s="18"/>
      <c r="U374" s="18"/>
      <c r="V374" s="18"/>
      <c r="W374" s="18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8" t="s">
        <v>21</v>
      </c>
      <c r="B375" s="58" t="s">
        <v>39</v>
      </c>
      <c r="C375" s="58" t="s">
        <v>41</v>
      </c>
      <c r="D375" s="58" t="s">
        <v>38</v>
      </c>
      <c r="E375" s="58" t="s">
        <v>25</v>
      </c>
      <c r="F375" s="58" t="s">
        <v>25</v>
      </c>
      <c r="G375" s="58" t="s">
        <v>25</v>
      </c>
      <c r="H375" s="58" t="s">
        <v>34</v>
      </c>
      <c r="I375" s="66">
        <v>44621</v>
      </c>
      <c r="J375" s="67">
        <f>EFEITO!$J$375*EFEITO!$Y$375</f>
        <v>0</v>
      </c>
      <c r="K375" s="67">
        <f ca="1">EFEITO!$L$375*EFEITO!$Z$375</f>
        <v>67096.196321743642</v>
      </c>
      <c r="L375" s="67">
        <f>EFEITO!$N$375*EFEITO!$AA$375</f>
        <v>24382.930553037688</v>
      </c>
      <c r="M375" s="67">
        <f>$J$375-EFEITO!$K$375*EFEITO!$Y$375</f>
        <v>0</v>
      </c>
      <c r="N375" s="67">
        <f ca="1">$K$375-EFEITO!$M$375*EFEITO!$Z$375</f>
        <v>0</v>
      </c>
      <c r="O375" s="67">
        <f>$L$375-EFEITO!$O$375*EFEITO!$AA$375</f>
        <v>0</v>
      </c>
      <c r="P375" s="18"/>
      <c r="Q375" s="18"/>
      <c r="R375" s="18"/>
      <c r="S375" s="18"/>
      <c r="T375" s="18"/>
      <c r="U375" s="18"/>
      <c r="V375" s="18"/>
      <c r="W375" s="18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8" t="s">
        <v>28</v>
      </c>
      <c r="B376" s="58" t="s">
        <v>39</v>
      </c>
      <c r="C376" s="58" t="s">
        <v>41</v>
      </c>
      <c r="D376" s="58" t="s">
        <v>38</v>
      </c>
      <c r="E376" s="58" t="s">
        <v>25</v>
      </c>
      <c r="F376" s="58" t="s">
        <v>25</v>
      </c>
      <c r="G376" s="58" t="s">
        <v>25</v>
      </c>
      <c r="H376" s="58" t="s">
        <v>34</v>
      </c>
      <c r="I376" s="66">
        <v>44621</v>
      </c>
      <c r="J376" s="67">
        <f>EFEITO!$J$376*EFEITO!$Y$376</f>
        <v>0</v>
      </c>
      <c r="K376" s="67">
        <f ca="1">EFEITO!$L$376*EFEITO!$Z$376</f>
        <v>8759.5363722132988</v>
      </c>
      <c r="L376" s="67">
        <f>EFEITO!$N$376*EFEITO!$AA$376</f>
        <v>3183.238078300265</v>
      </c>
      <c r="M376" s="67">
        <f>$J$376-EFEITO!$K$376*EFEITO!$Y$376</f>
        <v>0</v>
      </c>
      <c r="N376" s="67">
        <f ca="1">$K$376-EFEITO!$M$376*EFEITO!$Z$376</f>
        <v>0</v>
      </c>
      <c r="O376" s="67">
        <f>$L$376-EFEITO!$O$376*EFEITO!$AA$376</f>
        <v>0</v>
      </c>
      <c r="P376" s="18"/>
      <c r="Q376" s="18"/>
      <c r="R376" s="18"/>
      <c r="S376" s="18"/>
      <c r="T376" s="18"/>
      <c r="U376" s="18"/>
      <c r="V376" s="18"/>
      <c r="W376" s="18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8" t="s">
        <v>21</v>
      </c>
      <c r="B377" s="58" t="s">
        <v>39</v>
      </c>
      <c r="C377" s="58" t="s">
        <v>41</v>
      </c>
      <c r="D377" s="58" t="s">
        <v>38</v>
      </c>
      <c r="E377" s="58" t="s">
        <v>25</v>
      </c>
      <c r="F377" s="58" t="s">
        <v>25</v>
      </c>
      <c r="G377" s="58" t="s">
        <v>25</v>
      </c>
      <c r="H377" s="58" t="s">
        <v>34</v>
      </c>
      <c r="I377" s="66">
        <v>44652</v>
      </c>
      <c r="J377" s="67">
        <f>EFEITO!$J$377*EFEITO!$Y$377</f>
        <v>0</v>
      </c>
      <c r="K377" s="67">
        <f ca="1">EFEITO!$L$377*EFEITO!$Z$377</f>
        <v>67096.196321743642</v>
      </c>
      <c r="L377" s="67">
        <f>EFEITO!$N$377*EFEITO!$AA$377</f>
        <v>24382.930553037688</v>
      </c>
      <c r="M377" s="67">
        <f>$J$377-EFEITO!$K$377*EFEITO!$Y$377</f>
        <v>0</v>
      </c>
      <c r="N377" s="67">
        <f ca="1">$K$377-EFEITO!$M$377*EFEITO!$Z$377</f>
        <v>0</v>
      </c>
      <c r="O377" s="67">
        <f>$L$377-EFEITO!$O$377*EFEITO!$AA$377</f>
        <v>0</v>
      </c>
      <c r="P377" s="18"/>
      <c r="Q377" s="18"/>
      <c r="R377" s="18"/>
      <c r="S377" s="18"/>
      <c r="T377" s="18"/>
      <c r="U377" s="18"/>
      <c r="V377" s="18"/>
      <c r="W377" s="18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8" t="s">
        <v>28</v>
      </c>
      <c r="B378" s="58" t="s">
        <v>39</v>
      </c>
      <c r="C378" s="58" t="s">
        <v>41</v>
      </c>
      <c r="D378" s="58" t="s">
        <v>38</v>
      </c>
      <c r="E378" s="58" t="s">
        <v>25</v>
      </c>
      <c r="F378" s="58" t="s">
        <v>25</v>
      </c>
      <c r="G378" s="58" t="s">
        <v>25</v>
      </c>
      <c r="H378" s="58" t="s">
        <v>34</v>
      </c>
      <c r="I378" s="66">
        <v>44652</v>
      </c>
      <c r="J378" s="67">
        <f>EFEITO!$J$378*EFEITO!$Y$378</f>
        <v>0</v>
      </c>
      <c r="K378" s="67">
        <f ca="1">EFEITO!$L$378*EFEITO!$Z$378</f>
        <v>8759.5363722132988</v>
      </c>
      <c r="L378" s="67">
        <f>EFEITO!$N$378*EFEITO!$AA$378</f>
        <v>3183.238078300265</v>
      </c>
      <c r="M378" s="67">
        <f>$J$378-EFEITO!$K$378*EFEITO!$Y$378</f>
        <v>0</v>
      </c>
      <c r="N378" s="67">
        <f ca="1">$K$378-EFEITO!$M$378*EFEITO!$Z$378</f>
        <v>0</v>
      </c>
      <c r="O378" s="67">
        <f>$L$378-EFEITO!$O$378*EFEITO!$AA$378</f>
        <v>0</v>
      </c>
      <c r="P378" s="18"/>
      <c r="Q378" s="18"/>
      <c r="R378" s="18"/>
      <c r="S378" s="18"/>
      <c r="T378" s="18"/>
      <c r="U378" s="18"/>
      <c r="V378" s="18"/>
      <c r="W378" s="18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8" t="s">
        <v>21</v>
      </c>
      <c r="B379" s="58" t="s">
        <v>39</v>
      </c>
      <c r="C379" s="58" t="s">
        <v>41</v>
      </c>
      <c r="D379" s="58" t="s">
        <v>38</v>
      </c>
      <c r="E379" s="58" t="s">
        <v>25</v>
      </c>
      <c r="F379" s="58" t="s">
        <v>25</v>
      </c>
      <c r="G379" s="58" t="s">
        <v>25</v>
      </c>
      <c r="H379" s="58" t="s">
        <v>34</v>
      </c>
      <c r="I379" s="66">
        <v>44682</v>
      </c>
      <c r="J379" s="67">
        <f>EFEITO!$J$379*EFEITO!$Y$379</f>
        <v>0</v>
      </c>
      <c r="K379" s="67">
        <f ca="1">EFEITO!$L$379*EFEITO!$Z$379</f>
        <v>56444.038431182074</v>
      </c>
      <c r="L379" s="67">
        <f>EFEITO!$N$379*EFEITO!$AA$379</f>
        <v>20511.908940425277</v>
      </c>
      <c r="M379" s="67">
        <f>$J$379-EFEITO!$K$379*EFEITO!$Y$379</f>
        <v>0</v>
      </c>
      <c r="N379" s="67">
        <f ca="1">$K$379-EFEITO!$M$379*EFEITO!$Z$379</f>
        <v>0</v>
      </c>
      <c r="O379" s="67">
        <f>$L$379-EFEITO!$O$379*EFEITO!$AA$379</f>
        <v>0</v>
      </c>
      <c r="P379" s="18"/>
      <c r="Q379" s="18"/>
      <c r="R379" s="18"/>
      <c r="S379" s="18"/>
      <c r="T379" s="18"/>
      <c r="U379" s="18"/>
      <c r="V379" s="18"/>
      <c r="W379" s="18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8" t="s">
        <v>27</v>
      </c>
      <c r="B380" s="58" t="s">
        <v>39</v>
      </c>
      <c r="C380" s="58" t="s">
        <v>41</v>
      </c>
      <c r="D380" s="58" t="s">
        <v>38</v>
      </c>
      <c r="E380" s="58" t="s">
        <v>25</v>
      </c>
      <c r="F380" s="58" t="s">
        <v>25</v>
      </c>
      <c r="G380" s="58" t="s">
        <v>25</v>
      </c>
      <c r="H380" s="58" t="s">
        <v>34</v>
      </c>
      <c r="I380" s="66">
        <v>44682</v>
      </c>
      <c r="J380" s="67">
        <f>EFEITO!$J$380*EFEITO!$Y$380</f>
        <v>0</v>
      </c>
      <c r="K380" s="67">
        <f ca="1">EFEITO!$L$380*EFEITO!$Z$380</f>
        <v>83.651779816498077</v>
      </c>
      <c r="L380" s="67">
        <f>EFEITO!$N$380*EFEITO!$AA$380</f>
        <v>30.399272234791074</v>
      </c>
      <c r="M380" s="67">
        <f>$J$380-EFEITO!$K$380*EFEITO!$Y$380</f>
        <v>0</v>
      </c>
      <c r="N380" s="67">
        <f ca="1">$K$380-EFEITO!$M$380*EFEITO!$Z$380</f>
        <v>0</v>
      </c>
      <c r="O380" s="67">
        <f>$L$380-EFEITO!$O$380*EFEITO!$AA$380</f>
        <v>0</v>
      </c>
      <c r="P380" s="18"/>
      <c r="Q380" s="18"/>
      <c r="R380" s="18"/>
      <c r="S380" s="18"/>
      <c r="T380" s="18"/>
      <c r="U380" s="18"/>
      <c r="V380" s="18"/>
      <c r="W380" s="18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8" t="s">
        <v>28</v>
      </c>
      <c r="B381" s="58" t="s">
        <v>39</v>
      </c>
      <c r="C381" s="58" t="s">
        <v>41</v>
      </c>
      <c r="D381" s="58" t="s">
        <v>38</v>
      </c>
      <c r="E381" s="58" t="s">
        <v>25</v>
      </c>
      <c r="F381" s="58" t="s">
        <v>25</v>
      </c>
      <c r="G381" s="58" t="s">
        <v>25</v>
      </c>
      <c r="H381" s="58" t="s">
        <v>34</v>
      </c>
      <c r="I381" s="66">
        <v>44682</v>
      </c>
      <c r="J381" s="67">
        <f>EFEITO!$J$381*EFEITO!$Y$381</f>
        <v>0</v>
      </c>
      <c r="K381" s="67">
        <f ca="1">EFEITO!$L$381*EFEITO!$Z$381</f>
        <v>35289.100828302682</v>
      </c>
      <c r="L381" s="67">
        <f>EFEITO!$N$381*EFEITO!$AA$381</f>
        <v>12824.150129905433</v>
      </c>
      <c r="M381" s="67">
        <f>$J$381-EFEITO!$K$381*EFEITO!$Y$381</f>
        <v>0</v>
      </c>
      <c r="N381" s="67">
        <f ca="1">$K$381-EFEITO!$M$381*EFEITO!$Z$381</f>
        <v>0</v>
      </c>
      <c r="O381" s="67">
        <f>$L$381-EFEITO!$O$381*EFEITO!$AA$381</f>
        <v>0</v>
      </c>
      <c r="P381" s="18"/>
      <c r="Q381" s="18"/>
      <c r="R381" s="18"/>
      <c r="S381" s="18"/>
      <c r="T381" s="18"/>
      <c r="U381" s="18"/>
      <c r="V381" s="18"/>
      <c r="W381" s="18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8" t="s">
        <v>21</v>
      </c>
      <c r="B382" s="58" t="s">
        <v>39</v>
      </c>
      <c r="C382" s="58" t="s">
        <v>41</v>
      </c>
      <c r="D382" s="58" t="s">
        <v>38</v>
      </c>
      <c r="E382" s="58" t="s">
        <v>25</v>
      </c>
      <c r="F382" s="58" t="s">
        <v>25</v>
      </c>
      <c r="G382" s="58" t="s">
        <v>25</v>
      </c>
      <c r="H382" s="58" t="s">
        <v>34</v>
      </c>
      <c r="I382" s="66">
        <v>44713</v>
      </c>
      <c r="J382" s="67">
        <f>EFEITO!$J$382*EFEITO!$Y$382</f>
        <v>0</v>
      </c>
      <c r="K382" s="67">
        <f ca="1">EFEITO!$L$382*EFEITO!$Z$382</f>
        <v>63290.040340092979</v>
      </c>
      <c r="L382" s="67">
        <f>EFEITO!$N$382*EFEITO!$AA$382</f>
        <v>22999.763666354695</v>
      </c>
      <c r="M382" s="67">
        <f>$J$382-EFEITO!$K$382*EFEITO!$Y$382</f>
        <v>0</v>
      </c>
      <c r="N382" s="67">
        <f ca="1">$K$382-EFEITO!$M$382*EFEITO!$Z$382</f>
        <v>0</v>
      </c>
      <c r="O382" s="67">
        <f>$L$382-EFEITO!$O$382*EFEITO!$AA$382</f>
        <v>0</v>
      </c>
      <c r="P382" s="18"/>
      <c r="Q382" s="18"/>
      <c r="R382" s="18"/>
      <c r="S382" s="18"/>
      <c r="T382" s="18"/>
      <c r="U382" s="18"/>
      <c r="V382" s="18"/>
      <c r="W382" s="18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8" t="s">
        <v>28</v>
      </c>
      <c r="B383" s="58" t="s">
        <v>39</v>
      </c>
      <c r="C383" s="58" t="s">
        <v>41</v>
      </c>
      <c r="D383" s="58" t="s">
        <v>38</v>
      </c>
      <c r="E383" s="58" t="s">
        <v>25</v>
      </c>
      <c r="F383" s="58" t="s">
        <v>25</v>
      </c>
      <c r="G383" s="58" t="s">
        <v>25</v>
      </c>
      <c r="H383" s="58" t="s">
        <v>34</v>
      </c>
      <c r="I383" s="66">
        <v>44713</v>
      </c>
      <c r="J383" s="67">
        <f>EFEITO!$J$383*EFEITO!$Y$383</f>
        <v>0</v>
      </c>
      <c r="K383" s="67">
        <f ca="1">EFEITO!$L$383*EFEITO!$Z$383</f>
        <v>8429.4105982946185</v>
      </c>
      <c r="L383" s="67">
        <f>EFEITO!$N$383*EFEITO!$AA$383</f>
        <v>3063.26952180225</v>
      </c>
      <c r="M383" s="67">
        <f>$J$383-EFEITO!$K$383*EFEITO!$Y$383</f>
        <v>0</v>
      </c>
      <c r="N383" s="67">
        <f ca="1">$K$383-EFEITO!$M$383*EFEITO!$Z$383</f>
        <v>0</v>
      </c>
      <c r="O383" s="67">
        <f>$L$383-EFEITO!$O$383*EFEITO!$AA$383</f>
        <v>0</v>
      </c>
      <c r="P383" s="18"/>
      <c r="Q383" s="18"/>
      <c r="R383" s="18"/>
      <c r="S383" s="18"/>
      <c r="T383" s="18"/>
      <c r="U383" s="18"/>
      <c r="V383" s="18"/>
      <c r="W383" s="18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8" t="s">
        <v>21</v>
      </c>
      <c r="B384" s="58" t="s">
        <v>39</v>
      </c>
      <c r="C384" s="58" t="s">
        <v>41</v>
      </c>
      <c r="D384" s="58" t="s">
        <v>38</v>
      </c>
      <c r="E384" s="58" t="s">
        <v>25</v>
      </c>
      <c r="F384" s="58" t="s">
        <v>25</v>
      </c>
      <c r="G384" s="58" t="s">
        <v>25</v>
      </c>
      <c r="H384" s="58" t="s">
        <v>34</v>
      </c>
      <c r="I384" s="66">
        <v>44743</v>
      </c>
      <c r="J384" s="67">
        <f>EFEITO!$J$384*EFEITO!$Y$384</f>
        <v>0</v>
      </c>
      <c r="K384" s="67">
        <f ca="1">EFEITO!$L$384*EFEITO!$Z$384</f>
        <v>61268.953588455086</v>
      </c>
      <c r="L384" s="67">
        <f>EFEITO!$N$384*EFEITO!$AA$384</f>
        <v>22265.295535396261</v>
      </c>
      <c r="M384" s="67">
        <f>$J$384-EFEITO!$K$384*EFEITO!$Y$384</f>
        <v>0</v>
      </c>
      <c r="N384" s="67">
        <f ca="1">$K$384-EFEITO!$M$384*EFEITO!$Z$384</f>
        <v>0</v>
      </c>
      <c r="O384" s="67">
        <f>$L$384-EFEITO!$O$384*EFEITO!$AA$384</f>
        <v>0</v>
      </c>
      <c r="P384" s="18"/>
      <c r="Q384" s="18"/>
      <c r="R384" s="18"/>
      <c r="S384" s="18"/>
      <c r="T384" s="18"/>
      <c r="U384" s="18"/>
      <c r="V384" s="18"/>
      <c r="W384" s="18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8" t="s">
        <v>28</v>
      </c>
      <c r="B385" s="58" t="s">
        <v>39</v>
      </c>
      <c r="C385" s="58" t="s">
        <v>41</v>
      </c>
      <c r="D385" s="58" t="s">
        <v>38</v>
      </c>
      <c r="E385" s="58" t="s">
        <v>25</v>
      </c>
      <c r="F385" s="58" t="s">
        <v>25</v>
      </c>
      <c r="G385" s="58" t="s">
        <v>25</v>
      </c>
      <c r="H385" s="58" t="s">
        <v>34</v>
      </c>
      <c r="I385" s="66">
        <v>44743</v>
      </c>
      <c r="J385" s="67">
        <f>EFEITO!$J$385*EFEITO!$Y$385</f>
        <v>0</v>
      </c>
      <c r="K385" s="67">
        <f ca="1">EFEITO!$L$385*EFEITO!$Z$385</f>
        <v>8412.9789986878059</v>
      </c>
      <c r="L385" s="67">
        <f>EFEITO!$N$385*EFEITO!$AA$385</f>
        <v>3057.2982361847016</v>
      </c>
      <c r="M385" s="67">
        <f>$J$385-EFEITO!$K$385*EFEITO!$Y$385</f>
        <v>0</v>
      </c>
      <c r="N385" s="67">
        <f ca="1">$K$385-EFEITO!$M$385*EFEITO!$Z$385</f>
        <v>0</v>
      </c>
      <c r="O385" s="67">
        <f>$L$385-EFEITO!$O$385*EFEITO!$AA$385</f>
        <v>0</v>
      </c>
      <c r="P385" s="18"/>
      <c r="Q385" s="18"/>
      <c r="R385" s="18"/>
      <c r="S385" s="18"/>
      <c r="T385" s="18"/>
      <c r="U385" s="18"/>
      <c r="V385" s="18"/>
      <c r="W385" s="18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8" t="s">
        <v>21</v>
      </c>
      <c r="B386" s="58" t="s">
        <v>39</v>
      </c>
      <c r="C386" s="58" t="s">
        <v>41</v>
      </c>
      <c r="D386" s="58" t="s">
        <v>38</v>
      </c>
      <c r="E386" s="58" t="s">
        <v>25</v>
      </c>
      <c r="F386" s="58" t="s">
        <v>25</v>
      </c>
      <c r="G386" s="58" t="s">
        <v>25</v>
      </c>
      <c r="H386" s="58" t="s">
        <v>34</v>
      </c>
      <c r="I386" s="66">
        <v>44774</v>
      </c>
      <c r="J386" s="67">
        <f>EFEITO!$J$386*EFEITO!$Y$386</f>
        <v>0</v>
      </c>
      <c r="K386" s="67">
        <f ca="1">EFEITO!$L$386*EFEITO!$Z$386</f>
        <v>78622.216555031133</v>
      </c>
      <c r="L386" s="67">
        <f>EFEITO!$N$386*EFEITO!$AA$386</f>
        <v>28571.51599167426</v>
      </c>
      <c r="M386" s="67">
        <f>$J$386-EFEITO!$K$386*EFEITO!$Y$386</f>
        <v>0</v>
      </c>
      <c r="N386" s="67">
        <f ca="1">$K$386-EFEITO!$M$386*EFEITO!$Z$386</f>
        <v>0</v>
      </c>
      <c r="O386" s="67">
        <f>$L$386-EFEITO!$O$386*EFEITO!$AA$386</f>
        <v>0</v>
      </c>
      <c r="P386" s="18"/>
      <c r="Q386" s="18"/>
      <c r="R386" s="18"/>
      <c r="S386" s="18"/>
      <c r="T386" s="18"/>
      <c r="U386" s="18"/>
      <c r="V386" s="18"/>
      <c r="W386" s="18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8" t="s">
        <v>28</v>
      </c>
      <c r="B387" s="58" t="s">
        <v>39</v>
      </c>
      <c r="C387" s="58" t="s">
        <v>41</v>
      </c>
      <c r="D387" s="58" t="s">
        <v>38</v>
      </c>
      <c r="E387" s="58" t="s">
        <v>25</v>
      </c>
      <c r="F387" s="58" t="s">
        <v>25</v>
      </c>
      <c r="G387" s="58" t="s">
        <v>25</v>
      </c>
      <c r="H387" s="58" t="s">
        <v>34</v>
      </c>
      <c r="I387" s="66">
        <v>44774</v>
      </c>
      <c r="J387" s="67">
        <f>EFEITO!$J$387*EFEITO!$Y$387</f>
        <v>0</v>
      </c>
      <c r="K387" s="67">
        <f ca="1">EFEITO!$L$387*EFEITO!$Z$387</f>
        <v>9168.8325806011635</v>
      </c>
      <c r="L387" s="67">
        <f>EFEITO!$N$387*EFEITO!$AA$387</f>
        <v>3331.9773745919215</v>
      </c>
      <c r="M387" s="67">
        <f>$J$387-EFEITO!$K$387*EFEITO!$Y$387</f>
        <v>0</v>
      </c>
      <c r="N387" s="67">
        <f ca="1">$K$387-EFEITO!$M$387*EFEITO!$Z$387</f>
        <v>0</v>
      </c>
      <c r="O387" s="67">
        <f>$L$387-EFEITO!$O$387*EFEITO!$AA$387</f>
        <v>0</v>
      </c>
      <c r="P387" s="18"/>
      <c r="Q387" s="18"/>
      <c r="R387" s="18"/>
      <c r="S387" s="18"/>
      <c r="T387" s="18"/>
      <c r="U387" s="18"/>
      <c r="V387" s="18"/>
      <c r="W387" s="18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8" t="s">
        <v>21</v>
      </c>
      <c r="B388" s="58" t="s">
        <v>39</v>
      </c>
      <c r="C388" s="58" t="s">
        <v>41</v>
      </c>
      <c r="D388" s="58" t="s">
        <v>38</v>
      </c>
      <c r="E388" s="58" t="s">
        <v>25</v>
      </c>
      <c r="F388" s="58" t="s">
        <v>25</v>
      </c>
      <c r="G388" s="58" t="s">
        <v>25</v>
      </c>
      <c r="H388" s="58" t="s">
        <v>34</v>
      </c>
      <c r="I388" s="66">
        <v>44805</v>
      </c>
      <c r="J388" s="67">
        <f>EFEITO!$J$388*EFEITO!$Y$388</f>
        <v>0</v>
      </c>
      <c r="K388" s="67">
        <f ca="1">EFEITO!$L$388*EFEITO!$Z$388</f>
        <v>66775.03323851958</v>
      </c>
      <c r="L388" s="67">
        <f>EFEITO!$N$388*EFEITO!$AA$388</f>
        <v>24266.219061421973</v>
      </c>
      <c r="M388" s="67">
        <f>$J$388-EFEITO!$K$388*EFEITO!$Y$388</f>
        <v>0</v>
      </c>
      <c r="N388" s="67">
        <f ca="1">$K$388-EFEITO!$M$388*EFEITO!$Z$388</f>
        <v>0</v>
      </c>
      <c r="O388" s="67">
        <f>$L$388-EFEITO!$O$388*EFEITO!$AA$388</f>
        <v>0</v>
      </c>
      <c r="P388" s="18"/>
      <c r="Q388" s="18"/>
      <c r="R388" s="18"/>
      <c r="S388" s="18"/>
      <c r="T388" s="18"/>
      <c r="U388" s="18"/>
      <c r="V388" s="18"/>
      <c r="W388" s="18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8" t="s">
        <v>28</v>
      </c>
      <c r="B389" s="58" t="s">
        <v>39</v>
      </c>
      <c r="C389" s="58" t="s">
        <v>41</v>
      </c>
      <c r="D389" s="58" t="s">
        <v>38</v>
      </c>
      <c r="E389" s="58" t="s">
        <v>25</v>
      </c>
      <c r="F389" s="58" t="s">
        <v>25</v>
      </c>
      <c r="G389" s="58" t="s">
        <v>25</v>
      </c>
      <c r="H389" s="58" t="s">
        <v>34</v>
      </c>
      <c r="I389" s="66">
        <v>44805</v>
      </c>
      <c r="J389" s="67">
        <f>EFEITO!$J$389*EFEITO!$Y$389</f>
        <v>0</v>
      </c>
      <c r="K389" s="67">
        <f ca="1">EFEITO!$L$389*EFEITO!$Z$389</f>
        <v>10153.234775227453</v>
      </c>
      <c r="L389" s="67">
        <f>EFEITO!$N$389*EFEITO!$AA$389</f>
        <v>3689.711667497766</v>
      </c>
      <c r="M389" s="67">
        <f>$J$389-EFEITO!$K$389*EFEITO!$Y$389</f>
        <v>0</v>
      </c>
      <c r="N389" s="67">
        <f ca="1">$K$389-EFEITO!$M$389*EFEITO!$Z$389</f>
        <v>0</v>
      </c>
      <c r="O389" s="67">
        <f>$L$389-EFEITO!$O$389*EFEITO!$AA$389</f>
        <v>0</v>
      </c>
      <c r="P389" s="18"/>
      <c r="Q389" s="18"/>
      <c r="R389" s="18"/>
      <c r="S389" s="18"/>
      <c r="T389" s="18"/>
      <c r="U389" s="18"/>
      <c r="V389" s="18"/>
      <c r="W389" s="18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8" t="s">
        <v>55</v>
      </c>
      <c r="B390" s="58" t="s">
        <v>39</v>
      </c>
      <c r="C390" s="58" t="s">
        <v>41</v>
      </c>
      <c r="D390" s="58" t="s">
        <v>38</v>
      </c>
      <c r="E390" s="58" t="s">
        <v>25</v>
      </c>
      <c r="F390" s="58" t="s">
        <v>25</v>
      </c>
      <c r="G390" s="58" t="s">
        <v>25</v>
      </c>
      <c r="H390" s="58" t="s">
        <v>34</v>
      </c>
      <c r="I390" s="66">
        <v>44835</v>
      </c>
      <c r="J390" s="67">
        <f>EFEITO!$J$390*EFEITO!$Y$390</f>
        <v>0</v>
      </c>
      <c r="K390" s="67">
        <f ca="1">EFEITO!$L$390*EFEITO!$Z$390</f>
        <v>66775.03323851958</v>
      </c>
      <c r="L390" s="67">
        <f>EFEITO!$N$390*EFEITO!$AA$390</f>
        <v>24266.219061421973</v>
      </c>
      <c r="M390" s="67">
        <f>$J$390-EFEITO!$K$390*EFEITO!$Y$390</f>
        <v>0</v>
      </c>
      <c r="N390" s="67">
        <f ca="1">$K$390-EFEITO!$M$390*EFEITO!$Z$390</f>
        <v>0</v>
      </c>
      <c r="O390" s="67">
        <f>$L$390-EFEITO!$O$390*EFEITO!$AA$390</f>
        <v>0</v>
      </c>
      <c r="P390" s="18"/>
      <c r="Q390" s="18"/>
      <c r="R390" s="18"/>
      <c r="S390" s="18"/>
      <c r="T390" s="18"/>
      <c r="U390" s="18"/>
      <c r="V390" s="18"/>
      <c r="W390" s="18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8" t="s">
        <v>55</v>
      </c>
      <c r="B391" s="58" t="s">
        <v>39</v>
      </c>
      <c r="C391" s="58" t="s">
        <v>41</v>
      </c>
      <c r="D391" s="58" t="s">
        <v>38</v>
      </c>
      <c r="E391" s="58" t="s">
        <v>25</v>
      </c>
      <c r="F391" s="58" t="s">
        <v>25</v>
      </c>
      <c r="G391" s="58" t="s">
        <v>25</v>
      </c>
      <c r="H391" s="58" t="s">
        <v>34</v>
      </c>
      <c r="I391" s="66">
        <v>44835</v>
      </c>
      <c r="J391" s="67">
        <f>EFEITO!$J$391*EFEITO!$Y$391</f>
        <v>0</v>
      </c>
      <c r="K391" s="67">
        <f ca="1">EFEITO!$L$391*EFEITO!$Z$391</f>
        <v>10153.234775227453</v>
      </c>
      <c r="L391" s="67">
        <f>EFEITO!$N$391*EFEITO!$AA$391</f>
        <v>3689.711667497766</v>
      </c>
      <c r="M391" s="67">
        <f>$J$391-EFEITO!$K$391*EFEITO!$Y$391</f>
        <v>0</v>
      </c>
      <c r="N391" s="67">
        <f ca="1">$K$391-EFEITO!$M$391*EFEITO!$Z$391</f>
        <v>0</v>
      </c>
      <c r="O391" s="67">
        <f>$L$391-EFEITO!$O$391*EFEITO!$AA$391</f>
        <v>0</v>
      </c>
      <c r="P391" s="18"/>
      <c r="Q391" s="18"/>
      <c r="R391" s="18"/>
      <c r="S391" s="18"/>
      <c r="T391" s="18"/>
      <c r="U391" s="18"/>
      <c r="V391" s="18"/>
      <c r="W391" s="18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8" t="s">
        <v>21</v>
      </c>
      <c r="B392" s="58" t="s">
        <v>39</v>
      </c>
      <c r="C392" s="58" t="s">
        <v>41</v>
      </c>
      <c r="D392" s="58" t="s">
        <v>45</v>
      </c>
      <c r="E392" s="58" t="s">
        <v>25</v>
      </c>
      <c r="F392" s="58" t="s">
        <v>25</v>
      </c>
      <c r="G392" s="58" t="s">
        <v>25</v>
      </c>
      <c r="H392" s="58" t="s">
        <v>35</v>
      </c>
      <c r="I392" s="66">
        <v>44501</v>
      </c>
      <c r="J392" s="67">
        <f>EFEITO!$J$392*EFEITO!$Y$392</f>
        <v>0</v>
      </c>
      <c r="K392" s="67">
        <f ca="1">EFEITO!$L$392*EFEITO!$Z$392</f>
        <v>428807.40762994438</v>
      </c>
      <c r="L392" s="67">
        <f>EFEITO!$N$392*EFEITO!$AA$392</f>
        <v>1243564.0249660902</v>
      </c>
      <c r="M392" s="67">
        <f>$J$392-EFEITO!$K$392*EFEITO!$Y$392</f>
        <v>0</v>
      </c>
      <c r="N392" s="67">
        <f ca="1">$K$392-EFEITO!$M$392*EFEITO!$Z$392</f>
        <v>0</v>
      </c>
      <c r="O392" s="67">
        <f>$L$392-EFEITO!$O$392*EFEITO!$AA$392</f>
        <v>0</v>
      </c>
      <c r="P392" s="18"/>
      <c r="Q392" s="18"/>
      <c r="R392" s="18"/>
      <c r="S392" s="18"/>
      <c r="T392" s="18"/>
      <c r="U392" s="18"/>
      <c r="V392" s="18"/>
      <c r="W392" s="18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8" t="s">
        <v>27</v>
      </c>
      <c r="B393" s="58" t="s">
        <v>39</v>
      </c>
      <c r="C393" s="58" t="s">
        <v>41</v>
      </c>
      <c r="D393" s="58" t="s">
        <v>45</v>
      </c>
      <c r="E393" s="58" t="s">
        <v>25</v>
      </c>
      <c r="F393" s="58" t="s">
        <v>25</v>
      </c>
      <c r="G393" s="58" t="s">
        <v>25</v>
      </c>
      <c r="H393" s="58" t="s">
        <v>35</v>
      </c>
      <c r="I393" s="66">
        <v>44501</v>
      </c>
      <c r="J393" s="67">
        <f>EFEITO!$J$393*EFEITO!$Y$393</f>
        <v>0</v>
      </c>
      <c r="K393" s="67">
        <f ca="1">EFEITO!$L$393*EFEITO!$Z$393</f>
        <v>1295.1362110082121</v>
      </c>
      <c r="L393" s="67">
        <f>EFEITO!$N$393*EFEITO!$AA$393</f>
        <v>3755.9630985447411</v>
      </c>
      <c r="M393" s="67">
        <f>$J$393-EFEITO!$K$393*EFEITO!$Y$393</f>
        <v>0</v>
      </c>
      <c r="N393" s="67">
        <f ca="1">$K$393-EFEITO!$M$393*EFEITO!$Z$393</f>
        <v>0</v>
      </c>
      <c r="O393" s="67">
        <f>$L$393-EFEITO!$O$393*EFEITO!$AA$393</f>
        <v>0</v>
      </c>
      <c r="P393" s="18"/>
      <c r="Q393" s="18"/>
      <c r="R393" s="18"/>
      <c r="S393" s="18"/>
      <c r="T393" s="18"/>
      <c r="U393" s="18"/>
      <c r="V393" s="18"/>
      <c r="W393" s="18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8" t="s">
        <v>28</v>
      </c>
      <c r="B394" s="58" t="s">
        <v>39</v>
      </c>
      <c r="C394" s="58" t="s">
        <v>41</v>
      </c>
      <c r="D394" s="58" t="s">
        <v>45</v>
      </c>
      <c r="E394" s="58" t="s">
        <v>25</v>
      </c>
      <c r="F394" s="58" t="s">
        <v>25</v>
      </c>
      <c r="G394" s="58" t="s">
        <v>25</v>
      </c>
      <c r="H394" s="58" t="s">
        <v>35</v>
      </c>
      <c r="I394" s="66">
        <v>44501</v>
      </c>
      <c r="J394" s="67">
        <f>EFEITO!$J$394*EFEITO!$Y$394</f>
        <v>0</v>
      </c>
      <c r="K394" s="67">
        <f ca="1">EFEITO!$L$394*EFEITO!$Z$394</f>
        <v>117299.46006538429</v>
      </c>
      <c r="L394" s="67">
        <f>EFEITO!$N$394*EFEITO!$AA$394</f>
        <v>340174.6007409041</v>
      </c>
      <c r="M394" s="67">
        <f>$J$394-EFEITO!$K$394*EFEITO!$Y$394</f>
        <v>0</v>
      </c>
      <c r="N394" s="67">
        <f ca="1">$K$394-EFEITO!$M$394*EFEITO!$Z$394</f>
        <v>0</v>
      </c>
      <c r="O394" s="67">
        <f>$L$394-EFEITO!$O$394*EFEITO!$AA$394</f>
        <v>0</v>
      </c>
      <c r="P394" s="18"/>
      <c r="Q394" s="18"/>
      <c r="R394" s="18"/>
      <c r="S394" s="18"/>
      <c r="T394" s="18"/>
      <c r="U394" s="18"/>
      <c r="V394" s="18"/>
      <c r="W394" s="18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8" t="s">
        <v>21</v>
      </c>
      <c r="B395" s="58" t="s">
        <v>39</v>
      </c>
      <c r="C395" s="58" t="s">
        <v>41</v>
      </c>
      <c r="D395" s="58" t="s">
        <v>45</v>
      </c>
      <c r="E395" s="58" t="s">
        <v>25</v>
      </c>
      <c r="F395" s="58" t="s">
        <v>25</v>
      </c>
      <c r="G395" s="58" t="s">
        <v>25</v>
      </c>
      <c r="H395" s="58" t="s">
        <v>35</v>
      </c>
      <c r="I395" s="66">
        <v>44531</v>
      </c>
      <c r="J395" s="67">
        <f>EFEITO!$J$395*EFEITO!$Y$395</f>
        <v>0</v>
      </c>
      <c r="K395" s="67">
        <f ca="1">EFEITO!$L$395*EFEITO!$Z$395</f>
        <v>385978.17025556753</v>
      </c>
      <c r="L395" s="67">
        <f>EFEITO!$N$395*EFEITO!$AA$395</f>
        <v>1119356.9850040574</v>
      </c>
      <c r="M395" s="67">
        <f>$J$395-EFEITO!$K$395*EFEITO!$Y$395</f>
        <v>0</v>
      </c>
      <c r="N395" s="67">
        <f ca="1">$K$395-EFEITO!$M$395*EFEITO!$Z$395</f>
        <v>0</v>
      </c>
      <c r="O395" s="67">
        <f>$L$395-EFEITO!$O$395*EFEITO!$AA$395</f>
        <v>0</v>
      </c>
      <c r="P395" s="18"/>
      <c r="Q395" s="18"/>
      <c r="R395" s="18"/>
      <c r="S395" s="18"/>
      <c r="T395" s="18"/>
      <c r="U395" s="18"/>
      <c r="V395" s="18"/>
      <c r="W395" s="18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8" t="s">
        <v>28</v>
      </c>
      <c r="B396" s="58" t="s">
        <v>39</v>
      </c>
      <c r="C396" s="58" t="s">
        <v>41</v>
      </c>
      <c r="D396" s="58" t="s">
        <v>45</v>
      </c>
      <c r="E396" s="58" t="s">
        <v>25</v>
      </c>
      <c r="F396" s="58" t="s">
        <v>25</v>
      </c>
      <c r="G396" s="58" t="s">
        <v>25</v>
      </c>
      <c r="H396" s="58" t="s">
        <v>35</v>
      </c>
      <c r="I396" s="66">
        <v>44531</v>
      </c>
      <c r="J396" s="67">
        <f>EFEITO!$J$396*EFEITO!$Y$396</f>
        <v>0</v>
      </c>
      <c r="K396" s="67">
        <f ca="1">EFEITO!$L$396*EFEITO!$Z$396</f>
        <v>95340.477045463485</v>
      </c>
      <c r="L396" s="67">
        <f>EFEITO!$N$396*EFEITO!$AA$396</f>
        <v>276492.39557718014</v>
      </c>
      <c r="M396" s="67">
        <f>$J$396-EFEITO!$K$396*EFEITO!$Y$396</f>
        <v>0</v>
      </c>
      <c r="N396" s="67">
        <f ca="1">$K$396-EFEITO!$M$396*EFEITO!$Z$396</f>
        <v>0</v>
      </c>
      <c r="O396" s="67">
        <f>$L$396-EFEITO!$O$396*EFEITO!$AA$396</f>
        <v>0</v>
      </c>
      <c r="P396" s="18"/>
      <c r="Q396" s="18"/>
      <c r="R396" s="18"/>
      <c r="S396" s="18"/>
      <c r="T396" s="18"/>
      <c r="U396" s="18"/>
      <c r="V396" s="18"/>
      <c r="W396" s="18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8" t="s">
        <v>28</v>
      </c>
      <c r="B397" s="58" t="s">
        <v>39</v>
      </c>
      <c r="C397" s="58" t="s">
        <v>41</v>
      </c>
      <c r="D397" s="58" t="s">
        <v>45</v>
      </c>
      <c r="E397" s="58" t="s">
        <v>25</v>
      </c>
      <c r="F397" s="58" t="s">
        <v>25</v>
      </c>
      <c r="G397" s="58" t="s">
        <v>25</v>
      </c>
      <c r="H397" s="58" t="s">
        <v>35</v>
      </c>
      <c r="I397" s="66">
        <v>44531</v>
      </c>
      <c r="J397" s="67">
        <f>EFEITO!$J$397*EFEITO!$Y$397</f>
        <v>0</v>
      </c>
      <c r="K397" s="67">
        <f ca="1">EFEITO!$L$397*EFEITO!$Z$397</f>
        <v>164.16294714486378</v>
      </c>
      <c r="L397" s="67">
        <f>EFEITO!$N$397*EFEITO!$AA$397</f>
        <v>476.0811769323231</v>
      </c>
      <c r="M397" s="67">
        <f>$J$397-EFEITO!$K$397*EFEITO!$Y$397</f>
        <v>0</v>
      </c>
      <c r="N397" s="67">
        <f ca="1">$K$397-EFEITO!$M$397*EFEITO!$Z$397</f>
        <v>0</v>
      </c>
      <c r="O397" s="67">
        <f>$L$397-EFEITO!$O$397*EFEITO!$AA$397</f>
        <v>0</v>
      </c>
      <c r="P397" s="18"/>
      <c r="Q397" s="18"/>
      <c r="R397" s="18"/>
      <c r="S397" s="18"/>
      <c r="T397" s="18"/>
      <c r="U397" s="18"/>
      <c r="V397" s="18"/>
      <c r="W397" s="18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8" t="s">
        <v>21</v>
      </c>
      <c r="B398" s="58" t="s">
        <v>39</v>
      </c>
      <c r="C398" s="58" t="s">
        <v>41</v>
      </c>
      <c r="D398" s="58" t="s">
        <v>45</v>
      </c>
      <c r="E398" s="58" t="s">
        <v>25</v>
      </c>
      <c r="F398" s="58" t="s">
        <v>25</v>
      </c>
      <c r="G398" s="58" t="s">
        <v>25</v>
      </c>
      <c r="H398" s="58" t="s">
        <v>35</v>
      </c>
      <c r="I398" s="66">
        <v>44562</v>
      </c>
      <c r="J398" s="67">
        <f>EFEITO!$J$398*EFEITO!$Y$398</f>
        <v>0</v>
      </c>
      <c r="K398" s="67">
        <f ca="1">EFEITO!$L$398*EFEITO!$Z$398</f>
        <v>363469.56968860573</v>
      </c>
      <c r="L398" s="67">
        <f>EFEITO!$N$398*EFEITO!$AA$398</f>
        <v>1054080.8600599642</v>
      </c>
      <c r="M398" s="67">
        <f>$J$398-EFEITO!$K$398*EFEITO!$Y$398</f>
        <v>0</v>
      </c>
      <c r="N398" s="67">
        <f ca="1">$K$398-EFEITO!$M$398*EFEITO!$Z$398</f>
        <v>0</v>
      </c>
      <c r="O398" s="67">
        <f>$L$398-EFEITO!$O$398*EFEITO!$AA$398</f>
        <v>0</v>
      </c>
      <c r="P398" s="18"/>
      <c r="Q398" s="18"/>
      <c r="R398" s="18"/>
      <c r="S398" s="18"/>
      <c r="T398" s="18"/>
      <c r="U398" s="18"/>
      <c r="V398" s="18"/>
      <c r="W398" s="18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8" t="s">
        <v>28</v>
      </c>
      <c r="B399" s="58" t="s">
        <v>39</v>
      </c>
      <c r="C399" s="58" t="s">
        <v>41</v>
      </c>
      <c r="D399" s="58" t="s">
        <v>45</v>
      </c>
      <c r="E399" s="58" t="s">
        <v>25</v>
      </c>
      <c r="F399" s="58" t="s">
        <v>25</v>
      </c>
      <c r="G399" s="58" t="s">
        <v>25</v>
      </c>
      <c r="H399" s="58" t="s">
        <v>35</v>
      </c>
      <c r="I399" s="66">
        <v>44562</v>
      </c>
      <c r="J399" s="67">
        <f>EFEITO!$J$399*EFEITO!$Y$399</f>
        <v>0</v>
      </c>
      <c r="K399" s="67">
        <f ca="1">EFEITO!$L$399*EFEITO!$Z$399</f>
        <v>66325.113905467864</v>
      </c>
      <c r="L399" s="67">
        <f>EFEITO!$N$399*EFEITO!$AA$399</f>
        <v>192346.31710419717</v>
      </c>
      <c r="M399" s="67">
        <f>$J$399-EFEITO!$K$399*EFEITO!$Y$399</f>
        <v>0</v>
      </c>
      <c r="N399" s="67">
        <f ca="1">$K$399-EFEITO!$M$399*EFEITO!$Z$399</f>
        <v>0</v>
      </c>
      <c r="O399" s="67">
        <f>$L$399-EFEITO!$O$399*EFEITO!$AA$399</f>
        <v>0</v>
      </c>
      <c r="P399" s="18"/>
      <c r="Q399" s="18"/>
      <c r="R399" s="18"/>
      <c r="S399" s="18"/>
      <c r="T399" s="18"/>
      <c r="U399" s="18"/>
      <c r="V399" s="18"/>
      <c r="W399" s="18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8" t="s">
        <v>21</v>
      </c>
      <c r="B400" s="58" t="s">
        <v>39</v>
      </c>
      <c r="C400" s="58" t="s">
        <v>41</v>
      </c>
      <c r="D400" s="58" t="s">
        <v>45</v>
      </c>
      <c r="E400" s="58" t="s">
        <v>25</v>
      </c>
      <c r="F400" s="58" t="s">
        <v>25</v>
      </c>
      <c r="G400" s="58" t="s">
        <v>25</v>
      </c>
      <c r="H400" s="58" t="s">
        <v>35</v>
      </c>
      <c r="I400" s="66">
        <v>44593</v>
      </c>
      <c r="J400" s="67">
        <f>EFEITO!$J$400*EFEITO!$Y$400</f>
        <v>0</v>
      </c>
      <c r="K400" s="67">
        <f ca="1">EFEITO!$L$400*EFEITO!$Z$400</f>
        <v>402155.00595115195</v>
      </c>
      <c r="L400" s="67">
        <f>EFEITO!$N$400*EFEITO!$AA$400</f>
        <v>1166270.6589538711</v>
      </c>
      <c r="M400" s="67">
        <f>$J$400-EFEITO!$K$400*EFEITO!$Y$400</f>
        <v>0</v>
      </c>
      <c r="N400" s="67">
        <f ca="1">$K$400-EFEITO!$M$400*EFEITO!$Z$400</f>
        <v>0</v>
      </c>
      <c r="O400" s="67">
        <f>$L$400-EFEITO!$O$400*EFEITO!$AA$400</f>
        <v>0</v>
      </c>
      <c r="P400" s="18"/>
      <c r="Q400" s="18"/>
      <c r="R400" s="18"/>
      <c r="S400" s="18"/>
      <c r="T400" s="18"/>
      <c r="U400" s="18"/>
      <c r="V400" s="18"/>
      <c r="W400" s="18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8" t="s">
        <v>28</v>
      </c>
      <c r="B401" s="58" t="s">
        <v>39</v>
      </c>
      <c r="C401" s="58" t="s">
        <v>41</v>
      </c>
      <c r="D401" s="58" t="s">
        <v>45</v>
      </c>
      <c r="E401" s="58" t="s">
        <v>25</v>
      </c>
      <c r="F401" s="58" t="s">
        <v>25</v>
      </c>
      <c r="G401" s="58" t="s">
        <v>25</v>
      </c>
      <c r="H401" s="58" t="s">
        <v>35</v>
      </c>
      <c r="I401" s="66">
        <v>44593</v>
      </c>
      <c r="J401" s="67">
        <f>EFEITO!$J$401*EFEITO!$Y$401</f>
        <v>0</v>
      </c>
      <c r="K401" s="67">
        <f ca="1">EFEITO!$L$401*EFEITO!$Z$401</f>
        <v>107242.9473652547</v>
      </c>
      <c r="L401" s="67">
        <f>EFEITO!$N$401*EFEITO!$AA$401</f>
        <v>311010.18522948131</v>
      </c>
      <c r="M401" s="67">
        <f>$J$401-EFEITO!$K$401*EFEITO!$Y$401</f>
        <v>0</v>
      </c>
      <c r="N401" s="67">
        <f ca="1">$K$401-EFEITO!$M$401*EFEITO!$Z$401</f>
        <v>0</v>
      </c>
      <c r="O401" s="67">
        <f>$L$401-EFEITO!$O$401*EFEITO!$AA$401</f>
        <v>0</v>
      </c>
      <c r="P401" s="18"/>
      <c r="Q401" s="18"/>
      <c r="R401" s="18"/>
      <c r="S401" s="18"/>
      <c r="T401" s="18"/>
      <c r="U401" s="18"/>
      <c r="V401" s="18"/>
      <c r="W401" s="18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8" t="s">
        <v>21</v>
      </c>
      <c r="B402" s="58" t="s">
        <v>39</v>
      </c>
      <c r="C402" s="58" t="s">
        <v>41</v>
      </c>
      <c r="D402" s="58" t="s">
        <v>45</v>
      </c>
      <c r="E402" s="58" t="s">
        <v>25</v>
      </c>
      <c r="F402" s="58" t="s">
        <v>25</v>
      </c>
      <c r="G402" s="58" t="s">
        <v>25</v>
      </c>
      <c r="H402" s="58" t="s">
        <v>35</v>
      </c>
      <c r="I402" s="66">
        <v>44621</v>
      </c>
      <c r="J402" s="67">
        <f>EFEITO!$J$402*EFEITO!$Y$402</f>
        <v>0</v>
      </c>
      <c r="K402" s="67">
        <f ca="1">EFEITO!$L$402*EFEITO!$Z$402</f>
        <v>438977.73997342773</v>
      </c>
      <c r="L402" s="67">
        <f>EFEITO!$N$402*EFEITO!$AA$402</f>
        <v>1273058.5234268529</v>
      </c>
      <c r="M402" s="67">
        <f>$J$402-EFEITO!$K$402*EFEITO!$Y$402</f>
        <v>0</v>
      </c>
      <c r="N402" s="67">
        <f ca="1">$K$402-EFEITO!$M$402*EFEITO!$Z$402</f>
        <v>0</v>
      </c>
      <c r="O402" s="67">
        <f>$L$402-EFEITO!$O$402*EFEITO!$AA$402</f>
        <v>0</v>
      </c>
      <c r="P402" s="18"/>
      <c r="Q402" s="18"/>
      <c r="R402" s="18"/>
      <c r="S402" s="18"/>
      <c r="T402" s="18"/>
      <c r="U402" s="18"/>
      <c r="V402" s="18"/>
      <c r="W402" s="18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8" t="s">
        <v>28</v>
      </c>
      <c r="B403" s="58" t="s">
        <v>39</v>
      </c>
      <c r="C403" s="58" t="s">
        <v>41</v>
      </c>
      <c r="D403" s="58" t="s">
        <v>45</v>
      </c>
      <c r="E403" s="58" t="s">
        <v>25</v>
      </c>
      <c r="F403" s="58" t="s">
        <v>25</v>
      </c>
      <c r="G403" s="58" t="s">
        <v>25</v>
      </c>
      <c r="H403" s="58" t="s">
        <v>35</v>
      </c>
      <c r="I403" s="66">
        <v>44621</v>
      </c>
      <c r="J403" s="67">
        <f>EFEITO!$J$403*EFEITO!$Y$403</f>
        <v>0</v>
      </c>
      <c r="K403" s="67">
        <f ca="1">EFEITO!$L$403*EFEITO!$Z$403</f>
        <v>123128.12022474507</v>
      </c>
      <c r="L403" s="67">
        <f>EFEITO!$N$403*EFEITO!$AA$403</f>
        <v>357078.0216216119</v>
      </c>
      <c r="M403" s="67">
        <f>$J$403-EFEITO!$K$403*EFEITO!$Y$403</f>
        <v>0</v>
      </c>
      <c r="N403" s="67">
        <f ca="1">$K$403-EFEITO!$M$403*EFEITO!$Z$403</f>
        <v>0</v>
      </c>
      <c r="O403" s="67">
        <f>$L$403-EFEITO!$O$403*EFEITO!$AA$403</f>
        <v>0</v>
      </c>
      <c r="P403" s="18"/>
      <c r="Q403" s="18"/>
      <c r="R403" s="18"/>
      <c r="S403" s="18"/>
      <c r="T403" s="18"/>
      <c r="U403" s="18"/>
      <c r="V403" s="18"/>
      <c r="W403" s="18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8" t="s">
        <v>21</v>
      </c>
      <c r="B404" s="58" t="s">
        <v>39</v>
      </c>
      <c r="C404" s="58" t="s">
        <v>41</v>
      </c>
      <c r="D404" s="58" t="s">
        <v>45</v>
      </c>
      <c r="E404" s="58" t="s">
        <v>25</v>
      </c>
      <c r="F404" s="58" t="s">
        <v>25</v>
      </c>
      <c r="G404" s="58" t="s">
        <v>25</v>
      </c>
      <c r="H404" s="58" t="s">
        <v>35</v>
      </c>
      <c r="I404" s="66">
        <v>44652</v>
      </c>
      <c r="J404" s="67">
        <f>EFEITO!$J$404*EFEITO!$Y$404</f>
        <v>0</v>
      </c>
      <c r="K404" s="67">
        <f ca="1">EFEITO!$L$404*EFEITO!$Z$404</f>
        <v>438977.73997342773</v>
      </c>
      <c r="L404" s="67">
        <f>EFEITO!$N$404*EFEITO!$AA$404</f>
        <v>1273058.5234268529</v>
      </c>
      <c r="M404" s="67">
        <f>$J$404-EFEITO!$K$404*EFEITO!$Y$404</f>
        <v>0</v>
      </c>
      <c r="N404" s="67">
        <f ca="1">$K$404-EFEITO!$M$404*EFEITO!$Z$404</f>
        <v>0</v>
      </c>
      <c r="O404" s="67">
        <f>$L$404-EFEITO!$O$404*EFEITO!$AA$404</f>
        <v>0</v>
      </c>
      <c r="P404" s="18"/>
      <c r="Q404" s="18"/>
      <c r="R404" s="18"/>
      <c r="S404" s="18"/>
      <c r="T404" s="18"/>
      <c r="U404" s="18"/>
      <c r="V404" s="18"/>
      <c r="W404" s="18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8" t="s">
        <v>28</v>
      </c>
      <c r="B405" s="58" t="s">
        <v>39</v>
      </c>
      <c r="C405" s="58" t="s">
        <v>41</v>
      </c>
      <c r="D405" s="58" t="s">
        <v>45</v>
      </c>
      <c r="E405" s="58" t="s">
        <v>25</v>
      </c>
      <c r="F405" s="58" t="s">
        <v>25</v>
      </c>
      <c r="G405" s="58" t="s">
        <v>25</v>
      </c>
      <c r="H405" s="58" t="s">
        <v>35</v>
      </c>
      <c r="I405" s="66">
        <v>44652</v>
      </c>
      <c r="J405" s="67">
        <f>EFEITO!$J$405*EFEITO!$Y$405</f>
        <v>0</v>
      </c>
      <c r="K405" s="67">
        <f ca="1">EFEITO!$L$405*EFEITO!$Z$405</f>
        <v>123128.12022474507</v>
      </c>
      <c r="L405" s="67">
        <f>EFEITO!$N$405*EFEITO!$AA$405</f>
        <v>357078.0216216119</v>
      </c>
      <c r="M405" s="67">
        <f>$J$405-EFEITO!$K$405*EFEITO!$Y$405</f>
        <v>0</v>
      </c>
      <c r="N405" s="67">
        <f ca="1">$K$405-EFEITO!$M$405*EFEITO!$Z$405</f>
        <v>0</v>
      </c>
      <c r="O405" s="67">
        <f>$L$405-EFEITO!$O$405*EFEITO!$AA$405</f>
        <v>0</v>
      </c>
      <c r="P405" s="18"/>
      <c r="Q405" s="18"/>
      <c r="R405" s="18"/>
      <c r="S405" s="18"/>
      <c r="T405" s="18"/>
      <c r="U405" s="18"/>
      <c r="V405" s="18"/>
      <c r="W405" s="18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8" t="s">
        <v>21</v>
      </c>
      <c r="B406" s="58" t="s">
        <v>39</v>
      </c>
      <c r="C406" s="58" t="s">
        <v>41</v>
      </c>
      <c r="D406" s="58" t="s">
        <v>45</v>
      </c>
      <c r="E406" s="58" t="s">
        <v>25</v>
      </c>
      <c r="F406" s="58" t="s">
        <v>25</v>
      </c>
      <c r="G406" s="58" t="s">
        <v>25</v>
      </c>
      <c r="H406" s="58" t="s">
        <v>35</v>
      </c>
      <c r="I406" s="66">
        <v>44682</v>
      </c>
      <c r="J406" s="67">
        <f>EFEITO!$J$406*EFEITO!$Y$406</f>
        <v>0</v>
      </c>
      <c r="K406" s="67">
        <f ca="1">EFEITO!$L$406*EFEITO!$Z$406</f>
        <v>417964.99218084995</v>
      </c>
      <c r="L406" s="67">
        <f>EFEITO!$N$406*EFEITO!$AA$406</f>
        <v>1212120.4501669668</v>
      </c>
      <c r="M406" s="67">
        <f>$J$406-EFEITO!$K$406*EFEITO!$Y$406</f>
        <v>0</v>
      </c>
      <c r="N406" s="67">
        <f ca="1">$K$406-EFEITO!$M$406*EFEITO!$Z$406</f>
        <v>0</v>
      </c>
      <c r="O406" s="67">
        <f>$L$406-EFEITO!$O$406*EFEITO!$AA$406</f>
        <v>0</v>
      </c>
      <c r="P406" s="18"/>
      <c r="Q406" s="18"/>
      <c r="R406" s="18"/>
      <c r="S406" s="18"/>
      <c r="T406" s="18"/>
      <c r="U406" s="18"/>
      <c r="V406" s="18"/>
      <c r="W406" s="18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8" t="s">
        <v>27</v>
      </c>
      <c r="B407" s="58" t="s">
        <v>39</v>
      </c>
      <c r="C407" s="58" t="s">
        <v>41</v>
      </c>
      <c r="D407" s="58" t="s">
        <v>45</v>
      </c>
      <c r="E407" s="58" t="s">
        <v>25</v>
      </c>
      <c r="F407" s="58" t="s">
        <v>25</v>
      </c>
      <c r="G407" s="58" t="s">
        <v>25</v>
      </c>
      <c r="H407" s="58" t="s">
        <v>35</v>
      </c>
      <c r="I407" s="66">
        <v>44682</v>
      </c>
      <c r="J407" s="67">
        <f>EFEITO!$J$407*EFEITO!$Y$407</f>
        <v>0</v>
      </c>
      <c r="K407" s="67">
        <f ca="1">EFEITO!$L$407*EFEITO!$Z$407</f>
        <v>7685.4525335339431</v>
      </c>
      <c r="L407" s="67">
        <f>EFEITO!$N$407*EFEITO!$AA$407</f>
        <v>22288.216379263638</v>
      </c>
      <c r="M407" s="67">
        <f>$J$407-EFEITO!$K$407*EFEITO!$Y$407</f>
        <v>0</v>
      </c>
      <c r="N407" s="67">
        <f ca="1">$K$407-EFEITO!$M$407*EFEITO!$Z$407</f>
        <v>0</v>
      </c>
      <c r="O407" s="67">
        <f>$L$407-EFEITO!$O$407*EFEITO!$AA$407</f>
        <v>0</v>
      </c>
      <c r="P407" s="18"/>
      <c r="Q407" s="18"/>
      <c r="R407" s="18"/>
      <c r="S407" s="18"/>
      <c r="T407" s="18"/>
      <c r="U407" s="18"/>
      <c r="V407" s="18"/>
      <c r="W407" s="18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8" t="s">
        <v>28</v>
      </c>
      <c r="B408" s="58" t="s">
        <v>39</v>
      </c>
      <c r="C408" s="58" t="s">
        <v>41</v>
      </c>
      <c r="D408" s="58" t="s">
        <v>45</v>
      </c>
      <c r="E408" s="58" t="s">
        <v>25</v>
      </c>
      <c r="F408" s="58" t="s">
        <v>25</v>
      </c>
      <c r="G408" s="58" t="s">
        <v>25</v>
      </c>
      <c r="H408" s="58" t="s">
        <v>35</v>
      </c>
      <c r="I408" s="66">
        <v>44682</v>
      </c>
      <c r="J408" s="67">
        <f>EFEITO!$J$408*EFEITO!$Y$408</f>
        <v>0</v>
      </c>
      <c r="K408" s="67">
        <f ca="1">EFEITO!$L$408*EFEITO!$Z$408</f>
        <v>530832.05267332285</v>
      </c>
      <c r="L408" s="67">
        <f>EFEITO!$N$408*EFEITO!$AA$408</f>
        <v>1539440.859130698</v>
      </c>
      <c r="M408" s="67">
        <f>$J$408-EFEITO!$K$408*EFEITO!$Y$408</f>
        <v>0</v>
      </c>
      <c r="N408" s="67">
        <f ca="1">$K$408-EFEITO!$M$408*EFEITO!$Z$408</f>
        <v>0</v>
      </c>
      <c r="O408" s="67">
        <f>$L$408-EFEITO!$O$408*EFEITO!$AA$408</f>
        <v>0</v>
      </c>
      <c r="P408" s="18"/>
      <c r="Q408" s="18"/>
      <c r="R408" s="18"/>
      <c r="S408" s="18"/>
      <c r="T408" s="18"/>
      <c r="U408" s="18"/>
      <c r="V408" s="18"/>
      <c r="W408" s="18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8" t="s">
        <v>21</v>
      </c>
      <c r="B409" s="58" t="s">
        <v>39</v>
      </c>
      <c r="C409" s="58" t="s">
        <v>41</v>
      </c>
      <c r="D409" s="58" t="s">
        <v>45</v>
      </c>
      <c r="E409" s="58" t="s">
        <v>25</v>
      </c>
      <c r="F409" s="58" t="s">
        <v>25</v>
      </c>
      <c r="G409" s="58" t="s">
        <v>25</v>
      </c>
      <c r="H409" s="58" t="s">
        <v>35</v>
      </c>
      <c r="I409" s="66">
        <v>44713</v>
      </c>
      <c r="J409" s="67">
        <f>EFEITO!$J$409*EFEITO!$Y$409</f>
        <v>0</v>
      </c>
      <c r="K409" s="67">
        <f ca="1">EFEITO!$L$409*EFEITO!$Z$409</f>
        <v>392998.76285316475</v>
      </c>
      <c r="L409" s="67">
        <f>EFEITO!$N$409*EFEITO!$AA$409</f>
        <v>1139717.0726167453</v>
      </c>
      <c r="M409" s="67">
        <f>$J$409-EFEITO!$K$409*EFEITO!$Y$409</f>
        <v>0</v>
      </c>
      <c r="N409" s="67">
        <f ca="1">$K$409-EFEITO!$M$409*EFEITO!$Z$409</f>
        <v>0</v>
      </c>
      <c r="O409" s="67">
        <f>$L$409-EFEITO!$O$409*EFEITO!$AA$409</f>
        <v>0</v>
      </c>
      <c r="P409" s="18"/>
      <c r="Q409" s="18"/>
      <c r="R409" s="18"/>
      <c r="S409" s="18"/>
      <c r="T409" s="18"/>
      <c r="U409" s="18"/>
      <c r="V409" s="18"/>
      <c r="W409" s="18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8" t="s">
        <v>27</v>
      </c>
      <c r="B410" s="58" t="s">
        <v>39</v>
      </c>
      <c r="C410" s="58" t="s">
        <v>41</v>
      </c>
      <c r="D410" s="58" t="s">
        <v>45</v>
      </c>
      <c r="E410" s="58" t="s">
        <v>25</v>
      </c>
      <c r="F410" s="58" t="s">
        <v>25</v>
      </c>
      <c r="G410" s="58" t="s">
        <v>25</v>
      </c>
      <c r="H410" s="58" t="s">
        <v>35</v>
      </c>
      <c r="I410" s="66">
        <v>44713</v>
      </c>
      <c r="J410" s="67">
        <f>EFEITO!$J$410*EFEITO!$Y$410</f>
        <v>0</v>
      </c>
      <c r="K410" s="67">
        <f ca="1">EFEITO!$L$410*EFEITO!$Z$410</f>
        <v>8230.3640760901271</v>
      </c>
      <c r="L410" s="67">
        <f>EFEITO!$N$410*EFEITO!$AA$410</f>
        <v>23868.488499227664</v>
      </c>
      <c r="M410" s="67">
        <f>$J$410-EFEITO!$K$410*EFEITO!$Y$410</f>
        <v>0</v>
      </c>
      <c r="N410" s="67">
        <f ca="1">$K$410-EFEITO!$M$410*EFEITO!$Z$410</f>
        <v>0</v>
      </c>
      <c r="O410" s="67">
        <f>$L$410-EFEITO!$O$410*EFEITO!$AA$410</f>
        <v>0</v>
      </c>
      <c r="P410" s="18"/>
      <c r="Q410" s="18"/>
      <c r="R410" s="18"/>
      <c r="S410" s="18"/>
      <c r="T410" s="18"/>
      <c r="U410" s="18"/>
      <c r="V410" s="18"/>
      <c r="W410" s="18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8" t="s">
        <v>28</v>
      </c>
      <c r="B411" s="58" t="s">
        <v>39</v>
      </c>
      <c r="C411" s="58" t="s">
        <v>41</v>
      </c>
      <c r="D411" s="58" t="s">
        <v>45</v>
      </c>
      <c r="E411" s="58" t="s">
        <v>25</v>
      </c>
      <c r="F411" s="58" t="s">
        <v>25</v>
      </c>
      <c r="G411" s="58" t="s">
        <v>25</v>
      </c>
      <c r="H411" s="58" t="s">
        <v>35</v>
      </c>
      <c r="I411" s="66">
        <v>44713</v>
      </c>
      <c r="J411" s="67">
        <f>EFEITO!$J$411*EFEITO!$Y$411</f>
        <v>0</v>
      </c>
      <c r="K411" s="67">
        <f ca="1">EFEITO!$L$411*EFEITO!$Z$411</f>
        <v>121740.61499547666</v>
      </c>
      <c r="L411" s="67">
        <f>EFEITO!$N$411*EFEITO!$AA$411</f>
        <v>353054.18351417989</v>
      </c>
      <c r="M411" s="67">
        <f>$J$411-EFEITO!$K$411*EFEITO!$Y$411</f>
        <v>0</v>
      </c>
      <c r="N411" s="67">
        <f ca="1">$K$411-EFEITO!$M$411*EFEITO!$Z$411</f>
        <v>0</v>
      </c>
      <c r="O411" s="67">
        <f>$L$411-EFEITO!$O$411*EFEITO!$AA$411</f>
        <v>0</v>
      </c>
      <c r="P411" s="18"/>
      <c r="Q411" s="18"/>
      <c r="R411" s="18"/>
      <c r="S411" s="18"/>
      <c r="T411" s="18"/>
      <c r="U411" s="18"/>
      <c r="V411" s="18"/>
      <c r="W411" s="18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8" t="s">
        <v>21</v>
      </c>
      <c r="B412" s="58" t="s">
        <v>39</v>
      </c>
      <c r="C412" s="58" t="s">
        <v>41</v>
      </c>
      <c r="D412" s="58" t="s">
        <v>45</v>
      </c>
      <c r="E412" s="58" t="s">
        <v>25</v>
      </c>
      <c r="F412" s="58" t="s">
        <v>25</v>
      </c>
      <c r="G412" s="58" t="s">
        <v>25</v>
      </c>
      <c r="H412" s="58" t="s">
        <v>35</v>
      </c>
      <c r="I412" s="66">
        <v>44743</v>
      </c>
      <c r="J412" s="67">
        <f>EFEITO!$J$412*EFEITO!$Y$412</f>
        <v>0</v>
      </c>
      <c r="K412" s="67">
        <f ca="1">EFEITO!$L$412*EFEITO!$Z$412</f>
        <v>391785.92699965852</v>
      </c>
      <c r="L412" s="67">
        <f>EFEITO!$N$412*EFEITO!$AA$412</f>
        <v>1136199.7848815692</v>
      </c>
      <c r="M412" s="67">
        <f>$J$412-EFEITO!$K$412*EFEITO!$Y$412</f>
        <v>0</v>
      </c>
      <c r="N412" s="67">
        <f ca="1">$K$412-EFEITO!$M$412*EFEITO!$Z$412</f>
        <v>0</v>
      </c>
      <c r="O412" s="67">
        <f>$L$412-EFEITO!$O$412*EFEITO!$AA$412</f>
        <v>0</v>
      </c>
      <c r="P412" s="18"/>
      <c r="Q412" s="18"/>
      <c r="R412" s="18"/>
      <c r="S412" s="18"/>
      <c r="T412" s="18"/>
      <c r="U412" s="18"/>
      <c r="V412" s="18"/>
      <c r="W412" s="18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8" t="s">
        <v>27</v>
      </c>
      <c r="B413" s="58" t="s">
        <v>39</v>
      </c>
      <c r="C413" s="58" t="s">
        <v>41</v>
      </c>
      <c r="D413" s="58" t="s">
        <v>45</v>
      </c>
      <c r="E413" s="58" t="s">
        <v>25</v>
      </c>
      <c r="F413" s="58" t="s">
        <v>25</v>
      </c>
      <c r="G413" s="58" t="s">
        <v>25</v>
      </c>
      <c r="H413" s="58" t="s">
        <v>35</v>
      </c>
      <c r="I413" s="66">
        <v>44743</v>
      </c>
      <c r="J413" s="67">
        <f>EFEITO!$J$413*EFEITO!$Y$413</f>
        <v>0</v>
      </c>
      <c r="K413" s="67">
        <f ca="1">EFEITO!$L$413*EFEITO!$Z$413</f>
        <v>651.94578409463566</v>
      </c>
      <c r="L413" s="67">
        <f>EFEITO!$N$413*EFEITO!$AA$413</f>
        <v>1890.6770473238992</v>
      </c>
      <c r="M413" s="67">
        <f>$J$413-EFEITO!$K$413*EFEITO!$Y$413</f>
        <v>0</v>
      </c>
      <c r="N413" s="67">
        <f ca="1">$K$413-EFEITO!$M$413*EFEITO!$Z$413</f>
        <v>0</v>
      </c>
      <c r="O413" s="67">
        <f>$L$413-EFEITO!$O$413*EFEITO!$AA$413</f>
        <v>0</v>
      </c>
      <c r="P413" s="18"/>
      <c r="Q413" s="18"/>
      <c r="R413" s="18"/>
      <c r="S413" s="18"/>
      <c r="T413" s="18"/>
      <c r="U413" s="18"/>
      <c r="V413" s="18"/>
      <c r="W413" s="18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8" t="s">
        <v>28</v>
      </c>
      <c r="B414" s="58" t="s">
        <v>39</v>
      </c>
      <c r="C414" s="58" t="s">
        <v>41</v>
      </c>
      <c r="D414" s="58" t="s">
        <v>45</v>
      </c>
      <c r="E414" s="58" t="s">
        <v>25</v>
      </c>
      <c r="F414" s="58" t="s">
        <v>25</v>
      </c>
      <c r="G414" s="58" t="s">
        <v>25</v>
      </c>
      <c r="H414" s="58" t="s">
        <v>35</v>
      </c>
      <c r="I414" s="66">
        <v>44743</v>
      </c>
      <c r="J414" s="67">
        <f>EFEITO!$J$414*EFEITO!$Y$414</f>
        <v>0</v>
      </c>
      <c r="K414" s="67">
        <f ca="1">EFEITO!$L$414*EFEITO!$Z$414</f>
        <v>114005.25692601067</v>
      </c>
      <c r="L414" s="67">
        <f>EFEITO!$N$414*EFEITO!$AA$414</f>
        <v>330621.23845712881</v>
      </c>
      <c r="M414" s="67">
        <f>$J$414-EFEITO!$K$414*EFEITO!$Y$414</f>
        <v>0</v>
      </c>
      <c r="N414" s="67">
        <f ca="1">$K$414-EFEITO!$M$414*EFEITO!$Z$414</f>
        <v>0</v>
      </c>
      <c r="O414" s="67">
        <f>$L$414-EFEITO!$O$414*EFEITO!$AA$414</f>
        <v>0</v>
      </c>
      <c r="P414" s="18"/>
      <c r="Q414" s="18"/>
      <c r="R414" s="18"/>
      <c r="S414" s="18"/>
      <c r="T414" s="18"/>
      <c r="U414" s="18"/>
      <c r="V414" s="18"/>
      <c r="W414" s="18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8" t="s">
        <v>21</v>
      </c>
      <c r="B415" s="58" t="s">
        <v>39</v>
      </c>
      <c r="C415" s="58" t="s">
        <v>41</v>
      </c>
      <c r="D415" s="58" t="s">
        <v>45</v>
      </c>
      <c r="E415" s="58" t="s">
        <v>25</v>
      </c>
      <c r="F415" s="58" t="s">
        <v>25</v>
      </c>
      <c r="G415" s="58" t="s">
        <v>25</v>
      </c>
      <c r="H415" s="58" t="s">
        <v>35</v>
      </c>
      <c r="I415" s="66">
        <v>44774</v>
      </c>
      <c r="J415" s="67">
        <f>EFEITO!$J$415*EFEITO!$Y$415</f>
        <v>0</v>
      </c>
      <c r="K415" s="67">
        <f ca="1">EFEITO!$L$415*EFEITO!$Z$415</f>
        <v>485282.63526475563</v>
      </c>
      <c r="L415" s="67">
        <f>EFEITO!$N$415*EFEITO!$AA$415</f>
        <v>1407345.1540668968</v>
      </c>
      <c r="M415" s="67">
        <f>$J$415-EFEITO!$K$415*EFEITO!$Y$415</f>
        <v>0</v>
      </c>
      <c r="N415" s="67">
        <f ca="1">$K$415-EFEITO!$M$415*EFEITO!$Z$415</f>
        <v>0</v>
      </c>
      <c r="O415" s="67">
        <f>$L$415-EFEITO!$O$415*EFEITO!$AA$415</f>
        <v>0</v>
      </c>
      <c r="P415" s="18"/>
      <c r="Q415" s="18"/>
      <c r="R415" s="18"/>
      <c r="S415" s="18"/>
      <c r="T415" s="18"/>
      <c r="U415" s="18"/>
      <c r="V415" s="18"/>
      <c r="W415" s="18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8" t="s">
        <v>28</v>
      </c>
      <c r="B416" s="58" t="s">
        <v>39</v>
      </c>
      <c r="C416" s="58" t="s">
        <v>41</v>
      </c>
      <c r="D416" s="58" t="s">
        <v>45</v>
      </c>
      <c r="E416" s="58" t="s">
        <v>25</v>
      </c>
      <c r="F416" s="58" t="s">
        <v>25</v>
      </c>
      <c r="G416" s="58" t="s">
        <v>25</v>
      </c>
      <c r="H416" s="58" t="s">
        <v>35</v>
      </c>
      <c r="I416" s="66">
        <v>44774</v>
      </c>
      <c r="J416" s="67">
        <f>EFEITO!$J$416*EFEITO!$Y$416</f>
        <v>0</v>
      </c>
      <c r="K416" s="67">
        <f ca="1">EFEITO!$L$416*EFEITO!$Z$416</f>
        <v>160083.38846634916</v>
      </c>
      <c r="L416" s="67">
        <f>EFEITO!$N$416*EFEITO!$AA$416</f>
        <v>464250.24229810358</v>
      </c>
      <c r="M416" s="67">
        <f>$J$416-EFEITO!$K$416*EFEITO!$Y$416</f>
        <v>0</v>
      </c>
      <c r="N416" s="67">
        <f ca="1">$K$416-EFEITO!$M$416*EFEITO!$Z$416</f>
        <v>0</v>
      </c>
      <c r="O416" s="67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8" t="s">
        <v>21</v>
      </c>
      <c r="B417" s="58" t="s">
        <v>39</v>
      </c>
      <c r="C417" s="58" t="s">
        <v>41</v>
      </c>
      <c r="D417" s="58" t="s">
        <v>45</v>
      </c>
      <c r="E417" s="58" t="s">
        <v>25</v>
      </c>
      <c r="F417" s="58" t="s">
        <v>25</v>
      </c>
      <c r="G417" s="58" t="s">
        <v>25</v>
      </c>
      <c r="H417" s="58" t="s">
        <v>35</v>
      </c>
      <c r="I417" s="66">
        <v>44805</v>
      </c>
      <c r="J417" s="67">
        <f>EFEITO!$J$417*EFEITO!$Y$417</f>
        <v>0</v>
      </c>
      <c r="K417" s="67">
        <f ca="1">EFEITO!$L$417*EFEITO!$Z$417</f>
        <v>499470.47269273287</v>
      </c>
      <c r="L417" s="67">
        <f>EFEITO!$N$417*EFEITO!$AA$417</f>
        <v>1448490.6284769983</v>
      </c>
      <c r="M417" s="67">
        <f>$J$417-EFEITO!$K$417*EFEITO!$Y$417</f>
        <v>0</v>
      </c>
      <c r="N417" s="67">
        <f ca="1">$K$417-EFEITO!$M$417*EFEITO!$Z$417</f>
        <v>0</v>
      </c>
      <c r="O417" s="67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8" t="s">
        <v>27</v>
      </c>
      <c r="B418" s="58" t="s">
        <v>39</v>
      </c>
      <c r="C418" s="58" t="s">
        <v>41</v>
      </c>
      <c r="D418" s="58" t="s">
        <v>45</v>
      </c>
      <c r="E418" s="58" t="s">
        <v>25</v>
      </c>
      <c r="F418" s="58" t="s">
        <v>25</v>
      </c>
      <c r="G418" s="58" t="s">
        <v>25</v>
      </c>
      <c r="H418" s="58" t="s">
        <v>35</v>
      </c>
      <c r="I418" s="66">
        <v>44805</v>
      </c>
      <c r="J418" s="67">
        <f>EFEITO!$J$418*EFEITO!$Y$418</f>
        <v>0</v>
      </c>
      <c r="K418" s="67">
        <f ca="1">EFEITO!$L$418*EFEITO!$Z$418</f>
        <v>1429.6403857022372</v>
      </c>
      <c r="L418" s="67">
        <f>EFEITO!$N$418*EFEITO!$AA$418</f>
        <v>4146.032276177958</v>
      </c>
      <c r="M418" s="67">
        <f>$J$418-EFEITO!$K$418*EFEITO!$Y$418</f>
        <v>0</v>
      </c>
      <c r="N418" s="67">
        <f ca="1">$K$418-EFEITO!$M$418*EFEITO!$Z$418</f>
        <v>0</v>
      </c>
      <c r="O418" s="67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8" t="s">
        <v>28</v>
      </c>
      <c r="B419" s="58" t="s">
        <v>39</v>
      </c>
      <c r="C419" s="58" t="s">
        <v>41</v>
      </c>
      <c r="D419" s="58" t="s">
        <v>45</v>
      </c>
      <c r="E419" s="58" t="s">
        <v>25</v>
      </c>
      <c r="F419" s="58" t="s">
        <v>25</v>
      </c>
      <c r="G419" s="58" t="s">
        <v>25</v>
      </c>
      <c r="H419" s="58" t="s">
        <v>35</v>
      </c>
      <c r="I419" s="66">
        <v>44805</v>
      </c>
      <c r="J419" s="67">
        <f>EFEITO!$J$419*EFEITO!$Y$419</f>
        <v>0</v>
      </c>
      <c r="K419" s="67">
        <f ca="1">EFEITO!$L$419*EFEITO!$Z$419</f>
        <v>152814.36260873935</v>
      </c>
      <c r="L419" s="67">
        <f>EFEITO!$N$419*EFEITO!$AA$419</f>
        <v>443169.68517099164</v>
      </c>
      <c r="M419" s="67">
        <f>$J$419-EFEITO!$K$419*EFEITO!$Y$419</f>
        <v>0</v>
      </c>
      <c r="N419" s="67">
        <f ca="1">$K$419-EFEITO!$M$419*EFEITO!$Z$419</f>
        <v>0</v>
      </c>
      <c r="O419" s="67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8" t="s">
        <v>55</v>
      </c>
      <c r="B420" s="58" t="s">
        <v>39</v>
      </c>
      <c r="C420" s="58" t="s">
        <v>41</v>
      </c>
      <c r="D420" s="58" t="s">
        <v>45</v>
      </c>
      <c r="E420" s="58" t="s">
        <v>25</v>
      </c>
      <c r="F420" s="58" t="s">
        <v>25</v>
      </c>
      <c r="G420" s="58" t="s">
        <v>25</v>
      </c>
      <c r="H420" s="58" t="s">
        <v>35</v>
      </c>
      <c r="I420" s="66">
        <v>44835</v>
      </c>
      <c r="J420" s="67">
        <f>EFEITO!$J$420*EFEITO!$Y$420</f>
        <v>0</v>
      </c>
      <c r="K420" s="67">
        <f ca="1">EFEITO!$L$420*EFEITO!$Z$420</f>
        <v>499470.47269273287</v>
      </c>
      <c r="L420" s="67">
        <f>EFEITO!$N$420*EFEITO!$AA$420</f>
        <v>1448490.6284769983</v>
      </c>
      <c r="M420" s="67">
        <f>$J$420-EFEITO!$K$420*EFEITO!$Y$420</f>
        <v>0</v>
      </c>
      <c r="N420" s="67">
        <f ca="1">$K$420-EFEITO!$M$420*EFEITO!$Z$420</f>
        <v>0</v>
      </c>
      <c r="O420" s="67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8" t="s">
        <v>55</v>
      </c>
      <c r="B421" s="58" t="s">
        <v>39</v>
      </c>
      <c r="C421" s="58" t="s">
        <v>41</v>
      </c>
      <c r="D421" s="58" t="s">
        <v>45</v>
      </c>
      <c r="E421" s="58" t="s">
        <v>25</v>
      </c>
      <c r="F421" s="58" t="s">
        <v>25</v>
      </c>
      <c r="G421" s="58" t="s">
        <v>25</v>
      </c>
      <c r="H421" s="58" t="s">
        <v>35</v>
      </c>
      <c r="I421" s="66">
        <v>44835</v>
      </c>
      <c r="J421" s="67">
        <f>EFEITO!$J$421*EFEITO!$Y$421</f>
        <v>0</v>
      </c>
      <c r="K421" s="67">
        <f ca="1">EFEITO!$L$421*EFEITO!$Z$421</f>
        <v>1429.6403857022372</v>
      </c>
      <c r="L421" s="67">
        <f>EFEITO!$N$421*EFEITO!$AA$421</f>
        <v>4146.032276177958</v>
      </c>
      <c r="M421" s="67">
        <f>$J$421-EFEITO!$K$421*EFEITO!$Y$421</f>
        <v>0</v>
      </c>
      <c r="N421" s="67">
        <f ca="1">$K$421-EFEITO!$M$421*EFEITO!$Z$421</f>
        <v>0</v>
      </c>
      <c r="O421" s="67">
        <f>$L$421-EFEITO!$O$421*EFEITO!$AA$421</f>
        <v>0</v>
      </c>
      <c r="P421" s="18"/>
      <c r="Q421" s="18"/>
      <c r="R421" s="18"/>
      <c r="S421" s="18"/>
      <c r="T421" s="18"/>
      <c r="U421" s="18"/>
      <c r="V421" s="18"/>
      <c r="W421" s="18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8" t="s">
        <v>55</v>
      </c>
      <c r="B422" s="58" t="s">
        <v>39</v>
      </c>
      <c r="C422" s="58" t="s">
        <v>41</v>
      </c>
      <c r="D422" s="58" t="s">
        <v>45</v>
      </c>
      <c r="E422" s="58" t="s">
        <v>25</v>
      </c>
      <c r="F422" s="58" t="s">
        <v>25</v>
      </c>
      <c r="G422" s="58" t="s">
        <v>25</v>
      </c>
      <c r="H422" s="58" t="s">
        <v>35</v>
      </c>
      <c r="I422" s="66">
        <v>44835</v>
      </c>
      <c r="J422" s="67">
        <f>EFEITO!$J$422*EFEITO!$Y$422</f>
        <v>0</v>
      </c>
      <c r="K422" s="67">
        <f ca="1">EFEITO!$L$422*EFEITO!$Z$422</f>
        <v>152814.36260873935</v>
      </c>
      <c r="L422" s="67">
        <f>EFEITO!$N$422*EFEITO!$AA$422</f>
        <v>443169.68517099164</v>
      </c>
      <c r="M422" s="67">
        <f>$J$422-EFEITO!$K$422*EFEITO!$Y$422</f>
        <v>0</v>
      </c>
      <c r="N422" s="67">
        <f ca="1">$K$422-EFEITO!$M$422*EFEITO!$Z$422</f>
        <v>0</v>
      </c>
      <c r="O422" s="67">
        <f>$L$422-EFEITO!$O$422*EFEITO!$AA$422</f>
        <v>0</v>
      </c>
      <c r="P422" s="18"/>
      <c r="Q422" s="18"/>
      <c r="R422" s="18"/>
      <c r="S422" s="18"/>
      <c r="T422" s="18"/>
      <c r="U422" s="18"/>
      <c r="V422" s="18"/>
      <c r="W422" s="18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8" t="s">
        <v>21</v>
      </c>
      <c r="B423" s="58" t="s">
        <v>39</v>
      </c>
      <c r="C423" s="58" t="s">
        <v>41</v>
      </c>
      <c r="D423" s="58" t="s">
        <v>45</v>
      </c>
      <c r="E423" s="58" t="s">
        <v>25</v>
      </c>
      <c r="F423" s="58" t="s">
        <v>25</v>
      </c>
      <c r="G423" s="58" t="s">
        <v>25</v>
      </c>
      <c r="H423" s="58" t="s">
        <v>25</v>
      </c>
      <c r="I423" s="66">
        <v>44501</v>
      </c>
      <c r="J423" s="67">
        <f ca="1">EFEITO!$J$423*EFEITO!$Y$423</f>
        <v>533294.13325245061</v>
      </c>
      <c r="K423" s="67">
        <f>EFEITO!$L$423*EFEITO!$Z$423</f>
        <v>0</v>
      </c>
      <c r="L423" s="67">
        <f>EFEITO!$N$423*EFEITO!$AA$423</f>
        <v>0</v>
      </c>
      <c r="M423" s="67">
        <f ca="1">$J$423-EFEITO!$K$423*EFEITO!$Y$423</f>
        <v>0</v>
      </c>
      <c r="N423" s="67">
        <f>$K$423-EFEITO!$M$423*EFEITO!$Z$423</f>
        <v>0</v>
      </c>
      <c r="O423" s="67">
        <f>$L$423-EFEITO!$O$423*EFEITO!$AA$423</f>
        <v>0</v>
      </c>
      <c r="P423" s="18"/>
      <c r="Q423" s="18"/>
      <c r="R423" s="18"/>
      <c r="S423" s="18"/>
      <c r="T423" s="18"/>
      <c r="U423" s="18"/>
      <c r="V423" s="18"/>
      <c r="W423" s="18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8" t="s">
        <v>27</v>
      </c>
      <c r="B424" s="58" t="s">
        <v>39</v>
      </c>
      <c r="C424" s="58" t="s">
        <v>41</v>
      </c>
      <c r="D424" s="58" t="s">
        <v>45</v>
      </c>
      <c r="E424" s="58" t="s">
        <v>25</v>
      </c>
      <c r="F424" s="58" t="s">
        <v>25</v>
      </c>
      <c r="G424" s="58" t="s">
        <v>25</v>
      </c>
      <c r="H424" s="58" t="s">
        <v>25</v>
      </c>
      <c r="I424" s="66">
        <v>44501</v>
      </c>
      <c r="J424" s="67">
        <f ca="1">EFEITO!$J$424*EFEITO!$Y$424</f>
        <v>1940.4966321257832</v>
      </c>
      <c r="K424" s="67">
        <f>EFEITO!$L$424*EFEITO!$Z$424</f>
        <v>0</v>
      </c>
      <c r="L424" s="67">
        <f>EFEITO!$N$424*EFEITO!$AA$424</f>
        <v>0</v>
      </c>
      <c r="M424" s="67">
        <f ca="1">$J$424-EFEITO!$K$424*EFEITO!$Y$424</f>
        <v>0</v>
      </c>
      <c r="N424" s="67">
        <f>$K$424-EFEITO!$M$424*EFEITO!$Z$424</f>
        <v>0</v>
      </c>
      <c r="O424" s="67">
        <f>$L$424-EFEITO!$O$424*EFEITO!$AA$424</f>
        <v>0</v>
      </c>
      <c r="P424" s="18"/>
      <c r="Q424" s="18"/>
      <c r="R424" s="18"/>
      <c r="S424" s="18"/>
      <c r="T424" s="18"/>
      <c r="U424" s="18"/>
      <c r="V424" s="18"/>
      <c r="W424" s="18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8" t="s">
        <v>28</v>
      </c>
      <c r="B425" s="58" t="s">
        <v>39</v>
      </c>
      <c r="C425" s="58" t="s">
        <v>41</v>
      </c>
      <c r="D425" s="58" t="s">
        <v>45</v>
      </c>
      <c r="E425" s="58" t="s">
        <v>25</v>
      </c>
      <c r="F425" s="58" t="s">
        <v>25</v>
      </c>
      <c r="G425" s="58" t="s">
        <v>25</v>
      </c>
      <c r="H425" s="58" t="s">
        <v>25</v>
      </c>
      <c r="I425" s="66">
        <v>44501</v>
      </c>
      <c r="J425" s="67">
        <f ca="1">EFEITO!$J$425*EFEITO!$Y$425</f>
        <v>168214.42373780566</v>
      </c>
      <c r="K425" s="67">
        <f>EFEITO!$L$425*EFEITO!$Z$425</f>
        <v>0</v>
      </c>
      <c r="L425" s="67">
        <f>EFEITO!$N$425*EFEITO!$AA$425</f>
        <v>0</v>
      </c>
      <c r="M425" s="67">
        <f ca="1">$J$425-EFEITO!$K$425*EFEITO!$Y$425</f>
        <v>0</v>
      </c>
      <c r="N425" s="67">
        <f>$K$425-EFEITO!$M$425*EFEITO!$Z$425</f>
        <v>0</v>
      </c>
      <c r="O425" s="67">
        <f>$L$425-EFEITO!$O$425*EFEITO!$AA$425</f>
        <v>0</v>
      </c>
      <c r="P425" s="18"/>
      <c r="Q425" s="18"/>
      <c r="R425" s="18"/>
      <c r="S425" s="18"/>
      <c r="T425" s="18"/>
      <c r="U425" s="18"/>
      <c r="V425" s="18"/>
      <c r="W425" s="18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8" t="s">
        <v>21</v>
      </c>
      <c r="B426" s="58" t="s">
        <v>39</v>
      </c>
      <c r="C426" s="58" t="s">
        <v>41</v>
      </c>
      <c r="D426" s="58" t="s">
        <v>45</v>
      </c>
      <c r="E426" s="58" t="s">
        <v>25</v>
      </c>
      <c r="F426" s="58" t="s">
        <v>25</v>
      </c>
      <c r="G426" s="58" t="s">
        <v>25</v>
      </c>
      <c r="H426" s="58" t="s">
        <v>25</v>
      </c>
      <c r="I426" s="66">
        <v>44531</v>
      </c>
      <c r="J426" s="67">
        <f ca="1">EFEITO!$J$426*EFEITO!$Y$426</f>
        <v>529679.48266319663</v>
      </c>
      <c r="K426" s="67">
        <f>EFEITO!$L$426*EFEITO!$Z$426</f>
        <v>0</v>
      </c>
      <c r="L426" s="67">
        <f>EFEITO!$N$426*EFEITO!$AA$426</f>
        <v>0</v>
      </c>
      <c r="M426" s="67">
        <f ca="1">$J$426-EFEITO!$K$426*EFEITO!$Y$426</f>
        <v>0</v>
      </c>
      <c r="N426" s="67">
        <f>$K$426-EFEITO!$M$426*EFEITO!$Z$426</f>
        <v>0</v>
      </c>
      <c r="O426" s="67">
        <f>$L$426-EFEITO!$O$426*EFEITO!$AA$426</f>
        <v>0</v>
      </c>
      <c r="P426" s="18"/>
      <c r="Q426" s="18"/>
      <c r="R426" s="18"/>
      <c r="S426" s="18"/>
      <c r="T426" s="18"/>
      <c r="U426" s="18"/>
      <c r="V426" s="18"/>
      <c r="W426" s="18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8" t="s">
        <v>27</v>
      </c>
      <c r="B427" s="58" t="s">
        <v>39</v>
      </c>
      <c r="C427" s="58" t="s">
        <v>41</v>
      </c>
      <c r="D427" s="58" t="s">
        <v>45</v>
      </c>
      <c r="E427" s="58" t="s">
        <v>25</v>
      </c>
      <c r="F427" s="58" t="s">
        <v>25</v>
      </c>
      <c r="G427" s="58" t="s">
        <v>25</v>
      </c>
      <c r="H427" s="58" t="s">
        <v>25</v>
      </c>
      <c r="I427" s="66">
        <v>44531</v>
      </c>
      <c r="J427" s="67">
        <f ca="1">EFEITO!$J$427*EFEITO!$Y$427</f>
        <v>-323.4161053542972</v>
      </c>
      <c r="K427" s="67">
        <f>EFEITO!$L$427*EFEITO!$Z$427</f>
        <v>0</v>
      </c>
      <c r="L427" s="67">
        <f>EFEITO!$N$427*EFEITO!$AA$427</f>
        <v>0</v>
      </c>
      <c r="M427" s="67">
        <f ca="1">$J$427-EFEITO!$K$427*EFEITO!$Y$427</f>
        <v>0</v>
      </c>
      <c r="N427" s="67">
        <f>$K$427-EFEITO!$M$427*EFEITO!$Z$427</f>
        <v>0</v>
      </c>
      <c r="O427" s="67">
        <f>$L$427-EFEITO!$O$427*EFEITO!$AA$427</f>
        <v>0</v>
      </c>
      <c r="P427" s="18"/>
      <c r="Q427" s="18"/>
      <c r="R427" s="18"/>
      <c r="S427" s="18"/>
      <c r="T427" s="18"/>
      <c r="U427" s="18"/>
      <c r="V427" s="18"/>
      <c r="W427" s="18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8" t="s">
        <v>28</v>
      </c>
      <c r="B428" s="58" t="s">
        <v>39</v>
      </c>
      <c r="C428" s="58" t="s">
        <v>41</v>
      </c>
      <c r="D428" s="58" t="s">
        <v>45</v>
      </c>
      <c r="E428" s="58" t="s">
        <v>25</v>
      </c>
      <c r="F428" s="58" t="s">
        <v>25</v>
      </c>
      <c r="G428" s="58" t="s">
        <v>25</v>
      </c>
      <c r="H428" s="58" t="s">
        <v>25</v>
      </c>
      <c r="I428" s="66">
        <v>44531</v>
      </c>
      <c r="J428" s="67">
        <f ca="1">EFEITO!$J$428*EFEITO!$Y$428</f>
        <v>231223.49085153698</v>
      </c>
      <c r="K428" s="67">
        <f>EFEITO!$L$428*EFEITO!$Z$428</f>
        <v>0</v>
      </c>
      <c r="L428" s="67">
        <f>EFEITO!$N$428*EFEITO!$AA$428</f>
        <v>0</v>
      </c>
      <c r="M428" s="67">
        <f ca="1">$J$428-EFEITO!$K$428*EFEITO!$Y$428</f>
        <v>0</v>
      </c>
      <c r="N428" s="67">
        <f>$K$428-EFEITO!$M$428*EFEITO!$Z$428</f>
        <v>0</v>
      </c>
      <c r="O428" s="67">
        <f>$L$428-EFEITO!$O$428*EFEITO!$AA$428</f>
        <v>0</v>
      </c>
      <c r="P428" s="18"/>
      <c r="Q428" s="18"/>
      <c r="R428" s="18"/>
      <c r="S428" s="18"/>
      <c r="T428" s="18"/>
      <c r="U428" s="18"/>
      <c r="V428" s="18"/>
      <c r="W428" s="18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8" t="s">
        <v>21</v>
      </c>
      <c r="B429" s="58" t="s">
        <v>39</v>
      </c>
      <c r="C429" s="58" t="s">
        <v>41</v>
      </c>
      <c r="D429" s="58" t="s">
        <v>45</v>
      </c>
      <c r="E429" s="58" t="s">
        <v>25</v>
      </c>
      <c r="F429" s="58" t="s">
        <v>25</v>
      </c>
      <c r="G429" s="58" t="s">
        <v>25</v>
      </c>
      <c r="H429" s="58" t="s">
        <v>25</v>
      </c>
      <c r="I429" s="66">
        <v>44562</v>
      </c>
      <c r="J429" s="67">
        <f ca="1">EFEITO!$J$429*EFEITO!$Y$429</f>
        <v>526064.83207394276</v>
      </c>
      <c r="K429" s="67">
        <f>EFEITO!$L$429*EFEITO!$Z$429</f>
        <v>0</v>
      </c>
      <c r="L429" s="67">
        <f>EFEITO!$N$429*EFEITO!$AA$429</f>
        <v>0</v>
      </c>
      <c r="M429" s="67">
        <f ca="1">$J$429-EFEITO!$K$429*EFEITO!$Y$429</f>
        <v>0</v>
      </c>
      <c r="N429" s="67">
        <f>$K$429-EFEITO!$M$429*EFEITO!$Z$429</f>
        <v>0</v>
      </c>
      <c r="O429" s="67">
        <f>$L$429-EFEITO!$O$429*EFEITO!$AA$429</f>
        <v>0</v>
      </c>
      <c r="P429" s="18"/>
      <c r="Q429" s="18"/>
      <c r="R429" s="18"/>
      <c r="S429" s="18"/>
      <c r="T429" s="18"/>
      <c r="U429" s="18"/>
      <c r="V429" s="18"/>
      <c r="W429" s="18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8" t="s">
        <v>28</v>
      </c>
      <c r="B430" s="58" t="s">
        <v>39</v>
      </c>
      <c r="C430" s="58" t="s">
        <v>41</v>
      </c>
      <c r="D430" s="58" t="s">
        <v>45</v>
      </c>
      <c r="E430" s="58" t="s">
        <v>25</v>
      </c>
      <c r="F430" s="58" t="s">
        <v>25</v>
      </c>
      <c r="G430" s="58" t="s">
        <v>25</v>
      </c>
      <c r="H430" s="58" t="s">
        <v>25</v>
      </c>
      <c r="I430" s="66">
        <v>44562</v>
      </c>
      <c r="J430" s="67">
        <f ca="1">EFEITO!$J$430*EFEITO!$Y$430</f>
        <v>240735.72924431041</v>
      </c>
      <c r="K430" s="67">
        <f>EFEITO!$L$430*EFEITO!$Z$430</f>
        <v>0</v>
      </c>
      <c r="L430" s="67">
        <f>EFEITO!$N$430*EFEITO!$AA$430</f>
        <v>0</v>
      </c>
      <c r="M430" s="67">
        <f ca="1">$J$430-EFEITO!$K$430*EFEITO!$Y$430</f>
        <v>0</v>
      </c>
      <c r="N430" s="67">
        <f>$K$430-EFEITO!$M$430*EFEITO!$Z$430</f>
        <v>0</v>
      </c>
      <c r="O430" s="67">
        <f>$L$430-EFEITO!$O$430*EFEITO!$AA$430</f>
        <v>0</v>
      </c>
      <c r="P430" s="18"/>
      <c r="Q430" s="18"/>
      <c r="R430" s="18"/>
      <c r="S430" s="18"/>
      <c r="T430" s="18"/>
      <c r="U430" s="18"/>
      <c r="V430" s="18"/>
      <c r="W430" s="18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8" t="s">
        <v>21</v>
      </c>
      <c r="B431" s="58" t="s">
        <v>39</v>
      </c>
      <c r="C431" s="58" t="s">
        <v>41</v>
      </c>
      <c r="D431" s="58" t="s">
        <v>45</v>
      </c>
      <c r="E431" s="58" t="s">
        <v>25</v>
      </c>
      <c r="F431" s="58" t="s">
        <v>25</v>
      </c>
      <c r="G431" s="58" t="s">
        <v>25</v>
      </c>
      <c r="H431" s="58" t="s">
        <v>25</v>
      </c>
      <c r="I431" s="66">
        <v>44593</v>
      </c>
      <c r="J431" s="67">
        <f ca="1">EFEITO!$J$431*EFEITO!$Y$431</f>
        <v>540656.60576845717</v>
      </c>
      <c r="K431" s="67">
        <f>EFEITO!$L$431*EFEITO!$Z$431</f>
        <v>0</v>
      </c>
      <c r="L431" s="67">
        <f>EFEITO!$N$431*EFEITO!$AA$431</f>
        <v>0</v>
      </c>
      <c r="M431" s="67">
        <f ca="1">$J$431-EFEITO!$K$431*EFEITO!$Y$431</f>
        <v>0</v>
      </c>
      <c r="N431" s="67">
        <f>$K$431-EFEITO!$M$431*EFEITO!$Z$431</f>
        <v>0</v>
      </c>
      <c r="O431" s="67">
        <f>$L$431-EFEITO!$O$431*EFEITO!$AA$431</f>
        <v>0</v>
      </c>
      <c r="P431" s="18"/>
      <c r="Q431" s="18"/>
      <c r="R431" s="18"/>
      <c r="S431" s="18"/>
      <c r="T431" s="18"/>
      <c r="U431" s="18"/>
      <c r="V431" s="18"/>
      <c r="W431" s="18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8" t="s">
        <v>27</v>
      </c>
      <c r="B432" s="58" t="s">
        <v>39</v>
      </c>
      <c r="C432" s="58" t="s">
        <v>41</v>
      </c>
      <c r="D432" s="58" t="s">
        <v>45</v>
      </c>
      <c r="E432" s="58" t="s">
        <v>25</v>
      </c>
      <c r="F432" s="58" t="s">
        <v>25</v>
      </c>
      <c r="G432" s="58" t="s">
        <v>25</v>
      </c>
      <c r="H432" s="58" t="s">
        <v>25</v>
      </c>
      <c r="I432" s="66">
        <v>44593</v>
      </c>
      <c r="J432" s="67">
        <f ca="1">EFEITO!$J$432*EFEITO!$Y$432</f>
        <v>11871.273514181263</v>
      </c>
      <c r="K432" s="67">
        <f>EFEITO!$L$432*EFEITO!$Z$432</f>
        <v>0</v>
      </c>
      <c r="L432" s="67">
        <f>EFEITO!$N$432*EFEITO!$AA$432</f>
        <v>0</v>
      </c>
      <c r="M432" s="67">
        <f ca="1">$J$432-EFEITO!$K$432*EFEITO!$Y$432</f>
        <v>0</v>
      </c>
      <c r="N432" s="67">
        <f>$K$432-EFEITO!$M$432*EFEITO!$Z$432</f>
        <v>0</v>
      </c>
      <c r="O432" s="67">
        <f>$L$432-EFEITO!$O$432*EFEITO!$AA$432</f>
        <v>0</v>
      </c>
      <c r="P432" s="18"/>
      <c r="Q432" s="18"/>
      <c r="R432" s="18"/>
      <c r="S432" s="18"/>
      <c r="T432" s="18"/>
      <c r="U432" s="18"/>
      <c r="V432" s="18"/>
      <c r="W432" s="18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8" t="s">
        <v>28</v>
      </c>
      <c r="B433" s="58" t="s">
        <v>39</v>
      </c>
      <c r="C433" s="58" t="s">
        <v>41</v>
      </c>
      <c r="D433" s="58" t="s">
        <v>45</v>
      </c>
      <c r="E433" s="58" t="s">
        <v>25</v>
      </c>
      <c r="F433" s="58" t="s">
        <v>25</v>
      </c>
      <c r="G433" s="58" t="s">
        <v>25</v>
      </c>
      <c r="H433" s="58" t="s">
        <v>25</v>
      </c>
      <c r="I433" s="66">
        <v>44593</v>
      </c>
      <c r="J433" s="67">
        <f ca="1">EFEITO!$J$433*EFEITO!$Y$433</f>
        <v>246538.19466390222</v>
      </c>
      <c r="K433" s="67">
        <f>EFEITO!$L$433*EFEITO!$Z$433</f>
        <v>0</v>
      </c>
      <c r="L433" s="67">
        <f>EFEITO!$N$433*EFEITO!$AA$433</f>
        <v>0</v>
      </c>
      <c r="M433" s="67">
        <f ca="1">$J$433-EFEITO!$K$433*EFEITO!$Y$433</f>
        <v>0</v>
      </c>
      <c r="N433" s="67">
        <f>$K$433-EFEITO!$M$433*EFEITO!$Z$433</f>
        <v>0</v>
      </c>
      <c r="O433" s="67">
        <f>$L$433-EFEITO!$O$433*EFEITO!$AA$433</f>
        <v>0</v>
      </c>
      <c r="P433" s="18"/>
      <c r="Q433" s="18"/>
      <c r="R433" s="18"/>
      <c r="S433" s="18"/>
      <c r="T433" s="18"/>
      <c r="U433" s="18"/>
      <c r="V433" s="18"/>
      <c r="W433" s="18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8" t="s">
        <v>21</v>
      </c>
      <c r="B434" s="58" t="s">
        <v>39</v>
      </c>
      <c r="C434" s="58" t="s">
        <v>41</v>
      </c>
      <c r="D434" s="58" t="s">
        <v>45</v>
      </c>
      <c r="E434" s="58" t="s">
        <v>25</v>
      </c>
      <c r="F434" s="58" t="s">
        <v>25</v>
      </c>
      <c r="G434" s="58" t="s">
        <v>25</v>
      </c>
      <c r="H434" s="58" t="s">
        <v>25</v>
      </c>
      <c r="I434" s="66">
        <v>44621</v>
      </c>
      <c r="J434" s="67">
        <f ca="1">EFEITO!$J$434*EFEITO!$Y$434</f>
        <v>536338.04953813809</v>
      </c>
      <c r="K434" s="67">
        <f>EFEITO!$L$434*EFEITO!$Z$434</f>
        <v>0</v>
      </c>
      <c r="L434" s="67">
        <f>EFEITO!$N$434*EFEITO!$AA$434</f>
        <v>0</v>
      </c>
      <c r="M434" s="67">
        <f ca="1">$J$434-EFEITO!$K$434*EFEITO!$Y$434</f>
        <v>0</v>
      </c>
      <c r="N434" s="67">
        <f>$K$434-EFEITO!$M$434*EFEITO!$Z$434</f>
        <v>0</v>
      </c>
      <c r="O434" s="67">
        <f>$L$434-EFEITO!$O$434*EFEITO!$AA$434</f>
        <v>0</v>
      </c>
      <c r="P434" s="18"/>
      <c r="Q434" s="18"/>
      <c r="R434" s="18"/>
      <c r="S434" s="18"/>
      <c r="T434" s="18"/>
      <c r="U434" s="18"/>
      <c r="V434" s="18"/>
      <c r="W434" s="18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8" t="s">
        <v>28</v>
      </c>
      <c r="B435" s="58" t="s">
        <v>39</v>
      </c>
      <c r="C435" s="58" t="s">
        <v>41</v>
      </c>
      <c r="D435" s="58" t="s">
        <v>45</v>
      </c>
      <c r="E435" s="58" t="s">
        <v>25</v>
      </c>
      <c r="F435" s="58" t="s">
        <v>25</v>
      </c>
      <c r="G435" s="58" t="s">
        <v>25</v>
      </c>
      <c r="H435" s="58" t="s">
        <v>25</v>
      </c>
      <c r="I435" s="66">
        <v>44621</v>
      </c>
      <c r="J435" s="67">
        <f ca="1">EFEITO!$J$435*EFEITO!$Y$435</f>
        <v>237368.39685326861</v>
      </c>
      <c r="K435" s="67">
        <f>EFEITO!$L$435*EFEITO!$Z$435</f>
        <v>0</v>
      </c>
      <c r="L435" s="67">
        <f>EFEITO!$N$435*EFEITO!$AA$435</f>
        <v>0</v>
      </c>
      <c r="M435" s="67">
        <f ca="1">$J$435-EFEITO!$K$435*EFEITO!$Y$435</f>
        <v>0</v>
      </c>
      <c r="N435" s="67">
        <f>$K$435-EFEITO!$M$435*EFEITO!$Z$435</f>
        <v>0</v>
      </c>
      <c r="O435" s="67">
        <f>$L$435-EFEITO!$O$435*EFEITO!$AA$435</f>
        <v>0</v>
      </c>
      <c r="P435" s="18"/>
      <c r="Q435" s="18"/>
      <c r="R435" s="18"/>
      <c r="S435" s="18"/>
      <c r="T435" s="18"/>
      <c r="U435" s="18"/>
      <c r="V435" s="18"/>
      <c r="W435" s="18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8" t="s">
        <v>28</v>
      </c>
      <c r="B436" s="58" t="s">
        <v>39</v>
      </c>
      <c r="C436" s="58" t="s">
        <v>41</v>
      </c>
      <c r="D436" s="58" t="s">
        <v>45</v>
      </c>
      <c r="E436" s="58" t="s">
        <v>25</v>
      </c>
      <c r="F436" s="58" t="s">
        <v>25</v>
      </c>
      <c r="G436" s="58" t="s">
        <v>25</v>
      </c>
      <c r="H436" s="58" t="s">
        <v>25</v>
      </c>
      <c r="I436" s="66">
        <v>44621</v>
      </c>
      <c r="J436" s="67">
        <f ca="1">EFEITO!$J$436*EFEITO!$Y$436</f>
        <v>-19024.476785546896</v>
      </c>
      <c r="K436" s="67">
        <f>EFEITO!$L$436*EFEITO!$Z$436</f>
        <v>0</v>
      </c>
      <c r="L436" s="67">
        <f>EFEITO!$N$436*EFEITO!$AA$436</f>
        <v>0</v>
      </c>
      <c r="M436" s="67">
        <f ca="1">$J$436-EFEITO!$K$436*EFEITO!$Y$436</f>
        <v>0</v>
      </c>
      <c r="N436" s="67">
        <f>$K$436-EFEITO!$M$436*EFEITO!$Z$436</f>
        <v>0</v>
      </c>
      <c r="O436" s="67">
        <f>$L$436-EFEITO!$O$436*EFEITO!$AA$436</f>
        <v>0</v>
      </c>
      <c r="P436" s="18"/>
      <c r="Q436" s="18"/>
      <c r="R436" s="18"/>
      <c r="S436" s="18"/>
      <c r="T436" s="18"/>
      <c r="U436" s="18"/>
      <c r="V436" s="18"/>
      <c r="W436" s="18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8" t="s">
        <v>21</v>
      </c>
      <c r="B437" s="58" t="s">
        <v>39</v>
      </c>
      <c r="C437" s="58" t="s">
        <v>41</v>
      </c>
      <c r="D437" s="58" t="s">
        <v>45</v>
      </c>
      <c r="E437" s="58" t="s">
        <v>25</v>
      </c>
      <c r="F437" s="58" t="s">
        <v>25</v>
      </c>
      <c r="G437" s="58" t="s">
        <v>25</v>
      </c>
      <c r="H437" s="58" t="s">
        <v>25</v>
      </c>
      <c r="I437" s="66">
        <v>44652</v>
      </c>
      <c r="J437" s="67">
        <f ca="1">EFEITO!$J$437*EFEITO!$Y$437</f>
        <v>536338.04953813809</v>
      </c>
      <c r="K437" s="67">
        <f>EFEITO!$L$437*EFEITO!$Z$437</f>
        <v>0</v>
      </c>
      <c r="L437" s="67">
        <f>EFEITO!$N$437*EFEITO!$AA$437</f>
        <v>0</v>
      </c>
      <c r="M437" s="67">
        <f ca="1">$J$437-EFEITO!$K$437*EFEITO!$Y$437</f>
        <v>0</v>
      </c>
      <c r="N437" s="67">
        <f>$K$437-EFEITO!$M$437*EFEITO!$Z$437</f>
        <v>0</v>
      </c>
      <c r="O437" s="67">
        <f>$L$437-EFEITO!$O$437*EFEITO!$AA$437</f>
        <v>0</v>
      </c>
      <c r="P437" s="18"/>
      <c r="Q437" s="18"/>
      <c r="R437" s="18"/>
      <c r="S437" s="18"/>
      <c r="T437" s="18"/>
      <c r="U437" s="18"/>
      <c r="V437" s="18"/>
      <c r="W437" s="18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8" t="s">
        <v>28</v>
      </c>
      <c r="B438" s="58" t="s">
        <v>39</v>
      </c>
      <c r="C438" s="58" t="s">
        <v>41</v>
      </c>
      <c r="D438" s="58" t="s">
        <v>45</v>
      </c>
      <c r="E438" s="58" t="s">
        <v>25</v>
      </c>
      <c r="F438" s="58" t="s">
        <v>25</v>
      </c>
      <c r="G438" s="58" t="s">
        <v>25</v>
      </c>
      <c r="H438" s="58" t="s">
        <v>25</v>
      </c>
      <c r="I438" s="66">
        <v>44652</v>
      </c>
      <c r="J438" s="67">
        <f ca="1">EFEITO!$J$438*EFEITO!$Y$438</f>
        <v>237368.39685326861</v>
      </c>
      <c r="K438" s="67">
        <f>EFEITO!$L$438*EFEITO!$Z$438</f>
        <v>0</v>
      </c>
      <c r="L438" s="67">
        <f>EFEITO!$N$438*EFEITO!$AA$438</f>
        <v>0</v>
      </c>
      <c r="M438" s="67">
        <f ca="1">$J$438-EFEITO!$K$438*EFEITO!$Y$438</f>
        <v>0</v>
      </c>
      <c r="N438" s="67">
        <f>$K$438-EFEITO!$M$438*EFEITO!$Z$438</f>
        <v>0</v>
      </c>
      <c r="O438" s="67">
        <f>$L$438-EFEITO!$O$438*EFEITO!$AA$438</f>
        <v>0</v>
      </c>
      <c r="P438" s="18"/>
      <c r="Q438" s="18"/>
      <c r="R438" s="18"/>
      <c r="S438" s="18"/>
      <c r="T438" s="18"/>
      <c r="U438" s="18"/>
      <c r="V438" s="18"/>
      <c r="W438" s="18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8" t="s">
        <v>28</v>
      </c>
      <c r="B439" s="58" t="s">
        <v>39</v>
      </c>
      <c r="C439" s="58" t="s">
        <v>41</v>
      </c>
      <c r="D439" s="58" t="s">
        <v>45</v>
      </c>
      <c r="E439" s="58" t="s">
        <v>25</v>
      </c>
      <c r="F439" s="58" t="s">
        <v>25</v>
      </c>
      <c r="G439" s="58" t="s">
        <v>25</v>
      </c>
      <c r="H439" s="58" t="s">
        <v>25</v>
      </c>
      <c r="I439" s="66">
        <v>44652</v>
      </c>
      <c r="J439" s="67">
        <f ca="1">EFEITO!$J$439*EFEITO!$Y$439</f>
        <v>-19024.476785546896</v>
      </c>
      <c r="K439" s="67">
        <f>EFEITO!$L$439*EFEITO!$Z$439</f>
        <v>0</v>
      </c>
      <c r="L439" s="67">
        <f>EFEITO!$N$439*EFEITO!$AA$439</f>
        <v>0</v>
      </c>
      <c r="M439" s="67">
        <f ca="1">$J$439-EFEITO!$K$439*EFEITO!$Y$439</f>
        <v>0</v>
      </c>
      <c r="N439" s="67">
        <f>$K$439-EFEITO!$M$439*EFEITO!$Z$439</f>
        <v>0</v>
      </c>
      <c r="O439" s="67">
        <f>$L$439-EFEITO!$O$439*EFEITO!$AA$439</f>
        <v>0</v>
      </c>
      <c r="P439" s="18"/>
      <c r="Q439" s="18"/>
      <c r="R439" s="18"/>
      <c r="S439" s="18"/>
      <c r="T439" s="18"/>
      <c r="U439" s="18"/>
      <c r="V439" s="18"/>
      <c r="W439" s="18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8" t="s">
        <v>21</v>
      </c>
      <c r="B440" s="58" t="s">
        <v>39</v>
      </c>
      <c r="C440" s="58" t="s">
        <v>41</v>
      </c>
      <c r="D440" s="58" t="s">
        <v>45</v>
      </c>
      <c r="E440" s="58" t="s">
        <v>25</v>
      </c>
      <c r="F440" s="58" t="s">
        <v>25</v>
      </c>
      <c r="G440" s="58" t="s">
        <v>25</v>
      </c>
      <c r="H440" s="58" t="s">
        <v>25</v>
      </c>
      <c r="I440" s="66">
        <v>44682</v>
      </c>
      <c r="J440" s="67">
        <f ca="1">EFEITO!$J$440*EFEITO!$Y$440</f>
        <v>533788.76964887476</v>
      </c>
      <c r="K440" s="67">
        <f>EFEITO!$L$440*EFEITO!$Z$440</f>
        <v>0</v>
      </c>
      <c r="L440" s="67">
        <f>EFEITO!$N$440*EFEITO!$AA$440</f>
        <v>0</v>
      </c>
      <c r="M440" s="67">
        <f ca="1">$J$440-EFEITO!$K$440*EFEITO!$Y$440</f>
        <v>0</v>
      </c>
      <c r="N440" s="67">
        <f>$K$440-EFEITO!$M$440*EFEITO!$Z$440</f>
        <v>0</v>
      </c>
      <c r="O440" s="67">
        <f>$L$440-EFEITO!$O$440*EFEITO!$AA$440</f>
        <v>0</v>
      </c>
      <c r="P440" s="18"/>
      <c r="Q440" s="18"/>
      <c r="R440" s="18"/>
      <c r="S440" s="18"/>
      <c r="T440" s="18"/>
      <c r="U440" s="18"/>
      <c r="V440" s="18"/>
      <c r="W440" s="18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8" t="s">
        <v>27</v>
      </c>
      <c r="B441" s="58" t="s">
        <v>39</v>
      </c>
      <c r="C441" s="58" t="s">
        <v>41</v>
      </c>
      <c r="D441" s="58" t="s">
        <v>45</v>
      </c>
      <c r="E441" s="58" t="s">
        <v>25</v>
      </c>
      <c r="F441" s="58" t="s">
        <v>25</v>
      </c>
      <c r="G441" s="58" t="s">
        <v>25</v>
      </c>
      <c r="H441" s="58" t="s">
        <v>25</v>
      </c>
      <c r="I441" s="66">
        <v>44682</v>
      </c>
      <c r="J441" s="67">
        <f ca="1">EFEITO!$J$441*EFEITO!$Y$441</f>
        <v>5402.9514070953182</v>
      </c>
      <c r="K441" s="67">
        <f>EFEITO!$L$441*EFEITO!$Z$441</f>
        <v>0</v>
      </c>
      <c r="L441" s="67">
        <f>EFEITO!$N$441*EFEITO!$AA$441</f>
        <v>0</v>
      </c>
      <c r="M441" s="67">
        <f ca="1">$J$441-EFEITO!$K$441*EFEITO!$Y$441</f>
        <v>0</v>
      </c>
      <c r="N441" s="67">
        <f>$K$441-EFEITO!$M$441*EFEITO!$Z$441</f>
        <v>0</v>
      </c>
      <c r="O441" s="67">
        <f>$L$441-EFEITO!$O$441*EFEITO!$AA$441</f>
        <v>0</v>
      </c>
      <c r="P441" s="18"/>
      <c r="Q441" s="18"/>
      <c r="R441" s="18"/>
      <c r="S441" s="18"/>
      <c r="T441" s="18"/>
      <c r="U441" s="18"/>
      <c r="V441" s="18"/>
      <c r="W441" s="18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8" t="s">
        <v>28</v>
      </c>
      <c r="B442" s="58" t="s">
        <v>39</v>
      </c>
      <c r="C442" s="58" t="s">
        <v>41</v>
      </c>
      <c r="D442" s="58" t="s">
        <v>45</v>
      </c>
      <c r="E442" s="58" t="s">
        <v>25</v>
      </c>
      <c r="F442" s="58" t="s">
        <v>25</v>
      </c>
      <c r="G442" s="58" t="s">
        <v>25</v>
      </c>
      <c r="H442" s="58" t="s">
        <v>25</v>
      </c>
      <c r="I442" s="66">
        <v>44682</v>
      </c>
      <c r="J442" s="67">
        <f ca="1">EFEITO!$J$442*EFEITO!$Y$442</f>
        <v>991175.24052699318</v>
      </c>
      <c r="K442" s="67">
        <f>EFEITO!$L$442*EFEITO!$Z$442</f>
        <v>0</v>
      </c>
      <c r="L442" s="67">
        <f>EFEITO!$N$442*EFEITO!$AA$442</f>
        <v>0</v>
      </c>
      <c r="M442" s="67">
        <f ca="1">$J$442-EFEITO!$K$442*EFEITO!$Y$442</f>
        <v>0</v>
      </c>
      <c r="N442" s="67">
        <f>$K$442-EFEITO!$M$442*EFEITO!$Z$442</f>
        <v>0</v>
      </c>
      <c r="O442" s="67">
        <f>$L$442-EFEITO!$O$442*EFEITO!$AA$442</f>
        <v>0</v>
      </c>
      <c r="P442" s="18"/>
      <c r="Q442" s="18"/>
      <c r="R442" s="18"/>
      <c r="S442" s="18"/>
      <c r="T442" s="18"/>
      <c r="U442" s="18"/>
      <c r="V442" s="18"/>
      <c r="W442" s="18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8" t="s">
        <v>21</v>
      </c>
      <c r="B443" s="58" t="s">
        <v>39</v>
      </c>
      <c r="C443" s="58" t="s">
        <v>41</v>
      </c>
      <c r="D443" s="58" t="s">
        <v>45</v>
      </c>
      <c r="E443" s="58" t="s">
        <v>25</v>
      </c>
      <c r="F443" s="58" t="s">
        <v>25</v>
      </c>
      <c r="G443" s="58" t="s">
        <v>25</v>
      </c>
      <c r="H443" s="58" t="s">
        <v>25</v>
      </c>
      <c r="I443" s="66">
        <v>44713</v>
      </c>
      <c r="J443" s="67">
        <f ca="1">EFEITO!$J$443*EFEITO!$Y$443</f>
        <v>544499.55007913767</v>
      </c>
      <c r="K443" s="67">
        <f>EFEITO!$L$443*EFEITO!$Z$443</f>
        <v>0</v>
      </c>
      <c r="L443" s="67">
        <f>EFEITO!$N$443*EFEITO!$AA$443</f>
        <v>0</v>
      </c>
      <c r="M443" s="67">
        <f ca="1">$J$443-EFEITO!$K$443*EFEITO!$Y$443</f>
        <v>0</v>
      </c>
      <c r="N443" s="67">
        <f>$K$443-EFEITO!$M$443*EFEITO!$Z$443</f>
        <v>0</v>
      </c>
      <c r="O443" s="67">
        <f>$L$443-EFEITO!$O$443*EFEITO!$AA$443</f>
        <v>0</v>
      </c>
      <c r="P443" s="18"/>
      <c r="Q443" s="18"/>
      <c r="R443" s="18"/>
      <c r="S443" s="18"/>
      <c r="T443" s="18"/>
      <c r="U443" s="18"/>
      <c r="V443" s="18"/>
      <c r="W443" s="18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8" t="s">
        <v>27</v>
      </c>
      <c r="B444" s="58" t="s">
        <v>39</v>
      </c>
      <c r="C444" s="58" t="s">
        <v>41</v>
      </c>
      <c r="D444" s="58" t="s">
        <v>45</v>
      </c>
      <c r="E444" s="58" t="s">
        <v>25</v>
      </c>
      <c r="F444" s="58" t="s">
        <v>25</v>
      </c>
      <c r="G444" s="58" t="s">
        <v>25</v>
      </c>
      <c r="H444" s="58" t="s">
        <v>25</v>
      </c>
      <c r="I444" s="66">
        <v>44713</v>
      </c>
      <c r="J444" s="67">
        <f ca="1">EFEITO!$J$444*EFEITO!$Y$444</f>
        <v>15238.605905223063</v>
      </c>
      <c r="K444" s="67">
        <f>EFEITO!$L$444*EFEITO!$Z$444</f>
        <v>0</v>
      </c>
      <c r="L444" s="67">
        <f>EFEITO!$N$444*EFEITO!$AA$444</f>
        <v>0</v>
      </c>
      <c r="M444" s="67">
        <f ca="1">$J$444-EFEITO!$K$444*EFEITO!$Y$444</f>
        <v>0</v>
      </c>
      <c r="N444" s="67">
        <f>$K$444-EFEITO!$M$444*EFEITO!$Z$444</f>
        <v>0</v>
      </c>
      <c r="O444" s="67">
        <f>$L$444-EFEITO!$O$444*EFEITO!$AA$444</f>
        <v>0</v>
      </c>
      <c r="P444" s="18"/>
      <c r="Q444" s="18"/>
      <c r="R444" s="18"/>
      <c r="S444" s="18"/>
      <c r="T444" s="18"/>
      <c r="U444" s="18"/>
      <c r="V444" s="18"/>
      <c r="W444" s="18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8" t="s">
        <v>28</v>
      </c>
      <c r="B445" s="58" t="s">
        <v>39</v>
      </c>
      <c r="C445" s="58" t="s">
        <v>41</v>
      </c>
      <c r="D445" s="58" t="s">
        <v>45</v>
      </c>
      <c r="E445" s="58" t="s">
        <v>25</v>
      </c>
      <c r="F445" s="58" t="s">
        <v>25</v>
      </c>
      <c r="G445" s="58" t="s">
        <v>25</v>
      </c>
      <c r="H445" s="58" t="s">
        <v>25</v>
      </c>
      <c r="I445" s="66">
        <v>44713</v>
      </c>
      <c r="J445" s="67">
        <f ca="1">EFEITO!$J$445*EFEITO!$Y$445</f>
        <v>318241.44766862848</v>
      </c>
      <c r="K445" s="67">
        <f>EFEITO!$L$445*EFEITO!$Z$445</f>
        <v>0</v>
      </c>
      <c r="L445" s="67">
        <f>EFEITO!$N$445*EFEITO!$AA$445</f>
        <v>0</v>
      </c>
      <c r="M445" s="67">
        <f ca="1">$J$445-EFEITO!$K$445*EFEITO!$Y$445</f>
        <v>0</v>
      </c>
      <c r="N445" s="67">
        <f>$K$445-EFEITO!$M$445*EFEITO!$Z$445</f>
        <v>0</v>
      </c>
      <c r="O445" s="67">
        <f>$L$445-EFEITO!$O$445*EFEITO!$AA$445</f>
        <v>0</v>
      </c>
      <c r="P445" s="18"/>
      <c r="Q445" s="18"/>
      <c r="R445" s="18"/>
      <c r="S445" s="18"/>
      <c r="T445" s="18"/>
      <c r="U445" s="18"/>
      <c r="V445" s="18"/>
      <c r="W445" s="18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8" t="s">
        <v>21</v>
      </c>
      <c r="B446" s="58" t="s">
        <v>39</v>
      </c>
      <c r="C446" s="58" t="s">
        <v>41</v>
      </c>
      <c r="D446" s="58" t="s">
        <v>45</v>
      </c>
      <c r="E446" s="58" t="s">
        <v>25</v>
      </c>
      <c r="F446" s="58" t="s">
        <v>25</v>
      </c>
      <c r="G446" s="58" t="s">
        <v>25</v>
      </c>
      <c r="H446" s="58" t="s">
        <v>25</v>
      </c>
      <c r="I446" s="66">
        <v>44743</v>
      </c>
      <c r="J446" s="67">
        <f ca="1">EFEITO!$J$446*EFEITO!$Y$446</f>
        <v>542768.32269165292</v>
      </c>
      <c r="K446" s="67">
        <f>EFEITO!$L$446*EFEITO!$Z$446</f>
        <v>0</v>
      </c>
      <c r="L446" s="67">
        <f>EFEITO!$N$446*EFEITO!$AA$446</f>
        <v>0</v>
      </c>
      <c r="M446" s="67">
        <f ca="1">$J$446-EFEITO!$K$446*EFEITO!$Y$446</f>
        <v>0</v>
      </c>
      <c r="N446" s="67">
        <f>$K$446-EFEITO!$M$446*EFEITO!$Z$446</f>
        <v>0</v>
      </c>
      <c r="O446" s="67">
        <f>$L$446-EFEITO!$O$446*EFEITO!$AA$446</f>
        <v>0</v>
      </c>
      <c r="P446" s="18"/>
      <c r="Q446" s="18"/>
      <c r="R446" s="18"/>
      <c r="S446" s="18"/>
      <c r="T446" s="18"/>
      <c r="U446" s="18"/>
      <c r="V446" s="18"/>
      <c r="W446" s="18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8" t="s">
        <v>27</v>
      </c>
      <c r="B447" s="58" t="s">
        <v>39</v>
      </c>
      <c r="C447" s="58" t="s">
        <v>41</v>
      </c>
      <c r="D447" s="58" t="s">
        <v>45</v>
      </c>
      <c r="E447" s="58" t="s">
        <v>25</v>
      </c>
      <c r="F447" s="58" t="s">
        <v>25</v>
      </c>
      <c r="G447" s="58" t="s">
        <v>25</v>
      </c>
      <c r="H447" s="58" t="s">
        <v>25</v>
      </c>
      <c r="I447" s="66">
        <v>44743</v>
      </c>
      <c r="J447" s="67">
        <f ca="1">EFEITO!$J$447*EFEITO!$Y$447</f>
        <v>1902.4476785546894</v>
      </c>
      <c r="K447" s="67">
        <f>EFEITO!$L$447*EFEITO!$Z$447</f>
        <v>0</v>
      </c>
      <c r="L447" s="67">
        <f>EFEITO!$N$447*EFEITO!$AA$447</f>
        <v>0</v>
      </c>
      <c r="M447" s="67">
        <f ca="1">$J$447-EFEITO!$K$447*EFEITO!$Y$447</f>
        <v>0</v>
      </c>
      <c r="N447" s="67">
        <f>$K$447-EFEITO!$M$447*EFEITO!$Z$447</f>
        <v>0</v>
      </c>
      <c r="O447" s="67">
        <f>$L$447-EFEITO!$O$447*EFEITO!$AA$447</f>
        <v>0</v>
      </c>
      <c r="P447" s="18"/>
      <c r="Q447" s="18"/>
      <c r="R447" s="18"/>
      <c r="S447" s="18"/>
      <c r="T447" s="18"/>
      <c r="U447" s="18"/>
      <c r="V447" s="18"/>
      <c r="W447" s="18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8" t="s">
        <v>28</v>
      </c>
      <c r="B448" s="58" t="s">
        <v>39</v>
      </c>
      <c r="C448" s="58" t="s">
        <v>41</v>
      </c>
      <c r="D448" s="58" t="s">
        <v>45</v>
      </c>
      <c r="E448" s="58" t="s">
        <v>25</v>
      </c>
      <c r="F448" s="58" t="s">
        <v>25</v>
      </c>
      <c r="G448" s="58" t="s">
        <v>25</v>
      </c>
      <c r="H448" s="58" t="s">
        <v>25</v>
      </c>
      <c r="I448" s="66">
        <v>44743</v>
      </c>
      <c r="J448" s="67">
        <f ca="1">EFEITO!$J$448*EFEITO!$Y$448</f>
        <v>250609.43269600926</v>
      </c>
      <c r="K448" s="67">
        <f>EFEITO!$L$448*EFEITO!$Z$448</f>
        <v>0</v>
      </c>
      <c r="L448" s="67">
        <f>EFEITO!$N$448*EFEITO!$AA$448</f>
        <v>0</v>
      </c>
      <c r="M448" s="67">
        <f ca="1">$J$448-EFEITO!$K$448*EFEITO!$Y$448</f>
        <v>0</v>
      </c>
      <c r="N448" s="67">
        <f>$K$448-EFEITO!$M$448*EFEITO!$Z$448</f>
        <v>0</v>
      </c>
      <c r="O448" s="67">
        <f>$L$448-EFEITO!$O$448*EFEITO!$AA$448</f>
        <v>0</v>
      </c>
      <c r="P448" s="18"/>
      <c r="Q448" s="18"/>
      <c r="R448" s="18"/>
      <c r="S448" s="18"/>
      <c r="T448" s="18"/>
      <c r="U448" s="18"/>
      <c r="V448" s="18"/>
      <c r="W448" s="18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8" t="s">
        <v>28</v>
      </c>
      <c r="B449" s="58" t="s">
        <v>39</v>
      </c>
      <c r="C449" s="58" t="s">
        <v>41</v>
      </c>
      <c r="D449" s="58" t="s">
        <v>45</v>
      </c>
      <c r="E449" s="58" t="s">
        <v>25</v>
      </c>
      <c r="F449" s="58" t="s">
        <v>25</v>
      </c>
      <c r="G449" s="58" t="s">
        <v>25</v>
      </c>
      <c r="H449" s="58" t="s">
        <v>25</v>
      </c>
      <c r="I449" s="66">
        <v>44743</v>
      </c>
      <c r="J449" s="67">
        <f ca="1">EFEITO!$J$449*EFEITO!$Y$449</f>
        <v>-70048.123524383671</v>
      </c>
      <c r="K449" s="67">
        <f>EFEITO!$L$449*EFEITO!$Z$449</f>
        <v>0</v>
      </c>
      <c r="L449" s="67">
        <f>EFEITO!$N$449*EFEITO!$AA$449</f>
        <v>0</v>
      </c>
      <c r="M449" s="67">
        <f ca="1">$J$449-EFEITO!$K$449*EFEITO!$Y$449</f>
        <v>0</v>
      </c>
      <c r="N449" s="67">
        <f>$K$449-EFEITO!$M$449*EFEITO!$Z$449</f>
        <v>0</v>
      </c>
      <c r="O449" s="67">
        <f>$L$449-EFEITO!$O$449*EFEITO!$AA$449</f>
        <v>0</v>
      </c>
      <c r="P449" s="18"/>
      <c r="Q449" s="18"/>
      <c r="R449" s="18"/>
      <c r="S449" s="18"/>
      <c r="T449" s="18"/>
      <c r="U449" s="18"/>
      <c r="V449" s="18"/>
      <c r="W449" s="18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8" t="s">
        <v>21</v>
      </c>
      <c r="B450" s="58" t="s">
        <v>39</v>
      </c>
      <c r="C450" s="58" t="s">
        <v>41</v>
      </c>
      <c r="D450" s="58" t="s">
        <v>45</v>
      </c>
      <c r="E450" s="58" t="s">
        <v>25</v>
      </c>
      <c r="F450" s="58" t="s">
        <v>25</v>
      </c>
      <c r="G450" s="58" t="s">
        <v>25</v>
      </c>
      <c r="H450" s="58" t="s">
        <v>25</v>
      </c>
      <c r="I450" s="66">
        <v>44774</v>
      </c>
      <c r="J450" s="67">
        <f ca="1">EFEITO!$J$450*EFEITO!$Y$450</f>
        <v>551005.92113979475</v>
      </c>
      <c r="K450" s="67">
        <f>EFEITO!$L$450*EFEITO!$Z$450</f>
        <v>0</v>
      </c>
      <c r="L450" s="67">
        <f>EFEITO!$N$450*EFEITO!$AA$450</f>
        <v>0</v>
      </c>
      <c r="M450" s="67">
        <f ca="1">$J$450-EFEITO!$K$450*EFEITO!$Y$450</f>
        <v>0</v>
      </c>
      <c r="N450" s="67">
        <f>$K$450-EFEITO!$M$450*EFEITO!$Z$450</f>
        <v>0</v>
      </c>
      <c r="O450" s="67">
        <f>$L$450-EFEITO!$O$450*EFEITO!$AA$450</f>
        <v>0</v>
      </c>
      <c r="P450" s="18"/>
      <c r="Q450" s="18"/>
      <c r="R450" s="18"/>
      <c r="S450" s="18"/>
      <c r="T450" s="18"/>
      <c r="U450" s="18"/>
      <c r="V450" s="18"/>
      <c r="W450" s="18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8" t="s">
        <v>28</v>
      </c>
      <c r="B451" s="58" t="s">
        <v>39</v>
      </c>
      <c r="C451" s="58" t="s">
        <v>41</v>
      </c>
      <c r="D451" s="58" t="s">
        <v>45</v>
      </c>
      <c r="E451" s="58" t="s">
        <v>25</v>
      </c>
      <c r="F451" s="58" t="s">
        <v>25</v>
      </c>
      <c r="G451" s="58" t="s">
        <v>25</v>
      </c>
      <c r="H451" s="58" t="s">
        <v>25</v>
      </c>
      <c r="I451" s="66">
        <v>44774</v>
      </c>
      <c r="J451" s="67">
        <f ca="1">EFEITO!$J$451*EFEITO!$Y$451</f>
        <v>255327.50293882488</v>
      </c>
      <c r="K451" s="67">
        <f>EFEITO!$L$451*EFEITO!$Z$451</f>
        <v>0</v>
      </c>
      <c r="L451" s="67">
        <f>EFEITO!$N$451*EFEITO!$AA$451</f>
        <v>0</v>
      </c>
      <c r="M451" s="67">
        <f ca="1">$J$451-EFEITO!$K$451*EFEITO!$Y$451</f>
        <v>0</v>
      </c>
      <c r="N451" s="67">
        <f>$K$451-EFEITO!$M$451*EFEITO!$Z$451</f>
        <v>0</v>
      </c>
      <c r="O451" s="67">
        <f>$L$451-EFEITO!$O$451*EFEITO!$AA$451</f>
        <v>0</v>
      </c>
      <c r="P451" s="18"/>
      <c r="Q451" s="18"/>
      <c r="R451" s="18"/>
      <c r="S451" s="18"/>
      <c r="T451" s="18"/>
      <c r="U451" s="18"/>
      <c r="V451" s="18"/>
      <c r="W451" s="18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8" t="s">
        <v>21</v>
      </c>
      <c r="B452" s="58" t="s">
        <v>39</v>
      </c>
      <c r="C452" s="58" t="s">
        <v>41</v>
      </c>
      <c r="D452" s="58" t="s">
        <v>45</v>
      </c>
      <c r="E452" s="58" t="s">
        <v>25</v>
      </c>
      <c r="F452" s="58" t="s">
        <v>25</v>
      </c>
      <c r="G452" s="58" t="s">
        <v>25</v>
      </c>
      <c r="H452" s="58" t="s">
        <v>25</v>
      </c>
      <c r="I452" s="66">
        <v>44805</v>
      </c>
      <c r="J452" s="67">
        <f ca="1">EFEITO!$J$452*EFEITO!$Y$452</f>
        <v>554297.1556236943</v>
      </c>
      <c r="K452" s="67">
        <f>EFEITO!$L$452*EFEITO!$Z$452</f>
        <v>0</v>
      </c>
      <c r="L452" s="67">
        <f>EFEITO!$N$452*EFEITO!$AA$452</f>
        <v>0</v>
      </c>
      <c r="M452" s="67">
        <f ca="1">$J$452-EFEITO!$K$452*EFEITO!$Y$452</f>
        <v>0</v>
      </c>
      <c r="N452" s="67">
        <f>$K$452-EFEITO!$M$452*EFEITO!$Z$452</f>
        <v>0</v>
      </c>
      <c r="O452" s="67">
        <f>$L$452-EFEITO!$O$452*EFEITO!$AA$452</f>
        <v>0</v>
      </c>
      <c r="P452" s="18"/>
      <c r="Q452" s="18"/>
      <c r="R452" s="18"/>
      <c r="S452" s="18"/>
      <c r="T452" s="18"/>
      <c r="U452" s="18"/>
      <c r="V452" s="18"/>
      <c r="W452" s="18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8" t="s">
        <v>27</v>
      </c>
      <c r="B453" s="58" t="s">
        <v>39</v>
      </c>
      <c r="C453" s="58" t="s">
        <v>41</v>
      </c>
      <c r="D453" s="58" t="s">
        <v>45</v>
      </c>
      <c r="E453" s="58" t="s">
        <v>25</v>
      </c>
      <c r="F453" s="58" t="s">
        <v>25</v>
      </c>
      <c r="G453" s="58" t="s">
        <v>25</v>
      </c>
      <c r="H453" s="58" t="s">
        <v>25</v>
      </c>
      <c r="I453" s="66">
        <v>44805</v>
      </c>
      <c r="J453" s="67">
        <f ca="1">EFEITO!$J$453*EFEITO!$Y$453</f>
        <v>1521.9581428437516</v>
      </c>
      <c r="K453" s="67">
        <f>EFEITO!$L$453*EFEITO!$Z$453</f>
        <v>0</v>
      </c>
      <c r="L453" s="67">
        <f>EFEITO!$N$453*EFEITO!$AA$453</f>
        <v>0</v>
      </c>
      <c r="M453" s="67">
        <f ca="1">$J$453-EFEITO!$K$453*EFEITO!$Y$453</f>
        <v>0</v>
      </c>
      <c r="N453" s="67">
        <f>$K$453-EFEITO!$M$453*EFEITO!$Z$453</f>
        <v>0</v>
      </c>
      <c r="O453" s="67">
        <f>$L$453-EFEITO!$O$453*EFEITO!$AA$453</f>
        <v>0</v>
      </c>
      <c r="P453" s="18"/>
      <c r="Q453" s="18"/>
      <c r="R453" s="18"/>
      <c r="S453" s="18"/>
      <c r="T453" s="18"/>
      <c r="U453" s="18"/>
      <c r="V453" s="18"/>
      <c r="W453" s="18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8" t="s">
        <v>28</v>
      </c>
      <c r="B454" s="58" t="s">
        <v>39</v>
      </c>
      <c r="C454" s="58" t="s">
        <v>41</v>
      </c>
      <c r="D454" s="58" t="s">
        <v>45</v>
      </c>
      <c r="E454" s="58" t="s">
        <v>25</v>
      </c>
      <c r="F454" s="58" t="s">
        <v>25</v>
      </c>
      <c r="G454" s="58" t="s">
        <v>25</v>
      </c>
      <c r="H454" s="58" t="s">
        <v>25</v>
      </c>
      <c r="I454" s="66">
        <v>44805</v>
      </c>
      <c r="J454" s="67">
        <f ca="1">EFEITO!$J$454*EFEITO!$Y$454</f>
        <v>256050.43305667565</v>
      </c>
      <c r="K454" s="67">
        <f>EFEITO!$L$454*EFEITO!$Z$454</f>
        <v>0</v>
      </c>
      <c r="L454" s="67">
        <f>EFEITO!$N$454*EFEITO!$AA$454</f>
        <v>0</v>
      </c>
      <c r="M454" s="67">
        <f ca="1">$J$454-EFEITO!$K$454*EFEITO!$Y$454</f>
        <v>0</v>
      </c>
      <c r="N454" s="67">
        <f>$K$454-EFEITO!$M$454*EFEITO!$Z$454</f>
        <v>0</v>
      </c>
      <c r="O454" s="67">
        <f>$L$454-EFEITO!$O$454*EFEITO!$AA$454</f>
        <v>0</v>
      </c>
      <c r="P454" s="18"/>
      <c r="Q454" s="18"/>
      <c r="R454" s="18"/>
      <c r="S454" s="18"/>
      <c r="T454" s="18"/>
      <c r="U454" s="18"/>
      <c r="V454" s="18"/>
      <c r="W454" s="18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8" t="s">
        <v>55</v>
      </c>
      <c r="B455" s="58" t="s">
        <v>39</v>
      </c>
      <c r="C455" s="58" t="s">
        <v>41</v>
      </c>
      <c r="D455" s="58" t="s">
        <v>45</v>
      </c>
      <c r="E455" s="58" t="s">
        <v>25</v>
      </c>
      <c r="F455" s="58" t="s">
        <v>25</v>
      </c>
      <c r="G455" s="58" t="s">
        <v>25</v>
      </c>
      <c r="H455" s="58" t="s">
        <v>25</v>
      </c>
      <c r="I455" s="66">
        <v>44835</v>
      </c>
      <c r="J455" s="67">
        <f ca="1">EFEITO!$J$455*EFEITO!$Y$455</f>
        <v>554297.1556236943</v>
      </c>
      <c r="K455" s="67">
        <f>EFEITO!$L$455*EFEITO!$Z$455</f>
        <v>0</v>
      </c>
      <c r="L455" s="67">
        <f>EFEITO!$N$455*EFEITO!$AA$455</f>
        <v>0</v>
      </c>
      <c r="M455" s="67">
        <f ca="1">$J$455-EFEITO!$K$455*EFEITO!$Y$455</f>
        <v>0</v>
      </c>
      <c r="N455" s="67">
        <f>$K$455-EFEITO!$M$455*EFEITO!$Z$455</f>
        <v>0</v>
      </c>
      <c r="O455" s="67">
        <f>$L$455-EFEITO!$O$455*EFEITO!$AA$455</f>
        <v>0</v>
      </c>
      <c r="P455" s="18"/>
      <c r="Q455" s="18"/>
      <c r="R455" s="18"/>
      <c r="S455" s="18"/>
      <c r="T455" s="18"/>
      <c r="U455" s="18"/>
      <c r="V455" s="18"/>
      <c r="W455" s="18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8" t="s">
        <v>55</v>
      </c>
      <c r="B456" s="58" t="s">
        <v>39</v>
      </c>
      <c r="C456" s="58" t="s">
        <v>41</v>
      </c>
      <c r="D456" s="58" t="s">
        <v>45</v>
      </c>
      <c r="E456" s="58" t="s">
        <v>25</v>
      </c>
      <c r="F456" s="58" t="s">
        <v>25</v>
      </c>
      <c r="G456" s="58" t="s">
        <v>25</v>
      </c>
      <c r="H456" s="58" t="s">
        <v>25</v>
      </c>
      <c r="I456" s="66">
        <v>44835</v>
      </c>
      <c r="J456" s="67">
        <f ca="1">EFEITO!$J$456*EFEITO!$Y$456</f>
        <v>1521.9581428437516</v>
      </c>
      <c r="K456" s="67">
        <f>EFEITO!$L$456*EFEITO!$Z$456</f>
        <v>0</v>
      </c>
      <c r="L456" s="67">
        <f>EFEITO!$N$456*EFEITO!$AA$456</f>
        <v>0</v>
      </c>
      <c r="M456" s="67">
        <f ca="1">$J$456-EFEITO!$K$456*EFEITO!$Y$456</f>
        <v>0</v>
      </c>
      <c r="N456" s="67">
        <f>$K$456-EFEITO!$M$456*EFEITO!$Z$456</f>
        <v>0</v>
      </c>
      <c r="O456" s="67">
        <f>$L$456-EFEITO!$O$456*EFEITO!$AA$456</f>
        <v>0</v>
      </c>
      <c r="P456" s="18"/>
      <c r="Q456" s="18"/>
      <c r="R456" s="18"/>
      <c r="S456" s="18"/>
      <c r="T456" s="18"/>
      <c r="U456" s="18"/>
      <c r="V456" s="18"/>
      <c r="W456" s="18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8" t="s">
        <v>55</v>
      </c>
      <c r="B457" s="58" t="s">
        <v>39</v>
      </c>
      <c r="C457" s="58" t="s">
        <v>41</v>
      </c>
      <c r="D457" s="58" t="s">
        <v>45</v>
      </c>
      <c r="E457" s="58" t="s">
        <v>25</v>
      </c>
      <c r="F457" s="58" t="s">
        <v>25</v>
      </c>
      <c r="G457" s="58" t="s">
        <v>25</v>
      </c>
      <c r="H457" s="58" t="s">
        <v>25</v>
      </c>
      <c r="I457" s="66">
        <v>44835</v>
      </c>
      <c r="J457" s="67">
        <f ca="1">EFEITO!$J$457*EFEITO!$Y$457</f>
        <v>256050.43305667565</v>
      </c>
      <c r="K457" s="67">
        <f>EFEITO!$L$457*EFEITO!$Z$457</f>
        <v>0</v>
      </c>
      <c r="L457" s="67">
        <f>EFEITO!$N$457*EFEITO!$AA$457</f>
        <v>0</v>
      </c>
      <c r="M457" s="67">
        <f ca="1">$J$457-EFEITO!$K$457*EFEITO!$Y$457</f>
        <v>0</v>
      </c>
      <c r="N457" s="67">
        <f>$K$457-EFEITO!$M$457*EFEITO!$Z$457</f>
        <v>0</v>
      </c>
      <c r="O457" s="67">
        <f>$L$457-EFEITO!$O$457*EFEITO!$AA$457</f>
        <v>0</v>
      </c>
      <c r="P457" s="18"/>
      <c r="Q457" s="18"/>
      <c r="R457" s="18"/>
      <c r="S457" s="18"/>
      <c r="T457" s="18"/>
      <c r="U457" s="18"/>
      <c r="V457" s="18"/>
      <c r="W457" s="18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8" t="s">
        <v>21</v>
      </c>
      <c r="B458" s="58" t="s">
        <v>39</v>
      </c>
      <c r="C458" s="58" t="s">
        <v>41</v>
      </c>
      <c r="D458" s="58" t="s">
        <v>45</v>
      </c>
      <c r="E458" s="58" t="s">
        <v>25</v>
      </c>
      <c r="F458" s="58" t="s">
        <v>25</v>
      </c>
      <c r="G458" s="58" t="s">
        <v>25</v>
      </c>
      <c r="H458" s="58" t="s">
        <v>34</v>
      </c>
      <c r="I458" s="66">
        <v>44501</v>
      </c>
      <c r="J458" s="67">
        <f>EFEITO!$J$458*EFEITO!$Y$458</f>
        <v>0</v>
      </c>
      <c r="K458" s="67">
        <f ca="1">EFEITO!$L$458*EFEITO!$Z$458</f>
        <v>383474.69649665157</v>
      </c>
      <c r="L458" s="67">
        <f>EFEITO!$N$458*EFEITO!$AA$458</f>
        <v>139355.69236575277</v>
      </c>
      <c r="M458" s="67">
        <f>$J$458-EFEITO!$K$458*EFEITO!$Y$458</f>
        <v>0</v>
      </c>
      <c r="N458" s="67">
        <f ca="1">$K$458-EFEITO!$M$458*EFEITO!$Z$458</f>
        <v>0</v>
      </c>
      <c r="O458" s="67">
        <f>$L$458-EFEITO!$O$458*EFEITO!$AA$458</f>
        <v>0</v>
      </c>
      <c r="P458" s="18"/>
      <c r="Q458" s="18"/>
      <c r="R458" s="18"/>
      <c r="S458" s="18"/>
      <c r="T458" s="18"/>
      <c r="U458" s="18"/>
      <c r="V458" s="18"/>
      <c r="W458" s="18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8" t="s">
        <v>27</v>
      </c>
      <c r="B459" s="58" t="s">
        <v>39</v>
      </c>
      <c r="C459" s="58" t="s">
        <v>41</v>
      </c>
      <c r="D459" s="58" t="s">
        <v>45</v>
      </c>
      <c r="E459" s="58" t="s">
        <v>25</v>
      </c>
      <c r="F459" s="58" t="s">
        <v>25</v>
      </c>
      <c r="G459" s="58" t="s">
        <v>25</v>
      </c>
      <c r="H459" s="58" t="s">
        <v>34</v>
      </c>
      <c r="I459" s="66">
        <v>44501</v>
      </c>
      <c r="J459" s="67">
        <f>EFEITO!$J$459*EFEITO!$Y$459</f>
        <v>0</v>
      </c>
      <c r="K459" s="67">
        <f ca="1">EFEITO!$L$459*EFEITO!$Z$459</f>
        <v>1665.5666874177741</v>
      </c>
      <c r="L459" s="67">
        <f>EFEITO!$N$459*EFEITO!$AA$459</f>
        <v>605.27122396057223</v>
      </c>
      <c r="M459" s="67">
        <f>$J$459-EFEITO!$K$459*EFEITO!$Y$459</f>
        <v>0</v>
      </c>
      <c r="N459" s="67">
        <f ca="1">$K$459-EFEITO!$M$459*EFEITO!$Z$459</f>
        <v>0</v>
      </c>
      <c r="O459" s="67">
        <f>$L$459-EFEITO!$O$459*EFEITO!$AA$459</f>
        <v>0</v>
      </c>
      <c r="P459" s="18"/>
      <c r="Q459" s="18"/>
      <c r="R459" s="18"/>
      <c r="S459" s="18"/>
      <c r="T459" s="18"/>
      <c r="U459" s="18"/>
      <c r="V459" s="18"/>
      <c r="W459" s="18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8" t="s">
        <v>28</v>
      </c>
      <c r="B460" s="58" t="s">
        <v>39</v>
      </c>
      <c r="C460" s="58" t="s">
        <v>41</v>
      </c>
      <c r="D460" s="58" t="s">
        <v>45</v>
      </c>
      <c r="E460" s="58" t="s">
        <v>25</v>
      </c>
      <c r="F460" s="58" t="s">
        <v>25</v>
      </c>
      <c r="G460" s="58" t="s">
        <v>25</v>
      </c>
      <c r="H460" s="58" t="s">
        <v>34</v>
      </c>
      <c r="I460" s="66">
        <v>44501</v>
      </c>
      <c r="J460" s="67">
        <f>EFEITO!$J$460*EFEITO!$Y$460</f>
        <v>0</v>
      </c>
      <c r="K460" s="67">
        <f ca="1">EFEITO!$L$460*EFEITO!$Z$460</f>
        <v>87514.699505881363</v>
      </c>
      <c r="L460" s="67">
        <f>EFEITO!$N$460*EFEITO!$AA$460</f>
        <v>31803.067199061959</v>
      </c>
      <c r="M460" s="67">
        <f>$J$460-EFEITO!$K$460*EFEITO!$Y$460</f>
        <v>0</v>
      </c>
      <c r="N460" s="67">
        <f ca="1">$K$460-EFEITO!$M$460*EFEITO!$Z$460</f>
        <v>0</v>
      </c>
      <c r="O460" s="67">
        <f>$L$460-EFEITO!$O$460*EFEITO!$AA$460</f>
        <v>0</v>
      </c>
      <c r="P460" s="18"/>
      <c r="Q460" s="18"/>
      <c r="R460" s="18"/>
      <c r="S460" s="18"/>
      <c r="T460" s="18"/>
      <c r="U460" s="18"/>
      <c r="V460" s="18"/>
      <c r="W460" s="18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8" t="s">
        <v>21</v>
      </c>
      <c r="B461" s="58" t="s">
        <v>39</v>
      </c>
      <c r="C461" s="58" t="s">
        <v>41</v>
      </c>
      <c r="D461" s="58" t="s">
        <v>45</v>
      </c>
      <c r="E461" s="58" t="s">
        <v>25</v>
      </c>
      <c r="F461" s="58" t="s">
        <v>25</v>
      </c>
      <c r="G461" s="58" t="s">
        <v>25</v>
      </c>
      <c r="H461" s="58" t="s">
        <v>34</v>
      </c>
      <c r="I461" s="66">
        <v>44531</v>
      </c>
      <c r="J461" s="67">
        <f>EFEITO!$J$461*EFEITO!$Y$461</f>
        <v>0</v>
      </c>
      <c r="K461" s="67">
        <f ca="1">EFEITO!$L$461*EFEITO!$Z$461</f>
        <v>402335.18528170697</v>
      </c>
      <c r="L461" s="67">
        <f>EFEITO!$N$461*EFEITO!$AA$461</f>
        <v>146209.64256640404</v>
      </c>
      <c r="M461" s="67">
        <f>$J$461-EFEITO!$K$461*EFEITO!$Y$461</f>
        <v>0</v>
      </c>
      <c r="N461" s="67">
        <f ca="1">$K$461-EFEITO!$M$461*EFEITO!$Z$461</f>
        <v>0</v>
      </c>
      <c r="O461" s="67">
        <f>$L$461-EFEITO!$O$461*EFEITO!$AA$461</f>
        <v>0</v>
      </c>
      <c r="P461" s="18"/>
      <c r="Q461" s="18"/>
      <c r="R461" s="18"/>
      <c r="S461" s="18"/>
      <c r="T461" s="18"/>
      <c r="U461" s="18"/>
      <c r="V461" s="18"/>
      <c r="W461" s="18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8" t="s">
        <v>28</v>
      </c>
      <c r="B462" s="58" t="s">
        <v>39</v>
      </c>
      <c r="C462" s="58" t="s">
        <v>41</v>
      </c>
      <c r="D462" s="58" t="s">
        <v>45</v>
      </c>
      <c r="E462" s="58" t="s">
        <v>25</v>
      </c>
      <c r="F462" s="58" t="s">
        <v>25</v>
      </c>
      <c r="G462" s="58" t="s">
        <v>25</v>
      </c>
      <c r="H462" s="58" t="s">
        <v>34</v>
      </c>
      <c r="I462" s="66">
        <v>44531</v>
      </c>
      <c r="J462" s="67">
        <f>EFEITO!$J$462*EFEITO!$Y$462</f>
        <v>0</v>
      </c>
      <c r="K462" s="67">
        <f ca="1">EFEITO!$L$462*EFEITO!$Z$462</f>
        <v>87432.541507847302</v>
      </c>
      <c r="L462" s="67">
        <f>EFEITO!$N$462*EFEITO!$AA$462</f>
        <v>31773.210770974216</v>
      </c>
      <c r="M462" s="67">
        <f>$J$462-EFEITO!$K$462*EFEITO!$Y$462</f>
        <v>0</v>
      </c>
      <c r="N462" s="67">
        <f ca="1">$K$462-EFEITO!$M$462*EFEITO!$Z$462</f>
        <v>0</v>
      </c>
      <c r="O462" s="67">
        <f>$L$462-EFEITO!$O$462*EFEITO!$AA$462</f>
        <v>0</v>
      </c>
      <c r="P462" s="18"/>
      <c r="Q462" s="18"/>
      <c r="R462" s="18"/>
      <c r="S462" s="18"/>
      <c r="T462" s="18"/>
      <c r="U462" s="18"/>
      <c r="V462" s="18"/>
      <c r="W462" s="18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8" t="s">
        <v>28</v>
      </c>
      <c r="B463" s="58" t="s">
        <v>39</v>
      </c>
      <c r="C463" s="58" t="s">
        <v>41</v>
      </c>
      <c r="D463" s="58" t="s">
        <v>45</v>
      </c>
      <c r="E463" s="58" t="s">
        <v>25</v>
      </c>
      <c r="F463" s="58" t="s">
        <v>25</v>
      </c>
      <c r="G463" s="58" t="s">
        <v>25</v>
      </c>
      <c r="H463" s="58" t="s">
        <v>34</v>
      </c>
      <c r="I463" s="66">
        <v>44531</v>
      </c>
      <c r="J463" s="67">
        <f>EFEITO!$J$463*EFEITO!$Y$463</f>
        <v>0</v>
      </c>
      <c r="K463" s="67">
        <f ca="1">EFEITO!$L$463*EFEITO!$Z$463</f>
        <v>101.57716120574767</v>
      </c>
      <c r="L463" s="67">
        <f>EFEITO!$N$463*EFEITO!$AA$463</f>
        <v>36.913401999389158</v>
      </c>
      <c r="M463" s="67">
        <f>$J$463-EFEITO!$K$463*EFEITO!$Y$463</f>
        <v>0</v>
      </c>
      <c r="N463" s="67">
        <f ca="1">$K$463-EFEITO!$M$463*EFEITO!$Z$463</f>
        <v>0</v>
      </c>
      <c r="O463" s="67">
        <f>$L$463-EFEITO!$O$463*EFEITO!$AA$463</f>
        <v>0</v>
      </c>
      <c r="P463" s="18"/>
      <c r="Q463" s="18"/>
      <c r="R463" s="18"/>
      <c r="S463" s="18"/>
      <c r="T463" s="18"/>
      <c r="U463" s="18"/>
      <c r="V463" s="18"/>
      <c r="W463" s="18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8" t="s">
        <v>21</v>
      </c>
      <c r="B464" s="58" t="s">
        <v>39</v>
      </c>
      <c r="C464" s="58" t="s">
        <v>41</v>
      </c>
      <c r="D464" s="58" t="s">
        <v>45</v>
      </c>
      <c r="E464" s="58" t="s">
        <v>25</v>
      </c>
      <c r="F464" s="58" t="s">
        <v>25</v>
      </c>
      <c r="G464" s="58" t="s">
        <v>25</v>
      </c>
      <c r="H464" s="58" t="s">
        <v>34</v>
      </c>
      <c r="I464" s="66">
        <v>44562</v>
      </c>
      <c r="J464" s="67">
        <f>EFEITO!$J$464*EFEITO!$Y$464</f>
        <v>0</v>
      </c>
      <c r="K464" s="67">
        <f ca="1">EFEITO!$L$464*EFEITO!$Z$464</f>
        <v>370554.97786034993</v>
      </c>
      <c r="L464" s="67">
        <f>EFEITO!$N$464*EFEITO!$AA$464</f>
        <v>134660.6333379187</v>
      </c>
      <c r="M464" s="67">
        <f>$J$464-EFEITO!$K$464*EFEITO!$Y$464</f>
        <v>0</v>
      </c>
      <c r="N464" s="67">
        <f ca="1">$K$464-EFEITO!$M$464*EFEITO!$Z$464</f>
        <v>0</v>
      </c>
      <c r="O464" s="67">
        <f>$L$464-EFEITO!$O$464*EFEITO!$AA$464</f>
        <v>0</v>
      </c>
      <c r="P464" s="18"/>
      <c r="Q464" s="18"/>
      <c r="R464" s="18"/>
      <c r="S464" s="18"/>
      <c r="T464" s="18"/>
      <c r="U464" s="18"/>
      <c r="V464" s="18"/>
      <c r="W464" s="18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8" t="s">
        <v>28</v>
      </c>
      <c r="B465" s="58" t="s">
        <v>39</v>
      </c>
      <c r="C465" s="58" t="s">
        <v>41</v>
      </c>
      <c r="D465" s="58" t="s">
        <v>45</v>
      </c>
      <c r="E465" s="58" t="s">
        <v>25</v>
      </c>
      <c r="F465" s="58" t="s">
        <v>25</v>
      </c>
      <c r="G465" s="58" t="s">
        <v>25</v>
      </c>
      <c r="H465" s="58" t="s">
        <v>34</v>
      </c>
      <c r="I465" s="66">
        <v>44562</v>
      </c>
      <c r="J465" s="67">
        <f>EFEITO!$J$465*EFEITO!$Y$465</f>
        <v>0</v>
      </c>
      <c r="K465" s="67">
        <f ca="1">EFEITO!$L$465*EFEITO!$Z$465</f>
        <v>72264.681288977285</v>
      </c>
      <c r="L465" s="67">
        <f>EFEITO!$N$465*EFEITO!$AA$465</f>
        <v>26261.171301830138</v>
      </c>
      <c r="M465" s="67">
        <f>$J$465-EFEITO!$K$465*EFEITO!$Y$465</f>
        <v>0</v>
      </c>
      <c r="N465" s="67">
        <f ca="1">$K$465-EFEITO!$M$465*EFEITO!$Z$465</f>
        <v>0</v>
      </c>
      <c r="O465" s="67">
        <f>$L$465-EFEITO!$O$465*EFEITO!$AA$465</f>
        <v>0</v>
      </c>
      <c r="P465" s="18"/>
      <c r="Q465" s="18"/>
      <c r="R465" s="18"/>
      <c r="S465" s="18"/>
      <c r="T465" s="18"/>
      <c r="U465" s="18"/>
      <c r="V465" s="18"/>
      <c r="W465" s="18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8" t="s">
        <v>21</v>
      </c>
      <c r="B466" s="58" t="s">
        <v>39</v>
      </c>
      <c r="C466" s="58" t="s">
        <v>41</v>
      </c>
      <c r="D466" s="58" t="s">
        <v>45</v>
      </c>
      <c r="E466" s="58" t="s">
        <v>25</v>
      </c>
      <c r="F466" s="58" t="s">
        <v>25</v>
      </c>
      <c r="G466" s="58" t="s">
        <v>25</v>
      </c>
      <c r="H466" s="58" t="s">
        <v>34</v>
      </c>
      <c r="I466" s="66">
        <v>44593</v>
      </c>
      <c r="J466" s="67">
        <f>EFEITO!$J$466*EFEITO!$Y$466</f>
        <v>0</v>
      </c>
      <c r="K466" s="67">
        <f ca="1">EFEITO!$L$466*EFEITO!$Z$466</f>
        <v>389998.04154055601</v>
      </c>
      <c r="L466" s="67">
        <f>EFEITO!$N$466*EFEITO!$AA$466</f>
        <v>141726.29275591942</v>
      </c>
      <c r="M466" s="67">
        <f>$J$466-EFEITO!$K$466*EFEITO!$Y$466</f>
        <v>0</v>
      </c>
      <c r="N466" s="67">
        <f ca="1">$K$466-EFEITO!$M$466*EFEITO!$Z$466</f>
        <v>0</v>
      </c>
      <c r="O466" s="67">
        <f>$L$466-EFEITO!$O$466*EFEITO!$AA$466</f>
        <v>0</v>
      </c>
      <c r="P466" s="18"/>
      <c r="Q466" s="18"/>
      <c r="R466" s="18"/>
      <c r="S466" s="18"/>
      <c r="T466" s="18"/>
      <c r="U466" s="18"/>
      <c r="V466" s="18"/>
      <c r="W466" s="18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8" t="s">
        <v>28</v>
      </c>
      <c r="B467" s="58" t="s">
        <v>39</v>
      </c>
      <c r="C467" s="58" t="s">
        <v>41</v>
      </c>
      <c r="D467" s="58" t="s">
        <v>45</v>
      </c>
      <c r="E467" s="58" t="s">
        <v>25</v>
      </c>
      <c r="F467" s="58" t="s">
        <v>25</v>
      </c>
      <c r="G467" s="58" t="s">
        <v>25</v>
      </c>
      <c r="H467" s="58" t="s">
        <v>34</v>
      </c>
      <c r="I467" s="66">
        <v>44593</v>
      </c>
      <c r="J467" s="67">
        <f>EFEITO!$J$467*EFEITO!$Y$467</f>
        <v>0</v>
      </c>
      <c r="K467" s="67">
        <f ca="1">EFEITO!$L$467*EFEITO!$Z$467</f>
        <v>79484.128643497548</v>
      </c>
      <c r="L467" s="67">
        <f>EFEITO!$N$467*EFEITO!$AA$467</f>
        <v>28884.737064522018</v>
      </c>
      <c r="M467" s="67">
        <f>$J$467-EFEITO!$K$467*EFEITO!$Y$467</f>
        <v>0</v>
      </c>
      <c r="N467" s="67">
        <f ca="1">$K$467-EFEITO!$M$467*EFEITO!$Z$467</f>
        <v>0</v>
      </c>
      <c r="O467" s="67">
        <f>$L$467-EFEITO!$O$467*EFEITO!$AA$467</f>
        <v>0</v>
      </c>
      <c r="P467" s="18"/>
      <c r="Q467" s="18"/>
      <c r="R467" s="18"/>
      <c r="S467" s="18"/>
      <c r="T467" s="18"/>
      <c r="U467" s="18"/>
      <c r="V467" s="18"/>
      <c r="W467" s="18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8" t="s">
        <v>21</v>
      </c>
      <c r="B468" s="58" t="s">
        <v>39</v>
      </c>
      <c r="C468" s="58" t="s">
        <v>41</v>
      </c>
      <c r="D468" s="58" t="s">
        <v>45</v>
      </c>
      <c r="E468" s="58" t="s">
        <v>25</v>
      </c>
      <c r="F468" s="58" t="s">
        <v>25</v>
      </c>
      <c r="G468" s="58" t="s">
        <v>25</v>
      </c>
      <c r="H468" s="58" t="s">
        <v>34</v>
      </c>
      <c r="I468" s="66">
        <v>44621</v>
      </c>
      <c r="J468" s="67">
        <f>EFEITO!$J$468*EFEITO!$Y$468</f>
        <v>0</v>
      </c>
      <c r="K468" s="67">
        <f ca="1">EFEITO!$L$468*EFEITO!$Z$468</f>
        <v>421230.03104775847</v>
      </c>
      <c r="L468" s="67">
        <f>EFEITO!$N$468*EFEITO!$AA$468</f>
        <v>153076.07818243749</v>
      </c>
      <c r="M468" s="67">
        <f>$J$468-EFEITO!$K$468*EFEITO!$Y$468</f>
        <v>0</v>
      </c>
      <c r="N468" s="67">
        <f ca="1">$K$468-EFEITO!$M$468*EFEITO!$Z$468</f>
        <v>0</v>
      </c>
      <c r="O468" s="67">
        <f>$L$468-EFEITO!$O$468*EFEITO!$AA$468</f>
        <v>0</v>
      </c>
      <c r="P468" s="18"/>
      <c r="Q468" s="18"/>
      <c r="R468" s="18"/>
      <c r="S468" s="18"/>
      <c r="T468" s="18"/>
      <c r="U468" s="18"/>
      <c r="V468" s="18"/>
      <c r="W468" s="18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8" t="s">
        <v>28</v>
      </c>
      <c r="B469" s="58" t="s">
        <v>39</v>
      </c>
      <c r="C469" s="58" t="s">
        <v>41</v>
      </c>
      <c r="D469" s="58" t="s">
        <v>45</v>
      </c>
      <c r="E469" s="58" t="s">
        <v>25</v>
      </c>
      <c r="F469" s="58" t="s">
        <v>25</v>
      </c>
      <c r="G469" s="58" t="s">
        <v>25</v>
      </c>
      <c r="H469" s="58" t="s">
        <v>34</v>
      </c>
      <c r="I469" s="66">
        <v>44621</v>
      </c>
      <c r="J469" s="67">
        <f>EFEITO!$J$469*EFEITO!$Y$469</f>
        <v>0</v>
      </c>
      <c r="K469" s="67">
        <f ca="1">EFEITO!$L$469*EFEITO!$Z$469</f>
        <v>94801.367040611309</v>
      </c>
      <c r="L469" s="67">
        <f>EFEITO!$N$469*EFEITO!$AA$469</f>
        <v>34451.06094837108</v>
      </c>
      <c r="M469" s="67">
        <f>$J$469-EFEITO!$K$469*EFEITO!$Y$469</f>
        <v>0</v>
      </c>
      <c r="N469" s="67">
        <f ca="1">$K$469-EFEITO!$M$469*EFEITO!$Z$469</f>
        <v>0</v>
      </c>
      <c r="O469" s="67">
        <f>$L$469-EFEITO!$O$469*EFEITO!$AA$469</f>
        <v>0</v>
      </c>
      <c r="P469" s="18"/>
      <c r="Q469" s="18"/>
      <c r="R469" s="18"/>
      <c r="S469" s="18"/>
      <c r="T469" s="18"/>
      <c r="U469" s="18"/>
      <c r="V469" s="18"/>
      <c r="W469" s="18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8" t="s">
        <v>21</v>
      </c>
      <c r="B470" s="58" t="s">
        <v>39</v>
      </c>
      <c r="C470" s="58" t="s">
        <v>41</v>
      </c>
      <c r="D470" s="58" t="s">
        <v>45</v>
      </c>
      <c r="E470" s="58" t="s">
        <v>25</v>
      </c>
      <c r="F470" s="58" t="s">
        <v>25</v>
      </c>
      <c r="G470" s="58" t="s">
        <v>25</v>
      </c>
      <c r="H470" s="58" t="s">
        <v>34</v>
      </c>
      <c r="I470" s="66">
        <v>44652</v>
      </c>
      <c r="J470" s="67">
        <f>EFEITO!$J$470*EFEITO!$Y$470</f>
        <v>0</v>
      </c>
      <c r="K470" s="67">
        <f ca="1">EFEITO!$L$470*EFEITO!$Z$470</f>
        <v>421230.03104775847</v>
      </c>
      <c r="L470" s="67">
        <f>EFEITO!$N$470*EFEITO!$AA$470</f>
        <v>153076.07818243749</v>
      </c>
      <c r="M470" s="67">
        <f>$J$470-EFEITO!$K$470*EFEITO!$Y$470</f>
        <v>0</v>
      </c>
      <c r="N470" s="67">
        <f ca="1">$K$470-EFEITO!$M$470*EFEITO!$Z$470</f>
        <v>0</v>
      </c>
      <c r="O470" s="67">
        <f>$L$470-EFEITO!$O$470*EFEITO!$AA$470</f>
        <v>0</v>
      </c>
      <c r="P470" s="18"/>
      <c r="Q470" s="18"/>
      <c r="R470" s="18"/>
      <c r="S470" s="18"/>
      <c r="T470" s="18"/>
      <c r="U470" s="18"/>
      <c r="V470" s="18"/>
      <c r="W470" s="18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8" t="s">
        <v>28</v>
      </c>
      <c r="B471" s="58" t="s">
        <v>39</v>
      </c>
      <c r="C471" s="58" t="s">
        <v>41</v>
      </c>
      <c r="D471" s="58" t="s">
        <v>45</v>
      </c>
      <c r="E471" s="58" t="s">
        <v>25</v>
      </c>
      <c r="F471" s="58" t="s">
        <v>25</v>
      </c>
      <c r="G471" s="58" t="s">
        <v>25</v>
      </c>
      <c r="H471" s="58" t="s">
        <v>34</v>
      </c>
      <c r="I471" s="66">
        <v>44652</v>
      </c>
      <c r="J471" s="67">
        <f>EFEITO!$J$471*EFEITO!$Y$471</f>
        <v>0</v>
      </c>
      <c r="K471" s="67">
        <f ca="1">EFEITO!$L$471*EFEITO!$Z$471</f>
        <v>94801.367040611309</v>
      </c>
      <c r="L471" s="67">
        <f>EFEITO!$N$471*EFEITO!$AA$471</f>
        <v>34451.06094837108</v>
      </c>
      <c r="M471" s="67">
        <f>$J$471-EFEITO!$K$471*EFEITO!$Y$471</f>
        <v>0</v>
      </c>
      <c r="N471" s="67">
        <f ca="1">$K$471-EFEITO!$M$471*EFEITO!$Z$471</f>
        <v>0</v>
      </c>
      <c r="O471" s="67">
        <f>$L$471-EFEITO!$O$471*EFEITO!$AA$471</f>
        <v>0</v>
      </c>
      <c r="P471" s="18"/>
      <c r="Q471" s="18"/>
      <c r="R471" s="18"/>
      <c r="S471" s="18"/>
      <c r="T471" s="18"/>
      <c r="U471" s="18"/>
      <c r="V471" s="18"/>
      <c r="W471" s="18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8" t="s">
        <v>21</v>
      </c>
      <c r="B472" s="58" t="s">
        <v>39</v>
      </c>
      <c r="C472" s="58" t="s">
        <v>41</v>
      </c>
      <c r="D472" s="58" t="s">
        <v>45</v>
      </c>
      <c r="E472" s="58" t="s">
        <v>25</v>
      </c>
      <c r="F472" s="58" t="s">
        <v>25</v>
      </c>
      <c r="G472" s="58" t="s">
        <v>25</v>
      </c>
      <c r="H472" s="58" t="s">
        <v>34</v>
      </c>
      <c r="I472" s="66">
        <v>44682</v>
      </c>
      <c r="J472" s="67">
        <f>EFEITO!$J$472*EFEITO!$Y$472</f>
        <v>0</v>
      </c>
      <c r="K472" s="67">
        <f ca="1">EFEITO!$L$472*EFEITO!$Z$472</f>
        <v>407584.33446519222</v>
      </c>
      <c r="L472" s="67">
        <f>EFEITO!$N$472*EFEITO!$AA$472</f>
        <v>148117.1968991372</v>
      </c>
      <c r="M472" s="67">
        <f>$J$472-EFEITO!$K$472*EFEITO!$Y$472</f>
        <v>0</v>
      </c>
      <c r="N472" s="67">
        <f ca="1">$K$472-EFEITO!$M$472*EFEITO!$Z$472</f>
        <v>0</v>
      </c>
      <c r="O472" s="67">
        <f>$L$472-EFEITO!$O$472*EFEITO!$AA$472</f>
        <v>0</v>
      </c>
      <c r="P472" s="18"/>
      <c r="Q472" s="18"/>
      <c r="R472" s="18"/>
      <c r="S472" s="18"/>
      <c r="T472" s="18"/>
      <c r="U472" s="18"/>
      <c r="V472" s="18"/>
      <c r="W472" s="18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8" t="s">
        <v>27</v>
      </c>
      <c r="B473" s="58" t="s">
        <v>39</v>
      </c>
      <c r="C473" s="58" t="s">
        <v>41</v>
      </c>
      <c r="D473" s="58" t="s">
        <v>45</v>
      </c>
      <c r="E473" s="58" t="s">
        <v>25</v>
      </c>
      <c r="F473" s="58" t="s">
        <v>25</v>
      </c>
      <c r="G473" s="58" t="s">
        <v>25</v>
      </c>
      <c r="H473" s="58" t="s">
        <v>34</v>
      </c>
      <c r="I473" s="66">
        <v>44682</v>
      </c>
      <c r="J473" s="67">
        <f>EFEITO!$J$473*EFEITO!$Y$473</f>
        <v>0</v>
      </c>
      <c r="K473" s="67">
        <f ca="1">EFEITO!$L$473*EFEITO!$Z$473</f>
        <v>10803.029850587751</v>
      </c>
      <c r="L473" s="67">
        <f>EFEITO!$N$473*EFEITO!$AA$473</f>
        <v>3925.8488714644468</v>
      </c>
      <c r="M473" s="67">
        <f>$J$473-EFEITO!$K$473*EFEITO!$Y$473</f>
        <v>0</v>
      </c>
      <c r="N473" s="67">
        <f ca="1">$K$473-EFEITO!$M$473*EFEITO!$Z$473</f>
        <v>0</v>
      </c>
      <c r="O473" s="67">
        <f>$L$473-EFEITO!$O$473*EFEITO!$AA$473</f>
        <v>0</v>
      </c>
      <c r="P473" s="18"/>
      <c r="Q473" s="18"/>
      <c r="R473" s="18"/>
      <c r="S473" s="18"/>
      <c r="T473" s="18"/>
      <c r="U473" s="18"/>
      <c r="V473" s="18"/>
      <c r="W473" s="18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8" t="s">
        <v>28</v>
      </c>
      <c r="B474" s="58" t="s">
        <v>39</v>
      </c>
      <c r="C474" s="58" t="s">
        <v>41</v>
      </c>
      <c r="D474" s="58" t="s">
        <v>45</v>
      </c>
      <c r="E474" s="58" t="s">
        <v>25</v>
      </c>
      <c r="F474" s="58" t="s">
        <v>25</v>
      </c>
      <c r="G474" s="58" t="s">
        <v>25</v>
      </c>
      <c r="H474" s="58" t="s">
        <v>34</v>
      </c>
      <c r="I474" s="66">
        <v>44682</v>
      </c>
      <c r="J474" s="67">
        <f>EFEITO!$J$474*EFEITO!$Y$474</f>
        <v>0</v>
      </c>
      <c r="K474" s="67">
        <f ca="1">EFEITO!$L$474*EFEITO!$Z$474</f>
        <v>460562.79916111939</v>
      </c>
      <c r="L474" s="67">
        <f>EFEITO!$N$474*EFEITO!$AA$474</f>
        <v>167369.70741840685</v>
      </c>
      <c r="M474" s="67">
        <f>$J$474-EFEITO!$K$474*EFEITO!$Y$474</f>
        <v>0</v>
      </c>
      <c r="N474" s="67">
        <f ca="1">$K$474-EFEITO!$M$474*EFEITO!$Z$474</f>
        <v>0</v>
      </c>
      <c r="O474" s="67">
        <f>$L$474-EFEITO!$O$474*EFEITO!$AA$474</f>
        <v>0</v>
      </c>
      <c r="P474" s="18"/>
      <c r="Q474" s="18"/>
      <c r="R474" s="18"/>
      <c r="S474" s="18"/>
      <c r="T474" s="18"/>
      <c r="U474" s="18"/>
      <c r="V474" s="18"/>
      <c r="W474" s="18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8" t="s">
        <v>21</v>
      </c>
      <c r="B475" s="58" t="s">
        <v>39</v>
      </c>
      <c r="C475" s="58" t="s">
        <v>41</v>
      </c>
      <c r="D475" s="58" t="s">
        <v>45</v>
      </c>
      <c r="E475" s="58" t="s">
        <v>25</v>
      </c>
      <c r="F475" s="58" t="s">
        <v>25</v>
      </c>
      <c r="G475" s="58" t="s">
        <v>25</v>
      </c>
      <c r="H475" s="58" t="s">
        <v>34</v>
      </c>
      <c r="I475" s="66">
        <v>44713</v>
      </c>
      <c r="J475" s="67">
        <f>EFEITO!$J$475*EFEITO!$Y$475</f>
        <v>0</v>
      </c>
      <c r="K475" s="67">
        <f ca="1">EFEITO!$L$475*EFEITO!$Z$475</f>
        <v>386628.06983937701</v>
      </c>
      <c r="L475" s="67">
        <f>EFEITO!$N$475*EFEITO!$AA$475</f>
        <v>140501.63636017498</v>
      </c>
      <c r="M475" s="67">
        <f>$J$475-EFEITO!$K$475*EFEITO!$Y$475</f>
        <v>0</v>
      </c>
      <c r="N475" s="67">
        <f ca="1">$K$475-EFEITO!$M$475*EFEITO!$Z$475</f>
        <v>0</v>
      </c>
      <c r="O475" s="67">
        <f>$L$475-EFEITO!$O$475*EFEITO!$AA$475</f>
        <v>0</v>
      </c>
      <c r="P475" s="18"/>
      <c r="Q475" s="18"/>
      <c r="R475" s="18"/>
      <c r="S475" s="18"/>
      <c r="T475" s="18"/>
      <c r="U475" s="18"/>
      <c r="V475" s="18"/>
      <c r="W475" s="18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8" t="s">
        <v>27</v>
      </c>
      <c r="B476" s="58" t="s">
        <v>39</v>
      </c>
      <c r="C476" s="58" t="s">
        <v>41</v>
      </c>
      <c r="D476" s="58" t="s">
        <v>45</v>
      </c>
      <c r="E476" s="58" t="s">
        <v>25</v>
      </c>
      <c r="F476" s="58" t="s">
        <v>25</v>
      </c>
      <c r="G476" s="58" t="s">
        <v>25</v>
      </c>
      <c r="H476" s="58" t="s">
        <v>34</v>
      </c>
      <c r="I476" s="66">
        <v>44713</v>
      </c>
      <c r="J476" s="67">
        <f>EFEITO!$J$476*EFEITO!$Y$476</f>
        <v>0</v>
      </c>
      <c r="K476" s="67">
        <f ca="1">EFEITO!$L$476*EFEITO!$Z$476</f>
        <v>9434.7257378750328</v>
      </c>
      <c r="L476" s="67">
        <f>EFEITO!$N$476*EFEITO!$AA$476</f>
        <v>3428.603632766793</v>
      </c>
      <c r="M476" s="67">
        <f>$J$476-EFEITO!$K$476*EFEITO!$Y$476</f>
        <v>0</v>
      </c>
      <c r="N476" s="67">
        <f ca="1">$K$476-EFEITO!$M$476*EFEITO!$Z$476</f>
        <v>0</v>
      </c>
      <c r="O476" s="67">
        <f>$L$476-EFEITO!$O$476*EFEITO!$AA$476</f>
        <v>0</v>
      </c>
      <c r="P476" s="18"/>
      <c r="Q476" s="18"/>
      <c r="R476" s="18"/>
      <c r="S476" s="18"/>
      <c r="T476" s="18"/>
      <c r="U476" s="18"/>
      <c r="V476" s="18"/>
      <c r="W476" s="18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8" t="s">
        <v>28</v>
      </c>
      <c r="B477" s="58" t="s">
        <v>39</v>
      </c>
      <c r="C477" s="58" t="s">
        <v>41</v>
      </c>
      <c r="D477" s="58" t="s">
        <v>45</v>
      </c>
      <c r="E477" s="58" t="s">
        <v>25</v>
      </c>
      <c r="F477" s="58" t="s">
        <v>25</v>
      </c>
      <c r="G477" s="58" t="s">
        <v>25</v>
      </c>
      <c r="H477" s="58" t="s">
        <v>34</v>
      </c>
      <c r="I477" s="66">
        <v>44713</v>
      </c>
      <c r="J477" s="67">
        <f>EFEITO!$J$477*EFEITO!$Y$477</f>
        <v>0</v>
      </c>
      <c r="K477" s="67">
        <f ca="1">EFEITO!$L$477*EFEITO!$Z$477</f>
        <v>112126.24815332104</v>
      </c>
      <c r="L477" s="67">
        <f>EFEITO!$N$477*EFEITO!$AA$477</f>
        <v>40746.967365855133</v>
      </c>
      <c r="M477" s="67">
        <f>$J$477-EFEITO!$K$477*EFEITO!$Y$477</f>
        <v>0</v>
      </c>
      <c r="N477" s="67">
        <f ca="1">$K$477-EFEITO!$M$477*EFEITO!$Z$477</f>
        <v>0</v>
      </c>
      <c r="O477" s="67">
        <f>$L$477-EFEITO!$O$477*EFEITO!$AA$477</f>
        <v>0</v>
      </c>
      <c r="P477" s="18"/>
      <c r="Q477" s="18"/>
      <c r="R477" s="18"/>
      <c r="S477" s="18"/>
      <c r="T477" s="18"/>
      <c r="U477" s="18"/>
      <c r="V477" s="18"/>
      <c r="W477" s="18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8" t="s">
        <v>21</v>
      </c>
      <c r="B478" s="58" t="s">
        <v>39</v>
      </c>
      <c r="C478" s="58" t="s">
        <v>41</v>
      </c>
      <c r="D478" s="58" t="s">
        <v>45</v>
      </c>
      <c r="E478" s="58" t="s">
        <v>25</v>
      </c>
      <c r="F478" s="58" t="s">
        <v>25</v>
      </c>
      <c r="G478" s="58" t="s">
        <v>25</v>
      </c>
      <c r="H478" s="58" t="s">
        <v>34</v>
      </c>
      <c r="I478" s="66">
        <v>44743</v>
      </c>
      <c r="J478" s="67">
        <f>EFEITO!$J$478*EFEITO!$Y$478</f>
        <v>0</v>
      </c>
      <c r="K478" s="67">
        <f ca="1">EFEITO!$L$478*EFEITO!$Z$478</f>
        <v>376315.00041342876</v>
      </c>
      <c r="L478" s="67">
        <f>EFEITO!$N$478*EFEITO!$AA$478</f>
        <v>136753.84036894288</v>
      </c>
      <c r="M478" s="67">
        <f>$J$478-EFEITO!$K$478*EFEITO!$Y$478</f>
        <v>0</v>
      </c>
      <c r="N478" s="67">
        <f ca="1">$K$478-EFEITO!$M$478*EFEITO!$Z$478</f>
        <v>0</v>
      </c>
      <c r="O478" s="67">
        <f>$L$478-EFEITO!$O$478*EFEITO!$AA$478</f>
        <v>0</v>
      </c>
      <c r="P478" s="18"/>
      <c r="Q478" s="18"/>
      <c r="R478" s="18"/>
      <c r="S478" s="18"/>
      <c r="T478" s="18"/>
      <c r="U478" s="18"/>
      <c r="V478" s="18"/>
      <c r="W478" s="18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8" t="s">
        <v>27</v>
      </c>
      <c r="B479" s="58" t="s">
        <v>39</v>
      </c>
      <c r="C479" s="58" t="s">
        <v>41</v>
      </c>
      <c r="D479" s="58" t="s">
        <v>45</v>
      </c>
      <c r="E479" s="58" t="s">
        <v>25</v>
      </c>
      <c r="F479" s="58" t="s">
        <v>25</v>
      </c>
      <c r="G479" s="58" t="s">
        <v>25</v>
      </c>
      <c r="H479" s="58" t="s">
        <v>34</v>
      </c>
      <c r="I479" s="66">
        <v>44743</v>
      </c>
      <c r="J479" s="67">
        <f>EFEITO!$J$479*EFEITO!$Y$479</f>
        <v>0</v>
      </c>
      <c r="K479" s="67">
        <f ca="1">EFEITO!$L$479*EFEITO!$Z$479</f>
        <v>612.45053079936088</v>
      </c>
      <c r="L479" s="67">
        <f>EFEITO!$N$479*EFEITO!$AA$479</f>
        <v>222.5661002904346</v>
      </c>
      <c r="M479" s="67">
        <f>$J$479-EFEITO!$K$479*EFEITO!$Y$479</f>
        <v>0</v>
      </c>
      <c r="N479" s="67">
        <f ca="1">$K$479-EFEITO!$M$479*EFEITO!$Z$479</f>
        <v>0</v>
      </c>
      <c r="O479" s="67">
        <f>$L$479-EFEITO!$O$479*EFEITO!$AA$479</f>
        <v>0</v>
      </c>
      <c r="P479" s="18"/>
      <c r="Q479" s="18"/>
      <c r="R479" s="18"/>
      <c r="S479" s="18"/>
      <c r="T479" s="18"/>
      <c r="U479" s="18"/>
      <c r="V479" s="18"/>
      <c r="W479" s="18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8" t="s">
        <v>28</v>
      </c>
      <c r="B480" s="58" t="s">
        <v>39</v>
      </c>
      <c r="C480" s="58" t="s">
        <v>41</v>
      </c>
      <c r="D480" s="58" t="s">
        <v>45</v>
      </c>
      <c r="E480" s="58" t="s">
        <v>25</v>
      </c>
      <c r="F480" s="58" t="s">
        <v>25</v>
      </c>
      <c r="G480" s="58" t="s">
        <v>25</v>
      </c>
      <c r="H480" s="58" t="s">
        <v>34</v>
      </c>
      <c r="I480" s="66">
        <v>44743</v>
      </c>
      <c r="J480" s="67">
        <f>EFEITO!$J$480*EFEITO!$Y$480</f>
        <v>0</v>
      </c>
      <c r="K480" s="67">
        <f ca="1">EFEITO!$L$480*EFEITO!$Z$480</f>
        <v>109211.87989578556</v>
      </c>
      <c r="L480" s="67">
        <f>EFEITO!$N$480*EFEITO!$AA$480</f>
        <v>39687.878434960898</v>
      </c>
      <c r="M480" s="67">
        <f>$J$480-EFEITO!$K$480*EFEITO!$Y$480</f>
        <v>0</v>
      </c>
      <c r="N480" s="67">
        <f ca="1">$K$480-EFEITO!$M$480*EFEITO!$Z$480</f>
        <v>0</v>
      </c>
      <c r="O480" s="67">
        <f>$L$480-EFEITO!$O$480*EFEITO!$AA$480</f>
        <v>0</v>
      </c>
      <c r="P480" s="18"/>
      <c r="Q480" s="18"/>
      <c r="R480" s="18"/>
      <c r="S480" s="18"/>
      <c r="T480" s="18"/>
      <c r="U480" s="18"/>
      <c r="V480" s="18"/>
      <c r="W480" s="18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8" t="s">
        <v>21</v>
      </c>
      <c r="B481" s="58" t="s">
        <v>39</v>
      </c>
      <c r="C481" s="58" t="s">
        <v>41</v>
      </c>
      <c r="D481" s="58" t="s">
        <v>45</v>
      </c>
      <c r="E481" s="58" t="s">
        <v>25</v>
      </c>
      <c r="F481" s="58" t="s">
        <v>25</v>
      </c>
      <c r="G481" s="58" t="s">
        <v>25</v>
      </c>
      <c r="H481" s="58" t="s">
        <v>34</v>
      </c>
      <c r="I481" s="66">
        <v>44774</v>
      </c>
      <c r="J481" s="67">
        <f>EFEITO!$J$481*EFEITO!$Y$481</f>
        <v>0</v>
      </c>
      <c r="K481" s="67">
        <f ca="1">EFEITO!$L$481*EFEITO!$Z$481</f>
        <v>461036.32798615209</v>
      </c>
      <c r="L481" s="67">
        <f>EFEITO!$N$481*EFEITO!$AA$481</f>
        <v>167541.78901302165</v>
      </c>
      <c r="M481" s="67">
        <f>$J$481-EFEITO!$K$481*EFEITO!$Y$481</f>
        <v>0</v>
      </c>
      <c r="N481" s="67">
        <f ca="1">$K$481-EFEITO!$M$481*EFEITO!$Z$481</f>
        <v>0</v>
      </c>
      <c r="O481" s="67">
        <f>$L$481-EFEITO!$O$481*EFEITO!$AA$481</f>
        <v>0</v>
      </c>
      <c r="P481" s="18"/>
      <c r="Q481" s="18"/>
      <c r="R481" s="18"/>
      <c r="S481" s="18"/>
      <c r="T481" s="18"/>
      <c r="U481" s="18"/>
      <c r="V481" s="18"/>
      <c r="W481" s="18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8" t="s">
        <v>28</v>
      </c>
      <c r="B482" s="58" t="s">
        <v>39</v>
      </c>
      <c r="C482" s="58" t="s">
        <v>41</v>
      </c>
      <c r="D482" s="58" t="s">
        <v>45</v>
      </c>
      <c r="E482" s="58" t="s">
        <v>25</v>
      </c>
      <c r="F482" s="58" t="s">
        <v>25</v>
      </c>
      <c r="G482" s="58" t="s">
        <v>25</v>
      </c>
      <c r="H482" s="58" t="s">
        <v>34</v>
      </c>
      <c r="I482" s="66">
        <v>44774</v>
      </c>
      <c r="J482" s="67">
        <f>EFEITO!$J$482*EFEITO!$Y$482</f>
        <v>0</v>
      </c>
      <c r="K482" s="67">
        <f ca="1">EFEITO!$L$482*EFEITO!$Z$482</f>
        <v>139823.94996327654</v>
      </c>
      <c r="L482" s="67">
        <f>EFEITO!$N$482*EFEITO!$AA$482</f>
        <v>50812.383540453273</v>
      </c>
      <c r="M482" s="67">
        <f>$J$482-EFEITO!$K$482*EFEITO!$Y$482</f>
        <v>0</v>
      </c>
      <c r="N482" s="67">
        <f ca="1">$K$482-EFEITO!$M$482*EFEITO!$Z$482</f>
        <v>0</v>
      </c>
      <c r="O482" s="67">
        <f>$L$482-EFEITO!$O$482*EFEITO!$AA$482</f>
        <v>0</v>
      </c>
      <c r="P482" s="18"/>
      <c r="Q482" s="18"/>
      <c r="R482" s="18"/>
      <c r="S482" s="18"/>
      <c r="T482" s="18"/>
      <c r="U482" s="18"/>
      <c r="V482" s="18"/>
      <c r="W482" s="18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8" t="s">
        <v>21</v>
      </c>
      <c r="B483" s="58" t="s">
        <v>39</v>
      </c>
      <c r="C483" s="58" t="s">
        <v>41</v>
      </c>
      <c r="D483" s="58" t="s">
        <v>45</v>
      </c>
      <c r="E483" s="58" t="s">
        <v>25</v>
      </c>
      <c r="F483" s="58" t="s">
        <v>25</v>
      </c>
      <c r="G483" s="58" t="s">
        <v>25</v>
      </c>
      <c r="H483" s="58" t="s">
        <v>34</v>
      </c>
      <c r="I483" s="66">
        <v>44805</v>
      </c>
      <c r="J483" s="67">
        <f>EFEITO!$J$483*EFEITO!$Y$483</f>
        <v>0</v>
      </c>
      <c r="K483" s="67">
        <f ca="1">EFEITO!$L$483*EFEITO!$Z$483</f>
        <v>445109.62662180385</v>
      </c>
      <c r="L483" s="67">
        <f>EFEITO!$N$483*EFEITO!$AA$483</f>
        <v>161753.98471717627</v>
      </c>
      <c r="M483" s="67">
        <f>$J$483-EFEITO!$K$483*EFEITO!$Y$483</f>
        <v>0</v>
      </c>
      <c r="N483" s="67">
        <f ca="1">$K$483-EFEITO!$M$483*EFEITO!$Z$483</f>
        <v>0</v>
      </c>
      <c r="O483" s="67">
        <f>$L$483-EFEITO!$O$483*EFEITO!$AA$483</f>
        <v>0</v>
      </c>
      <c r="P483" s="18"/>
      <c r="Q483" s="18"/>
      <c r="R483" s="18"/>
      <c r="S483" s="18"/>
      <c r="T483" s="18"/>
      <c r="U483" s="18"/>
      <c r="V483" s="18"/>
      <c r="W483" s="18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8" t="s">
        <v>27</v>
      </c>
      <c r="B484" s="58" t="s">
        <v>39</v>
      </c>
      <c r="C484" s="58" t="s">
        <v>41</v>
      </c>
      <c r="D484" s="58" t="s">
        <v>45</v>
      </c>
      <c r="E484" s="58" t="s">
        <v>25</v>
      </c>
      <c r="F484" s="58" t="s">
        <v>25</v>
      </c>
      <c r="G484" s="58" t="s">
        <v>25</v>
      </c>
      <c r="H484" s="58" t="s">
        <v>34</v>
      </c>
      <c r="I484" s="66">
        <v>44805</v>
      </c>
      <c r="J484" s="67">
        <f>EFEITO!$J$484*EFEITO!$Y$484</f>
        <v>0</v>
      </c>
      <c r="K484" s="67">
        <f ca="1">EFEITO!$L$484*EFEITO!$Z$484</f>
        <v>1090.4607011793498</v>
      </c>
      <c r="L484" s="67">
        <f>EFEITO!$N$484*EFEITO!$AA$484</f>
        <v>396.27622734638362</v>
      </c>
      <c r="M484" s="67">
        <f>$J$484-EFEITO!$K$484*EFEITO!$Y$484</f>
        <v>0</v>
      </c>
      <c r="N484" s="67">
        <f ca="1">$K$484-EFEITO!$M$484*EFEITO!$Z$484</f>
        <v>0</v>
      </c>
      <c r="O484" s="67">
        <f>$L$484-EFEITO!$O$484*EFEITO!$AA$484</f>
        <v>0</v>
      </c>
      <c r="P484" s="18"/>
      <c r="Q484" s="18"/>
      <c r="R484" s="18"/>
      <c r="S484" s="18"/>
      <c r="T484" s="18"/>
      <c r="U484" s="18"/>
      <c r="V484" s="18"/>
      <c r="W484" s="18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8" t="s">
        <v>28</v>
      </c>
      <c r="B485" s="58" t="s">
        <v>39</v>
      </c>
      <c r="C485" s="58" t="s">
        <v>41</v>
      </c>
      <c r="D485" s="58" t="s">
        <v>45</v>
      </c>
      <c r="E485" s="58" t="s">
        <v>25</v>
      </c>
      <c r="F485" s="58" t="s">
        <v>25</v>
      </c>
      <c r="G485" s="58" t="s">
        <v>25</v>
      </c>
      <c r="H485" s="58" t="s">
        <v>34</v>
      </c>
      <c r="I485" s="66">
        <v>44805</v>
      </c>
      <c r="J485" s="67">
        <f>EFEITO!$J$485*EFEITO!$Y$485</f>
        <v>0</v>
      </c>
      <c r="K485" s="67">
        <f ca="1">EFEITO!$L$485*EFEITO!$Z$485</f>
        <v>137749.08706747089</v>
      </c>
      <c r="L485" s="67">
        <f>EFEITO!$N$485*EFEITO!$AA$485</f>
        <v>50058.373020201048</v>
      </c>
      <c r="M485" s="67">
        <f>$J$485-EFEITO!$K$485*EFEITO!$Y$485</f>
        <v>0</v>
      </c>
      <c r="N485" s="67">
        <f ca="1">$K$485-EFEITO!$M$485*EFEITO!$Z$485</f>
        <v>0</v>
      </c>
      <c r="O485" s="67">
        <f>$L$485-EFEITO!$O$485*EFEITO!$AA$485</f>
        <v>0</v>
      </c>
      <c r="P485" s="18"/>
      <c r="Q485" s="18"/>
      <c r="R485" s="18"/>
      <c r="S485" s="18"/>
      <c r="T485" s="18"/>
      <c r="U485" s="18"/>
      <c r="V485" s="18"/>
      <c r="W485" s="18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8" t="s">
        <v>55</v>
      </c>
      <c r="B486" s="58" t="s">
        <v>39</v>
      </c>
      <c r="C486" s="58" t="s">
        <v>41</v>
      </c>
      <c r="D486" s="58" t="s">
        <v>45</v>
      </c>
      <c r="E486" s="58" t="s">
        <v>25</v>
      </c>
      <c r="F486" s="58" t="s">
        <v>25</v>
      </c>
      <c r="G486" s="58" t="s">
        <v>25</v>
      </c>
      <c r="H486" s="58" t="s">
        <v>34</v>
      </c>
      <c r="I486" s="66">
        <v>44835</v>
      </c>
      <c r="J486" s="67">
        <f>EFEITO!$J$486*EFEITO!$Y$486</f>
        <v>0</v>
      </c>
      <c r="K486" s="67">
        <f ca="1">EFEITO!$L$486*EFEITO!$Z$486</f>
        <v>445109.62662180385</v>
      </c>
      <c r="L486" s="67">
        <f>EFEITO!$N$486*EFEITO!$AA$486</f>
        <v>161753.98471717627</v>
      </c>
      <c r="M486" s="67">
        <f>$J$486-EFEITO!$K$486*EFEITO!$Y$486</f>
        <v>0</v>
      </c>
      <c r="N486" s="67">
        <f ca="1">$K$486-EFEITO!$M$486*EFEITO!$Z$486</f>
        <v>0</v>
      </c>
      <c r="O486" s="67">
        <f>$L$486-EFEITO!$O$486*EFEITO!$AA$486</f>
        <v>0</v>
      </c>
      <c r="P486" s="18"/>
      <c r="Q486" s="18"/>
      <c r="R486" s="18"/>
      <c r="S486" s="18"/>
      <c r="T486" s="18"/>
      <c r="U486" s="18"/>
      <c r="V486" s="18"/>
      <c r="W486" s="18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8" t="s">
        <v>55</v>
      </c>
      <c r="B487" s="58" t="s">
        <v>39</v>
      </c>
      <c r="C487" s="58" t="s">
        <v>41</v>
      </c>
      <c r="D487" s="58" t="s">
        <v>45</v>
      </c>
      <c r="E487" s="58" t="s">
        <v>25</v>
      </c>
      <c r="F487" s="58" t="s">
        <v>25</v>
      </c>
      <c r="G487" s="58" t="s">
        <v>25</v>
      </c>
      <c r="H487" s="58" t="s">
        <v>34</v>
      </c>
      <c r="I487" s="66">
        <v>44835</v>
      </c>
      <c r="J487" s="67">
        <f>EFEITO!$J$487*EFEITO!$Y$487</f>
        <v>0</v>
      </c>
      <c r="K487" s="67">
        <f ca="1">EFEITO!$L$487*EFEITO!$Z$487</f>
        <v>1090.4607011793498</v>
      </c>
      <c r="L487" s="67">
        <f>EFEITO!$N$487*EFEITO!$AA$487</f>
        <v>396.27622734638362</v>
      </c>
      <c r="M487" s="67">
        <f>$J$487-EFEITO!$K$487*EFEITO!$Y$487</f>
        <v>0</v>
      </c>
      <c r="N487" s="67">
        <f ca="1">$K$487-EFEITO!$M$487*EFEITO!$Z$487</f>
        <v>0</v>
      </c>
      <c r="O487" s="67">
        <f>$L$487-EFEITO!$O$487*EFEITO!$AA$487</f>
        <v>0</v>
      </c>
      <c r="P487" s="18"/>
      <c r="Q487" s="18"/>
      <c r="R487" s="18"/>
      <c r="S487" s="18"/>
      <c r="T487" s="18"/>
      <c r="U487" s="18"/>
      <c r="V487" s="18"/>
      <c r="W487" s="18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8" t="s">
        <v>55</v>
      </c>
      <c r="B488" s="58" t="s">
        <v>39</v>
      </c>
      <c r="C488" s="58" t="s">
        <v>41</v>
      </c>
      <c r="D488" s="58" t="s">
        <v>45</v>
      </c>
      <c r="E488" s="58" t="s">
        <v>25</v>
      </c>
      <c r="F488" s="58" t="s">
        <v>25</v>
      </c>
      <c r="G488" s="58" t="s">
        <v>25</v>
      </c>
      <c r="H488" s="58" t="s">
        <v>34</v>
      </c>
      <c r="I488" s="66">
        <v>44835</v>
      </c>
      <c r="J488" s="67">
        <f>EFEITO!$J$488*EFEITO!$Y$488</f>
        <v>0</v>
      </c>
      <c r="K488" s="67">
        <f ca="1">EFEITO!$L$488*EFEITO!$Z$488</f>
        <v>137749.08706747089</v>
      </c>
      <c r="L488" s="67">
        <f>EFEITO!$N$488*EFEITO!$AA$488</f>
        <v>50058.373020201048</v>
      </c>
      <c r="M488" s="67">
        <f>$J$488-EFEITO!$K$488*EFEITO!$Y$488</f>
        <v>0</v>
      </c>
      <c r="N488" s="67">
        <f ca="1">$K$488-EFEITO!$M$488*EFEITO!$Z$488</f>
        <v>0</v>
      </c>
      <c r="O488" s="67">
        <f>$L$488-EFEITO!$O$488*EFEITO!$AA$488</f>
        <v>0</v>
      </c>
      <c r="P488" s="18"/>
      <c r="Q488" s="18"/>
      <c r="R488" s="18"/>
      <c r="S488" s="18"/>
      <c r="T488" s="18"/>
      <c r="U488" s="18"/>
      <c r="V488" s="18"/>
      <c r="W488" s="18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8" t="s">
        <v>21</v>
      </c>
      <c r="B489" s="58" t="s">
        <v>39</v>
      </c>
      <c r="C489" s="58" t="s">
        <v>41</v>
      </c>
      <c r="D489" s="58" t="s">
        <v>44</v>
      </c>
      <c r="E489" s="58" t="s">
        <v>52</v>
      </c>
      <c r="F489" s="58" t="s">
        <v>54</v>
      </c>
      <c r="G489" s="58" t="s">
        <v>25</v>
      </c>
      <c r="H489" s="58" t="s">
        <v>35</v>
      </c>
      <c r="I489" s="66">
        <v>44501</v>
      </c>
      <c r="J489" s="67">
        <f>EFEITO!$J$489*EFEITO!$Y$422</f>
        <v>0</v>
      </c>
      <c r="K489" s="67">
        <f ca="1">EFEITO!$L$489*EFEITO!$Z$422</f>
        <v>24477.023745193481</v>
      </c>
      <c r="L489" s="67">
        <f>EFEITO!$N$489*EFEITO!$AA$422</f>
        <v>70984.655642963233</v>
      </c>
      <c r="M489" s="67">
        <f>$J$489-EFEITO!$K$489*EFEITO!$Y$489</f>
        <v>0</v>
      </c>
      <c r="N489" s="67">
        <f ca="1">$K$489-EFEITO!$M$489*EFEITO!$Z$489</f>
        <v>19581.618996154786</v>
      </c>
      <c r="O489" s="67">
        <f>$L$489-EFEITO!$O$489*EFEITO!$AA$489</f>
        <v>56787.72451437058</v>
      </c>
      <c r="P489" s="18"/>
      <c r="Q489" s="18"/>
      <c r="R489" s="18"/>
      <c r="S489" s="18"/>
      <c r="T489" s="18"/>
      <c r="U489" s="18"/>
      <c r="V489" s="18"/>
      <c r="W489" s="18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8" t="s">
        <v>21</v>
      </c>
      <c r="B490" s="58" t="s">
        <v>39</v>
      </c>
      <c r="C490" s="58" t="s">
        <v>41</v>
      </c>
      <c r="D490" s="58" t="s">
        <v>44</v>
      </c>
      <c r="E490" s="58" t="s">
        <v>52</v>
      </c>
      <c r="F490" s="58" t="s">
        <v>54</v>
      </c>
      <c r="G490" s="58" t="s">
        <v>25</v>
      </c>
      <c r="H490" s="58" t="s">
        <v>35</v>
      </c>
      <c r="I490" s="66">
        <v>44531</v>
      </c>
      <c r="J490" s="67">
        <f>EFEITO!$J$490*EFEITO!$Y$422</f>
        <v>0</v>
      </c>
      <c r="K490" s="67">
        <f ca="1">EFEITO!$L$490*EFEITO!$Z$422</f>
        <v>34991.113299998193</v>
      </c>
      <c r="L490" s="67">
        <f>EFEITO!$N$490*EFEITO!$AA$422</f>
        <v>101476.06808822209</v>
      </c>
      <c r="M490" s="67">
        <f>$J$490-EFEITO!$K$490*EFEITO!$Y$490</f>
        <v>0</v>
      </c>
      <c r="N490" s="67">
        <f ca="1">$K$490-EFEITO!$M$490*EFEITO!$Z$490</f>
        <v>27992.890639998554</v>
      </c>
      <c r="O490" s="67">
        <f>$L$490-EFEITO!$O$490*EFEITO!$AA$490</f>
        <v>81180.854470577673</v>
      </c>
      <c r="P490" s="18"/>
      <c r="Q490" s="18"/>
      <c r="R490" s="18"/>
      <c r="S490" s="18"/>
      <c r="T490" s="18"/>
      <c r="U490" s="18"/>
      <c r="V490" s="18"/>
      <c r="W490" s="18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8" t="s">
        <v>21</v>
      </c>
      <c r="B491" s="58" t="s">
        <v>39</v>
      </c>
      <c r="C491" s="58" t="s">
        <v>41</v>
      </c>
      <c r="D491" s="58" t="s">
        <v>44</v>
      </c>
      <c r="E491" s="58" t="s">
        <v>52</v>
      </c>
      <c r="F491" s="58" t="s">
        <v>54</v>
      </c>
      <c r="G491" s="58" t="s">
        <v>25</v>
      </c>
      <c r="H491" s="58" t="s">
        <v>35</v>
      </c>
      <c r="I491" s="66">
        <v>44562</v>
      </c>
      <c r="J491" s="67">
        <f>EFEITO!$J$491*EFEITO!$Y$422</f>
        <v>0</v>
      </c>
      <c r="K491" s="67">
        <f ca="1">EFEITO!$L$491*EFEITO!$Z$422</f>
        <v>41041.283996039761</v>
      </c>
      <c r="L491" s="67">
        <f>EFEITO!$N$491*EFEITO!$AA$422</f>
        <v>119021.88117033722</v>
      </c>
      <c r="M491" s="67">
        <f>$J$491-EFEITO!$K$491*EFEITO!$Y$491</f>
        <v>0</v>
      </c>
      <c r="N491" s="67">
        <f ca="1">$K$491-EFEITO!$M$491*EFEITO!$Z$491</f>
        <v>32833.027196831812</v>
      </c>
      <c r="O491" s="67">
        <f>$L$491-EFEITO!$O$491*EFEITO!$AA$491</f>
        <v>95217.504936269775</v>
      </c>
      <c r="P491" s="18"/>
      <c r="Q491" s="18"/>
      <c r="R491" s="18"/>
      <c r="S491" s="18"/>
      <c r="T491" s="18"/>
      <c r="U491" s="18"/>
      <c r="V491" s="18"/>
      <c r="W491" s="18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8" t="s">
        <v>21</v>
      </c>
      <c r="B492" s="58" t="s">
        <v>39</v>
      </c>
      <c r="C492" s="58" t="s">
        <v>41</v>
      </c>
      <c r="D492" s="58" t="s">
        <v>44</v>
      </c>
      <c r="E492" s="58" t="s">
        <v>52</v>
      </c>
      <c r="F492" s="58" t="s">
        <v>54</v>
      </c>
      <c r="G492" s="58" t="s">
        <v>25</v>
      </c>
      <c r="H492" s="58" t="s">
        <v>35</v>
      </c>
      <c r="I492" s="66">
        <v>44593</v>
      </c>
      <c r="J492" s="67">
        <f>EFEITO!$J$492*EFEITO!$Y$422</f>
        <v>0</v>
      </c>
      <c r="K492" s="67">
        <f ca="1">EFEITO!$L$492*EFEITO!$Z$422</f>
        <v>36332.652904066017</v>
      </c>
      <c r="L492" s="67">
        <f>EFEITO!$N$492*EFEITO!$AA$422</f>
        <v>105366.60346611304</v>
      </c>
      <c r="M492" s="67">
        <f>$J$492-EFEITO!$K$492*EFEITO!$Y$492</f>
        <v>0</v>
      </c>
      <c r="N492" s="67">
        <f ca="1">$K$492-EFEITO!$M$492*EFEITO!$Z$492</f>
        <v>29066.122323252814</v>
      </c>
      <c r="O492" s="67">
        <f>$L$492-EFEITO!$O$492*EFEITO!$AA$492</f>
        <v>84293.282772890438</v>
      </c>
      <c r="P492" s="18"/>
      <c r="Q492" s="18"/>
      <c r="R492" s="18"/>
      <c r="S492" s="18"/>
      <c r="T492" s="18"/>
      <c r="U492" s="18"/>
      <c r="V492" s="18"/>
      <c r="W492" s="18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8" t="s">
        <v>27</v>
      </c>
      <c r="B493" s="58" t="s">
        <v>39</v>
      </c>
      <c r="C493" s="58" t="s">
        <v>41</v>
      </c>
      <c r="D493" s="58" t="s">
        <v>44</v>
      </c>
      <c r="E493" s="58" t="s">
        <v>52</v>
      </c>
      <c r="F493" s="58" t="s">
        <v>54</v>
      </c>
      <c r="G493" s="58" t="s">
        <v>25</v>
      </c>
      <c r="H493" s="58" t="s">
        <v>35</v>
      </c>
      <c r="I493" s="66">
        <v>44593</v>
      </c>
      <c r="J493" s="67">
        <f>EFEITO!$J$493*EFEITO!$Y$422</f>
        <v>0</v>
      </c>
      <c r="K493" s="67">
        <f ca="1">EFEITO!$L$493*EFEITO!$Z$422</f>
        <v>-3989.0501736554265</v>
      </c>
      <c r="L493" s="67">
        <f>EFEITO!$N$493*EFEITO!$AA$422</f>
        <v>-11568.455212004163</v>
      </c>
      <c r="M493" s="67">
        <f>$J$493-EFEITO!$K$493*EFEITO!$Y$493</f>
        <v>0</v>
      </c>
      <c r="N493" s="67">
        <f ca="1">$K$493-EFEITO!$M$493*EFEITO!$Z$493</f>
        <v>-3191.2401389243414</v>
      </c>
      <c r="O493" s="67">
        <f>$L$493-EFEITO!$O$493*EFEITO!$AA$493</f>
        <v>-9254.7641696033297</v>
      </c>
      <c r="P493" s="18"/>
      <c r="Q493" s="18"/>
      <c r="R493" s="18"/>
      <c r="S493" s="18"/>
      <c r="T493" s="18"/>
      <c r="U493" s="18"/>
      <c r="V493" s="18"/>
      <c r="W493" s="18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8" t="s">
        <v>21</v>
      </c>
      <c r="B494" s="58" t="s">
        <v>39</v>
      </c>
      <c r="C494" s="58" t="s">
        <v>41</v>
      </c>
      <c r="D494" s="58" t="s">
        <v>44</v>
      </c>
      <c r="E494" s="58" t="s">
        <v>52</v>
      </c>
      <c r="F494" s="58" t="s">
        <v>54</v>
      </c>
      <c r="G494" s="58" t="s">
        <v>25</v>
      </c>
      <c r="H494" s="58" t="s">
        <v>35</v>
      </c>
      <c r="I494" s="66">
        <v>44621</v>
      </c>
      <c r="J494" s="67">
        <f>EFEITO!$J$494*EFEITO!$Y$422</f>
        <v>0</v>
      </c>
      <c r="K494" s="67">
        <f ca="1">EFEITO!$L$494*EFEITO!$Z$422</f>
        <v>7954.3514409572299</v>
      </c>
      <c r="L494" s="67">
        <f>EFEITO!$N$494*EFEITO!$AA$422</f>
        <v>23068.037347078782</v>
      </c>
      <c r="M494" s="67">
        <f>$J$494-EFEITO!$K$494*EFEITO!$Y$494</f>
        <v>0</v>
      </c>
      <c r="N494" s="67">
        <f ca="1">$K$494-EFEITO!$M$494*EFEITO!$Z$494</f>
        <v>6363.4811527657839</v>
      </c>
      <c r="O494" s="67">
        <f>$L$494-EFEITO!$O$494*EFEITO!$AA$494</f>
        <v>18454.429877663024</v>
      </c>
      <c r="P494" s="18"/>
      <c r="Q494" s="18"/>
      <c r="R494" s="18"/>
      <c r="S494" s="18"/>
      <c r="T494" s="18"/>
      <c r="U494" s="18"/>
      <c r="V494" s="18"/>
      <c r="W494" s="18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8" t="s">
        <v>21</v>
      </c>
      <c r="B495" s="58" t="s">
        <v>39</v>
      </c>
      <c r="C495" s="58" t="s">
        <v>41</v>
      </c>
      <c r="D495" s="58" t="s">
        <v>44</v>
      </c>
      <c r="E495" s="58" t="s">
        <v>52</v>
      </c>
      <c r="F495" s="58" t="s">
        <v>54</v>
      </c>
      <c r="G495" s="58" t="s">
        <v>25</v>
      </c>
      <c r="H495" s="58" t="s">
        <v>35</v>
      </c>
      <c r="I495" s="66">
        <v>44652</v>
      </c>
      <c r="J495" s="67">
        <f>EFEITO!$J$495*EFEITO!$Y$422</f>
        <v>0</v>
      </c>
      <c r="K495" s="67">
        <f ca="1">EFEITO!$L$495*EFEITO!$Z$422</f>
        <v>7954.3514409572299</v>
      </c>
      <c r="L495" s="67">
        <f>EFEITO!$N$495*EFEITO!$AA$422</f>
        <v>23068.037347078782</v>
      </c>
      <c r="M495" s="67">
        <f>$J$495-EFEITO!$K$495*EFEITO!$Y$495</f>
        <v>0</v>
      </c>
      <c r="N495" s="67">
        <f ca="1">$K$495-EFEITO!$M$495*EFEITO!$Z$495</f>
        <v>6363.4811527657839</v>
      </c>
      <c r="O495" s="67">
        <f>$L$495-EFEITO!$O$495*EFEITO!$AA$495</f>
        <v>18454.429877663024</v>
      </c>
      <c r="P495" s="18"/>
      <c r="Q495" s="18"/>
      <c r="R495" s="18"/>
      <c r="S495" s="18"/>
      <c r="T495" s="18"/>
      <c r="U495" s="18"/>
      <c r="V495" s="18"/>
      <c r="W495" s="18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8" t="s">
        <v>21</v>
      </c>
      <c r="B496" s="58" t="s">
        <v>39</v>
      </c>
      <c r="C496" s="58" t="s">
        <v>41</v>
      </c>
      <c r="D496" s="58" t="s">
        <v>44</v>
      </c>
      <c r="E496" s="58" t="s">
        <v>52</v>
      </c>
      <c r="F496" s="58" t="s">
        <v>54</v>
      </c>
      <c r="G496" s="58" t="s">
        <v>25</v>
      </c>
      <c r="H496" s="58" t="s">
        <v>35</v>
      </c>
      <c r="I496" s="66">
        <v>44682</v>
      </c>
      <c r="J496" s="67">
        <f>EFEITO!$J$496*EFEITO!$Y$422</f>
        <v>0</v>
      </c>
      <c r="K496" s="67">
        <f ca="1">EFEITO!$L$496*EFEITO!$Z$422</f>
        <v>1437.6296491299538</v>
      </c>
      <c r="L496" s="67">
        <f>EFEITO!$N$496*EFEITO!$AA$422</f>
        <v>4169.2015601219973</v>
      </c>
      <c r="M496" s="67">
        <f>$J$496-EFEITO!$K$496*EFEITO!$Y$496</f>
        <v>0</v>
      </c>
      <c r="N496" s="67">
        <f ca="1">$K$496-EFEITO!$M$496*EFEITO!$Z$496</f>
        <v>1150.1037193039631</v>
      </c>
      <c r="O496" s="67">
        <f>$L$496-EFEITO!$O$496*EFEITO!$AA$496</f>
        <v>3335.3612480975976</v>
      </c>
      <c r="P496" s="18"/>
      <c r="Q496" s="18"/>
      <c r="R496" s="18"/>
      <c r="S496" s="18"/>
      <c r="T496" s="18"/>
      <c r="U496" s="18"/>
      <c r="V496" s="18"/>
      <c r="W496" s="18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8" t="s">
        <v>27</v>
      </c>
      <c r="B497" s="58" t="s">
        <v>39</v>
      </c>
      <c r="C497" s="58" t="s">
        <v>41</v>
      </c>
      <c r="D497" s="58" t="s">
        <v>44</v>
      </c>
      <c r="E497" s="58" t="s">
        <v>52</v>
      </c>
      <c r="F497" s="58" t="s">
        <v>54</v>
      </c>
      <c r="G497" s="58" t="s">
        <v>25</v>
      </c>
      <c r="H497" s="58" t="s">
        <v>35</v>
      </c>
      <c r="I497" s="66">
        <v>44682</v>
      </c>
      <c r="J497" s="67">
        <f>EFEITO!$J$497*EFEITO!$Y$422</f>
        <v>0</v>
      </c>
      <c r="K497" s="67">
        <f ca="1">EFEITO!$L$497*EFEITO!$Z$422</f>
        <v>2197.1568845868569</v>
      </c>
      <c r="L497" s="67">
        <f>EFEITO!$N$497*EFEITO!$AA$422</f>
        <v>6371.8704720622127</v>
      </c>
      <c r="M497" s="67">
        <f>$J$497-EFEITO!$K$497*EFEITO!$Y$497</f>
        <v>0</v>
      </c>
      <c r="N497" s="67">
        <f ca="1">$K$497-EFEITO!$M$497*EFEITO!$Z$497</f>
        <v>1757.7255076694855</v>
      </c>
      <c r="O497" s="67">
        <f>$L$497-EFEITO!$O$497*EFEITO!$AA$497</f>
        <v>5097.4963776497698</v>
      </c>
      <c r="P497" s="18"/>
      <c r="Q497" s="18"/>
      <c r="R497" s="18"/>
      <c r="S497" s="18"/>
      <c r="T497" s="18"/>
      <c r="U497" s="18"/>
      <c r="V497" s="18"/>
      <c r="W497" s="18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8" t="s">
        <v>21</v>
      </c>
      <c r="B498" s="58" t="s">
        <v>39</v>
      </c>
      <c r="C498" s="58" t="s">
        <v>41</v>
      </c>
      <c r="D498" s="58" t="s">
        <v>44</v>
      </c>
      <c r="E498" s="58" t="s">
        <v>52</v>
      </c>
      <c r="F498" s="58" t="s">
        <v>54</v>
      </c>
      <c r="G498" s="58" t="s">
        <v>25</v>
      </c>
      <c r="H498" s="58" t="s">
        <v>35</v>
      </c>
      <c r="I498" s="66">
        <v>44713</v>
      </c>
      <c r="J498" s="67">
        <f>EFEITO!$J$498*EFEITO!$Y$422</f>
        <v>0</v>
      </c>
      <c r="K498" s="67">
        <f ca="1">EFEITO!$L$498*EFEITO!$Z$422</f>
        <v>796.62806151164227</v>
      </c>
      <c r="L498" s="67">
        <f>EFEITO!$N$498*EFEITO!$AA$422</f>
        <v>2310.2632579269198</v>
      </c>
      <c r="M498" s="67">
        <f>$J$498-EFEITO!$K$498*EFEITO!$Y$498</f>
        <v>0</v>
      </c>
      <c r="N498" s="67">
        <f ca="1">$K$498-EFEITO!$M$498*EFEITO!$Z$498</f>
        <v>637.30244920931386</v>
      </c>
      <c r="O498" s="67">
        <f>$L$498-EFEITO!$O$498*EFEITO!$AA$498</f>
        <v>1848.2106063415358</v>
      </c>
      <c r="P498" s="18"/>
      <c r="Q498" s="18"/>
      <c r="R498" s="18"/>
      <c r="S498" s="18"/>
      <c r="T498" s="18"/>
      <c r="U498" s="18"/>
      <c r="V498" s="18"/>
      <c r="W498" s="18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8" t="s">
        <v>21</v>
      </c>
      <c r="B499" s="58" t="s">
        <v>39</v>
      </c>
      <c r="C499" s="58" t="s">
        <v>41</v>
      </c>
      <c r="D499" s="58" t="s">
        <v>44</v>
      </c>
      <c r="E499" s="58" t="s">
        <v>52</v>
      </c>
      <c r="F499" s="58" t="s">
        <v>54</v>
      </c>
      <c r="G499" s="58" t="s">
        <v>25</v>
      </c>
      <c r="H499" s="58" t="s">
        <v>35</v>
      </c>
      <c r="I499" s="66">
        <v>44743</v>
      </c>
      <c r="J499" s="67">
        <f>EFEITO!$J$499*EFEITO!$Y$422</f>
        <v>0</v>
      </c>
      <c r="K499" s="67">
        <f ca="1">EFEITO!$L$499*EFEITO!$Z$422</f>
        <v>734.68390945564704</v>
      </c>
      <c r="L499" s="67">
        <f>EFEITO!$N$499*EFEITO!$AA$422</f>
        <v>2130.62196049779</v>
      </c>
      <c r="M499" s="67">
        <f>$J$499-EFEITO!$K$499*EFEITO!$Y$499</f>
        <v>0</v>
      </c>
      <c r="N499" s="67">
        <f ca="1">$K$499-EFEITO!$M$499*EFEITO!$Z$499</f>
        <v>587.74712756451765</v>
      </c>
      <c r="O499" s="67">
        <f>$L$499-EFEITO!$O$499*EFEITO!$AA$499</f>
        <v>1704.497568398232</v>
      </c>
      <c r="P499" s="18"/>
      <c r="Q499" s="18"/>
      <c r="R499" s="18"/>
      <c r="S499" s="18"/>
      <c r="T499" s="18"/>
      <c r="U499" s="18"/>
      <c r="V499" s="18"/>
      <c r="W499" s="18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8" t="s">
        <v>21</v>
      </c>
      <c r="B500" s="58" t="s">
        <v>39</v>
      </c>
      <c r="C500" s="58" t="s">
        <v>41</v>
      </c>
      <c r="D500" s="58" t="s">
        <v>44</v>
      </c>
      <c r="E500" s="58" t="s">
        <v>52</v>
      </c>
      <c r="F500" s="58" t="s">
        <v>54</v>
      </c>
      <c r="G500" s="58" t="s">
        <v>25</v>
      </c>
      <c r="H500" s="58" t="s">
        <v>35</v>
      </c>
      <c r="I500" s="66">
        <v>44774</v>
      </c>
      <c r="J500" s="67">
        <f>EFEITO!$J$500*EFEITO!$Y$422</f>
        <v>0</v>
      </c>
      <c r="K500" s="67">
        <f ca="1">EFEITO!$L$500*EFEITO!$Z$422</f>
        <v>4553.114060045179</v>
      </c>
      <c r="L500" s="67">
        <f>EFEITO!$N$500*EFEITO!$AA$422</f>
        <v>13204.270135943625</v>
      </c>
      <c r="M500" s="67">
        <f>$J$500-EFEITO!$K$500*EFEITO!$Y$500</f>
        <v>0</v>
      </c>
      <c r="N500" s="67">
        <f ca="1">$K$500-EFEITO!$M$500*EFEITO!$Z$500</f>
        <v>3642.4912480361431</v>
      </c>
      <c r="O500" s="67">
        <f>$L$500-EFEITO!$O$500*EFEITO!$AA$500</f>
        <v>10563.4161087549</v>
      </c>
      <c r="P500" s="18"/>
      <c r="Q500" s="18"/>
      <c r="R500" s="18"/>
      <c r="S500" s="18"/>
      <c r="T500" s="18"/>
      <c r="U500" s="18"/>
      <c r="V500" s="18"/>
      <c r="W500" s="18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8" t="s">
        <v>21</v>
      </c>
      <c r="B501" s="58" t="s">
        <v>39</v>
      </c>
      <c r="C501" s="58" t="s">
        <v>41</v>
      </c>
      <c r="D501" s="58" t="s">
        <v>44</v>
      </c>
      <c r="E501" s="58" t="s">
        <v>52</v>
      </c>
      <c r="F501" s="58" t="s">
        <v>54</v>
      </c>
      <c r="G501" s="58" t="s">
        <v>25</v>
      </c>
      <c r="H501" s="58" t="s">
        <v>35</v>
      </c>
      <c r="I501" s="66">
        <v>44805</v>
      </c>
      <c r="J501" s="67">
        <f>EFEITO!$J$501*EFEITO!$Y$422</f>
        <v>0</v>
      </c>
      <c r="K501" s="67">
        <f ca="1">EFEITO!$L$501*EFEITO!$Z$422</f>
        <v>11063.597659880948</v>
      </c>
      <c r="L501" s="67">
        <f>EFEITO!$N$501*EFEITO!$AA$422</f>
        <v>32085.01483817698</v>
      </c>
      <c r="M501" s="67">
        <f>$J$501-EFEITO!$K$501*EFEITO!$Y$501</f>
        <v>0</v>
      </c>
      <c r="N501" s="67">
        <f ca="1">$K$501-EFEITO!$M$501*EFEITO!$Z$501</f>
        <v>8850.878127904758</v>
      </c>
      <c r="O501" s="67">
        <f>$L$501-EFEITO!$O$501*EFEITO!$AA$501</f>
        <v>25668.011870541584</v>
      </c>
      <c r="P501" s="18"/>
      <c r="Q501" s="18"/>
      <c r="R501" s="18"/>
      <c r="S501" s="18"/>
      <c r="T501" s="18"/>
      <c r="U501" s="18"/>
      <c r="V501" s="18"/>
      <c r="W501" s="18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8" t="s">
        <v>55</v>
      </c>
      <c r="B502" s="58" t="s">
        <v>39</v>
      </c>
      <c r="C502" s="58" t="s">
        <v>41</v>
      </c>
      <c r="D502" s="58" t="s">
        <v>44</v>
      </c>
      <c r="E502" s="58" t="s">
        <v>52</v>
      </c>
      <c r="F502" s="58" t="s">
        <v>54</v>
      </c>
      <c r="G502" s="58" t="s">
        <v>25</v>
      </c>
      <c r="H502" s="58" t="s">
        <v>35</v>
      </c>
      <c r="I502" s="66">
        <v>44835</v>
      </c>
      <c r="J502" s="67">
        <f>EFEITO!$J$502*EFEITO!$Y$422</f>
        <v>0</v>
      </c>
      <c r="K502" s="67">
        <f ca="1">EFEITO!$L$502*EFEITO!$Z$422</f>
        <v>11063.597659880948</v>
      </c>
      <c r="L502" s="67">
        <f>EFEITO!$N$502*EFEITO!$AA$422</f>
        <v>32085.01483817698</v>
      </c>
      <c r="M502" s="67">
        <f>$J$502-EFEITO!$K$502*EFEITO!$Y$502</f>
        <v>0</v>
      </c>
      <c r="N502" s="67">
        <f ca="1">$K$502-EFEITO!$M$502*EFEITO!$Z$502</f>
        <v>8850.878127904758</v>
      </c>
      <c r="O502" s="67">
        <f>$L$502-EFEITO!$O$502*EFEITO!$AA$502</f>
        <v>25668.011870541584</v>
      </c>
      <c r="P502" s="18"/>
      <c r="Q502" s="18"/>
      <c r="R502" s="18"/>
      <c r="S502" s="18"/>
      <c r="T502" s="18"/>
      <c r="U502" s="18"/>
      <c r="V502" s="18"/>
      <c r="W502" s="18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8" t="s">
        <v>21</v>
      </c>
      <c r="B503" s="58" t="s">
        <v>39</v>
      </c>
      <c r="C503" s="58" t="s">
        <v>41</v>
      </c>
      <c r="D503" s="58" t="s">
        <v>44</v>
      </c>
      <c r="E503" s="58" t="s">
        <v>52</v>
      </c>
      <c r="F503" s="58" t="s">
        <v>25</v>
      </c>
      <c r="G503" s="58" t="s">
        <v>25</v>
      </c>
      <c r="H503" s="58" t="s">
        <v>35</v>
      </c>
      <c r="I503" s="66">
        <v>44501</v>
      </c>
      <c r="J503" s="67">
        <f>EFEITO!$J$503*EFEITO!$Y$422</f>
        <v>0</v>
      </c>
      <c r="K503" s="67">
        <f ca="1">EFEITO!$L$503*EFEITO!$Z$422</f>
        <v>40939.393526845182</v>
      </c>
      <c r="L503" s="67">
        <f>EFEITO!$N$503*EFEITO!$AA$422</f>
        <v>118726.39345318789</v>
      </c>
      <c r="M503" s="67">
        <f>$J$503-EFEITO!$K$503*EFEITO!$Y$503</f>
        <v>0</v>
      </c>
      <c r="N503" s="67">
        <f ca="1">$K$503-EFEITO!$M$503*EFEITO!$Z$503</f>
        <v>818.7878705369003</v>
      </c>
      <c r="O503" s="67">
        <f>$L$503-EFEITO!$O$503*EFEITO!$AA$503</f>
        <v>2374.5278690637497</v>
      </c>
      <c r="P503" s="18"/>
      <c r="Q503" s="18"/>
      <c r="R503" s="18"/>
      <c r="S503" s="18"/>
      <c r="T503" s="18"/>
      <c r="U503" s="18"/>
      <c r="V503" s="18"/>
      <c r="W503" s="18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8" t="s">
        <v>21</v>
      </c>
      <c r="B504" s="58" t="s">
        <v>39</v>
      </c>
      <c r="C504" s="58" t="s">
        <v>41</v>
      </c>
      <c r="D504" s="58" t="s">
        <v>44</v>
      </c>
      <c r="E504" s="58" t="s">
        <v>52</v>
      </c>
      <c r="F504" s="58" t="s">
        <v>25</v>
      </c>
      <c r="G504" s="58" t="s">
        <v>25</v>
      </c>
      <c r="H504" s="58" t="s">
        <v>35</v>
      </c>
      <c r="I504" s="66">
        <v>44531</v>
      </c>
      <c r="J504" s="67">
        <f>EFEITO!$J$504*EFEITO!$Y$422</f>
        <v>0</v>
      </c>
      <c r="K504" s="67">
        <f ca="1">EFEITO!$L$504*EFEITO!$Z$422</f>
        <v>57158.80214672249</v>
      </c>
      <c r="L504" s="67">
        <f>EFEITO!$N$504*EFEITO!$AA$422</f>
        <v>165763.53112155269</v>
      </c>
      <c r="M504" s="67">
        <f>$J$504-EFEITO!$K$504*EFEITO!$Y$504</f>
        <v>0</v>
      </c>
      <c r="N504" s="67">
        <f ca="1">$K$504-EFEITO!$M$504*EFEITO!$Z$504</f>
        <v>1143.1760429344577</v>
      </c>
      <c r="O504" s="67">
        <f>$L$504-EFEITO!$O$504*EFEITO!$AA$504</f>
        <v>3315.2706224310386</v>
      </c>
      <c r="P504" s="18"/>
      <c r="Q504" s="18"/>
      <c r="R504" s="18"/>
      <c r="S504" s="18"/>
      <c r="T504" s="18"/>
      <c r="U504" s="18"/>
      <c r="V504" s="18"/>
      <c r="W504" s="18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8" t="s">
        <v>21</v>
      </c>
      <c r="B505" s="58" t="s">
        <v>39</v>
      </c>
      <c r="C505" s="58" t="s">
        <v>41</v>
      </c>
      <c r="D505" s="58" t="s">
        <v>44</v>
      </c>
      <c r="E505" s="58" t="s">
        <v>52</v>
      </c>
      <c r="F505" s="58" t="s">
        <v>25</v>
      </c>
      <c r="G505" s="58" t="s">
        <v>25</v>
      </c>
      <c r="H505" s="58" t="s">
        <v>35</v>
      </c>
      <c r="I505" s="66">
        <v>44562</v>
      </c>
      <c r="J505" s="67">
        <f>EFEITO!$J$505*EFEITO!$Y$422</f>
        <v>0</v>
      </c>
      <c r="K505" s="67">
        <f ca="1">EFEITO!$L$505*EFEITO!$Z$422</f>
        <v>58360.803245717187</v>
      </c>
      <c r="L505" s="67">
        <f>EFEITO!$N$505*EFEITO!$AA$422</f>
        <v>169249.39749905118</v>
      </c>
      <c r="M505" s="67">
        <f>$J$505-EFEITO!$K$505*EFEITO!$Y$505</f>
        <v>0</v>
      </c>
      <c r="N505" s="67">
        <f ca="1">$K$505-EFEITO!$M$505*EFEITO!$Z$505</f>
        <v>1167.216064914348</v>
      </c>
      <c r="O505" s="67">
        <f>$L$505-EFEITO!$O$505*EFEITO!$AA$505</f>
        <v>3384.9879499810049</v>
      </c>
      <c r="P505" s="18"/>
      <c r="Q505" s="18"/>
      <c r="R505" s="18"/>
      <c r="S505" s="18"/>
      <c r="T505" s="18"/>
      <c r="U505" s="18"/>
      <c r="V505" s="18"/>
      <c r="W505" s="18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8" t="s">
        <v>21</v>
      </c>
      <c r="B506" s="58" t="s">
        <v>39</v>
      </c>
      <c r="C506" s="58" t="s">
        <v>41</v>
      </c>
      <c r="D506" s="58" t="s">
        <v>44</v>
      </c>
      <c r="E506" s="58" t="s">
        <v>52</v>
      </c>
      <c r="F506" s="58" t="s">
        <v>25</v>
      </c>
      <c r="G506" s="58" t="s">
        <v>25</v>
      </c>
      <c r="H506" s="58" t="s">
        <v>35</v>
      </c>
      <c r="I506" s="66">
        <v>44593</v>
      </c>
      <c r="J506" s="67">
        <f>EFEITO!$J$506*EFEITO!$Y$422</f>
        <v>0</v>
      </c>
      <c r="K506" s="67">
        <f ca="1">EFEITO!$L$506*EFEITO!$Z$422</f>
        <v>56186.081963906785</v>
      </c>
      <c r="L506" s="67">
        <f>EFEITO!$N$506*EFEITO!$AA$422</f>
        <v>162942.59145450301</v>
      </c>
      <c r="M506" s="67">
        <f>$J$506-EFEITO!$K$506*EFEITO!$Y$506</f>
        <v>0</v>
      </c>
      <c r="N506" s="67">
        <f ca="1">$K$506-EFEITO!$M$506*EFEITO!$Z$506</f>
        <v>1123.7216392781411</v>
      </c>
      <c r="O506" s="67">
        <f>$L$506-EFEITO!$O$506*EFEITO!$AA$506</f>
        <v>3258.8518290900392</v>
      </c>
      <c r="P506" s="18"/>
      <c r="Q506" s="18"/>
      <c r="R506" s="18"/>
      <c r="S506" s="18"/>
      <c r="T506" s="18"/>
      <c r="U506" s="18"/>
      <c r="V506" s="18"/>
      <c r="W506" s="18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8" t="s">
        <v>27</v>
      </c>
      <c r="B507" s="58" t="s">
        <v>39</v>
      </c>
      <c r="C507" s="58" t="s">
        <v>41</v>
      </c>
      <c r="D507" s="58" t="s">
        <v>44</v>
      </c>
      <c r="E507" s="58" t="s">
        <v>52</v>
      </c>
      <c r="F507" s="58" t="s">
        <v>25</v>
      </c>
      <c r="G507" s="58" t="s">
        <v>25</v>
      </c>
      <c r="H507" s="58" t="s">
        <v>35</v>
      </c>
      <c r="I507" s="66">
        <v>44593</v>
      </c>
      <c r="J507" s="67">
        <f>EFEITO!$J$507*EFEITO!$Y$422</f>
        <v>0</v>
      </c>
      <c r="K507" s="67">
        <f ca="1">EFEITO!$L$507*EFEITO!$Z$422</f>
        <v>-5397.0210503345415</v>
      </c>
      <c r="L507" s="67">
        <f>EFEITO!$N$507*EFEITO!$AA$422</f>
        <v>-15651.644772827054</v>
      </c>
      <c r="M507" s="67">
        <f>$J$507-EFEITO!$K$507*EFEITO!$Y$507</f>
        <v>0</v>
      </c>
      <c r="N507" s="67">
        <f ca="1">$K$507-EFEITO!$M$507*EFEITO!$Z$507</f>
        <v>-107.94042100669049</v>
      </c>
      <c r="O507" s="67">
        <f>$L$507-EFEITO!$O$507*EFEITO!$AA$507</f>
        <v>-313.03289545654115</v>
      </c>
      <c r="P507" s="18"/>
      <c r="Q507" s="18"/>
      <c r="R507" s="18"/>
      <c r="S507" s="18"/>
      <c r="T507" s="18"/>
      <c r="U507" s="18"/>
      <c r="V507" s="18"/>
      <c r="W507" s="18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8" t="s">
        <v>21</v>
      </c>
      <c r="B508" s="58" t="s">
        <v>39</v>
      </c>
      <c r="C508" s="58" t="s">
        <v>41</v>
      </c>
      <c r="D508" s="58" t="s">
        <v>44</v>
      </c>
      <c r="E508" s="58" t="s">
        <v>52</v>
      </c>
      <c r="F508" s="58" t="s">
        <v>25</v>
      </c>
      <c r="G508" s="58" t="s">
        <v>25</v>
      </c>
      <c r="H508" s="58" t="s">
        <v>35</v>
      </c>
      <c r="I508" s="66">
        <v>44621</v>
      </c>
      <c r="J508" s="67">
        <f>EFEITO!$J$508*EFEITO!$Y$422</f>
        <v>0</v>
      </c>
      <c r="K508" s="67">
        <f ca="1">EFEITO!$L$508*EFEITO!$Z$422</f>
        <v>12436.437665871064</v>
      </c>
      <c r="L508" s="67">
        <f>EFEITO!$N$508*EFEITO!$AA$422</f>
        <v>36066.323027136357</v>
      </c>
      <c r="M508" s="67">
        <f>$J$508-EFEITO!$K$508*EFEITO!$Y$508</f>
        <v>0</v>
      </c>
      <c r="N508" s="67">
        <f ca="1">$K$508-EFEITO!$M$508*EFEITO!$Z$508</f>
        <v>248.72875331742216</v>
      </c>
      <c r="O508" s="67">
        <f>$L$508-EFEITO!$O$508*EFEITO!$AA$508</f>
        <v>721.32646054272482</v>
      </c>
      <c r="P508" s="18"/>
      <c r="Q508" s="18"/>
      <c r="R508" s="18"/>
      <c r="S508" s="18"/>
      <c r="T508" s="18"/>
      <c r="U508" s="18"/>
      <c r="V508" s="18"/>
      <c r="W508" s="18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8" t="s">
        <v>27</v>
      </c>
      <c r="B509" s="58" t="s">
        <v>39</v>
      </c>
      <c r="C509" s="58" t="s">
        <v>41</v>
      </c>
      <c r="D509" s="58" t="s">
        <v>44</v>
      </c>
      <c r="E509" s="58" t="s">
        <v>52</v>
      </c>
      <c r="F509" s="58" t="s">
        <v>25</v>
      </c>
      <c r="G509" s="58" t="s">
        <v>25</v>
      </c>
      <c r="H509" s="58" t="s">
        <v>35</v>
      </c>
      <c r="I509" s="66">
        <v>44621</v>
      </c>
      <c r="J509" s="67">
        <f>EFEITO!$J$509*EFEITO!$Y$422</f>
        <v>0</v>
      </c>
      <c r="K509" s="67">
        <f ca="1">EFEITO!$L$509*EFEITO!$Z$422</f>
        <v>9101.7409995350645</v>
      </c>
      <c r="L509" s="67">
        <f>EFEITO!$N$509*EFEITO!$AA$422</f>
        <v>26395.527386384438</v>
      </c>
      <c r="M509" s="67">
        <f>$J$509-EFEITO!$K$509*EFEITO!$Y$509</f>
        <v>0</v>
      </c>
      <c r="N509" s="67">
        <f ca="1">$K$509-EFEITO!$M$509*EFEITO!$Z$509</f>
        <v>182.03481999070027</v>
      </c>
      <c r="O509" s="67">
        <f>$L$509-EFEITO!$O$509*EFEITO!$AA$509</f>
        <v>527.91054772768985</v>
      </c>
      <c r="P509" s="18"/>
      <c r="Q509" s="18"/>
      <c r="R509" s="18"/>
      <c r="S509" s="18"/>
      <c r="T509" s="18"/>
      <c r="U509" s="18"/>
      <c r="V509" s="18"/>
      <c r="W509" s="18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8" t="s">
        <v>21</v>
      </c>
      <c r="B510" s="58" t="s">
        <v>39</v>
      </c>
      <c r="C510" s="58" t="s">
        <v>41</v>
      </c>
      <c r="D510" s="58" t="s">
        <v>44</v>
      </c>
      <c r="E510" s="58" t="s">
        <v>52</v>
      </c>
      <c r="F510" s="58" t="s">
        <v>25</v>
      </c>
      <c r="G510" s="58" t="s">
        <v>25</v>
      </c>
      <c r="H510" s="58" t="s">
        <v>35</v>
      </c>
      <c r="I510" s="66">
        <v>44652</v>
      </c>
      <c r="J510" s="67">
        <f>EFEITO!$J$510*EFEITO!$Y$422</f>
        <v>0</v>
      </c>
      <c r="K510" s="67">
        <f ca="1">EFEITO!$L$510*EFEITO!$Z$422</f>
        <v>12436.437665871064</v>
      </c>
      <c r="L510" s="67">
        <f>EFEITO!$N$510*EFEITO!$AA$422</f>
        <v>36066.323027136357</v>
      </c>
      <c r="M510" s="67">
        <f>$J$510-EFEITO!$K$510*EFEITO!$Y$510</f>
        <v>0</v>
      </c>
      <c r="N510" s="67">
        <f ca="1">$K$510-EFEITO!$M$510*EFEITO!$Z$510</f>
        <v>248.72875331742216</v>
      </c>
      <c r="O510" s="67">
        <f>$L$510-EFEITO!$O$510*EFEITO!$AA$510</f>
        <v>721.32646054272482</v>
      </c>
      <c r="P510" s="18"/>
      <c r="Q510" s="18"/>
      <c r="R510" s="18"/>
      <c r="S510" s="18"/>
      <c r="T510" s="18"/>
      <c r="U510" s="18"/>
      <c r="V510" s="18"/>
      <c r="W510" s="18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8" t="s">
        <v>27</v>
      </c>
      <c r="B511" s="58" t="s">
        <v>39</v>
      </c>
      <c r="C511" s="58" t="s">
        <v>41</v>
      </c>
      <c r="D511" s="58" t="s">
        <v>44</v>
      </c>
      <c r="E511" s="58" t="s">
        <v>52</v>
      </c>
      <c r="F511" s="58" t="s">
        <v>25</v>
      </c>
      <c r="G511" s="58" t="s">
        <v>25</v>
      </c>
      <c r="H511" s="58" t="s">
        <v>35</v>
      </c>
      <c r="I511" s="66">
        <v>44652</v>
      </c>
      <c r="J511" s="67">
        <f>EFEITO!$J$511*EFEITO!$Y$422</f>
        <v>0</v>
      </c>
      <c r="K511" s="67">
        <f ca="1">EFEITO!$L$511*EFEITO!$Z$422</f>
        <v>9101.7409995350645</v>
      </c>
      <c r="L511" s="67">
        <f>EFEITO!$N$511*EFEITO!$AA$422</f>
        <v>26395.527386384438</v>
      </c>
      <c r="M511" s="67">
        <f>$J$511-EFEITO!$K$511*EFEITO!$Y$511</f>
        <v>0</v>
      </c>
      <c r="N511" s="67">
        <f ca="1">$K$511-EFEITO!$M$511*EFEITO!$Z$511</f>
        <v>182.03481999070027</v>
      </c>
      <c r="O511" s="67">
        <f>$L$511-EFEITO!$O$511*EFEITO!$AA$511</f>
        <v>527.91054772768985</v>
      </c>
      <c r="P511" s="18"/>
      <c r="Q511" s="18"/>
      <c r="R511" s="18"/>
      <c r="S511" s="18"/>
      <c r="T511" s="18"/>
      <c r="U511" s="18"/>
      <c r="V511" s="18"/>
      <c r="W511" s="18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8" t="s">
        <v>21</v>
      </c>
      <c r="B512" s="58" t="s">
        <v>39</v>
      </c>
      <c r="C512" s="58" t="s">
        <v>41</v>
      </c>
      <c r="D512" s="58" t="s">
        <v>44</v>
      </c>
      <c r="E512" s="58" t="s">
        <v>52</v>
      </c>
      <c r="F512" s="58" t="s">
        <v>25</v>
      </c>
      <c r="G512" s="58" t="s">
        <v>25</v>
      </c>
      <c r="H512" s="58" t="s">
        <v>35</v>
      </c>
      <c r="I512" s="66">
        <v>44682</v>
      </c>
      <c r="J512" s="67">
        <f>EFEITO!$J$512*EFEITO!$Y$422</f>
        <v>0</v>
      </c>
      <c r="K512" s="67">
        <f ca="1">EFEITO!$L$512*EFEITO!$Z$422</f>
        <v>2722.5877574151841</v>
      </c>
      <c r="L512" s="67">
        <f>EFEITO!$N$512*EFEITO!$AA$422</f>
        <v>7895.6476256969345</v>
      </c>
      <c r="M512" s="67">
        <f>$J$512-EFEITO!$K$512*EFEITO!$Y$512</f>
        <v>0</v>
      </c>
      <c r="N512" s="67">
        <f ca="1">$K$512-EFEITO!$M$512*EFEITO!$Z$512</f>
        <v>54.451755148303619</v>
      </c>
      <c r="O512" s="67">
        <f>$L$512-EFEITO!$O$512*EFEITO!$AA$512</f>
        <v>157.91295251393876</v>
      </c>
      <c r="P512" s="18"/>
      <c r="Q512" s="18"/>
      <c r="R512" s="18"/>
      <c r="S512" s="18"/>
      <c r="T512" s="18"/>
      <c r="U512" s="18"/>
      <c r="V512" s="18"/>
      <c r="W512" s="18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8" t="s">
        <v>27</v>
      </c>
      <c r="B513" s="58" t="s">
        <v>39</v>
      </c>
      <c r="C513" s="58" t="s">
        <v>41</v>
      </c>
      <c r="D513" s="58" t="s">
        <v>44</v>
      </c>
      <c r="E513" s="58" t="s">
        <v>52</v>
      </c>
      <c r="F513" s="58" t="s">
        <v>25</v>
      </c>
      <c r="G513" s="58" t="s">
        <v>25</v>
      </c>
      <c r="H513" s="58" t="s">
        <v>35</v>
      </c>
      <c r="I513" s="66">
        <v>44682</v>
      </c>
      <c r="J513" s="67">
        <f>EFEITO!$J$513*EFEITO!$Y$422</f>
        <v>0</v>
      </c>
      <c r="K513" s="67">
        <f ca="1">EFEITO!$L$513*EFEITO!$Z$422</f>
        <v>-29641.261736476601</v>
      </c>
      <c r="L513" s="67">
        <f>EFEITO!$N$513*EFEITO!$AA$422</f>
        <v>-85961.217306900246</v>
      </c>
      <c r="M513" s="67">
        <f>$J$513-EFEITO!$K$513*EFEITO!$Y$513</f>
        <v>0</v>
      </c>
      <c r="N513" s="67">
        <f ca="1">$K$513-EFEITO!$M$513*EFEITO!$Z$513</f>
        <v>-592.82523472953108</v>
      </c>
      <c r="O513" s="67">
        <f>$L$513-EFEITO!$O$513*EFEITO!$AA$513</f>
        <v>-1719.2243461379985</v>
      </c>
      <c r="P513" s="18"/>
      <c r="Q513" s="18"/>
      <c r="R513" s="18"/>
      <c r="S513" s="18"/>
      <c r="T513" s="18"/>
      <c r="U513" s="18"/>
      <c r="V513" s="18"/>
      <c r="W513" s="18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8" t="s">
        <v>21</v>
      </c>
      <c r="B514" s="58" t="s">
        <v>39</v>
      </c>
      <c r="C514" s="58" t="s">
        <v>41</v>
      </c>
      <c r="D514" s="58" t="s">
        <v>44</v>
      </c>
      <c r="E514" s="58" t="s">
        <v>52</v>
      </c>
      <c r="F514" s="58" t="s">
        <v>25</v>
      </c>
      <c r="G514" s="58" t="s">
        <v>25</v>
      </c>
      <c r="H514" s="58" t="s">
        <v>35</v>
      </c>
      <c r="I514" s="66">
        <v>44713</v>
      </c>
      <c r="J514" s="67">
        <f>EFEITO!$J$514*EFEITO!$Y$422</f>
        <v>0</v>
      </c>
      <c r="K514" s="67">
        <f ca="1">EFEITO!$L$514*EFEITO!$Z$422</f>
        <v>1642.0672393076907</v>
      </c>
      <c r="L514" s="67">
        <f>EFEITO!$N$514*EFEITO!$AA$422</f>
        <v>4762.0813191283842</v>
      </c>
      <c r="M514" s="67">
        <f>$J$514-EFEITO!$K$514*EFEITO!$Y$514</f>
        <v>0</v>
      </c>
      <c r="N514" s="67">
        <f ca="1">$K$514-EFEITO!$M$514*EFEITO!$Z$514</f>
        <v>32.841344786153741</v>
      </c>
      <c r="O514" s="67">
        <f>$L$514-EFEITO!$O$514*EFEITO!$AA$514</f>
        <v>95.241626382568029</v>
      </c>
      <c r="P514" s="18"/>
      <c r="Q514" s="18"/>
      <c r="R514" s="18"/>
      <c r="S514" s="18"/>
      <c r="T514" s="18"/>
      <c r="U514" s="18"/>
      <c r="V514" s="18"/>
      <c r="W514" s="18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8" t="s">
        <v>21</v>
      </c>
      <c r="B515" s="58" t="s">
        <v>39</v>
      </c>
      <c r="C515" s="58" t="s">
        <v>41</v>
      </c>
      <c r="D515" s="58" t="s">
        <v>44</v>
      </c>
      <c r="E515" s="58" t="s">
        <v>52</v>
      </c>
      <c r="F515" s="58" t="s">
        <v>25</v>
      </c>
      <c r="G515" s="58" t="s">
        <v>25</v>
      </c>
      <c r="H515" s="58" t="s">
        <v>35</v>
      </c>
      <c r="I515" s="66">
        <v>44743</v>
      </c>
      <c r="J515" s="67">
        <f>EFEITO!$J$515*EFEITO!$Y$422</f>
        <v>0</v>
      </c>
      <c r="K515" s="67">
        <f ca="1">EFEITO!$L$515*EFEITO!$Z$422</f>
        <v>1805.9018605582651</v>
      </c>
      <c r="L515" s="67">
        <f>EFEITO!$N$515*EFEITO!$AA$422</f>
        <v>5237.2103337068429</v>
      </c>
      <c r="M515" s="67">
        <f>$J$515-EFEITO!$K$515*EFEITO!$Y$515</f>
        <v>0</v>
      </c>
      <c r="N515" s="67">
        <f ca="1">$K$515-EFEITO!$M$515*EFEITO!$Z$515</f>
        <v>36.118037211165529</v>
      </c>
      <c r="O515" s="67">
        <f>$L$515-EFEITO!$O$515*EFEITO!$AA$515</f>
        <v>104.74420667413688</v>
      </c>
      <c r="P515" s="18"/>
      <c r="Q515" s="18"/>
      <c r="R515" s="18"/>
      <c r="S515" s="18"/>
      <c r="T515" s="18"/>
      <c r="U515" s="18"/>
      <c r="V515" s="18"/>
      <c r="W515" s="18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8" t="s">
        <v>21</v>
      </c>
      <c r="B516" s="58" t="s">
        <v>39</v>
      </c>
      <c r="C516" s="58" t="s">
        <v>41</v>
      </c>
      <c r="D516" s="58" t="s">
        <v>44</v>
      </c>
      <c r="E516" s="58" t="s">
        <v>52</v>
      </c>
      <c r="F516" s="58" t="s">
        <v>25</v>
      </c>
      <c r="G516" s="58" t="s">
        <v>25</v>
      </c>
      <c r="H516" s="58" t="s">
        <v>35</v>
      </c>
      <c r="I516" s="66">
        <v>44774</v>
      </c>
      <c r="J516" s="67">
        <f>EFEITO!$J$516*EFEITO!$Y$422</f>
        <v>0</v>
      </c>
      <c r="K516" s="67">
        <f ca="1">EFEITO!$L$516*EFEITO!$Z$422</f>
        <v>9564.5710685188169</v>
      </c>
      <c r="L516" s="67">
        <f>EFEITO!$N$516*EFEITO!$AA$422</f>
        <v>27737.7589178823</v>
      </c>
      <c r="M516" s="67">
        <f>$J$516-EFEITO!$K$516*EFEITO!$Y$516</f>
        <v>0</v>
      </c>
      <c r="N516" s="67">
        <f ca="1">$K$516-EFEITO!$M$516*EFEITO!$Z$516</f>
        <v>191.29142137037525</v>
      </c>
      <c r="O516" s="67">
        <f>$L$516-EFEITO!$O$516*EFEITO!$AA$516</f>
        <v>554.75517835764549</v>
      </c>
      <c r="P516" s="18"/>
      <c r="Q516" s="18"/>
      <c r="R516" s="18"/>
      <c r="S516" s="18"/>
      <c r="T516" s="18"/>
      <c r="U516" s="18"/>
      <c r="V516" s="18"/>
      <c r="W516" s="18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8" t="s">
        <v>21</v>
      </c>
      <c r="B517" s="58" t="s">
        <v>39</v>
      </c>
      <c r="C517" s="58" t="s">
        <v>41</v>
      </c>
      <c r="D517" s="58" t="s">
        <v>44</v>
      </c>
      <c r="E517" s="58" t="s">
        <v>52</v>
      </c>
      <c r="F517" s="58" t="s">
        <v>25</v>
      </c>
      <c r="G517" s="58" t="s">
        <v>25</v>
      </c>
      <c r="H517" s="58" t="s">
        <v>35</v>
      </c>
      <c r="I517" s="66">
        <v>44805</v>
      </c>
      <c r="J517" s="67">
        <f>EFEITO!$J$517*EFEITO!$Y$422</f>
        <v>0</v>
      </c>
      <c r="K517" s="67">
        <f ca="1">EFEITO!$L$517*EFEITO!$Z$422</f>
        <v>16088.406588055703</v>
      </c>
      <c r="L517" s="67">
        <f>EFEITO!$N$517*EFEITO!$AA$422</f>
        <v>46657.224889172816</v>
      </c>
      <c r="M517" s="67">
        <f>$J$517-EFEITO!$K$517*EFEITO!$Y$517</f>
        <v>0</v>
      </c>
      <c r="N517" s="67">
        <f ca="1">$K$517-EFEITO!$M$517*EFEITO!$Z$517</f>
        <v>321.768131761115</v>
      </c>
      <c r="O517" s="67">
        <f>$L$517-EFEITO!$O$517*EFEITO!$AA$517</f>
        <v>933.14449778345443</v>
      </c>
      <c r="P517" s="18"/>
      <c r="Q517" s="18"/>
      <c r="R517" s="18"/>
      <c r="S517" s="18"/>
      <c r="T517" s="18"/>
      <c r="U517" s="18"/>
      <c r="V517" s="18"/>
      <c r="W517" s="18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8" t="s">
        <v>55</v>
      </c>
      <c r="B518" s="58" t="s">
        <v>39</v>
      </c>
      <c r="C518" s="58" t="s">
        <v>41</v>
      </c>
      <c r="D518" s="58" t="s">
        <v>44</v>
      </c>
      <c r="E518" s="58" t="s">
        <v>52</v>
      </c>
      <c r="F518" s="58" t="s">
        <v>25</v>
      </c>
      <c r="G518" s="58" t="s">
        <v>25</v>
      </c>
      <c r="H518" s="58" t="s">
        <v>35</v>
      </c>
      <c r="I518" s="66">
        <v>44835</v>
      </c>
      <c r="J518" s="67">
        <f>EFEITO!$J$518*EFEITO!$Y$422</f>
        <v>0</v>
      </c>
      <c r="K518" s="67">
        <f ca="1">EFEITO!$L$518*EFEITO!$Z$422</f>
        <v>16088.406588055703</v>
      </c>
      <c r="L518" s="67">
        <f>EFEITO!$N$518*EFEITO!$AA$422</f>
        <v>46657.224889172816</v>
      </c>
      <c r="M518" s="67">
        <f>$J$518-EFEITO!$K$518*EFEITO!$Y$518</f>
        <v>0</v>
      </c>
      <c r="N518" s="67">
        <f ca="1">$K$518-EFEITO!$M$518*EFEITO!$Z$518</f>
        <v>321.768131761115</v>
      </c>
      <c r="O518" s="67">
        <f>$L$518-EFEITO!$O$518*EFEITO!$AA$518</f>
        <v>933.14449778345443</v>
      </c>
      <c r="P518" s="18"/>
      <c r="Q518" s="18"/>
      <c r="R518" s="18"/>
      <c r="S518" s="18"/>
      <c r="T518" s="18"/>
      <c r="U518" s="18"/>
      <c r="V518" s="18"/>
      <c r="W518" s="18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8" t="s">
        <v>21</v>
      </c>
      <c r="B519" s="58" t="s">
        <v>39</v>
      </c>
      <c r="C519" s="58" t="s">
        <v>41</v>
      </c>
      <c r="D519" s="58" t="s">
        <v>44</v>
      </c>
      <c r="E519" s="58" t="s">
        <v>52</v>
      </c>
      <c r="F519" s="58" t="s">
        <v>25</v>
      </c>
      <c r="G519" s="58" t="s">
        <v>25</v>
      </c>
      <c r="H519" s="58" t="s">
        <v>25</v>
      </c>
      <c r="I519" s="66">
        <v>44501</v>
      </c>
      <c r="J519" s="67">
        <f ca="1">EFEITO!$J$519*EFEITO!$Y$457</f>
        <v>38067.97804787934</v>
      </c>
      <c r="K519" s="67">
        <f>EFEITO!$L$519*EFEITO!$Z$457</f>
        <v>0</v>
      </c>
      <c r="L519" s="67">
        <f>EFEITO!$N$519*EFEITO!$AA$457</f>
        <v>0</v>
      </c>
      <c r="M519" s="67">
        <f ca="1">$J$519-EFEITO!$K$519*EFEITO!$Y$519</f>
        <v>761.3595609575932</v>
      </c>
      <c r="N519" s="67">
        <f>$K$519-EFEITO!$M$519*EFEITO!$Z$519</f>
        <v>0</v>
      </c>
      <c r="O519" s="67">
        <f>$L$519-EFEITO!$O$519*EFEITO!$AA$519</f>
        <v>0</v>
      </c>
      <c r="P519" s="18"/>
      <c r="Q519" s="18"/>
      <c r="R519" s="18"/>
      <c r="S519" s="18"/>
      <c r="T519" s="18"/>
      <c r="U519" s="18"/>
      <c r="V519" s="18"/>
      <c r="W519" s="18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8" t="s">
        <v>21</v>
      </c>
      <c r="B520" s="58" t="s">
        <v>39</v>
      </c>
      <c r="C520" s="58" t="s">
        <v>41</v>
      </c>
      <c r="D520" s="58" t="s">
        <v>44</v>
      </c>
      <c r="E520" s="58" t="s">
        <v>52</v>
      </c>
      <c r="F520" s="58" t="s">
        <v>25</v>
      </c>
      <c r="G520" s="58" t="s">
        <v>25</v>
      </c>
      <c r="H520" s="58" t="s">
        <v>25</v>
      </c>
      <c r="I520" s="66">
        <v>44531</v>
      </c>
      <c r="J520" s="67">
        <f ca="1">EFEITO!$J$520*EFEITO!$Y$457</f>
        <v>39589.936190723085</v>
      </c>
      <c r="K520" s="67">
        <f>EFEITO!$L$520*EFEITO!$Z$457</f>
        <v>0</v>
      </c>
      <c r="L520" s="67">
        <f>EFEITO!$N$520*EFEITO!$AA$457</f>
        <v>0</v>
      </c>
      <c r="M520" s="67">
        <f ca="1">$J$520-EFEITO!$K$520*EFEITO!$Y$520</f>
        <v>791.7987238144633</v>
      </c>
      <c r="N520" s="67">
        <f>$K$520-EFEITO!$M$520*EFEITO!$Z$520</f>
        <v>0</v>
      </c>
      <c r="O520" s="67">
        <f>$L$520-EFEITO!$O$520*EFEITO!$AA$520</f>
        <v>0</v>
      </c>
      <c r="P520" s="18"/>
      <c r="Q520" s="18"/>
      <c r="R520" s="18"/>
      <c r="S520" s="18"/>
      <c r="T520" s="18"/>
      <c r="U520" s="18"/>
      <c r="V520" s="18"/>
      <c r="W520" s="18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8" t="s">
        <v>21</v>
      </c>
      <c r="B521" s="58" t="s">
        <v>39</v>
      </c>
      <c r="C521" s="58" t="s">
        <v>41</v>
      </c>
      <c r="D521" s="58" t="s">
        <v>44</v>
      </c>
      <c r="E521" s="58" t="s">
        <v>52</v>
      </c>
      <c r="F521" s="58" t="s">
        <v>25</v>
      </c>
      <c r="G521" s="58" t="s">
        <v>25</v>
      </c>
      <c r="H521" s="58" t="s">
        <v>25</v>
      </c>
      <c r="I521" s="66">
        <v>44562</v>
      </c>
      <c r="J521" s="67">
        <f ca="1">EFEITO!$J$521*EFEITO!$Y$457</f>
        <v>56198.304424505528</v>
      </c>
      <c r="K521" s="67">
        <f>EFEITO!$L$521*EFEITO!$Z$457</f>
        <v>0</v>
      </c>
      <c r="L521" s="67">
        <f>EFEITO!$N$521*EFEITO!$AA$457</f>
        <v>0</v>
      </c>
      <c r="M521" s="67">
        <f ca="1">$J$521-EFEITO!$K$521*EFEITO!$Y$521</f>
        <v>1123.9660884901168</v>
      </c>
      <c r="N521" s="67">
        <f>$K$521-EFEITO!$M$521*EFEITO!$Z$521</f>
        <v>0</v>
      </c>
      <c r="O521" s="67">
        <f>$L$521-EFEITO!$O$521*EFEITO!$AA$521</f>
        <v>0</v>
      </c>
      <c r="P521" s="18"/>
      <c r="Q521" s="18"/>
      <c r="R521" s="18"/>
      <c r="S521" s="18"/>
      <c r="T521" s="18"/>
      <c r="U521" s="18"/>
      <c r="V521" s="18"/>
      <c r="W521" s="18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8" t="s">
        <v>21</v>
      </c>
      <c r="B522" s="58" t="s">
        <v>39</v>
      </c>
      <c r="C522" s="58" t="s">
        <v>41</v>
      </c>
      <c r="D522" s="58" t="s">
        <v>44</v>
      </c>
      <c r="E522" s="58" t="s">
        <v>52</v>
      </c>
      <c r="F522" s="58" t="s">
        <v>25</v>
      </c>
      <c r="G522" s="58" t="s">
        <v>25</v>
      </c>
      <c r="H522" s="58" t="s">
        <v>25</v>
      </c>
      <c r="I522" s="66">
        <v>44593</v>
      </c>
      <c r="J522" s="67">
        <f ca="1">EFEITO!$J$522*EFEITO!$Y$457</f>
        <v>44859.716260319576</v>
      </c>
      <c r="K522" s="67">
        <f>EFEITO!$L$522*EFEITO!$Z$457</f>
        <v>0</v>
      </c>
      <c r="L522" s="67">
        <f>EFEITO!$N$522*EFEITO!$AA$457</f>
        <v>0</v>
      </c>
      <c r="M522" s="67">
        <f ca="1">$J$522-EFEITO!$K$522*EFEITO!$Y$522</f>
        <v>897.19432520639384</v>
      </c>
      <c r="N522" s="67">
        <f>$K$522-EFEITO!$M$522*EFEITO!$Z$522</f>
        <v>0</v>
      </c>
      <c r="O522" s="67">
        <f>$L$522-EFEITO!$O$522*EFEITO!$AA$522</f>
        <v>0</v>
      </c>
      <c r="P522" s="18"/>
      <c r="Q522" s="18"/>
      <c r="R522" s="18"/>
      <c r="S522" s="18"/>
      <c r="T522" s="18"/>
      <c r="U522" s="18"/>
      <c r="V522" s="18"/>
      <c r="W522" s="18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8" t="s">
        <v>27</v>
      </c>
      <c r="B523" s="58" t="s">
        <v>39</v>
      </c>
      <c r="C523" s="58" t="s">
        <v>41</v>
      </c>
      <c r="D523" s="58" t="s">
        <v>44</v>
      </c>
      <c r="E523" s="58" t="s">
        <v>52</v>
      </c>
      <c r="F523" s="58" t="s">
        <v>25</v>
      </c>
      <c r="G523" s="58" t="s">
        <v>25</v>
      </c>
      <c r="H523" s="58" t="s">
        <v>25</v>
      </c>
      <c r="I523" s="66">
        <v>44593</v>
      </c>
      <c r="J523" s="67">
        <f ca="1">EFEITO!$J$523*EFEITO!$Y$457</f>
        <v>-5840.5143731628968</v>
      </c>
      <c r="K523" s="67">
        <f>EFEITO!$L$523*EFEITO!$Z$457</f>
        <v>0</v>
      </c>
      <c r="L523" s="67">
        <f>EFEITO!$N$523*EFEITO!$AA$457</f>
        <v>0</v>
      </c>
      <c r="M523" s="67">
        <f ca="1">$J$523-EFEITO!$K$523*EFEITO!$Y$523</f>
        <v>-116.81028746325865</v>
      </c>
      <c r="N523" s="67">
        <f>$K$523-EFEITO!$M$523*EFEITO!$Z$523</f>
        <v>0</v>
      </c>
      <c r="O523" s="67">
        <f>$L$523-EFEITO!$O$523*EFEITO!$AA$523</f>
        <v>0</v>
      </c>
      <c r="P523" s="18"/>
      <c r="Q523" s="18"/>
      <c r="R523" s="18"/>
      <c r="S523" s="18"/>
      <c r="T523" s="18"/>
      <c r="U523" s="18"/>
      <c r="V523" s="18"/>
      <c r="W523" s="18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8" t="s">
        <v>21</v>
      </c>
      <c r="B524" s="58" t="s">
        <v>39</v>
      </c>
      <c r="C524" s="58" t="s">
        <v>41</v>
      </c>
      <c r="D524" s="58" t="s">
        <v>44</v>
      </c>
      <c r="E524" s="58" t="s">
        <v>52</v>
      </c>
      <c r="F524" s="58" t="s">
        <v>25</v>
      </c>
      <c r="G524" s="58" t="s">
        <v>25</v>
      </c>
      <c r="H524" s="58" t="s">
        <v>25</v>
      </c>
      <c r="I524" s="66">
        <v>44621</v>
      </c>
      <c r="J524" s="67">
        <f ca="1">EFEITO!$J$524*EFEITO!$Y$457</f>
        <v>49045.101153139898</v>
      </c>
      <c r="K524" s="67">
        <f>EFEITO!$L$524*EFEITO!$Z$457</f>
        <v>0</v>
      </c>
      <c r="L524" s="67">
        <f>EFEITO!$N$524*EFEITO!$AA$457</f>
        <v>0</v>
      </c>
      <c r="M524" s="67">
        <f ca="1">$J$524-EFEITO!$K$524*EFEITO!$Y$524</f>
        <v>980.90202306280116</v>
      </c>
      <c r="N524" s="67">
        <f>$K$524-EFEITO!$M$524*EFEITO!$Z$524</f>
        <v>0</v>
      </c>
      <c r="O524" s="67">
        <f>$L$524-EFEITO!$O$524*EFEITO!$AA$524</f>
        <v>0</v>
      </c>
      <c r="P524" s="18"/>
      <c r="Q524" s="18"/>
      <c r="R524" s="18"/>
      <c r="S524" s="18"/>
      <c r="T524" s="18"/>
      <c r="U524" s="18"/>
      <c r="V524" s="18"/>
      <c r="W524" s="18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8" t="s">
        <v>27</v>
      </c>
      <c r="B525" s="58" t="s">
        <v>39</v>
      </c>
      <c r="C525" s="58" t="s">
        <v>41</v>
      </c>
      <c r="D525" s="58" t="s">
        <v>44</v>
      </c>
      <c r="E525" s="58" t="s">
        <v>52</v>
      </c>
      <c r="F525" s="58" t="s">
        <v>25</v>
      </c>
      <c r="G525" s="58" t="s">
        <v>25</v>
      </c>
      <c r="H525" s="58" t="s">
        <v>25</v>
      </c>
      <c r="I525" s="66">
        <v>44621</v>
      </c>
      <c r="J525" s="67">
        <f ca="1">EFEITO!$J$525*EFEITO!$Y$457</f>
        <v>4014.1646017503949</v>
      </c>
      <c r="K525" s="67">
        <f>EFEITO!$L$525*EFEITO!$Z$457</f>
        <v>0</v>
      </c>
      <c r="L525" s="67">
        <f>EFEITO!$N$525*EFEITO!$AA$457</f>
        <v>0</v>
      </c>
      <c r="M525" s="67">
        <f ca="1">$J$525-EFEITO!$K$525*EFEITO!$Y$525</f>
        <v>80.283292035008344</v>
      </c>
      <c r="N525" s="67">
        <f>$K$525-EFEITO!$M$525*EFEITO!$Z$525</f>
        <v>0</v>
      </c>
      <c r="O525" s="67">
        <f>$L$525-EFEITO!$O$525*EFEITO!$AA$525</f>
        <v>0</v>
      </c>
      <c r="P525" s="18"/>
      <c r="Q525" s="18"/>
      <c r="R525" s="18"/>
      <c r="S525" s="18"/>
      <c r="T525" s="18"/>
      <c r="U525" s="18"/>
      <c r="V525" s="18"/>
      <c r="W525" s="18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8" t="s">
        <v>21</v>
      </c>
      <c r="B526" s="58" t="s">
        <v>39</v>
      </c>
      <c r="C526" s="58" t="s">
        <v>41</v>
      </c>
      <c r="D526" s="58" t="s">
        <v>44</v>
      </c>
      <c r="E526" s="58" t="s">
        <v>52</v>
      </c>
      <c r="F526" s="58" t="s">
        <v>25</v>
      </c>
      <c r="G526" s="58" t="s">
        <v>25</v>
      </c>
      <c r="H526" s="58" t="s">
        <v>25</v>
      </c>
      <c r="I526" s="66">
        <v>44652</v>
      </c>
      <c r="J526" s="67">
        <f ca="1">EFEITO!$J$526*EFEITO!$Y$457</f>
        <v>49045.101153139898</v>
      </c>
      <c r="K526" s="67">
        <f>EFEITO!$L$526*EFEITO!$Z$457</f>
        <v>0</v>
      </c>
      <c r="L526" s="67">
        <f>EFEITO!$N$526*EFEITO!$AA$457</f>
        <v>0</v>
      </c>
      <c r="M526" s="67">
        <f ca="1">$J$526-EFEITO!$K$526*EFEITO!$Y$526</f>
        <v>980.90202306280116</v>
      </c>
      <c r="N526" s="67">
        <f>$K$526-EFEITO!$M$526*EFEITO!$Z$526</f>
        <v>0</v>
      </c>
      <c r="O526" s="67">
        <f>$L$526-EFEITO!$O$526*EFEITO!$AA$526</f>
        <v>0</v>
      </c>
      <c r="P526" s="18"/>
      <c r="Q526" s="18"/>
      <c r="R526" s="18"/>
      <c r="S526" s="18"/>
      <c r="T526" s="18"/>
      <c r="U526" s="18"/>
      <c r="V526" s="18"/>
      <c r="W526" s="18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8" t="s">
        <v>27</v>
      </c>
      <c r="B527" s="58" t="s">
        <v>39</v>
      </c>
      <c r="C527" s="58" t="s">
        <v>41</v>
      </c>
      <c r="D527" s="58" t="s">
        <v>44</v>
      </c>
      <c r="E527" s="58" t="s">
        <v>52</v>
      </c>
      <c r="F527" s="58" t="s">
        <v>25</v>
      </c>
      <c r="G527" s="58" t="s">
        <v>25</v>
      </c>
      <c r="H527" s="58" t="s">
        <v>25</v>
      </c>
      <c r="I527" s="66">
        <v>44652</v>
      </c>
      <c r="J527" s="67">
        <f ca="1">EFEITO!$J$527*EFEITO!$Y$457</f>
        <v>4014.1646017503949</v>
      </c>
      <c r="K527" s="67">
        <f>EFEITO!$L$527*EFEITO!$Z$457</f>
        <v>0</v>
      </c>
      <c r="L527" s="67">
        <f>EFEITO!$N$527*EFEITO!$AA$457</f>
        <v>0</v>
      </c>
      <c r="M527" s="67">
        <f ca="1">$J$527-EFEITO!$K$527*EFEITO!$Y$527</f>
        <v>80.283292035008344</v>
      </c>
      <c r="N527" s="67">
        <f>$K$527-EFEITO!$M$527*EFEITO!$Z$527</f>
        <v>0</v>
      </c>
      <c r="O527" s="67">
        <f>$L$527-EFEITO!$O$527*EFEITO!$AA$527</f>
        <v>0</v>
      </c>
      <c r="P527" s="18"/>
      <c r="Q527" s="18"/>
      <c r="R527" s="18"/>
      <c r="S527" s="18"/>
      <c r="T527" s="18"/>
      <c r="U527" s="18"/>
      <c r="V527" s="18"/>
      <c r="W527" s="18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8" t="s">
        <v>21</v>
      </c>
      <c r="B528" s="58" t="s">
        <v>39</v>
      </c>
      <c r="C528" s="58" t="s">
        <v>41</v>
      </c>
      <c r="D528" s="58" t="s">
        <v>44</v>
      </c>
      <c r="E528" s="58" t="s">
        <v>52</v>
      </c>
      <c r="F528" s="58" t="s">
        <v>25</v>
      </c>
      <c r="G528" s="58" t="s">
        <v>25</v>
      </c>
      <c r="H528" s="58" t="s">
        <v>25</v>
      </c>
      <c r="I528" s="66">
        <v>44682</v>
      </c>
      <c r="J528" s="67">
        <f ca="1">EFEITO!$J$528*EFEITO!$Y$457</f>
        <v>9131.7488570625101</v>
      </c>
      <c r="K528" s="67">
        <f>EFEITO!$L$528*EFEITO!$Z$457</f>
        <v>0</v>
      </c>
      <c r="L528" s="67">
        <f>EFEITO!$N$528*EFEITO!$AA$457</f>
        <v>0</v>
      </c>
      <c r="M528" s="67">
        <f ca="1">$J$528-EFEITO!$K$528*EFEITO!$Y$528</f>
        <v>182.63497714125151</v>
      </c>
      <c r="N528" s="67">
        <f>$K$528-EFEITO!$M$528*EFEITO!$Z$528</f>
        <v>0</v>
      </c>
      <c r="O528" s="67">
        <f>$L$528-EFEITO!$O$528*EFEITO!$AA$528</f>
        <v>0</v>
      </c>
      <c r="P528" s="18"/>
      <c r="Q528" s="18"/>
      <c r="R528" s="18"/>
      <c r="S528" s="18"/>
      <c r="T528" s="18"/>
      <c r="U528" s="18"/>
      <c r="V528" s="18"/>
      <c r="W528" s="18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8" t="s">
        <v>21</v>
      </c>
      <c r="B529" s="58" t="s">
        <v>39</v>
      </c>
      <c r="C529" s="58" t="s">
        <v>41</v>
      </c>
      <c r="D529" s="58" t="s">
        <v>44</v>
      </c>
      <c r="E529" s="58" t="s">
        <v>52</v>
      </c>
      <c r="F529" s="58" t="s">
        <v>25</v>
      </c>
      <c r="G529" s="58" t="s">
        <v>25</v>
      </c>
      <c r="H529" s="58" t="s">
        <v>25</v>
      </c>
      <c r="I529" s="66">
        <v>44713</v>
      </c>
      <c r="J529" s="67">
        <f ca="1">EFEITO!$J$529*EFEITO!$Y$457</f>
        <v>12384.934387391029</v>
      </c>
      <c r="K529" s="67">
        <f>EFEITO!$L$529*EFEITO!$Z$457</f>
        <v>0</v>
      </c>
      <c r="L529" s="67">
        <f>EFEITO!$N$529*EFEITO!$AA$457</f>
        <v>0</v>
      </c>
      <c r="M529" s="67">
        <f ca="1">$J$529-EFEITO!$K$529*EFEITO!$Y$529</f>
        <v>247.69868774782299</v>
      </c>
      <c r="N529" s="67">
        <f>$K$529-EFEITO!$M$529*EFEITO!$Z$529</f>
        <v>0</v>
      </c>
      <c r="O529" s="67">
        <f>$L$529-EFEITO!$O$529*EFEITO!$AA$529</f>
        <v>0</v>
      </c>
      <c r="P529" s="18"/>
      <c r="Q529" s="18"/>
      <c r="R529" s="18"/>
      <c r="S529" s="18"/>
      <c r="T529" s="18"/>
      <c r="U529" s="18"/>
      <c r="V529" s="18"/>
      <c r="W529" s="18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8" t="s">
        <v>21</v>
      </c>
      <c r="B530" s="58" t="s">
        <v>39</v>
      </c>
      <c r="C530" s="58" t="s">
        <v>41</v>
      </c>
      <c r="D530" s="58" t="s">
        <v>44</v>
      </c>
      <c r="E530" s="58" t="s">
        <v>52</v>
      </c>
      <c r="F530" s="58" t="s">
        <v>25</v>
      </c>
      <c r="G530" s="58" t="s">
        <v>25</v>
      </c>
      <c r="H530" s="58" t="s">
        <v>25</v>
      </c>
      <c r="I530" s="66">
        <v>44743</v>
      </c>
      <c r="J530" s="67">
        <f ca="1">EFEITO!$J$530*EFEITO!$Y$457</f>
        <v>8827.35722849376</v>
      </c>
      <c r="K530" s="67">
        <f>EFEITO!$L$530*EFEITO!$Z$457</f>
        <v>0</v>
      </c>
      <c r="L530" s="67">
        <f>EFEITO!$N$530*EFEITO!$AA$457</f>
        <v>0</v>
      </c>
      <c r="M530" s="67">
        <f ca="1">$J$530-EFEITO!$K$530*EFEITO!$Y$530</f>
        <v>176.54714456987676</v>
      </c>
      <c r="N530" s="67">
        <f>$K$530-EFEITO!$M$530*EFEITO!$Z$530</f>
        <v>0</v>
      </c>
      <c r="O530" s="67">
        <f>$L$530-EFEITO!$O$530*EFEITO!$AA$530</f>
        <v>0</v>
      </c>
      <c r="P530" s="18"/>
      <c r="Q530" s="18"/>
      <c r="R530" s="18"/>
      <c r="S530" s="18"/>
      <c r="T530" s="18"/>
      <c r="U530" s="18"/>
      <c r="V530" s="18"/>
      <c r="W530" s="18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8" t="s">
        <v>21</v>
      </c>
      <c r="B531" s="58" t="s">
        <v>39</v>
      </c>
      <c r="C531" s="58" t="s">
        <v>41</v>
      </c>
      <c r="D531" s="58" t="s">
        <v>44</v>
      </c>
      <c r="E531" s="58" t="s">
        <v>52</v>
      </c>
      <c r="F531" s="58" t="s">
        <v>25</v>
      </c>
      <c r="G531" s="58" t="s">
        <v>25</v>
      </c>
      <c r="H531" s="58" t="s">
        <v>25</v>
      </c>
      <c r="I531" s="66">
        <v>44774</v>
      </c>
      <c r="J531" s="67">
        <f ca="1">EFEITO!$J$531*EFEITO!$Y$457</f>
        <v>26482.071685481278</v>
      </c>
      <c r="K531" s="67">
        <f>EFEITO!$L$531*EFEITO!$Z$457</f>
        <v>0</v>
      </c>
      <c r="L531" s="67">
        <f>EFEITO!$N$531*EFEITO!$AA$457</f>
        <v>0</v>
      </c>
      <c r="M531" s="67">
        <f ca="1">$J$531-EFEITO!$K$531*EFEITO!$Y$531</f>
        <v>529.64143370962847</v>
      </c>
      <c r="N531" s="67">
        <f>$K$531-EFEITO!$M$531*EFEITO!$Z$531</f>
        <v>0</v>
      </c>
      <c r="O531" s="67">
        <f>$L$531-EFEITO!$O$531*EFEITO!$AA$531</f>
        <v>0</v>
      </c>
      <c r="P531" s="18"/>
      <c r="Q531" s="18"/>
      <c r="R531" s="18"/>
      <c r="S531" s="18"/>
      <c r="T531" s="18"/>
      <c r="U531" s="18"/>
      <c r="V531" s="18"/>
      <c r="W531" s="18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8" t="s">
        <v>21</v>
      </c>
      <c r="B532" s="58" t="s">
        <v>39</v>
      </c>
      <c r="C532" s="58" t="s">
        <v>41</v>
      </c>
      <c r="D532" s="58" t="s">
        <v>44</v>
      </c>
      <c r="E532" s="58" t="s">
        <v>52</v>
      </c>
      <c r="F532" s="58" t="s">
        <v>25</v>
      </c>
      <c r="G532" s="58" t="s">
        <v>25</v>
      </c>
      <c r="H532" s="58" t="s">
        <v>25</v>
      </c>
      <c r="I532" s="66">
        <v>44805</v>
      </c>
      <c r="J532" s="67">
        <f ca="1">EFEITO!$J$532*EFEITO!$Y$457</f>
        <v>28936.229190816826</v>
      </c>
      <c r="K532" s="67">
        <f>EFEITO!$L$532*EFEITO!$Z$457</f>
        <v>0</v>
      </c>
      <c r="L532" s="67">
        <f>EFEITO!$N$532*EFEITO!$AA$457</f>
        <v>0</v>
      </c>
      <c r="M532" s="67">
        <f ca="1">$J$532-EFEITO!$K$532*EFEITO!$Y$532</f>
        <v>578.72458381633624</v>
      </c>
      <c r="N532" s="67">
        <f>$K$532-EFEITO!$M$532*EFEITO!$Z$532</f>
        <v>0</v>
      </c>
      <c r="O532" s="67">
        <f>$L$532-EFEITO!$O$532*EFEITO!$AA$532</f>
        <v>0</v>
      </c>
      <c r="P532" s="18"/>
      <c r="Q532" s="18"/>
      <c r="R532" s="18"/>
      <c r="S532" s="18"/>
      <c r="T532" s="18"/>
      <c r="U532" s="18"/>
      <c r="V532" s="18"/>
      <c r="W532" s="18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8" t="s">
        <v>55</v>
      </c>
      <c r="B533" s="58" t="s">
        <v>39</v>
      </c>
      <c r="C533" s="58" t="s">
        <v>41</v>
      </c>
      <c r="D533" s="58" t="s">
        <v>44</v>
      </c>
      <c r="E533" s="58" t="s">
        <v>52</v>
      </c>
      <c r="F533" s="58" t="s">
        <v>25</v>
      </c>
      <c r="G533" s="58" t="s">
        <v>25</v>
      </c>
      <c r="H533" s="58" t="s">
        <v>25</v>
      </c>
      <c r="I533" s="66">
        <v>44835</v>
      </c>
      <c r="J533" s="67">
        <f ca="1">EFEITO!$J$533*EFEITO!$Y$457</f>
        <v>28936.229190816826</v>
      </c>
      <c r="K533" s="67">
        <f>EFEITO!$L$533*EFEITO!$Z$457</f>
        <v>0</v>
      </c>
      <c r="L533" s="67">
        <f>EFEITO!$N$533*EFEITO!$AA$457</f>
        <v>0</v>
      </c>
      <c r="M533" s="67">
        <f ca="1">$J$533-EFEITO!$K$533*EFEITO!$Y$533</f>
        <v>578.72458381633624</v>
      </c>
      <c r="N533" s="67">
        <f>$K$533-EFEITO!$M$533*EFEITO!$Z$533</f>
        <v>0</v>
      </c>
      <c r="O533" s="67">
        <f>$L$533-EFEITO!$O$533*EFEITO!$AA$533</f>
        <v>0</v>
      </c>
      <c r="P533" s="18"/>
      <c r="Q533" s="18"/>
      <c r="R533" s="18"/>
      <c r="S533" s="18"/>
      <c r="T533" s="18"/>
      <c r="U533" s="18"/>
      <c r="V533" s="18"/>
      <c r="W533" s="18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8" t="s">
        <v>21</v>
      </c>
      <c r="B534" s="58" t="s">
        <v>39</v>
      </c>
      <c r="C534" s="58" t="s">
        <v>41</v>
      </c>
      <c r="D534" s="58" t="s">
        <v>44</v>
      </c>
      <c r="E534" s="58" t="s">
        <v>52</v>
      </c>
      <c r="F534" s="58" t="s">
        <v>25</v>
      </c>
      <c r="G534" s="58" t="s">
        <v>25</v>
      </c>
      <c r="H534" s="58" t="s">
        <v>34</v>
      </c>
      <c r="I534" s="66">
        <v>44501</v>
      </c>
      <c r="J534" s="67">
        <f>EFEITO!$J$534*EFEITO!$Y$488</f>
        <v>0</v>
      </c>
      <c r="K534" s="67">
        <f ca="1">EFEITO!$L$534*EFEITO!$Z$488</f>
        <v>16492.84465989206</v>
      </c>
      <c r="L534" s="67">
        <f>EFEITO!$N$534*EFEITO!$AA$488</f>
        <v>5993.5422275772899</v>
      </c>
      <c r="M534" s="67">
        <f>$J$534-EFEITO!$K$534*EFEITO!$Y$534</f>
        <v>0</v>
      </c>
      <c r="N534" s="67">
        <f ca="1">$K$534-EFEITO!$M$534*EFEITO!$Z$534</f>
        <v>329.85689319784251</v>
      </c>
      <c r="O534" s="67">
        <f>$L$534-EFEITO!$O$534*EFEITO!$AA$534</f>
        <v>119.87084455154582</v>
      </c>
      <c r="P534" s="18"/>
      <c r="Q534" s="18"/>
      <c r="R534" s="18"/>
      <c r="S534" s="18"/>
      <c r="T534" s="18"/>
      <c r="U534" s="18"/>
      <c r="V534" s="18"/>
      <c r="W534" s="18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8" t="s">
        <v>21</v>
      </c>
      <c r="B535" s="58" t="s">
        <v>39</v>
      </c>
      <c r="C535" s="58" t="s">
        <v>41</v>
      </c>
      <c r="D535" s="58" t="s">
        <v>44</v>
      </c>
      <c r="E535" s="58" t="s">
        <v>52</v>
      </c>
      <c r="F535" s="58" t="s">
        <v>25</v>
      </c>
      <c r="G535" s="58" t="s">
        <v>25</v>
      </c>
      <c r="H535" s="58" t="s">
        <v>34</v>
      </c>
      <c r="I535" s="66">
        <v>44531</v>
      </c>
      <c r="J535" s="67">
        <f>EFEITO!$J$535*EFEITO!$Y$488</f>
        <v>0</v>
      </c>
      <c r="K535" s="67">
        <f ca="1">EFEITO!$L$535*EFEITO!$Z$488</f>
        <v>30359.620946259052</v>
      </c>
      <c r="L535" s="67">
        <f>EFEITO!$N$535*EFEITO!$AA$488</f>
        <v>11032.764444640959</v>
      </c>
      <c r="M535" s="67">
        <f>$J$535-EFEITO!$K$535*EFEITO!$Y$535</f>
        <v>0</v>
      </c>
      <c r="N535" s="67">
        <f ca="1">$K$535-EFEITO!$M$535*EFEITO!$Z$535</f>
        <v>607.19241892518039</v>
      </c>
      <c r="O535" s="67">
        <f>$L$535-EFEITO!$O$535*EFEITO!$AA$535</f>
        <v>220.65528889281813</v>
      </c>
      <c r="P535" s="18"/>
      <c r="Q535" s="18"/>
      <c r="R535" s="18"/>
      <c r="S535" s="18"/>
      <c r="T535" s="18"/>
      <c r="U535" s="18"/>
      <c r="V535" s="18"/>
      <c r="W535" s="18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8" t="s">
        <v>21</v>
      </c>
      <c r="B536" s="58" t="s">
        <v>39</v>
      </c>
      <c r="C536" s="58" t="s">
        <v>41</v>
      </c>
      <c r="D536" s="58" t="s">
        <v>44</v>
      </c>
      <c r="E536" s="58" t="s">
        <v>52</v>
      </c>
      <c r="F536" s="58" t="s">
        <v>25</v>
      </c>
      <c r="G536" s="58" t="s">
        <v>25</v>
      </c>
      <c r="H536" s="58" t="s">
        <v>34</v>
      </c>
      <c r="I536" s="66">
        <v>44562</v>
      </c>
      <c r="J536" s="67">
        <f>EFEITO!$J$536*EFEITO!$Y$488</f>
        <v>0</v>
      </c>
      <c r="K536" s="67">
        <f ca="1">EFEITO!$L$536*EFEITO!$Z$488</f>
        <v>32625.687910216689</v>
      </c>
      <c r="L536" s="67">
        <f>EFEITO!$N$536*EFEITO!$AA$488</f>
        <v>11856.259015715568</v>
      </c>
      <c r="M536" s="67">
        <f>$J$536-EFEITO!$K$536*EFEITO!$Y$536</f>
        <v>0</v>
      </c>
      <c r="N536" s="67">
        <f ca="1">$K$536-EFEITO!$M$536*EFEITO!$Z$536</f>
        <v>652.51375820433532</v>
      </c>
      <c r="O536" s="67">
        <f>$L$536-EFEITO!$O$536*EFEITO!$AA$536</f>
        <v>237.12518031431136</v>
      </c>
      <c r="P536" s="18"/>
      <c r="Q536" s="18"/>
      <c r="R536" s="18"/>
      <c r="S536" s="18"/>
      <c r="T536" s="18"/>
      <c r="U536" s="18"/>
      <c r="V536" s="18"/>
      <c r="W536" s="18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8" t="s">
        <v>21</v>
      </c>
      <c r="B537" s="58" t="s">
        <v>39</v>
      </c>
      <c r="C537" s="58" t="s">
        <v>41</v>
      </c>
      <c r="D537" s="58" t="s">
        <v>44</v>
      </c>
      <c r="E537" s="58" t="s">
        <v>52</v>
      </c>
      <c r="F537" s="58" t="s">
        <v>25</v>
      </c>
      <c r="G537" s="58" t="s">
        <v>25</v>
      </c>
      <c r="H537" s="58" t="s">
        <v>34</v>
      </c>
      <c r="I537" s="66">
        <v>44593</v>
      </c>
      <c r="J537" s="67">
        <f>EFEITO!$J$537*EFEITO!$Y$488</f>
        <v>0</v>
      </c>
      <c r="K537" s="67">
        <f ca="1">EFEITO!$L$537*EFEITO!$Z$488</f>
        <v>37018.90013236527</v>
      </c>
      <c r="L537" s="67">
        <f>EFEITO!$N$537*EFEITO!$AA$488</f>
        <v>13452.763652189149</v>
      </c>
      <c r="M537" s="67">
        <f>$J$537-EFEITO!$K$537*EFEITO!$Y$537</f>
        <v>0</v>
      </c>
      <c r="N537" s="67">
        <f ca="1">$K$537-EFEITO!$M$537*EFEITO!$Z$537</f>
        <v>740.37800264730322</v>
      </c>
      <c r="O537" s="67">
        <f>$L$537-EFEITO!$O$537*EFEITO!$AA$537</f>
        <v>269.05527304378302</v>
      </c>
      <c r="P537" s="18"/>
      <c r="Q537" s="18"/>
      <c r="R537" s="18"/>
      <c r="S537" s="18"/>
      <c r="T537" s="18"/>
      <c r="U537" s="18"/>
      <c r="V537" s="18"/>
      <c r="W537" s="18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8" t="s">
        <v>27</v>
      </c>
      <c r="B538" s="58" t="s">
        <v>39</v>
      </c>
      <c r="C538" s="58" t="s">
        <v>41</v>
      </c>
      <c r="D538" s="58" t="s">
        <v>44</v>
      </c>
      <c r="E538" s="58" t="s">
        <v>52</v>
      </c>
      <c r="F538" s="58" t="s">
        <v>25</v>
      </c>
      <c r="G538" s="58" t="s">
        <v>25</v>
      </c>
      <c r="H538" s="58" t="s">
        <v>34</v>
      </c>
      <c r="I538" s="66">
        <v>44593</v>
      </c>
      <c r="J538" s="67">
        <f>EFEITO!$J$538*EFEITO!$Y$488</f>
        <v>0</v>
      </c>
      <c r="K538" s="67">
        <f ca="1">EFEITO!$L$538*EFEITO!$Z$488</f>
        <v>-1952.3727896457674</v>
      </c>
      <c r="L538" s="67">
        <f>EFEITO!$N$538*EFEITO!$AA$488</f>
        <v>-709.49730019414153</v>
      </c>
      <c r="M538" s="67">
        <f>$J$538-EFEITO!$K$538*EFEITO!$Y$538</f>
        <v>0</v>
      </c>
      <c r="N538" s="67">
        <f ca="1">$K$538-EFEITO!$M$538*EFEITO!$Z$538</f>
        <v>-39.047455792915116</v>
      </c>
      <c r="O538" s="67">
        <f>$L$538-EFEITO!$O$538*EFEITO!$AA$538</f>
        <v>-14.189946003882824</v>
      </c>
      <c r="P538" s="18"/>
      <c r="Q538" s="18"/>
      <c r="R538" s="18"/>
      <c r="S538" s="18"/>
      <c r="T538" s="18"/>
      <c r="U538" s="18"/>
      <c r="V538" s="18"/>
      <c r="W538" s="18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8" t="s">
        <v>21</v>
      </c>
      <c r="B539" s="58" t="s">
        <v>39</v>
      </c>
      <c r="C539" s="58" t="s">
        <v>41</v>
      </c>
      <c r="D539" s="58" t="s">
        <v>44</v>
      </c>
      <c r="E539" s="58" t="s">
        <v>52</v>
      </c>
      <c r="F539" s="58" t="s">
        <v>25</v>
      </c>
      <c r="G539" s="58" t="s">
        <v>25</v>
      </c>
      <c r="H539" s="58" t="s">
        <v>34</v>
      </c>
      <c r="I539" s="66">
        <v>44621</v>
      </c>
      <c r="J539" s="67">
        <f>EFEITO!$J$539*EFEITO!$Y$488</f>
        <v>0</v>
      </c>
      <c r="K539" s="67">
        <f ca="1">EFEITO!$L$539*EFEITO!$Z$488</f>
        <v>18195.755891870769</v>
      </c>
      <c r="L539" s="67">
        <f>EFEITO!$N$539*EFEITO!$AA$488</f>
        <v>6612.3845552141074</v>
      </c>
      <c r="M539" s="67">
        <f>$J$539-EFEITO!$K$539*EFEITO!$Y$539</f>
        <v>0</v>
      </c>
      <c r="N539" s="67">
        <f ca="1">$K$539-EFEITO!$M$539*EFEITO!$Z$539</f>
        <v>363.91511783741589</v>
      </c>
      <c r="O539" s="67">
        <f>$L$539-EFEITO!$O$539*EFEITO!$AA$539</f>
        <v>132.24769110428224</v>
      </c>
      <c r="P539" s="18"/>
      <c r="Q539" s="18"/>
      <c r="R539" s="18"/>
      <c r="S539" s="18"/>
      <c r="T539" s="18"/>
      <c r="U539" s="18"/>
      <c r="V539" s="18"/>
      <c r="W539" s="18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8" t="s">
        <v>27</v>
      </c>
      <c r="B540" s="58" t="s">
        <v>39</v>
      </c>
      <c r="C540" s="58" t="s">
        <v>41</v>
      </c>
      <c r="D540" s="58" t="s">
        <v>44</v>
      </c>
      <c r="E540" s="58" t="s">
        <v>52</v>
      </c>
      <c r="F540" s="58" t="s">
        <v>25</v>
      </c>
      <c r="G540" s="58" t="s">
        <v>25</v>
      </c>
      <c r="H540" s="58" t="s">
        <v>34</v>
      </c>
      <c r="I540" s="66">
        <v>44621</v>
      </c>
      <c r="J540" s="67">
        <f>EFEITO!$J$540*EFEITO!$Y$488</f>
        <v>0</v>
      </c>
      <c r="K540" s="67">
        <f ca="1">EFEITO!$L$540*EFEITO!$Z$488</f>
        <v>13218.474992789133</v>
      </c>
      <c r="L540" s="67">
        <f>EFEITO!$N$540*EFEITO!$AA$488</f>
        <v>4803.6278572440388</v>
      </c>
      <c r="M540" s="67">
        <f>$J$540-EFEITO!$K$540*EFEITO!$Y$540</f>
        <v>0</v>
      </c>
      <c r="N540" s="67">
        <f ca="1">$K$540-EFEITO!$M$540*EFEITO!$Z$540</f>
        <v>264.36949985578212</v>
      </c>
      <c r="O540" s="67">
        <f>$L$540-EFEITO!$O$540*EFEITO!$AA$540</f>
        <v>96.072557144880193</v>
      </c>
      <c r="P540" s="18"/>
      <c r="Q540" s="18"/>
      <c r="R540" s="18"/>
      <c r="S540" s="18"/>
      <c r="T540" s="18"/>
      <c r="U540" s="18"/>
      <c r="V540" s="18"/>
      <c r="W540" s="18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8" t="s">
        <v>21</v>
      </c>
      <c r="B541" s="58" t="s">
        <v>39</v>
      </c>
      <c r="C541" s="58" t="s">
        <v>41</v>
      </c>
      <c r="D541" s="58" t="s">
        <v>44</v>
      </c>
      <c r="E541" s="58" t="s">
        <v>52</v>
      </c>
      <c r="F541" s="58" t="s">
        <v>25</v>
      </c>
      <c r="G541" s="58" t="s">
        <v>25</v>
      </c>
      <c r="H541" s="58" t="s">
        <v>34</v>
      </c>
      <c r="I541" s="66">
        <v>44652</v>
      </c>
      <c r="J541" s="67">
        <f>EFEITO!$J$541*EFEITO!$Y$488</f>
        <v>0</v>
      </c>
      <c r="K541" s="67">
        <f ca="1">EFEITO!$L$541*EFEITO!$Z$488</f>
        <v>18195.755891870769</v>
      </c>
      <c r="L541" s="67">
        <f>EFEITO!$N$541*EFEITO!$AA$488</f>
        <v>6612.3845552141074</v>
      </c>
      <c r="M541" s="67">
        <f>$J$541-EFEITO!$K$541*EFEITO!$Y$541</f>
        <v>0</v>
      </c>
      <c r="N541" s="67">
        <f ca="1">$K$541-EFEITO!$M$541*EFEITO!$Z$541</f>
        <v>363.91511783741589</v>
      </c>
      <c r="O541" s="67">
        <f>$L$541-EFEITO!$O$541*EFEITO!$AA$541</f>
        <v>132.24769110428224</v>
      </c>
      <c r="P541" s="18"/>
      <c r="Q541" s="18"/>
      <c r="R541" s="18"/>
      <c r="S541" s="18"/>
      <c r="T541" s="18"/>
      <c r="U541" s="18"/>
      <c r="V541" s="18"/>
      <c r="W541" s="18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8" t="s">
        <v>27</v>
      </c>
      <c r="B542" s="58" t="s">
        <v>39</v>
      </c>
      <c r="C542" s="58" t="s">
        <v>41</v>
      </c>
      <c r="D542" s="58" t="s">
        <v>44</v>
      </c>
      <c r="E542" s="58" t="s">
        <v>52</v>
      </c>
      <c r="F542" s="58" t="s">
        <v>25</v>
      </c>
      <c r="G542" s="58" t="s">
        <v>25</v>
      </c>
      <c r="H542" s="58" t="s">
        <v>34</v>
      </c>
      <c r="I542" s="66">
        <v>44652</v>
      </c>
      <c r="J542" s="67">
        <f>EFEITO!$J$542*EFEITO!$Y$488</f>
        <v>0</v>
      </c>
      <c r="K542" s="67">
        <f ca="1">EFEITO!$L$542*EFEITO!$Z$488</f>
        <v>13218.474992789133</v>
      </c>
      <c r="L542" s="67">
        <f>EFEITO!$N$542*EFEITO!$AA$488</f>
        <v>4803.6278572440388</v>
      </c>
      <c r="M542" s="67">
        <f>$J$542-EFEITO!$K$542*EFEITO!$Y$542</f>
        <v>0</v>
      </c>
      <c r="N542" s="67">
        <f ca="1">$K$542-EFEITO!$M$542*EFEITO!$Z$542</f>
        <v>264.36949985578212</v>
      </c>
      <c r="O542" s="67">
        <f>$L$542-EFEITO!$O$542*EFEITO!$AA$542</f>
        <v>96.072557144880193</v>
      </c>
      <c r="P542" s="18"/>
      <c r="Q542" s="18"/>
      <c r="R542" s="18"/>
      <c r="S542" s="18"/>
      <c r="T542" s="18"/>
      <c r="U542" s="18"/>
      <c r="V542" s="18"/>
      <c r="W542" s="18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8" t="s">
        <v>21</v>
      </c>
      <c r="B543" s="58" t="s">
        <v>39</v>
      </c>
      <c r="C543" s="58" t="s">
        <v>41</v>
      </c>
      <c r="D543" s="58" t="s">
        <v>44</v>
      </c>
      <c r="E543" s="58" t="s">
        <v>52</v>
      </c>
      <c r="F543" s="58" t="s">
        <v>25</v>
      </c>
      <c r="G543" s="58" t="s">
        <v>25</v>
      </c>
      <c r="H543" s="58" t="s">
        <v>34</v>
      </c>
      <c r="I543" s="66">
        <v>44682</v>
      </c>
      <c r="J543" s="67">
        <f>EFEITO!$J$543*EFEITO!$Y$488</f>
        <v>0</v>
      </c>
      <c r="K543" s="67">
        <f ca="1">EFEITO!$L$543*EFEITO!$Z$488</f>
        <v>4475.3702201826472</v>
      </c>
      <c r="L543" s="67">
        <f>EFEITO!$N$543*EFEITO!$AA$488</f>
        <v>1626.3610645613223</v>
      </c>
      <c r="M543" s="67">
        <f>$J$543-EFEITO!$K$543*EFEITO!$Y$543</f>
        <v>0</v>
      </c>
      <c r="N543" s="67">
        <f ca="1">$K$543-EFEITO!$M$543*EFEITO!$Z$543</f>
        <v>89.507404403652799</v>
      </c>
      <c r="O543" s="67">
        <f>$L$543-EFEITO!$O$543*EFEITO!$AA$543</f>
        <v>32.527221291226397</v>
      </c>
      <c r="P543" s="18"/>
      <c r="Q543" s="18"/>
      <c r="R543" s="18"/>
      <c r="S543" s="18"/>
      <c r="T543" s="18"/>
      <c r="U543" s="18"/>
      <c r="V543" s="18"/>
      <c r="W543" s="18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8" t="s">
        <v>27</v>
      </c>
      <c r="B544" s="58" t="s">
        <v>39</v>
      </c>
      <c r="C544" s="58" t="s">
        <v>41</v>
      </c>
      <c r="D544" s="58" t="s">
        <v>44</v>
      </c>
      <c r="E544" s="58" t="s">
        <v>52</v>
      </c>
      <c r="F544" s="58" t="s">
        <v>25</v>
      </c>
      <c r="G544" s="58" t="s">
        <v>25</v>
      </c>
      <c r="H544" s="58" t="s">
        <v>34</v>
      </c>
      <c r="I544" s="66">
        <v>44682</v>
      </c>
      <c r="J544" s="67">
        <f>EFEITO!$J$544*EFEITO!$Y$488</f>
        <v>0</v>
      </c>
      <c r="K544" s="67">
        <f ca="1">EFEITO!$L$544*EFEITO!$Z$488</f>
        <v>-46600.016484919179</v>
      </c>
      <c r="L544" s="67">
        <f>EFEITO!$N$544*EFEITO!$AA$488</f>
        <v>-16934.566011366827</v>
      </c>
      <c r="M544" s="67">
        <f>$J$544-EFEITO!$K$544*EFEITO!$Y$544</f>
        <v>0</v>
      </c>
      <c r="N544" s="67">
        <f ca="1">$K$544-EFEITO!$M$544*EFEITO!$Z$544</f>
        <v>-932.00032969838503</v>
      </c>
      <c r="O544" s="67">
        <f>$L$544-EFEITO!$O$544*EFEITO!$AA$544</f>
        <v>-338.69132022733538</v>
      </c>
      <c r="P544" s="18"/>
      <c r="Q544" s="18"/>
      <c r="R544" s="18"/>
      <c r="S544" s="18"/>
      <c r="T544" s="18"/>
      <c r="U544" s="18"/>
      <c r="V544" s="18"/>
      <c r="W544" s="18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8" t="s">
        <v>21</v>
      </c>
      <c r="B545" s="58" t="s">
        <v>39</v>
      </c>
      <c r="C545" s="58" t="s">
        <v>41</v>
      </c>
      <c r="D545" s="58" t="s">
        <v>44</v>
      </c>
      <c r="E545" s="58" t="s">
        <v>52</v>
      </c>
      <c r="F545" s="58" t="s">
        <v>25</v>
      </c>
      <c r="G545" s="58" t="s">
        <v>25</v>
      </c>
      <c r="H545" s="58" t="s">
        <v>34</v>
      </c>
      <c r="I545" s="66">
        <v>44713</v>
      </c>
      <c r="J545" s="67">
        <f>EFEITO!$J$545*EFEITO!$Y$488</f>
        <v>0</v>
      </c>
      <c r="K545" s="67">
        <f ca="1">EFEITO!$L$545*EFEITO!$Z$488</f>
        <v>2572.2922293573156</v>
      </c>
      <c r="L545" s="67">
        <f>EFEITO!$N$545*EFEITO!$AA$488</f>
        <v>934.77762121982539</v>
      </c>
      <c r="M545" s="67">
        <f>$J$545-EFEITO!$K$545*EFEITO!$Y$545</f>
        <v>0</v>
      </c>
      <c r="N545" s="67">
        <f ca="1">$K$545-EFEITO!$M$545*EFEITO!$Z$545</f>
        <v>51.445844587145984</v>
      </c>
      <c r="O545" s="67">
        <f>$L$545-EFEITO!$O$545*EFEITO!$AA$545</f>
        <v>18.695552424396396</v>
      </c>
      <c r="P545" s="18"/>
      <c r="Q545" s="18"/>
      <c r="R545" s="18"/>
      <c r="S545" s="18"/>
      <c r="T545" s="18"/>
      <c r="U545" s="18"/>
      <c r="V545" s="18"/>
      <c r="W545" s="18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8" t="s">
        <v>21</v>
      </c>
      <c r="B546" s="58" t="s">
        <v>39</v>
      </c>
      <c r="C546" s="58" t="s">
        <v>41</v>
      </c>
      <c r="D546" s="58" t="s">
        <v>44</v>
      </c>
      <c r="E546" s="58" t="s">
        <v>52</v>
      </c>
      <c r="F546" s="58" t="s">
        <v>25</v>
      </c>
      <c r="G546" s="58" t="s">
        <v>25</v>
      </c>
      <c r="H546" s="58" t="s">
        <v>34</v>
      </c>
      <c r="I546" s="66">
        <v>44743</v>
      </c>
      <c r="J546" s="67">
        <f>EFEITO!$J$546*EFEITO!$Y$488</f>
        <v>0</v>
      </c>
      <c r="K546" s="67">
        <f ca="1">EFEITO!$L$546*EFEITO!$Z$488</f>
        <v>2844.1605137609345</v>
      </c>
      <c r="L546" s="67">
        <f>EFEITO!$N$546*EFEITO!$AA$488</f>
        <v>1033.5752559828964</v>
      </c>
      <c r="M546" s="67">
        <f>$J$546-EFEITO!$K$546*EFEITO!$Y$546</f>
        <v>0</v>
      </c>
      <c r="N546" s="67">
        <f ca="1">$K$546-EFEITO!$M$546*EFEITO!$Z$546</f>
        <v>56.883210275218516</v>
      </c>
      <c r="O546" s="67">
        <f>$L$546-EFEITO!$O$546*EFEITO!$AA$546</f>
        <v>20.671505119657922</v>
      </c>
      <c r="P546" s="18"/>
      <c r="Q546" s="18"/>
      <c r="R546" s="18"/>
      <c r="S546" s="18"/>
      <c r="T546" s="18"/>
      <c r="U546" s="18"/>
      <c r="V546" s="18"/>
      <c r="W546" s="18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8" t="s">
        <v>21</v>
      </c>
      <c r="B547" s="58" t="s">
        <v>39</v>
      </c>
      <c r="C547" s="58" t="s">
        <v>41</v>
      </c>
      <c r="D547" s="58" t="s">
        <v>44</v>
      </c>
      <c r="E547" s="58" t="s">
        <v>52</v>
      </c>
      <c r="F547" s="58" t="s">
        <v>25</v>
      </c>
      <c r="G547" s="58" t="s">
        <v>25</v>
      </c>
      <c r="H547" s="58" t="s">
        <v>34</v>
      </c>
      <c r="I547" s="66">
        <v>44774</v>
      </c>
      <c r="J547" s="67">
        <f>EFEITO!$J$547*EFEITO!$Y$488</f>
        <v>0</v>
      </c>
      <c r="K547" s="67">
        <f ca="1">EFEITO!$L$547*EFEITO!$Z$488</f>
        <v>7373.3068781113298</v>
      </c>
      <c r="L547" s="67">
        <f>EFEITO!$N$547*EFEITO!$AA$488</f>
        <v>2679.4787098380129</v>
      </c>
      <c r="M547" s="67">
        <f>$J$547-EFEITO!$K$547*EFEITO!$Y$547</f>
        <v>0</v>
      </c>
      <c r="N547" s="67">
        <f ca="1">$K$547-EFEITO!$M$547*EFEITO!$Z$547</f>
        <v>147.46613756222632</v>
      </c>
      <c r="O547" s="67">
        <f>$L$547-EFEITO!$O$547*EFEITO!$AA$547</f>
        <v>53.589574196760168</v>
      </c>
      <c r="P547" s="18"/>
      <c r="Q547" s="18"/>
      <c r="R547" s="18"/>
      <c r="S547" s="18"/>
      <c r="T547" s="18"/>
      <c r="U547" s="18"/>
      <c r="V547" s="18"/>
      <c r="W547" s="18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8" t="s">
        <v>21</v>
      </c>
      <c r="B548" s="58" t="s">
        <v>39</v>
      </c>
      <c r="C548" s="58" t="s">
        <v>41</v>
      </c>
      <c r="D548" s="58" t="s">
        <v>44</v>
      </c>
      <c r="E548" s="58" t="s">
        <v>52</v>
      </c>
      <c r="F548" s="58" t="s">
        <v>25</v>
      </c>
      <c r="G548" s="58" t="s">
        <v>25</v>
      </c>
      <c r="H548" s="58" t="s">
        <v>34</v>
      </c>
      <c r="I548" s="66">
        <v>44805</v>
      </c>
      <c r="J548" s="67">
        <f>EFEITO!$J$548*EFEITO!$Y$488</f>
        <v>0</v>
      </c>
      <c r="K548" s="67">
        <f ca="1">EFEITO!$L$548*EFEITO!$Z$488</f>
        <v>5494.1293958049982</v>
      </c>
      <c r="L548" s="67">
        <f>EFEITO!$N$548*EFEITO!$AA$488</f>
        <v>1996.5807728493135</v>
      </c>
      <c r="M548" s="67">
        <f>$J$548-EFEITO!$K$548*EFEITO!$Y$548</f>
        <v>0</v>
      </c>
      <c r="N548" s="67">
        <f ca="1">$K$548-EFEITO!$M$548*EFEITO!$Z$548</f>
        <v>109.88258791609951</v>
      </c>
      <c r="O548" s="67">
        <f>$L$548-EFEITO!$O$548*EFEITO!$AA$548</f>
        <v>39.931615456986037</v>
      </c>
      <c r="P548" s="18"/>
      <c r="Q548" s="18"/>
      <c r="R548" s="18"/>
      <c r="S548" s="18"/>
      <c r="T548" s="18"/>
      <c r="U548" s="18"/>
      <c r="V548" s="18"/>
      <c r="W548" s="18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8" t="s">
        <v>55</v>
      </c>
      <c r="B549" s="58" t="s">
        <v>39</v>
      </c>
      <c r="C549" s="58" t="s">
        <v>41</v>
      </c>
      <c r="D549" s="58" t="s">
        <v>44</v>
      </c>
      <c r="E549" s="58" t="s">
        <v>52</v>
      </c>
      <c r="F549" s="58" t="s">
        <v>25</v>
      </c>
      <c r="G549" s="58" t="s">
        <v>25</v>
      </c>
      <c r="H549" s="58" t="s">
        <v>34</v>
      </c>
      <c r="I549" s="66">
        <v>44835</v>
      </c>
      <c r="J549" s="67">
        <f>EFEITO!$J$549*EFEITO!$Y$488</f>
        <v>0</v>
      </c>
      <c r="K549" s="67">
        <f ca="1">EFEITO!$L$549*EFEITO!$Z$488</f>
        <v>5494.1293958049982</v>
      </c>
      <c r="L549" s="67">
        <f>EFEITO!$N$549*EFEITO!$AA$488</f>
        <v>1996.5807728493135</v>
      </c>
      <c r="M549" s="67">
        <f>$J$549-EFEITO!$K$549*EFEITO!$Y$549</f>
        <v>0</v>
      </c>
      <c r="N549" s="67">
        <f ca="1">$K$549-EFEITO!$M$549*EFEITO!$Z$549</f>
        <v>109.88258791609951</v>
      </c>
      <c r="O549" s="67">
        <f>$L$549-EFEITO!$O$549*EFEITO!$AA$549</f>
        <v>39.931615456986037</v>
      </c>
      <c r="P549" s="18"/>
      <c r="Q549" s="18"/>
      <c r="R549" s="18"/>
      <c r="S549" s="18"/>
      <c r="T549" s="18"/>
      <c r="U549" s="18"/>
      <c r="V549" s="18"/>
      <c r="W549" s="18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8" t="s">
        <v>21</v>
      </c>
      <c r="B550" s="58" t="s">
        <v>39</v>
      </c>
      <c r="C550" s="58" t="s">
        <v>41</v>
      </c>
      <c r="D550" s="58" t="s">
        <v>44</v>
      </c>
      <c r="E550" s="58" t="s">
        <v>25</v>
      </c>
      <c r="F550" s="58" t="s">
        <v>25</v>
      </c>
      <c r="G550" s="58" t="s">
        <v>25</v>
      </c>
      <c r="H550" s="58" t="s">
        <v>35</v>
      </c>
      <c r="I550" s="66">
        <v>44501</v>
      </c>
      <c r="J550" s="67">
        <f>EFEITO!$J$550*EFEITO!$Y$422</f>
        <v>0</v>
      </c>
      <c r="K550" s="67">
        <f ca="1">EFEITO!$L$550*EFEITO!$Z$422</f>
        <v>39634.07921311399</v>
      </c>
      <c r="L550" s="67">
        <f>EFEITO!$N$550*EFEITO!$AA$422</f>
        <v>114940.91332167335</v>
      </c>
      <c r="M550" s="67">
        <f>$J$550-EFEITO!$K$550*EFEITO!$Y$550</f>
        <v>0</v>
      </c>
      <c r="N550" s="67">
        <f ca="1">$K$550-EFEITO!$M$550*EFEITO!$Z$550</f>
        <v>792.68158426228183</v>
      </c>
      <c r="O550" s="67">
        <f>$L$550-EFEITO!$O$550*EFEITO!$AA$550</f>
        <v>2298.8182664334745</v>
      </c>
      <c r="P550" s="18"/>
      <c r="Q550" s="18"/>
      <c r="R550" s="18"/>
      <c r="S550" s="18"/>
      <c r="T550" s="18"/>
      <c r="U550" s="18"/>
      <c r="V550" s="18"/>
      <c r="W550" s="18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8" t="s">
        <v>21</v>
      </c>
      <c r="B551" s="58" t="s">
        <v>39</v>
      </c>
      <c r="C551" s="58" t="s">
        <v>41</v>
      </c>
      <c r="D551" s="58" t="s">
        <v>44</v>
      </c>
      <c r="E551" s="58" t="s">
        <v>25</v>
      </c>
      <c r="F551" s="58" t="s">
        <v>25</v>
      </c>
      <c r="G551" s="58" t="s">
        <v>25</v>
      </c>
      <c r="H551" s="58" t="s">
        <v>35</v>
      </c>
      <c r="I551" s="66">
        <v>44531</v>
      </c>
      <c r="J551" s="67">
        <f>EFEITO!$J$551*EFEITO!$Y$422</f>
        <v>0</v>
      </c>
      <c r="K551" s="67">
        <f ca="1">EFEITO!$L$551*EFEITO!$Z$422</f>
        <v>54367.922603295039</v>
      </c>
      <c r="L551" s="67">
        <f>EFEITO!$N$551*EFEITO!$AA$422</f>
        <v>157669.83372625191</v>
      </c>
      <c r="M551" s="67">
        <f>$J$551-EFEITO!$K$551*EFEITO!$Y$551</f>
        <v>0</v>
      </c>
      <c r="N551" s="67">
        <f ca="1">$K$551-EFEITO!$M$551*EFEITO!$Z$551</f>
        <v>1087.3584520658987</v>
      </c>
      <c r="O551" s="67">
        <f>$L$551-EFEITO!$O$551*EFEITO!$AA$551</f>
        <v>3153.3966745250218</v>
      </c>
      <c r="P551" s="18"/>
      <c r="Q551" s="18"/>
      <c r="R551" s="18"/>
      <c r="S551" s="18"/>
      <c r="T551" s="18"/>
      <c r="U551" s="18"/>
      <c r="V551" s="18"/>
      <c r="W551" s="18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8" t="s">
        <v>21</v>
      </c>
      <c r="B552" s="58" t="s">
        <v>39</v>
      </c>
      <c r="C552" s="58" t="s">
        <v>41</v>
      </c>
      <c r="D552" s="58" t="s">
        <v>44</v>
      </c>
      <c r="E552" s="58" t="s">
        <v>25</v>
      </c>
      <c r="F552" s="58" t="s">
        <v>25</v>
      </c>
      <c r="G552" s="58" t="s">
        <v>25</v>
      </c>
      <c r="H552" s="58" t="s">
        <v>35</v>
      </c>
      <c r="I552" s="66">
        <v>44562</v>
      </c>
      <c r="J552" s="67">
        <f>EFEITO!$J$552*EFEITO!$Y$422</f>
        <v>0</v>
      </c>
      <c r="K552" s="67">
        <f ca="1">EFEITO!$L$552*EFEITO!$Z$422</f>
        <v>91713.132565350577</v>
      </c>
      <c r="L552" s="67">
        <f>EFEITO!$N$552*EFEITO!$AA$422</f>
        <v>265972.90589168353</v>
      </c>
      <c r="M552" s="67">
        <f>$J$552-EFEITO!$K$552*EFEITO!$Y$552</f>
        <v>0</v>
      </c>
      <c r="N552" s="67">
        <f ca="1">$K$552-EFEITO!$M$552*EFEITO!$Z$552</f>
        <v>1834.2626513070281</v>
      </c>
      <c r="O552" s="67">
        <f>$L$552-EFEITO!$O$552*EFEITO!$AA$552</f>
        <v>5319.4581178336812</v>
      </c>
      <c r="P552" s="18"/>
      <c r="Q552" s="18"/>
      <c r="R552" s="18"/>
      <c r="S552" s="18"/>
      <c r="T552" s="18"/>
      <c r="U552" s="18"/>
      <c r="V552" s="18"/>
      <c r="W552" s="18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8" t="s">
        <v>21</v>
      </c>
      <c r="B553" s="58" t="s">
        <v>39</v>
      </c>
      <c r="C553" s="58" t="s">
        <v>41</v>
      </c>
      <c r="D553" s="58" t="s">
        <v>44</v>
      </c>
      <c r="E553" s="58" t="s">
        <v>25</v>
      </c>
      <c r="F553" s="58" t="s">
        <v>25</v>
      </c>
      <c r="G553" s="58" t="s">
        <v>25</v>
      </c>
      <c r="H553" s="58" t="s">
        <v>35</v>
      </c>
      <c r="I553" s="66">
        <v>44593</v>
      </c>
      <c r="J553" s="67">
        <f>EFEITO!$J$553*EFEITO!$Y$422</f>
        <v>0</v>
      </c>
      <c r="K553" s="67">
        <f ca="1">EFEITO!$L$553*EFEITO!$Z$422</f>
        <v>59760.237649144758</v>
      </c>
      <c r="L553" s="67">
        <f>EFEITO!$N$553*EFEITO!$AA$422</f>
        <v>173307.83083867357</v>
      </c>
      <c r="M553" s="67">
        <f>$J$553-EFEITO!$K$553*EFEITO!$Y$553</f>
        <v>0</v>
      </c>
      <c r="N553" s="67">
        <f ca="1">$K$553-EFEITO!$M$553*EFEITO!$Z$553</f>
        <v>1195.2047529828997</v>
      </c>
      <c r="O553" s="67">
        <f>$L$553-EFEITO!$O$553*EFEITO!$AA$553</f>
        <v>3466.1566167734854</v>
      </c>
      <c r="P553" s="18"/>
      <c r="Q553" s="18"/>
      <c r="R553" s="18"/>
      <c r="S553" s="18"/>
      <c r="T553" s="18"/>
      <c r="U553" s="18"/>
      <c r="V553" s="18"/>
      <c r="W553" s="18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8" t="s">
        <v>21</v>
      </c>
      <c r="B554" s="58" t="s">
        <v>39</v>
      </c>
      <c r="C554" s="58" t="s">
        <v>41</v>
      </c>
      <c r="D554" s="58" t="s">
        <v>44</v>
      </c>
      <c r="E554" s="58" t="s">
        <v>25</v>
      </c>
      <c r="F554" s="58" t="s">
        <v>25</v>
      </c>
      <c r="G554" s="58" t="s">
        <v>25</v>
      </c>
      <c r="H554" s="58" t="s">
        <v>35</v>
      </c>
      <c r="I554" s="66">
        <v>44621</v>
      </c>
      <c r="J554" s="67">
        <f>EFEITO!$J$554*EFEITO!$Y$422</f>
        <v>0</v>
      </c>
      <c r="K554" s="67">
        <f ca="1">EFEITO!$L$554*EFEITO!$Z$422</f>
        <v>21181.178976348434</v>
      </c>
      <c r="L554" s="67">
        <f>EFEITO!$N$554*EFEITO!$AA$422</f>
        <v>61426.532547418639</v>
      </c>
      <c r="M554" s="67">
        <f>$J$554-EFEITO!$K$554*EFEITO!$Y$554</f>
        <v>0</v>
      </c>
      <c r="N554" s="67">
        <f ca="1">$K$554-EFEITO!$M$554*EFEITO!$Z$554</f>
        <v>423.6235795269713</v>
      </c>
      <c r="O554" s="67">
        <f>$L$554-EFEITO!$O$554*EFEITO!$AA$554</f>
        <v>1228.530650948378</v>
      </c>
      <c r="P554" s="18"/>
      <c r="Q554" s="18"/>
      <c r="R554" s="18"/>
      <c r="S554" s="18"/>
      <c r="T554" s="18"/>
      <c r="U554" s="18"/>
      <c r="V554" s="18"/>
      <c r="W554" s="18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8" t="s">
        <v>21</v>
      </c>
      <c r="B555" s="58" t="s">
        <v>39</v>
      </c>
      <c r="C555" s="58" t="s">
        <v>41</v>
      </c>
      <c r="D555" s="58" t="s">
        <v>44</v>
      </c>
      <c r="E555" s="58" t="s">
        <v>25</v>
      </c>
      <c r="F555" s="58" t="s">
        <v>25</v>
      </c>
      <c r="G555" s="58" t="s">
        <v>25</v>
      </c>
      <c r="H555" s="58" t="s">
        <v>35</v>
      </c>
      <c r="I555" s="66">
        <v>44652</v>
      </c>
      <c r="J555" s="67">
        <f>EFEITO!$J$555*EFEITO!$Y$422</f>
        <v>0</v>
      </c>
      <c r="K555" s="67">
        <f ca="1">EFEITO!$L$555*EFEITO!$Z$422</f>
        <v>21181.178976348434</v>
      </c>
      <c r="L555" s="67">
        <f>EFEITO!$N$555*EFEITO!$AA$422</f>
        <v>61426.532547418639</v>
      </c>
      <c r="M555" s="67">
        <f>$J$555-EFEITO!$K$555*EFEITO!$Y$555</f>
        <v>0</v>
      </c>
      <c r="N555" s="67">
        <f ca="1">$K$555-EFEITO!$M$555*EFEITO!$Z$555</f>
        <v>423.6235795269713</v>
      </c>
      <c r="O555" s="67">
        <f>$L$555-EFEITO!$O$555*EFEITO!$AA$555</f>
        <v>1228.530650948378</v>
      </c>
      <c r="P555" s="18"/>
      <c r="Q555" s="18"/>
      <c r="R555" s="18"/>
      <c r="S555" s="18"/>
      <c r="T555" s="18"/>
      <c r="U555" s="18"/>
      <c r="V555" s="18"/>
      <c r="W555" s="18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8" t="s">
        <v>21</v>
      </c>
      <c r="B556" s="58" t="s">
        <v>39</v>
      </c>
      <c r="C556" s="58" t="s">
        <v>41</v>
      </c>
      <c r="D556" s="58" t="s">
        <v>44</v>
      </c>
      <c r="E556" s="58" t="s">
        <v>25</v>
      </c>
      <c r="F556" s="58" t="s">
        <v>25</v>
      </c>
      <c r="G556" s="58" t="s">
        <v>25</v>
      </c>
      <c r="H556" s="58" t="s">
        <v>35</v>
      </c>
      <c r="I556" s="66">
        <v>44682</v>
      </c>
      <c r="J556" s="67">
        <f>EFEITO!$J$556*EFEITO!$Y$422</f>
        <v>0</v>
      </c>
      <c r="K556" s="67">
        <f ca="1">EFEITO!$L$556*EFEITO!$Z$422</f>
        <v>14083.977003416916</v>
      </c>
      <c r="L556" s="67">
        <f>EFEITO!$N$556*EFEITO!$AA$422</f>
        <v>40844.27371882915</v>
      </c>
      <c r="M556" s="67">
        <f>$J$556-EFEITO!$K$556*EFEITO!$Y$556</f>
        <v>0</v>
      </c>
      <c r="N556" s="67">
        <f ca="1">$K$556-EFEITO!$M$556*EFEITO!$Z$556</f>
        <v>281.67954006833861</v>
      </c>
      <c r="O556" s="67">
        <f>$L$556-EFEITO!$O$556*EFEITO!$AA$556</f>
        <v>816.88547437658417</v>
      </c>
      <c r="P556" s="18"/>
      <c r="Q556" s="18"/>
      <c r="R556" s="18"/>
      <c r="S556" s="18"/>
      <c r="T556" s="18"/>
      <c r="U556" s="18"/>
      <c r="V556" s="18"/>
      <c r="W556" s="18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8" t="s">
        <v>28</v>
      </c>
      <c r="B557" s="58" t="s">
        <v>39</v>
      </c>
      <c r="C557" s="58" t="s">
        <v>41</v>
      </c>
      <c r="D557" s="58" t="s">
        <v>44</v>
      </c>
      <c r="E557" s="58" t="s">
        <v>25</v>
      </c>
      <c r="F557" s="58" t="s">
        <v>25</v>
      </c>
      <c r="G557" s="58" t="s">
        <v>25</v>
      </c>
      <c r="H557" s="58" t="s">
        <v>35</v>
      </c>
      <c r="I557" s="66">
        <v>44682</v>
      </c>
      <c r="J557" s="67">
        <f>EFEITO!$J$557*EFEITO!$Y$422</f>
        <v>0</v>
      </c>
      <c r="K557" s="67">
        <f ca="1">EFEITO!$L$557*EFEITO!$Z$422</f>
        <v>20617.990625676786</v>
      </c>
      <c r="L557" s="67">
        <f>EFEITO!$N$557*EFEITO!$AA$422</f>
        <v>59793.256723089478</v>
      </c>
      <c r="M557" s="67">
        <f>$J$557-EFEITO!$K$557*EFEITO!$Y$557</f>
        <v>0</v>
      </c>
      <c r="N557" s="67">
        <f ca="1">$K$557-EFEITO!$M$557*EFEITO!$Z$557</f>
        <v>412.35981251353951</v>
      </c>
      <c r="O557" s="67">
        <f>$L$557-EFEITO!$O$557*EFEITO!$AA$557</f>
        <v>1195.8651344617901</v>
      </c>
      <c r="P557" s="18"/>
      <c r="Q557" s="18"/>
      <c r="R557" s="18"/>
      <c r="S557" s="18"/>
      <c r="T557" s="18"/>
      <c r="U557" s="18"/>
      <c r="V557" s="18"/>
      <c r="W557" s="18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8" t="s">
        <v>21</v>
      </c>
      <c r="B558" s="58" t="s">
        <v>39</v>
      </c>
      <c r="C558" s="58" t="s">
        <v>41</v>
      </c>
      <c r="D558" s="58" t="s">
        <v>44</v>
      </c>
      <c r="E558" s="58" t="s">
        <v>25</v>
      </c>
      <c r="F558" s="58" t="s">
        <v>25</v>
      </c>
      <c r="G558" s="58" t="s">
        <v>25</v>
      </c>
      <c r="H558" s="58" t="s">
        <v>35</v>
      </c>
      <c r="I558" s="66">
        <v>44713</v>
      </c>
      <c r="J558" s="67">
        <f>EFEITO!$J$558*EFEITO!$Y$422</f>
        <v>0</v>
      </c>
      <c r="K558" s="67">
        <f ca="1">EFEITO!$L$558*EFEITO!$Z$422</f>
        <v>12722.628403726943</v>
      </c>
      <c r="L558" s="67">
        <f>EFEITO!$N$558*EFEITO!$AA$422</f>
        <v>36896.291212255041</v>
      </c>
      <c r="M558" s="67">
        <f>$J$558-EFEITO!$K$558*EFEITO!$Y$558</f>
        <v>0</v>
      </c>
      <c r="N558" s="67">
        <f ca="1">$K$558-EFEITO!$M$558*EFEITO!$Z$558</f>
        <v>254.45256807453916</v>
      </c>
      <c r="O558" s="67">
        <f>$L$558-EFEITO!$O$558*EFEITO!$AA$558</f>
        <v>737.92582424510329</v>
      </c>
      <c r="P558" s="18"/>
      <c r="Q558" s="18"/>
      <c r="R558" s="18"/>
      <c r="S558" s="18"/>
      <c r="T558" s="18"/>
      <c r="U558" s="18"/>
      <c r="V558" s="18"/>
      <c r="W558" s="18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8" t="s">
        <v>28</v>
      </c>
      <c r="B559" s="58" t="s">
        <v>39</v>
      </c>
      <c r="C559" s="58" t="s">
        <v>41</v>
      </c>
      <c r="D559" s="58" t="s">
        <v>44</v>
      </c>
      <c r="E559" s="58" t="s">
        <v>25</v>
      </c>
      <c r="F559" s="58" t="s">
        <v>25</v>
      </c>
      <c r="G559" s="58" t="s">
        <v>25</v>
      </c>
      <c r="H559" s="58" t="s">
        <v>35</v>
      </c>
      <c r="I559" s="66">
        <v>44713</v>
      </c>
      <c r="J559" s="67">
        <f>EFEITO!$J$559*EFEITO!$Y$422</f>
        <v>0</v>
      </c>
      <c r="K559" s="67">
        <f ca="1">EFEITO!$L$559*EFEITO!$Z$422</f>
        <v>4980.3754904808775</v>
      </c>
      <c r="L559" s="67">
        <f>EFEITO!$N$559*EFEITO!$AA$422</f>
        <v>14443.350745772817</v>
      </c>
      <c r="M559" s="67">
        <f>$J$559-EFEITO!$K$559*EFEITO!$Y$559</f>
        <v>0</v>
      </c>
      <c r="N559" s="67">
        <f ca="1">$K$559-EFEITO!$M$559*EFEITO!$Z$559</f>
        <v>99.607509809618023</v>
      </c>
      <c r="O559" s="67">
        <f>$L$559-EFEITO!$O$559*EFEITO!$AA$559</f>
        <v>288.867014915455</v>
      </c>
      <c r="P559" s="18"/>
      <c r="Q559" s="18"/>
      <c r="R559" s="18"/>
      <c r="S559" s="18"/>
      <c r="T559" s="18"/>
      <c r="U559" s="18"/>
      <c r="V559" s="18"/>
      <c r="W559" s="18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8" t="s">
        <v>21</v>
      </c>
      <c r="B560" s="58" t="s">
        <v>39</v>
      </c>
      <c r="C560" s="58" t="s">
        <v>41</v>
      </c>
      <c r="D560" s="58" t="s">
        <v>44</v>
      </c>
      <c r="E560" s="58" t="s">
        <v>25</v>
      </c>
      <c r="F560" s="58" t="s">
        <v>25</v>
      </c>
      <c r="G560" s="58" t="s">
        <v>25</v>
      </c>
      <c r="H560" s="58" t="s">
        <v>35</v>
      </c>
      <c r="I560" s="66">
        <v>44743</v>
      </c>
      <c r="J560" s="67">
        <f>EFEITO!$J$560*EFEITO!$Y$422</f>
        <v>0</v>
      </c>
      <c r="K560" s="67">
        <f ca="1">EFEITO!$L$560*EFEITO!$Z$422</f>
        <v>15478.814844324443</v>
      </c>
      <c r="L560" s="67">
        <f>EFEITO!$N$560*EFEITO!$AA$422</f>
        <v>44889.376785497458</v>
      </c>
      <c r="M560" s="67">
        <f>$J$560-EFEITO!$K$560*EFEITO!$Y$560</f>
        <v>0</v>
      </c>
      <c r="N560" s="67">
        <f ca="1">$K$560-EFEITO!$M$560*EFEITO!$Z$560</f>
        <v>309.57629688648922</v>
      </c>
      <c r="O560" s="67">
        <f>$L$560-EFEITO!$O$560*EFEITO!$AA$560</f>
        <v>897.78753570994741</v>
      </c>
      <c r="P560" s="18"/>
      <c r="Q560" s="18"/>
      <c r="R560" s="18"/>
      <c r="S560" s="18"/>
      <c r="T560" s="18"/>
      <c r="U560" s="18"/>
      <c r="V560" s="18"/>
      <c r="W560" s="18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8" t="s">
        <v>28</v>
      </c>
      <c r="B561" s="58" t="s">
        <v>39</v>
      </c>
      <c r="C561" s="58" t="s">
        <v>41</v>
      </c>
      <c r="D561" s="58" t="s">
        <v>44</v>
      </c>
      <c r="E561" s="58" t="s">
        <v>25</v>
      </c>
      <c r="F561" s="58" t="s">
        <v>25</v>
      </c>
      <c r="G561" s="58" t="s">
        <v>25</v>
      </c>
      <c r="H561" s="58" t="s">
        <v>35</v>
      </c>
      <c r="I561" s="66">
        <v>44743</v>
      </c>
      <c r="J561" s="67">
        <f>EFEITO!$J$561*EFEITO!$Y$422</f>
        <v>0</v>
      </c>
      <c r="K561" s="67">
        <f ca="1">EFEITO!$L$561*EFEITO!$Z$422</f>
        <v>5286.92243378272</v>
      </c>
      <c r="L561" s="67">
        <f>EFEITO!$N$561*EFEITO!$AA$422</f>
        <v>15332.35299683111</v>
      </c>
      <c r="M561" s="67">
        <f>$J$561-EFEITO!$K$561*EFEITO!$Y$561</f>
        <v>0</v>
      </c>
      <c r="N561" s="67">
        <f ca="1">$K$561-EFEITO!$M$561*EFEITO!$Z$561</f>
        <v>105.73844867565458</v>
      </c>
      <c r="O561" s="67">
        <f>$L$561-EFEITO!$O$561*EFEITO!$AA$561</f>
        <v>306.6470599366221</v>
      </c>
      <c r="P561" s="18"/>
      <c r="Q561" s="18"/>
      <c r="R561" s="18"/>
      <c r="S561" s="18"/>
      <c r="T561" s="18"/>
      <c r="U561" s="18"/>
      <c r="V561" s="18"/>
      <c r="W561" s="18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8" t="s">
        <v>21</v>
      </c>
      <c r="B562" s="58" t="s">
        <v>39</v>
      </c>
      <c r="C562" s="58" t="s">
        <v>41</v>
      </c>
      <c r="D562" s="58" t="s">
        <v>44</v>
      </c>
      <c r="E562" s="58" t="s">
        <v>25</v>
      </c>
      <c r="F562" s="58" t="s">
        <v>25</v>
      </c>
      <c r="G562" s="58" t="s">
        <v>25</v>
      </c>
      <c r="H562" s="58" t="s">
        <v>35</v>
      </c>
      <c r="I562" s="66">
        <v>44774</v>
      </c>
      <c r="J562" s="67">
        <f>EFEITO!$J$562*EFEITO!$Y$422</f>
        <v>0</v>
      </c>
      <c r="K562" s="67">
        <f ca="1">EFEITO!$L$562*EFEITO!$Z$422</f>
        <v>15163.512543841542</v>
      </c>
      <c r="L562" s="67">
        <f>EFEITO!$N$562*EFEITO!$AA$422</f>
        <v>43974.983538336106</v>
      </c>
      <c r="M562" s="67">
        <f>$J$562-EFEITO!$K$562*EFEITO!$Y$562</f>
        <v>0</v>
      </c>
      <c r="N562" s="67">
        <f ca="1">$K$562-EFEITO!$M$562*EFEITO!$Z$562</f>
        <v>303.27025087683251</v>
      </c>
      <c r="O562" s="67">
        <f>$L$562-EFEITO!$O$562*EFEITO!$AA$562</f>
        <v>879.49967076671601</v>
      </c>
      <c r="P562" s="18"/>
      <c r="Q562" s="18"/>
      <c r="R562" s="18"/>
      <c r="S562" s="18"/>
      <c r="T562" s="18"/>
      <c r="U562" s="18"/>
      <c r="V562" s="18"/>
      <c r="W562" s="18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8" t="s">
        <v>28</v>
      </c>
      <c r="B563" s="58" t="s">
        <v>39</v>
      </c>
      <c r="C563" s="58" t="s">
        <v>41</v>
      </c>
      <c r="D563" s="58" t="s">
        <v>44</v>
      </c>
      <c r="E563" s="58" t="s">
        <v>25</v>
      </c>
      <c r="F563" s="58" t="s">
        <v>25</v>
      </c>
      <c r="G563" s="58" t="s">
        <v>25</v>
      </c>
      <c r="H563" s="58" t="s">
        <v>35</v>
      </c>
      <c r="I563" s="66">
        <v>44774</v>
      </c>
      <c r="J563" s="67">
        <f>EFEITO!$J$563*EFEITO!$Y$422</f>
        <v>0</v>
      </c>
      <c r="K563" s="67">
        <f ca="1">EFEITO!$L$563*EFEITO!$Z$422</f>
        <v>5414.9695325557141</v>
      </c>
      <c r="L563" s="67">
        <f>EFEITO!$N$563*EFEITO!$AA$422</f>
        <v>15703.696314838322</v>
      </c>
      <c r="M563" s="67">
        <f>$J$563-EFEITO!$K$563*EFEITO!$Y$563</f>
        <v>0</v>
      </c>
      <c r="N563" s="67">
        <f ca="1">$K$563-EFEITO!$M$563*EFEITO!$Z$563</f>
        <v>108.29939065111466</v>
      </c>
      <c r="O563" s="67">
        <f>$L$563-EFEITO!$O$563*EFEITO!$AA$563</f>
        <v>314.07392629676542</v>
      </c>
      <c r="P563" s="18"/>
      <c r="Q563" s="18"/>
      <c r="R563" s="18"/>
      <c r="S563" s="18"/>
      <c r="T563" s="18"/>
      <c r="U563" s="18"/>
      <c r="V563" s="18"/>
      <c r="W563" s="18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8" t="s">
        <v>21</v>
      </c>
      <c r="B564" s="58" t="s">
        <v>39</v>
      </c>
      <c r="C564" s="58" t="s">
        <v>41</v>
      </c>
      <c r="D564" s="58" t="s">
        <v>44</v>
      </c>
      <c r="E564" s="58" t="s">
        <v>25</v>
      </c>
      <c r="F564" s="58" t="s">
        <v>25</v>
      </c>
      <c r="G564" s="58" t="s">
        <v>25</v>
      </c>
      <c r="H564" s="58" t="s">
        <v>35</v>
      </c>
      <c r="I564" s="66">
        <v>44805</v>
      </c>
      <c r="J564" s="67">
        <f>EFEITO!$J$564*EFEITO!$Y$422</f>
        <v>0</v>
      </c>
      <c r="K564" s="67">
        <f ca="1">EFEITO!$L$564*EFEITO!$Z$422</f>
        <v>16120.144757837046</v>
      </c>
      <c r="L564" s="67">
        <f>EFEITO!$N$564*EFEITO!$AA$422</f>
        <v>46749.267250046403</v>
      </c>
      <c r="M564" s="67">
        <f>$J$564-EFEITO!$K$564*EFEITO!$Y$564</f>
        <v>0</v>
      </c>
      <c r="N564" s="67">
        <f ca="1">$K$564-EFEITO!$M$564*EFEITO!$Z$564</f>
        <v>322.40289515674158</v>
      </c>
      <c r="O564" s="67">
        <f>$L$564-EFEITO!$O$564*EFEITO!$AA$564</f>
        <v>934.98534500092501</v>
      </c>
      <c r="P564" s="18"/>
      <c r="Q564" s="18"/>
      <c r="R564" s="18"/>
      <c r="S564" s="18"/>
      <c r="T564" s="18"/>
      <c r="U564" s="18"/>
      <c r="V564" s="18"/>
      <c r="W564" s="18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8" t="s">
        <v>28</v>
      </c>
      <c r="B565" s="58" t="s">
        <v>39</v>
      </c>
      <c r="C565" s="58" t="s">
        <v>41</v>
      </c>
      <c r="D565" s="58" t="s">
        <v>44</v>
      </c>
      <c r="E565" s="58" t="s">
        <v>25</v>
      </c>
      <c r="F565" s="58" t="s">
        <v>25</v>
      </c>
      <c r="G565" s="58" t="s">
        <v>25</v>
      </c>
      <c r="H565" s="58" t="s">
        <v>35</v>
      </c>
      <c r="I565" s="66">
        <v>44805</v>
      </c>
      <c r="J565" s="67">
        <f>EFEITO!$J$565*EFEITO!$Y$422</f>
        <v>0</v>
      </c>
      <c r="K565" s="67">
        <f ca="1">EFEITO!$L$565*EFEITO!$Z$422</f>
        <v>4553.880153798521</v>
      </c>
      <c r="L565" s="67">
        <f>EFEITO!$N$565*EFEITO!$AA$422</f>
        <v>13206.491848102643</v>
      </c>
      <c r="M565" s="67">
        <f>$J$565-EFEITO!$K$565*EFEITO!$Y$565</f>
        <v>0</v>
      </c>
      <c r="N565" s="67">
        <f ca="1">$K$565-EFEITO!$M$565*EFEITO!$Z$565</f>
        <v>91.077603075969819</v>
      </c>
      <c r="O565" s="67">
        <f>$L$565-EFEITO!$O$565*EFEITO!$AA$565</f>
        <v>264.12983696205265</v>
      </c>
      <c r="P565" s="18"/>
      <c r="Q565" s="18"/>
      <c r="R565" s="18"/>
      <c r="S565" s="18"/>
      <c r="T565" s="18"/>
      <c r="U565" s="18"/>
      <c r="V565" s="18"/>
      <c r="W565" s="18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8" t="s">
        <v>55</v>
      </c>
      <c r="B566" s="58" t="s">
        <v>39</v>
      </c>
      <c r="C566" s="58" t="s">
        <v>41</v>
      </c>
      <c r="D566" s="58" t="s">
        <v>44</v>
      </c>
      <c r="E566" s="58" t="s">
        <v>25</v>
      </c>
      <c r="F566" s="58" t="s">
        <v>25</v>
      </c>
      <c r="G566" s="58" t="s">
        <v>25</v>
      </c>
      <c r="H566" s="58" t="s">
        <v>35</v>
      </c>
      <c r="I566" s="66">
        <v>44835</v>
      </c>
      <c r="J566" s="67">
        <f>EFEITO!$J$566*EFEITO!$Y$422</f>
        <v>0</v>
      </c>
      <c r="K566" s="67">
        <f ca="1">EFEITO!$L$566*EFEITO!$Z$422</f>
        <v>16120.144757837046</v>
      </c>
      <c r="L566" s="67">
        <f>EFEITO!$N$566*EFEITO!$AA$422</f>
        <v>46749.267250046403</v>
      </c>
      <c r="M566" s="67">
        <f>$J$566-EFEITO!$K$566*EFEITO!$Y$566</f>
        <v>0</v>
      </c>
      <c r="N566" s="67">
        <f ca="1">$K$566-EFEITO!$M$566*EFEITO!$Z$566</f>
        <v>322.40289515674158</v>
      </c>
      <c r="O566" s="67">
        <f>$L$566-EFEITO!$O$566*EFEITO!$AA$566</f>
        <v>934.98534500092501</v>
      </c>
      <c r="P566" s="18"/>
      <c r="Q566" s="18"/>
      <c r="R566" s="18"/>
      <c r="S566" s="18"/>
      <c r="T566" s="18"/>
      <c r="U566" s="18"/>
      <c r="V566" s="18"/>
      <c r="W566" s="18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8" t="s">
        <v>55</v>
      </c>
      <c r="B567" s="58" t="s">
        <v>39</v>
      </c>
      <c r="C567" s="58" t="s">
        <v>41</v>
      </c>
      <c r="D567" s="58" t="s">
        <v>44</v>
      </c>
      <c r="E567" s="58" t="s">
        <v>25</v>
      </c>
      <c r="F567" s="58" t="s">
        <v>25</v>
      </c>
      <c r="G567" s="58" t="s">
        <v>25</v>
      </c>
      <c r="H567" s="58" t="s">
        <v>35</v>
      </c>
      <c r="I567" s="66">
        <v>44835</v>
      </c>
      <c r="J567" s="67">
        <f>EFEITO!$J$567*EFEITO!$Y$422</f>
        <v>0</v>
      </c>
      <c r="K567" s="67">
        <f ca="1">EFEITO!$L$567*EFEITO!$Z$422</f>
        <v>4553.880153798521</v>
      </c>
      <c r="L567" s="67">
        <f>EFEITO!$N$567*EFEITO!$AA$422</f>
        <v>13206.491848102643</v>
      </c>
      <c r="M567" s="67">
        <f>$J$567-EFEITO!$K$567*EFEITO!$Y$567</f>
        <v>0</v>
      </c>
      <c r="N567" s="67">
        <f ca="1">$K$567-EFEITO!$M$567*EFEITO!$Z$567</f>
        <v>91.077603075969819</v>
      </c>
      <c r="O567" s="67">
        <f>$L$567-EFEITO!$O$567*EFEITO!$AA$567</f>
        <v>264.12983696205265</v>
      </c>
      <c r="P567" s="18"/>
      <c r="Q567" s="18"/>
      <c r="R567" s="18"/>
      <c r="S567" s="18"/>
      <c r="T567" s="18"/>
      <c r="U567" s="18"/>
      <c r="V567" s="18"/>
      <c r="W567" s="18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8" t="s">
        <v>21</v>
      </c>
      <c r="B568" s="58" t="s">
        <v>39</v>
      </c>
      <c r="C568" s="58" t="s">
        <v>41</v>
      </c>
      <c r="D568" s="58" t="s">
        <v>44</v>
      </c>
      <c r="E568" s="58" t="s">
        <v>25</v>
      </c>
      <c r="F568" s="58" t="s">
        <v>25</v>
      </c>
      <c r="G568" s="58" t="s">
        <v>25</v>
      </c>
      <c r="H568" s="58" t="s">
        <v>25</v>
      </c>
      <c r="I568" s="66">
        <v>44501</v>
      </c>
      <c r="J568" s="67">
        <f ca="1">EFEITO!$J$568*EFEITO!$Y$457</f>
        <v>46324.600972806693</v>
      </c>
      <c r="K568" s="67">
        <f>EFEITO!$L$568*EFEITO!$Z$457</f>
        <v>0</v>
      </c>
      <c r="L568" s="67">
        <f>EFEITO!$N$568*EFEITO!$AA$457</f>
        <v>0</v>
      </c>
      <c r="M568" s="67">
        <f ca="1">$J$568-EFEITO!$K$568*EFEITO!$Y$568</f>
        <v>926.49201945614186</v>
      </c>
      <c r="N568" s="67">
        <f>$K$568-EFEITO!$M$568*EFEITO!$Z$568</f>
        <v>0</v>
      </c>
      <c r="O568" s="67">
        <f>$L$568-EFEITO!$O$568*EFEITO!$AA$568</f>
        <v>0</v>
      </c>
      <c r="P568" s="18"/>
      <c r="Q568" s="18"/>
      <c r="R568" s="18"/>
      <c r="S568" s="18"/>
      <c r="T568" s="18"/>
      <c r="U568" s="18"/>
      <c r="V568" s="18"/>
      <c r="W568" s="18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8" t="s">
        <v>21</v>
      </c>
      <c r="B569" s="58" t="s">
        <v>39</v>
      </c>
      <c r="C569" s="58" t="s">
        <v>41</v>
      </c>
      <c r="D569" s="58" t="s">
        <v>44</v>
      </c>
      <c r="E569" s="58" t="s">
        <v>25</v>
      </c>
      <c r="F569" s="58" t="s">
        <v>25</v>
      </c>
      <c r="G569" s="58" t="s">
        <v>25</v>
      </c>
      <c r="H569" s="58" t="s">
        <v>25</v>
      </c>
      <c r="I569" s="66">
        <v>44531</v>
      </c>
      <c r="J569" s="67">
        <f ca="1">EFEITO!$J$569*EFEITO!$Y$457</f>
        <v>44308.006433538721</v>
      </c>
      <c r="K569" s="67">
        <f>EFEITO!$L$569*EFEITO!$Z$457</f>
        <v>0</v>
      </c>
      <c r="L569" s="67">
        <f>EFEITO!$N$569*EFEITO!$AA$457</f>
        <v>0</v>
      </c>
      <c r="M569" s="67">
        <f ca="1">$J$569-EFEITO!$K$569*EFEITO!$Y$569</f>
        <v>886.16012867078098</v>
      </c>
      <c r="N569" s="67">
        <f>$K$569-EFEITO!$M$569*EFEITO!$Z$569</f>
        <v>0</v>
      </c>
      <c r="O569" s="67">
        <f>$L$569-EFEITO!$O$569*EFEITO!$AA$569</f>
        <v>0</v>
      </c>
      <c r="P569" s="18"/>
      <c r="Q569" s="18"/>
      <c r="R569" s="18"/>
      <c r="S569" s="18"/>
      <c r="T569" s="18"/>
      <c r="U569" s="18"/>
      <c r="V569" s="18"/>
      <c r="W569" s="18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8" t="s">
        <v>21</v>
      </c>
      <c r="B570" s="58" t="s">
        <v>39</v>
      </c>
      <c r="C570" s="58" t="s">
        <v>41</v>
      </c>
      <c r="D570" s="58" t="s">
        <v>44</v>
      </c>
      <c r="E570" s="58" t="s">
        <v>25</v>
      </c>
      <c r="F570" s="58" t="s">
        <v>25</v>
      </c>
      <c r="G570" s="58" t="s">
        <v>25</v>
      </c>
      <c r="H570" s="58" t="s">
        <v>25</v>
      </c>
      <c r="I570" s="66">
        <v>44562</v>
      </c>
      <c r="J570" s="67">
        <f ca="1">EFEITO!$J$570*EFEITO!$Y$457</f>
        <v>47237.775858512941</v>
      </c>
      <c r="K570" s="67">
        <f>EFEITO!$L$570*EFEITO!$Z$457</f>
        <v>0</v>
      </c>
      <c r="L570" s="67">
        <f>EFEITO!$N$570*EFEITO!$AA$457</f>
        <v>0</v>
      </c>
      <c r="M570" s="67">
        <f ca="1">$J$570-EFEITO!$K$570*EFEITO!$Y$570</f>
        <v>944.75551717026246</v>
      </c>
      <c r="N570" s="67">
        <f>$K$570-EFEITO!$M$570*EFEITO!$Z$570</f>
        <v>0</v>
      </c>
      <c r="O570" s="67">
        <f>$L$570-EFEITO!$O$570*EFEITO!$AA$570</f>
        <v>0</v>
      </c>
      <c r="P570" s="18"/>
      <c r="Q570" s="18"/>
      <c r="R570" s="18"/>
      <c r="S570" s="18"/>
      <c r="T570" s="18"/>
      <c r="U570" s="18"/>
      <c r="V570" s="18"/>
      <c r="W570" s="18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8" t="s">
        <v>21</v>
      </c>
      <c r="B571" s="58" t="s">
        <v>39</v>
      </c>
      <c r="C571" s="58" t="s">
        <v>41</v>
      </c>
      <c r="D571" s="58" t="s">
        <v>44</v>
      </c>
      <c r="E571" s="58" t="s">
        <v>25</v>
      </c>
      <c r="F571" s="58" t="s">
        <v>25</v>
      </c>
      <c r="G571" s="58" t="s">
        <v>25</v>
      </c>
      <c r="H571" s="58" t="s">
        <v>25</v>
      </c>
      <c r="I571" s="66">
        <v>44593</v>
      </c>
      <c r="J571" s="67">
        <f ca="1">EFEITO!$J$571*EFEITO!$Y$457</f>
        <v>56616.842913787557</v>
      </c>
      <c r="K571" s="67">
        <f>EFEITO!$L$571*EFEITO!$Z$457</f>
        <v>0</v>
      </c>
      <c r="L571" s="67">
        <f>EFEITO!$N$571*EFEITO!$AA$457</f>
        <v>0</v>
      </c>
      <c r="M571" s="67">
        <f ca="1">$J$571-EFEITO!$K$571*EFEITO!$Y$571</f>
        <v>1132.3368582757539</v>
      </c>
      <c r="N571" s="67">
        <f>$K$571-EFEITO!$M$571*EFEITO!$Z$571</f>
        <v>0</v>
      </c>
      <c r="O571" s="67">
        <f>$L$571-EFEITO!$O$571*EFEITO!$AA$571</f>
        <v>0</v>
      </c>
      <c r="P571" s="18"/>
      <c r="Q571" s="18"/>
      <c r="R571" s="18"/>
      <c r="S571" s="18"/>
      <c r="T571" s="18"/>
      <c r="U571" s="18"/>
      <c r="V571" s="18"/>
      <c r="W571" s="18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8" t="s">
        <v>21</v>
      </c>
      <c r="B572" s="58" t="s">
        <v>39</v>
      </c>
      <c r="C572" s="58" t="s">
        <v>41</v>
      </c>
      <c r="D572" s="58" t="s">
        <v>44</v>
      </c>
      <c r="E572" s="58" t="s">
        <v>25</v>
      </c>
      <c r="F572" s="58" t="s">
        <v>25</v>
      </c>
      <c r="G572" s="58" t="s">
        <v>25</v>
      </c>
      <c r="H572" s="58" t="s">
        <v>25</v>
      </c>
      <c r="I572" s="66">
        <v>44621</v>
      </c>
      <c r="J572" s="67">
        <f ca="1">EFEITO!$J$572*EFEITO!$Y$457</f>
        <v>40331.890785359421</v>
      </c>
      <c r="K572" s="67">
        <f>EFEITO!$L$572*EFEITO!$Z$457</f>
        <v>0</v>
      </c>
      <c r="L572" s="67">
        <f>EFEITO!$N$572*EFEITO!$AA$457</f>
        <v>0</v>
      </c>
      <c r="M572" s="67">
        <f ca="1">$J$572-EFEITO!$K$572*EFEITO!$Y$572</f>
        <v>806.63781570719584</v>
      </c>
      <c r="N572" s="67">
        <f>$K$572-EFEITO!$M$572*EFEITO!$Z$572</f>
        <v>0</v>
      </c>
      <c r="O572" s="67">
        <f>$L$572-EFEITO!$O$572*EFEITO!$AA$572</f>
        <v>0</v>
      </c>
      <c r="P572" s="18"/>
      <c r="Q572" s="18"/>
      <c r="R572" s="18"/>
      <c r="S572" s="18"/>
      <c r="T572" s="18"/>
      <c r="U572" s="18"/>
      <c r="V572" s="18"/>
      <c r="W572" s="18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8" t="s">
        <v>21</v>
      </c>
      <c r="B573" s="58" t="s">
        <v>39</v>
      </c>
      <c r="C573" s="58" t="s">
        <v>41</v>
      </c>
      <c r="D573" s="58" t="s">
        <v>44</v>
      </c>
      <c r="E573" s="58" t="s">
        <v>25</v>
      </c>
      <c r="F573" s="58" t="s">
        <v>25</v>
      </c>
      <c r="G573" s="58" t="s">
        <v>25</v>
      </c>
      <c r="H573" s="58" t="s">
        <v>25</v>
      </c>
      <c r="I573" s="66">
        <v>44652</v>
      </c>
      <c r="J573" s="67">
        <f ca="1">EFEITO!$J$573*EFEITO!$Y$457</f>
        <v>40331.890785359421</v>
      </c>
      <c r="K573" s="67">
        <f>EFEITO!$L$573*EFEITO!$Z$457</f>
        <v>0</v>
      </c>
      <c r="L573" s="67">
        <f>EFEITO!$N$573*EFEITO!$AA$457</f>
        <v>0</v>
      </c>
      <c r="M573" s="67">
        <f ca="1">$J$573-EFEITO!$K$573*EFEITO!$Y$573</f>
        <v>806.63781570719584</v>
      </c>
      <c r="N573" s="67">
        <f>$K$573-EFEITO!$M$573*EFEITO!$Z$573</f>
        <v>0</v>
      </c>
      <c r="O573" s="67">
        <f>$L$573-EFEITO!$O$573*EFEITO!$AA$573</f>
        <v>0</v>
      </c>
      <c r="P573" s="18"/>
      <c r="Q573" s="18"/>
      <c r="R573" s="18"/>
      <c r="S573" s="18"/>
      <c r="T573" s="18"/>
      <c r="U573" s="18"/>
      <c r="V573" s="18"/>
      <c r="W573" s="18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8" t="s">
        <v>21</v>
      </c>
      <c r="B574" s="58" t="s">
        <v>39</v>
      </c>
      <c r="C574" s="58" t="s">
        <v>41</v>
      </c>
      <c r="D574" s="58" t="s">
        <v>44</v>
      </c>
      <c r="E574" s="58" t="s">
        <v>25</v>
      </c>
      <c r="F574" s="58" t="s">
        <v>25</v>
      </c>
      <c r="G574" s="58" t="s">
        <v>25</v>
      </c>
      <c r="H574" s="58" t="s">
        <v>25</v>
      </c>
      <c r="I574" s="66">
        <v>44682</v>
      </c>
      <c r="J574" s="67">
        <f ca="1">EFEITO!$J$574*EFEITO!$Y$457</f>
        <v>18073.252946269549</v>
      </c>
      <c r="K574" s="67">
        <f>EFEITO!$L$574*EFEITO!$Z$457</f>
        <v>0</v>
      </c>
      <c r="L574" s="67">
        <f>EFEITO!$N$574*EFEITO!$AA$457</f>
        <v>0</v>
      </c>
      <c r="M574" s="67">
        <f ca="1">$J$574-EFEITO!$K$574*EFEITO!$Y$574</f>
        <v>361.46505892539062</v>
      </c>
      <c r="N574" s="67">
        <f>$K$574-EFEITO!$M$574*EFEITO!$Z$574</f>
        <v>0</v>
      </c>
      <c r="O574" s="67">
        <f>$L$574-EFEITO!$O$574*EFEITO!$AA$574</f>
        <v>0</v>
      </c>
      <c r="P574" s="18"/>
      <c r="Q574" s="18"/>
      <c r="R574" s="18"/>
      <c r="S574" s="18"/>
      <c r="T574" s="18"/>
      <c r="U574" s="18"/>
      <c r="V574" s="18"/>
      <c r="W574" s="18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8" t="s">
        <v>28</v>
      </c>
      <c r="B575" s="58" t="s">
        <v>39</v>
      </c>
      <c r="C575" s="58" t="s">
        <v>41</v>
      </c>
      <c r="D575" s="58" t="s">
        <v>44</v>
      </c>
      <c r="E575" s="58" t="s">
        <v>25</v>
      </c>
      <c r="F575" s="58" t="s">
        <v>25</v>
      </c>
      <c r="G575" s="58" t="s">
        <v>25</v>
      </c>
      <c r="H575" s="58" t="s">
        <v>25</v>
      </c>
      <c r="I575" s="66">
        <v>44682</v>
      </c>
      <c r="J575" s="67">
        <f ca="1">EFEITO!$J$575*EFEITO!$Y$457</f>
        <v>19557.162135542207</v>
      </c>
      <c r="K575" s="67">
        <f>EFEITO!$L$575*EFEITO!$Z$457</f>
        <v>0</v>
      </c>
      <c r="L575" s="67">
        <f>EFEITO!$N$575*EFEITO!$AA$457</f>
        <v>0</v>
      </c>
      <c r="M575" s="67">
        <f ca="1">$J$575-EFEITO!$K$575*EFEITO!$Y$575</f>
        <v>391.14324271084479</v>
      </c>
      <c r="N575" s="67">
        <f>$K$575-EFEITO!$M$575*EFEITO!$Z$575</f>
        <v>0</v>
      </c>
      <c r="O575" s="67">
        <f>$L$575-EFEITO!$O$575*EFEITO!$AA$575</f>
        <v>0</v>
      </c>
      <c r="P575" s="18"/>
      <c r="Q575" s="18"/>
      <c r="R575" s="18"/>
      <c r="S575" s="18"/>
      <c r="T575" s="18"/>
      <c r="U575" s="18"/>
      <c r="V575" s="18"/>
      <c r="W575" s="18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8" t="s">
        <v>21</v>
      </c>
      <c r="B576" s="58" t="s">
        <v>39</v>
      </c>
      <c r="C576" s="58" t="s">
        <v>41</v>
      </c>
      <c r="D576" s="58" t="s">
        <v>44</v>
      </c>
      <c r="E576" s="58" t="s">
        <v>25</v>
      </c>
      <c r="F576" s="58" t="s">
        <v>25</v>
      </c>
      <c r="G576" s="58" t="s">
        <v>25</v>
      </c>
      <c r="H576" s="58" t="s">
        <v>25</v>
      </c>
      <c r="I576" s="66">
        <v>44713</v>
      </c>
      <c r="J576" s="67">
        <f ca="1">EFEITO!$J$576*EFEITO!$Y$457</f>
        <v>21992.295164092211</v>
      </c>
      <c r="K576" s="67">
        <f>EFEITO!$L$576*EFEITO!$Z$457</f>
        <v>0</v>
      </c>
      <c r="L576" s="67">
        <f>EFEITO!$N$576*EFEITO!$AA$457</f>
        <v>0</v>
      </c>
      <c r="M576" s="67">
        <f ca="1">$J$576-EFEITO!$K$576*EFEITO!$Y$576</f>
        <v>439.8459032818464</v>
      </c>
      <c r="N576" s="67">
        <f>$K$576-EFEITO!$M$576*EFEITO!$Z$576</f>
        <v>0</v>
      </c>
      <c r="O576" s="67">
        <f>$L$576-EFEITO!$O$576*EFEITO!$AA$576</f>
        <v>0</v>
      </c>
      <c r="P576" s="18"/>
      <c r="Q576" s="18"/>
      <c r="R576" s="18"/>
      <c r="S576" s="18"/>
      <c r="T576" s="18"/>
      <c r="U576" s="18"/>
      <c r="V576" s="18"/>
      <c r="W576" s="18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8" t="s">
        <v>28</v>
      </c>
      <c r="B577" s="58" t="s">
        <v>39</v>
      </c>
      <c r="C577" s="58" t="s">
        <v>41</v>
      </c>
      <c r="D577" s="58" t="s">
        <v>44</v>
      </c>
      <c r="E577" s="58" t="s">
        <v>25</v>
      </c>
      <c r="F577" s="58" t="s">
        <v>25</v>
      </c>
      <c r="G577" s="58" t="s">
        <v>25</v>
      </c>
      <c r="H577" s="58" t="s">
        <v>25</v>
      </c>
      <c r="I577" s="66">
        <v>44713</v>
      </c>
      <c r="J577" s="67">
        <f ca="1">EFEITO!$J$577*EFEITO!$Y$457</f>
        <v>5098.5597785265682</v>
      </c>
      <c r="K577" s="67">
        <f>EFEITO!$L$577*EFEITO!$Z$457</f>
        <v>0</v>
      </c>
      <c r="L577" s="67">
        <f>EFEITO!$N$577*EFEITO!$AA$457</f>
        <v>0</v>
      </c>
      <c r="M577" s="67">
        <f ca="1">$J$577-EFEITO!$K$577*EFEITO!$Y$577</f>
        <v>101.97119557053247</v>
      </c>
      <c r="N577" s="67">
        <f>$K$577-EFEITO!$M$577*EFEITO!$Z$577</f>
        <v>0</v>
      </c>
      <c r="O577" s="67">
        <f>$L$577-EFEITO!$O$577*EFEITO!$AA$577</f>
        <v>0</v>
      </c>
      <c r="P577" s="18"/>
      <c r="Q577" s="18"/>
      <c r="R577" s="18"/>
      <c r="S577" s="18"/>
      <c r="T577" s="18"/>
      <c r="U577" s="18"/>
      <c r="V577" s="18"/>
      <c r="W577" s="18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8" t="s">
        <v>21</v>
      </c>
      <c r="B578" s="58" t="s">
        <v>39</v>
      </c>
      <c r="C578" s="58" t="s">
        <v>41</v>
      </c>
      <c r="D578" s="58" t="s">
        <v>44</v>
      </c>
      <c r="E578" s="58" t="s">
        <v>25</v>
      </c>
      <c r="F578" s="58" t="s">
        <v>25</v>
      </c>
      <c r="G578" s="58" t="s">
        <v>25</v>
      </c>
      <c r="H578" s="58" t="s">
        <v>25</v>
      </c>
      <c r="I578" s="66">
        <v>44743</v>
      </c>
      <c r="J578" s="67">
        <f ca="1">EFEITO!$J$578*EFEITO!$Y$457</f>
        <v>21174.242662313693</v>
      </c>
      <c r="K578" s="67">
        <f>EFEITO!$L$578*EFEITO!$Z$457</f>
        <v>0</v>
      </c>
      <c r="L578" s="67">
        <f>EFEITO!$N$578*EFEITO!$AA$457</f>
        <v>0</v>
      </c>
      <c r="M578" s="67">
        <f ca="1">$J$578-EFEITO!$K$578*EFEITO!$Y$578</f>
        <v>423.48485324627472</v>
      </c>
      <c r="N578" s="67">
        <f>$K$578-EFEITO!$M$578*EFEITO!$Z$578</f>
        <v>0</v>
      </c>
      <c r="O578" s="67">
        <f>$L$578-EFEITO!$O$578*EFEITO!$AA$578</f>
        <v>0</v>
      </c>
      <c r="P578" s="18"/>
      <c r="Q578" s="18"/>
      <c r="R578" s="18"/>
      <c r="S578" s="18"/>
      <c r="T578" s="18"/>
      <c r="U578" s="18"/>
      <c r="V578" s="18"/>
      <c r="W578" s="18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8" t="s">
        <v>28</v>
      </c>
      <c r="B579" s="58" t="s">
        <v>39</v>
      </c>
      <c r="C579" s="58" t="s">
        <v>41</v>
      </c>
      <c r="D579" s="58" t="s">
        <v>44</v>
      </c>
      <c r="E579" s="58" t="s">
        <v>25</v>
      </c>
      <c r="F579" s="58" t="s">
        <v>25</v>
      </c>
      <c r="G579" s="58" t="s">
        <v>25</v>
      </c>
      <c r="H579" s="58" t="s">
        <v>25</v>
      </c>
      <c r="I579" s="66">
        <v>44743</v>
      </c>
      <c r="J579" s="67">
        <f ca="1">EFEITO!$J$579*EFEITO!$Y$457</f>
        <v>4737.0947196011766</v>
      </c>
      <c r="K579" s="67">
        <f>EFEITO!$L$579*EFEITO!$Z$457</f>
        <v>0</v>
      </c>
      <c r="L579" s="67">
        <f>EFEITO!$N$579*EFEITO!$AA$457</f>
        <v>0</v>
      </c>
      <c r="M579" s="67">
        <f ca="1">$J$579-EFEITO!$K$579*EFEITO!$Y$579</f>
        <v>94.741894392023823</v>
      </c>
      <c r="N579" s="67">
        <f>$K$579-EFEITO!$M$579*EFEITO!$Z$579</f>
        <v>0</v>
      </c>
      <c r="O579" s="67">
        <f>$L$579-EFEITO!$O$579*EFEITO!$AA$579</f>
        <v>0</v>
      </c>
      <c r="P579" s="18"/>
      <c r="Q579" s="18"/>
      <c r="R579" s="18"/>
      <c r="S579" s="18"/>
      <c r="T579" s="18"/>
      <c r="U579" s="18"/>
      <c r="V579" s="18"/>
      <c r="W579" s="18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8" t="s">
        <v>21</v>
      </c>
      <c r="B580" s="58" t="s">
        <v>39</v>
      </c>
      <c r="C580" s="58" t="s">
        <v>41</v>
      </c>
      <c r="D580" s="58" t="s">
        <v>44</v>
      </c>
      <c r="E580" s="58" t="s">
        <v>25</v>
      </c>
      <c r="F580" s="58" t="s">
        <v>25</v>
      </c>
      <c r="G580" s="58" t="s">
        <v>25</v>
      </c>
      <c r="H580" s="58" t="s">
        <v>25</v>
      </c>
      <c r="I580" s="66">
        <v>44774</v>
      </c>
      <c r="J580" s="67">
        <f ca="1">EFEITO!$J$580*EFEITO!$Y$457</f>
        <v>18358.620098052754</v>
      </c>
      <c r="K580" s="67">
        <f>EFEITO!$L$580*EFEITO!$Z$457</f>
        <v>0</v>
      </c>
      <c r="L580" s="67">
        <f>EFEITO!$N$580*EFEITO!$AA$457</f>
        <v>0</v>
      </c>
      <c r="M580" s="67">
        <f ca="1">$J$580-EFEITO!$K$580*EFEITO!$Y$580</f>
        <v>367.17240196105558</v>
      </c>
      <c r="N580" s="67">
        <f>$K$580-EFEITO!$M$580*EFEITO!$Z$580</f>
        <v>0</v>
      </c>
      <c r="O580" s="67">
        <f>$L$580-EFEITO!$O$580*EFEITO!$AA$580</f>
        <v>0</v>
      </c>
      <c r="P580" s="18"/>
      <c r="Q580" s="18"/>
      <c r="R580" s="18"/>
      <c r="S580" s="18"/>
      <c r="T580" s="18"/>
      <c r="U580" s="18"/>
      <c r="V580" s="18"/>
      <c r="W580" s="18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8" t="s">
        <v>28</v>
      </c>
      <c r="B581" s="58" t="s">
        <v>39</v>
      </c>
      <c r="C581" s="58" t="s">
        <v>41</v>
      </c>
      <c r="D581" s="58" t="s">
        <v>44</v>
      </c>
      <c r="E581" s="58" t="s">
        <v>25</v>
      </c>
      <c r="F581" s="58" t="s">
        <v>25</v>
      </c>
      <c r="G581" s="58" t="s">
        <v>25</v>
      </c>
      <c r="H581" s="58" t="s">
        <v>25</v>
      </c>
      <c r="I581" s="66">
        <v>44774</v>
      </c>
      <c r="J581" s="67">
        <f ca="1">EFEITO!$J$581*EFEITO!$Y$457</f>
        <v>9493.2139159879007</v>
      </c>
      <c r="K581" s="67">
        <f>EFEITO!$L$581*EFEITO!$Z$457</f>
        <v>0</v>
      </c>
      <c r="L581" s="67">
        <f>EFEITO!$N$581*EFEITO!$AA$457</f>
        <v>0</v>
      </c>
      <c r="M581" s="67">
        <f ca="1">$J$581-EFEITO!$K$581*EFEITO!$Y$581</f>
        <v>189.86427831975925</v>
      </c>
      <c r="N581" s="67">
        <f>$K$581-EFEITO!$M$581*EFEITO!$Z$581</f>
        <v>0</v>
      </c>
      <c r="O581" s="67">
        <f>$L$581-EFEITO!$O$581*EFEITO!$AA$581</f>
        <v>0</v>
      </c>
      <c r="P581" s="18"/>
      <c r="Q581" s="18"/>
      <c r="R581" s="18"/>
      <c r="S581" s="18"/>
      <c r="T581" s="18"/>
      <c r="U581" s="18"/>
      <c r="V581" s="18"/>
      <c r="W581" s="18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8" t="s">
        <v>21</v>
      </c>
      <c r="B582" s="58" t="s">
        <v>39</v>
      </c>
      <c r="C582" s="58" t="s">
        <v>41</v>
      </c>
      <c r="D582" s="58" t="s">
        <v>44</v>
      </c>
      <c r="E582" s="58" t="s">
        <v>25</v>
      </c>
      <c r="F582" s="58" t="s">
        <v>25</v>
      </c>
      <c r="G582" s="58" t="s">
        <v>25</v>
      </c>
      <c r="H582" s="58" t="s">
        <v>25</v>
      </c>
      <c r="I582" s="66">
        <v>44805</v>
      </c>
      <c r="J582" s="67">
        <f ca="1">EFEITO!$J$582*EFEITO!$Y$457</f>
        <v>18529.840389122677</v>
      </c>
      <c r="K582" s="67">
        <f>EFEITO!$L$582*EFEITO!$Z$457</f>
        <v>0</v>
      </c>
      <c r="L582" s="67">
        <f>EFEITO!$N$582*EFEITO!$AA$457</f>
        <v>0</v>
      </c>
      <c r="M582" s="67">
        <f ca="1">$J$582-EFEITO!$K$582*EFEITO!$Y$582</f>
        <v>370.5968077824582</v>
      </c>
      <c r="N582" s="67">
        <f>$K$582-EFEITO!$M$582*EFEITO!$Z$582</f>
        <v>0</v>
      </c>
      <c r="O582" s="67">
        <f>$L$582-EFEITO!$O$582*EFEITO!$AA$582</f>
        <v>0</v>
      </c>
      <c r="P582" s="18"/>
      <c r="Q582" s="18"/>
      <c r="R582" s="18"/>
      <c r="S582" s="18"/>
      <c r="T582" s="18"/>
      <c r="U582" s="18"/>
      <c r="V582" s="18"/>
      <c r="W582" s="18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8" t="s">
        <v>28</v>
      </c>
      <c r="B583" s="58" t="s">
        <v>39</v>
      </c>
      <c r="C583" s="58" t="s">
        <v>41</v>
      </c>
      <c r="D583" s="58" t="s">
        <v>44</v>
      </c>
      <c r="E583" s="58" t="s">
        <v>25</v>
      </c>
      <c r="F583" s="58" t="s">
        <v>25</v>
      </c>
      <c r="G583" s="58" t="s">
        <v>25</v>
      </c>
      <c r="H583" s="58" t="s">
        <v>25</v>
      </c>
      <c r="I583" s="66">
        <v>44805</v>
      </c>
      <c r="J583" s="67">
        <f ca="1">EFEITO!$J$583*EFEITO!$Y$457</f>
        <v>4775.1436731722706</v>
      </c>
      <c r="K583" s="67">
        <f>EFEITO!$L$583*EFEITO!$Z$457</f>
        <v>0</v>
      </c>
      <c r="L583" s="67">
        <f>EFEITO!$N$583*EFEITO!$AA$457</f>
        <v>0</v>
      </c>
      <c r="M583" s="67">
        <f ca="1">$J$583-EFEITO!$K$583*EFEITO!$Y$583</f>
        <v>95.502873463446122</v>
      </c>
      <c r="N583" s="67">
        <f>$K$583-EFEITO!$M$583*EFEITO!$Z$583</f>
        <v>0</v>
      </c>
      <c r="O583" s="67">
        <f>$L$583-EFEITO!$O$583*EFEITO!$AA$583</f>
        <v>0</v>
      </c>
      <c r="P583" s="18"/>
      <c r="Q583" s="18"/>
      <c r="R583" s="18"/>
      <c r="S583" s="18"/>
      <c r="T583" s="18"/>
      <c r="U583" s="18"/>
      <c r="V583" s="18"/>
      <c r="W583" s="18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8" t="s">
        <v>55</v>
      </c>
      <c r="B584" s="58" t="s">
        <v>39</v>
      </c>
      <c r="C584" s="58" t="s">
        <v>41</v>
      </c>
      <c r="D584" s="58" t="s">
        <v>44</v>
      </c>
      <c r="E584" s="58" t="s">
        <v>25</v>
      </c>
      <c r="F584" s="58" t="s">
        <v>25</v>
      </c>
      <c r="G584" s="58" t="s">
        <v>25</v>
      </c>
      <c r="H584" s="58" t="s">
        <v>25</v>
      </c>
      <c r="I584" s="66">
        <v>44835</v>
      </c>
      <c r="J584" s="67">
        <f ca="1">EFEITO!$J$584*EFEITO!$Y$457</f>
        <v>18529.840389122677</v>
      </c>
      <c r="K584" s="67">
        <f>EFEITO!$L$584*EFEITO!$Z$457</f>
        <v>0</v>
      </c>
      <c r="L584" s="67">
        <f>EFEITO!$N$584*EFEITO!$AA$457</f>
        <v>0</v>
      </c>
      <c r="M584" s="67">
        <f ca="1">$J$584-EFEITO!$K$584*EFEITO!$Y$584</f>
        <v>370.5968077824582</v>
      </c>
      <c r="N584" s="67">
        <f>$K$584-EFEITO!$M$584*EFEITO!$Z$584</f>
        <v>0</v>
      </c>
      <c r="O584" s="67">
        <f>$L$584-EFEITO!$O$584*EFEITO!$AA$584</f>
        <v>0</v>
      </c>
      <c r="P584" s="18"/>
      <c r="Q584" s="18"/>
      <c r="R584" s="18"/>
      <c r="S584" s="18"/>
      <c r="T584" s="18"/>
      <c r="U584" s="18"/>
      <c r="V584" s="18"/>
      <c r="W584" s="18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8" t="s">
        <v>55</v>
      </c>
      <c r="B585" s="58" t="s">
        <v>39</v>
      </c>
      <c r="C585" s="58" t="s">
        <v>41</v>
      </c>
      <c r="D585" s="58" t="s">
        <v>44</v>
      </c>
      <c r="E585" s="58" t="s">
        <v>25</v>
      </c>
      <c r="F585" s="58" t="s">
        <v>25</v>
      </c>
      <c r="G585" s="58" t="s">
        <v>25</v>
      </c>
      <c r="H585" s="58" t="s">
        <v>25</v>
      </c>
      <c r="I585" s="66">
        <v>44835</v>
      </c>
      <c r="J585" s="67">
        <f ca="1">EFEITO!$J$585*EFEITO!$Y$457</f>
        <v>4775.1436731722706</v>
      </c>
      <c r="K585" s="67">
        <f>EFEITO!$L$585*EFEITO!$Z$457</f>
        <v>0</v>
      </c>
      <c r="L585" s="67">
        <f>EFEITO!$N$585*EFEITO!$AA$457</f>
        <v>0</v>
      </c>
      <c r="M585" s="67">
        <f ca="1">$J$585-EFEITO!$K$585*EFEITO!$Y$585</f>
        <v>95.502873463446122</v>
      </c>
      <c r="N585" s="67">
        <f>$K$585-EFEITO!$M$585*EFEITO!$Z$585</f>
        <v>0</v>
      </c>
      <c r="O585" s="67">
        <f>$L$585-EFEITO!$O$585*EFEITO!$AA$585</f>
        <v>0</v>
      </c>
      <c r="P585" s="18"/>
      <c r="Q585" s="18"/>
      <c r="R585" s="18"/>
      <c r="S585" s="18"/>
      <c r="T585" s="18"/>
      <c r="U585" s="18"/>
      <c r="V585" s="18"/>
      <c r="W585" s="18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8" t="s">
        <v>21</v>
      </c>
      <c r="B586" s="58" t="s">
        <v>39</v>
      </c>
      <c r="C586" s="58" t="s">
        <v>41</v>
      </c>
      <c r="D586" s="58" t="s">
        <v>44</v>
      </c>
      <c r="E586" s="58" t="s">
        <v>25</v>
      </c>
      <c r="F586" s="58" t="s">
        <v>25</v>
      </c>
      <c r="G586" s="58" t="s">
        <v>25</v>
      </c>
      <c r="H586" s="58" t="s">
        <v>34</v>
      </c>
      <c r="I586" s="66">
        <v>44501</v>
      </c>
      <c r="J586" s="67">
        <f>EFEITO!$J$586*EFEITO!$Y$488</f>
        <v>0</v>
      </c>
      <c r="K586" s="67">
        <f ca="1">EFEITO!$L$586*EFEITO!$Z$488</f>
        <v>17326.374894492164</v>
      </c>
      <c r="L586" s="67">
        <f>EFEITO!$N$586*EFEITO!$AA$488</f>
        <v>6296.4492616311009</v>
      </c>
      <c r="M586" s="67">
        <f>$J$586-EFEITO!$K$586*EFEITO!$Y$586</f>
        <v>0</v>
      </c>
      <c r="N586" s="67">
        <f ca="1">$K$586-EFEITO!$M$586*EFEITO!$Z$586</f>
        <v>346.52749788984511</v>
      </c>
      <c r="O586" s="67">
        <f>$L$586-EFEITO!$O$586*EFEITO!$AA$586</f>
        <v>125.92898523262193</v>
      </c>
      <c r="P586" s="18"/>
      <c r="Q586" s="18"/>
      <c r="R586" s="18"/>
      <c r="S586" s="18"/>
      <c r="T586" s="18"/>
      <c r="U586" s="18"/>
      <c r="V586" s="18"/>
      <c r="W586" s="18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8" t="s">
        <v>21</v>
      </c>
      <c r="B587" s="58" t="s">
        <v>39</v>
      </c>
      <c r="C587" s="58" t="s">
        <v>41</v>
      </c>
      <c r="D587" s="58" t="s">
        <v>44</v>
      </c>
      <c r="E587" s="58" t="s">
        <v>25</v>
      </c>
      <c r="F587" s="58" t="s">
        <v>25</v>
      </c>
      <c r="G587" s="58" t="s">
        <v>25</v>
      </c>
      <c r="H587" s="58" t="s">
        <v>34</v>
      </c>
      <c r="I587" s="66">
        <v>44531</v>
      </c>
      <c r="J587" s="67">
        <f>EFEITO!$J$587*EFEITO!$Y$488</f>
        <v>0</v>
      </c>
      <c r="K587" s="67">
        <f ca="1">EFEITO!$L$587*EFEITO!$Z$488</f>
        <v>35454.910606153244</v>
      </c>
      <c r="L587" s="67">
        <f>EFEITO!$N$587*EFEITO!$AA$488</f>
        <v>12884.405830227965</v>
      </c>
      <c r="M587" s="67">
        <f>$J$587-EFEITO!$K$587*EFEITO!$Y$587</f>
        <v>0</v>
      </c>
      <c r="N587" s="67">
        <f ca="1">$K$587-EFEITO!$M$587*EFEITO!$Z$587</f>
        <v>709.09821212306269</v>
      </c>
      <c r="O587" s="67">
        <f>$L$587-EFEITO!$O$587*EFEITO!$AA$587</f>
        <v>257.68811660455867</v>
      </c>
      <c r="P587" s="18"/>
      <c r="Q587" s="18"/>
      <c r="R587" s="18"/>
      <c r="S587" s="18"/>
      <c r="T587" s="18"/>
      <c r="U587" s="18"/>
      <c r="V587" s="18"/>
      <c r="W587" s="18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8" t="s">
        <v>21</v>
      </c>
      <c r="B588" s="58" t="s">
        <v>39</v>
      </c>
      <c r="C588" s="58" t="s">
        <v>41</v>
      </c>
      <c r="D588" s="58" t="s">
        <v>44</v>
      </c>
      <c r="E588" s="58" t="s">
        <v>25</v>
      </c>
      <c r="F588" s="58" t="s">
        <v>25</v>
      </c>
      <c r="G588" s="58" t="s">
        <v>25</v>
      </c>
      <c r="H588" s="58" t="s">
        <v>34</v>
      </c>
      <c r="I588" s="66">
        <v>44562</v>
      </c>
      <c r="J588" s="67">
        <f>EFEITO!$J$588*EFEITO!$Y$488</f>
        <v>0</v>
      </c>
      <c r="K588" s="67">
        <f ca="1">EFEITO!$L$588*EFEITO!$Z$488</f>
        <v>62792.611006541309</v>
      </c>
      <c r="L588" s="67">
        <f>EFEITO!$N$588*EFEITO!$AA$488</f>
        <v>22818.996565387097</v>
      </c>
      <c r="M588" s="67">
        <f>$J$588-EFEITO!$K$588*EFEITO!$Y$588</f>
        <v>0</v>
      </c>
      <c r="N588" s="67">
        <f ca="1">$K$588-EFEITO!$M$588*EFEITO!$Z$588</f>
        <v>1255.8522201308297</v>
      </c>
      <c r="O588" s="67">
        <f>$L$588-EFEITO!$O$588*EFEITO!$AA$588</f>
        <v>456.37993130773975</v>
      </c>
      <c r="P588" s="18"/>
      <c r="Q588" s="18"/>
      <c r="R588" s="18"/>
      <c r="S588" s="18"/>
      <c r="T588" s="18"/>
      <c r="U588" s="18"/>
      <c r="V588" s="18"/>
      <c r="W588" s="18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8" t="s">
        <v>21</v>
      </c>
      <c r="B589" s="58" t="s">
        <v>39</v>
      </c>
      <c r="C589" s="58" t="s">
        <v>41</v>
      </c>
      <c r="D589" s="58" t="s">
        <v>44</v>
      </c>
      <c r="E589" s="58" t="s">
        <v>25</v>
      </c>
      <c r="F589" s="58" t="s">
        <v>25</v>
      </c>
      <c r="G589" s="58" t="s">
        <v>25</v>
      </c>
      <c r="H589" s="58" t="s">
        <v>34</v>
      </c>
      <c r="I589" s="66">
        <v>44593</v>
      </c>
      <c r="J589" s="67">
        <f>EFEITO!$J$589*EFEITO!$Y$488</f>
        <v>0</v>
      </c>
      <c r="K589" s="67">
        <f ca="1">EFEITO!$L$589*EFEITO!$Z$488</f>
        <v>35686.446782431056</v>
      </c>
      <c r="L589" s="67">
        <f>EFEITO!$N$589*EFEITO!$AA$488</f>
        <v>12968.546673020692</v>
      </c>
      <c r="M589" s="67">
        <f>$J$589-EFEITO!$K$589*EFEITO!$Y$589</f>
        <v>0</v>
      </c>
      <c r="N589" s="67">
        <f ca="1">$K$589-EFEITO!$M$589*EFEITO!$Z$589</f>
        <v>713.7289356486217</v>
      </c>
      <c r="O589" s="67">
        <f>$L$589-EFEITO!$O$589*EFEITO!$AA$589</f>
        <v>259.37093346041365</v>
      </c>
      <c r="P589" s="18"/>
      <c r="Q589" s="18"/>
      <c r="R589" s="18"/>
      <c r="S589" s="18"/>
      <c r="T589" s="18"/>
      <c r="U589" s="18"/>
      <c r="V589" s="18"/>
      <c r="W589" s="18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8" t="s">
        <v>21</v>
      </c>
      <c r="B590" s="58" t="s">
        <v>39</v>
      </c>
      <c r="C590" s="58" t="s">
        <v>41</v>
      </c>
      <c r="D590" s="58" t="s">
        <v>44</v>
      </c>
      <c r="E590" s="58" t="s">
        <v>25</v>
      </c>
      <c r="F590" s="58" t="s">
        <v>25</v>
      </c>
      <c r="G590" s="58" t="s">
        <v>25</v>
      </c>
      <c r="H590" s="58" t="s">
        <v>34</v>
      </c>
      <c r="I590" s="66">
        <v>44621</v>
      </c>
      <c r="J590" s="67">
        <f>EFEITO!$J$590*EFEITO!$Y$488</f>
        <v>0</v>
      </c>
      <c r="K590" s="67">
        <f ca="1">EFEITO!$L$590*EFEITO!$Z$488</f>
        <v>15250.018216904085</v>
      </c>
      <c r="L590" s="67">
        <f>EFEITO!$N$590*EFEITO!$AA$488</f>
        <v>5541.8958972318223</v>
      </c>
      <c r="M590" s="67">
        <f>$J$590-EFEITO!$K$590*EFEITO!$Y$590</f>
        <v>0</v>
      </c>
      <c r="N590" s="67">
        <f ca="1">$K$590-EFEITO!$M$590*EFEITO!$Z$590</f>
        <v>305.00036433808054</v>
      </c>
      <c r="O590" s="67">
        <f>$L$590-EFEITO!$O$590*EFEITO!$AA$590</f>
        <v>110.8379179446365</v>
      </c>
      <c r="P590" s="18"/>
      <c r="Q590" s="18"/>
      <c r="R590" s="18"/>
      <c r="S590" s="18"/>
      <c r="T590" s="18"/>
      <c r="U590" s="18"/>
      <c r="V590" s="18"/>
      <c r="W590" s="18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8" t="s">
        <v>21</v>
      </c>
      <c r="B591" s="58" t="s">
        <v>39</v>
      </c>
      <c r="C591" s="58" t="s">
        <v>41</v>
      </c>
      <c r="D591" s="58" t="s">
        <v>44</v>
      </c>
      <c r="E591" s="58" t="s">
        <v>25</v>
      </c>
      <c r="F591" s="58" t="s">
        <v>25</v>
      </c>
      <c r="G591" s="58" t="s">
        <v>25</v>
      </c>
      <c r="H591" s="58" t="s">
        <v>34</v>
      </c>
      <c r="I591" s="66">
        <v>44652</v>
      </c>
      <c r="J591" s="67">
        <f>EFEITO!$J$591*EFEITO!$Y$488</f>
        <v>0</v>
      </c>
      <c r="K591" s="67">
        <f ca="1">EFEITO!$L$591*EFEITO!$Z$488</f>
        <v>15250.018216904085</v>
      </c>
      <c r="L591" s="67">
        <f>EFEITO!$N$591*EFEITO!$AA$488</f>
        <v>5541.8958972318223</v>
      </c>
      <c r="M591" s="67">
        <f>$J$591-EFEITO!$K$591*EFEITO!$Y$591</f>
        <v>0</v>
      </c>
      <c r="N591" s="67">
        <f ca="1">$K$591-EFEITO!$M$591*EFEITO!$Z$591</f>
        <v>305.00036433808054</v>
      </c>
      <c r="O591" s="67">
        <f>$L$591-EFEITO!$O$591*EFEITO!$AA$591</f>
        <v>110.8379179446365</v>
      </c>
      <c r="P591" s="18"/>
      <c r="Q591" s="18"/>
      <c r="R591" s="18"/>
      <c r="S591" s="18"/>
      <c r="T591" s="18"/>
      <c r="U591" s="18"/>
      <c r="V591" s="18"/>
      <c r="W591" s="18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8" t="s">
        <v>21</v>
      </c>
      <c r="B592" s="58" t="s">
        <v>39</v>
      </c>
      <c r="C592" s="58" t="s">
        <v>41</v>
      </c>
      <c r="D592" s="58" t="s">
        <v>44</v>
      </c>
      <c r="E592" s="58" t="s">
        <v>25</v>
      </c>
      <c r="F592" s="58" t="s">
        <v>25</v>
      </c>
      <c r="G592" s="58" t="s">
        <v>25</v>
      </c>
      <c r="H592" s="58" t="s">
        <v>34</v>
      </c>
      <c r="I592" s="66">
        <v>44682</v>
      </c>
      <c r="J592" s="67">
        <f>EFEITO!$J$592*EFEITO!$Y$488</f>
        <v>0</v>
      </c>
      <c r="K592" s="67">
        <f ca="1">EFEITO!$L$592*EFEITO!$Z$488</f>
        <v>9730.4945307976504</v>
      </c>
      <c r="L592" s="67">
        <f>EFEITO!$N$592*EFEITO!$AA$488</f>
        <v>3536.0867738826614</v>
      </c>
      <c r="M592" s="67">
        <f>$J$592-EFEITO!$K$592*EFEITO!$Y$592</f>
        <v>0</v>
      </c>
      <c r="N592" s="67">
        <f ca="1">$K$592-EFEITO!$M$592*EFEITO!$Z$592</f>
        <v>194.60989061595137</v>
      </c>
      <c r="O592" s="67">
        <f>$L$592-EFEITO!$O$592*EFEITO!$AA$592</f>
        <v>70.721735477653056</v>
      </c>
      <c r="P592" s="18"/>
      <c r="Q592" s="18"/>
      <c r="R592" s="18"/>
      <c r="S592" s="18"/>
      <c r="T592" s="18"/>
      <c r="U592" s="18"/>
      <c r="V592" s="18"/>
      <c r="W592" s="18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8" t="s">
        <v>28</v>
      </c>
      <c r="B593" s="58" t="s">
        <v>39</v>
      </c>
      <c r="C593" s="58" t="s">
        <v>41</v>
      </c>
      <c r="D593" s="58" t="s">
        <v>44</v>
      </c>
      <c r="E593" s="58" t="s">
        <v>25</v>
      </c>
      <c r="F593" s="58" t="s">
        <v>25</v>
      </c>
      <c r="G593" s="58" t="s">
        <v>25</v>
      </c>
      <c r="H593" s="58" t="s">
        <v>34</v>
      </c>
      <c r="I593" s="66">
        <v>44682</v>
      </c>
      <c r="J593" s="67">
        <f>EFEITO!$J$593*EFEITO!$Y$488</f>
        <v>0</v>
      </c>
      <c r="K593" s="67">
        <f ca="1">EFEITO!$L$593*EFEITO!$Z$488</f>
        <v>34076.150020963469</v>
      </c>
      <c r="L593" s="67">
        <f>EFEITO!$N$593*EFEITO!$AA$488</f>
        <v>12383.360682500963</v>
      </c>
      <c r="M593" s="67">
        <f>$J$593-EFEITO!$K$593*EFEITO!$Y$593</f>
        <v>0</v>
      </c>
      <c r="N593" s="67">
        <f ca="1">$K$593-EFEITO!$M$593*EFEITO!$Z$593</f>
        <v>681.52300041927083</v>
      </c>
      <c r="O593" s="67">
        <f>$L$593-EFEITO!$O$593*EFEITO!$AA$593</f>
        <v>247.66721365001831</v>
      </c>
      <c r="P593" s="18"/>
      <c r="Q593" s="18"/>
      <c r="R593" s="18"/>
      <c r="S593" s="18"/>
      <c r="T593" s="18"/>
      <c r="U593" s="18"/>
      <c r="V593" s="18"/>
      <c r="W593" s="18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8" t="s">
        <v>21</v>
      </c>
      <c r="B594" s="58" t="s">
        <v>39</v>
      </c>
      <c r="C594" s="58" t="s">
        <v>41</v>
      </c>
      <c r="D594" s="58" t="s">
        <v>44</v>
      </c>
      <c r="E594" s="58" t="s">
        <v>25</v>
      </c>
      <c r="F594" s="58" t="s">
        <v>25</v>
      </c>
      <c r="G594" s="58" t="s">
        <v>25</v>
      </c>
      <c r="H594" s="58" t="s">
        <v>34</v>
      </c>
      <c r="I594" s="66">
        <v>44713</v>
      </c>
      <c r="J594" s="67">
        <f>EFEITO!$J$594*EFEITO!$Y$488</f>
        <v>0</v>
      </c>
      <c r="K594" s="67">
        <f ca="1">EFEITO!$L$594*EFEITO!$Z$488</f>
        <v>8608.6644121871141</v>
      </c>
      <c r="L594" s="67">
        <f>EFEITO!$N$594*EFEITO!$AA$488</f>
        <v>3128.410819448231</v>
      </c>
      <c r="M594" s="67">
        <f>$J$594-EFEITO!$K$594*EFEITO!$Y$594</f>
        <v>0</v>
      </c>
      <c r="N594" s="67">
        <f ca="1">$K$594-EFEITO!$M$594*EFEITO!$Z$594</f>
        <v>172.17328824374272</v>
      </c>
      <c r="O594" s="67">
        <f>$L$594-EFEITO!$O$594*EFEITO!$AA$594</f>
        <v>62.568216388964629</v>
      </c>
      <c r="P594" s="18"/>
      <c r="Q594" s="18"/>
      <c r="R594" s="18"/>
      <c r="S594" s="18"/>
      <c r="T594" s="18"/>
      <c r="U594" s="18"/>
      <c r="V594" s="18"/>
      <c r="W594" s="18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58" t="s">
        <v>28</v>
      </c>
      <c r="B595" s="58" t="s">
        <v>39</v>
      </c>
      <c r="C595" s="58" t="s">
        <v>41</v>
      </c>
      <c r="D595" s="58" t="s">
        <v>44</v>
      </c>
      <c r="E595" s="58" t="s">
        <v>25</v>
      </c>
      <c r="F595" s="58" t="s">
        <v>25</v>
      </c>
      <c r="G595" s="58" t="s">
        <v>25</v>
      </c>
      <c r="H595" s="58" t="s">
        <v>34</v>
      </c>
      <c r="I595" s="66">
        <v>44713</v>
      </c>
      <c r="J595" s="67">
        <f>EFEITO!$J$595*EFEITO!$Y$488</f>
        <v>0</v>
      </c>
      <c r="K595" s="67">
        <f ca="1">EFEITO!$L$595*EFEITO!$Z$488</f>
        <v>5186.4103486228805</v>
      </c>
      <c r="L595" s="67">
        <f>EFEITO!$N$595*EFEITO!$AA$488</f>
        <v>1884.7548785570464</v>
      </c>
      <c r="M595" s="67">
        <f>$J$595-EFEITO!$K$595*EFEITO!$Y$595</f>
        <v>0</v>
      </c>
      <c r="N595" s="67">
        <f ca="1">$K$595-EFEITO!$M$595*EFEITO!$Z$595</f>
        <v>103.72820697245697</v>
      </c>
      <c r="O595" s="67">
        <f>$L$595-EFEITO!$O$595*EFEITO!$AA$595</f>
        <v>37.695097571140877</v>
      </c>
      <c r="P595" s="18"/>
      <c r="Q595" s="18"/>
      <c r="R595" s="18"/>
      <c r="S595" s="18"/>
      <c r="T595" s="18"/>
      <c r="U595" s="18"/>
      <c r="V595" s="18"/>
      <c r="W595" s="18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58" t="s">
        <v>21</v>
      </c>
      <c r="B596" s="58" t="s">
        <v>39</v>
      </c>
      <c r="C596" s="58" t="s">
        <v>41</v>
      </c>
      <c r="D596" s="58" t="s">
        <v>44</v>
      </c>
      <c r="E596" s="58" t="s">
        <v>25</v>
      </c>
      <c r="F596" s="58" t="s">
        <v>25</v>
      </c>
      <c r="G596" s="58" t="s">
        <v>25</v>
      </c>
      <c r="H596" s="58" t="s">
        <v>34</v>
      </c>
      <c r="I596" s="66">
        <v>44743</v>
      </c>
      <c r="J596" s="67">
        <f>EFEITO!$J$596*EFEITO!$Y$488</f>
        <v>0</v>
      </c>
      <c r="K596" s="67">
        <f ca="1">EFEITO!$L$596*EFEITO!$Z$488</f>
        <v>14019.142028175615</v>
      </c>
      <c r="L596" s="67">
        <f>EFEITO!$N$596*EFEITO!$AA$488</f>
        <v>5094.592320062754</v>
      </c>
      <c r="M596" s="67">
        <f>$J$596-EFEITO!$K$596*EFEITO!$Y$596</f>
        <v>0</v>
      </c>
      <c r="N596" s="67">
        <f ca="1">$K$596-EFEITO!$M$596*EFEITO!$Z$596</f>
        <v>280.38284056351222</v>
      </c>
      <c r="O596" s="67">
        <f>$L$596-EFEITO!$O$596*EFEITO!$AA$596</f>
        <v>101.89184640125495</v>
      </c>
      <c r="P596" s="18"/>
      <c r="Q596" s="18"/>
      <c r="R596" s="18"/>
      <c r="S596" s="18"/>
      <c r="T596" s="18"/>
      <c r="U596" s="18"/>
      <c r="V596" s="18"/>
      <c r="W596" s="18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58" t="s">
        <v>28</v>
      </c>
      <c r="B597" s="58" t="s">
        <v>39</v>
      </c>
      <c r="C597" s="58" t="s">
        <v>41</v>
      </c>
      <c r="D597" s="58" t="s">
        <v>44</v>
      </c>
      <c r="E597" s="58" t="s">
        <v>25</v>
      </c>
      <c r="F597" s="58" t="s">
        <v>25</v>
      </c>
      <c r="G597" s="58" t="s">
        <v>25</v>
      </c>
      <c r="H597" s="58" t="s">
        <v>34</v>
      </c>
      <c r="I597" s="66">
        <v>44743</v>
      </c>
      <c r="J597" s="67">
        <f>EFEITO!$J$597*EFEITO!$Y$488</f>
        <v>0</v>
      </c>
      <c r="K597" s="67">
        <f ca="1">EFEITO!$L$597*EFEITO!$Z$488</f>
        <v>5707.7401906935565</v>
      </c>
      <c r="L597" s="67">
        <f>EFEITO!$N$597*EFEITO!$AA$488</f>
        <v>2074.2074858774408</v>
      </c>
      <c r="M597" s="67">
        <f>$J$597-EFEITO!$K$597*EFEITO!$Y$597</f>
        <v>0</v>
      </c>
      <c r="N597" s="67">
        <f ca="1">$K$597-EFEITO!$M$597*EFEITO!$Z$597</f>
        <v>114.15480381387079</v>
      </c>
      <c r="O597" s="67">
        <f>$L$597-EFEITO!$O$597*EFEITO!$AA$597</f>
        <v>41.484149717548689</v>
      </c>
      <c r="P597" s="18"/>
      <c r="Q597" s="18"/>
      <c r="R597" s="18"/>
      <c r="S597" s="18"/>
      <c r="T597" s="18"/>
      <c r="U597" s="18"/>
      <c r="V597" s="18"/>
      <c r="W597" s="18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58" t="s">
        <v>21</v>
      </c>
      <c r="B598" s="58" t="s">
        <v>39</v>
      </c>
      <c r="C598" s="58" t="s">
        <v>41</v>
      </c>
      <c r="D598" s="58" t="s">
        <v>44</v>
      </c>
      <c r="E598" s="58" t="s">
        <v>25</v>
      </c>
      <c r="F598" s="58" t="s">
        <v>25</v>
      </c>
      <c r="G598" s="58" t="s">
        <v>25</v>
      </c>
      <c r="H598" s="58" t="s">
        <v>34</v>
      </c>
      <c r="I598" s="66">
        <v>44774</v>
      </c>
      <c r="J598" s="67">
        <f>EFEITO!$J$598*EFEITO!$Y$488</f>
        <v>0</v>
      </c>
      <c r="K598" s="67">
        <f ca="1">EFEITO!$L$598*EFEITO!$Z$488</f>
        <v>10900.125666446185</v>
      </c>
      <c r="L598" s="67">
        <f>EFEITO!$N$598*EFEITO!$AA$488</f>
        <v>3961.1337410226865</v>
      </c>
      <c r="M598" s="67">
        <f>$J$598-EFEITO!$K$598*EFEITO!$Y$598</f>
        <v>0</v>
      </c>
      <c r="N598" s="67">
        <f ca="1">$K$598-EFEITO!$M$598*EFEITO!$Z$598</f>
        <v>218.00251332892185</v>
      </c>
      <c r="O598" s="67">
        <f>$L$598-EFEITO!$O$598*EFEITO!$AA$598</f>
        <v>79.222674820453904</v>
      </c>
      <c r="P598" s="18"/>
      <c r="Q598" s="18"/>
      <c r="R598" s="18"/>
      <c r="S598" s="18"/>
      <c r="T598" s="18"/>
      <c r="U598" s="18"/>
      <c r="V598" s="18"/>
      <c r="W598" s="18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58" t="s">
        <v>28</v>
      </c>
      <c r="B599" s="58" t="s">
        <v>39</v>
      </c>
      <c r="C599" s="58" t="s">
        <v>41</v>
      </c>
      <c r="D599" s="58" t="s">
        <v>44</v>
      </c>
      <c r="E599" s="58" t="s">
        <v>25</v>
      </c>
      <c r="F599" s="58" t="s">
        <v>25</v>
      </c>
      <c r="G599" s="58" t="s">
        <v>25</v>
      </c>
      <c r="H599" s="58" t="s">
        <v>34</v>
      </c>
      <c r="I599" s="66">
        <v>44774</v>
      </c>
      <c r="J599" s="67">
        <f>EFEITO!$J$599*EFEITO!$Y$488</f>
        <v>0</v>
      </c>
      <c r="K599" s="67">
        <f ca="1">EFEITO!$L$599*EFEITO!$Z$488</f>
        <v>6657.785404323784</v>
      </c>
      <c r="L599" s="67">
        <f>EFEITO!$N$599*EFEITO!$AA$488</f>
        <v>2419.4563634011392</v>
      </c>
      <c r="M599" s="67">
        <f>$J$599-EFEITO!$K$599*EFEITO!$Y$599</f>
        <v>0</v>
      </c>
      <c r="N599" s="67">
        <f ca="1">$K$599-EFEITO!$M$599*EFEITO!$Z$599</f>
        <v>133.15570808647499</v>
      </c>
      <c r="O599" s="67">
        <f>$L$599-EFEITO!$O$599*EFEITO!$AA$599</f>
        <v>48.389127268022548</v>
      </c>
      <c r="P599" s="18"/>
      <c r="Q599" s="18"/>
      <c r="R599" s="18"/>
      <c r="S599" s="18"/>
      <c r="T599" s="18"/>
      <c r="U599" s="18"/>
      <c r="V599" s="18"/>
      <c r="W599" s="18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58" t="s">
        <v>21</v>
      </c>
      <c r="B600" s="58" t="s">
        <v>39</v>
      </c>
      <c r="C600" s="58" t="s">
        <v>41</v>
      </c>
      <c r="D600" s="58" t="s">
        <v>44</v>
      </c>
      <c r="E600" s="58" t="s">
        <v>25</v>
      </c>
      <c r="F600" s="58" t="s">
        <v>25</v>
      </c>
      <c r="G600" s="58" t="s">
        <v>25</v>
      </c>
      <c r="H600" s="58" t="s">
        <v>34</v>
      </c>
      <c r="I600" s="66">
        <v>44805</v>
      </c>
      <c r="J600" s="67">
        <f>EFEITO!$J$600*EFEITO!$Y$488</f>
        <v>0</v>
      </c>
      <c r="K600" s="67">
        <f ca="1">EFEITO!$L$600*EFEITO!$Z$488</f>
        <v>10377.302042593074</v>
      </c>
      <c r="L600" s="67">
        <f>EFEITO!$N$600*EFEITO!$AA$488</f>
        <v>3771.1382895552424</v>
      </c>
      <c r="M600" s="67">
        <f>$J$600-EFEITO!$K$600*EFEITO!$Y$600</f>
        <v>0</v>
      </c>
      <c r="N600" s="67">
        <f ca="1">$K$600-EFEITO!$M$600*EFEITO!$Z$600</f>
        <v>207.54604085186111</v>
      </c>
      <c r="O600" s="67">
        <f>$L$600-EFEITO!$O$600*EFEITO!$AA$600</f>
        <v>75.422765791104666</v>
      </c>
      <c r="P600" s="18"/>
      <c r="Q600" s="18"/>
      <c r="R600" s="18"/>
      <c r="S600" s="18"/>
      <c r="T600" s="18"/>
      <c r="U600" s="18"/>
      <c r="V600" s="18"/>
      <c r="W600" s="18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58" t="s">
        <v>28</v>
      </c>
      <c r="B601" s="58" t="s">
        <v>39</v>
      </c>
      <c r="C601" s="58" t="s">
        <v>41</v>
      </c>
      <c r="D601" s="58" t="s">
        <v>44</v>
      </c>
      <c r="E601" s="58" t="s">
        <v>25</v>
      </c>
      <c r="F601" s="58" t="s">
        <v>25</v>
      </c>
      <c r="G601" s="58" t="s">
        <v>25</v>
      </c>
      <c r="H601" s="58" t="s">
        <v>34</v>
      </c>
      <c r="I601" s="66">
        <v>44805</v>
      </c>
      <c r="J601" s="67">
        <f>EFEITO!$J$601*EFEITO!$Y$488</f>
        <v>0</v>
      </c>
      <c r="K601" s="67">
        <f ca="1">EFEITO!$L$601*EFEITO!$Z$488</f>
        <v>5016.11922542501</v>
      </c>
      <c r="L601" s="67">
        <f>EFEITO!$N$601*EFEITO!$AA$488</f>
        <v>1822.8706457933647</v>
      </c>
      <c r="M601" s="67">
        <f>$J$601-EFEITO!$K$601*EFEITO!$Y$601</f>
        <v>0</v>
      </c>
      <c r="N601" s="67">
        <f ca="1">$K$601-EFEITO!$M$601*EFEITO!$Z$601</f>
        <v>100.32238450850036</v>
      </c>
      <c r="O601" s="67">
        <f>$L$601-EFEITO!$O$601*EFEITO!$AA$601</f>
        <v>36.45741291586728</v>
      </c>
      <c r="P601" s="18"/>
      <c r="Q601" s="18"/>
      <c r="R601" s="18"/>
      <c r="S601" s="18"/>
      <c r="T601" s="18"/>
      <c r="U601" s="18"/>
      <c r="V601" s="18"/>
      <c r="W601" s="18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58" t="s">
        <v>55</v>
      </c>
      <c r="B602" s="58" t="s">
        <v>39</v>
      </c>
      <c r="C602" s="58" t="s">
        <v>41</v>
      </c>
      <c r="D602" s="58" t="s">
        <v>44</v>
      </c>
      <c r="E602" s="58" t="s">
        <v>25</v>
      </c>
      <c r="F602" s="58" t="s">
        <v>25</v>
      </c>
      <c r="G602" s="58" t="s">
        <v>25</v>
      </c>
      <c r="H602" s="58" t="s">
        <v>34</v>
      </c>
      <c r="I602" s="66">
        <v>44835</v>
      </c>
      <c r="J602" s="67">
        <f>EFEITO!$J$602*EFEITO!$Y$488</f>
        <v>0</v>
      </c>
      <c r="K602" s="67">
        <f ca="1">EFEITO!$L$602*EFEITO!$Z$488</f>
        <v>10377.302042593074</v>
      </c>
      <c r="L602" s="67">
        <f>EFEITO!$N$602*EFEITO!$AA$488</f>
        <v>3771.1382895552424</v>
      </c>
      <c r="M602" s="67">
        <f>$J$602-EFEITO!$K$602*EFEITO!$Y$602</f>
        <v>0</v>
      </c>
      <c r="N602" s="67">
        <f ca="1">$K$602-EFEITO!$M$602*EFEITO!$Z$602</f>
        <v>207.54604085186111</v>
      </c>
      <c r="O602" s="67">
        <f>$L$602-EFEITO!$O$602*EFEITO!$AA$602</f>
        <v>75.422765791104666</v>
      </c>
      <c r="P602" s="18"/>
      <c r="Q602" s="18"/>
      <c r="R602" s="18"/>
      <c r="S602" s="18"/>
      <c r="T602" s="18"/>
      <c r="U602" s="18"/>
      <c r="V602" s="18"/>
      <c r="W602" s="18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58" t="s">
        <v>55</v>
      </c>
      <c r="B603" s="58" t="s">
        <v>39</v>
      </c>
      <c r="C603" s="58" t="s">
        <v>41</v>
      </c>
      <c r="D603" s="58" t="s">
        <v>44</v>
      </c>
      <c r="E603" s="58" t="s">
        <v>25</v>
      </c>
      <c r="F603" s="58" t="s">
        <v>25</v>
      </c>
      <c r="G603" s="58" t="s">
        <v>25</v>
      </c>
      <c r="H603" s="58" t="s">
        <v>34</v>
      </c>
      <c r="I603" s="66">
        <v>44835</v>
      </c>
      <c r="J603" s="67">
        <f>EFEITO!$J$603*EFEITO!$Y$488</f>
        <v>0</v>
      </c>
      <c r="K603" s="67">
        <f ca="1">EFEITO!$L$603*EFEITO!$Z$488</f>
        <v>5016.11922542501</v>
      </c>
      <c r="L603" s="67">
        <f>EFEITO!$N$603*EFEITO!$AA$488</f>
        <v>1822.8706457933647</v>
      </c>
      <c r="M603" s="67">
        <f>$J$603-EFEITO!$K$603*EFEITO!$Y$603</f>
        <v>0</v>
      </c>
      <c r="N603" s="67">
        <f ca="1">$K$603-EFEITO!$M$603*EFEITO!$Z$603</f>
        <v>100.32238450850036</v>
      </c>
      <c r="O603" s="67">
        <f>$L$603-EFEITO!$O$603*EFEITO!$AA$603</f>
        <v>36.45741291586728</v>
      </c>
      <c r="P603" s="18"/>
      <c r="Q603" s="18"/>
      <c r="R603" s="18"/>
      <c r="S603" s="18"/>
      <c r="T603" s="18"/>
      <c r="U603" s="18"/>
      <c r="V603" s="18"/>
      <c r="W603" s="18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58" t="s">
        <v>21</v>
      </c>
      <c r="B604" s="58" t="s">
        <v>39</v>
      </c>
      <c r="C604" s="58" t="s">
        <v>41</v>
      </c>
      <c r="D604" s="58" t="s">
        <v>49</v>
      </c>
      <c r="E604" s="58" t="s">
        <v>50</v>
      </c>
      <c r="F604" s="58" t="s">
        <v>25</v>
      </c>
      <c r="G604" s="58" t="s">
        <v>25</v>
      </c>
      <c r="H604" s="58" t="s">
        <v>35</v>
      </c>
      <c r="I604" s="66">
        <v>44501</v>
      </c>
      <c r="J604" s="67">
        <f>EFEITO!$J$604*EFEITO!$Y$422</f>
        <v>0</v>
      </c>
      <c r="K604" s="67">
        <f ca="1">EFEITO!$L$604*EFEITO!$Z$422</f>
        <v>80544.032851437863</v>
      </c>
      <c r="L604" s="67">
        <f>EFEITO!$N$604*EFEITO!$AA$422</f>
        <v>233581.9295504647</v>
      </c>
      <c r="M604" s="67">
        <f>$J$604-EFEITO!$K$604*EFEITO!$Y$604</f>
        <v>0</v>
      </c>
      <c r="N604" s="67">
        <f ca="1">$K$604-EFEITO!$M$604*EFEITO!$Z$604</f>
        <v>2416.3209855431342</v>
      </c>
      <c r="O604" s="67">
        <f>$L$604-EFEITO!$O$604*EFEITO!$AA$604</f>
        <v>7007.4578865139338</v>
      </c>
      <c r="P604" s="18"/>
      <c r="Q604" s="18"/>
      <c r="R604" s="18"/>
      <c r="S604" s="18"/>
      <c r="T604" s="18"/>
      <c r="U604" s="18"/>
      <c r="V604" s="18"/>
      <c r="W604" s="18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58" t="s">
        <v>21</v>
      </c>
      <c r="B605" s="58" t="s">
        <v>39</v>
      </c>
      <c r="C605" s="58" t="s">
        <v>41</v>
      </c>
      <c r="D605" s="58" t="s">
        <v>49</v>
      </c>
      <c r="E605" s="58" t="s">
        <v>50</v>
      </c>
      <c r="F605" s="58" t="s">
        <v>25</v>
      </c>
      <c r="G605" s="58" t="s">
        <v>25</v>
      </c>
      <c r="H605" s="58" t="s">
        <v>35</v>
      </c>
      <c r="I605" s="66">
        <v>44531</v>
      </c>
      <c r="J605" s="67">
        <f>EFEITO!$J$605*EFEITO!$Y$422</f>
        <v>0</v>
      </c>
      <c r="K605" s="67">
        <f ca="1">EFEITO!$L$605*EFEITO!$Z$422</f>
        <v>78023.693844905152</v>
      </c>
      <c r="L605" s="67">
        <f>EFEITO!$N$605*EFEITO!$AA$422</f>
        <v>226272.81393474838</v>
      </c>
      <c r="M605" s="67">
        <f>$J$605-EFEITO!$K$605*EFEITO!$Y$605</f>
        <v>0</v>
      </c>
      <c r="N605" s="67">
        <f ca="1">$K$605-EFEITO!$M$605*EFEITO!$Z$605</f>
        <v>2340.7108153471636</v>
      </c>
      <c r="O605" s="67">
        <f>$L$605-EFEITO!$O$605*EFEITO!$AA$605</f>
        <v>6788.1844180424232</v>
      </c>
      <c r="P605" s="18"/>
      <c r="Q605" s="18"/>
      <c r="R605" s="18"/>
      <c r="S605" s="18"/>
      <c r="T605" s="18"/>
      <c r="U605" s="18"/>
      <c r="V605" s="18"/>
      <c r="W605" s="18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58" t="s">
        <v>21</v>
      </c>
      <c r="B606" s="58" t="s">
        <v>39</v>
      </c>
      <c r="C606" s="58" t="s">
        <v>41</v>
      </c>
      <c r="D606" s="58" t="s">
        <v>49</v>
      </c>
      <c r="E606" s="58" t="s">
        <v>50</v>
      </c>
      <c r="F606" s="58" t="s">
        <v>25</v>
      </c>
      <c r="G606" s="58" t="s">
        <v>25</v>
      </c>
      <c r="H606" s="58" t="s">
        <v>35</v>
      </c>
      <c r="I606" s="66">
        <v>44562</v>
      </c>
      <c r="J606" s="67">
        <f>EFEITO!$J$606*EFEITO!$Y$422</f>
        <v>0</v>
      </c>
      <c r="K606" s="67">
        <f ca="1">EFEITO!$L$606*EFEITO!$Z$422</f>
        <v>77770.773464337297</v>
      </c>
      <c r="L606" s="67">
        <f>EFEITO!$N$606*EFEITO!$AA$422</f>
        <v>225539.33153482131</v>
      </c>
      <c r="M606" s="67">
        <f>$J$606-EFEITO!$K$606*EFEITO!$Y$606</f>
        <v>0</v>
      </c>
      <c r="N606" s="67">
        <f ca="1">$K$606-EFEITO!$M$606*EFEITO!$Z$606</f>
        <v>2333.1232039301249</v>
      </c>
      <c r="O606" s="67">
        <f>$L$606-EFEITO!$O$606*EFEITO!$AA$606</f>
        <v>6766.1799460446346</v>
      </c>
      <c r="P606" s="18"/>
      <c r="Q606" s="18"/>
      <c r="R606" s="18"/>
      <c r="S606" s="18"/>
      <c r="T606" s="18"/>
      <c r="U606" s="18"/>
      <c r="V606" s="18"/>
      <c r="W606" s="18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58" t="s">
        <v>21</v>
      </c>
      <c r="B607" s="58" t="s">
        <v>39</v>
      </c>
      <c r="C607" s="58" t="s">
        <v>41</v>
      </c>
      <c r="D607" s="58" t="s">
        <v>49</v>
      </c>
      <c r="E607" s="58" t="s">
        <v>50</v>
      </c>
      <c r="F607" s="58" t="s">
        <v>25</v>
      </c>
      <c r="G607" s="58" t="s">
        <v>25</v>
      </c>
      <c r="H607" s="58" t="s">
        <v>35</v>
      </c>
      <c r="I607" s="66">
        <v>44593</v>
      </c>
      <c r="J607" s="67">
        <f>EFEITO!$J$607*EFEITO!$Y$422</f>
        <v>0</v>
      </c>
      <c r="K607" s="67">
        <f ca="1">EFEITO!$L$607*EFEITO!$Z$422</f>
        <v>72391.044244435354</v>
      </c>
      <c r="L607" s="67">
        <f>EFEITO!$N$607*EFEITO!$AA$422</f>
        <v>209937.83397929781</v>
      </c>
      <c r="M607" s="67">
        <f>$J$607-EFEITO!$K$607*EFEITO!$Y$607</f>
        <v>0</v>
      </c>
      <c r="N607" s="67">
        <f ca="1">$K$607-EFEITO!$M$607*EFEITO!$Z$607</f>
        <v>2171.7313273330656</v>
      </c>
      <c r="O607" s="67">
        <f>$L$607-EFEITO!$O$607*EFEITO!$AA$607</f>
        <v>6298.1350193789112</v>
      </c>
      <c r="P607" s="18"/>
      <c r="Q607" s="18"/>
      <c r="R607" s="18"/>
      <c r="S607" s="18"/>
      <c r="T607" s="18"/>
      <c r="U607" s="18"/>
      <c r="V607" s="18"/>
      <c r="W607" s="18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58" t="s">
        <v>21</v>
      </c>
      <c r="B608" s="58" t="s">
        <v>39</v>
      </c>
      <c r="C608" s="58" t="s">
        <v>41</v>
      </c>
      <c r="D608" s="58" t="s">
        <v>49</v>
      </c>
      <c r="E608" s="58" t="s">
        <v>50</v>
      </c>
      <c r="F608" s="58" t="s">
        <v>25</v>
      </c>
      <c r="G608" s="58" t="s">
        <v>25</v>
      </c>
      <c r="H608" s="58" t="s">
        <v>35</v>
      </c>
      <c r="I608" s="66">
        <v>44621</v>
      </c>
      <c r="J608" s="67">
        <f>EFEITO!$J$608*EFEITO!$Y$422</f>
        <v>0</v>
      </c>
      <c r="K608" s="67">
        <f ca="1">EFEITO!$L$608*EFEITO!$Z$422</f>
        <v>86010.658991361837</v>
      </c>
      <c r="L608" s="67">
        <f>EFEITO!$N$608*EFEITO!$AA$422</f>
        <v>249435.43274231107</v>
      </c>
      <c r="M608" s="67">
        <f>$J$608-EFEITO!$K$608*EFEITO!$Y$608</f>
        <v>0</v>
      </c>
      <c r="N608" s="67">
        <f ca="1">$K$608-EFEITO!$M$608*EFEITO!$Z$608</f>
        <v>2580.3197697408614</v>
      </c>
      <c r="O608" s="67">
        <f>$L$608-EFEITO!$O$608*EFEITO!$AA$608</f>
        <v>7483.06298226933</v>
      </c>
      <c r="P608" s="18"/>
      <c r="Q608" s="18"/>
      <c r="R608" s="18"/>
      <c r="S608" s="18"/>
      <c r="T608" s="18"/>
      <c r="U608" s="18"/>
      <c r="V608" s="18"/>
      <c r="W608" s="18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58" t="s">
        <v>21</v>
      </c>
      <c r="B609" s="58" t="s">
        <v>39</v>
      </c>
      <c r="C609" s="58" t="s">
        <v>41</v>
      </c>
      <c r="D609" s="58" t="s">
        <v>49</v>
      </c>
      <c r="E609" s="58" t="s">
        <v>50</v>
      </c>
      <c r="F609" s="58" t="s">
        <v>25</v>
      </c>
      <c r="G609" s="58" t="s">
        <v>25</v>
      </c>
      <c r="H609" s="58" t="s">
        <v>35</v>
      </c>
      <c r="I609" s="66">
        <v>44652</v>
      </c>
      <c r="J609" s="67">
        <f>EFEITO!$J$609*EFEITO!$Y$422</f>
        <v>0</v>
      </c>
      <c r="K609" s="67">
        <f ca="1">EFEITO!$L$609*EFEITO!$Z$422</f>
        <v>86010.658991361837</v>
      </c>
      <c r="L609" s="67">
        <f>EFEITO!$N$609*EFEITO!$AA$422</f>
        <v>249435.43274231107</v>
      </c>
      <c r="M609" s="67">
        <f>$J$609-EFEITO!$K$609*EFEITO!$Y$609</f>
        <v>0</v>
      </c>
      <c r="N609" s="67">
        <f ca="1">$K$609-EFEITO!$M$609*EFEITO!$Z$609</f>
        <v>2580.3197697408614</v>
      </c>
      <c r="O609" s="67">
        <f>$L$609-EFEITO!$O$609*EFEITO!$AA$609</f>
        <v>7483.06298226933</v>
      </c>
      <c r="P609" s="18"/>
      <c r="Q609" s="18"/>
      <c r="R609" s="18"/>
      <c r="S609" s="18"/>
      <c r="T609" s="18"/>
      <c r="U609" s="18"/>
      <c r="V609" s="18"/>
      <c r="W609" s="18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58" t="s">
        <v>21</v>
      </c>
      <c r="B610" s="58" t="s">
        <v>39</v>
      </c>
      <c r="C610" s="58" t="s">
        <v>41</v>
      </c>
      <c r="D610" s="58" t="s">
        <v>49</v>
      </c>
      <c r="E610" s="58" t="s">
        <v>50</v>
      </c>
      <c r="F610" s="58" t="s">
        <v>25</v>
      </c>
      <c r="G610" s="58" t="s">
        <v>25</v>
      </c>
      <c r="H610" s="58" t="s">
        <v>35</v>
      </c>
      <c r="I610" s="66">
        <v>44682</v>
      </c>
      <c r="J610" s="67">
        <f>EFEITO!$J$610*EFEITO!$Y$422</f>
        <v>0</v>
      </c>
      <c r="K610" s="67">
        <f ca="1">EFEITO!$L$610*EFEITO!$Z$422</f>
        <v>87074.982098684355</v>
      </c>
      <c r="L610" s="67">
        <f>EFEITO!$N$610*EFEITO!$AA$422</f>
        <v>252522.02570608893</v>
      </c>
      <c r="M610" s="67">
        <f>$J$610-EFEITO!$K$610*EFEITO!$Y$610</f>
        <v>0</v>
      </c>
      <c r="N610" s="67">
        <f ca="1">$K$610-EFEITO!$M$610*EFEITO!$Z$610</f>
        <v>2612.2494629605353</v>
      </c>
      <c r="O610" s="67">
        <f>$L$610-EFEITO!$O$610*EFEITO!$AA$610</f>
        <v>7575.6607711826509</v>
      </c>
      <c r="P610" s="18"/>
      <c r="Q610" s="18"/>
      <c r="R610" s="18"/>
      <c r="S610" s="18"/>
      <c r="T610" s="18"/>
      <c r="U610" s="18"/>
      <c r="V610" s="18"/>
      <c r="W610" s="18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58" t="s">
        <v>21</v>
      </c>
      <c r="B611" s="58" t="s">
        <v>39</v>
      </c>
      <c r="C611" s="58" t="s">
        <v>41</v>
      </c>
      <c r="D611" s="58" t="s">
        <v>49</v>
      </c>
      <c r="E611" s="58" t="s">
        <v>50</v>
      </c>
      <c r="F611" s="58" t="s">
        <v>25</v>
      </c>
      <c r="G611" s="58" t="s">
        <v>25</v>
      </c>
      <c r="H611" s="58" t="s">
        <v>35</v>
      </c>
      <c r="I611" s="66">
        <v>44713</v>
      </c>
      <c r="J611" s="67">
        <f>EFEITO!$J$611*EFEITO!$Y$422</f>
        <v>0</v>
      </c>
      <c r="K611" s="67">
        <f ca="1">EFEITO!$L$611*EFEITO!$Z$422</f>
        <v>83862.860432883201</v>
      </c>
      <c r="L611" s="67">
        <f>EFEITO!$N$611*EFEITO!$AA$422</f>
        <v>243206.70401077985</v>
      </c>
      <c r="M611" s="67">
        <f>$J$611-EFEITO!$K$611*EFEITO!$Y$611</f>
        <v>0</v>
      </c>
      <c r="N611" s="67">
        <f ca="1">$K$611-EFEITO!$M$611*EFEITO!$Z$611</f>
        <v>2515.8858129864966</v>
      </c>
      <c r="O611" s="67">
        <f>$L$611-EFEITO!$O$611*EFEITO!$AA$611</f>
        <v>7296.2011203233851</v>
      </c>
      <c r="P611" s="18"/>
      <c r="Q611" s="18"/>
      <c r="R611" s="18"/>
      <c r="S611" s="18"/>
      <c r="T611" s="18"/>
      <c r="U611" s="18"/>
      <c r="V611" s="18"/>
      <c r="W611" s="18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58" t="s">
        <v>21</v>
      </c>
      <c r="B612" s="58" t="s">
        <v>39</v>
      </c>
      <c r="C612" s="58" t="s">
        <v>41</v>
      </c>
      <c r="D612" s="58" t="s">
        <v>49</v>
      </c>
      <c r="E612" s="58" t="s">
        <v>50</v>
      </c>
      <c r="F612" s="58" t="s">
        <v>25</v>
      </c>
      <c r="G612" s="58" t="s">
        <v>25</v>
      </c>
      <c r="H612" s="58" t="s">
        <v>35</v>
      </c>
      <c r="I612" s="66">
        <v>44743</v>
      </c>
      <c r="J612" s="67">
        <f>EFEITO!$J$612*EFEITO!$Y$422</f>
        <v>0</v>
      </c>
      <c r="K612" s="67">
        <f ca="1">EFEITO!$L$612*EFEITO!$Z$422</f>
        <v>85136.327134868276</v>
      </c>
      <c r="L612" s="67">
        <f>EFEITO!$N$612*EFEITO!$AA$422</f>
        <v>246899.82439396952</v>
      </c>
      <c r="M612" s="67">
        <f>$J$612-EFEITO!$K$612*EFEITO!$Y$612</f>
        <v>0</v>
      </c>
      <c r="N612" s="67">
        <f ca="1">$K$612-EFEITO!$M$612*EFEITO!$Z$612</f>
        <v>2554.0898140460486</v>
      </c>
      <c r="O612" s="67">
        <f>$L$612-EFEITO!$O$612*EFEITO!$AA$612</f>
        <v>7406.9947318190825</v>
      </c>
      <c r="P612" s="18"/>
      <c r="Q612" s="18"/>
      <c r="R612" s="18"/>
      <c r="S612" s="18"/>
      <c r="T612" s="18"/>
      <c r="U612" s="18"/>
      <c r="V612" s="18"/>
      <c r="W612" s="18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58" t="s">
        <v>21</v>
      </c>
      <c r="B613" s="58" t="s">
        <v>39</v>
      </c>
      <c r="C613" s="58" t="s">
        <v>41</v>
      </c>
      <c r="D613" s="58" t="s">
        <v>49</v>
      </c>
      <c r="E613" s="58" t="s">
        <v>50</v>
      </c>
      <c r="F613" s="58" t="s">
        <v>25</v>
      </c>
      <c r="G613" s="58" t="s">
        <v>25</v>
      </c>
      <c r="H613" s="58" t="s">
        <v>35</v>
      </c>
      <c r="I613" s="66">
        <v>44774</v>
      </c>
      <c r="J613" s="67">
        <f>EFEITO!$J$613*EFEITO!$Y$422</f>
        <v>0</v>
      </c>
      <c r="K613" s="67">
        <f ca="1">EFEITO!$L$613*EFEITO!$Z$422</f>
        <v>82284.160091173413</v>
      </c>
      <c r="L613" s="67">
        <f>EFEITO!$N$613*EFEITO!$AA$422</f>
        <v>238628.39002594733</v>
      </c>
      <c r="M613" s="67">
        <f>$J$613-EFEITO!$K$613*EFEITO!$Y$613</f>
        <v>0</v>
      </c>
      <c r="N613" s="67">
        <f ca="1">$K$613-EFEITO!$M$613*EFEITO!$Z$613</f>
        <v>2468.5248027352063</v>
      </c>
      <c r="O613" s="67">
        <f>$L$613-EFEITO!$O$613*EFEITO!$AA$613</f>
        <v>7158.8517007784103</v>
      </c>
      <c r="P613" s="18"/>
      <c r="Q613" s="18"/>
      <c r="R613" s="18"/>
      <c r="S613" s="18"/>
      <c r="T613" s="18"/>
      <c r="U613" s="18"/>
      <c r="V613" s="18"/>
      <c r="W613" s="18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58" t="s">
        <v>21</v>
      </c>
      <c r="B614" s="58" t="s">
        <v>39</v>
      </c>
      <c r="C614" s="58" t="s">
        <v>41</v>
      </c>
      <c r="D614" s="58" t="s">
        <v>49</v>
      </c>
      <c r="E614" s="58" t="s">
        <v>50</v>
      </c>
      <c r="F614" s="58" t="s">
        <v>25</v>
      </c>
      <c r="G614" s="58" t="s">
        <v>25</v>
      </c>
      <c r="H614" s="58" t="s">
        <v>35</v>
      </c>
      <c r="I614" s="66">
        <v>44805</v>
      </c>
      <c r="J614" s="67">
        <f>EFEITO!$J$614*EFEITO!$Y$422</f>
        <v>0</v>
      </c>
      <c r="K614" s="67">
        <f ca="1">EFEITO!$L$614*EFEITO!$Z$422</f>
        <v>81929.020915516696</v>
      </c>
      <c r="L614" s="67">
        <f>EFEITO!$N$614*EFEITO!$AA$422</f>
        <v>237598.46774651707</v>
      </c>
      <c r="M614" s="67">
        <f>$J$614-EFEITO!$K$614*EFEITO!$Y$614</f>
        <v>0</v>
      </c>
      <c r="N614" s="67">
        <f ca="1">$K$614-EFEITO!$M$614*EFEITO!$Z$614</f>
        <v>2457.8706274654978</v>
      </c>
      <c r="O614" s="67">
        <f>$L$614-EFEITO!$O$614*EFEITO!$AA$614</f>
        <v>7127.9540323955007</v>
      </c>
      <c r="P614" s="18"/>
      <c r="Q614" s="18"/>
      <c r="R614" s="18"/>
      <c r="S614" s="18"/>
      <c r="T614" s="18"/>
      <c r="U614" s="18"/>
      <c r="V614" s="18"/>
      <c r="W614" s="18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58" t="s">
        <v>55</v>
      </c>
      <c r="B615" s="58" t="s">
        <v>39</v>
      </c>
      <c r="C615" s="58" t="s">
        <v>41</v>
      </c>
      <c r="D615" s="58" t="s">
        <v>49</v>
      </c>
      <c r="E615" s="58" t="s">
        <v>50</v>
      </c>
      <c r="F615" s="58" t="s">
        <v>25</v>
      </c>
      <c r="G615" s="58" t="s">
        <v>25</v>
      </c>
      <c r="H615" s="58" t="s">
        <v>35</v>
      </c>
      <c r="I615" s="66">
        <v>44835</v>
      </c>
      <c r="J615" s="67">
        <f>EFEITO!$J$615*EFEITO!$Y$422</f>
        <v>0</v>
      </c>
      <c r="K615" s="67">
        <f ca="1">EFEITO!$L$615*EFEITO!$Z$422</f>
        <v>81929.020915516696</v>
      </c>
      <c r="L615" s="67">
        <f>EFEITO!$N$615*EFEITO!$AA$422</f>
        <v>237598.46774651707</v>
      </c>
      <c r="M615" s="67">
        <f>$J$615-EFEITO!$K$615*EFEITO!$Y$615</f>
        <v>0</v>
      </c>
      <c r="N615" s="67">
        <f ca="1">$K$615-EFEITO!$M$615*EFEITO!$Z$615</f>
        <v>2457.8706274654978</v>
      </c>
      <c r="O615" s="67">
        <f>$L$615-EFEITO!$O$615*EFEITO!$AA$615</f>
        <v>7127.9540323955007</v>
      </c>
      <c r="P615" s="18"/>
      <c r="Q615" s="18"/>
      <c r="R615" s="18"/>
      <c r="S615" s="18"/>
      <c r="T615" s="18"/>
      <c r="U615" s="18"/>
      <c r="V615" s="18"/>
      <c r="W615" s="18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58" t="s">
        <v>21</v>
      </c>
      <c r="B616" s="58" t="s">
        <v>39</v>
      </c>
      <c r="C616" s="58" t="s">
        <v>41</v>
      </c>
      <c r="D616" s="58" t="s">
        <v>49</v>
      </c>
      <c r="E616" s="58" t="s">
        <v>50</v>
      </c>
      <c r="F616" s="58" t="s">
        <v>25</v>
      </c>
      <c r="G616" s="58" t="s">
        <v>25</v>
      </c>
      <c r="H616" s="58" t="s">
        <v>25</v>
      </c>
      <c r="I616" s="66">
        <v>44501</v>
      </c>
      <c r="J616" s="67">
        <f ca="1">EFEITO!$J$616*EFEITO!$Y$457</f>
        <v>67346.647820836006</v>
      </c>
      <c r="K616" s="67">
        <f>EFEITO!$L$616*EFEITO!$Z$457</f>
        <v>0</v>
      </c>
      <c r="L616" s="67">
        <f>EFEITO!$N$616*EFEITO!$AA$457</f>
        <v>0</v>
      </c>
      <c r="M616" s="67">
        <f ca="1">$J$616-EFEITO!$K$616*EFEITO!$Y$616</f>
        <v>2020.3994346250765</v>
      </c>
      <c r="N616" s="67">
        <f>$K$616-EFEITO!$M$616*EFEITO!$Z$616</f>
        <v>0</v>
      </c>
      <c r="O616" s="67">
        <f>$L$616-EFEITO!$O$616*EFEITO!$AA$616</f>
        <v>0</v>
      </c>
      <c r="P616" s="18"/>
      <c r="Q616" s="18"/>
      <c r="R616" s="18"/>
      <c r="S616" s="18"/>
      <c r="T616" s="18"/>
      <c r="U616" s="18"/>
      <c r="V616" s="18"/>
      <c r="W616" s="18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58" t="s">
        <v>21</v>
      </c>
      <c r="B617" s="58" t="s">
        <v>39</v>
      </c>
      <c r="C617" s="58" t="s">
        <v>41</v>
      </c>
      <c r="D617" s="58" t="s">
        <v>49</v>
      </c>
      <c r="E617" s="58" t="s">
        <v>50</v>
      </c>
      <c r="F617" s="58" t="s">
        <v>25</v>
      </c>
      <c r="G617" s="58" t="s">
        <v>25</v>
      </c>
      <c r="H617" s="58" t="s">
        <v>25</v>
      </c>
      <c r="I617" s="66">
        <v>44531</v>
      </c>
      <c r="J617" s="67">
        <f ca="1">EFEITO!$J$617*EFEITO!$Y$457</f>
        <v>67251.525436908269</v>
      </c>
      <c r="K617" s="67">
        <f>EFEITO!$L$617*EFEITO!$Z$457</f>
        <v>0</v>
      </c>
      <c r="L617" s="67">
        <f>EFEITO!$N$617*EFEITO!$AA$457</f>
        <v>0</v>
      </c>
      <c r="M617" s="67">
        <f ca="1">$J$617-EFEITO!$K$617*EFEITO!$Y$617</f>
        <v>2017.5457631072422</v>
      </c>
      <c r="N617" s="67">
        <f>$K$617-EFEITO!$M$617*EFEITO!$Z$617</f>
        <v>0</v>
      </c>
      <c r="O617" s="67">
        <f>$L$617-EFEITO!$O$617*EFEITO!$AA$617</f>
        <v>0</v>
      </c>
      <c r="P617" s="18"/>
      <c r="Q617" s="18"/>
      <c r="R617" s="18"/>
      <c r="S617" s="18"/>
      <c r="T617" s="18"/>
      <c r="U617" s="18"/>
      <c r="V617" s="18"/>
      <c r="W617" s="18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58" t="s">
        <v>21</v>
      </c>
      <c r="B618" s="58" t="s">
        <v>39</v>
      </c>
      <c r="C618" s="58" t="s">
        <v>41</v>
      </c>
      <c r="D618" s="58" t="s">
        <v>49</v>
      </c>
      <c r="E618" s="58" t="s">
        <v>50</v>
      </c>
      <c r="F618" s="58" t="s">
        <v>25</v>
      </c>
      <c r="G618" s="58" t="s">
        <v>25</v>
      </c>
      <c r="H618" s="58" t="s">
        <v>25</v>
      </c>
      <c r="I618" s="66">
        <v>44562</v>
      </c>
      <c r="J618" s="67">
        <f ca="1">EFEITO!$J$618*EFEITO!$Y$457</f>
        <v>67251.525436908269</v>
      </c>
      <c r="K618" s="67">
        <f>EFEITO!$L$618*EFEITO!$Z$457</f>
        <v>0</v>
      </c>
      <c r="L618" s="67">
        <f>EFEITO!$N$618*EFEITO!$AA$457</f>
        <v>0</v>
      </c>
      <c r="M618" s="67">
        <f ca="1">$J$618-EFEITO!$K$618*EFEITO!$Y$618</f>
        <v>2017.5457631072422</v>
      </c>
      <c r="N618" s="67">
        <f>$K$618-EFEITO!$M$618*EFEITO!$Z$618</f>
        <v>0</v>
      </c>
      <c r="O618" s="67">
        <f>$L$618-EFEITO!$O$618*EFEITO!$AA$618</f>
        <v>0</v>
      </c>
      <c r="P618" s="18"/>
      <c r="Q618" s="18"/>
      <c r="R618" s="18"/>
      <c r="S618" s="18"/>
      <c r="T618" s="18"/>
      <c r="U618" s="18"/>
      <c r="V618" s="18"/>
      <c r="W618" s="18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58" t="s">
        <v>21</v>
      </c>
      <c r="B619" s="58" t="s">
        <v>39</v>
      </c>
      <c r="C619" s="58" t="s">
        <v>41</v>
      </c>
      <c r="D619" s="58" t="s">
        <v>49</v>
      </c>
      <c r="E619" s="58" t="s">
        <v>50</v>
      </c>
      <c r="F619" s="58" t="s">
        <v>25</v>
      </c>
      <c r="G619" s="58" t="s">
        <v>25</v>
      </c>
      <c r="H619" s="58" t="s">
        <v>25</v>
      </c>
      <c r="I619" s="66">
        <v>44593</v>
      </c>
      <c r="J619" s="67">
        <f ca="1">EFEITO!$J$619*EFEITO!$Y$457</f>
        <v>67441.770204763743</v>
      </c>
      <c r="K619" s="67">
        <f>EFEITO!$L$619*EFEITO!$Z$457</f>
        <v>0</v>
      </c>
      <c r="L619" s="67">
        <f>EFEITO!$N$619*EFEITO!$AA$457</f>
        <v>0</v>
      </c>
      <c r="M619" s="67">
        <f ca="1">$J$619-EFEITO!$K$619*EFEITO!$Y$619</f>
        <v>2023.2531061429181</v>
      </c>
      <c r="N619" s="67">
        <f>$K$619-EFEITO!$M$619*EFEITO!$Z$619</f>
        <v>0</v>
      </c>
      <c r="O619" s="67">
        <f>$L$619-EFEITO!$O$619*EFEITO!$AA$619</f>
        <v>0</v>
      </c>
      <c r="P619" s="18"/>
      <c r="Q619" s="18"/>
      <c r="R619" s="18"/>
      <c r="S619" s="18"/>
      <c r="T619" s="18"/>
      <c r="U619" s="18"/>
      <c r="V619" s="18"/>
      <c r="W619" s="18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58" t="s">
        <v>21</v>
      </c>
      <c r="B620" s="58" t="s">
        <v>39</v>
      </c>
      <c r="C620" s="58" t="s">
        <v>41</v>
      </c>
      <c r="D620" s="58" t="s">
        <v>49</v>
      </c>
      <c r="E620" s="58" t="s">
        <v>50</v>
      </c>
      <c r="F620" s="58" t="s">
        <v>25</v>
      </c>
      <c r="G620" s="58" t="s">
        <v>25</v>
      </c>
      <c r="H620" s="58" t="s">
        <v>25</v>
      </c>
      <c r="I620" s="66">
        <v>44621</v>
      </c>
      <c r="J620" s="67">
        <f ca="1">EFEITO!$J$620*EFEITO!$Y$457</f>
        <v>67765.186310118035</v>
      </c>
      <c r="K620" s="67">
        <f>EFEITO!$L$620*EFEITO!$Z$457</f>
        <v>0</v>
      </c>
      <c r="L620" s="67">
        <f>EFEITO!$N$620*EFEITO!$AA$457</f>
        <v>0</v>
      </c>
      <c r="M620" s="67">
        <f ca="1">$J$620-EFEITO!$K$620*EFEITO!$Y$620</f>
        <v>2032.9555893035431</v>
      </c>
      <c r="N620" s="67">
        <f>$K$620-EFEITO!$M$620*EFEITO!$Z$620</f>
        <v>0</v>
      </c>
      <c r="O620" s="67">
        <f>$L$620-EFEITO!$O$620*EFEITO!$AA$620</f>
        <v>0</v>
      </c>
      <c r="P620" s="18"/>
      <c r="Q620" s="18"/>
      <c r="R620" s="18"/>
      <c r="S620" s="18"/>
      <c r="T620" s="18"/>
      <c r="U620" s="18"/>
      <c r="V620" s="18"/>
      <c r="W620" s="18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58" t="s">
        <v>21</v>
      </c>
      <c r="B621" s="58" t="s">
        <v>39</v>
      </c>
      <c r="C621" s="58" t="s">
        <v>41</v>
      </c>
      <c r="D621" s="58" t="s">
        <v>49</v>
      </c>
      <c r="E621" s="58" t="s">
        <v>50</v>
      </c>
      <c r="F621" s="58" t="s">
        <v>25</v>
      </c>
      <c r="G621" s="58" t="s">
        <v>25</v>
      </c>
      <c r="H621" s="58" t="s">
        <v>25</v>
      </c>
      <c r="I621" s="66">
        <v>44652</v>
      </c>
      <c r="J621" s="67">
        <f ca="1">EFEITO!$J$621*EFEITO!$Y$457</f>
        <v>67765.186310118035</v>
      </c>
      <c r="K621" s="67">
        <f>EFEITO!$L$621*EFEITO!$Z$457</f>
        <v>0</v>
      </c>
      <c r="L621" s="67">
        <f>EFEITO!$N$621*EFEITO!$AA$457</f>
        <v>0</v>
      </c>
      <c r="M621" s="67">
        <f ca="1">$J$621-EFEITO!$K$621*EFEITO!$Y$621</f>
        <v>2032.9555893035431</v>
      </c>
      <c r="N621" s="67">
        <f>$K$621-EFEITO!$M$621*EFEITO!$Z$621</f>
        <v>0</v>
      </c>
      <c r="O621" s="67">
        <f>$L$621-EFEITO!$O$621*EFEITO!$AA$621</f>
        <v>0</v>
      </c>
      <c r="P621" s="18"/>
      <c r="Q621" s="18"/>
      <c r="R621" s="18"/>
      <c r="S621" s="18"/>
      <c r="T621" s="18"/>
      <c r="U621" s="18"/>
      <c r="V621" s="18"/>
      <c r="W621" s="18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58" t="s">
        <v>21</v>
      </c>
      <c r="B622" s="58" t="s">
        <v>39</v>
      </c>
      <c r="C622" s="58" t="s">
        <v>41</v>
      </c>
      <c r="D622" s="58" t="s">
        <v>49</v>
      </c>
      <c r="E622" s="58" t="s">
        <v>50</v>
      </c>
      <c r="F622" s="58" t="s">
        <v>25</v>
      </c>
      <c r="G622" s="58" t="s">
        <v>25</v>
      </c>
      <c r="H622" s="58" t="s">
        <v>25</v>
      </c>
      <c r="I622" s="66">
        <v>44682</v>
      </c>
      <c r="J622" s="67">
        <f ca="1">EFEITO!$J$622*EFEITO!$Y$457</f>
        <v>76630.592492182899</v>
      </c>
      <c r="K622" s="67">
        <f>EFEITO!$L$622*EFEITO!$Z$457</f>
        <v>0</v>
      </c>
      <c r="L622" s="67">
        <f>EFEITO!$N$622*EFEITO!$AA$457</f>
        <v>0</v>
      </c>
      <c r="M622" s="67">
        <f ca="1">$J$622-EFEITO!$K$622*EFEITO!$Y$622</f>
        <v>2298.9177747654903</v>
      </c>
      <c r="N622" s="67">
        <f>$K$622-EFEITO!$M$622*EFEITO!$Z$622</f>
        <v>0</v>
      </c>
      <c r="O622" s="67">
        <f>$L$622-EFEITO!$O$622*EFEITO!$AA$622</f>
        <v>0</v>
      </c>
      <c r="P622" s="18"/>
      <c r="Q622" s="18"/>
      <c r="R622" s="18"/>
      <c r="S622" s="18"/>
      <c r="T622" s="18"/>
      <c r="U622" s="18"/>
      <c r="V622" s="18"/>
      <c r="W622" s="18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58" t="s">
        <v>21</v>
      </c>
      <c r="B623" s="58" t="s">
        <v>39</v>
      </c>
      <c r="C623" s="58" t="s">
        <v>41</v>
      </c>
      <c r="D623" s="58" t="s">
        <v>49</v>
      </c>
      <c r="E623" s="58" t="s">
        <v>50</v>
      </c>
      <c r="F623" s="58" t="s">
        <v>25</v>
      </c>
      <c r="G623" s="58" t="s">
        <v>25</v>
      </c>
      <c r="H623" s="58" t="s">
        <v>25</v>
      </c>
      <c r="I623" s="66">
        <v>44713</v>
      </c>
      <c r="J623" s="67">
        <f ca="1">EFEITO!$J$623*EFEITO!$Y$457</f>
        <v>68716.410149395379</v>
      </c>
      <c r="K623" s="67">
        <f>EFEITO!$L$623*EFEITO!$Z$457</f>
        <v>0</v>
      </c>
      <c r="L623" s="67">
        <f>EFEITO!$N$623*EFEITO!$AA$457</f>
        <v>0</v>
      </c>
      <c r="M623" s="67">
        <f ca="1">$J$623-EFEITO!$K$623*EFEITO!$Y$623</f>
        <v>2061.492304481857</v>
      </c>
      <c r="N623" s="67">
        <f>$K$623-EFEITO!$M$623*EFEITO!$Z$623</f>
        <v>0</v>
      </c>
      <c r="O623" s="67">
        <f>$L$623-EFEITO!$O$623*EFEITO!$AA$623</f>
        <v>0</v>
      </c>
      <c r="P623" s="18"/>
      <c r="Q623" s="18"/>
      <c r="R623" s="18"/>
      <c r="S623" s="18"/>
      <c r="T623" s="18"/>
      <c r="U623" s="18"/>
      <c r="V623" s="18"/>
      <c r="W623" s="18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58" t="s">
        <v>27</v>
      </c>
      <c r="B624" s="58" t="s">
        <v>39</v>
      </c>
      <c r="C624" s="58" t="s">
        <v>41</v>
      </c>
      <c r="D624" s="58" t="s">
        <v>49</v>
      </c>
      <c r="E624" s="58" t="s">
        <v>50</v>
      </c>
      <c r="F624" s="58" t="s">
        <v>25</v>
      </c>
      <c r="G624" s="58" t="s">
        <v>25</v>
      </c>
      <c r="H624" s="58" t="s">
        <v>25</v>
      </c>
      <c r="I624" s="66">
        <v>44713</v>
      </c>
      <c r="J624" s="67">
        <f ca="1">EFEITO!$J$624*EFEITO!$Y$457</f>
        <v>-7990.2802499296959</v>
      </c>
      <c r="K624" s="67">
        <f>EFEITO!$L$624*EFEITO!$Z$457</f>
        <v>0</v>
      </c>
      <c r="L624" s="67">
        <f>EFEITO!$N$624*EFEITO!$AA$457</f>
        <v>0</v>
      </c>
      <c r="M624" s="67">
        <f ca="1">$J$624-EFEITO!$K$624*EFEITO!$Y$624</f>
        <v>-239.70840749789113</v>
      </c>
      <c r="N624" s="67">
        <f>$K$624-EFEITO!$M$624*EFEITO!$Z$624</f>
        <v>0</v>
      </c>
      <c r="O624" s="67">
        <f>$L$624-EFEITO!$O$624*EFEITO!$AA$624</f>
        <v>0</v>
      </c>
      <c r="P624" s="18"/>
      <c r="Q624" s="18"/>
      <c r="R624" s="18"/>
      <c r="S624" s="18"/>
      <c r="T624" s="18"/>
      <c r="U624" s="18"/>
      <c r="V624" s="18"/>
      <c r="W624" s="18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58" t="s">
        <v>21</v>
      </c>
      <c r="B625" s="58" t="s">
        <v>39</v>
      </c>
      <c r="C625" s="58" t="s">
        <v>41</v>
      </c>
      <c r="D625" s="58" t="s">
        <v>49</v>
      </c>
      <c r="E625" s="58" t="s">
        <v>50</v>
      </c>
      <c r="F625" s="58" t="s">
        <v>25</v>
      </c>
      <c r="G625" s="58" t="s">
        <v>25</v>
      </c>
      <c r="H625" s="58" t="s">
        <v>25</v>
      </c>
      <c r="I625" s="66">
        <v>44743</v>
      </c>
      <c r="J625" s="67">
        <f ca="1">EFEITO!$J$625*EFEITO!$Y$457</f>
        <v>68697.385672609831</v>
      </c>
      <c r="K625" s="67">
        <f>EFEITO!$L$625*EFEITO!$Z$457</f>
        <v>0</v>
      </c>
      <c r="L625" s="67">
        <f>EFEITO!$N$625*EFEITO!$AA$457</f>
        <v>0</v>
      </c>
      <c r="M625" s="67">
        <f ca="1">$J$625-EFEITO!$K$625*EFEITO!$Y$625</f>
        <v>2060.921570178296</v>
      </c>
      <c r="N625" s="67">
        <f>$K$625-EFEITO!$M$625*EFEITO!$Z$625</f>
        <v>0</v>
      </c>
      <c r="O625" s="67">
        <f>$L$625-EFEITO!$O$625*EFEITO!$AA$625</f>
        <v>0</v>
      </c>
      <c r="P625" s="18"/>
      <c r="Q625" s="18"/>
      <c r="R625" s="18"/>
      <c r="S625" s="18"/>
      <c r="T625" s="18"/>
      <c r="U625" s="18"/>
      <c r="V625" s="18"/>
      <c r="W625" s="18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58" t="s">
        <v>21</v>
      </c>
      <c r="B626" s="58" t="s">
        <v>39</v>
      </c>
      <c r="C626" s="58" t="s">
        <v>41</v>
      </c>
      <c r="D626" s="58" t="s">
        <v>49</v>
      </c>
      <c r="E626" s="58" t="s">
        <v>50</v>
      </c>
      <c r="F626" s="58" t="s">
        <v>25</v>
      </c>
      <c r="G626" s="58" t="s">
        <v>25</v>
      </c>
      <c r="H626" s="58" t="s">
        <v>25</v>
      </c>
      <c r="I626" s="66">
        <v>44774</v>
      </c>
      <c r="J626" s="67">
        <f ca="1">EFEITO!$J$626*EFEITO!$Y$457</f>
        <v>68811.532533323116</v>
      </c>
      <c r="K626" s="67">
        <f>EFEITO!$L$626*EFEITO!$Z$457</f>
        <v>0</v>
      </c>
      <c r="L626" s="67">
        <f>EFEITO!$N$626*EFEITO!$AA$457</f>
        <v>0</v>
      </c>
      <c r="M626" s="67">
        <f ca="1">$J$626-EFEITO!$K$626*EFEITO!$Y$626</f>
        <v>2064.3459759996913</v>
      </c>
      <c r="N626" s="67">
        <f>$K$626-EFEITO!$M$626*EFEITO!$Z$626</f>
        <v>0</v>
      </c>
      <c r="O626" s="67">
        <f>$L$626-EFEITO!$O$626*EFEITO!$AA$626</f>
        <v>0</v>
      </c>
      <c r="P626" s="18"/>
      <c r="Q626" s="18"/>
      <c r="R626" s="18"/>
      <c r="S626" s="18"/>
      <c r="T626" s="18"/>
      <c r="U626" s="18"/>
      <c r="V626" s="18"/>
      <c r="W626" s="18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58" t="s">
        <v>21</v>
      </c>
      <c r="B627" s="58" t="s">
        <v>39</v>
      </c>
      <c r="C627" s="58" t="s">
        <v>41</v>
      </c>
      <c r="D627" s="58" t="s">
        <v>49</v>
      </c>
      <c r="E627" s="58" t="s">
        <v>50</v>
      </c>
      <c r="F627" s="58" t="s">
        <v>25</v>
      </c>
      <c r="G627" s="58" t="s">
        <v>25</v>
      </c>
      <c r="H627" s="58" t="s">
        <v>25</v>
      </c>
      <c r="I627" s="66">
        <v>44805</v>
      </c>
      <c r="J627" s="67">
        <f ca="1">EFEITO!$J$627*EFEITO!$Y$457</f>
        <v>69115.924161891875</v>
      </c>
      <c r="K627" s="67">
        <f>EFEITO!$L$627*EFEITO!$Z$457</f>
        <v>0</v>
      </c>
      <c r="L627" s="67">
        <f>EFEITO!$N$627*EFEITO!$AA$457</f>
        <v>0</v>
      </c>
      <c r="M627" s="67">
        <f ca="1">$J$627-EFEITO!$K$627*EFEITO!$Y$627</f>
        <v>2073.4777248567698</v>
      </c>
      <c r="N627" s="67">
        <f>$K$627-EFEITO!$M$627*EFEITO!$Z$627</f>
        <v>0</v>
      </c>
      <c r="O627" s="67">
        <f>$L$627-EFEITO!$O$627*EFEITO!$AA$627</f>
        <v>0</v>
      </c>
      <c r="P627" s="18"/>
      <c r="Q627" s="18"/>
      <c r="R627" s="18"/>
      <c r="S627" s="18"/>
      <c r="T627" s="18"/>
      <c r="U627" s="18"/>
      <c r="V627" s="18"/>
      <c r="W627" s="18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58" t="s">
        <v>55</v>
      </c>
      <c r="B628" s="58" t="s">
        <v>39</v>
      </c>
      <c r="C628" s="58" t="s">
        <v>41</v>
      </c>
      <c r="D628" s="58" t="s">
        <v>49</v>
      </c>
      <c r="E628" s="58" t="s">
        <v>50</v>
      </c>
      <c r="F628" s="58" t="s">
        <v>25</v>
      </c>
      <c r="G628" s="58" t="s">
        <v>25</v>
      </c>
      <c r="H628" s="58" t="s">
        <v>25</v>
      </c>
      <c r="I628" s="66">
        <v>44835</v>
      </c>
      <c r="J628" s="67">
        <f ca="1">EFEITO!$J$628*EFEITO!$Y$457</f>
        <v>69115.924161891875</v>
      </c>
      <c r="K628" s="67">
        <f>EFEITO!$L$628*EFEITO!$Z$457</f>
        <v>0</v>
      </c>
      <c r="L628" s="67">
        <f>EFEITO!$N$628*EFEITO!$AA$457</f>
        <v>0</v>
      </c>
      <c r="M628" s="67">
        <f ca="1">$J$628-EFEITO!$K$628*EFEITO!$Y$628</f>
        <v>2073.4777248567698</v>
      </c>
      <c r="N628" s="67">
        <f>$K$628-EFEITO!$M$628*EFEITO!$Z$628</f>
        <v>0</v>
      </c>
      <c r="O628" s="67">
        <f>$L$628-EFEITO!$O$628*EFEITO!$AA$628</f>
        <v>0</v>
      </c>
      <c r="P628" s="18"/>
      <c r="Q628" s="18"/>
      <c r="R628" s="18"/>
      <c r="S628" s="18"/>
      <c r="T628" s="18"/>
      <c r="U628" s="18"/>
      <c r="V628" s="18"/>
      <c r="W628" s="18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58" t="s">
        <v>21</v>
      </c>
      <c r="B629" s="58" t="s">
        <v>39</v>
      </c>
      <c r="C629" s="58" t="s">
        <v>41</v>
      </c>
      <c r="D629" s="58" t="s">
        <v>49</v>
      </c>
      <c r="E629" s="58" t="s">
        <v>50</v>
      </c>
      <c r="F629" s="58" t="s">
        <v>25</v>
      </c>
      <c r="G629" s="58" t="s">
        <v>25</v>
      </c>
      <c r="H629" s="58" t="s">
        <v>34</v>
      </c>
      <c r="I629" s="66">
        <v>44501</v>
      </c>
      <c r="J629" s="67">
        <f>EFEITO!$J$629*EFEITO!$Y$488</f>
        <v>0</v>
      </c>
      <c r="K629" s="67">
        <f ca="1">EFEITO!$L$629*EFEITO!$Z$488</f>
        <v>104600.57553340109</v>
      </c>
      <c r="L629" s="67">
        <f>EFEITO!$N$629*EFEITO!$AA$488</f>
        <v>38012.118553018037</v>
      </c>
      <c r="M629" s="67">
        <f>$J$629-EFEITO!$K$629*EFEITO!$Y$629</f>
        <v>0</v>
      </c>
      <c r="N629" s="67">
        <f ca="1">$K$629-EFEITO!$M$629*EFEITO!$Z$629</f>
        <v>3138.017266002018</v>
      </c>
      <c r="O629" s="67">
        <f>$L$629-EFEITO!$O$629*EFEITO!$AA$629</f>
        <v>1140.3635565905424</v>
      </c>
      <c r="P629" s="18"/>
      <c r="Q629" s="18"/>
      <c r="R629" s="18"/>
      <c r="S629" s="18"/>
      <c r="T629" s="18"/>
      <c r="U629" s="18"/>
      <c r="V629" s="18"/>
      <c r="W629" s="18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58" t="s">
        <v>21</v>
      </c>
      <c r="B630" s="58" t="s">
        <v>39</v>
      </c>
      <c r="C630" s="58" t="s">
        <v>41</v>
      </c>
      <c r="D630" s="58" t="s">
        <v>49</v>
      </c>
      <c r="E630" s="58" t="s">
        <v>50</v>
      </c>
      <c r="F630" s="58" t="s">
        <v>25</v>
      </c>
      <c r="G630" s="58" t="s">
        <v>25</v>
      </c>
      <c r="H630" s="58" t="s">
        <v>34</v>
      </c>
      <c r="I630" s="66">
        <v>44531</v>
      </c>
      <c r="J630" s="67">
        <f>EFEITO!$J$630*EFEITO!$Y$488</f>
        <v>0</v>
      </c>
      <c r="K630" s="67">
        <f ca="1">EFEITO!$L$630*EFEITO!$Z$488</f>
        <v>113733.55735122376</v>
      </c>
      <c r="L630" s="67">
        <f>EFEITO!$N$630*EFEITO!$AA$488</f>
        <v>41331.067668080766</v>
      </c>
      <c r="M630" s="67">
        <f>$J$630-EFEITO!$K$630*EFEITO!$Y$630</f>
        <v>0</v>
      </c>
      <c r="N630" s="67">
        <f ca="1">$K$630-EFEITO!$M$630*EFEITO!$Z$630</f>
        <v>3412.0067205367086</v>
      </c>
      <c r="O630" s="67">
        <f>$L$630-EFEITO!$O$630*EFEITO!$AA$630</f>
        <v>1239.9320300424297</v>
      </c>
      <c r="P630" s="18"/>
      <c r="Q630" s="18"/>
      <c r="R630" s="18"/>
      <c r="S630" s="18"/>
      <c r="T630" s="18"/>
      <c r="U630" s="18"/>
      <c r="V630" s="18"/>
      <c r="W630" s="18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58" t="s">
        <v>21</v>
      </c>
      <c r="B631" s="58" t="s">
        <v>39</v>
      </c>
      <c r="C631" s="58" t="s">
        <v>41</v>
      </c>
      <c r="D631" s="58" t="s">
        <v>49</v>
      </c>
      <c r="E631" s="58" t="s">
        <v>50</v>
      </c>
      <c r="F631" s="58" t="s">
        <v>25</v>
      </c>
      <c r="G631" s="58" t="s">
        <v>25</v>
      </c>
      <c r="H631" s="58" t="s">
        <v>34</v>
      </c>
      <c r="I631" s="66">
        <v>44562</v>
      </c>
      <c r="J631" s="67">
        <f>EFEITO!$J$631*EFEITO!$Y$488</f>
        <v>0</v>
      </c>
      <c r="K631" s="67">
        <f ca="1">EFEITO!$L$631*EFEITO!$Z$488</f>
        <v>104150.94721688742</v>
      </c>
      <c r="L631" s="67">
        <f>EFEITO!$N$631*EFEITO!$AA$488</f>
        <v>37848.722464756036</v>
      </c>
      <c r="M631" s="67">
        <f>$J$631-EFEITO!$K$631*EFEITO!$Y$631</f>
        <v>0</v>
      </c>
      <c r="N631" s="67">
        <f ca="1">$K$631-EFEITO!$M$631*EFEITO!$Z$631</f>
        <v>3124.5284165066259</v>
      </c>
      <c r="O631" s="67">
        <f>$L$631-EFEITO!$O$631*EFEITO!$AA$631</f>
        <v>1135.4616739426856</v>
      </c>
      <c r="P631" s="18"/>
      <c r="Q631" s="18"/>
      <c r="R631" s="18"/>
      <c r="S631" s="18"/>
      <c r="T631" s="18"/>
      <c r="U631" s="18"/>
      <c r="V631" s="18"/>
      <c r="W631" s="18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58" t="s">
        <v>21</v>
      </c>
      <c r="B632" s="58" t="s">
        <v>39</v>
      </c>
      <c r="C632" s="58" t="s">
        <v>41</v>
      </c>
      <c r="D632" s="58" t="s">
        <v>49</v>
      </c>
      <c r="E632" s="58" t="s">
        <v>50</v>
      </c>
      <c r="F632" s="58" t="s">
        <v>25</v>
      </c>
      <c r="G632" s="58" t="s">
        <v>25</v>
      </c>
      <c r="H632" s="58" t="s">
        <v>34</v>
      </c>
      <c r="I632" s="66">
        <v>44593</v>
      </c>
      <c r="J632" s="67">
        <f>EFEITO!$J$632*EFEITO!$Y$488</f>
        <v>0</v>
      </c>
      <c r="K632" s="67">
        <f ca="1">EFEITO!$L$632*EFEITO!$Z$488</f>
        <v>100462.79999604932</v>
      </c>
      <c r="L632" s="67">
        <f>EFEITO!$N$632*EFEITO!$AA$488</f>
        <v>36508.440265689977</v>
      </c>
      <c r="M632" s="67">
        <f>$J$632-EFEITO!$K$632*EFEITO!$Y$632</f>
        <v>0</v>
      </c>
      <c r="N632" s="67">
        <f ca="1">$K$632-EFEITO!$M$632*EFEITO!$Z$632</f>
        <v>3013.8839998814801</v>
      </c>
      <c r="O632" s="67">
        <f>$L$632-EFEITO!$O$632*EFEITO!$AA$632</f>
        <v>1095.2532079707016</v>
      </c>
      <c r="P632" s="18"/>
      <c r="Q632" s="18"/>
      <c r="R632" s="18"/>
      <c r="S632" s="18"/>
      <c r="T632" s="18"/>
      <c r="U632" s="18"/>
      <c r="V632" s="18"/>
      <c r="W632" s="18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58" t="s">
        <v>21</v>
      </c>
      <c r="B633" s="58" t="s">
        <v>39</v>
      </c>
      <c r="C633" s="58" t="s">
        <v>41</v>
      </c>
      <c r="D633" s="58" t="s">
        <v>49</v>
      </c>
      <c r="E633" s="58" t="s">
        <v>50</v>
      </c>
      <c r="F633" s="58" t="s">
        <v>25</v>
      </c>
      <c r="G633" s="58" t="s">
        <v>25</v>
      </c>
      <c r="H633" s="58" t="s">
        <v>34</v>
      </c>
      <c r="I633" s="66">
        <v>44621</v>
      </c>
      <c r="J633" s="67">
        <f>EFEITO!$J$633*EFEITO!$Y$488</f>
        <v>0</v>
      </c>
      <c r="K633" s="67">
        <f ca="1">EFEITO!$L$633*EFEITO!$Z$488</f>
        <v>119112.66554978107</v>
      </c>
      <c r="L633" s="67">
        <f>EFEITO!$N$633*EFEITO!$AA$488</f>
        <v>43285.849441607235</v>
      </c>
      <c r="M633" s="67">
        <f>$J$633-EFEITO!$K$633*EFEITO!$Y$633</f>
        <v>0</v>
      </c>
      <c r="N633" s="67">
        <f ca="1">$K$633-EFEITO!$M$633*EFEITO!$Z$633</f>
        <v>3573.3799664934195</v>
      </c>
      <c r="O633" s="67">
        <f>$L$633-EFEITO!$O$633*EFEITO!$AA$633</f>
        <v>1298.5754832482198</v>
      </c>
      <c r="P633" s="18"/>
      <c r="Q633" s="18"/>
      <c r="R633" s="18"/>
      <c r="S633" s="18"/>
      <c r="T633" s="18"/>
      <c r="U633" s="18"/>
      <c r="V633" s="18"/>
      <c r="W633" s="18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58" t="s">
        <v>21</v>
      </c>
      <c r="B634" s="58" t="s">
        <v>39</v>
      </c>
      <c r="C634" s="58" t="s">
        <v>41</v>
      </c>
      <c r="D634" s="58" t="s">
        <v>49</v>
      </c>
      <c r="E634" s="58" t="s">
        <v>50</v>
      </c>
      <c r="F634" s="58" t="s">
        <v>25</v>
      </c>
      <c r="G634" s="58" t="s">
        <v>25</v>
      </c>
      <c r="H634" s="58" t="s">
        <v>34</v>
      </c>
      <c r="I634" s="66">
        <v>44652</v>
      </c>
      <c r="J634" s="67">
        <f>EFEITO!$J$634*EFEITO!$Y$488</f>
        <v>0</v>
      </c>
      <c r="K634" s="67">
        <f ca="1">EFEITO!$L$634*EFEITO!$Z$488</f>
        <v>119112.66554978107</v>
      </c>
      <c r="L634" s="67">
        <f>EFEITO!$N$634*EFEITO!$AA$488</f>
        <v>43285.849441607235</v>
      </c>
      <c r="M634" s="67">
        <f>$J$634-EFEITO!$K$634*EFEITO!$Y$634</f>
        <v>0</v>
      </c>
      <c r="N634" s="67">
        <f ca="1">$K$634-EFEITO!$M$634*EFEITO!$Z$634</f>
        <v>3573.3799664934195</v>
      </c>
      <c r="O634" s="67">
        <f>$L$634-EFEITO!$O$634*EFEITO!$AA$634</f>
        <v>1298.5754832482198</v>
      </c>
      <c r="P634" s="18"/>
      <c r="Q634" s="18"/>
      <c r="R634" s="18"/>
      <c r="S634" s="18"/>
      <c r="T634" s="18"/>
      <c r="U634" s="18"/>
      <c r="V634" s="18"/>
      <c r="W634" s="18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58" t="s">
        <v>21</v>
      </c>
      <c r="B635" s="58" t="s">
        <v>39</v>
      </c>
      <c r="C635" s="58" t="s">
        <v>41</v>
      </c>
      <c r="D635" s="58" t="s">
        <v>49</v>
      </c>
      <c r="E635" s="58" t="s">
        <v>50</v>
      </c>
      <c r="F635" s="58" t="s">
        <v>25</v>
      </c>
      <c r="G635" s="58" t="s">
        <v>25</v>
      </c>
      <c r="H635" s="58" t="s">
        <v>34</v>
      </c>
      <c r="I635" s="66">
        <v>44682</v>
      </c>
      <c r="J635" s="67">
        <f>EFEITO!$J$635*EFEITO!$Y$488</f>
        <v>0</v>
      </c>
      <c r="K635" s="67">
        <f ca="1">EFEITO!$L$635*EFEITO!$Z$488</f>
        <v>119345.69550784132</v>
      </c>
      <c r="L635" s="67">
        <f>EFEITO!$N$635*EFEITO!$AA$488</f>
        <v>43370.533128547009</v>
      </c>
      <c r="M635" s="67">
        <f>$J$635-EFEITO!$K$635*EFEITO!$Y$635</f>
        <v>0</v>
      </c>
      <c r="N635" s="67">
        <f ca="1">$K$635-EFEITO!$M$635*EFEITO!$Z$635</f>
        <v>3580.3708652352361</v>
      </c>
      <c r="O635" s="67">
        <f>$L$635-EFEITO!$O$635*EFEITO!$AA$635</f>
        <v>1301.115993856416</v>
      </c>
      <c r="P635" s="18"/>
      <c r="Q635" s="18"/>
      <c r="R635" s="18"/>
      <c r="S635" s="18"/>
      <c r="T635" s="18"/>
      <c r="U635" s="18"/>
      <c r="V635" s="18"/>
      <c r="W635" s="18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58" t="s">
        <v>21</v>
      </c>
      <c r="B636" s="58" t="s">
        <v>39</v>
      </c>
      <c r="C636" s="58" t="s">
        <v>41</v>
      </c>
      <c r="D636" s="58" t="s">
        <v>49</v>
      </c>
      <c r="E636" s="58" t="s">
        <v>50</v>
      </c>
      <c r="F636" s="58" t="s">
        <v>25</v>
      </c>
      <c r="G636" s="58" t="s">
        <v>25</v>
      </c>
      <c r="H636" s="58" t="s">
        <v>34</v>
      </c>
      <c r="I636" s="66">
        <v>44713</v>
      </c>
      <c r="J636" s="67">
        <f>EFEITO!$J$636*EFEITO!$Y$488</f>
        <v>0</v>
      </c>
      <c r="K636" s="67">
        <f ca="1">EFEITO!$L$636*EFEITO!$Z$488</f>
        <v>111885.74928634861</v>
      </c>
      <c r="L636" s="67">
        <f>EFEITO!$N$636*EFEITO!$AA$488</f>
        <v>40659.569458180107</v>
      </c>
      <c r="M636" s="67">
        <f>$J$636-EFEITO!$K$636*EFEITO!$Y$636</f>
        <v>0</v>
      </c>
      <c r="N636" s="67">
        <f ca="1">$K$636-EFEITO!$M$636*EFEITO!$Z$636</f>
        <v>3356.5724785904604</v>
      </c>
      <c r="O636" s="67">
        <f>$L$636-EFEITO!$O$636*EFEITO!$AA$636</f>
        <v>1219.7870837454102</v>
      </c>
      <c r="P636" s="18"/>
      <c r="Q636" s="18"/>
      <c r="R636" s="18"/>
      <c r="S636" s="18"/>
      <c r="T636" s="18"/>
      <c r="U636" s="18"/>
      <c r="V636" s="18"/>
      <c r="W636" s="18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58" t="s">
        <v>21</v>
      </c>
      <c r="B637" s="58" t="s">
        <v>39</v>
      </c>
      <c r="C637" s="58" t="s">
        <v>41</v>
      </c>
      <c r="D637" s="58" t="s">
        <v>49</v>
      </c>
      <c r="E637" s="58" t="s">
        <v>50</v>
      </c>
      <c r="F637" s="58" t="s">
        <v>25</v>
      </c>
      <c r="G637" s="58" t="s">
        <v>25</v>
      </c>
      <c r="H637" s="58" t="s">
        <v>34</v>
      </c>
      <c r="I637" s="66">
        <v>44743</v>
      </c>
      <c r="J637" s="67">
        <f>EFEITO!$J$637*EFEITO!$Y$488</f>
        <v>0</v>
      </c>
      <c r="K637" s="67">
        <f ca="1">EFEITO!$L$637*EFEITO!$Z$488</f>
        <v>109364.24563759415</v>
      </c>
      <c r="L637" s="67">
        <f>EFEITO!$N$637*EFEITO!$AA$488</f>
        <v>39743.248537959975</v>
      </c>
      <c r="M637" s="67">
        <f>$J$637-EFEITO!$K$637*EFEITO!$Y$637</f>
        <v>0</v>
      </c>
      <c r="N637" s="67">
        <f ca="1">$K$637-EFEITO!$M$637*EFEITO!$Z$637</f>
        <v>3280.9273691278213</v>
      </c>
      <c r="O637" s="67">
        <f>$L$637-EFEITO!$O$637*EFEITO!$AA$637</f>
        <v>1192.2974561388037</v>
      </c>
      <c r="P637" s="18"/>
      <c r="Q637" s="18"/>
      <c r="R637" s="18"/>
      <c r="S637" s="18"/>
      <c r="T637" s="18"/>
      <c r="U637" s="18"/>
      <c r="V637" s="18"/>
      <c r="W637" s="18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58" t="s">
        <v>21</v>
      </c>
      <c r="B638" s="58" t="s">
        <v>39</v>
      </c>
      <c r="C638" s="58" t="s">
        <v>41</v>
      </c>
      <c r="D638" s="58" t="s">
        <v>49</v>
      </c>
      <c r="E638" s="58" t="s">
        <v>50</v>
      </c>
      <c r="F638" s="58" t="s">
        <v>25</v>
      </c>
      <c r="G638" s="58" t="s">
        <v>25</v>
      </c>
      <c r="H638" s="58" t="s">
        <v>34</v>
      </c>
      <c r="I638" s="66">
        <v>44774</v>
      </c>
      <c r="J638" s="67">
        <f>EFEITO!$J$638*EFEITO!$Y$488</f>
        <v>0</v>
      </c>
      <c r="K638" s="67">
        <f ca="1">EFEITO!$L$638*EFEITO!$Z$488</f>
        <v>117175.23057795966</v>
      </c>
      <c r="L638" s="67">
        <f>EFEITO!$N$638*EFEITO!$AA$488</f>
        <v>42581.780582883592</v>
      </c>
      <c r="M638" s="67">
        <f>$J$638-EFEITO!$K$638*EFEITO!$Y$638</f>
        <v>0</v>
      </c>
      <c r="N638" s="67">
        <f ca="1">$K$638-EFEITO!$M$638*EFEITO!$Z$638</f>
        <v>3515.2569173387892</v>
      </c>
      <c r="O638" s="67">
        <f>$L$638-EFEITO!$O$638*EFEITO!$AA$638</f>
        <v>1277.4534174865112</v>
      </c>
      <c r="P638" s="18"/>
      <c r="Q638" s="18"/>
      <c r="R638" s="18"/>
      <c r="S638" s="18"/>
      <c r="T638" s="18"/>
      <c r="U638" s="18"/>
      <c r="V638" s="18"/>
      <c r="W638" s="18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58" t="s">
        <v>21</v>
      </c>
      <c r="B639" s="58" t="s">
        <v>39</v>
      </c>
      <c r="C639" s="58" t="s">
        <v>41</v>
      </c>
      <c r="D639" s="58" t="s">
        <v>49</v>
      </c>
      <c r="E639" s="58" t="s">
        <v>50</v>
      </c>
      <c r="F639" s="58" t="s">
        <v>25</v>
      </c>
      <c r="G639" s="58" t="s">
        <v>25</v>
      </c>
      <c r="H639" s="58" t="s">
        <v>34</v>
      </c>
      <c r="I639" s="66">
        <v>44805</v>
      </c>
      <c r="J639" s="67">
        <f>EFEITO!$J$639*EFEITO!$Y$488</f>
        <v>0</v>
      </c>
      <c r="K639" s="67">
        <f ca="1">EFEITO!$L$639*EFEITO!$Z$488</f>
        <v>111558.61107599481</v>
      </c>
      <c r="L639" s="67">
        <f>EFEITO!$N$639*EFEITO!$AA$488</f>
        <v>40540.686589976191</v>
      </c>
      <c r="M639" s="67">
        <f>$J$639-EFEITO!$K$639*EFEITO!$Y$639</f>
        <v>0</v>
      </c>
      <c r="N639" s="67">
        <f ca="1">$K$639-EFEITO!$M$639*EFEITO!$Z$639</f>
        <v>3346.7583322798309</v>
      </c>
      <c r="O639" s="67">
        <f>$L$639-EFEITO!$O$639*EFEITO!$AA$639</f>
        <v>1216.2205976992846</v>
      </c>
      <c r="P639" s="18"/>
      <c r="Q639" s="18"/>
      <c r="R639" s="18"/>
      <c r="S639" s="18"/>
      <c r="T639" s="18"/>
      <c r="U639" s="18"/>
      <c r="V639" s="18"/>
      <c r="W639" s="18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58" t="s">
        <v>55</v>
      </c>
      <c r="B640" s="58" t="s">
        <v>39</v>
      </c>
      <c r="C640" s="58" t="s">
        <v>41</v>
      </c>
      <c r="D640" s="58" t="s">
        <v>49</v>
      </c>
      <c r="E640" s="58" t="s">
        <v>50</v>
      </c>
      <c r="F640" s="58" t="s">
        <v>25</v>
      </c>
      <c r="G640" s="58" t="s">
        <v>25</v>
      </c>
      <c r="H640" s="58" t="s">
        <v>34</v>
      </c>
      <c r="I640" s="66">
        <v>44835</v>
      </c>
      <c r="J640" s="67">
        <f>EFEITO!$J$640*EFEITO!$Y$488</f>
        <v>0</v>
      </c>
      <c r="K640" s="67">
        <f ca="1">EFEITO!$L$640*EFEITO!$Z$488</f>
        <v>111558.61107599481</v>
      </c>
      <c r="L640" s="67">
        <f>EFEITO!$N$640*EFEITO!$AA$488</f>
        <v>40540.686589976191</v>
      </c>
      <c r="M640" s="67">
        <f>$J$640-EFEITO!$K$640*EFEITO!$Y$640</f>
        <v>0</v>
      </c>
      <c r="N640" s="67">
        <f ca="1">$K$640-EFEITO!$M$640*EFEITO!$Z$640</f>
        <v>3346.7583322798309</v>
      </c>
      <c r="O640" s="67">
        <f>$L$640-EFEITO!$O$640*EFEITO!$AA$640</f>
        <v>1216.2205976992846</v>
      </c>
      <c r="P640" s="18"/>
      <c r="Q640" s="18"/>
      <c r="R640" s="18"/>
      <c r="S640" s="18"/>
      <c r="T640" s="18"/>
      <c r="U640" s="18"/>
      <c r="V640" s="18"/>
      <c r="W640" s="18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58" t="s">
        <v>21</v>
      </c>
      <c r="B641" s="58" t="s">
        <v>22</v>
      </c>
      <c r="C641" s="58" t="s">
        <v>33</v>
      </c>
      <c r="D641" s="58" t="s">
        <v>24</v>
      </c>
      <c r="E641" s="58" t="s">
        <v>24</v>
      </c>
      <c r="F641" s="58" t="s">
        <v>25</v>
      </c>
      <c r="G641" s="58" t="s">
        <v>25</v>
      </c>
      <c r="H641" s="58" t="s">
        <v>35</v>
      </c>
      <c r="I641" s="66">
        <v>44501</v>
      </c>
      <c r="J641" s="67">
        <f>EFEITO!$J$641*EFEITO!$Y$641</f>
        <v>0</v>
      </c>
      <c r="K641" s="67">
        <f ca="1">EFEITO!$L$641*EFEITO!$Z$641</f>
        <v>19726.873608027883</v>
      </c>
      <c r="L641" s="67">
        <f>EFEITO!$N$641*EFEITO!$AA$641</f>
        <v>20812.682118224726</v>
      </c>
      <c r="M641" s="67">
        <f>$J$641-EFEITO!$K$641*EFEITO!$Y$641</f>
        <v>0</v>
      </c>
      <c r="N641" s="67">
        <f ca="1">$K$641-EFEITO!$M$641*EFEITO!$Z$641</f>
        <v>0</v>
      </c>
      <c r="O641" s="67">
        <f>$L$641-EFEITO!$O$641*EFEITO!$AA$641</f>
        <v>0</v>
      </c>
      <c r="P641" s="18"/>
      <c r="Q641" s="18"/>
      <c r="R641" s="18"/>
      <c r="S641" s="18"/>
      <c r="T641" s="18"/>
      <c r="U641" s="18"/>
      <c r="V641" s="18"/>
      <c r="W641" s="18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58" t="s">
        <v>28</v>
      </c>
      <c r="B642" s="58" t="s">
        <v>22</v>
      </c>
      <c r="C642" s="58" t="s">
        <v>33</v>
      </c>
      <c r="D642" s="58" t="s">
        <v>24</v>
      </c>
      <c r="E642" s="58" t="s">
        <v>24</v>
      </c>
      <c r="F642" s="58" t="s">
        <v>25</v>
      </c>
      <c r="G642" s="58" t="s">
        <v>25</v>
      </c>
      <c r="H642" s="58" t="s">
        <v>35</v>
      </c>
      <c r="I642" s="66">
        <v>44501</v>
      </c>
      <c r="J642" s="67">
        <f>EFEITO!$J$642*EFEITO!$Y$642</f>
        <v>0</v>
      </c>
      <c r="K642" s="67">
        <f ca="1">EFEITO!$L$642*EFEITO!$Z$642</f>
        <v>213.28789002046159</v>
      </c>
      <c r="L642" s="67">
        <f>EFEITO!$N$642*EFEITO!$AA$642</f>
        <v>225.02770296334472</v>
      </c>
      <c r="M642" s="67">
        <f>$J$642-EFEITO!$K$642*EFEITO!$Y$642</f>
        <v>0</v>
      </c>
      <c r="N642" s="67">
        <f ca="1">$K$642-EFEITO!$M$642*EFEITO!$Z$642</f>
        <v>0</v>
      </c>
      <c r="O642" s="67">
        <f>$L$642-EFEITO!$O$642*EFEITO!$AA$642</f>
        <v>0</v>
      </c>
      <c r="P642" s="18"/>
      <c r="Q642" s="18"/>
      <c r="R642" s="18"/>
      <c r="S642" s="18"/>
      <c r="T642" s="18"/>
      <c r="U642" s="18"/>
      <c r="V642" s="18"/>
      <c r="W642" s="18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58" t="s">
        <v>21</v>
      </c>
      <c r="B643" s="58" t="s">
        <v>22</v>
      </c>
      <c r="C643" s="58" t="s">
        <v>33</v>
      </c>
      <c r="D643" s="58" t="s">
        <v>24</v>
      </c>
      <c r="E643" s="58" t="s">
        <v>24</v>
      </c>
      <c r="F643" s="58" t="s">
        <v>25</v>
      </c>
      <c r="G643" s="58" t="s">
        <v>25</v>
      </c>
      <c r="H643" s="58" t="s">
        <v>35</v>
      </c>
      <c r="I643" s="66">
        <v>44531</v>
      </c>
      <c r="J643" s="67">
        <f>EFEITO!$J$643*EFEITO!$Y$643</f>
        <v>0</v>
      </c>
      <c r="K643" s="67">
        <f ca="1">EFEITO!$L$643*EFEITO!$Z$643</f>
        <v>17495.924394499329</v>
      </c>
      <c r="L643" s="67">
        <f>EFEITO!$N$643*EFEITO!$AA$643</f>
        <v>18458.936779471318</v>
      </c>
      <c r="M643" s="67">
        <f>$J$643-EFEITO!$K$643*EFEITO!$Y$643</f>
        <v>0</v>
      </c>
      <c r="N643" s="67">
        <f ca="1">$K$643-EFEITO!$M$643*EFEITO!$Z$643</f>
        <v>0</v>
      </c>
      <c r="O643" s="67">
        <f>$L$643-EFEITO!$O$643*EFEITO!$AA$643</f>
        <v>0</v>
      </c>
      <c r="P643" s="18"/>
      <c r="Q643" s="18"/>
      <c r="R643" s="18"/>
      <c r="S643" s="18"/>
      <c r="T643" s="18"/>
      <c r="U643" s="18"/>
      <c r="V643" s="18"/>
      <c r="W643" s="18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58" t="s">
        <v>28</v>
      </c>
      <c r="B644" s="58" t="s">
        <v>22</v>
      </c>
      <c r="C644" s="58" t="s">
        <v>33</v>
      </c>
      <c r="D644" s="58" t="s">
        <v>24</v>
      </c>
      <c r="E644" s="58" t="s">
        <v>24</v>
      </c>
      <c r="F644" s="58" t="s">
        <v>25</v>
      </c>
      <c r="G644" s="58" t="s">
        <v>25</v>
      </c>
      <c r="H644" s="58" t="s">
        <v>35</v>
      </c>
      <c r="I644" s="66">
        <v>44531</v>
      </c>
      <c r="J644" s="67">
        <f>EFEITO!$J$644*EFEITO!$Y$644</f>
        <v>0</v>
      </c>
      <c r="K644" s="67">
        <f ca="1">EFEITO!$L$644*EFEITO!$Z$644</f>
        <v>185.91243446071263</v>
      </c>
      <c r="L644" s="67">
        <f>EFEITO!$N$644*EFEITO!$AA$644</f>
        <v>196.14544489611711</v>
      </c>
      <c r="M644" s="67">
        <f>$J$644-EFEITO!$K$644*EFEITO!$Y$644</f>
        <v>0</v>
      </c>
      <c r="N644" s="67">
        <f ca="1">$K$644-EFEITO!$M$644*EFEITO!$Z$644</f>
        <v>0</v>
      </c>
      <c r="O644" s="67">
        <f>$L$644-EFEITO!$O$644*EFEITO!$AA$644</f>
        <v>0</v>
      </c>
      <c r="P644" s="18"/>
      <c r="Q644" s="18"/>
      <c r="R644" s="18"/>
      <c r="S644" s="18"/>
      <c r="T644" s="18"/>
      <c r="U644" s="18"/>
      <c r="V644" s="18"/>
      <c r="W644" s="18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58" t="s">
        <v>21</v>
      </c>
      <c r="B645" s="58" t="s">
        <v>22</v>
      </c>
      <c r="C645" s="58" t="s">
        <v>33</v>
      </c>
      <c r="D645" s="58" t="s">
        <v>24</v>
      </c>
      <c r="E645" s="58" t="s">
        <v>24</v>
      </c>
      <c r="F645" s="58" t="s">
        <v>25</v>
      </c>
      <c r="G645" s="58" t="s">
        <v>25</v>
      </c>
      <c r="H645" s="58" t="s">
        <v>35</v>
      </c>
      <c r="I645" s="66">
        <v>44562</v>
      </c>
      <c r="J645" s="67">
        <f>EFEITO!$J$645*EFEITO!$Y$645</f>
        <v>0</v>
      </c>
      <c r="K645" s="67">
        <f ca="1">EFEITO!$L$645*EFEITO!$Z$645</f>
        <v>15262.568547514977</v>
      </c>
      <c r="L645" s="67">
        <f>EFEITO!$N$645*EFEITO!$AA$645</f>
        <v>16102.652341107609</v>
      </c>
      <c r="M645" s="67">
        <f>$J$645-EFEITO!$K$645*EFEITO!$Y$645</f>
        <v>0</v>
      </c>
      <c r="N645" s="67">
        <f ca="1">$K$645-EFEITO!$M$645*EFEITO!$Z$645</f>
        <v>0</v>
      </c>
      <c r="O645" s="67">
        <f>$L$645-EFEITO!$O$645*EFEITO!$AA$645</f>
        <v>0</v>
      </c>
      <c r="P645" s="18"/>
      <c r="Q645" s="18"/>
      <c r="R645" s="18"/>
      <c r="S645" s="18"/>
      <c r="T645" s="18"/>
      <c r="U645" s="18"/>
      <c r="V645" s="18"/>
      <c r="W645" s="18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58" t="s">
        <v>28</v>
      </c>
      <c r="B646" s="58" t="s">
        <v>22</v>
      </c>
      <c r="C646" s="58" t="s">
        <v>33</v>
      </c>
      <c r="D646" s="58" t="s">
        <v>24</v>
      </c>
      <c r="E646" s="58" t="s">
        <v>24</v>
      </c>
      <c r="F646" s="58" t="s">
        <v>25</v>
      </c>
      <c r="G646" s="58" t="s">
        <v>25</v>
      </c>
      <c r="H646" s="58" t="s">
        <v>35</v>
      </c>
      <c r="I646" s="66">
        <v>44562</v>
      </c>
      <c r="J646" s="67">
        <f>EFEITO!$J$646*EFEITO!$Y$646</f>
        <v>0</v>
      </c>
      <c r="K646" s="67">
        <f ca="1">EFEITO!$L$646*EFEITO!$Z$646</f>
        <v>173.57843799972684</v>
      </c>
      <c r="L646" s="67">
        <f>EFEITO!$N$646*EFEITO!$AA$646</f>
        <v>183.13255939330028</v>
      </c>
      <c r="M646" s="67">
        <f>$J$646-EFEITO!$K$646*EFEITO!$Y$646</f>
        <v>0</v>
      </c>
      <c r="N646" s="67">
        <f ca="1">$K$646-EFEITO!$M$646*EFEITO!$Z$646</f>
        <v>0</v>
      </c>
      <c r="O646" s="67">
        <f>$L$646-EFEITO!$O$646*EFEITO!$AA$646</f>
        <v>0</v>
      </c>
      <c r="P646" s="18"/>
      <c r="Q646" s="18"/>
      <c r="R646" s="18"/>
      <c r="S646" s="18"/>
      <c r="T646" s="18"/>
      <c r="U646" s="18"/>
      <c r="V646" s="18"/>
      <c r="W646" s="18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58" t="s">
        <v>21</v>
      </c>
      <c r="B647" s="58" t="s">
        <v>22</v>
      </c>
      <c r="C647" s="58" t="s">
        <v>33</v>
      </c>
      <c r="D647" s="58" t="s">
        <v>24</v>
      </c>
      <c r="E647" s="58" t="s">
        <v>24</v>
      </c>
      <c r="F647" s="58" t="s">
        <v>25</v>
      </c>
      <c r="G647" s="58" t="s">
        <v>25</v>
      </c>
      <c r="H647" s="58" t="s">
        <v>35</v>
      </c>
      <c r="I647" s="66">
        <v>44593</v>
      </c>
      <c r="J647" s="67">
        <f>EFEITO!$J$647*EFEITO!$Y$647</f>
        <v>0</v>
      </c>
      <c r="K647" s="67">
        <f ca="1">EFEITO!$L$647*EFEITO!$Z$647</f>
        <v>16512.513798622196</v>
      </c>
      <c r="L647" s="67">
        <f>EFEITO!$N$647*EFEITO!$AA$647</f>
        <v>17421.397201210144</v>
      </c>
      <c r="M647" s="67">
        <f>$J$647-EFEITO!$K$647*EFEITO!$Y$647</f>
        <v>0</v>
      </c>
      <c r="N647" s="67">
        <f ca="1">$K$647-EFEITO!$M$647*EFEITO!$Z$647</f>
        <v>0</v>
      </c>
      <c r="O647" s="67">
        <f>$L$647-EFEITO!$O$647*EFEITO!$AA$647</f>
        <v>0</v>
      </c>
      <c r="P647" s="18"/>
      <c r="Q647" s="18"/>
      <c r="R647" s="18"/>
      <c r="S647" s="18"/>
      <c r="T647" s="18"/>
      <c r="U647" s="18"/>
      <c r="V647" s="18"/>
      <c r="W647" s="18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58" t="s">
        <v>28</v>
      </c>
      <c r="B648" s="58" t="s">
        <v>22</v>
      </c>
      <c r="C648" s="58" t="s">
        <v>33</v>
      </c>
      <c r="D648" s="58" t="s">
        <v>24</v>
      </c>
      <c r="E648" s="58" t="s">
        <v>24</v>
      </c>
      <c r="F648" s="58" t="s">
        <v>25</v>
      </c>
      <c r="G648" s="58" t="s">
        <v>25</v>
      </c>
      <c r="H648" s="58" t="s">
        <v>35</v>
      </c>
      <c r="I648" s="66">
        <v>44593</v>
      </c>
      <c r="J648" s="67">
        <f>EFEITO!$J$648*EFEITO!$Y$648</f>
        <v>0</v>
      </c>
      <c r="K648" s="67">
        <f ca="1">EFEITO!$L$648*EFEITO!$Z$648</f>
        <v>178.09087572935579</v>
      </c>
      <c r="L648" s="67">
        <f>EFEITO!$N$648*EFEITO!$AA$648</f>
        <v>187.89337116262351</v>
      </c>
      <c r="M648" s="67">
        <f>$J$648-EFEITO!$K$648*EFEITO!$Y$648</f>
        <v>0</v>
      </c>
      <c r="N648" s="67">
        <f ca="1">$K$648-EFEITO!$M$648*EFEITO!$Z$648</f>
        <v>0</v>
      </c>
      <c r="O648" s="67">
        <f>$L$648-EFEITO!$O$648*EFEITO!$AA$648</f>
        <v>0</v>
      </c>
      <c r="P648" s="18"/>
      <c r="Q648" s="18"/>
      <c r="R648" s="18"/>
      <c r="S648" s="18"/>
      <c r="T648" s="18"/>
      <c r="U648" s="18"/>
      <c r="V648" s="18"/>
      <c r="W648" s="18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58" t="s">
        <v>21</v>
      </c>
      <c r="B649" s="58" t="s">
        <v>22</v>
      </c>
      <c r="C649" s="58" t="s">
        <v>33</v>
      </c>
      <c r="D649" s="58" t="s">
        <v>24</v>
      </c>
      <c r="E649" s="58" t="s">
        <v>24</v>
      </c>
      <c r="F649" s="58" t="s">
        <v>25</v>
      </c>
      <c r="G649" s="58" t="s">
        <v>25</v>
      </c>
      <c r="H649" s="58" t="s">
        <v>35</v>
      </c>
      <c r="I649" s="66">
        <v>44621</v>
      </c>
      <c r="J649" s="67">
        <f>EFEITO!$J$649*EFEITO!$Y$649</f>
        <v>0</v>
      </c>
      <c r="K649" s="67">
        <f ca="1">EFEITO!$L$649*EFEITO!$Z$649</f>
        <v>13597.17819609992</v>
      </c>
      <c r="L649" s="67">
        <f>EFEITO!$N$649*EFEITO!$AA$649</f>
        <v>14345.595410776048</v>
      </c>
      <c r="M649" s="67">
        <f>$J$649-EFEITO!$K$649*EFEITO!$Y$649</f>
        <v>0</v>
      </c>
      <c r="N649" s="67">
        <f ca="1">$K$649-EFEITO!$M$649*EFEITO!$Z$649</f>
        <v>0</v>
      </c>
      <c r="O649" s="67">
        <f>$L$649-EFEITO!$O$649*EFEITO!$AA$649</f>
        <v>0</v>
      </c>
      <c r="P649" s="18"/>
      <c r="Q649" s="18"/>
      <c r="R649" s="18"/>
      <c r="S649" s="18"/>
      <c r="T649" s="18"/>
      <c r="U649" s="18"/>
      <c r="V649" s="18"/>
      <c r="W649" s="18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58" t="s">
        <v>28</v>
      </c>
      <c r="B650" s="58" t="s">
        <v>22</v>
      </c>
      <c r="C650" s="58" t="s">
        <v>33</v>
      </c>
      <c r="D650" s="58" t="s">
        <v>24</v>
      </c>
      <c r="E650" s="58" t="s">
        <v>24</v>
      </c>
      <c r="F650" s="58" t="s">
        <v>25</v>
      </c>
      <c r="G650" s="58" t="s">
        <v>25</v>
      </c>
      <c r="H650" s="58" t="s">
        <v>35</v>
      </c>
      <c r="I650" s="66">
        <v>44621</v>
      </c>
      <c r="J650" s="67">
        <f>EFEITO!$J$650*EFEITO!$Y$650</f>
        <v>0</v>
      </c>
      <c r="K650" s="67">
        <f ca="1">EFEITO!$L$650*EFEITO!$Z$650</f>
        <v>152.82122444343369</v>
      </c>
      <c r="L650" s="67">
        <f>EFEITO!$N$650*EFEITO!$AA$650</f>
        <v>161.23282525441343</v>
      </c>
      <c r="M650" s="67">
        <f>$J$650-EFEITO!$K$650*EFEITO!$Y$650</f>
        <v>0</v>
      </c>
      <c r="N650" s="67">
        <f ca="1">$K$650-EFEITO!$M$650*EFEITO!$Z$650</f>
        <v>0</v>
      </c>
      <c r="O650" s="67">
        <f>$L$650-EFEITO!$O$650*EFEITO!$AA$650</f>
        <v>0</v>
      </c>
      <c r="P650" s="18"/>
      <c r="Q650" s="18"/>
      <c r="R650" s="18"/>
      <c r="S650" s="18"/>
      <c r="T650" s="18"/>
      <c r="U650" s="18"/>
      <c r="V650" s="18"/>
      <c r="W650" s="18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58" t="s">
        <v>21</v>
      </c>
      <c r="B651" s="58" t="s">
        <v>22</v>
      </c>
      <c r="C651" s="58" t="s">
        <v>33</v>
      </c>
      <c r="D651" s="58" t="s">
        <v>24</v>
      </c>
      <c r="E651" s="58" t="s">
        <v>24</v>
      </c>
      <c r="F651" s="58" t="s">
        <v>25</v>
      </c>
      <c r="G651" s="58" t="s">
        <v>25</v>
      </c>
      <c r="H651" s="58" t="s">
        <v>35</v>
      </c>
      <c r="I651" s="66">
        <v>44652</v>
      </c>
      <c r="J651" s="67">
        <f>EFEITO!$J$651*EFEITO!$Y$651</f>
        <v>0</v>
      </c>
      <c r="K651" s="67">
        <f ca="1">EFEITO!$L$651*EFEITO!$Z$651</f>
        <v>13597.17819609992</v>
      </c>
      <c r="L651" s="67">
        <f>EFEITO!$N$651*EFEITO!$AA$651</f>
        <v>14345.595410776048</v>
      </c>
      <c r="M651" s="67">
        <f>$J$651-EFEITO!$K$651*EFEITO!$Y$651</f>
        <v>0</v>
      </c>
      <c r="N651" s="67">
        <f ca="1">$K$651-EFEITO!$M$651*EFEITO!$Z$651</f>
        <v>0</v>
      </c>
      <c r="O651" s="67">
        <f>$L$651-EFEITO!$O$651*EFEITO!$AA$651</f>
        <v>0</v>
      </c>
      <c r="P651" s="18"/>
      <c r="Q651" s="18"/>
      <c r="R651" s="18"/>
      <c r="S651" s="18"/>
      <c r="T651" s="18"/>
      <c r="U651" s="18"/>
      <c r="V651" s="18"/>
      <c r="W651" s="18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58" t="s">
        <v>28</v>
      </c>
      <c r="B652" s="58" t="s">
        <v>22</v>
      </c>
      <c r="C652" s="58" t="s">
        <v>33</v>
      </c>
      <c r="D652" s="58" t="s">
        <v>24</v>
      </c>
      <c r="E652" s="58" t="s">
        <v>24</v>
      </c>
      <c r="F652" s="58" t="s">
        <v>25</v>
      </c>
      <c r="G652" s="58" t="s">
        <v>25</v>
      </c>
      <c r="H652" s="58" t="s">
        <v>35</v>
      </c>
      <c r="I652" s="66">
        <v>44652</v>
      </c>
      <c r="J652" s="67">
        <f>EFEITO!$J$652*EFEITO!$Y$652</f>
        <v>0</v>
      </c>
      <c r="K652" s="67">
        <f ca="1">EFEITO!$L$652*EFEITO!$Z$652</f>
        <v>152.82122444343369</v>
      </c>
      <c r="L652" s="67">
        <f>EFEITO!$N$652*EFEITO!$AA$652</f>
        <v>161.23282525441343</v>
      </c>
      <c r="M652" s="67">
        <f>$J$652-EFEITO!$K$652*EFEITO!$Y$652</f>
        <v>0</v>
      </c>
      <c r="N652" s="67">
        <f ca="1">$K$652-EFEITO!$M$652*EFEITO!$Z$652</f>
        <v>0</v>
      </c>
      <c r="O652" s="67">
        <f>$L$652-EFEITO!$O$652*EFEITO!$AA$652</f>
        <v>0</v>
      </c>
      <c r="P652" s="18"/>
      <c r="Q652" s="18"/>
      <c r="R652" s="18"/>
      <c r="S652" s="18"/>
      <c r="T652" s="18"/>
      <c r="U652" s="18"/>
      <c r="V652" s="18"/>
      <c r="W652" s="18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58" t="s">
        <v>21</v>
      </c>
      <c r="B653" s="58" t="s">
        <v>22</v>
      </c>
      <c r="C653" s="58" t="s">
        <v>33</v>
      </c>
      <c r="D653" s="58" t="s">
        <v>24</v>
      </c>
      <c r="E653" s="58" t="s">
        <v>24</v>
      </c>
      <c r="F653" s="58" t="s">
        <v>25</v>
      </c>
      <c r="G653" s="58" t="s">
        <v>25</v>
      </c>
      <c r="H653" s="58" t="s">
        <v>35</v>
      </c>
      <c r="I653" s="66">
        <v>44682</v>
      </c>
      <c r="J653" s="67">
        <f>EFEITO!$J$653*EFEITO!$Y$653</f>
        <v>0</v>
      </c>
      <c r="K653" s="67">
        <f ca="1">EFEITO!$L$653*EFEITO!$Z$653</f>
        <v>12170.044556809271</v>
      </c>
      <c r="L653" s="67">
        <f>EFEITO!$N$653*EFEITO!$AA$653</f>
        <v>12839.909341864754</v>
      </c>
      <c r="M653" s="67">
        <f>$J$653-EFEITO!$K$653*EFEITO!$Y$653</f>
        <v>0</v>
      </c>
      <c r="N653" s="67">
        <f ca="1">$K$653-EFEITO!$M$653*EFEITO!$Z$653</f>
        <v>0</v>
      </c>
      <c r="O653" s="67">
        <f>$L$653-EFEITO!$O$653*EFEITO!$AA$653</f>
        <v>0</v>
      </c>
      <c r="P653" s="18"/>
      <c r="Q653" s="18"/>
      <c r="R653" s="18"/>
      <c r="S653" s="18"/>
      <c r="T653" s="18"/>
      <c r="U653" s="18"/>
      <c r="V653" s="18"/>
      <c r="W653" s="18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58" t="s">
        <v>28</v>
      </c>
      <c r="B654" s="58" t="s">
        <v>22</v>
      </c>
      <c r="C654" s="58" t="s">
        <v>33</v>
      </c>
      <c r="D654" s="58" t="s">
        <v>24</v>
      </c>
      <c r="E654" s="58" t="s">
        <v>24</v>
      </c>
      <c r="F654" s="58" t="s">
        <v>25</v>
      </c>
      <c r="G654" s="58" t="s">
        <v>25</v>
      </c>
      <c r="H654" s="58" t="s">
        <v>35</v>
      </c>
      <c r="I654" s="66">
        <v>44682</v>
      </c>
      <c r="J654" s="67">
        <f>EFEITO!$J$654*EFEITO!$Y$654</f>
        <v>0</v>
      </c>
      <c r="K654" s="67">
        <f ca="1">EFEITO!$L$654*EFEITO!$Z$654</f>
        <v>647.38439961076642</v>
      </c>
      <c r="L654" s="67">
        <f>EFEITO!$N$654*EFEITO!$AA$654</f>
        <v>683.01779517223963</v>
      </c>
      <c r="M654" s="67">
        <f>$J$654-EFEITO!$K$654*EFEITO!$Y$654</f>
        <v>0</v>
      </c>
      <c r="N654" s="67">
        <f ca="1">$K$654-EFEITO!$M$654*EFEITO!$Z$654</f>
        <v>0</v>
      </c>
      <c r="O654" s="67">
        <f>$L$654-EFEITO!$O$654*EFEITO!$AA$654</f>
        <v>0</v>
      </c>
      <c r="P654" s="18"/>
      <c r="Q654" s="18"/>
      <c r="R654" s="18"/>
      <c r="S654" s="18"/>
      <c r="T654" s="18"/>
      <c r="U654" s="18"/>
      <c r="V654" s="18"/>
      <c r="W654" s="18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58" t="s">
        <v>21</v>
      </c>
      <c r="B655" s="58" t="s">
        <v>22</v>
      </c>
      <c r="C655" s="58" t="s">
        <v>33</v>
      </c>
      <c r="D655" s="58" t="s">
        <v>24</v>
      </c>
      <c r="E655" s="58" t="s">
        <v>24</v>
      </c>
      <c r="F655" s="58" t="s">
        <v>25</v>
      </c>
      <c r="G655" s="58" t="s">
        <v>25</v>
      </c>
      <c r="H655" s="58" t="s">
        <v>35</v>
      </c>
      <c r="I655" s="66">
        <v>44713</v>
      </c>
      <c r="J655" s="67">
        <f>EFEITO!$J$655*EFEITO!$Y$655</f>
        <v>0</v>
      </c>
      <c r="K655" s="67">
        <f ca="1">EFEITO!$L$655*EFEITO!$Z$655</f>
        <v>11457.981883073824</v>
      </c>
      <c r="L655" s="67">
        <f>EFEITO!$N$655*EFEITO!$AA$655</f>
        <v>12088.653244665549</v>
      </c>
      <c r="M655" s="67">
        <f>$J$655-EFEITO!$K$655*EFEITO!$Y$655</f>
        <v>0</v>
      </c>
      <c r="N655" s="67">
        <f ca="1">$K$655-EFEITO!$M$655*EFEITO!$Z$655</f>
        <v>0</v>
      </c>
      <c r="O655" s="67">
        <f>$L$655-EFEITO!$O$655*EFEITO!$AA$655</f>
        <v>0</v>
      </c>
      <c r="P655" s="18"/>
      <c r="Q655" s="18"/>
      <c r="R655" s="18"/>
      <c r="S655" s="18"/>
      <c r="T655" s="18"/>
      <c r="U655" s="18"/>
      <c r="V655" s="18"/>
      <c r="W655" s="18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58" t="s">
        <v>28</v>
      </c>
      <c r="B656" s="58" t="s">
        <v>22</v>
      </c>
      <c r="C656" s="58" t="s">
        <v>33</v>
      </c>
      <c r="D656" s="58" t="s">
        <v>24</v>
      </c>
      <c r="E656" s="58" t="s">
        <v>24</v>
      </c>
      <c r="F656" s="58" t="s">
        <v>25</v>
      </c>
      <c r="G656" s="58" t="s">
        <v>25</v>
      </c>
      <c r="H656" s="58" t="s">
        <v>35</v>
      </c>
      <c r="I656" s="66">
        <v>44713</v>
      </c>
      <c r="J656" s="67">
        <f>EFEITO!$J$656*EFEITO!$Y$656</f>
        <v>0</v>
      </c>
      <c r="K656" s="67">
        <f ca="1">EFEITO!$L$656*EFEITO!$Z$656</f>
        <v>115.2175766965258</v>
      </c>
      <c r="L656" s="67">
        <f>EFEITO!$N$656*EFEITO!$AA$656</f>
        <v>121.5593938433865</v>
      </c>
      <c r="M656" s="67">
        <f>$J$656-EFEITO!$K$656*EFEITO!$Y$656</f>
        <v>0</v>
      </c>
      <c r="N656" s="67">
        <f ca="1">$K$656-EFEITO!$M$656*EFEITO!$Z$656</f>
        <v>0</v>
      </c>
      <c r="O656" s="67">
        <f>$L$656-EFEITO!$O$656*EFEITO!$AA$656</f>
        <v>0</v>
      </c>
      <c r="P656" s="18"/>
      <c r="Q656" s="18"/>
      <c r="R656" s="18"/>
      <c r="S656" s="18"/>
      <c r="T656" s="18"/>
      <c r="U656" s="18"/>
      <c r="V656" s="18"/>
      <c r="W656" s="18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58" t="s">
        <v>21</v>
      </c>
      <c r="B657" s="58" t="s">
        <v>22</v>
      </c>
      <c r="C657" s="58" t="s">
        <v>33</v>
      </c>
      <c r="D657" s="58" t="s">
        <v>24</v>
      </c>
      <c r="E657" s="58" t="s">
        <v>24</v>
      </c>
      <c r="F657" s="58" t="s">
        <v>25</v>
      </c>
      <c r="G657" s="58" t="s">
        <v>25</v>
      </c>
      <c r="H657" s="58" t="s">
        <v>35</v>
      </c>
      <c r="I657" s="66">
        <v>44743</v>
      </c>
      <c r="J657" s="67">
        <f>EFEITO!$J$657*EFEITO!$Y$657</f>
        <v>0</v>
      </c>
      <c r="K657" s="67">
        <f ca="1">EFEITO!$L$657*EFEITO!$Z$657</f>
        <v>11619.226324612566</v>
      </c>
      <c r="L657" s="67">
        <f>EFEITO!$N$657*EFEITO!$AA$657</f>
        <v>12258.772918556033</v>
      </c>
      <c r="M657" s="67">
        <f>$J$657-EFEITO!$K$657*EFEITO!$Y$657</f>
        <v>0</v>
      </c>
      <c r="N657" s="67">
        <f ca="1">$K$657-EFEITO!$M$657*EFEITO!$Z$657</f>
        <v>0</v>
      </c>
      <c r="O657" s="67">
        <f>$L$657-EFEITO!$O$657*EFEITO!$AA$657</f>
        <v>0</v>
      </c>
      <c r="P657" s="18"/>
      <c r="Q657" s="18"/>
      <c r="R657" s="18"/>
      <c r="S657" s="18"/>
      <c r="T657" s="18"/>
      <c r="U657" s="18"/>
      <c r="V657" s="18"/>
      <c r="W657" s="18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58" t="s">
        <v>28</v>
      </c>
      <c r="B658" s="58" t="s">
        <v>22</v>
      </c>
      <c r="C658" s="58" t="s">
        <v>33</v>
      </c>
      <c r="D658" s="58" t="s">
        <v>24</v>
      </c>
      <c r="E658" s="58" t="s">
        <v>24</v>
      </c>
      <c r="F658" s="58" t="s">
        <v>25</v>
      </c>
      <c r="G658" s="58" t="s">
        <v>25</v>
      </c>
      <c r="H658" s="58" t="s">
        <v>35</v>
      </c>
      <c r="I658" s="66">
        <v>44743</v>
      </c>
      <c r="J658" s="67">
        <f>EFEITO!$J$658*EFEITO!$Y$658</f>
        <v>0</v>
      </c>
      <c r="K658" s="67">
        <f ca="1">EFEITO!$L$658*EFEITO!$Z$658</f>
        <v>132.06401088714054</v>
      </c>
      <c r="L658" s="67">
        <f>EFEITO!$N$658*EFEITO!$AA$658</f>
        <v>139.33309111552657</v>
      </c>
      <c r="M658" s="67">
        <f>$J$658-EFEITO!$K$658*EFEITO!$Y$658</f>
        <v>0</v>
      </c>
      <c r="N658" s="67">
        <f ca="1">$K$658-EFEITO!$M$658*EFEITO!$Z$658</f>
        <v>0</v>
      </c>
      <c r="O658" s="67">
        <f>$L$658-EFEITO!$O$658*EFEITO!$AA$658</f>
        <v>0</v>
      </c>
      <c r="P658" s="18"/>
      <c r="Q658" s="18"/>
      <c r="R658" s="18"/>
      <c r="S658" s="18"/>
      <c r="T658" s="18"/>
      <c r="U658" s="18"/>
      <c r="V658" s="18"/>
      <c r="W658" s="18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58" t="s">
        <v>21</v>
      </c>
      <c r="B659" s="58" t="s">
        <v>22</v>
      </c>
      <c r="C659" s="58" t="s">
        <v>33</v>
      </c>
      <c r="D659" s="58" t="s">
        <v>24</v>
      </c>
      <c r="E659" s="58" t="s">
        <v>24</v>
      </c>
      <c r="F659" s="58" t="s">
        <v>25</v>
      </c>
      <c r="G659" s="58" t="s">
        <v>25</v>
      </c>
      <c r="H659" s="58" t="s">
        <v>35</v>
      </c>
      <c r="I659" s="66">
        <v>44774</v>
      </c>
      <c r="J659" s="67">
        <f>EFEITO!$J$659*EFEITO!$Y$659</f>
        <v>0</v>
      </c>
      <c r="K659" s="67">
        <f ca="1">EFEITO!$L$659*EFEITO!$Z$659</f>
        <v>14156.720474573909</v>
      </c>
      <c r="L659" s="67">
        <f>EFEITO!$N$659*EFEITO!$AA$659</f>
        <v>14935.936070172127</v>
      </c>
      <c r="M659" s="67">
        <f>$J$659-EFEITO!$K$659*EFEITO!$Y$659</f>
        <v>0</v>
      </c>
      <c r="N659" s="67">
        <f ca="1">$K$659-EFEITO!$M$659*EFEITO!$Z$659</f>
        <v>0</v>
      </c>
      <c r="O659" s="67">
        <f>$L$659-EFEITO!$O$659*EFEITO!$AA$659</f>
        <v>0</v>
      </c>
      <c r="P659" s="18"/>
      <c r="Q659" s="18"/>
      <c r="R659" s="18"/>
      <c r="S659" s="18"/>
      <c r="T659" s="18"/>
      <c r="U659" s="18"/>
      <c r="V659" s="18"/>
      <c r="W659" s="18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58" t="s">
        <v>28</v>
      </c>
      <c r="B660" s="58" t="s">
        <v>22</v>
      </c>
      <c r="C660" s="58" t="s">
        <v>33</v>
      </c>
      <c r="D660" s="58" t="s">
        <v>24</v>
      </c>
      <c r="E660" s="58" t="s">
        <v>24</v>
      </c>
      <c r="F660" s="58" t="s">
        <v>25</v>
      </c>
      <c r="G660" s="58" t="s">
        <v>25</v>
      </c>
      <c r="H660" s="58" t="s">
        <v>35</v>
      </c>
      <c r="I660" s="66">
        <v>44774</v>
      </c>
      <c r="J660" s="67">
        <f>EFEITO!$J$660*EFEITO!$Y$660</f>
        <v>0</v>
      </c>
      <c r="K660" s="67">
        <f ca="1">EFEITO!$L$660*EFEITO!$Z$660</f>
        <v>160.04112481084002</v>
      </c>
      <c r="L660" s="67">
        <f>EFEITO!$N$660*EFEITO!$AA$660</f>
        <v>168.85012408533061</v>
      </c>
      <c r="M660" s="67">
        <f>$J$660-EFEITO!$K$660*EFEITO!$Y$660</f>
        <v>0</v>
      </c>
      <c r="N660" s="67">
        <f ca="1">$K$660-EFEITO!$M$660*EFEITO!$Z$660</f>
        <v>0</v>
      </c>
      <c r="O660" s="67">
        <f>$L$660-EFEITO!$O$660*EFEITO!$AA$660</f>
        <v>0</v>
      </c>
      <c r="P660" s="18"/>
      <c r="Q660" s="18"/>
      <c r="R660" s="18"/>
      <c r="S660" s="18"/>
      <c r="T660" s="18"/>
      <c r="U660" s="18"/>
      <c r="V660" s="18"/>
      <c r="W660" s="18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58" t="s">
        <v>21</v>
      </c>
      <c r="B661" s="58" t="s">
        <v>22</v>
      </c>
      <c r="C661" s="58" t="s">
        <v>33</v>
      </c>
      <c r="D661" s="58" t="s">
        <v>24</v>
      </c>
      <c r="E661" s="58" t="s">
        <v>24</v>
      </c>
      <c r="F661" s="58" t="s">
        <v>25</v>
      </c>
      <c r="G661" s="58" t="s">
        <v>25</v>
      </c>
      <c r="H661" s="58" t="s">
        <v>35</v>
      </c>
      <c r="I661" s="66">
        <v>44805</v>
      </c>
      <c r="J661" s="67">
        <f>EFEITO!$J$661*EFEITO!$Y$661</f>
        <v>0</v>
      </c>
      <c r="K661" s="67">
        <f ca="1">EFEITO!$L$661*EFEITO!$Z$661</f>
        <v>13755.414345818908</v>
      </c>
      <c r="L661" s="67">
        <f>EFEITO!$N$661*EFEITO!$AA$661</f>
        <v>14512.541210153649</v>
      </c>
      <c r="M661" s="67">
        <f>$J$661-EFEITO!$K$661*EFEITO!$Y$661</f>
        <v>0</v>
      </c>
      <c r="N661" s="67">
        <f ca="1">$K$661-EFEITO!$M$661*EFEITO!$Z$661</f>
        <v>0</v>
      </c>
      <c r="O661" s="67">
        <f>$L$661-EFEITO!$O$661*EFEITO!$AA$661</f>
        <v>0</v>
      </c>
      <c r="P661" s="18"/>
      <c r="Q661" s="18"/>
      <c r="R661" s="18"/>
      <c r="S661" s="18"/>
      <c r="T661" s="18"/>
      <c r="U661" s="18"/>
      <c r="V661" s="18"/>
      <c r="W661" s="18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58" t="s">
        <v>28</v>
      </c>
      <c r="B662" s="58" t="s">
        <v>22</v>
      </c>
      <c r="C662" s="58" t="s">
        <v>33</v>
      </c>
      <c r="D662" s="58" t="s">
        <v>24</v>
      </c>
      <c r="E662" s="58" t="s">
        <v>24</v>
      </c>
      <c r="F662" s="58" t="s">
        <v>25</v>
      </c>
      <c r="G662" s="58" t="s">
        <v>25</v>
      </c>
      <c r="H662" s="58" t="s">
        <v>35</v>
      </c>
      <c r="I662" s="66">
        <v>44805</v>
      </c>
      <c r="J662" s="67">
        <f>EFEITO!$J$662*EFEITO!$Y$662</f>
        <v>0</v>
      </c>
      <c r="K662" s="67">
        <f ca="1">EFEITO!$L$662*EFEITO!$Z$662</f>
        <v>166.65936681429582</v>
      </c>
      <c r="L662" s="67">
        <f>EFEITO!$N$662*EFEITO!$AA$662</f>
        <v>175.83264801367136</v>
      </c>
      <c r="M662" s="67">
        <f>$J$662-EFEITO!$K$662*EFEITO!$Y$662</f>
        <v>0</v>
      </c>
      <c r="N662" s="67">
        <f ca="1">$K$662-EFEITO!$M$662*EFEITO!$Z$662</f>
        <v>0</v>
      </c>
      <c r="O662" s="67">
        <f>$L$662-EFEITO!$O$662*EFEITO!$AA$662</f>
        <v>0</v>
      </c>
      <c r="P662" s="18"/>
      <c r="Q662" s="18"/>
      <c r="R662" s="18"/>
      <c r="S662" s="18"/>
      <c r="T662" s="18"/>
      <c r="U662" s="18"/>
      <c r="V662" s="18"/>
      <c r="W662" s="18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58" t="s">
        <v>55</v>
      </c>
      <c r="B663" s="58" t="s">
        <v>22</v>
      </c>
      <c r="C663" s="58" t="s">
        <v>33</v>
      </c>
      <c r="D663" s="58" t="s">
        <v>24</v>
      </c>
      <c r="E663" s="58" t="s">
        <v>24</v>
      </c>
      <c r="F663" s="58" t="s">
        <v>25</v>
      </c>
      <c r="G663" s="58" t="s">
        <v>25</v>
      </c>
      <c r="H663" s="58" t="s">
        <v>35</v>
      </c>
      <c r="I663" s="66">
        <v>44835</v>
      </c>
      <c r="J663" s="67">
        <f>EFEITO!$J$663*EFEITO!$Y$663</f>
        <v>0</v>
      </c>
      <c r="K663" s="67">
        <f ca="1">EFEITO!$L$663*EFEITO!$Z$663</f>
        <v>13755.414345818908</v>
      </c>
      <c r="L663" s="67">
        <f>EFEITO!$N$663*EFEITO!$AA$663</f>
        <v>14512.541210153649</v>
      </c>
      <c r="M663" s="67">
        <f>$J$663-EFEITO!$K$663*EFEITO!$Y$663</f>
        <v>0</v>
      </c>
      <c r="N663" s="67">
        <f ca="1">$K$663-EFEITO!$M$663*EFEITO!$Z$663</f>
        <v>0</v>
      </c>
      <c r="O663" s="67">
        <f>$L$663-EFEITO!$O$663*EFEITO!$AA$663</f>
        <v>0</v>
      </c>
      <c r="P663" s="18"/>
      <c r="Q663" s="18"/>
      <c r="R663" s="18"/>
      <c r="S663" s="18"/>
      <c r="T663" s="18"/>
      <c r="U663" s="18"/>
      <c r="V663" s="18"/>
      <c r="W663" s="18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58" t="s">
        <v>55</v>
      </c>
      <c r="B664" s="58" t="s">
        <v>22</v>
      </c>
      <c r="C664" s="58" t="s">
        <v>33</v>
      </c>
      <c r="D664" s="58" t="s">
        <v>24</v>
      </c>
      <c r="E664" s="58" t="s">
        <v>24</v>
      </c>
      <c r="F664" s="58" t="s">
        <v>25</v>
      </c>
      <c r="G664" s="58" t="s">
        <v>25</v>
      </c>
      <c r="H664" s="58" t="s">
        <v>35</v>
      </c>
      <c r="I664" s="66">
        <v>44835</v>
      </c>
      <c r="J664" s="67">
        <f>EFEITO!$J$664*EFEITO!$Y$664</f>
        <v>0</v>
      </c>
      <c r="K664" s="67">
        <f ca="1">EFEITO!$L$664*EFEITO!$Z$664</f>
        <v>166.65936681429582</v>
      </c>
      <c r="L664" s="67">
        <f>EFEITO!$N$664*EFEITO!$AA$664</f>
        <v>175.83264801367136</v>
      </c>
      <c r="M664" s="67">
        <f>$J$664-EFEITO!$K$664*EFEITO!$Y$664</f>
        <v>0</v>
      </c>
      <c r="N664" s="67">
        <f ca="1">$K$664-EFEITO!$M$664*EFEITO!$Z$664</f>
        <v>0</v>
      </c>
      <c r="O664" s="67">
        <f>$L$664-EFEITO!$O$664*EFEITO!$AA$664</f>
        <v>0</v>
      </c>
      <c r="P664" s="18"/>
      <c r="Q664" s="18"/>
      <c r="R664" s="18"/>
      <c r="S664" s="18"/>
      <c r="T664" s="18"/>
      <c r="U664" s="18"/>
      <c r="V664" s="18"/>
      <c r="W664" s="18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58" t="s">
        <v>21</v>
      </c>
      <c r="B665" s="58" t="s">
        <v>22</v>
      </c>
      <c r="C665" s="58" t="s">
        <v>33</v>
      </c>
      <c r="D665" s="58" t="s">
        <v>24</v>
      </c>
      <c r="E665" s="58" t="s">
        <v>24</v>
      </c>
      <c r="F665" s="58" t="s">
        <v>25</v>
      </c>
      <c r="G665" s="58" t="s">
        <v>25</v>
      </c>
      <c r="H665" s="58" t="s">
        <v>36</v>
      </c>
      <c r="I665" s="66">
        <v>44501</v>
      </c>
      <c r="J665" s="67">
        <f>EFEITO!$J$665*EFEITO!$Y$665</f>
        <v>0</v>
      </c>
      <c r="K665" s="67">
        <f ca="1">EFEITO!$L$665*EFEITO!$Z$665</f>
        <v>2512.6108237235271</v>
      </c>
      <c r="L665" s="67">
        <f>EFEITO!$N$665*EFEITO!$AA$665</f>
        <v>1312.0797236254825</v>
      </c>
      <c r="M665" s="67">
        <f>$J$665-EFEITO!$K$665*EFEITO!$Y$665</f>
        <v>0</v>
      </c>
      <c r="N665" s="67">
        <f ca="1">$K$665-EFEITO!$M$665*EFEITO!$Z$665</f>
        <v>0</v>
      </c>
      <c r="O665" s="67">
        <f>$L$665-EFEITO!$O$665*EFEITO!$AA$665</f>
        <v>0</v>
      </c>
      <c r="P665" s="18"/>
      <c r="Q665" s="18"/>
      <c r="R665" s="18"/>
      <c r="S665" s="18"/>
      <c r="T665" s="18"/>
      <c r="U665" s="18"/>
      <c r="V665" s="18"/>
      <c r="W665" s="18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58" t="s">
        <v>21</v>
      </c>
      <c r="B666" s="58" t="s">
        <v>22</v>
      </c>
      <c r="C666" s="58" t="s">
        <v>33</v>
      </c>
      <c r="D666" s="58" t="s">
        <v>24</v>
      </c>
      <c r="E666" s="58" t="s">
        <v>24</v>
      </c>
      <c r="F666" s="58" t="s">
        <v>25</v>
      </c>
      <c r="G666" s="58" t="s">
        <v>25</v>
      </c>
      <c r="H666" s="58" t="s">
        <v>36</v>
      </c>
      <c r="I666" s="66">
        <v>44531</v>
      </c>
      <c r="J666" s="67">
        <f>EFEITO!$J$666*EFEITO!$Y$666</f>
        <v>0</v>
      </c>
      <c r="K666" s="67">
        <f ca="1">EFEITO!$L$666*EFEITO!$Z$666</f>
        <v>2471.2809891775178</v>
      </c>
      <c r="L666" s="67">
        <f>EFEITO!$N$666*EFEITO!$AA$666</f>
        <v>1290.4973769378837</v>
      </c>
      <c r="M666" s="67">
        <f>$J$666-EFEITO!$K$666*EFEITO!$Y$666</f>
        <v>0</v>
      </c>
      <c r="N666" s="67">
        <f ca="1">$K$666-EFEITO!$M$666*EFEITO!$Z$666</f>
        <v>0</v>
      </c>
      <c r="O666" s="67">
        <f>$L$666-EFEITO!$O$666*EFEITO!$AA$666</f>
        <v>0</v>
      </c>
      <c r="P666" s="18"/>
      <c r="Q666" s="18"/>
      <c r="R666" s="18"/>
      <c r="S666" s="18"/>
      <c r="T666" s="18"/>
      <c r="U666" s="18"/>
      <c r="V666" s="18"/>
      <c r="W666" s="18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58" t="s">
        <v>21</v>
      </c>
      <c r="B667" s="58" t="s">
        <v>22</v>
      </c>
      <c r="C667" s="58" t="s">
        <v>33</v>
      </c>
      <c r="D667" s="58" t="s">
        <v>24</v>
      </c>
      <c r="E667" s="58" t="s">
        <v>24</v>
      </c>
      <c r="F667" s="58" t="s">
        <v>25</v>
      </c>
      <c r="G667" s="58" t="s">
        <v>25</v>
      </c>
      <c r="H667" s="58" t="s">
        <v>36</v>
      </c>
      <c r="I667" s="66">
        <v>44562</v>
      </c>
      <c r="J667" s="67">
        <f>EFEITO!$J$667*EFEITO!$Y$667</f>
        <v>0</v>
      </c>
      <c r="K667" s="67">
        <f ca="1">EFEITO!$L$667*EFEITO!$Z$667</f>
        <v>2108.4293535309421</v>
      </c>
      <c r="L667" s="67">
        <f>EFEITO!$N$667*EFEITO!$AA$667</f>
        <v>1101.0170685188191</v>
      </c>
      <c r="M667" s="67">
        <f>$J$667-EFEITO!$K$667*EFEITO!$Y$667</f>
        <v>0</v>
      </c>
      <c r="N667" s="67">
        <f ca="1">$K$667-EFEITO!$M$667*EFEITO!$Z$667</f>
        <v>0</v>
      </c>
      <c r="O667" s="67">
        <f>$L$667-EFEITO!$O$667*EFEITO!$AA$667</f>
        <v>0</v>
      </c>
      <c r="P667" s="18"/>
      <c r="Q667" s="18"/>
      <c r="R667" s="18"/>
      <c r="S667" s="18"/>
      <c r="T667" s="18"/>
      <c r="U667" s="18"/>
      <c r="V667" s="18"/>
      <c r="W667" s="18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58" t="s">
        <v>21</v>
      </c>
      <c r="B668" s="58" t="s">
        <v>22</v>
      </c>
      <c r="C668" s="58" t="s">
        <v>33</v>
      </c>
      <c r="D668" s="58" t="s">
        <v>24</v>
      </c>
      <c r="E668" s="58" t="s">
        <v>24</v>
      </c>
      <c r="F668" s="58" t="s">
        <v>25</v>
      </c>
      <c r="G668" s="58" t="s">
        <v>25</v>
      </c>
      <c r="H668" s="58" t="s">
        <v>36</v>
      </c>
      <c r="I668" s="66">
        <v>44593</v>
      </c>
      <c r="J668" s="67">
        <f>EFEITO!$J$668*EFEITO!$Y$668</f>
        <v>0</v>
      </c>
      <c r="K668" s="67">
        <f ca="1">EFEITO!$L$668*EFEITO!$Z$668</f>
        <v>2350.3304439619928</v>
      </c>
      <c r="L668" s="67">
        <f>EFEITO!$N$668*EFEITO!$AA$668</f>
        <v>1227.3372741315291</v>
      </c>
      <c r="M668" s="67">
        <f>$J$668-EFEITO!$K$668*EFEITO!$Y$668</f>
        <v>0</v>
      </c>
      <c r="N668" s="67">
        <f ca="1">$K$668-EFEITO!$M$668*EFEITO!$Z$668</f>
        <v>0</v>
      </c>
      <c r="O668" s="67">
        <f>$L$668-EFEITO!$O$668*EFEITO!$AA$668</f>
        <v>0</v>
      </c>
      <c r="P668" s="18"/>
      <c r="Q668" s="18"/>
      <c r="R668" s="18"/>
      <c r="S668" s="18"/>
      <c r="T668" s="18"/>
      <c r="U668" s="18"/>
      <c r="V668" s="18"/>
      <c r="W668" s="18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58" t="s">
        <v>21</v>
      </c>
      <c r="B669" s="58" t="s">
        <v>22</v>
      </c>
      <c r="C669" s="58" t="s">
        <v>33</v>
      </c>
      <c r="D669" s="58" t="s">
        <v>24</v>
      </c>
      <c r="E669" s="58" t="s">
        <v>24</v>
      </c>
      <c r="F669" s="58" t="s">
        <v>25</v>
      </c>
      <c r="G669" s="58" t="s">
        <v>25</v>
      </c>
      <c r="H669" s="58" t="s">
        <v>36</v>
      </c>
      <c r="I669" s="66">
        <v>44621</v>
      </c>
      <c r="J669" s="67">
        <f>EFEITO!$J$669*EFEITO!$Y$669</f>
        <v>0</v>
      </c>
      <c r="K669" s="67">
        <f ca="1">EFEITO!$L$669*EFEITO!$Z$669</f>
        <v>2140.0345211249487</v>
      </c>
      <c r="L669" s="67">
        <f>EFEITO!$N$669*EFEITO!$AA$669</f>
        <v>1117.5212159858063</v>
      </c>
      <c r="M669" s="67">
        <f>$J$669-EFEITO!$K$669*EFEITO!$Y$669</f>
        <v>0</v>
      </c>
      <c r="N669" s="67">
        <f ca="1">$K$669-EFEITO!$M$669*EFEITO!$Z$669</f>
        <v>0</v>
      </c>
      <c r="O669" s="67">
        <f>$L$669-EFEITO!$O$669*EFEITO!$AA$669</f>
        <v>0</v>
      </c>
      <c r="P669" s="18"/>
      <c r="Q669" s="18"/>
      <c r="R669" s="18"/>
      <c r="S669" s="18"/>
      <c r="T669" s="18"/>
      <c r="U669" s="18"/>
      <c r="V669" s="18"/>
      <c r="W669" s="18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58" t="s">
        <v>21</v>
      </c>
      <c r="B670" s="58" t="s">
        <v>22</v>
      </c>
      <c r="C670" s="58" t="s">
        <v>33</v>
      </c>
      <c r="D670" s="58" t="s">
        <v>24</v>
      </c>
      <c r="E670" s="58" t="s">
        <v>24</v>
      </c>
      <c r="F670" s="58" t="s">
        <v>25</v>
      </c>
      <c r="G670" s="58" t="s">
        <v>25</v>
      </c>
      <c r="H670" s="58" t="s">
        <v>36</v>
      </c>
      <c r="I670" s="66">
        <v>44652</v>
      </c>
      <c r="J670" s="67">
        <f>EFEITO!$J$670*EFEITO!$Y$670</f>
        <v>0</v>
      </c>
      <c r="K670" s="67">
        <f ca="1">EFEITO!$L$670*EFEITO!$Z$670</f>
        <v>2140.0345211249487</v>
      </c>
      <c r="L670" s="67">
        <f>EFEITO!$N$670*EFEITO!$AA$670</f>
        <v>1117.5212159858063</v>
      </c>
      <c r="M670" s="67">
        <f>$J$670-EFEITO!$K$670*EFEITO!$Y$670</f>
        <v>0</v>
      </c>
      <c r="N670" s="67">
        <f ca="1">$K$670-EFEITO!$M$670*EFEITO!$Z$670</f>
        <v>0</v>
      </c>
      <c r="O670" s="67">
        <f>$L$670-EFEITO!$O$670*EFEITO!$AA$670</f>
        <v>0</v>
      </c>
      <c r="P670" s="18"/>
      <c r="Q670" s="18"/>
      <c r="R670" s="18"/>
      <c r="S670" s="18"/>
      <c r="T670" s="18"/>
      <c r="U670" s="18"/>
      <c r="V670" s="18"/>
      <c r="W670" s="18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58" t="s">
        <v>21</v>
      </c>
      <c r="B671" s="58" t="s">
        <v>22</v>
      </c>
      <c r="C671" s="58" t="s">
        <v>33</v>
      </c>
      <c r="D671" s="58" t="s">
        <v>24</v>
      </c>
      <c r="E671" s="58" t="s">
        <v>24</v>
      </c>
      <c r="F671" s="58" t="s">
        <v>25</v>
      </c>
      <c r="G671" s="58" t="s">
        <v>25</v>
      </c>
      <c r="H671" s="58" t="s">
        <v>36</v>
      </c>
      <c r="I671" s="66">
        <v>44682</v>
      </c>
      <c r="J671" s="67">
        <f>EFEITO!$J$671*EFEITO!$Y$671</f>
        <v>0</v>
      </c>
      <c r="K671" s="67">
        <f ca="1">EFEITO!$L$671*EFEITO!$Z$671</f>
        <v>1846.471137511387</v>
      </c>
      <c r="L671" s="67">
        <f>EFEITO!$N$671*EFEITO!$AA$671</f>
        <v>964.2230770135983</v>
      </c>
      <c r="M671" s="67">
        <f>$J$671-EFEITO!$K$671*EFEITO!$Y$671</f>
        <v>0</v>
      </c>
      <c r="N671" s="67">
        <f ca="1">$K$671-EFEITO!$M$671*EFEITO!$Z$671</f>
        <v>0</v>
      </c>
      <c r="O671" s="67">
        <f>$L$671-EFEITO!$O$671*EFEITO!$AA$671</f>
        <v>0</v>
      </c>
      <c r="P671" s="18"/>
      <c r="Q671" s="18"/>
      <c r="R671" s="18"/>
      <c r="S671" s="18"/>
      <c r="T671" s="18"/>
      <c r="U671" s="18"/>
      <c r="V671" s="18"/>
      <c r="W671" s="18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58" t="s">
        <v>21</v>
      </c>
      <c r="B672" s="58" t="s">
        <v>22</v>
      </c>
      <c r="C672" s="58" t="s">
        <v>33</v>
      </c>
      <c r="D672" s="58" t="s">
        <v>24</v>
      </c>
      <c r="E672" s="58" t="s">
        <v>24</v>
      </c>
      <c r="F672" s="58" t="s">
        <v>25</v>
      </c>
      <c r="G672" s="58" t="s">
        <v>25</v>
      </c>
      <c r="H672" s="58" t="s">
        <v>36</v>
      </c>
      <c r="I672" s="66">
        <v>44713</v>
      </c>
      <c r="J672" s="67">
        <f>EFEITO!$J$672*EFEITO!$Y$672</f>
        <v>0</v>
      </c>
      <c r="K672" s="67">
        <f ca="1">EFEITO!$L$672*EFEITO!$Z$672</f>
        <v>1797.2400110668766</v>
      </c>
      <c r="L672" s="67">
        <f>EFEITO!$N$672*EFEITO!$AA$672</f>
        <v>938.51469345925295</v>
      </c>
      <c r="M672" s="67">
        <f>$J$672-EFEITO!$K$672*EFEITO!$Y$672</f>
        <v>0</v>
      </c>
      <c r="N672" s="67">
        <f ca="1">$K$672-EFEITO!$M$672*EFEITO!$Z$672</f>
        <v>0</v>
      </c>
      <c r="O672" s="67">
        <f>$L$672-EFEITO!$O$672*EFEITO!$AA$672</f>
        <v>0</v>
      </c>
      <c r="P672" s="18"/>
      <c r="Q672" s="18"/>
      <c r="R672" s="18"/>
      <c r="S672" s="18"/>
      <c r="T672" s="18"/>
      <c r="U672" s="18"/>
      <c r="V672" s="18"/>
      <c r="W672" s="18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58" t="s">
        <v>21</v>
      </c>
      <c r="B673" s="58" t="s">
        <v>22</v>
      </c>
      <c r="C673" s="58" t="s">
        <v>33</v>
      </c>
      <c r="D673" s="58" t="s">
        <v>24</v>
      </c>
      <c r="E673" s="58" t="s">
        <v>24</v>
      </c>
      <c r="F673" s="58" t="s">
        <v>25</v>
      </c>
      <c r="G673" s="58" t="s">
        <v>25</v>
      </c>
      <c r="H673" s="58" t="s">
        <v>36</v>
      </c>
      <c r="I673" s="66">
        <v>44743</v>
      </c>
      <c r="J673" s="67">
        <f>EFEITO!$J$673*EFEITO!$Y$673</f>
        <v>0</v>
      </c>
      <c r="K673" s="67">
        <f ca="1">EFEITO!$L$673*EFEITO!$Z$673</f>
        <v>1831.8841370833838</v>
      </c>
      <c r="L673" s="67">
        <f>EFEITO!$N$673*EFEITO!$AA$673</f>
        <v>956.60577818268121</v>
      </c>
      <c r="M673" s="67">
        <f>$J$673-EFEITO!$K$673*EFEITO!$Y$673</f>
        <v>0</v>
      </c>
      <c r="N673" s="67">
        <f ca="1">$K$673-EFEITO!$M$673*EFEITO!$Z$673</f>
        <v>0</v>
      </c>
      <c r="O673" s="67">
        <f>$L$673-EFEITO!$O$673*EFEITO!$AA$673</f>
        <v>0</v>
      </c>
      <c r="P673" s="18"/>
      <c r="Q673" s="18"/>
      <c r="R673" s="18"/>
      <c r="S673" s="18"/>
      <c r="T673" s="18"/>
      <c r="U673" s="18"/>
      <c r="V673" s="18"/>
      <c r="W673" s="18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58" t="s">
        <v>21</v>
      </c>
      <c r="B674" s="58" t="s">
        <v>22</v>
      </c>
      <c r="C674" s="58" t="s">
        <v>33</v>
      </c>
      <c r="D674" s="58" t="s">
        <v>24</v>
      </c>
      <c r="E674" s="58" t="s">
        <v>24</v>
      </c>
      <c r="F674" s="58" t="s">
        <v>25</v>
      </c>
      <c r="G674" s="58" t="s">
        <v>25</v>
      </c>
      <c r="H674" s="58" t="s">
        <v>36</v>
      </c>
      <c r="I674" s="66">
        <v>44774</v>
      </c>
      <c r="J674" s="67">
        <f>EFEITO!$J$674*EFEITO!$Y$674</f>
        <v>0</v>
      </c>
      <c r="K674" s="67">
        <f ca="1">EFEITO!$L$674*EFEITO!$Z$674</f>
        <v>2237.8889823294689</v>
      </c>
      <c r="L674" s="67">
        <f>EFEITO!$N$674*EFEITO!$AA$674</f>
        <v>1168.6205956432091</v>
      </c>
      <c r="M674" s="67">
        <f>$J$674-EFEITO!$K$674*EFEITO!$Y$674</f>
        <v>0</v>
      </c>
      <c r="N674" s="67">
        <f ca="1">$K$674-EFEITO!$M$674*EFEITO!$Z$674</f>
        <v>0</v>
      </c>
      <c r="O674" s="67">
        <f>$L$674-EFEITO!$O$674*EFEITO!$AA$674</f>
        <v>0</v>
      </c>
      <c r="P674" s="18"/>
      <c r="Q674" s="18"/>
      <c r="R674" s="18"/>
      <c r="S674" s="18"/>
      <c r="T674" s="18"/>
      <c r="U674" s="18"/>
      <c r="V674" s="18"/>
      <c r="W674" s="18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58" t="s">
        <v>21</v>
      </c>
      <c r="B675" s="58" t="s">
        <v>22</v>
      </c>
      <c r="C675" s="58" t="s">
        <v>33</v>
      </c>
      <c r="D675" s="58" t="s">
        <v>24</v>
      </c>
      <c r="E675" s="58" t="s">
        <v>24</v>
      </c>
      <c r="F675" s="58" t="s">
        <v>25</v>
      </c>
      <c r="G675" s="58" t="s">
        <v>25</v>
      </c>
      <c r="H675" s="58" t="s">
        <v>36</v>
      </c>
      <c r="I675" s="66">
        <v>44805</v>
      </c>
      <c r="J675" s="67">
        <f>EFEITO!$J$675*EFEITO!$Y$675</f>
        <v>0</v>
      </c>
      <c r="K675" s="67">
        <f ca="1">EFEITO!$L$675*EFEITO!$Z$675</f>
        <v>2064.0605605624328</v>
      </c>
      <c r="L675" s="67">
        <f>EFEITO!$N$675*EFEITO!$AA$675</f>
        <v>1077.8477845747796</v>
      </c>
      <c r="M675" s="67">
        <f>$J$675-EFEITO!$K$675*EFEITO!$Y$675</f>
        <v>0</v>
      </c>
      <c r="N675" s="67">
        <f ca="1">$K$675-EFEITO!$M$675*EFEITO!$Z$675</f>
        <v>0</v>
      </c>
      <c r="O675" s="67">
        <f>$L$675-EFEITO!$O$675*EFEITO!$AA$675</f>
        <v>0</v>
      </c>
      <c r="P675" s="18"/>
      <c r="Q675" s="18"/>
      <c r="R675" s="18"/>
      <c r="S675" s="18"/>
      <c r="T675" s="18"/>
      <c r="U675" s="18"/>
      <c r="V675" s="18"/>
      <c r="W675" s="18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58" t="s">
        <v>55</v>
      </c>
      <c r="B676" s="58" t="s">
        <v>22</v>
      </c>
      <c r="C676" s="58" t="s">
        <v>33</v>
      </c>
      <c r="D676" s="58" t="s">
        <v>24</v>
      </c>
      <c r="E676" s="58" t="s">
        <v>24</v>
      </c>
      <c r="F676" s="58" t="s">
        <v>25</v>
      </c>
      <c r="G676" s="58" t="s">
        <v>25</v>
      </c>
      <c r="H676" s="58" t="s">
        <v>36</v>
      </c>
      <c r="I676" s="66">
        <v>44835</v>
      </c>
      <c r="J676" s="67">
        <f>EFEITO!$J$676*EFEITO!$Y$676</f>
        <v>0</v>
      </c>
      <c r="K676" s="67">
        <f ca="1">EFEITO!$L$676*EFEITO!$Z$676</f>
        <v>2064.0605605624328</v>
      </c>
      <c r="L676" s="67">
        <f>EFEITO!$N$676*EFEITO!$AA$676</f>
        <v>1077.8477845747796</v>
      </c>
      <c r="M676" s="67">
        <f>$J$676-EFEITO!$K$676*EFEITO!$Y$676</f>
        <v>0</v>
      </c>
      <c r="N676" s="67">
        <f ca="1">$K$676-EFEITO!$M$676*EFEITO!$Z$676</f>
        <v>0</v>
      </c>
      <c r="O676" s="67">
        <f>$L$676-EFEITO!$O$676*EFEITO!$AA$676</f>
        <v>0</v>
      </c>
      <c r="P676" s="18"/>
      <c r="Q676" s="18"/>
      <c r="R676" s="18"/>
      <c r="S676" s="18"/>
      <c r="T676" s="18"/>
      <c r="U676" s="18"/>
      <c r="V676" s="18"/>
      <c r="W676" s="18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58" t="s">
        <v>21</v>
      </c>
      <c r="B677" s="58" t="s">
        <v>22</v>
      </c>
      <c r="C677" s="58" t="s">
        <v>33</v>
      </c>
      <c r="D677" s="58" t="s">
        <v>24</v>
      </c>
      <c r="E677" s="58" t="s">
        <v>24</v>
      </c>
      <c r="F677" s="58" t="s">
        <v>25</v>
      </c>
      <c r="G677" s="58" t="s">
        <v>25</v>
      </c>
      <c r="H677" s="58" t="s">
        <v>34</v>
      </c>
      <c r="I677" s="66">
        <v>44501</v>
      </c>
      <c r="J677" s="67">
        <f>EFEITO!$J$677*EFEITO!$Y$677</f>
        <v>0</v>
      </c>
      <c r="K677" s="67">
        <f ca="1">EFEITO!$L$677*EFEITO!$Z$677</f>
        <v>5455.6913750317199</v>
      </c>
      <c r="L677" s="67">
        <f>EFEITO!$N$677*EFEITO!$AA$677</f>
        <v>3237.5224930052491</v>
      </c>
      <c r="M677" s="67">
        <f>$J$677-EFEITO!$K$677*EFEITO!$Y$677</f>
        <v>0</v>
      </c>
      <c r="N677" s="67">
        <f ca="1">$K$677-EFEITO!$M$677*EFEITO!$Z$677</f>
        <v>0</v>
      </c>
      <c r="O677" s="67">
        <f>$L$677-EFEITO!$O$677*EFEITO!$AA$677</f>
        <v>0</v>
      </c>
      <c r="P677" s="18"/>
      <c r="Q677" s="18"/>
      <c r="R677" s="18"/>
      <c r="S677" s="18"/>
      <c r="T677" s="18"/>
      <c r="U677" s="18"/>
      <c r="V677" s="18"/>
      <c r="W677" s="18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58" t="s">
        <v>28</v>
      </c>
      <c r="B678" s="58" t="s">
        <v>22</v>
      </c>
      <c r="C678" s="58" t="s">
        <v>33</v>
      </c>
      <c r="D678" s="58" t="s">
        <v>24</v>
      </c>
      <c r="E678" s="58" t="s">
        <v>24</v>
      </c>
      <c r="F678" s="58" t="s">
        <v>25</v>
      </c>
      <c r="G678" s="58" t="s">
        <v>25</v>
      </c>
      <c r="H678" s="58" t="s">
        <v>34</v>
      </c>
      <c r="I678" s="66">
        <v>44501</v>
      </c>
      <c r="J678" s="67">
        <f>EFEITO!$J$678*EFEITO!$Y$678</f>
        <v>0</v>
      </c>
      <c r="K678" s="67">
        <f ca="1">EFEITO!$L$678*EFEITO!$Z$678</f>
        <v>80.49980566780539</v>
      </c>
      <c r="L678" s="67">
        <f>EFEITO!$N$678*EFEITO!$AA$678</f>
        <v>47.770284940385963</v>
      </c>
      <c r="M678" s="67">
        <f>$J$678-EFEITO!$K$678*EFEITO!$Y$678</f>
        <v>0</v>
      </c>
      <c r="N678" s="67">
        <f ca="1">$K$678-EFEITO!$M$678*EFEITO!$Z$678</f>
        <v>0</v>
      </c>
      <c r="O678" s="67">
        <f>$L$678-EFEITO!$O$678*EFEITO!$AA$678</f>
        <v>0</v>
      </c>
      <c r="P678" s="18"/>
      <c r="Q678" s="18"/>
      <c r="R678" s="18"/>
      <c r="S678" s="18"/>
      <c r="T678" s="18"/>
      <c r="U678" s="18"/>
      <c r="V678" s="18"/>
      <c r="W678" s="18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58" t="s">
        <v>21</v>
      </c>
      <c r="B679" s="58" t="s">
        <v>22</v>
      </c>
      <c r="C679" s="58" t="s">
        <v>33</v>
      </c>
      <c r="D679" s="58" t="s">
        <v>24</v>
      </c>
      <c r="E679" s="58" t="s">
        <v>24</v>
      </c>
      <c r="F679" s="58" t="s">
        <v>25</v>
      </c>
      <c r="G679" s="58" t="s">
        <v>25</v>
      </c>
      <c r="H679" s="58" t="s">
        <v>34</v>
      </c>
      <c r="I679" s="66">
        <v>44531</v>
      </c>
      <c r="J679" s="67">
        <f>EFEITO!$J$679*EFEITO!$Y$679</f>
        <v>0</v>
      </c>
      <c r="K679" s="67">
        <f ca="1">EFEITO!$L$679*EFEITO!$Z$679</f>
        <v>5352.322306390106</v>
      </c>
      <c r="L679" s="67">
        <f>EFEITO!$N$679*EFEITO!$AA$679</f>
        <v>3176.1811043886173</v>
      </c>
      <c r="M679" s="67">
        <f>$J$679-EFEITO!$K$679*EFEITO!$Y$679</f>
        <v>0</v>
      </c>
      <c r="N679" s="67">
        <f ca="1">$K$679-EFEITO!$M$679*EFEITO!$Z$679</f>
        <v>0</v>
      </c>
      <c r="O679" s="67">
        <f>$L$679-EFEITO!$O$679*EFEITO!$AA$679</f>
        <v>0</v>
      </c>
      <c r="P679" s="18"/>
      <c r="Q679" s="18"/>
      <c r="R679" s="18"/>
      <c r="S679" s="18"/>
      <c r="T679" s="18"/>
      <c r="U679" s="18"/>
      <c r="V679" s="18"/>
      <c r="W679" s="18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58" t="s">
        <v>28</v>
      </c>
      <c r="B680" s="58" t="s">
        <v>22</v>
      </c>
      <c r="C680" s="58" t="s">
        <v>33</v>
      </c>
      <c r="D680" s="58" t="s">
        <v>24</v>
      </c>
      <c r="E680" s="58" t="s">
        <v>24</v>
      </c>
      <c r="F680" s="58" t="s">
        <v>25</v>
      </c>
      <c r="G680" s="58" t="s">
        <v>25</v>
      </c>
      <c r="H680" s="58" t="s">
        <v>34</v>
      </c>
      <c r="I680" s="66">
        <v>44531</v>
      </c>
      <c r="J680" s="67">
        <f>EFEITO!$J$680*EFEITO!$Y$680</f>
        <v>0</v>
      </c>
      <c r="K680" s="67">
        <f ca="1">EFEITO!$L$680*EFEITO!$Z$680</f>
        <v>56.715772175044705</v>
      </c>
      <c r="L680" s="67">
        <f>EFEITO!$N$680*EFEITO!$AA$680</f>
        <v>33.656337117090118</v>
      </c>
      <c r="M680" s="67">
        <f>$J$680-EFEITO!$K$680*EFEITO!$Y$680</f>
        <v>0</v>
      </c>
      <c r="N680" s="67">
        <f ca="1">$K$680-EFEITO!$M$680*EFEITO!$Z$680</f>
        <v>0</v>
      </c>
      <c r="O680" s="67">
        <f>$L$680-EFEITO!$O$680*EFEITO!$AA$680</f>
        <v>0</v>
      </c>
      <c r="P680" s="18"/>
      <c r="Q680" s="18"/>
      <c r="R680" s="18"/>
      <c r="S680" s="18"/>
      <c r="T680" s="18"/>
      <c r="U680" s="18"/>
      <c r="V680" s="18"/>
      <c r="W680" s="18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58" t="s">
        <v>21</v>
      </c>
      <c r="B681" s="58" t="s">
        <v>22</v>
      </c>
      <c r="C681" s="58" t="s">
        <v>33</v>
      </c>
      <c r="D681" s="58" t="s">
        <v>24</v>
      </c>
      <c r="E681" s="58" t="s">
        <v>24</v>
      </c>
      <c r="F681" s="58" t="s">
        <v>25</v>
      </c>
      <c r="G681" s="58" t="s">
        <v>25</v>
      </c>
      <c r="H681" s="58" t="s">
        <v>34</v>
      </c>
      <c r="I681" s="66">
        <v>44562</v>
      </c>
      <c r="J681" s="67">
        <f>EFEITO!$J$681*EFEITO!$Y$681</f>
        <v>0</v>
      </c>
      <c r="K681" s="67">
        <f ca="1">EFEITO!$L$681*EFEITO!$Z$681</f>
        <v>4742.1703702488994</v>
      </c>
      <c r="L681" s="67">
        <f>EFEITO!$N$681*EFEITO!$AA$681</f>
        <v>2814.1040583063736</v>
      </c>
      <c r="M681" s="67">
        <f>$J$681-EFEITO!$K$681*EFEITO!$Y$681</f>
        <v>0</v>
      </c>
      <c r="N681" s="67">
        <f ca="1">$K$681-EFEITO!$M$681*EFEITO!$Z$681</f>
        <v>0</v>
      </c>
      <c r="O681" s="67">
        <f>$L$681-EFEITO!$O$681*EFEITO!$AA$681</f>
        <v>0</v>
      </c>
      <c r="P681" s="18"/>
      <c r="Q681" s="18"/>
      <c r="R681" s="18"/>
      <c r="S681" s="18"/>
      <c r="T681" s="18"/>
      <c r="U681" s="18"/>
      <c r="V681" s="18"/>
      <c r="W681" s="18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58" t="s">
        <v>28</v>
      </c>
      <c r="B682" s="58" t="s">
        <v>22</v>
      </c>
      <c r="C682" s="58" t="s">
        <v>33</v>
      </c>
      <c r="D682" s="58" t="s">
        <v>24</v>
      </c>
      <c r="E682" s="58" t="s">
        <v>24</v>
      </c>
      <c r="F682" s="58" t="s">
        <v>25</v>
      </c>
      <c r="G682" s="58" t="s">
        <v>25</v>
      </c>
      <c r="H682" s="58" t="s">
        <v>34</v>
      </c>
      <c r="I682" s="66">
        <v>44562</v>
      </c>
      <c r="J682" s="67">
        <f>EFEITO!$J$682*EFEITO!$Y$682</f>
        <v>0</v>
      </c>
      <c r="K682" s="67">
        <f ca="1">EFEITO!$L$682*EFEITO!$Z$682</f>
        <v>61.28962476980638</v>
      </c>
      <c r="L682" s="67">
        <f>EFEITO!$N$682*EFEITO!$AA$682</f>
        <v>36.370557852339317</v>
      </c>
      <c r="M682" s="67">
        <f>$J$682-EFEITO!$K$682*EFEITO!$Y$682</f>
        <v>0</v>
      </c>
      <c r="N682" s="67">
        <f ca="1">$K$682-EFEITO!$M$682*EFEITO!$Z$682</f>
        <v>0</v>
      </c>
      <c r="O682" s="67">
        <f>$L$682-EFEITO!$O$682*EFEITO!$AA$682</f>
        <v>0</v>
      </c>
      <c r="P682" s="18"/>
      <c r="Q682" s="18"/>
      <c r="R682" s="18"/>
      <c r="S682" s="18"/>
      <c r="T682" s="18"/>
      <c r="U682" s="18"/>
      <c r="V682" s="18"/>
      <c r="W682" s="18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58" t="s">
        <v>21</v>
      </c>
      <c r="B683" s="58" t="s">
        <v>22</v>
      </c>
      <c r="C683" s="58" t="s">
        <v>33</v>
      </c>
      <c r="D683" s="58" t="s">
        <v>24</v>
      </c>
      <c r="E683" s="58" t="s">
        <v>24</v>
      </c>
      <c r="F683" s="58" t="s">
        <v>25</v>
      </c>
      <c r="G683" s="58" t="s">
        <v>25</v>
      </c>
      <c r="H683" s="58" t="s">
        <v>34</v>
      </c>
      <c r="I683" s="66">
        <v>44593</v>
      </c>
      <c r="J683" s="67">
        <f>EFEITO!$J$683*EFEITO!$Y$683</f>
        <v>0</v>
      </c>
      <c r="K683" s="67">
        <f ca="1">EFEITO!$L$683*EFEITO!$Z$683</f>
        <v>5250.7827787863971</v>
      </c>
      <c r="L683" s="67">
        <f>EFEITO!$N$683*EFEITO!$AA$683</f>
        <v>3115.9254040660849</v>
      </c>
      <c r="M683" s="67">
        <f>$J$683-EFEITO!$K$683*EFEITO!$Y$683</f>
        <v>0</v>
      </c>
      <c r="N683" s="67">
        <f ca="1">$K$683-EFEITO!$M$683*EFEITO!$Z$683</f>
        <v>0</v>
      </c>
      <c r="O683" s="67">
        <f>$L$683-EFEITO!$O$683*EFEITO!$AA$683</f>
        <v>0</v>
      </c>
      <c r="P683" s="18"/>
      <c r="Q683" s="18"/>
      <c r="R683" s="18"/>
      <c r="S683" s="18"/>
      <c r="T683" s="18"/>
      <c r="U683" s="18"/>
      <c r="V683" s="18"/>
      <c r="W683" s="18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58" t="s">
        <v>28</v>
      </c>
      <c r="B684" s="58" t="s">
        <v>22</v>
      </c>
      <c r="C684" s="58" t="s">
        <v>33</v>
      </c>
      <c r="D684" s="58" t="s">
        <v>24</v>
      </c>
      <c r="E684" s="58" t="s">
        <v>24</v>
      </c>
      <c r="F684" s="58" t="s">
        <v>25</v>
      </c>
      <c r="G684" s="58" t="s">
        <v>25</v>
      </c>
      <c r="H684" s="58" t="s">
        <v>34</v>
      </c>
      <c r="I684" s="66">
        <v>44593</v>
      </c>
      <c r="J684" s="67">
        <f>EFEITO!$J$684*EFEITO!$Y$684</f>
        <v>0</v>
      </c>
      <c r="K684" s="67">
        <f ca="1">EFEITO!$L$684*EFEITO!$Z$684</f>
        <v>75.011182554091391</v>
      </c>
      <c r="L684" s="67">
        <f>EFEITO!$N$684*EFEITO!$AA$684</f>
        <v>44.513220058086929</v>
      </c>
      <c r="M684" s="67">
        <f>$J$684-EFEITO!$K$684*EFEITO!$Y$684</f>
        <v>0</v>
      </c>
      <c r="N684" s="67">
        <f ca="1">$K$684-EFEITO!$M$684*EFEITO!$Z$684</f>
        <v>0</v>
      </c>
      <c r="O684" s="67">
        <f>$L$684-EFEITO!$O$684*EFEITO!$AA$684</f>
        <v>0</v>
      </c>
      <c r="P684" s="18"/>
      <c r="Q684" s="18"/>
      <c r="R684" s="18"/>
      <c r="S684" s="18"/>
      <c r="T684" s="18"/>
      <c r="U684" s="18"/>
      <c r="V684" s="18"/>
      <c r="W684" s="18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58" t="s">
        <v>21</v>
      </c>
      <c r="B685" s="58" t="s">
        <v>22</v>
      </c>
      <c r="C685" s="58" t="s">
        <v>33</v>
      </c>
      <c r="D685" s="58" t="s">
        <v>24</v>
      </c>
      <c r="E685" s="58" t="s">
        <v>24</v>
      </c>
      <c r="F685" s="58" t="s">
        <v>25</v>
      </c>
      <c r="G685" s="58" t="s">
        <v>25</v>
      </c>
      <c r="H685" s="58" t="s">
        <v>34</v>
      </c>
      <c r="I685" s="66">
        <v>44621</v>
      </c>
      <c r="J685" s="67">
        <f>EFEITO!$J$685*EFEITO!$Y$685</f>
        <v>0</v>
      </c>
      <c r="K685" s="67">
        <f ca="1">EFEITO!$L$685*EFEITO!$Z$685</f>
        <v>4639.716072126238</v>
      </c>
      <c r="L685" s="67">
        <f>EFEITO!$N$685*EFEITO!$AA$685</f>
        <v>2753.3055138367913</v>
      </c>
      <c r="M685" s="67">
        <f>$J$685-EFEITO!$K$685*EFEITO!$Y$685</f>
        <v>0</v>
      </c>
      <c r="N685" s="67">
        <f ca="1">$K$685-EFEITO!$M$685*EFEITO!$Z$685</f>
        <v>0</v>
      </c>
      <c r="O685" s="67">
        <f>$L$685-EFEITO!$O$685*EFEITO!$AA$685</f>
        <v>0</v>
      </c>
      <c r="P685" s="18"/>
      <c r="Q685" s="18"/>
      <c r="R685" s="18"/>
      <c r="S685" s="18"/>
      <c r="T685" s="18"/>
      <c r="U685" s="18"/>
      <c r="V685" s="18"/>
      <c r="W685" s="18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58" t="s">
        <v>28</v>
      </c>
      <c r="B686" s="58" t="s">
        <v>22</v>
      </c>
      <c r="C686" s="58" t="s">
        <v>33</v>
      </c>
      <c r="D686" s="58" t="s">
        <v>24</v>
      </c>
      <c r="E686" s="58" t="s">
        <v>24</v>
      </c>
      <c r="F686" s="58" t="s">
        <v>25</v>
      </c>
      <c r="G686" s="58" t="s">
        <v>25</v>
      </c>
      <c r="H686" s="58" t="s">
        <v>34</v>
      </c>
      <c r="I686" s="66">
        <v>44621</v>
      </c>
      <c r="J686" s="67">
        <f>EFEITO!$J$686*EFEITO!$Y$686</f>
        <v>0</v>
      </c>
      <c r="K686" s="67">
        <f ca="1">EFEITO!$L$686*EFEITO!$Z$686</f>
        <v>76.840723591996053</v>
      </c>
      <c r="L686" s="67">
        <f>EFEITO!$N$686*EFEITO!$AA$686</f>
        <v>45.598908352186612</v>
      </c>
      <c r="M686" s="67">
        <f>$J$686-EFEITO!$K$686*EFEITO!$Y$686</f>
        <v>0</v>
      </c>
      <c r="N686" s="67">
        <f ca="1">$K$686-EFEITO!$M$686*EFEITO!$Z$686</f>
        <v>0</v>
      </c>
      <c r="O686" s="67">
        <f>$L$686-EFEITO!$O$686*EFEITO!$AA$686</f>
        <v>0</v>
      </c>
      <c r="P686" s="18"/>
      <c r="Q686" s="18"/>
      <c r="R686" s="18"/>
      <c r="S686" s="18"/>
      <c r="T686" s="18"/>
      <c r="U686" s="18"/>
      <c r="V686" s="18"/>
      <c r="W686" s="18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58" t="s">
        <v>21</v>
      </c>
      <c r="B687" s="58" t="s">
        <v>22</v>
      </c>
      <c r="C687" s="58" t="s">
        <v>33</v>
      </c>
      <c r="D687" s="58" t="s">
        <v>24</v>
      </c>
      <c r="E687" s="58" t="s">
        <v>24</v>
      </c>
      <c r="F687" s="58" t="s">
        <v>25</v>
      </c>
      <c r="G687" s="58" t="s">
        <v>25</v>
      </c>
      <c r="H687" s="58" t="s">
        <v>34</v>
      </c>
      <c r="I687" s="66">
        <v>44652</v>
      </c>
      <c r="J687" s="67">
        <f>EFEITO!$J$687*EFEITO!$Y$687</f>
        <v>0</v>
      </c>
      <c r="K687" s="67">
        <f ca="1">EFEITO!$L$687*EFEITO!$Z$687</f>
        <v>4639.716072126238</v>
      </c>
      <c r="L687" s="67">
        <f>EFEITO!$N$687*EFEITO!$AA$687</f>
        <v>2753.3055138367913</v>
      </c>
      <c r="M687" s="67">
        <f>$J$687-EFEITO!$K$687*EFEITO!$Y$687</f>
        <v>0</v>
      </c>
      <c r="N687" s="67">
        <f ca="1">$K$687-EFEITO!$M$687*EFEITO!$Z$687</f>
        <v>0</v>
      </c>
      <c r="O687" s="67">
        <f>$L$687-EFEITO!$O$687*EFEITO!$AA$687</f>
        <v>0</v>
      </c>
      <c r="P687" s="18"/>
      <c r="Q687" s="18"/>
      <c r="R687" s="18"/>
      <c r="S687" s="18"/>
      <c r="T687" s="18"/>
      <c r="U687" s="18"/>
      <c r="V687" s="18"/>
      <c r="W687" s="18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58" t="s">
        <v>28</v>
      </c>
      <c r="B688" s="58" t="s">
        <v>22</v>
      </c>
      <c r="C688" s="58" t="s">
        <v>33</v>
      </c>
      <c r="D688" s="58" t="s">
        <v>24</v>
      </c>
      <c r="E688" s="58" t="s">
        <v>24</v>
      </c>
      <c r="F688" s="58" t="s">
        <v>25</v>
      </c>
      <c r="G688" s="58" t="s">
        <v>25</v>
      </c>
      <c r="H688" s="58" t="s">
        <v>34</v>
      </c>
      <c r="I688" s="66">
        <v>44652</v>
      </c>
      <c r="J688" s="67">
        <f>EFEITO!$J$688*EFEITO!$Y$688</f>
        <v>0</v>
      </c>
      <c r="K688" s="67">
        <f ca="1">EFEITO!$L$688*EFEITO!$Z$688</f>
        <v>76.840723591996053</v>
      </c>
      <c r="L688" s="67">
        <f>EFEITO!$N$688*EFEITO!$AA$688</f>
        <v>45.598908352186612</v>
      </c>
      <c r="M688" s="67">
        <f>$J$688-EFEITO!$K$688*EFEITO!$Y$688</f>
        <v>0</v>
      </c>
      <c r="N688" s="67">
        <f ca="1">$K$688-EFEITO!$M$688*EFEITO!$Z$688</f>
        <v>0</v>
      </c>
      <c r="O688" s="67">
        <f>$L$688-EFEITO!$O$688*EFEITO!$AA$688</f>
        <v>0</v>
      </c>
      <c r="P688" s="18"/>
      <c r="Q688" s="18"/>
      <c r="R688" s="18"/>
      <c r="S688" s="18"/>
      <c r="T688" s="18"/>
      <c r="U688" s="18"/>
      <c r="V688" s="18"/>
      <c r="W688" s="18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58" t="s">
        <v>21</v>
      </c>
      <c r="B689" s="58" t="s">
        <v>22</v>
      </c>
      <c r="C689" s="58" t="s">
        <v>33</v>
      </c>
      <c r="D689" s="58" t="s">
        <v>24</v>
      </c>
      <c r="E689" s="58" t="s">
        <v>24</v>
      </c>
      <c r="F689" s="58" t="s">
        <v>25</v>
      </c>
      <c r="G689" s="58" t="s">
        <v>25</v>
      </c>
      <c r="H689" s="58" t="s">
        <v>34</v>
      </c>
      <c r="I689" s="66">
        <v>44682</v>
      </c>
      <c r="J689" s="67">
        <f>EFEITO!$J$689*EFEITO!$Y$689</f>
        <v>0</v>
      </c>
      <c r="K689" s="67">
        <f ca="1">EFEITO!$L$689*EFEITO!$Z$689</f>
        <v>4017.6721192386512</v>
      </c>
      <c r="L689" s="67">
        <f>EFEITO!$N$689*EFEITO!$AA$689</f>
        <v>2384.1714938429</v>
      </c>
      <c r="M689" s="67">
        <f>$J$689-EFEITO!$K$689*EFEITO!$Y$689</f>
        <v>0</v>
      </c>
      <c r="N689" s="67">
        <f ca="1">$K$689-EFEITO!$M$689*EFEITO!$Z$689</f>
        <v>0</v>
      </c>
      <c r="O689" s="67">
        <f>$L$689-EFEITO!$O$689*EFEITO!$AA$689</f>
        <v>0</v>
      </c>
      <c r="P689" s="18"/>
      <c r="Q689" s="18"/>
      <c r="R689" s="18"/>
      <c r="S689" s="18"/>
      <c r="T689" s="18"/>
      <c r="U689" s="18"/>
      <c r="V689" s="18"/>
      <c r="W689" s="18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58" t="s">
        <v>28</v>
      </c>
      <c r="B690" s="58" t="s">
        <v>22</v>
      </c>
      <c r="C690" s="58" t="s">
        <v>33</v>
      </c>
      <c r="D690" s="58" t="s">
        <v>24</v>
      </c>
      <c r="E690" s="58" t="s">
        <v>24</v>
      </c>
      <c r="F690" s="58" t="s">
        <v>25</v>
      </c>
      <c r="G690" s="58" t="s">
        <v>25</v>
      </c>
      <c r="H690" s="58" t="s">
        <v>34</v>
      </c>
      <c r="I690" s="66">
        <v>44682</v>
      </c>
      <c r="J690" s="67">
        <f>EFEITO!$J$690*EFEITO!$Y$690</f>
        <v>0</v>
      </c>
      <c r="K690" s="67">
        <f ca="1">EFEITO!$L$690*EFEITO!$Z$690</f>
        <v>237.84033492760685</v>
      </c>
      <c r="L690" s="67">
        <f>EFEITO!$N$690*EFEITO!$AA$690</f>
        <v>141.13947823295854</v>
      </c>
      <c r="M690" s="67">
        <f>$J$690-EFEITO!$K$690*EFEITO!$Y$690</f>
        <v>0</v>
      </c>
      <c r="N690" s="67">
        <f ca="1">$K$690-EFEITO!$M$690*EFEITO!$Z$690</f>
        <v>0</v>
      </c>
      <c r="O690" s="67">
        <f>$L$690-EFEITO!$O$690*EFEITO!$AA$690</f>
        <v>0</v>
      </c>
      <c r="P690" s="18"/>
      <c r="Q690" s="18"/>
      <c r="R690" s="18"/>
      <c r="S690" s="18"/>
      <c r="T690" s="18"/>
      <c r="U690" s="18"/>
      <c r="V690" s="18"/>
      <c r="W690" s="18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58" t="s">
        <v>21</v>
      </c>
      <c r="B691" s="58" t="s">
        <v>22</v>
      </c>
      <c r="C691" s="58" t="s">
        <v>33</v>
      </c>
      <c r="D691" s="58" t="s">
        <v>24</v>
      </c>
      <c r="E691" s="58" t="s">
        <v>24</v>
      </c>
      <c r="F691" s="58" t="s">
        <v>25</v>
      </c>
      <c r="G691" s="58" t="s">
        <v>25</v>
      </c>
      <c r="H691" s="58" t="s">
        <v>34</v>
      </c>
      <c r="I691" s="66">
        <v>44713</v>
      </c>
      <c r="J691" s="67">
        <f>EFEITO!$J$691*EFEITO!$Y$691</f>
        <v>0</v>
      </c>
      <c r="K691" s="67">
        <f ca="1">EFEITO!$L$691*EFEITO!$Z$691</f>
        <v>3780.7465548299965</v>
      </c>
      <c r="L691" s="67">
        <f>EFEITO!$N$691*EFEITO!$AA$691</f>
        <v>2243.5748597569909</v>
      </c>
      <c r="M691" s="67">
        <f>$J$691-EFEITO!$K$691*EFEITO!$Y$691</f>
        <v>0</v>
      </c>
      <c r="N691" s="67">
        <f ca="1">$K$691-EFEITO!$M$691*EFEITO!$Z$691</f>
        <v>0</v>
      </c>
      <c r="O691" s="67">
        <f>$L$691-EFEITO!$O$691*EFEITO!$AA$691</f>
        <v>0</v>
      </c>
      <c r="P691" s="18"/>
      <c r="Q691" s="18"/>
      <c r="R691" s="18"/>
      <c r="S691" s="18"/>
      <c r="T691" s="18"/>
      <c r="U691" s="18"/>
      <c r="V691" s="18"/>
      <c r="W691" s="18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58" t="s">
        <v>28</v>
      </c>
      <c r="B692" s="58" t="s">
        <v>22</v>
      </c>
      <c r="C692" s="58" t="s">
        <v>33</v>
      </c>
      <c r="D692" s="58" t="s">
        <v>24</v>
      </c>
      <c r="E692" s="58" t="s">
        <v>24</v>
      </c>
      <c r="F692" s="58" t="s">
        <v>25</v>
      </c>
      <c r="G692" s="58" t="s">
        <v>25</v>
      </c>
      <c r="H692" s="58" t="s">
        <v>34</v>
      </c>
      <c r="I692" s="66">
        <v>44713</v>
      </c>
      <c r="J692" s="67">
        <f>EFEITO!$J$692*EFEITO!$Y$692</f>
        <v>0</v>
      </c>
      <c r="K692" s="67">
        <f ca="1">EFEITO!$L$692*EFEITO!$Z$692</f>
        <v>46.653296466569032</v>
      </c>
      <c r="L692" s="67">
        <f>EFEITO!$N$692*EFEITO!$AA$692</f>
        <v>27.685051499541867</v>
      </c>
      <c r="M692" s="67">
        <f>$J$692-EFEITO!$K$692*EFEITO!$Y$692</f>
        <v>0</v>
      </c>
      <c r="N692" s="67">
        <f ca="1">$K$692-EFEITO!$M$692*EFEITO!$Z$692</f>
        <v>0</v>
      </c>
      <c r="O692" s="67">
        <f>$L$692-EFEITO!$O$692*EFEITO!$AA$692</f>
        <v>0</v>
      </c>
      <c r="P692" s="18"/>
      <c r="Q692" s="18"/>
      <c r="R692" s="18"/>
      <c r="S692" s="18"/>
      <c r="T692" s="18"/>
      <c r="U692" s="18"/>
      <c r="V692" s="18"/>
      <c r="W692" s="18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58" t="s">
        <v>21</v>
      </c>
      <c r="B693" s="58" t="s">
        <v>22</v>
      </c>
      <c r="C693" s="58" t="s">
        <v>33</v>
      </c>
      <c r="D693" s="58" t="s">
        <v>24</v>
      </c>
      <c r="E693" s="58" t="s">
        <v>24</v>
      </c>
      <c r="F693" s="58" t="s">
        <v>25</v>
      </c>
      <c r="G693" s="58" t="s">
        <v>25</v>
      </c>
      <c r="H693" s="58" t="s">
        <v>34</v>
      </c>
      <c r="I693" s="66">
        <v>44743</v>
      </c>
      <c r="J693" s="67">
        <f>EFEITO!$J$693*EFEITO!$Y$693</f>
        <v>0</v>
      </c>
      <c r="K693" s="67">
        <f ca="1">EFEITO!$L$693*EFEITO!$Z$693</f>
        <v>8583.2917793297493</v>
      </c>
      <c r="L693" s="67">
        <f>EFEITO!$N$693*EFEITO!$AA$693</f>
        <v>5093.5066317686533</v>
      </c>
      <c r="M693" s="67">
        <f>$J$693-EFEITO!$K$693*EFEITO!$Y$693</f>
        <v>0</v>
      </c>
      <c r="N693" s="67">
        <f ca="1">$K$693-EFEITO!$M$693*EFEITO!$Z$693</f>
        <v>0</v>
      </c>
      <c r="O693" s="67">
        <f>$L$693-EFEITO!$O$693*EFEITO!$AA$693</f>
        <v>0</v>
      </c>
      <c r="P693" s="18"/>
      <c r="Q693" s="18"/>
      <c r="R693" s="18"/>
      <c r="S693" s="18"/>
      <c r="T693" s="18"/>
      <c r="U693" s="18"/>
      <c r="V693" s="18"/>
      <c r="W693" s="18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58" t="s">
        <v>28</v>
      </c>
      <c r="B694" s="58" t="s">
        <v>22</v>
      </c>
      <c r="C694" s="58" t="s">
        <v>33</v>
      </c>
      <c r="D694" s="58" t="s">
        <v>24</v>
      </c>
      <c r="E694" s="58" t="s">
        <v>24</v>
      </c>
      <c r="F694" s="58" t="s">
        <v>25</v>
      </c>
      <c r="G694" s="58" t="s">
        <v>25</v>
      </c>
      <c r="H694" s="58" t="s">
        <v>34</v>
      </c>
      <c r="I694" s="66">
        <v>44743</v>
      </c>
      <c r="J694" s="67">
        <f>EFEITO!$J$694*EFEITO!$Y$694</f>
        <v>0</v>
      </c>
      <c r="K694" s="67">
        <f ca="1">EFEITO!$L$694*EFEITO!$Z$694</f>
        <v>60.374854250854042</v>
      </c>
      <c r="L694" s="67">
        <f>EFEITO!$N$694*EFEITO!$AA$694</f>
        <v>35.827713705289476</v>
      </c>
      <c r="M694" s="67">
        <f>$J$694-EFEITO!$K$694*EFEITO!$Y$694</f>
        <v>0</v>
      </c>
      <c r="N694" s="67">
        <f ca="1">$K$694-EFEITO!$M$694*EFEITO!$Z$694</f>
        <v>0</v>
      </c>
      <c r="O694" s="67">
        <f>$L$694-EFEITO!$O$694*EFEITO!$AA$694</f>
        <v>0</v>
      </c>
      <c r="P694" s="18"/>
      <c r="Q694" s="18"/>
      <c r="R694" s="18"/>
      <c r="S694" s="18"/>
      <c r="T694" s="18"/>
      <c r="U694" s="18"/>
      <c r="V694" s="18"/>
      <c r="W694" s="18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58" t="s">
        <v>21</v>
      </c>
      <c r="B695" s="58" t="s">
        <v>22</v>
      </c>
      <c r="C695" s="58" t="s">
        <v>33</v>
      </c>
      <c r="D695" s="58" t="s">
        <v>24</v>
      </c>
      <c r="E695" s="58" t="s">
        <v>24</v>
      </c>
      <c r="F695" s="58" t="s">
        <v>25</v>
      </c>
      <c r="G695" s="58" t="s">
        <v>25</v>
      </c>
      <c r="H695" s="58" t="s">
        <v>34</v>
      </c>
      <c r="I695" s="66">
        <v>44774</v>
      </c>
      <c r="J695" s="67">
        <f>EFEITO!$J$695*EFEITO!$Y$695</f>
        <v>0</v>
      </c>
      <c r="K695" s="67">
        <f ca="1">EFEITO!$L$695*EFEITO!$Z$695</f>
        <v>4925.1244740393668</v>
      </c>
      <c r="L695" s="67">
        <f>EFEITO!$N$695*EFEITO!$AA$695</f>
        <v>2922.6728877163418</v>
      </c>
      <c r="M695" s="67">
        <f>$J$695-EFEITO!$K$695*EFEITO!$Y$695</f>
        <v>0</v>
      </c>
      <c r="N695" s="67">
        <f ca="1">$K$695-EFEITO!$M$695*EFEITO!$Z$695</f>
        <v>0</v>
      </c>
      <c r="O695" s="67">
        <f>$L$695-EFEITO!$O$695*EFEITO!$AA$695</f>
        <v>0</v>
      </c>
      <c r="P695" s="18"/>
      <c r="Q695" s="18"/>
      <c r="R695" s="18"/>
      <c r="S695" s="18"/>
      <c r="T695" s="18"/>
      <c r="U695" s="18"/>
      <c r="V695" s="18"/>
      <c r="W695" s="18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58" t="s">
        <v>28</v>
      </c>
      <c r="B696" s="58" t="s">
        <v>22</v>
      </c>
      <c r="C696" s="58" t="s">
        <v>33</v>
      </c>
      <c r="D696" s="58" t="s">
        <v>24</v>
      </c>
      <c r="E696" s="58" t="s">
        <v>24</v>
      </c>
      <c r="F696" s="58" t="s">
        <v>25</v>
      </c>
      <c r="G696" s="58" t="s">
        <v>25</v>
      </c>
      <c r="H696" s="58" t="s">
        <v>34</v>
      </c>
      <c r="I696" s="66">
        <v>44774</v>
      </c>
      <c r="J696" s="67">
        <f>EFEITO!$J$696*EFEITO!$Y$696</f>
        <v>0</v>
      </c>
      <c r="K696" s="67">
        <f ca="1">EFEITO!$L$696*EFEITO!$Z$696</f>
        <v>58.545313212949374</v>
      </c>
      <c r="L696" s="67">
        <f>EFEITO!$N$696*EFEITO!$AA$696</f>
        <v>34.742025411189793</v>
      </c>
      <c r="M696" s="67">
        <f>$J$696-EFEITO!$K$696*EFEITO!$Y$696</f>
        <v>0</v>
      </c>
      <c r="N696" s="67">
        <f ca="1">$K$696-EFEITO!$M$696*EFEITO!$Z$696</f>
        <v>0</v>
      </c>
      <c r="O696" s="67">
        <f>$L$696-EFEITO!$O$696*EFEITO!$AA$696</f>
        <v>0</v>
      </c>
      <c r="P696" s="18"/>
      <c r="Q696" s="18"/>
      <c r="R696" s="18"/>
      <c r="S696" s="18"/>
      <c r="T696" s="18"/>
      <c r="U696" s="18"/>
      <c r="V696" s="18"/>
      <c r="W696" s="18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58" t="s">
        <v>21</v>
      </c>
      <c r="B697" s="58" t="s">
        <v>22</v>
      </c>
      <c r="C697" s="58" t="s">
        <v>33</v>
      </c>
      <c r="D697" s="58" t="s">
        <v>24</v>
      </c>
      <c r="E697" s="58" t="s">
        <v>24</v>
      </c>
      <c r="F697" s="58" t="s">
        <v>25</v>
      </c>
      <c r="G697" s="58" t="s">
        <v>25</v>
      </c>
      <c r="H697" s="58" t="s">
        <v>34</v>
      </c>
      <c r="I697" s="66">
        <v>44805</v>
      </c>
      <c r="J697" s="67">
        <f>EFEITO!$J$697*EFEITO!$Y$697</f>
        <v>0</v>
      </c>
      <c r="K697" s="67">
        <f ca="1">EFEITO!$L$697*EFEITO!$Z$697</f>
        <v>4557.3867254205279</v>
      </c>
      <c r="L697" s="67">
        <f>EFEITO!$N$697*EFEITO!$AA$697</f>
        <v>2704.4495406023057</v>
      </c>
      <c r="M697" s="67">
        <f>$J$697-EFEITO!$K$697*EFEITO!$Y$697</f>
        <v>0</v>
      </c>
      <c r="N697" s="67">
        <f ca="1">$K$697-EFEITO!$M$697*EFEITO!$Z$697</f>
        <v>0</v>
      </c>
      <c r="O697" s="67">
        <f>$L$697-EFEITO!$O$697*EFEITO!$AA$697</f>
        <v>0</v>
      </c>
      <c r="P697" s="18"/>
      <c r="Q697" s="18"/>
      <c r="R697" s="18"/>
      <c r="S697" s="18"/>
      <c r="T697" s="18"/>
      <c r="U697" s="18"/>
      <c r="V697" s="18"/>
      <c r="W697" s="18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58" t="s">
        <v>28</v>
      </c>
      <c r="B698" s="58" t="s">
        <v>22</v>
      </c>
      <c r="C698" s="58" t="s">
        <v>33</v>
      </c>
      <c r="D698" s="58" t="s">
        <v>24</v>
      </c>
      <c r="E698" s="58" t="s">
        <v>24</v>
      </c>
      <c r="F698" s="58" t="s">
        <v>25</v>
      </c>
      <c r="G698" s="58" t="s">
        <v>25</v>
      </c>
      <c r="H698" s="58" t="s">
        <v>34</v>
      </c>
      <c r="I698" s="66">
        <v>44805</v>
      </c>
      <c r="J698" s="67">
        <f>EFEITO!$J$698*EFEITO!$Y$698</f>
        <v>0</v>
      </c>
      <c r="K698" s="67">
        <f ca="1">EFEITO!$L$698*EFEITO!$Z$698</f>
        <v>82.329346705710051</v>
      </c>
      <c r="L698" s="67">
        <f>EFEITO!$N$698*EFEITO!$AA$698</f>
        <v>48.855973234485646</v>
      </c>
      <c r="M698" s="67">
        <f>$J$698-EFEITO!$K$698*EFEITO!$Y$698</f>
        <v>0</v>
      </c>
      <c r="N698" s="67">
        <f ca="1">$K$698-EFEITO!$M$698*EFEITO!$Z$698</f>
        <v>0</v>
      </c>
      <c r="O698" s="67">
        <f>$L$698-EFEITO!$O$698*EFEITO!$AA$698</f>
        <v>0</v>
      </c>
      <c r="P698" s="18"/>
      <c r="Q698" s="18"/>
      <c r="R698" s="18"/>
      <c r="S698" s="18"/>
      <c r="T698" s="18"/>
      <c r="U698" s="18"/>
      <c r="V698" s="18"/>
      <c r="W698" s="18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58" t="s">
        <v>55</v>
      </c>
      <c r="B699" s="58" t="s">
        <v>22</v>
      </c>
      <c r="C699" s="58" t="s">
        <v>33</v>
      </c>
      <c r="D699" s="58" t="s">
        <v>24</v>
      </c>
      <c r="E699" s="58" t="s">
        <v>24</v>
      </c>
      <c r="F699" s="58" t="s">
        <v>25</v>
      </c>
      <c r="G699" s="58" t="s">
        <v>25</v>
      </c>
      <c r="H699" s="58" t="s">
        <v>34</v>
      </c>
      <c r="I699" s="66">
        <v>44835</v>
      </c>
      <c r="J699" s="67">
        <f>EFEITO!$J$699*EFEITO!$Y$699</f>
        <v>0</v>
      </c>
      <c r="K699" s="67">
        <f ca="1">EFEITO!$L$699*EFEITO!$Z$699</f>
        <v>4557.3867254205279</v>
      </c>
      <c r="L699" s="67">
        <f>EFEITO!$N$699*EFEITO!$AA$699</f>
        <v>2704.4495406023057</v>
      </c>
      <c r="M699" s="67">
        <f>$J$699-EFEITO!$K$699*EFEITO!$Y$699</f>
        <v>0</v>
      </c>
      <c r="N699" s="67">
        <f ca="1">$K$699-EFEITO!$M$699*EFEITO!$Z$699</f>
        <v>0</v>
      </c>
      <c r="O699" s="67">
        <f>$L$699-EFEITO!$O$699*EFEITO!$AA$699</f>
        <v>0</v>
      </c>
      <c r="P699" s="18"/>
      <c r="Q699" s="18"/>
      <c r="R699" s="18"/>
      <c r="S699" s="18"/>
      <c r="T699" s="18"/>
      <c r="U699" s="18"/>
      <c r="V699" s="18"/>
      <c r="W699" s="18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58" t="s">
        <v>55</v>
      </c>
      <c r="B700" s="58" t="s">
        <v>22</v>
      </c>
      <c r="C700" s="58" t="s">
        <v>33</v>
      </c>
      <c r="D700" s="58" t="s">
        <v>24</v>
      </c>
      <c r="E700" s="58" t="s">
        <v>24</v>
      </c>
      <c r="F700" s="58" t="s">
        <v>25</v>
      </c>
      <c r="G700" s="58" t="s">
        <v>25</v>
      </c>
      <c r="H700" s="58" t="s">
        <v>34</v>
      </c>
      <c r="I700" s="66">
        <v>44835</v>
      </c>
      <c r="J700" s="67">
        <f>EFEITO!$J$700*EFEITO!$Y$700</f>
        <v>0</v>
      </c>
      <c r="K700" s="67">
        <f ca="1">EFEITO!$L$700*EFEITO!$Z$700</f>
        <v>82.329346705710051</v>
      </c>
      <c r="L700" s="67">
        <f>EFEITO!$N$700*EFEITO!$AA$700</f>
        <v>48.855973234485646</v>
      </c>
      <c r="M700" s="67">
        <f>$J$700-EFEITO!$K$700*EFEITO!$Y$700</f>
        <v>0</v>
      </c>
      <c r="N700" s="67">
        <f ca="1">$K$700-EFEITO!$M$700*EFEITO!$Z$700</f>
        <v>0</v>
      </c>
      <c r="O700" s="67">
        <f>$L$700-EFEITO!$O$700*EFEITO!$AA$700</f>
        <v>0</v>
      </c>
      <c r="P700" s="18"/>
      <c r="Q700" s="18"/>
      <c r="R700" s="18"/>
      <c r="S700" s="18"/>
      <c r="T700" s="18"/>
      <c r="U700" s="18"/>
      <c r="V700" s="18"/>
      <c r="W700" s="18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58" t="s">
        <v>21</v>
      </c>
      <c r="B701" s="58" t="s">
        <v>22</v>
      </c>
      <c r="C701" s="58" t="s">
        <v>23</v>
      </c>
      <c r="D701" s="58" t="s">
        <v>24</v>
      </c>
      <c r="E701" s="58" t="s">
        <v>24</v>
      </c>
      <c r="F701" s="58" t="s">
        <v>25</v>
      </c>
      <c r="G701" s="58" t="s">
        <v>25</v>
      </c>
      <c r="H701" s="58" t="s">
        <v>25</v>
      </c>
      <c r="I701" s="66">
        <v>44501</v>
      </c>
      <c r="J701" s="67">
        <f>EFEITO!$J$701*EFEITO!$Y$701</f>
        <v>0</v>
      </c>
      <c r="K701" s="67">
        <f ca="1">EFEITO!$L$701*EFEITO!$Z$701</f>
        <v>19565149.505572211</v>
      </c>
      <c r="L701" s="67">
        <f>EFEITO!$N$701*EFEITO!$AA$701</f>
        <v>16486423.154914794</v>
      </c>
      <c r="M701" s="67">
        <f>$J$701-EFEITO!$K$701*EFEITO!$Y$701</f>
        <v>0</v>
      </c>
      <c r="N701" s="67">
        <f ca="1">$K$701-EFEITO!$M$701*EFEITO!$Z$701</f>
        <v>0</v>
      </c>
      <c r="O701" s="67">
        <f>$L$701-EFEITO!$O$701*EFEITO!$AA$701</f>
        <v>0</v>
      </c>
      <c r="P701" s="18"/>
      <c r="Q701" s="18"/>
      <c r="R701" s="18"/>
      <c r="S701" s="18"/>
      <c r="T701" s="18"/>
      <c r="U701" s="18"/>
      <c r="V701" s="18"/>
      <c r="W701" s="18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58" t="s">
        <v>27</v>
      </c>
      <c r="B702" s="58" t="s">
        <v>22</v>
      </c>
      <c r="C702" s="58" t="s">
        <v>23</v>
      </c>
      <c r="D702" s="58" t="s">
        <v>24</v>
      </c>
      <c r="E702" s="58" t="s">
        <v>24</v>
      </c>
      <c r="F702" s="58" t="s">
        <v>25</v>
      </c>
      <c r="G702" s="58" t="s">
        <v>25</v>
      </c>
      <c r="H702" s="58" t="s">
        <v>25</v>
      </c>
      <c r="I702" s="66">
        <v>44501</v>
      </c>
      <c r="J702" s="67">
        <f>EFEITO!$J$702*EFEITO!$Y$702</f>
        <v>0</v>
      </c>
      <c r="K702" s="67">
        <f ca="1">EFEITO!$L$702*EFEITO!$Z$702</f>
        <v>-50278.574018452622</v>
      </c>
      <c r="L702" s="67">
        <f>EFEITO!$N$702*EFEITO!$AA$702</f>
        <v>-42366.854731053179</v>
      </c>
      <c r="M702" s="67">
        <f>$J$702-EFEITO!$K$702*EFEITO!$Y$702</f>
        <v>0</v>
      </c>
      <c r="N702" s="67">
        <f ca="1">$K$702-EFEITO!$M$702*EFEITO!$Z$702</f>
        <v>0</v>
      </c>
      <c r="O702" s="67">
        <f>$L$702-EFEITO!$O$702*EFEITO!$AA$702</f>
        <v>0</v>
      </c>
      <c r="P702" s="18"/>
      <c r="Q702" s="18"/>
      <c r="R702" s="18"/>
      <c r="S702" s="18"/>
      <c r="T702" s="18"/>
      <c r="U702" s="18"/>
      <c r="V702" s="18"/>
      <c r="W702" s="18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58" t="s">
        <v>28</v>
      </c>
      <c r="B703" s="58" t="s">
        <v>22</v>
      </c>
      <c r="C703" s="58" t="s">
        <v>23</v>
      </c>
      <c r="D703" s="58" t="s">
        <v>24</v>
      </c>
      <c r="E703" s="58" t="s">
        <v>24</v>
      </c>
      <c r="F703" s="58" t="s">
        <v>25</v>
      </c>
      <c r="G703" s="58" t="s">
        <v>25</v>
      </c>
      <c r="H703" s="58" t="s">
        <v>25</v>
      </c>
      <c r="I703" s="66">
        <v>44501</v>
      </c>
      <c r="J703" s="67">
        <f>EFEITO!$J$703*EFEITO!$Y$703</f>
        <v>0</v>
      </c>
      <c r="K703" s="67">
        <f ca="1">EFEITO!$L$703*EFEITO!$Z$703</f>
        <v>194539.13556408935</v>
      </c>
      <c r="L703" s="67">
        <f>EFEITO!$N$703*EFEITO!$AA$703</f>
        <v>163926.91035596104</v>
      </c>
      <c r="M703" s="67">
        <f>$J$703-EFEITO!$K$703*EFEITO!$Y$703</f>
        <v>0</v>
      </c>
      <c r="N703" s="67">
        <f ca="1">$K$703-EFEITO!$M$703*EFEITO!$Z$703</f>
        <v>0</v>
      </c>
      <c r="O703" s="67">
        <f>$L$703-EFEITO!$O$703*EFEITO!$AA$703</f>
        <v>0</v>
      </c>
      <c r="P703" s="18"/>
      <c r="Q703" s="18"/>
      <c r="R703" s="18"/>
      <c r="S703" s="18"/>
      <c r="T703" s="18"/>
      <c r="U703" s="18"/>
      <c r="V703" s="18"/>
      <c r="W703" s="18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58" t="s">
        <v>28</v>
      </c>
      <c r="B704" s="58" t="s">
        <v>22</v>
      </c>
      <c r="C704" s="58" t="s">
        <v>23</v>
      </c>
      <c r="D704" s="58" t="s">
        <v>24</v>
      </c>
      <c r="E704" s="58" t="s">
        <v>24</v>
      </c>
      <c r="F704" s="58" t="s">
        <v>25</v>
      </c>
      <c r="G704" s="58" t="s">
        <v>25</v>
      </c>
      <c r="H704" s="58" t="s">
        <v>25</v>
      </c>
      <c r="I704" s="66">
        <v>44501</v>
      </c>
      <c r="J704" s="67">
        <f>EFEITO!$J$704*EFEITO!$Y$704</f>
        <v>0</v>
      </c>
      <c r="K704" s="67">
        <f ca="1">EFEITO!$L$704*EFEITO!$Z$704</f>
        <v>862.93745419130198</v>
      </c>
      <c r="L704" s="67">
        <f>EFEITO!$N$704*EFEITO!$AA$704</f>
        <v>727.14762654744277</v>
      </c>
      <c r="M704" s="67">
        <f>$J$704-EFEITO!$K$704*EFEITO!$Y$704</f>
        <v>0</v>
      </c>
      <c r="N704" s="67">
        <f ca="1">$K$704-EFEITO!$M$704*EFEITO!$Z$704</f>
        <v>0</v>
      </c>
      <c r="O704" s="67">
        <f>$L$704-EFEITO!$O$704*EFEITO!$AA$704</f>
        <v>0</v>
      </c>
      <c r="P704" s="18"/>
      <c r="Q704" s="18"/>
      <c r="R704" s="18"/>
      <c r="S704" s="18"/>
      <c r="T704" s="18"/>
      <c r="U704" s="18"/>
      <c r="V704" s="18"/>
      <c r="W704" s="18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58" t="s">
        <v>21</v>
      </c>
      <c r="B705" s="58" t="s">
        <v>22</v>
      </c>
      <c r="C705" s="58" t="s">
        <v>23</v>
      </c>
      <c r="D705" s="58" t="s">
        <v>24</v>
      </c>
      <c r="E705" s="58" t="s">
        <v>24</v>
      </c>
      <c r="F705" s="58" t="s">
        <v>25</v>
      </c>
      <c r="G705" s="58" t="s">
        <v>25</v>
      </c>
      <c r="H705" s="58" t="s">
        <v>25</v>
      </c>
      <c r="I705" s="66">
        <v>44531</v>
      </c>
      <c r="J705" s="67">
        <f>EFEITO!$J$705*EFEITO!$Y$705</f>
        <v>0</v>
      </c>
      <c r="K705" s="67">
        <f ca="1">EFEITO!$L$705*EFEITO!$Z$705</f>
        <v>18234962.737823583</v>
      </c>
      <c r="L705" s="67">
        <f>EFEITO!$N$705*EFEITO!$AA$705</f>
        <v>15365551.478369389</v>
      </c>
      <c r="M705" s="67">
        <f>$J$705-EFEITO!$K$705*EFEITO!$Y$705</f>
        <v>0</v>
      </c>
      <c r="N705" s="67">
        <f ca="1">$K$705-EFEITO!$M$705*EFEITO!$Z$705</f>
        <v>0</v>
      </c>
      <c r="O705" s="67">
        <f>$L$705-EFEITO!$O$705*EFEITO!$AA$705</f>
        <v>0</v>
      </c>
      <c r="P705" s="18"/>
      <c r="Q705" s="18"/>
      <c r="R705" s="18"/>
      <c r="S705" s="18"/>
      <c r="T705" s="18"/>
      <c r="U705" s="18"/>
      <c r="V705" s="18"/>
      <c r="W705" s="18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58" t="s">
        <v>27</v>
      </c>
      <c r="B706" s="58" t="s">
        <v>22</v>
      </c>
      <c r="C706" s="58" t="s">
        <v>23</v>
      </c>
      <c r="D706" s="58" t="s">
        <v>24</v>
      </c>
      <c r="E706" s="58" t="s">
        <v>24</v>
      </c>
      <c r="F706" s="58" t="s">
        <v>25</v>
      </c>
      <c r="G706" s="58" t="s">
        <v>25</v>
      </c>
      <c r="H706" s="58" t="s">
        <v>25</v>
      </c>
      <c r="I706" s="66">
        <v>44531</v>
      </c>
      <c r="J706" s="67">
        <f>EFEITO!$J$706*EFEITO!$Y$706</f>
        <v>0</v>
      </c>
      <c r="K706" s="67">
        <f ca="1">EFEITO!$L$706*EFEITO!$Z$706</f>
        <v>-27314.783050698879</v>
      </c>
      <c r="L706" s="67">
        <f>EFEITO!$N$706*EFEITO!$AA$706</f>
        <v>-23016.592417566906</v>
      </c>
      <c r="M706" s="67">
        <f>$J$706-EFEITO!$K$706*EFEITO!$Y$706</f>
        <v>0</v>
      </c>
      <c r="N706" s="67">
        <f ca="1">$K$706-EFEITO!$M$706*EFEITO!$Z$706</f>
        <v>0</v>
      </c>
      <c r="O706" s="67">
        <f>$L$706-EFEITO!$O$706*EFEITO!$AA$706</f>
        <v>0</v>
      </c>
      <c r="P706" s="18"/>
      <c r="Q706" s="18"/>
      <c r="R706" s="18"/>
      <c r="S706" s="18"/>
      <c r="T706" s="18"/>
      <c r="U706" s="18"/>
      <c r="V706" s="18"/>
      <c r="W706" s="18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58" t="s">
        <v>28</v>
      </c>
      <c r="B707" s="58" t="s">
        <v>22</v>
      </c>
      <c r="C707" s="58" t="s">
        <v>23</v>
      </c>
      <c r="D707" s="58" t="s">
        <v>24</v>
      </c>
      <c r="E707" s="58" t="s">
        <v>24</v>
      </c>
      <c r="F707" s="58" t="s">
        <v>25</v>
      </c>
      <c r="G707" s="58" t="s">
        <v>25</v>
      </c>
      <c r="H707" s="58" t="s">
        <v>25</v>
      </c>
      <c r="I707" s="66">
        <v>44531</v>
      </c>
      <c r="J707" s="67">
        <f>EFEITO!$J$707*EFEITO!$Y$707</f>
        <v>0</v>
      </c>
      <c r="K707" s="67">
        <f ca="1">EFEITO!$L$707*EFEITO!$Z$707</f>
        <v>185860.689682895</v>
      </c>
      <c r="L707" s="67">
        <f>EFEITO!$N$707*EFEITO!$AA$707</f>
        <v>156614.08450284658</v>
      </c>
      <c r="M707" s="67">
        <f>$J$707-EFEITO!$K$707*EFEITO!$Y$707</f>
        <v>0</v>
      </c>
      <c r="N707" s="67">
        <f ca="1">$K$707-EFEITO!$M$707*EFEITO!$Z$707</f>
        <v>0</v>
      </c>
      <c r="O707" s="67">
        <f>$L$707-EFEITO!$O$707*EFEITO!$AA$707</f>
        <v>0</v>
      </c>
      <c r="P707" s="18"/>
      <c r="Q707" s="18"/>
      <c r="R707" s="18"/>
      <c r="S707" s="18"/>
      <c r="T707" s="18"/>
      <c r="U707" s="18"/>
      <c r="V707" s="18"/>
      <c r="W707" s="18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58" t="s">
        <v>28</v>
      </c>
      <c r="B708" s="58" t="s">
        <v>22</v>
      </c>
      <c r="C708" s="58" t="s">
        <v>23</v>
      </c>
      <c r="D708" s="58" t="s">
        <v>24</v>
      </c>
      <c r="E708" s="58" t="s">
        <v>24</v>
      </c>
      <c r="F708" s="58" t="s">
        <v>25</v>
      </c>
      <c r="G708" s="58" t="s">
        <v>25</v>
      </c>
      <c r="H708" s="58" t="s">
        <v>25</v>
      </c>
      <c r="I708" s="66">
        <v>44531</v>
      </c>
      <c r="J708" s="67">
        <f>EFEITO!$J$708*EFEITO!$Y$708</f>
        <v>0</v>
      </c>
      <c r="K708" s="67">
        <f ca="1">EFEITO!$L$708*EFEITO!$Z$708</f>
        <v>603.21841458032759</v>
      </c>
      <c r="L708" s="67">
        <f>EFEITO!$N$708*EFEITO!$AA$708</f>
        <v>508.29737001374644</v>
      </c>
      <c r="M708" s="67">
        <f>$J$708-EFEITO!$K$708*EFEITO!$Y$708</f>
        <v>0</v>
      </c>
      <c r="N708" s="67">
        <f ca="1">$K$708-EFEITO!$M$708*EFEITO!$Z$708</f>
        <v>0</v>
      </c>
      <c r="O708" s="67">
        <f>$L$708-EFEITO!$O$708*EFEITO!$AA$708</f>
        <v>0</v>
      </c>
      <c r="P708" s="18"/>
      <c r="Q708" s="18"/>
      <c r="R708" s="18"/>
      <c r="S708" s="18"/>
      <c r="T708" s="18"/>
      <c r="U708" s="18"/>
      <c r="V708" s="18"/>
      <c r="W708" s="18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58" t="s">
        <v>21</v>
      </c>
      <c r="B709" s="58" t="s">
        <v>22</v>
      </c>
      <c r="C709" s="58" t="s">
        <v>23</v>
      </c>
      <c r="D709" s="58" t="s">
        <v>24</v>
      </c>
      <c r="E709" s="58" t="s">
        <v>24</v>
      </c>
      <c r="F709" s="58" t="s">
        <v>25</v>
      </c>
      <c r="G709" s="58" t="s">
        <v>25</v>
      </c>
      <c r="H709" s="58" t="s">
        <v>25</v>
      </c>
      <c r="I709" s="66">
        <v>44562</v>
      </c>
      <c r="J709" s="67">
        <f>EFEITO!$J$709*EFEITO!$Y$709</f>
        <v>0</v>
      </c>
      <c r="K709" s="67">
        <f ca="1">EFEITO!$L$709*EFEITO!$Z$709</f>
        <v>16854470.267186005</v>
      </c>
      <c r="L709" s="67">
        <f>EFEITO!$N$709*EFEITO!$AA$709</f>
        <v>14202290.0871583</v>
      </c>
      <c r="M709" s="67">
        <f>$J$709-EFEITO!$K$709*EFEITO!$Y$709</f>
        <v>0</v>
      </c>
      <c r="N709" s="67">
        <f ca="1">$K$709-EFEITO!$M$709*EFEITO!$Z$709</f>
        <v>0</v>
      </c>
      <c r="O709" s="67">
        <f>$L$709-EFEITO!$O$709*EFEITO!$AA$709</f>
        <v>0</v>
      </c>
      <c r="P709" s="18"/>
      <c r="Q709" s="18"/>
      <c r="R709" s="18"/>
      <c r="S709" s="18"/>
      <c r="T709" s="18"/>
      <c r="U709" s="18"/>
      <c r="V709" s="18"/>
      <c r="W709" s="18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58" t="s">
        <v>27</v>
      </c>
      <c r="B710" s="58" t="s">
        <v>22</v>
      </c>
      <c r="C710" s="58" t="s">
        <v>23</v>
      </c>
      <c r="D710" s="58" t="s">
        <v>24</v>
      </c>
      <c r="E710" s="58" t="s">
        <v>24</v>
      </c>
      <c r="F710" s="58" t="s">
        <v>25</v>
      </c>
      <c r="G710" s="58" t="s">
        <v>25</v>
      </c>
      <c r="H710" s="58" t="s">
        <v>25</v>
      </c>
      <c r="I710" s="66">
        <v>44562</v>
      </c>
      <c r="J710" s="67">
        <f>EFEITO!$J$710*EFEITO!$Y$710</f>
        <v>0</v>
      </c>
      <c r="K710" s="67">
        <f ca="1">EFEITO!$L$710*EFEITO!$Z$710</f>
        <v>-21624.502463953373</v>
      </c>
      <c r="L710" s="67">
        <f>EFEITO!$N$710*EFEITO!$AA$710</f>
        <v>-18221.721128872421</v>
      </c>
      <c r="M710" s="67">
        <f>$J$710-EFEITO!$K$710*EFEITO!$Y$710</f>
        <v>0</v>
      </c>
      <c r="N710" s="67">
        <f ca="1">$K$710-EFEITO!$M$710*EFEITO!$Z$710</f>
        <v>0</v>
      </c>
      <c r="O710" s="67">
        <f>$L$710-EFEITO!$O$710*EFEITO!$AA$710</f>
        <v>0</v>
      </c>
      <c r="P710" s="18"/>
      <c r="Q710" s="18"/>
      <c r="R710" s="18"/>
      <c r="S710" s="18"/>
      <c r="T710" s="18"/>
      <c r="U710" s="18"/>
      <c r="V710" s="18"/>
      <c r="W710" s="18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58" t="s">
        <v>28</v>
      </c>
      <c r="B711" s="58" t="s">
        <v>22</v>
      </c>
      <c r="C711" s="58" t="s">
        <v>23</v>
      </c>
      <c r="D711" s="58" t="s">
        <v>24</v>
      </c>
      <c r="E711" s="58" t="s">
        <v>24</v>
      </c>
      <c r="F711" s="58" t="s">
        <v>25</v>
      </c>
      <c r="G711" s="58" t="s">
        <v>25</v>
      </c>
      <c r="H711" s="58" t="s">
        <v>25</v>
      </c>
      <c r="I711" s="66">
        <v>44562</v>
      </c>
      <c r="J711" s="67">
        <f>EFEITO!$J$711*EFEITO!$Y$711</f>
        <v>0</v>
      </c>
      <c r="K711" s="67">
        <f ca="1">EFEITO!$L$711*EFEITO!$Z$711</f>
        <v>175680.58102889618</v>
      </c>
      <c r="L711" s="67">
        <f>EFEITO!$N$711*EFEITO!$AA$711</f>
        <v>148035.89403284609</v>
      </c>
      <c r="M711" s="67">
        <f>$J$711-EFEITO!$K$711*EFEITO!$Y$711</f>
        <v>0</v>
      </c>
      <c r="N711" s="67">
        <f ca="1">$K$711-EFEITO!$M$711*EFEITO!$Z$711</f>
        <v>0</v>
      </c>
      <c r="O711" s="67">
        <f>$L$711-EFEITO!$O$711*EFEITO!$AA$711</f>
        <v>0</v>
      </c>
      <c r="P711" s="18"/>
      <c r="Q711" s="18"/>
      <c r="R711" s="18"/>
      <c r="S711" s="18"/>
      <c r="T711" s="18"/>
      <c r="U711" s="18"/>
      <c r="V711" s="18"/>
      <c r="W711" s="18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58" t="s">
        <v>21</v>
      </c>
      <c r="B712" s="58" t="s">
        <v>22</v>
      </c>
      <c r="C712" s="58" t="s">
        <v>23</v>
      </c>
      <c r="D712" s="58" t="s">
        <v>24</v>
      </c>
      <c r="E712" s="58" t="s">
        <v>24</v>
      </c>
      <c r="F712" s="58" t="s">
        <v>25</v>
      </c>
      <c r="G712" s="58" t="s">
        <v>25</v>
      </c>
      <c r="H712" s="58" t="s">
        <v>25</v>
      </c>
      <c r="I712" s="66">
        <v>44593</v>
      </c>
      <c r="J712" s="67">
        <f>EFEITO!$J$712*EFEITO!$Y$712</f>
        <v>0</v>
      </c>
      <c r="K712" s="67">
        <f ca="1">EFEITO!$L$712*EFEITO!$Z$712</f>
        <v>17587918.031909332</v>
      </c>
      <c r="L712" s="67">
        <f>EFEITO!$N$712*EFEITO!$AA$712</f>
        <v>14820324.220135989</v>
      </c>
      <c r="M712" s="67">
        <f>$J$712-EFEITO!$K$712*EFEITO!$Y$712</f>
        <v>0</v>
      </c>
      <c r="N712" s="67">
        <f ca="1">$K$712-EFEITO!$M$712*EFEITO!$Z$712</f>
        <v>0</v>
      </c>
      <c r="O712" s="67">
        <f>$L$712-EFEITO!$O$712*EFEITO!$AA$712</f>
        <v>0</v>
      </c>
      <c r="P712" s="18"/>
      <c r="Q712" s="18"/>
      <c r="R712" s="18"/>
      <c r="S712" s="18"/>
      <c r="T712" s="18"/>
      <c r="U712" s="18"/>
      <c r="V712" s="18"/>
      <c r="W712" s="18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58" t="s">
        <v>27</v>
      </c>
      <c r="B713" s="58" t="s">
        <v>22</v>
      </c>
      <c r="C713" s="58" t="s">
        <v>23</v>
      </c>
      <c r="D713" s="58" t="s">
        <v>24</v>
      </c>
      <c r="E713" s="58" t="s">
        <v>24</v>
      </c>
      <c r="F713" s="58" t="s">
        <v>25</v>
      </c>
      <c r="G713" s="58" t="s">
        <v>25</v>
      </c>
      <c r="H713" s="58" t="s">
        <v>25</v>
      </c>
      <c r="I713" s="66">
        <v>44593</v>
      </c>
      <c r="J713" s="67">
        <f>EFEITO!$J$713*EFEITO!$Y$713</f>
        <v>0</v>
      </c>
      <c r="K713" s="67">
        <f ca="1">EFEITO!$L$713*EFEITO!$Z$713</f>
        <v>-34643.168670689643</v>
      </c>
      <c r="L713" s="67">
        <f>EFEITO!$N$713*EFEITO!$AA$713</f>
        <v>-29191.800347317243</v>
      </c>
      <c r="M713" s="67">
        <f>$J$713-EFEITO!$K$713*EFEITO!$Y$713</f>
        <v>0</v>
      </c>
      <c r="N713" s="67">
        <f ca="1">$K$713-EFEITO!$M$713*EFEITO!$Z$713</f>
        <v>0</v>
      </c>
      <c r="O713" s="67">
        <f>$L$713-EFEITO!$O$713*EFEITO!$AA$713</f>
        <v>0</v>
      </c>
      <c r="P713" s="18"/>
      <c r="Q713" s="18"/>
      <c r="R713" s="18"/>
      <c r="S713" s="18"/>
      <c r="T713" s="18"/>
      <c r="U713" s="18"/>
      <c r="V713" s="18"/>
      <c r="W713" s="18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58" t="s">
        <v>28</v>
      </c>
      <c r="B714" s="58" t="s">
        <v>22</v>
      </c>
      <c r="C714" s="58" t="s">
        <v>23</v>
      </c>
      <c r="D714" s="58" t="s">
        <v>24</v>
      </c>
      <c r="E714" s="58" t="s">
        <v>24</v>
      </c>
      <c r="F714" s="58" t="s">
        <v>25</v>
      </c>
      <c r="G714" s="58" t="s">
        <v>25</v>
      </c>
      <c r="H714" s="58" t="s">
        <v>25</v>
      </c>
      <c r="I714" s="66">
        <v>44593</v>
      </c>
      <c r="J714" s="67">
        <f>EFEITO!$J$714*EFEITO!$Y$714</f>
        <v>0</v>
      </c>
      <c r="K714" s="67">
        <f ca="1">EFEITO!$L$714*EFEITO!$Z$714</f>
        <v>185749.7804770396</v>
      </c>
      <c r="L714" s="67">
        <f>EFEITO!$N$714*EFEITO!$AA$714</f>
        <v>156520.62771127</v>
      </c>
      <c r="M714" s="67">
        <f>$J$714-EFEITO!$K$714*EFEITO!$Y$714</f>
        <v>0</v>
      </c>
      <c r="N714" s="67">
        <f ca="1">$K$714-EFEITO!$M$714*EFEITO!$Z$714</f>
        <v>0</v>
      </c>
      <c r="O714" s="67">
        <f>$L$714-EFEITO!$O$714*EFEITO!$AA$714</f>
        <v>0</v>
      </c>
      <c r="P714" s="18"/>
      <c r="Q714" s="18"/>
      <c r="R714" s="18"/>
      <c r="S714" s="18"/>
      <c r="T714" s="18"/>
      <c r="U714" s="18"/>
      <c r="V714" s="18"/>
      <c r="W714" s="18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58" t="s">
        <v>28</v>
      </c>
      <c r="B715" s="58" t="s">
        <v>22</v>
      </c>
      <c r="C715" s="58" t="s">
        <v>23</v>
      </c>
      <c r="D715" s="58" t="s">
        <v>24</v>
      </c>
      <c r="E715" s="58" t="s">
        <v>24</v>
      </c>
      <c r="F715" s="58" t="s">
        <v>25</v>
      </c>
      <c r="G715" s="58" t="s">
        <v>25</v>
      </c>
      <c r="H715" s="58" t="s">
        <v>25</v>
      </c>
      <c r="I715" s="66">
        <v>44593</v>
      </c>
      <c r="J715" s="67">
        <f>EFEITO!$J$715*EFEITO!$Y$715</f>
        <v>0</v>
      </c>
      <c r="K715" s="67">
        <f ca="1">EFEITO!$L$715*EFEITO!$Z$715</f>
        <v>223.81318160024063</v>
      </c>
      <c r="L715" s="67">
        <f>EFEITO!$N$715*EFEITO!$AA$715</f>
        <v>188.59446069954484</v>
      </c>
      <c r="M715" s="67">
        <f>$J$715-EFEITO!$K$715*EFEITO!$Y$715</f>
        <v>0</v>
      </c>
      <c r="N715" s="67">
        <f ca="1">$K$715-EFEITO!$M$715*EFEITO!$Z$715</f>
        <v>0</v>
      </c>
      <c r="O715" s="67">
        <f>$L$715-EFEITO!$O$715*EFEITO!$AA$715</f>
        <v>0</v>
      </c>
      <c r="P715" s="18"/>
      <c r="Q715" s="18"/>
      <c r="R715" s="18"/>
      <c r="S715" s="18"/>
      <c r="T715" s="18"/>
      <c r="U715" s="18"/>
      <c r="V715" s="18"/>
      <c r="W715" s="18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58" t="s">
        <v>21</v>
      </c>
      <c r="B716" s="58" t="s">
        <v>22</v>
      </c>
      <c r="C716" s="58" t="s">
        <v>23</v>
      </c>
      <c r="D716" s="58" t="s">
        <v>24</v>
      </c>
      <c r="E716" s="58" t="s">
        <v>24</v>
      </c>
      <c r="F716" s="58" t="s">
        <v>25</v>
      </c>
      <c r="G716" s="58" t="s">
        <v>25</v>
      </c>
      <c r="H716" s="58" t="s">
        <v>25</v>
      </c>
      <c r="I716" s="66">
        <v>44621</v>
      </c>
      <c r="J716" s="67">
        <f>EFEITO!$J$716*EFEITO!$Y$716</f>
        <v>0</v>
      </c>
      <c r="K716" s="67">
        <f ca="1">EFEITO!$L$716*EFEITO!$Z$716</f>
        <v>17591831.371478524</v>
      </c>
      <c r="L716" s="67">
        <f>EFEITO!$N$716*EFEITO!$AA$716</f>
        <v>14823621.765706401</v>
      </c>
      <c r="M716" s="67">
        <f>$J$716-EFEITO!$K$716*EFEITO!$Y$716</f>
        <v>0</v>
      </c>
      <c r="N716" s="67">
        <f ca="1">$K$716-EFEITO!$M$716*EFEITO!$Z$716</f>
        <v>0</v>
      </c>
      <c r="O716" s="67">
        <f>$L$716-EFEITO!$O$716*EFEITO!$AA$716</f>
        <v>0</v>
      </c>
      <c r="P716" s="18"/>
      <c r="Q716" s="18"/>
      <c r="R716" s="18"/>
      <c r="S716" s="18"/>
      <c r="T716" s="18"/>
      <c r="U716" s="18"/>
      <c r="V716" s="18"/>
      <c r="W716" s="18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58" t="s">
        <v>27</v>
      </c>
      <c r="B717" s="58" t="s">
        <v>22</v>
      </c>
      <c r="C717" s="58" t="s">
        <v>23</v>
      </c>
      <c r="D717" s="58" t="s">
        <v>24</v>
      </c>
      <c r="E717" s="58" t="s">
        <v>24</v>
      </c>
      <c r="F717" s="58" t="s">
        <v>25</v>
      </c>
      <c r="G717" s="58" t="s">
        <v>25</v>
      </c>
      <c r="H717" s="58" t="s">
        <v>25</v>
      </c>
      <c r="I717" s="66">
        <v>44621</v>
      </c>
      <c r="J717" s="67">
        <f>EFEITO!$J$717*EFEITO!$Y$717</f>
        <v>0</v>
      </c>
      <c r="K717" s="67">
        <f ca="1">EFEITO!$L$717*EFEITO!$Z$717</f>
        <v>-27513.861085669509</v>
      </c>
      <c r="L717" s="67">
        <f>EFEITO!$N$717*EFEITO!$AA$717</f>
        <v>-23184.343996691816</v>
      </c>
      <c r="M717" s="67">
        <f>$J$717-EFEITO!$K$717*EFEITO!$Y$717</f>
        <v>0</v>
      </c>
      <c r="N717" s="67">
        <f ca="1">$K$717-EFEITO!$M$717*EFEITO!$Z$717</f>
        <v>0</v>
      </c>
      <c r="O717" s="67">
        <f>$L$717-EFEITO!$O$717*EFEITO!$AA$717</f>
        <v>0</v>
      </c>
      <c r="P717" s="18"/>
      <c r="Q717" s="18"/>
      <c r="R717" s="18"/>
      <c r="S717" s="18"/>
      <c r="T717" s="18"/>
      <c r="U717" s="18"/>
      <c r="V717" s="18"/>
      <c r="W717" s="18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58" t="s">
        <v>28</v>
      </c>
      <c r="B718" s="58" t="s">
        <v>22</v>
      </c>
      <c r="C718" s="58" t="s">
        <v>23</v>
      </c>
      <c r="D718" s="58" t="s">
        <v>24</v>
      </c>
      <c r="E718" s="58" t="s">
        <v>24</v>
      </c>
      <c r="F718" s="58" t="s">
        <v>25</v>
      </c>
      <c r="G718" s="58" t="s">
        <v>25</v>
      </c>
      <c r="H718" s="58" t="s">
        <v>25</v>
      </c>
      <c r="I718" s="66">
        <v>44621</v>
      </c>
      <c r="J718" s="67">
        <f>EFEITO!$J$718*EFEITO!$Y$718</f>
        <v>0</v>
      </c>
      <c r="K718" s="67">
        <f ca="1">EFEITO!$L$718*EFEITO!$Z$718</f>
        <v>199058.88517968493</v>
      </c>
      <c r="L718" s="67">
        <f>EFEITO!$N$718*EFEITO!$AA$718</f>
        <v>167735.44270046218</v>
      </c>
      <c r="M718" s="67">
        <f>$J$718-EFEITO!$K$718*EFEITO!$Y$718</f>
        <v>0</v>
      </c>
      <c r="N718" s="67">
        <f ca="1">$K$718-EFEITO!$M$718*EFEITO!$Z$718</f>
        <v>0</v>
      </c>
      <c r="O718" s="67">
        <f>$L$718-EFEITO!$O$718*EFEITO!$AA$718</f>
        <v>0</v>
      </c>
      <c r="P718" s="18"/>
      <c r="Q718" s="18"/>
      <c r="R718" s="18"/>
      <c r="S718" s="18"/>
      <c r="T718" s="18"/>
      <c r="U718" s="18"/>
      <c r="V718" s="18"/>
      <c r="W718" s="18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58" t="s">
        <v>21</v>
      </c>
      <c r="B719" s="58" t="s">
        <v>22</v>
      </c>
      <c r="C719" s="58" t="s">
        <v>23</v>
      </c>
      <c r="D719" s="58" t="s">
        <v>24</v>
      </c>
      <c r="E719" s="58" t="s">
        <v>24</v>
      </c>
      <c r="F719" s="58" t="s">
        <v>25</v>
      </c>
      <c r="G719" s="58" t="s">
        <v>25</v>
      </c>
      <c r="H719" s="58" t="s">
        <v>25</v>
      </c>
      <c r="I719" s="66">
        <v>44652</v>
      </c>
      <c r="J719" s="67">
        <f>EFEITO!$J$719*EFEITO!$Y$719</f>
        <v>0</v>
      </c>
      <c r="K719" s="67">
        <f ca="1">EFEITO!$L$719*EFEITO!$Z$719</f>
        <v>17591831.371478524</v>
      </c>
      <c r="L719" s="67">
        <f>EFEITO!$N$719*EFEITO!$AA$719</f>
        <v>14823621.765706401</v>
      </c>
      <c r="M719" s="67">
        <f>$J$719-EFEITO!$K$719*EFEITO!$Y$719</f>
        <v>0</v>
      </c>
      <c r="N719" s="67">
        <f ca="1">$K$719-EFEITO!$M$719*EFEITO!$Z$719</f>
        <v>0</v>
      </c>
      <c r="O719" s="67">
        <f>$L$719-EFEITO!$O$719*EFEITO!$AA$719</f>
        <v>0</v>
      </c>
      <c r="P719" s="18"/>
      <c r="Q719" s="18"/>
      <c r="R719" s="18"/>
      <c r="S719" s="18"/>
      <c r="T719" s="18"/>
      <c r="U719" s="18"/>
      <c r="V719" s="18"/>
      <c r="W719" s="18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58" t="s">
        <v>27</v>
      </c>
      <c r="B720" s="58" t="s">
        <v>22</v>
      </c>
      <c r="C720" s="58" t="s">
        <v>23</v>
      </c>
      <c r="D720" s="58" t="s">
        <v>24</v>
      </c>
      <c r="E720" s="58" t="s">
        <v>24</v>
      </c>
      <c r="F720" s="58" t="s">
        <v>25</v>
      </c>
      <c r="G720" s="58" t="s">
        <v>25</v>
      </c>
      <c r="H720" s="58" t="s">
        <v>25</v>
      </c>
      <c r="I720" s="66">
        <v>44652</v>
      </c>
      <c r="J720" s="67">
        <f>EFEITO!$J$720*EFEITO!$Y$720</f>
        <v>0</v>
      </c>
      <c r="K720" s="67">
        <f ca="1">EFEITO!$L$720*EFEITO!$Z$720</f>
        <v>-27513.861085669509</v>
      </c>
      <c r="L720" s="67">
        <f>EFEITO!$N$720*EFEITO!$AA$720</f>
        <v>-23184.343996691816</v>
      </c>
      <c r="M720" s="67">
        <f>$J$720-EFEITO!$K$720*EFEITO!$Y$720</f>
        <v>0</v>
      </c>
      <c r="N720" s="67">
        <f ca="1">$K$720-EFEITO!$M$720*EFEITO!$Z$720</f>
        <v>0</v>
      </c>
      <c r="O720" s="67">
        <f>$L$720-EFEITO!$O$720*EFEITO!$AA$720</f>
        <v>0</v>
      </c>
      <c r="P720" s="18"/>
      <c r="Q720" s="18"/>
      <c r="R720" s="18"/>
      <c r="S720" s="18"/>
      <c r="T720" s="18"/>
      <c r="U720" s="18"/>
      <c r="V720" s="18"/>
      <c r="W720" s="18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58" t="s">
        <v>28</v>
      </c>
      <c r="B721" s="58" t="s">
        <v>22</v>
      </c>
      <c r="C721" s="58" t="s">
        <v>23</v>
      </c>
      <c r="D721" s="58" t="s">
        <v>24</v>
      </c>
      <c r="E721" s="58" t="s">
        <v>24</v>
      </c>
      <c r="F721" s="58" t="s">
        <v>25</v>
      </c>
      <c r="G721" s="58" t="s">
        <v>25</v>
      </c>
      <c r="H721" s="58" t="s">
        <v>25</v>
      </c>
      <c r="I721" s="66">
        <v>44652</v>
      </c>
      <c r="J721" s="67">
        <f>EFEITO!$J$721*EFEITO!$Y$721</f>
        <v>0</v>
      </c>
      <c r="K721" s="67">
        <f ca="1">EFEITO!$L$721*EFEITO!$Z$721</f>
        <v>199058.88517968493</v>
      </c>
      <c r="L721" s="67">
        <f>EFEITO!$N$721*EFEITO!$AA$721</f>
        <v>167735.44270046218</v>
      </c>
      <c r="M721" s="67">
        <f>$J$721-EFEITO!$K$721*EFEITO!$Y$721</f>
        <v>0</v>
      </c>
      <c r="N721" s="67">
        <f ca="1">$K$721-EFEITO!$M$721*EFEITO!$Z$721</f>
        <v>0</v>
      </c>
      <c r="O721" s="67">
        <f>$L$721-EFEITO!$O$721*EFEITO!$AA$721</f>
        <v>0</v>
      </c>
      <c r="P721" s="18"/>
      <c r="Q721" s="18"/>
      <c r="R721" s="18"/>
      <c r="S721" s="18"/>
      <c r="T721" s="18"/>
      <c r="U721" s="18"/>
      <c r="V721" s="18"/>
      <c r="W721" s="18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58" t="s">
        <v>21</v>
      </c>
      <c r="B722" s="58" t="s">
        <v>22</v>
      </c>
      <c r="C722" s="58" t="s">
        <v>23</v>
      </c>
      <c r="D722" s="58" t="s">
        <v>24</v>
      </c>
      <c r="E722" s="58" t="s">
        <v>24</v>
      </c>
      <c r="F722" s="58" t="s">
        <v>25</v>
      </c>
      <c r="G722" s="58" t="s">
        <v>25</v>
      </c>
      <c r="H722" s="58" t="s">
        <v>25</v>
      </c>
      <c r="I722" s="66">
        <v>44682</v>
      </c>
      <c r="J722" s="67">
        <f>EFEITO!$J$722*EFEITO!$Y$722</f>
        <v>0</v>
      </c>
      <c r="K722" s="67">
        <f ca="1">EFEITO!$L$722*EFEITO!$Z$722</f>
        <v>15692606.571205897</v>
      </c>
      <c r="L722" s="67">
        <f>EFEITO!$N$722*EFEITO!$AA$722</f>
        <v>13223254.555903813</v>
      </c>
      <c r="M722" s="67">
        <f>$J$722-EFEITO!$K$722*EFEITO!$Y$722</f>
        <v>0</v>
      </c>
      <c r="N722" s="67">
        <f ca="1">$K$722-EFEITO!$M$722*EFEITO!$Z$722</f>
        <v>0</v>
      </c>
      <c r="O722" s="67">
        <f>$L$722-EFEITO!$O$722*EFEITO!$AA$722</f>
        <v>0</v>
      </c>
      <c r="P722" s="18"/>
      <c r="Q722" s="18"/>
      <c r="R722" s="18"/>
      <c r="S722" s="18"/>
      <c r="T722" s="18"/>
      <c r="U722" s="18"/>
      <c r="V722" s="18"/>
      <c r="W722" s="18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58" t="s">
        <v>27</v>
      </c>
      <c r="B723" s="58" t="s">
        <v>22</v>
      </c>
      <c r="C723" s="58" t="s">
        <v>23</v>
      </c>
      <c r="D723" s="58" t="s">
        <v>24</v>
      </c>
      <c r="E723" s="58" t="s">
        <v>24</v>
      </c>
      <c r="F723" s="58" t="s">
        <v>25</v>
      </c>
      <c r="G723" s="58" t="s">
        <v>25</v>
      </c>
      <c r="H723" s="58" t="s">
        <v>25</v>
      </c>
      <c r="I723" s="66">
        <v>44682</v>
      </c>
      <c r="J723" s="67">
        <f>EFEITO!$J$723*EFEITO!$Y$723</f>
        <v>0</v>
      </c>
      <c r="K723" s="67">
        <f ca="1">EFEITO!$L$723*EFEITO!$Z$723</f>
        <v>-124850.25365901194</v>
      </c>
      <c r="L723" s="67">
        <f>EFEITO!$N$723*EFEITO!$AA$723</f>
        <v>-105204.10857247478</v>
      </c>
      <c r="M723" s="67">
        <f>$J$723-EFEITO!$K$723*EFEITO!$Y$723</f>
        <v>0</v>
      </c>
      <c r="N723" s="67">
        <f ca="1">$K$723-EFEITO!$M$723*EFEITO!$Z$723</f>
        <v>0</v>
      </c>
      <c r="O723" s="67">
        <f>$L$723-EFEITO!$O$723*EFEITO!$AA$723</f>
        <v>0</v>
      </c>
      <c r="P723" s="18"/>
      <c r="Q723" s="18"/>
      <c r="R723" s="18"/>
      <c r="S723" s="18"/>
      <c r="T723" s="18"/>
      <c r="U723" s="18"/>
      <c r="V723" s="18"/>
      <c r="W723" s="18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58" t="s">
        <v>28</v>
      </c>
      <c r="B724" s="58" t="s">
        <v>22</v>
      </c>
      <c r="C724" s="58" t="s">
        <v>23</v>
      </c>
      <c r="D724" s="58" t="s">
        <v>24</v>
      </c>
      <c r="E724" s="58" t="s">
        <v>24</v>
      </c>
      <c r="F724" s="58" t="s">
        <v>25</v>
      </c>
      <c r="G724" s="58" t="s">
        <v>25</v>
      </c>
      <c r="H724" s="58" t="s">
        <v>25</v>
      </c>
      <c r="I724" s="66">
        <v>44682</v>
      </c>
      <c r="J724" s="67">
        <f>EFEITO!$J$724*EFEITO!$Y$724</f>
        <v>0</v>
      </c>
      <c r="K724" s="67">
        <f ca="1">EFEITO!$L$724*EFEITO!$Z$724</f>
        <v>801943.77423449059</v>
      </c>
      <c r="L724" s="67">
        <f>EFEITO!$N$724*EFEITO!$AA$724</f>
        <v>675751.76998846023</v>
      </c>
      <c r="M724" s="67">
        <f>$J$724-EFEITO!$K$724*EFEITO!$Y$724</f>
        <v>0</v>
      </c>
      <c r="N724" s="67">
        <f ca="1">$K$724-EFEITO!$M$724*EFEITO!$Z$724</f>
        <v>0</v>
      </c>
      <c r="O724" s="67">
        <f>$L$724-EFEITO!$O$724*EFEITO!$AA$724</f>
        <v>0</v>
      </c>
      <c r="P724" s="18"/>
      <c r="Q724" s="18"/>
      <c r="R724" s="18"/>
      <c r="S724" s="18"/>
      <c r="T724" s="18"/>
      <c r="U724" s="18"/>
      <c r="V724" s="18"/>
      <c r="W724" s="18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58" t="s">
        <v>21</v>
      </c>
      <c r="B725" s="58" t="s">
        <v>22</v>
      </c>
      <c r="C725" s="58" t="s">
        <v>23</v>
      </c>
      <c r="D725" s="58" t="s">
        <v>24</v>
      </c>
      <c r="E725" s="58" t="s">
        <v>24</v>
      </c>
      <c r="F725" s="58" t="s">
        <v>25</v>
      </c>
      <c r="G725" s="58" t="s">
        <v>25</v>
      </c>
      <c r="H725" s="58" t="s">
        <v>25</v>
      </c>
      <c r="I725" s="66">
        <v>44713</v>
      </c>
      <c r="J725" s="67">
        <f>EFEITO!$J$725*EFEITO!$Y$725</f>
        <v>0</v>
      </c>
      <c r="K725" s="67">
        <f ca="1">EFEITO!$L$725*EFEITO!$Z$725</f>
        <v>15044919.549387233</v>
      </c>
      <c r="L725" s="67">
        <f>EFEITO!$N$725*EFEITO!$AA$725</f>
        <v>12677486.055100491</v>
      </c>
      <c r="M725" s="67">
        <f>$J$725-EFEITO!$K$725*EFEITO!$Y$725</f>
        <v>0</v>
      </c>
      <c r="N725" s="67">
        <f ca="1">$K$725-EFEITO!$M$725*EFEITO!$Z$725</f>
        <v>0</v>
      </c>
      <c r="O725" s="67">
        <f>$L$725-EFEITO!$O$725*EFEITO!$AA$725</f>
        <v>0</v>
      </c>
      <c r="P725" s="18"/>
      <c r="Q725" s="18"/>
      <c r="R725" s="18"/>
      <c r="S725" s="18"/>
      <c r="T725" s="18"/>
      <c r="U725" s="18"/>
      <c r="V725" s="18"/>
      <c r="W725" s="18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58" t="s">
        <v>27</v>
      </c>
      <c r="B726" s="58" t="s">
        <v>22</v>
      </c>
      <c r="C726" s="58" t="s">
        <v>23</v>
      </c>
      <c r="D726" s="58" t="s">
        <v>24</v>
      </c>
      <c r="E726" s="58" t="s">
        <v>24</v>
      </c>
      <c r="F726" s="58" t="s">
        <v>25</v>
      </c>
      <c r="G726" s="58" t="s">
        <v>25</v>
      </c>
      <c r="H726" s="58" t="s">
        <v>25</v>
      </c>
      <c r="I726" s="66">
        <v>44713</v>
      </c>
      <c r="J726" s="67">
        <f>EFEITO!$J$726*EFEITO!$Y$726</f>
        <v>0</v>
      </c>
      <c r="K726" s="67">
        <f ca="1">EFEITO!$L$726*EFEITO!$Z$726</f>
        <v>-25765.245800546771</v>
      </c>
      <c r="L726" s="67">
        <f>EFEITO!$N$726*EFEITO!$AA$726</f>
        <v>-21710.886739568632</v>
      </c>
      <c r="M726" s="67">
        <f>$J$726-EFEITO!$K$726*EFEITO!$Y$726</f>
        <v>0</v>
      </c>
      <c r="N726" s="67">
        <f ca="1">$K$726-EFEITO!$M$726*EFEITO!$Z$726</f>
        <v>0</v>
      </c>
      <c r="O726" s="67">
        <f>$L$726-EFEITO!$O$726*EFEITO!$AA$726</f>
        <v>0</v>
      </c>
      <c r="P726" s="18"/>
      <c r="Q726" s="18"/>
      <c r="R726" s="18"/>
      <c r="S726" s="18"/>
      <c r="T726" s="18"/>
      <c r="U726" s="18"/>
      <c r="V726" s="18"/>
      <c r="W726" s="18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58" t="s">
        <v>28</v>
      </c>
      <c r="B727" s="58" t="s">
        <v>22</v>
      </c>
      <c r="C727" s="58" t="s">
        <v>23</v>
      </c>
      <c r="D727" s="58" t="s">
        <v>24</v>
      </c>
      <c r="E727" s="58" t="s">
        <v>24</v>
      </c>
      <c r="F727" s="58" t="s">
        <v>25</v>
      </c>
      <c r="G727" s="58" t="s">
        <v>25</v>
      </c>
      <c r="H727" s="58" t="s">
        <v>25</v>
      </c>
      <c r="I727" s="66">
        <v>44713</v>
      </c>
      <c r="J727" s="67">
        <f>EFEITO!$J$727*EFEITO!$Y$727</f>
        <v>0</v>
      </c>
      <c r="K727" s="67">
        <f ca="1">EFEITO!$L$727*EFEITO!$Z$727</f>
        <v>196336.02428053762</v>
      </c>
      <c r="L727" s="67">
        <f>EFEITO!$N$727*EFEITO!$AA$727</f>
        <v>165441.04484970568</v>
      </c>
      <c r="M727" s="67">
        <f>$J$727-EFEITO!$K$727*EFEITO!$Y$727</f>
        <v>0</v>
      </c>
      <c r="N727" s="67">
        <f ca="1">$K$727-EFEITO!$M$727*EFEITO!$Z$727</f>
        <v>0</v>
      </c>
      <c r="O727" s="67">
        <f>$L$727-EFEITO!$O$727*EFEITO!$AA$727</f>
        <v>0</v>
      </c>
      <c r="P727" s="18"/>
      <c r="Q727" s="18"/>
      <c r="R727" s="18"/>
      <c r="S727" s="18"/>
      <c r="T727" s="18"/>
      <c r="U727" s="18"/>
      <c r="V727" s="18"/>
      <c r="W727" s="18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58" t="s">
        <v>21</v>
      </c>
      <c r="B728" s="58" t="s">
        <v>22</v>
      </c>
      <c r="C728" s="58" t="s">
        <v>23</v>
      </c>
      <c r="D728" s="58" t="s">
        <v>24</v>
      </c>
      <c r="E728" s="58" t="s">
        <v>24</v>
      </c>
      <c r="F728" s="58" t="s">
        <v>25</v>
      </c>
      <c r="G728" s="58" t="s">
        <v>25</v>
      </c>
      <c r="H728" s="58" t="s">
        <v>25</v>
      </c>
      <c r="I728" s="66">
        <v>44743</v>
      </c>
      <c r="J728" s="67">
        <f>EFEITO!$J$728*EFEITO!$Y$728</f>
        <v>0</v>
      </c>
      <c r="K728" s="67">
        <f ca="1">EFEITO!$L$728*EFEITO!$Z$728</f>
        <v>15014605.430330703</v>
      </c>
      <c r="L728" s="67">
        <f>EFEITO!$N$728*EFEITO!$AA$728</f>
        <v>12651942.095204243</v>
      </c>
      <c r="M728" s="67">
        <f>$J$728-EFEITO!$K$728*EFEITO!$Y$728</f>
        <v>0</v>
      </c>
      <c r="N728" s="67">
        <f ca="1">$K$728-EFEITO!$M$728*EFEITO!$Z$728</f>
        <v>0</v>
      </c>
      <c r="O728" s="67">
        <f>$L$728-EFEITO!$O$728*EFEITO!$AA$728</f>
        <v>0</v>
      </c>
      <c r="P728" s="18"/>
      <c r="Q728" s="18"/>
      <c r="R728" s="18"/>
      <c r="S728" s="18"/>
      <c r="T728" s="18"/>
      <c r="U728" s="18"/>
      <c r="V728" s="18"/>
      <c r="W728" s="18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58" t="s">
        <v>27</v>
      </c>
      <c r="B729" s="58" t="s">
        <v>22</v>
      </c>
      <c r="C729" s="58" t="s">
        <v>23</v>
      </c>
      <c r="D729" s="58" t="s">
        <v>24</v>
      </c>
      <c r="E729" s="58" t="s">
        <v>24</v>
      </c>
      <c r="F729" s="58" t="s">
        <v>25</v>
      </c>
      <c r="G729" s="58" t="s">
        <v>25</v>
      </c>
      <c r="H729" s="58" t="s">
        <v>25</v>
      </c>
      <c r="I729" s="66">
        <v>44743</v>
      </c>
      <c r="J729" s="67">
        <f>EFEITO!$J$729*EFEITO!$Y$729</f>
        <v>0</v>
      </c>
      <c r="K729" s="67">
        <f ca="1">EFEITO!$L$729*EFEITO!$Z$729</f>
        <v>-10093.535640795164</v>
      </c>
      <c r="L729" s="67">
        <f>EFEITO!$N$729*EFEITO!$AA$729</f>
        <v>-8505.240384489276</v>
      </c>
      <c r="M729" s="67">
        <f>$J$729-EFEITO!$K$729*EFEITO!$Y$729</f>
        <v>0</v>
      </c>
      <c r="N729" s="67">
        <f ca="1">$K$729-EFEITO!$M$729*EFEITO!$Z$729</f>
        <v>0</v>
      </c>
      <c r="O729" s="67">
        <f>$L$729-EFEITO!$O$729*EFEITO!$AA$729</f>
        <v>0</v>
      </c>
      <c r="P729" s="18"/>
      <c r="Q729" s="18"/>
      <c r="R729" s="18"/>
      <c r="S729" s="18"/>
      <c r="T729" s="18"/>
      <c r="U729" s="18"/>
      <c r="V729" s="18"/>
      <c r="W729" s="18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58" t="s">
        <v>28</v>
      </c>
      <c r="B730" s="58" t="s">
        <v>22</v>
      </c>
      <c r="C730" s="58" t="s">
        <v>23</v>
      </c>
      <c r="D730" s="58" t="s">
        <v>24</v>
      </c>
      <c r="E730" s="58" t="s">
        <v>24</v>
      </c>
      <c r="F730" s="58" t="s">
        <v>25</v>
      </c>
      <c r="G730" s="58" t="s">
        <v>25</v>
      </c>
      <c r="H730" s="58" t="s">
        <v>25</v>
      </c>
      <c r="I730" s="66">
        <v>44743</v>
      </c>
      <c r="J730" s="67">
        <f>EFEITO!$J$730*EFEITO!$Y$730</f>
        <v>0</v>
      </c>
      <c r="K730" s="67">
        <f ca="1">EFEITO!$L$730*EFEITO!$Z$730</f>
        <v>207154.85825314961</v>
      </c>
      <c r="L730" s="67">
        <f>EFEITO!$N$730*EFEITO!$AA$730</f>
        <v>174557.45231004481</v>
      </c>
      <c r="M730" s="67">
        <f>$J$730-EFEITO!$K$730*EFEITO!$Y$730</f>
        <v>0</v>
      </c>
      <c r="N730" s="67">
        <f ca="1">$K$730-EFEITO!$M$730*EFEITO!$Z$730</f>
        <v>0</v>
      </c>
      <c r="O730" s="67">
        <f>$L$730-EFEITO!$O$730*EFEITO!$AA$730</f>
        <v>0</v>
      </c>
      <c r="P730" s="18"/>
      <c r="Q730" s="18"/>
      <c r="R730" s="18"/>
      <c r="S730" s="18"/>
      <c r="T730" s="18"/>
      <c r="U730" s="18"/>
      <c r="V730" s="18"/>
      <c r="W730" s="18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58" t="s">
        <v>28</v>
      </c>
      <c r="B731" s="58" t="s">
        <v>22</v>
      </c>
      <c r="C731" s="58" t="s">
        <v>23</v>
      </c>
      <c r="D731" s="58" t="s">
        <v>24</v>
      </c>
      <c r="E731" s="58" t="s">
        <v>24</v>
      </c>
      <c r="F731" s="58" t="s">
        <v>25</v>
      </c>
      <c r="G731" s="58" t="s">
        <v>25</v>
      </c>
      <c r="H731" s="58" t="s">
        <v>25</v>
      </c>
      <c r="I731" s="66">
        <v>44743</v>
      </c>
      <c r="J731" s="67">
        <f>EFEITO!$J$731*EFEITO!$Y$731</f>
        <v>0</v>
      </c>
      <c r="K731" s="67">
        <f ca="1">EFEITO!$L$731*EFEITO!$Z$731</f>
        <v>-534.99728435993347</v>
      </c>
      <c r="L731" s="67">
        <f>EFEITO!$N$731*EFEITO!$AA$731</f>
        <v>-450.81135792885846</v>
      </c>
      <c r="M731" s="67">
        <f>$J$731-EFEITO!$K$731*EFEITO!$Y$731</f>
        <v>0</v>
      </c>
      <c r="N731" s="67">
        <f ca="1">$K$731-EFEITO!$M$731*EFEITO!$Z$731</f>
        <v>0</v>
      </c>
      <c r="O731" s="67">
        <f>$L$731-EFEITO!$O$731*EFEITO!$AA$731</f>
        <v>0</v>
      </c>
      <c r="P731" s="18"/>
      <c r="Q731" s="18"/>
      <c r="R731" s="18"/>
      <c r="S731" s="18"/>
      <c r="T731" s="18"/>
      <c r="U731" s="18"/>
      <c r="V731" s="18"/>
      <c r="W731" s="18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58" t="s">
        <v>21</v>
      </c>
      <c r="B732" s="58" t="s">
        <v>22</v>
      </c>
      <c r="C732" s="58" t="s">
        <v>23</v>
      </c>
      <c r="D732" s="58" t="s">
        <v>24</v>
      </c>
      <c r="E732" s="58" t="s">
        <v>24</v>
      </c>
      <c r="F732" s="58" t="s">
        <v>25</v>
      </c>
      <c r="G732" s="58" t="s">
        <v>25</v>
      </c>
      <c r="H732" s="58" t="s">
        <v>25</v>
      </c>
      <c r="I732" s="66">
        <v>44774</v>
      </c>
      <c r="J732" s="67">
        <f>EFEITO!$J$732*EFEITO!$Y$732</f>
        <v>0</v>
      </c>
      <c r="K732" s="67">
        <f ca="1">EFEITO!$L$732*EFEITO!$Z$732</f>
        <v>17783031.262247615</v>
      </c>
      <c r="L732" s="67">
        <f>EFEITO!$N$732*EFEITO!$AA$732</f>
        <v>14984734.887049785</v>
      </c>
      <c r="M732" s="67">
        <f>$J$732-EFEITO!$K$732*EFEITO!$Y$732</f>
        <v>0</v>
      </c>
      <c r="N732" s="67">
        <f ca="1">$K$732-EFEITO!$M$732*EFEITO!$Z$732</f>
        <v>0</v>
      </c>
      <c r="O732" s="67">
        <f>$L$732-EFEITO!$O$732*EFEITO!$AA$732</f>
        <v>0</v>
      </c>
      <c r="P732" s="18"/>
      <c r="Q732" s="18"/>
      <c r="R732" s="18"/>
      <c r="S732" s="18"/>
      <c r="T732" s="18"/>
      <c r="U732" s="18"/>
      <c r="V732" s="18"/>
      <c r="W732" s="18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58" t="s">
        <v>27</v>
      </c>
      <c r="B733" s="58" t="s">
        <v>22</v>
      </c>
      <c r="C733" s="58" t="s">
        <v>23</v>
      </c>
      <c r="D733" s="58" t="s">
        <v>24</v>
      </c>
      <c r="E733" s="58" t="s">
        <v>24</v>
      </c>
      <c r="F733" s="58" t="s">
        <v>25</v>
      </c>
      <c r="G733" s="58" t="s">
        <v>25</v>
      </c>
      <c r="H733" s="58" t="s">
        <v>25</v>
      </c>
      <c r="I733" s="66">
        <v>44774</v>
      </c>
      <c r="J733" s="67">
        <f>EFEITO!$J$733*EFEITO!$Y$733</f>
        <v>0</v>
      </c>
      <c r="K733" s="67">
        <f ca="1">EFEITO!$L$733*EFEITO!$Z$733</f>
        <v>-72088.59008212811</v>
      </c>
      <c r="L733" s="67">
        <f>EFEITO!$N$733*EFEITO!$AA$733</f>
        <v>-60744.897471735378</v>
      </c>
      <c r="M733" s="67">
        <f>$J$733-EFEITO!$K$733*EFEITO!$Y$733</f>
        <v>0</v>
      </c>
      <c r="N733" s="67">
        <f ca="1">$K$733-EFEITO!$M$733*EFEITO!$Z$733</f>
        <v>0</v>
      </c>
      <c r="O733" s="67">
        <f>$L$733-EFEITO!$O$733*EFEITO!$AA$733</f>
        <v>0</v>
      </c>
      <c r="P733" s="18"/>
      <c r="Q733" s="18"/>
      <c r="R733" s="18"/>
      <c r="S733" s="18"/>
      <c r="T733" s="18"/>
      <c r="U733" s="18"/>
      <c r="V733" s="18"/>
      <c r="W733" s="18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58" t="s">
        <v>28</v>
      </c>
      <c r="B734" s="58" t="s">
        <v>22</v>
      </c>
      <c r="C734" s="58" t="s">
        <v>23</v>
      </c>
      <c r="D734" s="58" t="s">
        <v>24</v>
      </c>
      <c r="E734" s="58" t="s">
        <v>24</v>
      </c>
      <c r="F734" s="58" t="s">
        <v>25</v>
      </c>
      <c r="G734" s="58" t="s">
        <v>25</v>
      </c>
      <c r="H734" s="58" t="s">
        <v>25</v>
      </c>
      <c r="I734" s="66">
        <v>44774</v>
      </c>
      <c r="J734" s="67">
        <f>EFEITO!$J$734*EFEITO!$Y$734</f>
        <v>0</v>
      </c>
      <c r="K734" s="67">
        <f ca="1">EFEITO!$L$734*EFEITO!$Z$734</f>
        <v>270558.61919043702</v>
      </c>
      <c r="L734" s="67">
        <f>EFEITO!$N$734*EFEITO!$AA$734</f>
        <v>227984.14512051747</v>
      </c>
      <c r="M734" s="67">
        <f>$J$734-EFEITO!$K$734*EFEITO!$Y$734</f>
        <v>0</v>
      </c>
      <c r="N734" s="67">
        <f ca="1">$K$734-EFEITO!$M$734*EFEITO!$Z$734</f>
        <v>0</v>
      </c>
      <c r="O734" s="67">
        <f>$L$734-EFEITO!$O$734*EFEITO!$AA$734</f>
        <v>0</v>
      </c>
      <c r="P734" s="18"/>
      <c r="Q734" s="18"/>
      <c r="R734" s="18"/>
      <c r="S734" s="18"/>
      <c r="T734" s="18"/>
      <c r="U734" s="18"/>
      <c r="V734" s="18"/>
      <c r="W734" s="18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58" t="s">
        <v>28</v>
      </c>
      <c r="B735" s="58" t="s">
        <v>22</v>
      </c>
      <c r="C735" s="58" t="s">
        <v>23</v>
      </c>
      <c r="D735" s="58" t="s">
        <v>24</v>
      </c>
      <c r="E735" s="58" t="s">
        <v>24</v>
      </c>
      <c r="F735" s="58" t="s">
        <v>25</v>
      </c>
      <c r="G735" s="58" t="s">
        <v>25</v>
      </c>
      <c r="H735" s="58" t="s">
        <v>25</v>
      </c>
      <c r="I735" s="66">
        <v>44774</v>
      </c>
      <c r="J735" s="67">
        <f>EFEITO!$J$735*EFEITO!$Y$735</f>
        <v>0</v>
      </c>
      <c r="K735" s="67">
        <f ca="1">EFEITO!$L$735*EFEITO!$Z$735</f>
        <v>-183.11987585474233</v>
      </c>
      <c r="L735" s="67">
        <f>EFEITO!$N$735*EFEITO!$AA$735</f>
        <v>-154.30455875417303</v>
      </c>
      <c r="M735" s="67">
        <f>$J$735-EFEITO!$K$735*EFEITO!$Y$735</f>
        <v>0</v>
      </c>
      <c r="N735" s="67">
        <f ca="1">$K$735-EFEITO!$M$735*EFEITO!$Z$735</f>
        <v>0</v>
      </c>
      <c r="O735" s="67">
        <f>$L$735-EFEITO!$O$735*EFEITO!$AA$735</f>
        <v>0</v>
      </c>
      <c r="P735" s="18"/>
      <c r="Q735" s="18"/>
      <c r="R735" s="18"/>
      <c r="S735" s="18"/>
      <c r="T735" s="18"/>
      <c r="U735" s="18"/>
      <c r="V735" s="18"/>
      <c r="W735" s="18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58" t="s">
        <v>21</v>
      </c>
      <c r="B736" s="58" t="s">
        <v>22</v>
      </c>
      <c r="C736" s="58" t="s">
        <v>23</v>
      </c>
      <c r="D736" s="58" t="s">
        <v>24</v>
      </c>
      <c r="E736" s="58" t="s">
        <v>24</v>
      </c>
      <c r="F736" s="58" t="s">
        <v>25</v>
      </c>
      <c r="G736" s="58" t="s">
        <v>25</v>
      </c>
      <c r="H736" s="58" t="s">
        <v>25</v>
      </c>
      <c r="I736" s="66">
        <v>44805</v>
      </c>
      <c r="J736" s="67">
        <f>EFEITO!$J$736*EFEITO!$Y$736</f>
        <v>0</v>
      </c>
      <c r="K736" s="67">
        <f ca="1">EFEITO!$L$736*EFEITO!$Z$736</f>
        <v>18263875.331555761</v>
      </c>
      <c r="L736" s="67">
        <f>EFEITO!$N$736*EFEITO!$AA$736</f>
        <v>15389914.453701578</v>
      </c>
      <c r="M736" s="67">
        <f>$J$736-EFEITO!$K$736*EFEITO!$Y$736</f>
        <v>0</v>
      </c>
      <c r="N736" s="67">
        <f ca="1">$K$736-EFEITO!$M$736*EFEITO!$Z$736</f>
        <v>0</v>
      </c>
      <c r="O736" s="67">
        <f>$L$736-EFEITO!$O$736*EFEITO!$AA$736</f>
        <v>0</v>
      </c>
      <c r="P736" s="18"/>
      <c r="Q736" s="18"/>
      <c r="R736" s="18"/>
      <c r="S736" s="18"/>
      <c r="T736" s="18"/>
      <c r="U736" s="18"/>
      <c r="V736" s="18"/>
      <c r="W736" s="18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58" t="s">
        <v>27</v>
      </c>
      <c r="B737" s="58" t="s">
        <v>22</v>
      </c>
      <c r="C737" s="58" t="s">
        <v>23</v>
      </c>
      <c r="D737" s="58" t="s">
        <v>24</v>
      </c>
      <c r="E737" s="58" t="s">
        <v>24</v>
      </c>
      <c r="F737" s="58" t="s">
        <v>25</v>
      </c>
      <c r="G737" s="58" t="s">
        <v>25</v>
      </c>
      <c r="H737" s="58" t="s">
        <v>25</v>
      </c>
      <c r="I737" s="66">
        <v>44805</v>
      </c>
      <c r="J737" s="67">
        <f>EFEITO!$J$737*EFEITO!$Y$737</f>
        <v>0</v>
      </c>
      <c r="K737" s="67">
        <f ca="1">EFEITO!$L$737*EFEITO!$Z$737</f>
        <v>-37938.12957414132</v>
      </c>
      <c r="L737" s="67">
        <f>EFEITO!$N$737*EFEITO!$AA$737</f>
        <v>-31968.273878364551</v>
      </c>
      <c r="M737" s="67">
        <f>$J$737-EFEITO!$K$737*EFEITO!$Y$737</f>
        <v>0</v>
      </c>
      <c r="N737" s="67">
        <f ca="1">$K$737-EFEITO!$M$737*EFEITO!$Z$737</f>
        <v>0</v>
      </c>
      <c r="O737" s="67">
        <f>$L$737-EFEITO!$O$737*EFEITO!$AA$737</f>
        <v>0</v>
      </c>
      <c r="P737" s="18"/>
      <c r="Q737" s="18"/>
      <c r="R737" s="18"/>
      <c r="S737" s="18"/>
      <c r="T737" s="18"/>
      <c r="U737" s="18"/>
      <c r="V737" s="18"/>
      <c r="W737" s="18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58" t="s">
        <v>28</v>
      </c>
      <c r="B738" s="58" t="s">
        <v>22</v>
      </c>
      <c r="C738" s="58" t="s">
        <v>23</v>
      </c>
      <c r="D738" s="58" t="s">
        <v>24</v>
      </c>
      <c r="E738" s="58" t="s">
        <v>24</v>
      </c>
      <c r="F738" s="58" t="s">
        <v>25</v>
      </c>
      <c r="G738" s="58" t="s">
        <v>25</v>
      </c>
      <c r="H738" s="58" t="s">
        <v>25</v>
      </c>
      <c r="I738" s="66">
        <v>44805</v>
      </c>
      <c r="J738" s="67">
        <f>EFEITO!$J$738*EFEITO!$Y$738</f>
        <v>0</v>
      </c>
      <c r="K738" s="67">
        <f ca="1">EFEITO!$L$738*EFEITO!$Z$738</f>
        <v>284835.5862434606</v>
      </c>
      <c r="L738" s="67">
        <f>EFEITO!$N$738*EFEITO!$AA$738</f>
        <v>240014.52189519469</v>
      </c>
      <c r="M738" s="67">
        <f>$J$738-EFEITO!$K$738*EFEITO!$Y$738</f>
        <v>0</v>
      </c>
      <c r="N738" s="67">
        <f ca="1">$K$738-EFEITO!$M$738*EFEITO!$Z$738</f>
        <v>0</v>
      </c>
      <c r="O738" s="67">
        <f>$L$738-EFEITO!$O$738*EFEITO!$AA$738</f>
        <v>0</v>
      </c>
      <c r="P738" s="18"/>
      <c r="Q738" s="18"/>
      <c r="R738" s="18"/>
      <c r="S738" s="18"/>
      <c r="T738" s="18"/>
      <c r="U738" s="18"/>
      <c r="V738" s="18"/>
      <c r="W738" s="18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58" t="s">
        <v>28</v>
      </c>
      <c r="B739" s="58" t="s">
        <v>22</v>
      </c>
      <c r="C739" s="58" t="s">
        <v>23</v>
      </c>
      <c r="D739" s="58" t="s">
        <v>24</v>
      </c>
      <c r="E739" s="58" t="s">
        <v>24</v>
      </c>
      <c r="F739" s="58" t="s">
        <v>25</v>
      </c>
      <c r="G739" s="58" t="s">
        <v>25</v>
      </c>
      <c r="H739" s="58" t="s">
        <v>25</v>
      </c>
      <c r="I739" s="66">
        <v>44805</v>
      </c>
      <c r="J739" s="67">
        <f>EFEITO!$J$739*EFEITO!$Y$739</f>
        <v>0</v>
      </c>
      <c r="K739" s="67">
        <f ca="1">EFEITO!$L$739*EFEITO!$Z$739</f>
        <v>-94.552092761598971</v>
      </c>
      <c r="L739" s="67">
        <f>EFEITO!$N$739*EFEITO!$AA$739</f>
        <v>-79.673595696599136</v>
      </c>
      <c r="M739" s="67">
        <f>$J$739-EFEITO!$K$739*EFEITO!$Y$739</f>
        <v>0</v>
      </c>
      <c r="N739" s="67">
        <f ca="1">$K$739-EFEITO!$M$739*EFEITO!$Z$739</f>
        <v>0</v>
      </c>
      <c r="O739" s="67">
        <f>$L$739-EFEITO!$O$739*EFEITO!$AA$739</f>
        <v>0</v>
      </c>
      <c r="P739" s="18"/>
      <c r="Q739" s="18"/>
      <c r="R739" s="18"/>
      <c r="S739" s="18"/>
      <c r="T739" s="18"/>
      <c r="U739" s="18"/>
      <c r="V739" s="18"/>
      <c r="W739" s="18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58" t="s">
        <v>55</v>
      </c>
      <c r="B740" s="58" t="s">
        <v>22</v>
      </c>
      <c r="C740" s="58" t="s">
        <v>23</v>
      </c>
      <c r="D740" s="58" t="s">
        <v>24</v>
      </c>
      <c r="E740" s="58" t="s">
        <v>24</v>
      </c>
      <c r="F740" s="58" t="s">
        <v>25</v>
      </c>
      <c r="G740" s="58" t="s">
        <v>25</v>
      </c>
      <c r="H740" s="58" t="s">
        <v>25</v>
      </c>
      <c r="I740" s="66">
        <v>44835</v>
      </c>
      <c r="J740" s="67">
        <f>EFEITO!$J$740*EFEITO!$Y$740</f>
        <v>0</v>
      </c>
      <c r="K740" s="67">
        <f ca="1">EFEITO!$L$740*EFEITO!$Z$740</f>
        <v>18263875.331555761</v>
      </c>
      <c r="L740" s="67">
        <f>EFEITO!$N$740*EFEITO!$AA$740</f>
        <v>15389914.453701578</v>
      </c>
      <c r="M740" s="67">
        <f>$J$740-EFEITO!$K$740*EFEITO!$Y$740</f>
        <v>0</v>
      </c>
      <c r="N740" s="67">
        <f ca="1">$K$740-EFEITO!$M$740*EFEITO!$Z$740</f>
        <v>0</v>
      </c>
      <c r="O740" s="67">
        <f>$L$740-EFEITO!$O$740*EFEITO!$AA$740</f>
        <v>0</v>
      </c>
      <c r="P740" s="18"/>
      <c r="Q740" s="18"/>
      <c r="R740" s="18"/>
      <c r="S740" s="18"/>
      <c r="T740" s="18"/>
      <c r="U740" s="18"/>
      <c r="V740" s="18"/>
      <c r="W740" s="18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58" t="s">
        <v>55</v>
      </c>
      <c r="B741" s="58" t="s">
        <v>22</v>
      </c>
      <c r="C741" s="58" t="s">
        <v>23</v>
      </c>
      <c r="D741" s="58" t="s">
        <v>24</v>
      </c>
      <c r="E741" s="58" t="s">
        <v>24</v>
      </c>
      <c r="F741" s="58" t="s">
        <v>25</v>
      </c>
      <c r="G741" s="58" t="s">
        <v>25</v>
      </c>
      <c r="H741" s="58" t="s">
        <v>25</v>
      </c>
      <c r="I741" s="66">
        <v>44835</v>
      </c>
      <c r="J741" s="67">
        <f>EFEITO!$J$741*EFEITO!$Y$741</f>
        <v>0</v>
      </c>
      <c r="K741" s="67">
        <f ca="1">EFEITO!$L$741*EFEITO!$Z$741</f>
        <v>-37938.12957414132</v>
      </c>
      <c r="L741" s="67">
        <f>EFEITO!$N$741*EFEITO!$AA$741</f>
        <v>-31968.273878364551</v>
      </c>
      <c r="M741" s="67">
        <f>$J$741-EFEITO!$K$741*EFEITO!$Y$741</f>
        <v>0</v>
      </c>
      <c r="N741" s="67">
        <f ca="1">$K$741-EFEITO!$M$741*EFEITO!$Z$741</f>
        <v>0</v>
      </c>
      <c r="O741" s="67">
        <f>$L$741-EFEITO!$O$741*EFEITO!$AA$741</f>
        <v>0</v>
      </c>
      <c r="P741" s="18"/>
      <c r="Q741" s="18"/>
      <c r="R741" s="18"/>
      <c r="S741" s="18"/>
      <c r="T741" s="18"/>
      <c r="U741" s="18"/>
      <c r="V741" s="18"/>
      <c r="W741" s="18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58" t="s">
        <v>55</v>
      </c>
      <c r="B742" s="58" t="s">
        <v>22</v>
      </c>
      <c r="C742" s="58" t="s">
        <v>23</v>
      </c>
      <c r="D742" s="58" t="s">
        <v>24</v>
      </c>
      <c r="E742" s="58" t="s">
        <v>24</v>
      </c>
      <c r="F742" s="58" t="s">
        <v>25</v>
      </c>
      <c r="G742" s="58" t="s">
        <v>25</v>
      </c>
      <c r="H742" s="58" t="s">
        <v>25</v>
      </c>
      <c r="I742" s="66">
        <v>44835</v>
      </c>
      <c r="J742" s="67">
        <f>EFEITO!$J$742*EFEITO!$Y$742</f>
        <v>0</v>
      </c>
      <c r="K742" s="67">
        <f ca="1">EFEITO!$L$742*EFEITO!$Z$742</f>
        <v>284835.5862434606</v>
      </c>
      <c r="L742" s="67">
        <f>EFEITO!$N$742*EFEITO!$AA$742</f>
        <v>240014.52189519469</v>
      </c>
      <c r="M742" s="67">
        <f>$J$742-EFEITO!$K$742*EFEITO!$Y$742</f>
        <v>0</v>
      </c>
      <c r="N742" s="67">
        <f ca="1">$K$742-EFEITO!$M$742*EFEITO!$Z$742</f>
        <v>0</v>
      </c>
      <c r="O742" s="67">
        <f>$L$742-EFEITO!$O$742*EFEITO!$AA$742</f>
        <v>0</v>
      </c>
      <c r="P742" s="18"/>
      <c r="Q742" s="18"/>
      <c r="R742" s="18"/>
      <c r="S742" s="18"/>
      <c r="T742" s="18"/>
      <c r="U742" s="18"/>
      <c r="V742" s="18"/>
      <c r="W742" s="18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58" t="s">
        <v>55</v>
      </c>
      <c r="B743" s="58" t="s">
        <v>22</v>
      </c>
      <c r="C743" s="58" t="s">
        <v>23</v>
      </c>
      <c r="D743" s="58" t="s">
        <v>24</v>
      </c>
      <c r="E743" s="58" t="s">
        <v>24</v>
      </c>
      <c r="F743" s="58" t="s">
        <v>25</v>
      </c>
      <c r="G743" s="58" t="s">
        <v>25</v>
      </c>
      <c r="H743" s="58" t="s">
        <v>25</v>
      </c>
      <c r="I743" s="66">
        <v>44835</v>
      </c>
      <c r="J743" s="67">
        <f>EFEITO!$J$743*EFEITO!$Y$743</f>
        <v>0</v>
      </c>
      <c r="K743" s="67">
        <f ca="1">EFEITO!$L$743*EFEITO!$Z$743</f>
        <v>-94.552092761598971</v>
      </c>
      <c r="L743" s="67">
        <f>EFEITO!$N$743*EFEITO!$AA$743</f>
        <v>-79.673595696599136</v>
      </c>
      <c r="M743" s="67">
        <f>$J$743-EFEITO!$K$743*EFEITO!$Y$743</f>
        <v>0</v>
      </c>
      <c r="N743" s="67">
        <f ca="1">$K$743-EFEITO!$M$743*EFEITO!$Z$743</f>
        <v>0</v>
      </c>
      <c r="O743" s="67">
        <f>$L$743-EFEITO!$O$743*EFEITO!$AA$743</f>
        <v>0</v>
      </c>
      <c r="P743" s="18"/>
      <c r="Q743" s="18"/>
      <c r="R743" s="18"/>
      <c r="S743" s="18"/>
      <c r="T743" s="18"/>
      <c r="U743" s="18"/>
      <c r="V743" s="18"/>
      <c r="W743" s="18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58" t="s">
        <v>21</v>
      </c>
      <c r="B744" s="58" t="s">
        <v>22</v>
      </c>
      <c r="C744" s="58" t="s">
        <v>23</v>
      </c>
      <c r="D744" s="58" t="s">
        <v>24</v>
      </c>
      <c r="E744" s="58" t="s">
        <v>29</v>
      </c>
      <c r="F744" s="58" t="s">
        <v>25</v>
      </c>
      <c r="G744" s="58" t="s">
        <v>25</v>
      </c>
      <c r="H744" s="58" t="s">
        <v>25</v>
      </c>
      <c r="I744" s="66">
        <v>44501</v>
      </c>
      <c r="J744" s="67">
        <f>EFEITO!$J$744*EFEITO!$Y$701</f>
        <v>0</v>
      </c>
      <c r="K744" s="67">
        <f ca="1">EFEITO!$L$744*EFEITO!$Z$817</f>
        <v>280069.32520270906</v>
      </c>
      <c r="L744" s="67">
        <f>EFEITO!$N$744*EFEITO!$AA$817</f>
        <v>277043.58189008501</v>
      </c>
      <c r="M744" s="67">
        <f>$J$744-EFEITO!$K$744*EFEITO!$Y$744</f>
        <v>0</v>
      </c>
      <c r="N744" s="67">
        <f ca="1">$K$744-EFEITO!$M$744*EFEITO!$Z$744</f>
        <v>182045.0613817609</v>
      </c>
      <c r="O744" s="67">
        <f>$L$744-EFEITO!$O$744*EFEITO!$AA$744</f>
        <v>180078.32822855527</v>
      </c>
      <c r="P744" s="18"/>
      <c r="Q744" s="18"/>
      <c r="R744" s="18"/>
      <c r="S744" s="18"/>
      <c r="T744" s="18"/>
      <c r="U744" s="18"/>
      <c r="V744" s="18"/>
      <c r="W744" s="18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58" t="s">
        <v>27</v>
      </c>
      <c r="B745" s="58" t="s">
        <v>22</v>
      </c>
      <c r="C745" s="58" t="s">
        <v>23</v>
      </c>
      <c r="D745" s="58" t="s">
        <v>24</v>
      </c>
      <c r="E745" s="58" t="s">
        <v>29</v>
      </c>
      <c r="F745" s="58" t="s">
        <v>25</v>
      </c>
      <c r="G745" s="58" t="s">
        <v>25</v>
      </c>
      <c r="H745" s="58" t="s">
        <v>25</v>
      </c>
      <c r="I745" s="66">
        <v>44501</v>
      </c>
      <c r="J745" s="67">
        <f>EFEITO!$J$745*EFEITO!$Y$701</f>
        <v>0</v>
      </c>
      <c r="K745" s="67">
        <f ca="1">EFEITO!$L$745*EFEITO!$Z$817</f>
        <v>-295.66694607277344</v>
      </c>
      <c r="L745" s="67">
        <f>EFEITO!$N$745*EFEITO!$AA$817</f>
        <v>-292.47269306346521</v>
      </c>
      <c r="M745" s="67">
        <f>$J$745-EFEITO!$K$745*EFEITO!$Y$745</f>
        <v>0</v>
      </c>
      <c r="N745" s="67">
        <f ca="1">$K$745-EFEITO!$M$745*EFEITO!$Z$745</f>
        <v>-192.18351494730274</v>
      </c>
      <c r="O745" s="67">
        <f>$L$745-EFEITO!$O$745*EFEITO!$AA$745</f>
        <v>-190.10725049125239</v>
      </c>
      <c r="P745" s="18"/>
      <c r="Q745" s="18"/>
      <c r="R745" s="18"/>
      <c r="S745" s="18"/>
      <c r="T745" s="18"/>
      <c r="U745" s="18"/>
      <c r="V745" s="18"/>
      <c r="W745" s="18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58" t="s">
        <v>21</v>
      </c>
      <c r="B746" s="58" t="s">
        <v>22</v>
      </c>
      <c r="C746" s="58" t="s">
        <v>23</v>
      </c>
      <c r="D746" s="58" t="s">
        <v>24</v>
      </c>
      <c r="E746" s="58" t="s">
        <v>29</v>
      </c>
      <c r="F746" s="58" t="s">
        <v>25</v>
      </c>
      <c r="G746" s="58" t="s">
        <v>25</v>
      </c>
      <c r="H746" s="58" t="s">
        <v>25</v>
      </c>
      <c r="I746" s="66">
        <v>44531</v>
      </c>
      <c r="J746" s="67">
        <f>EFEITO!$J$746*EFEITO!$Y$701</f>
        <v>0</v>
      </c>
      <c r="K746" s="67">
        <f ca="1">EFEITO!$L$746*EFEITO!$Z$817</f>
        <v>281311.46622327919</v>
      </c>
      <c r="L746" s="67">
        <f>EFEITO!$N$746*EFEITO!$AA$817</f>
        <v>278272.3033764608</v>
      </c>
      <c r="M746" s="67">
        <f>$J$746-EFEITO!$K$746*EFEITO!$Y$746</f>
        <v>0</v>
      </c>
      <c r="N746" s="67">
        <f ca="1">$K$746-EFEITO!$M$746*EFEITO!$Z$746</f>
        <v>182852.45304513149</v>
      </c>
      <c r="O746" s="67">
        <f>$L$746-EFEITO!$O$746*EFEITO!$AA$746</f>
        <v>180876.99719469954</v>
      </c>
      <c r="P746" s="18"/>
      <c r="Q746" s="18"/>
      <c r="R746" s="18"/>
      <c r="S746" s="18"/>
      <c r="T746" s="18"/>
      <c r="U746" s="18"/>
      <c r="V746" s="18"/>
      <c r="W746" s="18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58" t="s">
        <v>21</v>
      </c>
      <c r="B747" s="58" t="s">
        <v>22</v>
      </c>
      <c r="C747" s="58" t="s">
        <v>23</v>
      </c>
      <c r="D747" s="58" t="s">
        <v>24</v>
      </c>
      <c r="E747" s="58" t="s">
        <v>29</v>
      </c>
      <c r="F747" s="58" t="s">
        <v>25</v>
      </c>
      <c r="G747" s="58" t="s">
        <v>25</v>
      </c>
      <c r="H747" s="58" t="s">
        <v>25</v>
      </c>
      <c r="I747" s="66">
        <v>44562</v>
      </c>
      <c r="J747" s="67">
        <f>EFEITO!$J$747*EFEITO!$Y$701</f>
        <v>0</v>
      </c>
      <c r="K747" s="67">
        <f ca="1">EFEITO!$L$747*EFEITO!$Z$817</f>
        <v>284715.37442082498</v>
      </c>
      <c r="L747" s="67">
        <f>EFEITO!$N$747*EFEITO!$AA$817</f>
        <v>281639.4372772926</v>
      </c>
      <c r="M747" s="67">
        <f>$J$747-EFEITO!$K$747*EFEITO!$Y$747</f>
        <v>0</v>
      </c>
      <c r="N747" s="67">
        <f ca="1">$K$747-EFEITO!$M$747*EFEITO!$Z$747</f>
        <v>185064.99337353624</v>
      </c>
      <c r="O747" s="67">
        <f>$L$747-EFEITO!$O$747*EFEITO!$AA$747</f>
        <v>183065.63423024019</v>
      </c>
      <c r="P747" s="18"/>
      <c r="Q747" s="18"/>
      <c r="R747" s="18"/>
      <c r="S747" s="18"/>
      <c r="T747" s="18"/>
      <c r="U747" s="18"/>
      <c r="V747" s="18"/>
      <c r="W747" s="18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58" t="s">
        <v>21</v>
      </c>
      <c r="B748" s="58" t="s">
        <v>22</v>
      </c>
      <c r="C748" s="58" t="s">
        <v>23</v>
      </c>
      <c r="D748" s="58" t="s">
        <v>24</v>
      </c>
      <c r="E748" s="58" t="s">
        <v>29</v>
      </c>
      <c r="F748" s="58" t="s">
        <v>25</v>
      </c>
      <c r="G748" s="58" t="s">
        <v>25</v>
      </c>
      <c r="H748" s="58" t="s">
        <v>25</v>
      </c>
      <c r="I748" s="66">
        <v>44593</v>
      </c>
      <c r="J748" s="67">
        <f>EFEITO!$J$748*EFEITO!$Y$701</f>
        <v>0</v>
      </c>
      <c r="K748" s="67">
        <f ca="1">EFEITO!$L$748*EFEITO!$Z$817</f>
        <v>288334.74565723311</v>
      </c>
      <c r="L748" s="67">
        <f>EFEITO!$N$748*EFEITO!$AA$817</f>
        <v>285219.70645100053</v>
      </c>
      <c r="M748" s="67">
        <f>$J$748-EFEITO!$K$748*EFEITO!$Y$748</f>
        <v>0</v>
      </c>
      <c r="N748" s="67">
        <f ca="1">$K$748-EFEITO!$M$748*EFEITO!$Z$748</f>
        <v>187417.58467720155</v>
      </c>
      <c r="O748" s="67">
        <f>$L$748-EFEITO!$O$748*EFEITO!$AA$748</f>
        <v>185392.80919315034</v>
      </c>
      <c r="P748" s="18"/>
      <c r="Q748" s="18"/>
      <c r="R748" s="18"/>
      <c r="S748" s="18"/>
      <c r="T748" s="18"/>
      <c r="U748" s="18"/>
      <c r="V748" s="18"/>
      <c r="W748" s="18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58" t="s">
        <v>27</v>
      </c>
      <c r="B749" s="58" t="s">
        <v>22</v>
      </c>
      <c r="C749" s="58" t="s">
        <v>23</v>
      </c>
      <c r="D749" s="58" t="s">
        <v>24</v>
      </c>
      <c r="E749" s="58" t="s">
        <v>29</v>
      </c>
      <c r="F749" s="58" t="s">
        <v>25</v>
      </c>
      <c r="G749" s="58" t="s">
        <v>25</v>
      </c>
      <c r="H749" s="58" t="s">
        <v>25</v>
      </c>
      <c r="I749" s="66">
        <v>44593</v>
      </c>
      <c r="J749" s="67">
        <f>EFEITO!$J$749*EFEITO!$Y$701</f>
        <v>0</v>
      </c>
      <c r="K749" s="67">
        <f ca="1">EFEITO!$L$749*EFEITO!$Z$817</f>
        <v>-40.781647734175642</v>
      </c>
      <c r="L749" s="67">
        <f>EFEITO!$N$749*EFEITO!$AA$817</f>
        <v>-40.341061112202098</v>
      </c>
      <c r="M749" s="67">
        <f>$J$749-EFEITO!$K$749*EFEITO!$Y$749</f>
        <v>0</v>
      </c>
      <c r="N749" s="67">
        <f ca="1">$K$749-EFEITO!$M$749*EFEITO!$Z$749</f>
        <v>-26.508071027214168</v>
      </c>
      <c r="O749" s="67">
        <f>$L$749-EFEITO!$O$749*EFEITO!$AA$749</f>
        <v>-26.221689722931366</v>
      </c>
      <c r="P749" s="18"/>
      <c r="Q749" s="18"/>
      <c r="R749" s="18"/>
      <c r="S749" s="18"/>
      <c r="T749" s="18"/>
      <c r="U749" s="18"/>
      <c r="V749" s="18"/>
      <c r="W749" s="18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58" t="s">
        <v>21</v>
      </c>
      <c r="B750" s="58" t="s">
        <v>22</v>
      </c>
      <c r="C750" s="58" t="s">
        <v>23</v>
      </c>
      <c r="D750" s="58" t="s">
        <v>24</v>
      </c>
      <c r="E750" s="58" t="s">
        <v>29</v>
      </c>
      <c r="F750" s="58" t="s">
        <v>25</v>
      </c>
      <c r="G750" s="58" t="s">
        <v>25</v>
      </c>
      <c r="H750" s="58" t="s">
        <v>25</v>
      </c>
      <c r="I750" s="66">
        <v>44621</v>
      </c>
      <c r="J750" s="67">
        <f>EFEITO!$J$750*EFEITO!$Y$701</f>
        <v>0</v>
      </c>
      <c r="K750" s="67">
        <f ca="1">EFEITO!$L$750*EFEITO!$Z$817</f>
        <v>294395.91805172496</v>
      </c>
      <c r="L750" s="67">
        <f>EFEITO!$N$750*EFEITO!$AA$817</f>
        <v>291215.39665880159</v>
      </c>
      <c r="M750" s="67">
        <f>$J$750-EFEITO!$K$750*EFEITO!$Y$750</f>
        <v>0</v>
      </c>
      <c r="N750" s="67">
        <f ca="1">$K$750-EFEITO!$M$750*EFEITO!$Z$750</f>
        <v>191357.34673362123</v>
      </c>
      <c r="O750" s="67">
        <f>$L$750-EFEITO!$O$750*EFEITO!$AA$750</f>
        <v>189290.00782822105</v>
      </c>
      <c r="P750" s="18"/>
      <c r="Q750" s="18"/>
      <c r="R750" s="18"/>
      <c r="S750" s="18"/>
      <c r="T750" s="18"/>
      <c r="U750" s="18"/>
      <c r="V750" s="18"/>
      <c r="W750" s="18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58" t="s">
        <v>21</v>
      </c>
      <c r="B751" s="58" t="s">
        <v>22</v>
      </c>
      <c r="C751" s="58" t="s">
        <v>23</v>
      </c>
      <c r="D751" s="58" t="s">
        <v>24</v>
      </c>
      <c r="E751" s="58" t="s">
        <v>29</v>
      </c>
      <c r="F751" s="58" t="s">
        <v>25</v>
      </c>
      <c r="G751" s="58" t="s">
        <v>25</v>
      </c>
      <c r="H751" s="58" t="s">
        <v>25</v>
      </c>
      <c r="I751" s="66">
        <v>44652</v>
      </c>
      <c r="J751" s="67">
        <f>EFEITO!$J$751*EFEITO!$Y$701</f>
        <v>0</v>
      </c>
      <c r="K751" s="67">
        <f ca="1">EFEITO!$L$751*EFEITO!$Z$817</f>
        <v>294395.91805172496</v>
      </c>
      <c r="L751" s="67">
        <f>EFEITO!$N$751*EFEITO!$AA$817</f>
        <v>291215.39665880159</v>
      </c>
      <c r="M751" s="67">
        <f>$J$751-EFEITO!$K$751*EFEITO!$Y$751</f>
        <v>0</v>
      </c>
      <c r="N751" s="67">
        <f ca="1">$K$751-EFEITO!$M$751*EFEITO!$Z$751</f>
        <v>191357.34673362123</v>
      </c>
      <c r="O751" s="67">
        <f>$L$751-EFEITO!$O$751*EFEITO!$AA$751</f>
        <v>189290.00782822105</v>
      </c>
      <c r="P751" s="18"/>
      <c r="Q751" s="18"/>
      <c r="R751" s="18"/>
      <c r="S751" s="18"/>
      <c r="T751" s="18"/>
      <c r="U751" s="18"/>
      <c r="V751" s="18"/>
      <c r="W751" s="18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58" t="s">
        <v>21</v>
      </c>
      <c r="B752" s="58" t="s">
        <v>22</v>
      </c>
      <c r="C752" s="58" t="s">
        <v>23</v>
      </c>
      <c r="D752" s="58" t="s">
        <v>24</v>
      </c>
      <c r="E752" s="58" t="s">
        <v>29</v>
      </c>
      <c r="F752" s="58" t="s">
        <v>25</v>
      </c>
      <c r="G752" s="58" t="s">
        <v>25</v>
      </c>
      <c r="H752" s="58" t="s">
        <v>25</v>
      </c>
      <c r="I752" s="66">
        <v>44682</v>
      </c>
      <c r="J752" s="67">
        <f>EFEITO!$J$752*EFEITO!$Y$701</f>
        <v>0</v>
      </c>
      <c r="K752" s="67">
        <f ca="1">EFEITO!$L$752*EFEITO!$Z$817</f>
        <v>296284.10834181734</v>
      </c>
      <c r="L752" s="67">
        <f>EFEITO!$N$752*EFEITO!$AA$817</f>
        <v>293083.18778829655</v>
      </c>
      <c r="M752" s="67">
        <f>$J$752-EFEITO!$K$752*EFEITO!$Y$752</f>
        <v>0</v>
      </c>
      <c r="N752" s="67">
        <f ca="1">$K$752-EFEITO!$M$752*EFEITO!$Z$752</f>
        <v>192584.67042218131</v>
      </c>
      <c r="O752" s="67">
        <f>$L$752-EFEITO!$O$752*EFEITO!$AA$752</f>
        <v>190504.07206239278</v>
      </c>
      <c r="P752" s="18"/>
      <c r="Q752" s="18"/>
      <c r="R752" s="18"/>
      <c r="S752" s="18"/>
      <c r="T752" s="18"/>
      <c r="U752" s="18"/>
      <c r="V752" s="18"/>
      <c r="W752" s="18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58" t="s">
        <v>27</v>
      </c>
      <c r="B753" s="58" t="s">
        <v>22</v>
      </c>
      <c r="C753" s="58" t="s">
        <v>23</v>
      </c>
      <c r="D753" s="58" t="s">
        <v>24</v>
      </c>
      <c r="E753" s="58" t="s">
        <v>29</v>
      </c>
      <c r="F753" s="58" t="s">
        <v>25</v>
      </c>
      <c r="G753" s="58" t="s">
        <v>25</v>
      </c>
      <c r="H753" s="58" t="s">
        <v>25</v>
      </c>
      <c r="I753" s="66">
        <v>44682</v>
      </c>
      <c r="J753" s="67">
        <f>EFEITO!$J$753*EFEITO!$Y$701</f>
        <v>0</v>
      </c>
      <c r="K753" s="67">
        <f ca="1">EFEITO!$L$753*EFEITO!$Z$817</f>
        <v>81.563295468351285</v>
      </c>
      <c r="L753" s="67">
        <f>EFEITO!$N$753*EFEITO!$AA$817</f>
        <v>80.682122224404196</v>
      </c>
      <c r="M753" s="67">
        <f>$J$753-EFEITO!$K$753*EFEITO!$Y$753</f>
        <v>0</v>
      </c>
      <c r="N753" s="67">
        <f ca="1">$K$753-EFEITO!$M$753*EFEITO!$Z$753</f>
        <v>53.016142054428336</v>
      </c>
      <c r="O753" s="67">
        <f>$L$753-EFEITO!$O$753*EFEITO!$AA$753</f>
        <v>52.443379445862732</v>
      </c>
      <c r="P753" s="18"/>
      <c r="Q753" s="18"/>
      <c r="R753" s="18"/>
      <c r="S753" s="18"/>
      <c r="T753" s="18"/>
      <c r="U753" s="18"/>
      <c r="V753" s="18"/>
      <c r="W753" s="18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58" t="s">
        <v>21</v>
      </c>
      <c r="B754" s="58" t="s">
        <v>22</v>
      </c>
      <c r="C754" s="58" t="s">
        <v>23</v>
      </c>
      <c r="D754" s="58" t="s">
        <v>24</v>
      </c>
      <c r="E754" s="58" t="s">
        <v>29</v>
      </c>
      <c r="F754" s="58" t="s">
        <v>25</v>
      </c>
      <c r="G754" s="58" t="s">
        <v>25</v>
      </c>
      <c r="H754" s="58" t="s">
        <v>25</v>
      </c>
      <c r="I754" s="66">
        <v>44713</v>
      </c>
      <c r="J754" s="67">
        <f>EFEITO!$J$754*EFEITO!$Y$701</f>
        <v>0</v>
      </c>
      <c r="K754" s="67">
        <f ca="1">EFEITO!$L$754*EFEITO!$Z$817</f>
        <v>299828.37337698159</v>
      </c>
      <c r="L754" s="67">
        <f>EFEITO!$N$754*EFEITO!$AA$817</f>
        <v>296589.16217445617</v>
      </c>
      <c r="M754" s="67">
        <f>$J$754-EFEITO!$K$754*EFEITO!$Y$754</f>
        <v>0</v>
      </c>
      <c r="N754" s="67">
        <f ca="1">$K$754-EFEITO!$M$754*EFEITO!$Z$754</f>
        <v>194888.44269503804</v>
      </c>
      <c r="O754" s="67">
        <f>$L$754-EFEITO!$O$754*EFEITO!$AA$754</f>
        <v>192782.95541339653</v>
      </c>
      <c r="P754" s="18"/>
      <c r="Q754" s="18"/>
      <c r="R754" s="18"/>
      <c r="S754" s="18"/>
      <c r="T754" s="18"/>
      <c r="U754" s="18"/>
      <c r="V754" s="18"/>
      <c r="W754" s="18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58" t="s">
        <v>27</v>
      </c>
      <c r="B755" s="58" t="s">
        <v>22</v>
      </c>
      <c r="C755" s="58" t="s">
        <v>23</v>
      </c>
      <c r="D755" s="58" t="s">
        <v>24</v>
      </c>
      <c r="E755" s="58" t="s">
        <v>29</v>
      </c>
      <c r="F755" s="58" t="s">
        <v>25</v>
      </c>
      <c r="G755" s="58" t="s">
        <v>25</v>
      </c>
      <c r="H755" s="58" t="s">
        <v>25</v>
      </c>
      <c r="I755" s="66">
        <v>44713</v>
      </c>
      <c r="J755" s="67">
        <f>EFEITO!$J$755*EFEITO!$Y$701</f>
        <v>0</v>
      </c>
      <c r="K755" s="67">
        <f ca="1">EFEITO!$L$755*EFEITO!$Z$817</f>
        <v>-50.977059667719558</v>
      </c>
      <c r="L755" s="67">
        <f>EFEITO!$N$755*EFEITO!$AA$817</f>
        <v>-50.426326390252619</v>
      </c>
      <c r="M755" s="67">
        <f>$J$755-EFEITO!$K$755*EFEITO!$Y$755</f>
        <v>0</v>
      </c>
      <c r="N755" s="67">
        <f ca="1">$K$755-EFEITO!$M$755*EFEITO!$Z$755</f>
        <v>-33.135088784017711</v>
      </c>
      <c r="O755" s="67">
        <f>$L$755-EFEITO!$O$755*EFEITO!$AA$755</f>
        <v>-32.777112153664206</v>
      </c>
      <c r="P755" s="18"/>
      <c r="Q755" s="18"/>
      <c r="R755" s="18"/>
      <c r="S755" s="18"/>
      <c r="T755" s="18"/>
      <c r="U755" s="18"/>
      <c r="V755" s="18"/>
      <c r="W755" s="18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58" t="s">
        <v>21</v>
      </c>
      <c r="B756" s="58" t="s">
        <v>22</v>
      </c>
      <c r="C756" s="58" t="s">
        <v>23</v>
      </c>
      <c r="D756" s="58" t="s">
        <v>24</v>
      </c>
      <c r="E756" s="58" t="s">
        <v>29</v>
      </c>
      <c r="F756" s="58" t="s">
        <v>25</v>
      </c>
      <c r="G756" s="58" t="s">
        <v>25</v>
      </c>
      <c r="H756" s="58" t="s">
        <v>25</v>
      </c>
      <c r="I756" s="66">
        <v>44743</v>
      </c>
      <c r="J756" s="67">
        <f>EFEITO!$J$756*EFEITO!$Y$701</f>
        <v>0</v>
      </c>
      <c r="K756" s="67">
        <f ca="1">EFEITO!$L$756*EFEITO!$Z$817</f>
        <v>300394.55858635774</v>
      </c>
      <c r="L756" s="67">
        <f>EFEITO!$N$756*EFEITO!$AA$817</f>
        <v>297149.23057289724</v>
      </c>
      <c r="M756" s="67">
        <f>$J$756-EFEITO!$K$756*EFEITO!$Y$756</f>
        <v>0</v>
      </c>
      <c r="N756" s="67">
        <f ca="1">$K$756-EFEITO!$M$756*EFEITO!$Z$756</f>
        <v>195256.46308113256</v>
      </c>
      <c r="O756" s="67">
        <f>$L$756-EFEITO!$O$756*EFEITO!$AA$756</f>
        <v>193146.9998723832</v>
      </c>
      <c r="P756" s="18"/>
      <c r="Q756" s="18"/>
      <c r="R756" s="18"/>
      <c r="S756" s="18"/>
      <c r="T756" s="18"/>
      <c r="U756" s="18"/>
      <c r="V756" s="18"/>
      <c r="W756" s="18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58" t="s">
        <v>27</v>
      </c>
      <c r="B757" s="58" t="s">
        <v>22</v>
      </c>
      <c r="C757" s="58" t="s">
        <v>23</v>
      </c>
      <c r="D757" s="58" t="s">
        <v>24</v>
      </c>
      <c r="E757" s="58" t="s">
        <v>29</v>
      </c>
      <c r="F757" s="58" t="s">
        <v>25</v>
      </c>
      <c r="G757" s="58" t="s">
        <v>25</v>
      </c>
      <c r="H757" s="58" t="s">
        <v>25</v>
      </c>
      <c r="I757" s="66">
        <v>44743</v>
      </c>
      <c r="J757" s="67">
        <f>EFEITO!$J$757*EFEITO!$Y$701</f>
        <v>0</v>
      </c>
      <c r="K757" s="67">
        <f ca="1">EFEITO!$L$757*EFEITO!$Z$817</f>
        <v>10.195411933543911</v>
      </c>
      <c r="L757" s="67">
        <f>EFEITO!$N$757*EFEITO!$AA$817</f>
        <v>10.085265278050525</v>
      </c>
      <c r="M757" s="67">
        <f>$J$757-EFEITO!$K$757*EFEITO!$Y$757</f>
        <v>0</v>
      </c>
      <c r="N757" s="67">
        <f ca="1">$K$757-EFEITO!$M$757*EFEITO!$Z$757</f>
        <v>6.627017756803542</v>
      </c>
      <c r="O757" s="67">
        <f>$L$757-EFEITO!$O$757*EFEITO!$AA$757</f>
        <v>6.5554224307328415</v>
      </c>
      <c r="P757" s="18"/>
      <c r="Q757" s="18"/>
      <c r="R757" s="18"/>
      <c r="S757" s="18"/>
      <c r="T757" s="18"/>
      <c r="U757" s="18"/>
      <c r="V757" s="18"/>
      <c r="W757" s="18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58" t="s">
        <v>21</v>
      </c>
      <c r="B758" s="58" t="s">
        <v>22</v>
      </c>
      <c r="C758" s="58" t="s">
        <v>23</v>
      </c>
      <c r="D758" s="58" t="s">
        <v>24</v>
      </c>
      <c r="E758" s="58" t="s">
        <v>29</v>
      </c>
      <c r="F758" s="58" t="s">
        <v>25</v>
      </c>
      <c r="G758" s="58" t="s">
        <v>25</v>
      </c>
      <c r="H758" s="58" t="s">
        <v>25</v>
      </c>
      <c r="I758" s="66">
        <v>44774</v>
      </c>
      <c r="J758" s="67">
        <f>EFEITO!$J$758*EFEITO!$Y$701</f>
        <v>0</v>
      </c>
      <c r="K758" s="67">
        <f ca="1">EFEITO!$L$758*EFEITO!$Z$817</f>
        <v>301821.9162570539</v>
      </c>
      <c r="L758" s="67">
        <f>EFEITO!$N$758*EFEITO!$AA$817</f>
        <v>298561.1677118243</v>
      </c>
      <c r="M758" s="67">
        <f>$J$758-EFEITO!$K$758*EFEITO!$Y$758</f>
        <v>0</v>
      </c>
      <c r="N758" s="67">
        <f ca="1">$K$758-EFEITO!$M$758*EFEITO!$Z$758</f>
        <v>196184.24556708505</v>
      </c>
      <c r="O758" s="67">
        <f>$L$758-EFEITO!$O$758*EFEITO!$AA$758</f>
        <v>194064.7590126858</v>
      </c>
      <c r="P758" s="18"/>
      <c r="Q758" s="18"/>
      <c r="R758" s="18"/>
      <c r="S758" s="18"/>
      <c r="T758" s="18"/>
      <c r="U758" s="18"/>
      <c r="V758" s="18"/>
      <c r="W758" s="18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58" t="s">
        <v>27</v>
      </c>
      <c r="B759" s="58" t="s">
        <v>22</v>
      </c>
      <c r="C759" s="58" t="s">
        <v>23</v>
      </c>
      <c r="D759" s="58" t="s">
        <v>24</v>
      </c>
      <c r="E759" s="58" t="s">
        <v>29</v>
      </c>
      <c r="F759" s="58" t="s">
        <v>25</v>
      </c>
      <c r="G759" s="58" t="s">
        <v>25</v>
      </c>
      <c r="H759" s="58" t="s">
        <v>25</v>
      </c>
      <c r="I759" s="66">
        <v>44774</v>
      </c>
      <c r="J759" s="67">
        <f>EFEITO!$J$759*EFEITO!$Y$701</f>
        <v>0</v>
      </c>
      <c r="K759" s="67">
        <f ca="1">EFEITO!$L$759*EFEITO!$Z$817</f>
        <v>50.977059667719558</v>
      </c>
      <c r="L759" s="67">
        <f>EFEITO!$N$759*EFEITO!$AA$817</f>
        <v>50.426326390252619</v>
      </c>
      <c r="M759" s="67">
        <f>$J$759-EFEITO!$K$759*EFEITO!$Y$759</f>
        <v>0</v>
      </c>
      <c r="N759" s="67">
        <f ca="1">$K$759-EFEITO!$M$759*EFEITO!$Z$759</f>
        <v>33.135088784017711</v>
      </c>
      <c r="O759" s="67">
        <f>$L$759-EFEITO!$O$759*EFEITO!$AA$759</f>
        <v>32.777112153664206</v>
      </c>
      <c r="P759" s="18"/>
      <c r="Q759" s="18"/>
      <c r="R759" s="18"/>
      <c r="S759" s="18"/>
      <c r="T759" s="18"/>
      <c r="U759" s="18"/>
      <c r="V759" s="18"/>
      <c r="W759" s="18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58" t="s">
        <v>28</v>
      </c>
      <c r="B760" s="58" t="s">
        <v>22</v>
      </c>
      <c r="C760" s="58" t="s">
        <v>23</v>
      </c>
      <c r="D760" s="58" t="s">
        <v>24</v>
      </c>
      <c r="E760" s="58" t="s">
        <v>29</v>
      </c>
      <c r="F760" s="58" t="s">
        <v>25</v>
      </c>
      <c r="G760" s="58" t="s">
        <v>25</v>
      </c>
      <c r="H760" s="58" t="s">
        <v>25</v>
      </c>
      <c r="I760" s="66">
        <v>44774</v>
      </c>
      <c r="J760" s="67">
        <f>EFEITO!$J$760*EFEITO!$Y$701</f>
        <v>0</v>
      </c>
      <c r="K760" s="67">
        <f ca="1">EFEITO!$L$760*EFEITO!$Z$817</f>
        <v>1872.2174780631137</v>
      </c>
      <c r="L760" s="67">
        <f>EFEITO!$N$760*EFEITO!$AA$817</f>
        <v>1851.9908805593448</v>
      </c>
      <c r="M760" s="67">
        <f>$J$760-EFEITO!$K$760*EFEITO!$Y$760</f>
        <v>0</v>
      </c>
      <c r="N760" s="67">
        <f ca="1">$K$760-EFEITO!$M$760*EFEITO!$Z$760</f>
        <v>1216.941360741024</v>
      </c>
      <c r="O760" s="67">
        <f>$L$760-EFEITO!$O$760*EFEITO!$AA$760</f>
        <v>1203.7940723635741</v>
      </c>
      <c r="P760" s="18"/>
      <c r="Q760" s="18"/>
      <c r="R760" s="18"/>
      <c r="S760" s="18"/>
      <c r="T760" s="18"/>
      <c r="U760" s="18"/>
      <c r="V760" s="18"/>
      <c r="W760" s="18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58" t="s">
        <v>21</v>
      </c>
      <c r="B761" s="58" t="s">
        <v>22</v>
      </c>
      <c r="C761" s="58" t="s">
        <v>23</v>
      </c>
      <c r="D761" s="58" t="s">
        <v>24</v>
      </c>
      <c r="E761" s="58" t="s">
        <v>29</v>
      </c>
      <c r="F761" s="58" t="s">
        <v>25</v>
      </c>
      <c r="G761" s="58" t="s">
        <v>25</v>
      </c>
      <c r="H761" s="58" t="s">
        <v>25</v>
      </c>
      <c r="I761" s="66">
        <v>44805</v>
      </c>
      <c r="J761" s="67">
        <f>EFEITO!$J$761*EFEITO!$Y$701</f>
        <v>0</v>
      </c>
      <c r="K761" s="67">
        <f ca="1">EFEITO!$L$761*EFEITO!$Z$817</f>
        <v>303278.50077529287</v>
      </c>
      <c r="L761" s="67">
        <f>EFEITO!$N$761*EFEITO!$AA$817</f>
        <v>300002.01594454848</v>
      </c>
      <c r="M761" s="67">
        <f>$J$761-EFEITO!$K$761*EFEITO!$Y$761</f>
        <v>0</v>
      </c>
      <c r="N761" s="67">
        <f ca="1">$K$761-EFEITO!$M$761*EFEITO!$Z$761</f>
        <v>197131.02550394036</v>
      </c>
      <c r="O761" s="67">
        <f>$L$761-EFEITO!$O$761*EFEITO!$AA$761</f>
        <v>195001.31036395649</v>
      </c>
      <c r="P761" s="18"/>
      <c r="Q761" s="18"/>
      <c r="R761" s="18"/>
      <c r="S761" s="18"/>
      <c r="T761" s="18"/>
      <c r="U761" s="18"/>
      <c r="V761" s="18"/>
      <c r="W761" s="18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58" t="s">
        <v>27</v>
      </c>
      <c r="B762" s="58" t="s">
        <v>22</v>
      </c>
      <c r="C762" s="58" t="s">
        <v>23</v>
      </c>
      <c r="D762" s="58" t="s">
        <v>24</v>
      </c>
      <c r="E762" s="58" t="s">
        <v>29</v>
      </c>
      <c r="F762" s="58" t="s">
        <v>25</v>
      </c>
      <c r="G762" s="58" t="s">
        <v>25</v>
      </c>
      <c r="H762" s="58" t="s">
        <v>25</v>
      </c>
      <c r="I762" s="66">
        <v>44805</v>
      </c>
      <c r="J762" s="67">
        <f>EFEITO!$J$762*EFEITO!$Y$701</f>
        <v>0</v>
      </c>
      <c r="K762" s="67">
        <f ca="1">EFEITO!$L$762*EFEITO!$Z$817</f>
        <v>-10.195411933543911</v>
      </c>
      <c r="L762" s="67">
        <f>EFEITO!$N$762*EFEITO!$AA$817</f>
        <v>-10.085265278050525</v>
      </c>
      <c r="M762" s="67">
        <f>$J$762-EFEITO!$K$762*EFEITO!$Y$762</f>
        <v>0</v>
      </c>
      <c r="N762" s="67">
        <f ca="1">$K$762-EFEITO!$M$762*EFEITO!$Z$762</f>
        <v>-6.627017756803542</v>
      </c>
      <c r="O762" s="67">
        <f>$L$762-EFEITO!$O$762*EFEITO!$AA$762</f>
        <v>-6.5554224307328415</v>
      </c>
      <c r="P762" s="18"/>
      <c r="Q762" s="18"/>
      <c r="R762" s="18"/>
      <c r="S762" s="18"/>
      <c r="T762" s="18"/>
      <c r="U762" s="18"/>
      <c r="V762" s="18"/>
      <c r="W762" s="18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58" t="s">
        <v>28</v>
      </c>
      <c r="B763" s="58" t="s">
        <v>22</v>
      </c>
      <c r="C763" s="58" t="s">
        <v>23</v>
      </c>
      <c r="D763" s="58" t="s">
        <v>24</v>
      </c>
      <c r="E763" s="58" t="s">
        <v>29</v>
      </c>
      <c r="F763" s="58" t="s">
        <v>25</v>
      </c>
      <c r="G763" s="58" t="s">
        <v>25</v>
      </c>
      <c r="H763" s="58" t="s">
        <v>25</v>
      </c>
      <c r="I763" s="66">
        <v>44805</v>
      </c>
      <c r="J763" s="67">
        <f>EFEITO!$J$763*EFEITO!$Y$701</f>
        <v>0</v>
      </c>
      <c r="K763" s="67">
        <f ca="1">EFEITO!$L$763*EFEITO!$Z$817</f>
        <v>2679.3542561353402</v>
      </c>
      <c r="L763" s="67">
        <f>EFEITO!$N$763*EFEITO!$AA$817</f>
        <v>2650.407715071678</v>
      </c>
      <c r="M763" s="67">
        <f>$J$763-EFEITO!$K$763*EFEITO!$Y$763</f>
        <v>0</v>
      </c>
      <c r="N763" s="67">
        <f ca="1">$K$763-EFEITO!$M$763*EFEITO!$Z$763</f>
        <v>1741.5802664879711</v>
      </c>
      <c r="O763" s="67">
        <f>$L$763-EFEITO!$O$763*EFEITO!$AA$763</f>
        <v>1722.7650147965908</v>
      </c>
      <c r="P763" s="18"/>
      <c r="Q763" s="18"/>
      <c r="R763" s="18"/>
      <c r="S763" s="18"/>
      <c r="T763" s="18"/>
      <c r="U763" s="18"/>
      <c r="V763" s="18"/>
      <c r="W763" s="18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58" t="s">
        <v>28</v>
      </c>
      <c r="B764" s="58" t="s">
        <v>22</v>
      </c>
      <c r="C764" s="58" t="s">
        <v>23</v>
      </c>
      <c r="D764" s="58" t="s">
        <v>24</v>
      </c>
      <c r="E764" s="58" t="s">
        <v>29</v>
      </c>
      <c r="F764" s="58" t="s">
        <v>25</v>
      </c>
      <c r="G764" s="58" t="s">
        <v>25</v>
      </c>
      <c r="H764" s="58" t="s">
        <v>25</v>
      </c>
      <c r="I764" s="66">
        <v>44805</v>
      </c>
      <c r="J764" s="67">
        <f>EFEITO!$J$764*EFEITO!$Y$701</f>
        <v>0</v>
      </c>
      <c r="K764" s="67">
        <f ca="1">EFEITO!$L$764*EFEITO!$Z$817</f>
        <v>-151.23194368090137</v>
      </c>
      <c r="L764" s="67">
        <f>EFEITO!$N$764*EFEITO!$AA$817</f>
        <v>-149.59810162441613</v>
      </c>
      <c r="M764" s="67">
        <f>$J$764-EFEITO!$K$764*EFEITO!$Y$764</f>
        <v>0</v>
      </c>
      <c r="N764" s="67">
        <f ca="1">$K$764-EFEITO!$M$764*EFEITO!$Z$764</f>
        <v>-98.300763392585907</v>
      </c>
      <c r="O764" s="67">
        <f>$L$764-EFEITO!$O$764*EFEITO!$AA$764</f>
        <v>-97.238766055870485</v>
      </c>
      <c r="P764" s="18"/>
      <c r="Q764" s="18"/>
      <c r="R764" s="18"/>
      <c r="S764" s="18"/>
      <c r="T764" s="18"/>
      <c r="U764" s="18"/>
      <c r="V764" s="18"/>
      <c r="W764" s="18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58" t="s">
        <v>55</v>
      </c>
      <c r="B765" s="58" t="s">
        <v>22</v>
      </c>
      <c r="C765" s="58" t="s">
        <v>23</v>
      </c>
      <c r="D765" s="58" t="s">
        <v>24</v>
      </c>
      <c r="E765" s="58" t="s">
        <v>29</v>
      </c>
      <c r="F765" s="58" t="s">
        <v>25</v>
      </c>
      <c r="G765" s="58" t="s">
        <v>25</v>
      </c>
      <c r="H765" s="58" t="s">
        <v>25</v>
      </c>
      <c r="I765" s="66">
        <v>44835</v>
      </c>
      <c r="J765" s="67">
        <f>EFEITO!$J$765*EFEITO!$Y$701</f>
        <v>0</v>
      </c>
      <c r="K765" s="67">
        <f ca="1">EFEITO!$L$765*EFEITO!$Z$817</f>
        <v>303278.50077529287</v>
      </c>
      <c r="L765" s="67">
        <f>EFEITO!$N$765*EFEITO!$AA$817</f>
        <v>300002.01594454848</v>
      </c>
      <c r="M765" s="67">
        <f>$J$765-EFEITO!$K$765*EFEITO!$Y$765</f>
        <v>0</v>
      </c>
      <c r="N765" s="67">
        <f ca="1">$K$765-EFEITO!$M$765*EFEITO!$Z$765</f>
        <v>197131.02550394036</v>
      </c>
      <c r="O765" s="67">
        <f>$L$765-EFEITO!$O$765*EFEITO!$AA$765</f>
        <v>195001.31036395649</v>
      </c>
      <c r="P765" s="18"/>
      <c r="Q765" s="18"/>
      <c r="R765" s="18"/>
      <c r="S765" s="18"/>
      <c r="T765" s="18"/>
      <c r="U765" s="18"/>
      <c r="V765" s="18"/>
      <c r="W765" s="18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58" t="s">
        <v>55</v>
      </c>
      <c r="B766" s="58" t="s">
        <v>22</v>
      </c>
      <c r="C766" s="58" t="s">
        <v>23</v>
      </c>
      <c r="D766" s="58" t="s">
        <v>24</v>
      </c>
      <c r="E766" s="58" t="s">
        <v>29</v>
      </c>
      <c r="F766" s="58" t="s">
        <v>25</v>
      </c>
      <c r="G766" s="58" t="s">
        <v>25</v>
      </c>
      <c r="H766" s="58" t="s">
        <v>25</v>
      </c>
      <c r="I766" s="66">
        <v>44835</v>
      </c>
      <c r="J766" s="67">
        <f>EFEITO!$J$766*EFEITO!$Y$701</f>
        <v>0</v>
      </c>
      <c r="K766" s="67">
        <f ca="1">EFEITO!$L$766*EFEITO!$Z$817</f>
        <v>-10.195411933543911</v>
      </c>
      <c r="L766" s="67">
        <f>EFEITO!$N$766*EFEITO!$AA$817</f>
        <v>-10.085265278050525</v>
      </c>
      <c r="M766" s="67">
        <f>$J$766-EFEITO!$K$766*EFEITO!$Y$766</f>
        <v>0</v>
      </c>
      <c r="N766" s="67">
        <f ca="1">$K$766-EFEITO!$M$766*EFEITO!$Z$766</f>
        <v>-6.627017756803542</v>
      </c>
      <c r="O766" s="67">
        <f>$L$766-EFEITO!$O$766*EFEITO!$AA$766</f>
        <v>-6.5554224307328415</v>
      </c>
      <c r="P766" s="18"/>
      <c r="Q766" s="18"/>
      <c r="R766" s="18"/>
      <c r="S766" s="18"/>
      <c r="T766" s="18"/>
      <c r="U766" s="18"/>
      <c r="V766" s="18"/>
      <c r="W766" s="18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58" t="s">
        <v>55</v>
      </c>
      <c r="B767" s="58" t="s">
        <v>22</v>
      </c>
      <c r="C767" s="58" t="s">
        <v>23</v>
      </c>
      <c r="D767" s="58" t="s">
        <v>24</v>
      </c>
      <c r="E767" s="58" t="s">
        <v>29</v>
      </c>
      <c r="F767" s="58" t="s">
        <v>25</v>
      </c>
      <c r="G767" s="58" t="s">
        <v>25</v>
      </c>
      <c r="H767" s="58" t="s">
        <v>25</v>
      </c>
      <c r="I767" s="66">
        <v>44835</v>
      </c>
      <c r="J767" s="67">
        <f>EFEITO!$J$767*EFEITO!$Y$701</f>
        <v>0</v>
      </c>
      <c r="K767" s="67">
        <f ca="1">EFEITO!$L$767*EFEITO!$Z$817</f>
        <v>2679.3542561353402</v>
      </c>
      <c r="L767" s="67">
        <f>EFEITO!$N$767*EFEITO!$AA$817</f>
        <v>2650.407715071678</v>
      </c>
      <c r="M767" s="67">
        <f>$J$767-EFEITO!$K$767*EFEITO!$Y$767</f>
        <v>0</v>
      </c>
      <c r="N767" s="67">
        <f ca="1">$K$767-EFEITO!$M$767*EFEITO!$Z$767</f>
        <v>1741.5802664879711</v>
      </c>
      <c r="O767" s="67">
        <f>$L$767-EFEITO!$O$767*EFEITO!$AA$767</f>
        <v>1722.7650147965908</v>
      </c>
      <c r="P767" s="18"/>
      <c r="Q767" s="18"/>
      <c r="R767" s="18"/>
      <c r="S767" s="18"/>
      <c r="T767" s="18"/>
      <c r="U767" s="18"/>
      <c r="V767" s="18"/>
      <c r="W767" s="18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58" t="s">
        <v>55</v>
      </c>
      <c r="B768" s="58" t="s">
        <v>22</v>
      </c>
      <c r="C768" s="58" t="s">
        <v>23</v>
      </c>
      <c r="D768" s="58" t="s">
        <v>24</v>
      </c>
      <c r="E768" s="58" t="s">
        <v>29</v>
      </c>
      <c r="F768" s="58" t="s">
        <v>25</v>
      </c>
      <c r="G768" s="58" t="s">
        <v>25</v>
      </c>
      <c r="H768" s="58" t="s">
        <v>25</v>
      </c>
      <c r="I768" s="66">
        <v>44835</v>
      </c>
      <c r="J768" s="67">
        <f>EFEITO!$J$768*EFEITO!$Y$701</f>
        <v>0</v>
      </c>
      <c r="K768" s="67">
        <f ca="1">EFEITO!$L$768*EFEITO!$Z$817</f>
        <v>-151.23194368090137</v>
      </c>
      <c r="L768" s="67">
        <f>EFEITO!$N$768*EFEITO!$AA$817</f>
        <v>-149.59810162441613</v>
      </c>
      <c r="M768" s="67">
        <f>$J$768-EFEITO!$K$768*EFEITO!$Y$768</f>
        <v>0</v>
      </c>
      <c r="N768" s="67">
        <f ca="1">$K$768-EFEITO!$M$768*EFEITO!$Z$768</f>
        <v>-98.300763392585907</v>
      </c>
      <c r="O768" s="67">
        <f>$L$768-EFEITO!$O$768*EFEITO!$AA$768</f>
        <v>-97.238766055870485</v>
      </c>
      <c r="P768" s="18"/>
      <c r="Q768" s="18"/>
      <c r="R768" s="18"/>
      <c r="S768" s="18"/>
      <c r="T768" s="18"/>
      <c r="U768" s="18"/>
      <c r="V768" s="18"/>
      <c r="W768" s="18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58" t="s">
        <v>21</v>
      </c>
      <c r="B769" s="58" t="s">
        <v>22</v>
      </c>
      <c r="C769" s="58" t="s">
        <v>23</v>
      </c>
      <c r="D769" s="58" t="s">
        <v>24</v>
      </c>
      <c r="E769" s="58" t="s">
        <v>30</v>
      </c>
      <c r="F769" s="58" t="s">
        <v>25</v>
      </c>
      <c r="G769" s="58" t="s">
        <v>25</v>
      </c>
      <c r="H769" s="58" t="s">
        <v>25</v>
      </c>
      <c r="I769" s="66">
        <v>44501</v>
      </c>
      <c r="J769" s="67">
        <f>EFEITO!$J$769*EFEITO!$Y$701</f>
        <v>0</v>
      </c>
      <c r="K769" s="67">
        <f ca="1">EFEITO!$L$769*EFEITO!$Z$817</f>
        <v>588311.97204844444</v>
      </c>
      <c r="L769" s="67">
        <f>EFEITO!$N$769*EFEITO!$AA$817</f>
        <v>581956.11349851626</v>
      </c>
      <c r="M769" s="67">
        <f>$J$769-EFEITO!$K$769*EFEITO!$Y$769</f>
        <v>0</v>
      </c>
      <c r="N769" s="67">
        <f ca="1">$K$769-EFEITO!$M$769*EFEITO!$Z$769</f>
        <v>235324.78881937778</v>
      </c>
      <c r="O769" s="67">
        <f>$L$769-EFEITO!$O$769*EFEITO!$AA$769</f>
        <v>232782.44539940654</v>
      </c>
      <c r="P769" s="18"/>
      <c r="Q769" s="18"/>
      <c r="R769" s="18"/>
      <c r="S769" s="18"/>
      <c r="T769" s="18"/>
      <c r="U769" s="18"/>
      <c r="V769" s="18"/>
      <c r="W769" s="18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58" t="s">
        <v>27</v>
      </c>
      <c r="B770" s="58" t="s">
        <v>22</v>
      </c>
      <c r="C770" s="58" t="s">
        <v>23</v>
      </c>
      <c r="D770" s="58" t="s">
        <v>24</v>
      </c>
      <c r="E770" s="58" t="s">
        <v>30</v>
      </c>
      <c r="F770" s="58" t="s">
        <v>25</v>
      </c>
      <c r="G770" s="58" t="s">
        <v>25</v>
      </c>
      <c r="H770" s="58" t="s">
        <v>25</v>
      </c>
      <c r="I770" s="66">
        <v>44501</v>
      </c>
      <c r="J770" s="67">
        <f>EFEITO!$J$770*EFEITO!$Y$701</f>
        <v>0</v>
      </c>
      <c r="K770" s="67">
        <f ca="1">EFEITO!$L$770*EFEITO!$Z$817</f>
        <v>-555.64995037814322</v>
      </c>
      <c r="L770" s="67">
        <f>EFEITO!$N$770*EFEITO!$AA$817</f>
        <v>-549.64695765375359</v>
      </c>
      <c r="M770" s="67">
        <f>$J$770-EFEITO!$K$770*EFEITO!$Y$770</f>
        <v>0</v>
      </c>
      <c r="N770" s="67">
        <f ca="1">$K$770-EFEITO!$M$770*EFEITO!$Z$770</f>
        <v>-222.25998015125731</v>
      </c>
      <c r="O770" s="67">
        <f>$L$770-EFEITO!$O$770*EFEITO!$AA$770</f>
        <v>-219.85878306150147</v>
      </c>
      <c r="P770" s="18"/>
      <c r="Q770" s="18"/>
      <c r="R770" s="18"/>
      <c r="S770" s="18"/>
      <c r="T770" s="18"/>
      <c r="U770" s="18"/>
      <c r="V770" s="18"/>
      <c r="W770" s="18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58" t="s">
        <v>21</v>
      </c>
      <c r="B771" s="58" t="s">
        <v>22</v>
      </c>
      <c r="C771" s="58" t="s">
        <v>23</v>
      </c>
      <c r="D771" s="58" t="s">
        <v>24</v>
      </c>
      <c r="E771" s="58" t="s">
        <v>30</v>
      </c>
      <c r="F771" s="58" t="s">
        <v>25</v>
      </c>
      <c r="G771" s="58" t="s">
        <v>25</v>
      </c>
      <c r="H771" s="58" t="s">
        <v>25</v>
      </c>
      <c r="I771" s="66">
        <v>44531</v>
      </c>
      <c r="J771" s="67">
        <f>EFEITO!$J$771*EFEITO!$Y$701</f>
        <v>0</v>
      </c>
      <c r="K771" s="67">
        <f ca="1">EFEITO!$L$771*EFEITO!$Z$817</f>
        <v>588108.74350390246</v>
      </c>
      <c r="L771" s="67">
        <f>EFEITO!$N$771*EFEITO!$AA$817</f>
        <v>581755.08054397383</v>
      </c>
      <c r="M771" s="67">
        <f>$J$771-EFEITO!$K$771*EFEITO!$Y$771</f>
        <v>0</v>
      </c>
      <c r="N771" s="67">
        <f ca="1">$K$771-EFEITO!$M$771*EFEITO!$Z$771</f>
        <v>235243.49740156095</v>
      </c>
      <c r="O771" s="67">
        <f>$L$771-EFEITO!$O$771*EFEITO!$AA$771</f>
        <v>232702.03221758961</v>
      </c>
      <c r="P771" s="18"/>
      <c r="Q771" s="18"/>
      <c r="R771" s="18"/>
      <c r="S771" s="18"/>
      <c r="T771" s="18"/>
      <c r="U771" s="18"/>
      <c r="V771" s="18"/>
      <c r="W771" s="18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58" t="s">
        <v>27</v>
      </c>
      <c r="B772" s="58" t="s">
        <v>22</v>
      </c>
      <c r="C772" s="58" t="s">
        <v>23</v>
      </c>
      <c r="D772" s="58" t="s">
        <v>24</v>
      </c>
      <c r="E772" s="58" t="s">
        <v>30</v>
      </c>
      <c r="F772" s="58" t="s">
        <v>25</v>
      </c>
      <c r="G772" s="58" t="s">
        <v>25</v>
      </c>
      <c r="H772" s="58" t="s">
        <v>25</v>
      </c>
      <c r="I772" s="66">
        <v>44531</v>
      </c>
      <c r="J772" s="67">
        <f>EFEITO!$J$772*EFEITO!$Y$701</f>
        <v>0</v>
      </c>
      <c r="K772" s="67">
        <f ca="1">EFEITO!$L$772*EFEITO!$Z$817</f>
        <v>-34.664400574049296</v>
      </c>
      <c r="L772" s="67">
        <f>EFEITO!$N$772*EFEITO!$AA$817</f>
        <v>-34.289901945371781</v>
      </c>
      <c r="M772" s="67">
        <f>$J$772-EFEITO!$K$772*EFEITO!$Y$772</f>
        <v>0</v>
      </c>
      <c r="N772" s="67">
        <f ca="1">$K$772-EFEITO!$M$772*EFEITO!$Z$772</f>
        <v>-13.865760229619717</v>
      </c>
      <c r="O772" s="67">
        <f>$L$772-EFEITO!$O$772*EFEITO!$AA$772</f>
        <v>-13.715960778148713</v>
      </c>
      <c r="P772" s="18"/>
      <c r="Q772" s="18"/>
      <c r="R772" s="18"/>
      <c r="S772" s="18"/>
      <c r="T772" s="18"/>
      <c r="U772" s="18"/>
      <c r="V772" s="18"/>
      <c r="W772" s="18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58" t="s">
        <v>21</v>
      </c>
      <c r="B773" s="58" t="s">
        <v>22</v>
      </c>
      <c r="C773" s="58" t="s">
        <v>23</v>
      </c>
      <c r="D773" s="58" t="s">
        <v>24</v>
      </c>
      <c r="E773" s="58" t="s">
        <v>30</v>
      </c>
      <c r="F773" s="58" t="s">
        <v>25</v>
      </c>
      <c r="G773" s="58" t="s">
        <v>25</v>
      </c>
      <c r="H773" s="58" t="s">
        <v>25</v>
      </c>
      <c r="I773" s="66">
        <v>44562</v>
      </c>
      <c r="J773" s="67">
        <f>EFEITO!$J$773*EFEITO!$Y$701</f>
        <v>0</v>
      </c>
      <c r="K773" s="67">
        <f ca="1">EFEITO!$L$773*EFEITO!$Z$817</f>
        <v>589590.81655197532</v>
      </c>
      <c r="L773" s="67">
        <f>EFEITO!$N$773*EFEITO!$AA$817</f>
        <v>583221.14193989313</v>
      </c>
      <c r="M773" s="67">
        <f>$J$773-EFEITO!$K$773*EFEITO!$Y$773</f>
        <v>0</v>
      </c>
      <c r="N773" s="67">
        <f ca="1">$K$773-EFEITO!$M$773*EFEITO!$Z$773</f>
        <v>235836.32662079012</v>
      </c>
      <c r="O773" s="67">
        <f>$L$773-EFEITO!$O$773*EFEITO!$AA$773</f>
        <v>233288.45677595731</v>
      </c>
      <c r="P773" s="18"/>
      <c r="Q773" s="18"/>
      <c r="R773" s="18"/>
      <c r="S773" s="18"/>
      <c r="T773" s="18"/>
      <c r="U773" s="18"/>
      <c r="V773" s="18"/>
      <c r="W773" s="18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58" t="s">
        <v>27</v>
      </c>
      <c r="B774" s="58" t="s">
        <v>22</v>
      </c>
      <c r="C774" s="58" t="s">
        <v>23</v>
      </c>
      <c r="D774" s="58" t="s">
        <v>24</v>
      </c>
      <c r="E774" s="58" t="s">
        <v>30</v>
      </c>
      <c r="F774" s="58" t="s">
        <v>25</v>
      </c>
      <c r="G774" s="58" t="s">
        <v>25</v>
      </c>
      <c r="H774" s="58" t="s">
        <v>25</v>
      </c>
      <c r="I774" s="66">
        <v>44562</v>
      </c>
      <c r="J774" s="67">
        <f>EFEITO!$J$774*EFEITO!$Y$701</f>
        <v>0</v>
      </c>
      <c r="K774" s="67">
        <f ca="1">EFEITO!$L$774*EFEITO!$Z$817</f>
        <v>28.887000478374418</v>
      </c>
      <c r="L774" s="67">
        <f>EFEITO!$N$774*EFEITO!$AA$817</f>
        <v>28.574918287809822</v>
      </c>
      <c r="M774" s="67">
        <f>$J$774-EFEITO!$K$774*EFEITO!$Y$774</f>
        <v>0</v>
      </c>
      <c r="N774" s="67">
        <f ca="1">$K$774-EFEITO!$M$774*EFEITO!$Z$774</f>
        <v>11.554800191349766</v>
      </c>
      <c r="O774" s="67">
        <f>$L$774-EFEITO!$O$774*EFEITO!$AA$774</f>
        <v>11.429967315123932</v>
      </c>
      <c r="P774" s="18"/>
      <c r="Q774" s="18"/>
      <c r="R774" s="18"/>
      <c r="S774" s="18"/>
      <c r="T774" s="18"/>
      <c r="U774" s="18"/>
      <c r="V774" s="18"/>
      <c r="W774" s="18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58" t="s">
        <v>21</v>
      </c>
      <c r="B775" s="58" t="s">
        <v>22</v>
      </c>
      <c r="C775" s="58" t="s">
        <v>23</v>
      </c>
      <c r="D775" s="58" t="s">
        <v>24</v>
      </c>
      <c r="E775" s="58" t="s">
        <v>30</v>
      </c>
      <c r="F775" s="58" t="s">
        <v>25</v>
      </c>
      <c r="G775" s="58" t="s">
        <v>25</v>
      </c>
      <c r="H775" s="58" t="s">
        <v>25</v>
      </c>
      <c r="I775" s="66">
        <v>44593</v>
      </c>
      <c r="J775" s="67">
        <f>EFEITO!$J$775*EFEITO!$Y$701</f>
        <v>0</v>
      </c>
      <c r="K775" s="67">
        <f ca="1">EFEITO!$L$775*EFEITO!$Z$817</f>
        <v>598484.61422867014</v>
      </c>
      <c r="L775" s="67">
        <f>EFEITO!$N$775*EFEITO!$AA$817</f>
        <v>592018.85501744575</v>
      </c>
      <c r="M775" s="67">
        <f>$J$775-EFEITO!$K$775*EFEITO!$Y$775</f>
        <v>0</v>
      </c>
      <c r="N775" s="67">
        <f ca="1">$K$775-EFEITO!$M$775*EFEITO!$Z$775</f>
        <v>239393.8456914681</v>
      </c>
      <c r="O775" s="67">
        <f>$L$775-EFEITO!$O$775*EFEITO!$AA$775</f>
        <v>236807.5420069783</v>
      </c>
      <c r="P775" s="18"/>
      <c r="Q775" s="18"/>
      <c r="R775" s="18"/>
      <c r="S775" s="18"/>
      <c r="T775" s="18"/>
      <c r="U775" s="18"/>
      <c r="V775" s="18"/>
      <c r="W775" s="18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58" t="s">
        <v>27</v>
      </c>
      <c r="B776" s="58" t="s">
        <v>22</v>
      </c>
      <c r="C776" s="58" t="s">
        <v>23</v>
      </c>
      <c r="D776" s="58" t="s">
        <v>24</v>
      </c>
      <c r="E776" s="58" t="s">
        <v>30</v>
      </c>
      <c r="F776" s="58" t="s">
        <v>25</v>
      </c>
      <c r="G776" s="58" t="s">
        <v>25</v>
      </c>
      <c r="H776" s="58" t="s">
        <v>25</v>
      </c>
      <c r="I776" s="66">
        <v>44593</v>
      </c>
      <c r="J776" s="67">
        <f>EFEITO!$J$776*EFEITO!$Y$701</f>
        <v>0</v>
      </c>
      <c r="K776" s="67">
        <f ca="1">EFEITO!$L$776*EFEITO!$Z$817</f>
        <v>-145.45454358522647</v>
      </c>
      <c r="L776" s="67">
        <f>EFEITO!$N$776*EFEITO!$AA$817</f>
        <v>-143.88311796685414</v>
      </c>
      <c r="M776" s="67">
        <f>$J$776-EFEITO!$K$776*EFEITO!$Y$776</f>
        <v>0</v>
      </c>
      <c r="N776" s="67">
        <f ca="1">$K$776-EFEITO!$M$776*EFEITO!$Z$776</f>
        <v>-58.18181743409059</v>
      </c>
      <c r="O776" s="67">
        <f>$L$776-EFEITO!$O$776*EFEITO!$AA$776</f>
        <v>-57.553247186741658</v>
      </c>
      <c r="P776" s="18"/>
      <c r="Q776" s="18"/>
      <c r="R776" s="18"/>
      <c r="S776" s="18"/>
      <c r="T776" s="18"/>
      <c r="U776" s="18"/>
      <c r="V776" s="18"/>
      <c r="W776" s="18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58" t="s">
        <v>21</v>
      </c>
      <c r="B777" s="58" t="s">
        <v>22</v>
      </c>
      <c r="C777" s="58" t="s">
        <v>23</v>
      </c>
      <c r="D777" s="58" t="s">
        <v>24</v>
      </c>
      <c r="E777" s="58" t="s">
        <v>30</v>
      </c>
      <c r="F777" s="58" t="s">
        <v>25</v>
      </c>
      <c r="G777" s="58" t="s">
        <v>25</v>
      </c>
      <c r="H777" s="58" t="s">
        <v>25</v>
      </c>
      <c r="I777" s="66">
        <v>44621</v>
      </c>
      <c r="J777" s="67">
        <f>EFEITO!$J$777*EFEITO!$Y$701</f>
        <v>0</v>
      </c>
      <c r="K777" s="67">
        <f ca="1">EFEITO!$L$777*EFEITO!$Z$817</f>
        <v>614296.33874933887</v>
      </c>
      <c r="L777" s="67">
        <f>EFEITO!$N$777*EFEITO!$AA$817</f>
        <v>607659.75676166511</v>
      </c>
      <c r="M777" s="67">
        <f>$J$777-EFEITO!$K$777*EFEITO!$Y$777</f>
        <v>0</v>
      </c>
      <c r="N777" s="67">
        <f ca="1">$K$777-EFEITO!$M$777*EFEITO!$Z$777</f>
        <v>245718.5354997355</v>
      </c>
      <c r="O777" s="67">
        <f>$L$777-EFEITO!$O$777*EFEITO!$AA$777</f>
        <v>243063.90270466608</v>
      </c>
      <c r="P777" s="18"/>
      <c r="Q777" s="18"/>
      <c r="R777" s="18"/>
      <c r="S777" s="18"/>
      <c r="T777" s="18"/>
      <c r="U777" s="18"/>
      <c r="V777" s="18"/>
      <c r="W777" s="18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58" t="s">
        <v>27</v>
      </c>
      <c r="B778" s="58" t="s">
        <v>22</v>
      </c>
      <c r="C778" s="58" t="s">
        <v>23</v>
      </c>
      <c r="D778" s="58" t="s">
        <v>24</v>
      </c>
      <c r="E778" s="58" t="s">
        <v>30</v>
      </c>
      <c r="F778" s="58" t="s">
        <v>25</v>
      </c>
      <c r="G778" s="58" t="s">
        <v>25</v>
      </c>
      <c r="H778" s="58" t="s">
        <v>25</v>
      </c>
      <c r="I778" s="66">
        <v>44621</v>
      </c>
      <c r="J778" s="67">
        <f>EFEITO!$J$778*EFEITO!$Y$701</f>
        <v>0</v>
      </c>
      <c r="K778" s="67">
        <f ca="1">EFEITO!$L$778*EFEITO!$Z$817</f>
        <v>6.7969412890292746</v>
      </c>
      <c r="L778" s="67">
        <f>EFEITO!$N$778*EFEITO!$AA$817</f>
        <v>6.7235101853670169</v>
      </c>
      <c r="M778" s="67">
        <f>$J$778-EFEITO!$K$778*EFEITO!$Y$778</f>
        <v>0</v>
      </c>
      <c r="N778" s="67">
        <f ca="1">$K$778-EFEITO!$M$778*EFEITO!$Z$778</f>
        <v>2.7187765156117099</v>
      </c>
      <c r="O778" s="67">
        <f>$L$778-EFEITO!$O$778*EFEITO!$AA$778</f>
        <v>2.6894040741468075</v>
      </c>
      <c r="P778" s="18"/>
      <c r="Q778" s="18"/>
      <c r="R778" s="18"/>
      <c r="S778" s="18"/>
      <c r="T778" s="18"/>
      <c r="U778" s="18"/>
      <c r="V778" s="18"/>
      <c r="W778" s="18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58" t="s">
        <v>21</v>
      </c>
      <c r="B779" s="58" t="s">
        <v>22</v>
      </c>
      <c r="C779" s="58" t="s">
        <v>23</v>
      </c>
      <c r="D779" s="58" t="s">
        <v>24</v>
      </c>
      <c r="E779" s="58" t="s">
        <v>30</v>
      </c>
      <c r="F779" s="58" t="s">
        <v>25</v>
      </c>
      <c r="G779" s="58" t="s">
        <v>25</v>
      </c>
      <c r="H779" s="58" t="s">
        <v>25</v>
      </c>
      <c r="I779" s="66">
        <v>44652</v>
      </c>
      <c r="J779" s="67">
        <f>EFEITO!$J$779*EFEITO!$Y$701</f>
        <v>0</v>
      </c>
      <c r="K779" s="67">
        <f ca="1">EFEITO!$L$779*EFEITO!$Z$817</f>
        <v>614296.33874933887</v>
      </c>
      <c r="L779" s="67">
        <f>EFEITO!$N$779*EFEITO!$AA$817</f>
        <v>607659.75676166511</v>
      </c>
      <c r="M779" s="67">
        <f>$J$779-EFEITO!$K$779*EFEITO!$Y$779</f>
        <v>0</v>
      </c>
      <c r="N779" s="67">
        <f ca="1">$K$779-EFEITO!$M$779*EFEITO!$Z$779</f>
        <v>245718.5354997355</v>
      </c>
      <c r="O779" s="67">
        <f>$L$779-EFEITO!$O$779*EFEITO!$AA$779</f>
        <v>243063.90270466608</v>
      </c>
      <c r="P779" s="18"/>
      <c r="Q779" s="18"/>
      <c r="R779" s="18"/>
      <c r="S779" s="18"/>
      <c r="T779" s="18"/>
      <c r="U779" s="18"/>
      <c r="V779" s="18"/>
      <c r="W779" s="18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58" t="s">
        <v>27</v>
      </c>
      <c r="B780" s="58" t="s">
        <v>22</v>
      </c>
      <c r="C780" s="58" t="s">
        <v>23</v>
      </c>
      <c r="D780" s="58" t="s">
        <v>24</v>
      </c>
      <c r="E780" s="58" t="s">
        <v>30</v>
      </c>
      <c r="F780" s="58" t="s">
        <v>25</v>
      </c>
      <c r="G780" s="58" t="s">
        <v>25</v>
      </c>
      <c r="H780" s="58" t="s">
        <v>25</v>
      </c>
      <c r="I780" s="66">
        <v>44652</v>
      </c>
      <c r="J780" s="67">
        <f>EFEITO!$J$780*EFEITO!$Y$701</f>
        <v>0</v>
      </c>
      <c r="K780" s="67">
        <f ca="1">EFEITO!$L$780*EFEITO!$Z$817</f>
        <v>6.7969412890292746</v>
      </c>
      <c r="L780" s="67">
        <f>EFEITO!$N$780*EFEITO!$AA$817</f>
        <v>6.7235101853670169</v>
      </c>
      <c r="M780" s="67">
        <f>$J$780-EFEITO!$K$780*EFEITO!$Y$780</f>
        <v>0</v>
      </c>
      <c r="N780" s="67">
        <f ca="1">$K$780-EFEITO!$M$780*EFEITO!$Z$780</f>
        <v>2.7187765156117099</v>
      </c>
      <c r="O780" s="67">
        <f>$L$780-EFEITO!$O$780*EFEITO!$AA$780</f>
        <v>2.6894040741468075</v>
      </c>
      <c r="P780" s="18"/>
      <c r="Q780" s="18"/>
      <c r="R780" s="18"/>
      <c r="S780" s="18"/>
      <c r="T780" s="18"/>
      <c r="U780" s="18"/>
      <c r="V780" s="18"/>
      <c r="W780" s="18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58" t="s">
        <v>21</v>
      </c>
      <c r="B781" s="58" t="s">
        <v>22</v>
      </c>
      <c r="C781" s="58" t="s">
        <v>23</v>
      </c>
      <c r="D781" s="58" t="s">
        <v>24</v>
      </c>
      <c r="E781" s="58" t="s">
        <v>30</v>
      </c>
      <c r="F781" s="58" t="s">
        <v>25</v>
      </c>
      <c r="G781" s="58" t="s">
        <v>25</v>
      </c>
      <c r="H781" s="58" t="s">
        <v>25</v>
      </c>
      <c r="I781" s="66">
        <v>44682</v>
      </c>
      <c r="J781" s="67">
        <f>EFEITO!$J$781*EFEITO!$Y$701</f>
        <v>0</v>
      </c>
      <c r="K781" s="67">
        <f ca="1">EFEITO!$L$781*EFEITO!$Z$817</f>
        <v>612404.74998860213</v>
      </c>
      <c r="L781" s="67">
        <f>EFEITO!$N$781*EFEITO!$AA$817</f>
        <v>605788.60387707746</v>
      </c>
      <c r="M781" s="67">
        <f>$J$781-EFEITO!$K$781*EFEITO!$Y$781</f>
        <v>0</v>
      </c>
      <c r="N781" s="67">
        <f ca="1">$K$781-EFEITO!$M$781*EFEITO!$Z$781</f>
        <v>244961.89999544091</v>
      </c>
      <c r="O781" s="67">
        <f>$L$781-EFEITO!$O$781*EFEITO!$AA$781</f>
        <v>242315.44155083102</v>
      </c>
      <c r="P781" s="18"/>
      <c r="Q781" s="18"/>
      <c r="R781" s="18"/>
      <c r="S781" s="18"/>
      <c r="T781" s="18"/>
      <c r="U781" s="18"/>
      <c r="V781" s="18"/>
      <c r="W781" s="18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58" t="s">
        <v>27</v>
      </c>
      <c r="B782" s="58" t="s">
        <v>22</v>
      </c>
      <c r="C782" s="58" t="s">
        <v>23</v>
      </c>
      <c r="D782" s="58" t="s">
        <v>24</v>
      </c>
      <c r="E782" s="58" t="s">
        <v>30</v>
      </c>
      <c r="F782" s="58" t="s">
        <v>25</v>
      </c>
      <c r="G782" s="58" t="s">
        <v>25</v>
      </c>
      <c r="H782" s="58" t="s">
        <v>25</v>
      </c>
      <c r="I782" s="66">
        <v>44682</v>
      </c>
      <c r="J782" s="67">
        <f>EFEITO!$J$782*EFEITO!$Y$701</f>
        <v>0</v>
      </c>
      <c r="K782" s="67">
        <f ca="1">EFEITO!$L$782*EFEITO!$Z$817</f>
        <v>48.937977281010774</v>
      </c>
      <c r="L782" s="67">
        <f>EFEITO!$N$782*EFEITO!$AA$817</f>
        <v>48.409273334642513</v>
      </c>
      <c r="M782" s="67">
        <f>$J$782-EFEITO!$K$782*EFEITO!$Y$782</f>
        <v>0</v>
      </c>
      <c r="N782" s="67">
        <f ca="1">$K$782-EFEITO!$M$782*EFEITO!$Z$782</f>
        <v>19.57519091240431</v>
      </c>
      <c r="O782" s="67">
        <f>$L$782-EFEITO!$O$782*EFEITO!$AA$782</f>
        <v>19.363709333857006</v>
      </c>
      <c r="P782" s="18"/>
      <c r="Q782" s="18"/>
      <c r="R782" s="18"/>
      <c r="S782" s="18"/>
      <c r="T782" s="18"/>
      <c r="U782" s="18"/>
      <c r="V782" s="18"/>
      <c r="W782" s="18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58" t="s">
        <v>21</v>
      </c>
      <c r="B783" s="58" t="s">
        <v>22</v>
      </c>
      <c r="C783" s="58" t="s">
        <v>23</v>
      </c>
      <c r="D783" s="58" t="s">
        <v>24</v>
      </c>
      <c r="E783" s="58" t="s">
        <v>30</v>
      </c>
      <c r="F783" s="58" t="s">
        <v>25</v>
      </c>
      <c r="G783" s="58" t="s">
        <v>25</v>
      </c>
      <c r="H783" s="58" t="s">
        <v>25</v>
      </c>
      <c r="I783" s="66">
        <v>44713</v>
      </c>
      <c r="J783" s="67">
        <f>EFEITO!$J$783*EFEITO!$Y$701</f>
        <v>0</v>
      </c>
      <c r="K783" s="67">
        <f ca="1">EFEITO!$L$783*EFEITO!$Z$817</f>
        <v>618788.43724725838</v>
      </c>
      <c r="L783" s="67">
        <f>EFEITO!$N$783*EFEITO!$AA$817</f>
        <v>612103.32464317419</v>
      </c>
      <c r="M783" s="67">
        <f>$J$783-EFEITO!$K$783*EFEITO!$Y$783</f>
        <v>0</v>
      </c>
      <c r="N783" s="67">
        <f ca="1">$K$783-EFEITO!$M$783*EFEITO!$Z$783</f>
        <v>247515.37489890336</v>
      </c>
      <c r="O783" s="67">
        <f>$L$783-EFEITO!$O$783*EFEITO!$AA$783</f>
        <v>244841.32985726971</v>
      </c>
      <c r="P783" s="18"/>
      <c r="Q783" s="18"/>
      <c r="R783" s="18"/>
      <c r="S783" s="18"/>
      <c r="T783" s="18"/>
      <c r="U783" s="18"/>
      <c r="V783" s="18"/>
      <c r="W783" s="18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58" t="s">
        <v>27</v>
      </c>
      <c r="B784" s="58" t="s">
        <v>22</v>
      </c>
      <c r="C784" s="58" t="s">
        <v>23</v>
      </c>
      <c r="D784" s="58" t="s">
        <v>24</v>
      </c>
      <c r="E784" s="58" t="s">
        <v>30</v>
      </c>
      <c r="F784" s="58" t="s">
        <v>25</v>
      </c>
      <c r="G784" s="58" t="s">
        <v>25</v>
      </c>
      <c r="H784" s="58" t="s">
        <v>25</v>
      </c>
      <c r="I784" s="66">
        <v>44713</v>
      </c>
      <c r="J784" s="67">
        <f>EFEITO!$J$784*EFEITO!$Y$701</f>
        <v>0</v>
      </c>
      <c r="K784" s="67">
        <f ca="1">EFEITO!$L$784*EFEITO!$Z$817</f>
        <v>-88.020389692929101</v>
      </c>
      <c r="L784" s="67">
        <f>EFEITO!$N$784*EFEITO!$AA$817</f>
        <v>-87.069456900502871</v>
      </c>
      <c r="M784" s="67">
        <f>$J$784-EFEITO!$K$784*EFEITO!$Y$784</f>
        <v>0</v>
      </c>
      <c r="N784" s="67">
        <f ca="1">$K$784-EFEITO!$M$784*EFEITO!$Z$784</f>
        <v>-35.208155877171635</v>
      </c>
      <c r="O784" s="67">
        <f>$L$784-EFEITO!$O$784*EFEITO!$AA$784</f>
        <v>-34.827782760201153</v>
      </c>
      <c r="P784" s="18"/>
      <c r="Q784" s="18"/>
      <c r="R784" s="18"/>
      <c r="S784" s="18"/>
      <c r="T784" s="18"/>
      <c r="U784" s="18"/>
      <c r="V784" s="18"/>
      <c r="W784" s="18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58" t="s">
        <v>21</v>
      </c>
      <c r="B785" s="58" t="s">
        <v>22</v>
      </c>
      <c r="C785" s="58" t="s">
        <v>23</v>
      </c>
      <c r="D785" s="58" t="s">
        <v>24</v>
      </c>
      <c r="E785" s="58" t="s">
        <v>30</v>
      </c>
      <c r="F785" s="58" t="s">
        <v>25</v>
      </c>
      <c r="G785" s="58" t="s">
        <v>25</v>
      </c>
      <c r="H785" s="58" t="s">
        <v>25</v>
      </c>
      <c r="I785" s="66">
        <v>44743</v>
      </c>
      <c r="J785" s="67">
        <f>EFEITO!$J$785*EFEITO!$Y$701</f>
        <v>0</v>
      </c>
      <c r="K785" s="67">
        <f ca="1">EFEITO!$L$785*EFEITO!$Z$817</f>
        <v>616380.96064268425</v>
      </c>
      <c r="L785" s="67">
        <f>EFEITO!$N$785*EFEITO!$AA$817</f>
        <v>609721.85733551718</v>
      </c>
      <c r="M785" s="67">
        <f>$J$785-EFEITO!$K$785*EFEITO!$Y$785</f>
        <v>0</v>
      </c>
      <c r="N785" s="67">
        <f ca="1">$K$785-EFEITO!$M$785*EFEITO!$Z$785</f>
        <v>246552.38425707375</v>
      </c>
      <c r="O785" s="67">
        <f>$L$785-EFEITO!$O$785*EFEITO!$AA$785</f>
        <v>243888.74293420691</v>
      </c>
      <c r="P785" s="18"/>
      <c r="Q785" s="18"/>
      <c r="R785" s="18"/>
      <c r="S785" s="18"/>
      <c r="T785" s="18"/>
      <c r="U785" s="18"/>
      <c r="V785" s="18"/>
      <c r="W785" s="18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1.25" customHeight="1" x14ac:dyDescent="0.2">
      <c r="A786" s="58" t="s">
        <v>27</v>
      </c>
      <c r="B786" s="58" t="s">
        <v>22</v>
      </c>
      <c r="C786" s="58" t="s">
        <v>23</v>
      </c>
      <c r="D786" s="58" t="s">
        <v>24</v>
      </c>
      <c r="E786" s="58" t="s">
        <v>30</v>
      </c>
      <c r="F786" s="58" t="s">
        <v>25</v>
      </c>
      <c r="G786" s="58" t="s">
        <v>25</v>
      </c>
      <c r="H786" s="58" t="s">
        <v>25</v>
      </c>
      <c r="I786" s="66">
        <v>44743</v>
      </c>
      <c r="J786" s="67">
        <f>EFEITO!$J$786*EFEITO!$Y$701</f>
        <v>0</v>
      </c>
      <c r="K786" s="67">
        <f ca="1">EFEITO!$L$786*EFEITO!$Z$817</f>
        <v>11.214953126898303</v>
      </c>
      <c r="L786" s="67">
        <f>EFEITO!$N$786*EFEITO!$AA$817</f>
        <v>11.093791805855577</v>
      </c>
      <c r="M786" s="67">
        <f>$J$786-EFEITO!$K$786*EFEITO!$Y$786</f>
        <v>0</v>
      </c>
      <c r="N786" s="67">
        <f ca="1">$K$786-EFEITO!$M$786*EFEITO!$Z$786</f>
        <v>4.4859812507593206</v>
      </c>
      <c r="O786" s="67">
        <f>$L$786-EFEITO!$O$786*EFEITO!$AA$786</f>
        <v>4.4375167223422309</v>
      </c>
      <c r="P786" s="18"/>
      <c r="Q786" s="18"/>
      <c r="R786" s="18"/>
      <c r="S786" s="18"/>
      <c r="T786" s="18"/>
      <c r="U786" s="18"/>
      <c r="V786" s="18"/>
      <c r="W786" s="18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1.25" customHeight="1" x14ac:dyDescent="0.2">
      <c r="A787" s="58" t="s">
        <v>21</v>
      </c>
      <c r="B787" s="58" t="s">
        <v>22</v>
      </c>
      <c r="C787" s="58" t="s">
        <v>23</v>
      </c>
      <c r="D787" s="58" t="s">
        <v>24</v>
      </c>
      <c r="E787" s="58" t="s">
        <v>30</v>
      </c>
      <c r="F787" s="58" t="s">
        <v>25</v>
      </c>
      <c r="G787" s="58" t="s">
        <v>25</v>
      </c>
      <c r="H787" s="58" t="s">
        <v>25</v>
      </c>
      <c r="I787" s="66">
        <v>44774</v>
      </c>
      <c r="J787" s="67">
        <f>EFEITO!$J$787*EFEITO!$Y$701</f>
        <v>0</v>
      </c>
      <c r="K787" s="67">
        <f ca="1">EFEITO!$L$787*EFEITO!$Z$817</f>
        <v>630561.75910105044</v>
      </c>
      <c r="L787" s="67">
        <f>EFEITO!$N$787*EFEITO!$AA$817</f>
        <v>623749.45281075768</v>
      </c>
      <c r="M787" s="67">
        <f>$J$787-EFEITO!$K$787*EFEITO!$Y$787</f>
        <v>0</v>
      </c>
      <c r="N787" s="67">
        <f ca="1">$K$787-EFEITO!$M$787*EFEITO!$Z$787</f>
        <v>252224.70364042016</v>
      </c>
      <c r="O787" s="67">
        <f>$L$787-EFEITO!$O$787*EFEITO!$AA$787</f>
        <v>249499.78112430312</v>
      </c>
      <c r="P787" s="18"/>
      <c r="Q787" s="18"/>
      <c r="R787" s="18"/>
      <c r="S787" s="18"/>
      <c r="T787" s="18"/>
      <c r="U787" s="18"/>
      <c r="V787" s="18"/>
      <c r="W787" s="18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1.25" customHeight="1" x14ac:dyDescent="0.2">
      <c r="A788" s="58" t="s">
        <v>27</v>
      </c>
      <c r="B788" s="58" t="s">
        <v>22</v>
      </c>
      <c r="C788" s="58" t="s">
        <v>23</v>
      </c>
      <c r="D788" s="58" t="s">
        <v>24</v>
      </c>
      <c r="E788" s="58" t="s">
        <v>30</v>
      </c>
      <c r="F788" s="58" t="s">
        <v>25</v>
      </c>
      <c r="G788" s="58" t="s">
        <v>25</v>
      </c>
      <c r="H788" s="58" t="s">
        <v>25</v>
      </c>
      <c r="I788" s="66">
        <v>44774</v>
      </c>
      <c r="J788" s="67">
        <f>EFEITO!$J$788*EFEITO!$Y$701</f>
        <v>0</v>
      </c>
      <c r="K788" s="67">
        <f ca="1">EFEITO!$L$788*EFEITO!$Z$817</f>
        <v>-50.297365538816628</v>
      </c>
      <c r="L788" s="67">
        <f>EFEITO!$N$788*EFEITO!$AA$817</f>
        <v>-49.753975371715917</v>
      </c>
      <c r="M788" s="67">
        <f>$J$788-EFEITO!$K$788*EFEITO!$Y$788</f>
        <v>0</v>
      </c>
      <c r="N788" s="67">
        <f ca="1">$K$788-EFEITO!$M$788*EFEITO!$Z$788</f>
        <v>-20.118946215526652</v>
      </c>
      <c r="O788" s="67">
        <f>$L$788-EFEITO!$O$788*EFEITO!$AA$788</f>
        <v>-19.901590148686367</v>
      </c>
      <c r="P788" s="18"/>
      <c r="Q788" s="18"/>
      <c r="R788" s="18"/>
      <c r="S788" s="18"/>
      <c r="T788" s="18"/>
      <c r="U788" s="18"/>
      <c r="V788" s="18"/>
      <c r="W788" s="18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1.25" customHeight="1" x14ac:dyDescent="0.2">
      <c r="A789" s="58" t="s">
        <v>21</v>
      </c>
      <c r="B789" s="58" t="s">
        <v>22</v>
      </c>
      <c r="C789" s="58" t="s">
        <v>23</v>
      </c>
      <c r="D789" s="58" t="s">
        <v>24</v>
      </c>
      <c r="E789" s="58" t="s">
        <v>30</v>
      </c>
      <c r="F789" s="58" t="s">
        <v>25</v>
      </c>
      <c r="G789" s="58" t="s">
        <v>25</v>
      </c>
      <c r="H789" s="58" t="s">
        <v>25</v>
      </c>
      <c r="I789" s="66">
        <v>44805</v>
      </c>
      <c r="J789" s="67">
        <f>EFEITO!$J$789*EFEITO!$Y$701</f>
        <v>0</v>
      </c>
      <c r="K789" s="67">
        <f ca="1">EFEITO!$L$789*EFEITO!$Z$817</f>
        <v>631400.84150318103</v>
      </c>
      <c r="L789" s="67">
        <f>EFEITO!$N$789*EFEITO!$AA$817</f>
        <v>624579.47014314111</v>
      </c>
      <c r="M789" s="67">
        <f>$J$789-EFEITO!$K$789*EFEITO!$Y$789</f>
        <v>0</v>
      </c>
      <c r="N789" s="67">
        <f ca="1">$K$789-EFEITO!$M$789*EFEITO!$Z$789</f>
        <v>252560.3366012724</v>
      </c>
      <c r="O789" s="67">
        <f>$L$789-EFEITO!$O$789*EFEITO!$AA$789</f>
        <v>249831.78805725643</v>
      </c>
      <c r="P789" s="18"/>
      <c r="Q789" s="18"/>
      <c r="R789" s="18"/>
      <c r="S789" s="18"/>
      <c r="T789" s="18"/>
      <c r="U789" s="18"/>
      <c r="V789" s="18"/>
      <c r="W789" s="18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1.25" customHeight="1" x14ac:dyDescent="0.2">
      <c r="A790" s="58" t="s">
        <v>27</v>
      </c>
      <c r="B790" s="58" t="s">
        <v>22</v>
      </c>
      <c r="C790" s="58" t="s">
        <v>23</v>
      </c>
      <c r="D790" s="58" t="s">
        <v>24</v>
      </c>
      <c r="E790" s="58" t="s">
        <v>30</v>
      </c>
      <c r="F790" s="58" t="s">
        <v>25</v>
      </c>
      <c r="G790" s="58" t="s">
        <v>25</v>
      </c>
      <c r="H790" s="58" t="s">
        <v>25</v>
      </c>
      <c r="I790" s="66">
        <v>44805</v>
      </c>
      <c r="J790" s="67">
        <f>EFEITO!$J$790*EFEITO!$Y$701</f>
        <v>0</v>
      </c>
      <c r="K790" s="67">
        <f ca="1">EFEITO!$L$790*EFEITO!$Z$817</f>
        <v>-135.93882578058549</v>
      </c>
      <c r="L790" s="67">
        <f>EFEITO!$N$790*EFEITO!$AA$817</f>
        <v>-134.47020370734035</v>
      </c>
      <c r="M790" s="67">
        <f>$J$790-EFEITO!$K$790*EFEITO!$Y$790</f>
        <v>0</v>
      </c>
      <c r="N790" s="67">
        <f ca="1">$K$790-EFEITO!$M$790*EFEITO!$Z$790</f>
        <v>-54.37553031223419</v>
      </c>
      <c r="O790" s="67">
        <f>$L$790-EFEITO!$O$790*EFEITO!$AA$790</f>
        <v>-53.78808148293615</v>
      </c>
      <c r="P790" s="18"/>
      <c r="Q790" s="18"/>
      <c r="R790" s="18"/>
      <c r="S790" s="18"/>
      <c r="T790" s="18"/>
      <c r="U790" s="18"/>
      <c r="V790" s="18"/>
      <c r="W790" s="18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1.25" customHeight="1" x14ac:dyDescent="0.2">
      <c r="A791" s="58" t="s">
        <v>55</v>
      </c>
      <c r="B791" s="58" t="s">
        <v>22</v>
      </c>
      <c r="C791" s="58" t="s">
        <v>23</v>
      </c>
      <c r="D791" s="58" t="s">
        <v>24</v>
      </c>
      <c r="E791" s="58" t="s">
        <v>30</v>
      </c>
      <c r="F791" s="58" t="s">
        <v>25</v>
      </c>
      <c r="G791" s="58" t="s">
        <v>25</v>
      </c>
      <c r="H791" s="58" t="s">
        <v>25</v>
      </c>
      <c r="I791" s="66">
        <v>44835</v>
      </c>
      <c r="J791" s="67">
        <f>EFEITO!$J$791*EFEITO!$Y$701</f>
        <v>0</v>
      </c>
      <c r="K791" s="67">
        <f ca="1">EFEITO!$L$791*EFEITO!$Z$817</f>
        <v>631400.84150318103</v>
      </c>
      <c r="L791" s="67">
        <f>EFEITO!$N$791*EFEITO!$AA$817</f>
        <v>624579.47014314111</v>
      </c>
      <c r="M791" s="67">
        <f>$J$791-EFEITO!$K$791*EFEITO!$Y$791</f>
        <v>0</v>
      </c>
      <c r="N791" s="67">
        <f ca="1">$K$791-EFEITO!$M$791*EFEITO!$Z$791</f>
        <v>252560.3366012724</v>
      </c>
      <c r="O791" s="67">
        <f>$L$791-EFEITO!$O$791*EFEITO!$AA$791</f>
        <v>249831.78805725643</v>
      </c>
      <c r="P791" s="18"/>
      <c r="Q791" s="18"/>
      <c r="R791" s="18"/>
      <c r="S791" s="18"/>
      <c r="T791" s="18"/>
      <c r="U791" s="18"/>
      <c r="V791" s="18"/>
      <c r="W791" s="18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1.25" customHeight="1" x14ac:dyDescent="0.2">
      <c r="A792" s="58" t="s">
        <v>55</v>
      </c>
      <c r="B792" s="58" t="s">
        <v>22</v>
      </c>
      <c r="C792" s="58" t="s">
        <v>23</v>
      </c>
      <c r="D792" s="58" t="s">
        <v>24</v>
      </c>
      <c r="E792" s="58" t="s">
        <v>30</v>
      </c>
      <c r="F792" s="58" t="s">
        <v>25</v>
      </c>
      <c r="G792" s="58" t="s">
        <v>25</v>
      </c>
      <c r="H792" s="58" t="s">
        <v>25</v>
      </c>
      <c r="I792" s="66">
        <v>44835</v>
      </c>
      <c r="J792" s="67">
        <f>EFEITO!$J$792*EFEITO!$Y$701</f>
        <v>0</v>
      </c>
      <c r="K792" s="67">
        <f ca="1">EFEITO!$L$792*EFEITO!$Z$817</f>
        <v>-135.93882578058549</v>
      </c>
      <c r="L792" s="67">
        <f>EFEITO!$N$792*EFEITO!$AA$817</f>
        <v>-134.47020370734035</v>
      </c>
      <c r="M792" s="67">
        <f>$J$792-EFEITO!$K$792*EFEITO!$Y$792</f>
        <v>0</v>
      </c>
      <c r="N792" s="67">
        <f ca="1">$K$792-EFEITO!$M$792*EFEITO!$Z$792</f>
        <v>-54.37553031223419</v>
      </c>
      <c r="O792" s="67">
        <f>$L$792-EFEITO!$O$792*EFEITO!$AA$792</f>
        <v>-53.78808148293615</v>
      </c>
      <c r="P792" s="18"/>
      <c r="Q792" s="18"/>
      <c r="R792" s="18"/>
      <c r="S792" s="18"/>
      <c r="T792" s="18"/>
      <c r="U792" s="18"/>
      <c r="V792" s="18"/>
      <c r="W792" s="18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1.25" customHeight="1" x14ac:dyDescent="0.2">
      <c r="A793" s="58" t="s">
        <v>21</v>
      </c>
      <c r="B793" s="58" t="s">
        <v>22</v>
      </c>
      <c r="C793" s="58" t="s">
        <v>23</v>
      </c>
      <c r="D793" s="58" t="s">
        <v>24</v>
      </c>
      <c r="E793" s="58" t="s">
        <v>31</v>
      </c>
      <c r="F793" s="58" t="s">
        <v>25</v>
      </c>
      <c r="G793" s="58" t="s">
        <v>25</v>
      </c>
      <c r="H793" s="58" t="s">
        <v>25</v>
      </c>
      <c r="I793" s="66">
        <v>44501</v>
      </c>
      <c r="J793" s="67">
        <f>EFEITO!$J$793*EFEITO!$Y$701</f>
        <v>0</v>
      </c>
      <c r="K793" s="67">
        <f ca="1">EFEITO!$L$793*EFEITO!$Z$817</f>
        <v>729107.89207417029</v>
      </c>
      <c r="L793" s="67">
        <f>EFEITO!$N$793*EFEITO!$AA$817</f>
        <v>721230.93758431985</v>
      </c>
      <c r="M793" s="67">
        <f>$J$793-EFEITO!$K$793*EFEITO!$Y$793</f>
        <v>0</v>
      </c>
      <c r="N793" s="67">
        <f ca="1">$K$793-EFEITO!$M$793*EFEITO!$Z$793</f>
        <v>72910.789207416936</v>
      </c>
      <c r="O793" s="67">
        <f>$L$793-EFEITO!$O$793*EFEITO!$AA$793</f>
        <v>72123.093758431962</v>
      </c>
      <c r="P793" s="18"/>
      <c r="Q793" s="18"/>
      <c r="R793" s="18"/>
      <c r="S793" s="18"/>
      <c r="T793" s="18"/>
      <c r="U793" s="18"/>
      <c r="V793" s="18"/>
      <c r="W793" s="18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1.25" customHeight="1" x14ac:dyDescent="0.2">
      <c r="A794" s="58" t="s">
        <v>27</v>
      </c>
      <c r="B794" s="58" t="s">
        <v>22</v>
      </c>
      <c r="C794" s="58" t="s">
        <v>23</v>
      </c>
      <c r="D794" s="58" t="s">
        <v>24</v>
      </c>
      <c r="E794" s="58" t="s">
        <v>31</v>
      </c>
      <c r="F794" s="58" t="s">
        <v>25</v>
      </c>
      <c r="G794" s="58" t="s">
        <v>25</v>
      </c>
      <c r="H794" s="58" t="s">
        <v>25</v>
      </c>
      <c r="I794" s="66">
        <v>44501</v>
      </c>
      <c r="J794" s="67">
        <f>EFEITO!$J$794*EFEITO!$Y$701</f>
        <v>0</v>
      </c>
      <c r="K794" s="67">
        <f ca="1">EFEITO!$L$794*EFEITO!$Z$817</f>
        <v>-619.88104555946984</v>
      </c>
      <c r="L794" s="67">
        <f>EFEITO!$N$794*EFEITO!$AA$817</f>
        <v>-613.18412890547188</v>
      </c>
      <c r="M794" s="67">
        <f>$J$794-EFEITO!$K$794*EFEITO!$Y$794</f>
        <v>0</v>
      </c>
      <c r="N794" s="67">
        <f ca="1">$K$794-EFEITO!$M$794*EFEITO!$Z$794</f>
        <v>-61.988104555946961</v>
      </c>
      <c r="O794" s="67">
        <f>$L$794-EFEITO!$O$794*EFEITO!$AA$794</f>
        <v>-61.318412890547165</v>
      </c>
      <c r="P794" s="18"/>
      <c r="Q794" s="18"/>
      <c r="R794" s="18"/>
      <c r="S794" s="18"/>
      <c r="T794" s="18"/>
      <c r="U794" s="18"/>
      <c r="V794" s="18"/>
      <c r="W794" s="18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1.25" customHeight="1" x14ac:dyDescent="0.2">
      <c r="A795" s="58" t="s">
        <v>21</v>
      </c>
      <c r="B795" s="58" t="s">
        <v>22</v>
      </c>
      <c r="C795" s="58" t="s">
        <v>23</v>
      </c>
      <c r="D795" s="58" t="s">
        <v>24</v>
      </c>
      <c r="E795" s="58" t="s">
        <v>31</v>
      </c>
      <c r="F795" s="58" t="s">
        <v>25</v>
      </c>
      <c r="G795" s="58" t="s">
        <v>25</v>
      </c>
      <c r="H795" s="58" t="s">
        <v>25</v>
      </c>
      <c r="I795" s="66">
        <v>44531</v>
      </c>
      <c r="J795" s="67">
        <f>EFEITO!$J$795*EFEITO!$Y$701</f>
        <v>0</v>
      </c>
      <c r="K795" s="67">
        <f ca="1">EFEITO!$L$795*EFEITO!$Z$817</f>
        <v>712110.78099269478</v>
      </c>
      <c r="L795" s="67">
        <f>EFEITO!$N$795*EFEITO!$AA$817</f>
        <v>704417.45566377253</v>
      </c>
      <c r="M795" s="67">
        <f>$J$795-EFEITO!$K$795*EFEITO!$Y$795</f>
        <v>0</v>
      </c>
      <c r="N795" s="67">
        <f ca="1">$K$795-EFEITO!$M$795*EFEITO!$Z$795</f>
        <v>71211.07809926942</v>
      </c>
      <c r="O795" s="67">
        <f>$L$795-EFEITO!$O$795*EFEITO!$AA$795</f>
        <v>70441.745566377183</v>
      </c>
      <c r="P795" s="18"/>
      <c r="Q795" s="18"/>
      <c r="R795" s="18"/>
      <c r="S795" s="18"/>
      <c r="T795" s="18"/>
      <c r="U795" s="18"/>
      <c r="V795" s="18"/>
      <c r="W795" s="18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1.25" customHeight="1" x14ac:dyDescent="0.2">
      <c r="A796" s="58" t="s">
        <v>27</v>
      </c>
      <c r="B796" s="58" t="s">
        <v>22</v>
      </c>
      <c r="C796" s="58" t="s">
        <v>23</v>
      </c>
      <c r="D796" s="58" t="s">
        <v>24</v>
      </c>
      <c r="E796" s="58" t="s">
        <v>31</v>
      </c>
      <c r="F796" s="58" t="s">
        <v>25</v>
      </c>
      <c r="G796" s="58" t="s">
        <v>25</v>
      </c>
      <c r="H796" s="58" t="s">
        <v>25</v>
      </c>
      <c r="I796" s="66">
        <v>44531</v>
      </c>
      <c r="J796" s="67">
        <f>EFEITO!$J$796*EFEITO!$Y$701</f>
        <v>0</v>
      </c>
      <c r="K796" s="67">
        <f ca="1">EFEITO!$L$796*EFEITO!$Z$817</f>
        <v>-148.51316716528964</v>
      </c>
      <c r="L796" s="67">
        <f>EFEITO!$N$796*EFEITO!$AA$817</f>
        <v>-146.9086975502693</v>
      </c>
      <c r="M796" s="67">
        <f>$J$796-EFEITO!$K$796*EFEITO!$Y$796</f>
        <v>0</v>
      </c>
      <c r="N796" s="67">
        <f ca="1">$K$796-EFEITO!$M$796*EFEITO!$Z$796</f>
        <v>-14.851316716528942</v>
      </c>
      <c r="O796" s="67">
        <f>$L$796-EFEITO!$O$796*EFEITO!$AA$796</f>
        <v>-14.69086975502691</v>
      </c>
      <c r="P796" s="18"/>
      <c r="Q796" s="18"/>
      <c r="R796" s="18"/>
      <c r="S796" s="18"/>
      <c r="T796" s="18"/>
      <c r="U796" s="18"/>
      <c r="V796" s="18"/>
      <c r="W796" s="18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1.25" customHeight="1" x14ac:dyDescent="0.2">
      <c r="A797" s="58" t="s">
        <v>21</v>
      </c>
      <c r="B797" s="58" t="s">
        <v>22</v>
      </c>
      <c r="C797" s="58" t="s">
        <v>23</v>
      </c>
      <c r="D797" s="58" t="s">
        <v>24</v>
      </c>
      <c r="E797" s="58" t="s">
        <v>31</v>
      </c>
      <c r="F797" s="58" t="s">
        <v>25</v>
      </c>
      <c r="G797" s="58" t="s">
        <v>25</v>
      </c>
      <c r="H797" s="58" t="s">
        <v>25</v>
      </c>
      <c r="I797" s="66">
        <v>44562</v>
      </c>
      <c r="J797" s="67">
        <f>EFEITO!$J$797*EFEITO!$Y$701</f>
        <v>0</v>
      </c>
      <c r="K797" s="67">
        <f ca="1">EFEITO!$L$797*EFEITO!$Z$817</f>
        <v>682152.92241423379</v>
      </c>
      <c r="L797" s="67">
        <f>EFEITO!$N$797*EFEITO!$AA$817</f>
        <v>674783.24834625807</v>
      </c>
      <c r="M797" s="67">
        <f>$J$797-EFEITO!$K$797*EFEITO!$Y$797</f>
        <v>0</v>
      </c>
      <c r="N797" s="67">
        <f ca="1">$K$797-EFEITO!$M$797*EFEITO!$Z$797</f>
        <v>68215.292241423391</v>
      </c>
      <c r="O797" s="67">
        <f>$L$797-EFEITO!$O$797*EFEITO!$AA$797</f>
        <v>67478.324834625702</v>
      </c>
      <c r="P797" s="18"/>
      <c r="Q797" s="18"/>
      <c r="R797" s="18"/>
      <c r="S797" s="18"/>
      <c r="T797" s="18"/>
      <c r="U797" s="18"/>
      <c r="V797" s="18"/>
      <c r="W797" s="18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1.25" customHeight="1" x14ac:dyDescent="0.2">
      <c r="A798" s="58" t="s">
        <v>27</v>
      </c>
      <c r="B798" s="58" t="s">
        <v>22</v>
      </c>
      <c r="C798" s="58" t="s">
        <v>23</v>
      </c>
      <c r="D798" s="58" t="s">
        <v>24</v>
      </c>
      <c r="E798" s="58" t="s">
        <v>31</v>
      </c>
      <c r="F798" s="58" t="s">
        <v>25</v>
      </c>
      <c r="G798" s="58" t="s">
        <v>25</v>
      </c>
      <c r="H798" s="58" t="s">
        <v>25</v>
      </c>
      <c r="I798" s="66">
        <v>44562</v>
      </c>
      <c r="J798" s="67">
        <f>EFEITO!$J$798*EFEITO!$Y$701</f>
        <v>0</v>
      </c>
      <c r="K798" s="67">
        <f ca="1">EFEITO!$L$798*EFEITO!$Z$817</f>
        <v>-56.07476563449152</v>
      </c>
      <c r="L798" s="67">
        <f>EFEITO!$N$798*EFEITO!$AA$817</f>
        <v>-55.46895902927789</v>
      </c>
      <c r="M798" s="67">
        <f>$J$798-EFEITO!$K$798*EFEITO!$Y$798</f>
        <v>0</v>
      </c>
      <c r="N798" s="67">
        <f ca="1">$K$798-EFEITO!$M$798*EFEITO!$Z$798</f>
        <v>-5.607476563449147</v>
      </c>
      <c r="O798" s="67">
        <f>$L$798-EFEITO!$O$798*EFEITO!$AA$798</f>
        <v>-5.5468959029277869</v>
      </c>
      <c r="P798" s="18"/>
      <c r="Q798" s="18"/>
      <c r="R798" s="18"/>
      <c r="S798" s="18"/>
      <c r="T798" s="18"/>
      <c r="U798" s="18"/>
      <c r="V798" s="18"/>
      <c r="W798" s="18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1.25" customHeight="1" x14ac:dyDescent="0.2">
      <c r="A799" s="58" t="s">
        <v>21</v>
      </c>
      <c r="B799" s="58" t="s">
        <v>22</v>
      </c>
      <c r="C799" s="58" t="s">
        <v>23</v>
      </c>
      <c r="D799" s="58" t="s">
        <v>24</v>
      </c>
      <c r="E799" s="58" t="s">
        <v>31</v>
      </c>
      <c r="F799" s="58" t="s">
        <v>25</v>
      </c>
      <c r="G799" s="58" t="s">
        <v>25</v>
      </c>
      <c r="H799" s="58" t="s">
        <v>25</v>
      </c>
      <c r="I799" s="66">
        <v>44593</v>
      </c>
      <c r="J799" s="67">
        <f>EFEITO!$J$799*EFEITO!$Y$701</f>
        <v>0</v>
      </c>
      <c r="K799" s="67">
        <f ca="1">EFEITO!$L$799*EFEITO!$Z$817</f>
        <v>705991.15490311722</v>
      </c>
      <c r="L799" s="67">
        <f>EFEITO!$N$799*EFEITO!$AA$817</f>
        <v>698363.94326837733</v>
      </c>
      <c r="M799" s="67">
        <f>$J$799-EFEITO!$K$799*EFEITO!$Y$799</f>
        <v>0</v>
      </c>
      <c r="N799" s="67">
        <f ca="1">$K$799-EFEITO!$M$799*EFEITO!$Z$799</f>
        <v>70599.11549031164</v>
      </c>
      <c r="O799" s="67">
        <f>$L$799-EFEITO!$O$799*EFEITO!$AA$799</f>
        <v>69836.394326837733</v>
      </c>
      <c r="P799" s="18"/>
      <c r="Q799" s="18"/>
      <c r="R799" s="18"/>
      <c r="S799" s="18"/>
      <c r="T799" s="18"/>
      <c r="U799" s="18"/>
      <c r="V799" s="18"/>
      <c r="W799" s="18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1.25" customHeight="1" x14ac:dyDescent="0.2">
      <c r="A800" s="58" t="s">
        <v>27</v>
      </c>
      <c r="B800" s="58" t="s">
        <v>22</v>
      </c>
      <c r="C800" s="58" t="s">
        <v>23</v>
      </c>
      <c r="D800" s="58" t="s">
        <v>24</v>
      </c>
      <c r="E800" s="58" t="s">
        <v>31</v>
      </c>
      <c r="F800" s="58" t="s">
        <v>25</v>
      </c>
      <c r="G800" s="58" t="s">
        <v>25</v>
      </c>
      <c r="H800" s="58" t="s">
        <v>25</v>
      </c>
      <c r="I800" s="66">
        <v>44593</v>
      </c>
      <c r="J800" s="67">
        <f>EFEITO!$J$800*EFEITO!$Y$701</f>
        <v>0</v>
      </c>
      <c r="K800" s="67">
        <f ca="1">EFEITO!$L$800*EFEITO!$Z$817</f>
        <v>-271.87765156117098</v>
      </c>
      <c r="L800" s="67">
        <f>EFEITO!$N$800*EFEITO!$AA$817</f>
        <v>-268.94040741468069</v>
      </c>
      <c r="M800" s="67">
        <f>$J$800-EFEITO!$K$800*EFEITO!$Y$800</f>
        <v>0</v>
      </c>
      <c r="N800" s="67">
        <f ca="1">$K$800-EFEITO!$M$800*EFEITO!$Z$800</f>
        <v>-27.187765156117052</v>
      </c>
      <c r="O800" s="67">
        <f>$L$800-EFEITO!$O$800*EFEITO!$AA$800</f>
        <v>-26.894040741468075</v>
      </c>
      <c r="P800" s="18"/>
      <c r="Q800" s="18"/>
      <c r="R800" s="18"/>
      <c r="S800" s="18"/>
      <c r="T800" s="18"/>
      <c r="U800" s="18"/>
      <c r="V800" s="18"/>
      <c r="W800" s="18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1.25" customHeight="1" x14ac:dyDescent="0.2">
      <c r="A801" s="58" t="s">
        <v>21</v>
      </c>
      <c r="B801" s="58" t="s">
        <v>22</v>
      </c>
      <c r="C801" s="58" t="s">
        <v>23</v>
      </c>
      <c r="D801" s="58" t="s">
        <v>24</v>
      </c>
      <c r="E801" s="58" t="s">
        <v>31</v>
      </c>
      <c r="F801" s="58" t="s">
        <v>25</v>
      </c>
      <c r="G801" s="58" t="s">
        <v>25</v>
      </c>
      <c r="H801" s="58" t="s">
        <v>25</v>
      </c>
      <c r="I801" s="66">
        <v>44621</v>
      </c>
      <c r="J801" s="67">
        <f>EFEITO!$J$801*EFEITO!$Y$701</f>
        <v>0</v>
      </c>
      <c r="K801" s="67">
        <f ca="1">EFEITO!$L$801*EFEITO!$Z$817</f>
        <v>732336.77903352352</v>
      </c>
      <c r="L801" s="67">
        <f>EFEITO!$N$801*EFEITO!$AA$817</f>
        <v>724424.94109787839</v>
      </c>
      <c r="M801" s="67">
        <f>$J$801-EFEITO!$K$801*EFEITO!$Y$801</f>
        <v>0</v>
      </c>
      <c r="N801" s="67">
        <f ca="1">$K$801-EFEITO!$M$801*EFEITO!$Z$801</f>
        <v>73233.677903352189</v>
      </c>
      <c r="O801" s="67">
        <f>$L$801-EFEITO!$O$801*EFEITO!$AA$801</f>
        <v>72442.494109787745</v>
      </c>
      <c r="P801" s="18"/>
      <c r="Q801" s="18"/>
      <c r="R801" s="18"/>
      <c r="S801" s="18"/>
      <c r="T801" s="18"/>
      <c r="U801" s="18"/>
      <c r="V801" s="18"/>
      <c r="W801" s="18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1.25" customHeight="1" x14ac:dyDescent="0.2">
      <c r="A802" s="58" t="s">
        <v>27</v>
      </c>
      <c r="B802" s="58" t="s">
        <v>22</v>
      </c>
      <c r="C802" s="58" t="s">
        <v>23</v>
      </c>
      <c r="D802" s="58" t="s">
        <v>24</v>
      </c>
      <c r="E802" s="58" t="s">
        <v>31</v>
      </c>
      <c r="F802" s="58" t="s">
        <v>25</v>
      </c>
      <c r="G802" s="58" t="s">
        <v>25</v>
      </c>
      <c r="H802" s="58" t="s">
        <v>25</v>
      </c>
      <c r="I802" s="66">
        <v>44621</v>
      </c>
      <c r="J802" s="67">
        <f>EFEITO!$J$802*EFEITO!$Y$701</f>
        <v>0</v>
      </c>
      <c r="K802" s="67">
        <f ca="1">EFEITO!$L$802*EFEITO!$Z$817</f>
        <v>15.293117900315867</v>
      </c>
      <c r="L802" s="67">
        <f>EFEITO!$N$802*EFEITO!$AA$817</f>
        <v>15.127897917075787</v>
      </c>
      <c r="M802" s="67">
        <f>$J$802-EFEITO!$K$802*EFEITO!$Y$802</f>
        <v>0</v>
      </c>
      <c r="N802" s="67">
        <f ca="1">$K$802-EFEITO!$M$802*EFEITO!$Z$802</f>
        <v>1.5293117900315849</v>
      </c>
      <c r="O802" s="67">
        <f>$L$802-EFEITO!$O$802*EFEITO!$AA$802</f>
        <v>1.5127897917075774</v>
      </c>
      <c r="P802" s="18"/>
      <c r="Q802" s="18"/>
      <c r="R802" s="18"/>
      <c r="S802" s="18"/>
      <c r="T802" s="18"/>
      <c r="U802" s="18"/>
      <c r="V802" s="18"/>
      <c r="W802" s="18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1.25" customHeight="1" x14ac:dyDescent="0.2">
      <c r="A803" s="58" t="s">
        <v>21</v>
      </c>
      <c r="B803" s="58" t="s">
        <v>22</v>
      </c>
      <c r="C803" s="58" t="s">
        <v>23</v>
      </c>
      <c r="D803" s="58" t="s">
        <v>24</v>
      </c>
      <c r="E803" s="58" t="s">
        <v>31</v>
      </c>
      <c r="F803" s="58" t="s">
        <v>25</v>
      </c>
      <c r="G803" s="58" t="s">
        <v>25</v>
      </c>
      <c r="H803" s="58" t="s">
        <v>25</v>
      </c>
      <c r="I803" s="66">
        <v>44652</v>
      </c>
      <c r="J803" s="67">
        <f>EFEITO!$J$803*EFEITO!$Y$701</f>
        <v>0</v>
      </c>
      <c r="K803" s="67">
        <f ca="1">EFEITO!$L$803*EFEITO!$Z$817</f>
        <v>732336.77903352352</v>
      </c>
      <c r="L803" s="67">
        <f>EFEITO!$N$803*EFEITO!$AA$817</f>
        <v>724424.94109787839</v>
      </c>
      <c r="M803" s="67">
        <f>$J$803-EFEITO!$K$803*EFEITO!$Y$803</f>
        <v>0</v>
      </c>
      <c r="N803" s="67">
        <f ca="1">$K$803-EFEITO!$M$803*EFEITO!$Z$803</f>
        <v>73233.677903352189</v>
      </c>
      <c r="O803" s="67">
        <f>$L$803-EFEITO!$O$803*EFEITO!$AA$803</f>
        <v>72442.494109787745</v>
      </c>
      <c r="P803" s="18"/>
      <c r="Q803" s="18"/>
      <c r="R803" s="18"/>
      <c r="S803" s="18"/>
      <c r="T803" s="18"/>
      <c r="U803" s="18"/>
      <c r="V803" s="18"/>
      <c r="W803" s="18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1.25" customHeight="1" x14ac:dyDescent="0.2">
      <c r="A804" s="58" t="s">
        <v>27</v>
      </c>
      <c r="B804" s="58" t="s">
        <v>22</v>
      </c>
      <c r="C804" s="58" t="s">
        <v>23</v>
      </c>
      <c r="D804" s="58" t="s">
        <v>24</v>
      </c>
      <c r="E804" s="58" t="s">
        <v>31</v>
      </c>
      <c r="F804" s="58" t="s">
        <v>25</v>
      </c>
      <c r="G804" s="58" t="s">
        <v>25</v>
      </c>
      <c r="H804" s="58" t="s">
        <v>25</v>
      </c>
      <c r="I804" s="66">
        <v>44652</v>
      </c>
      <c r="J804" s="67">
        <f>EFEITO!$J$804*EFEITO!$Y$701</f>
        <v>0</v>
      </c>
      <c r="K804" s="67">
        <f ca="1">EFEITO!$L$804*EFEITO!$Z$817</f>
        <v>15.293117900315867</v>
      </c>
      <c r="L804" s="67">
        <f>EFEITO!$N$804*EFEITO!$AA$817</f>
        <v>15.127897917075787</v>
      </c>
      <c r="M804" s="67">
        <f>$J$804-EFEITO!$K$804*EFEITO!$Y$804</f>
        <v>0</v>
      </c>
      <c r="N804" s="67">
        <f ca="1">$K$804-EFEITO!$M$804*EFEITO!$Z$804</f>
        <v>1.5293117900315849</v>
      </c>
      <c r="O804" s="67">
        <f>$L$804-EFEITO!$O$804*EFEITO!$AA$804</f>
        <v>1.5127897917075774</v>
      </c>
      <c r="P804" s="18"/>
      <c r="Q804" s="18"/>
      <c r="R804" s="18"/>
      <c r="S804" s="18"/>
      <c r="T804" s="18"/>
      <c r="U804" s="18"/>
      <c r="V804" s="18"/>
      <c r="W804" s="18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1.25" customHeight="1" x14ac:dyDescent="0.2">
      <c r="A805" s="58" t="s">
        <v>21</v>
      </c>
      <c r="B805" s="58" t="s">
        <v>22</v>
      </c>
      <c r="C805" s="58" t="s">
        <v>23</v>
      </c>
      <c r="D805" s="58" t="s">
        <v>24</v>
      </c>
      <c r="E805" s="58" t="s">
        <v>31</v>
      </c>
      <c r="F805" s="58" t="s">
        <v>25</v>
      </c>
      <c r="G805" s="58" t="s">
        <v>25</v>
      </c>
      <c r="H805" s="58" t="s">
        <v>25</v>
      </c>
      <c r="I805" s="66">
        <v>44682</v>
      </c>
      <c r="J805" s="67">
        <f>EFEITO!$J$805*EFEITO!$Y$701</f>
        <v>0</v>
      </c>
      <c r="K805" s="67">
        <f ca="1">EFEITO!$L$805*EFEITO!$Z$817</f>
        <v>705458.61455312173</v>
      </c>
      <c r="L805" s="67">
        <f>EFEITO!$N$805*EFEITO!$AA$817</f>
        <v>697837.15624535386</v>
      </c>
      <c r="M805" s="67">
        <f>$J$805-EFEITO!$K$805*EFEITO!$Y$805</f>
        <v>0</v>
      </c>
      <c r="N805" s="67">
        <f ca="1">$K$805-EFEITO!$M$805*EFEITO!$Z$805</f>
        <v>70545.861455312115</v>
      </c>
      <c r="O805" s="67">
        <f>$L$805-EFEITO!$O$805*EFEITO!$AA$805</f>
        <v>69783.71562453534</v>
      </c>
      <c r="P805" s="18"/>
      <c r="Q805" s="18"/>
      <c r="R805" s="18"/>
      <c r="S805" s="18"/>
      <c r="T805" s="18"/>
      <c r="U805" s="18"/>
      <c r="V805" s="18"/>
      <c r="W805" s="18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1.25" customHeight="1" x14ac:dyDescent="0.2">
      <c r="A806" s="58" t="s">
        <v>27</v>
      </c>
      <c r="B806" s="58" t="s">
        <v>22</v>
      </c>
      <c r="C806" s="58" t="s">
        <v>23</v>
      </c>
      <c r="D806" s="58" t="s">
        <v>24</v>
      </c>
      <c r="E806" s="58" t="s">
        <v>31</v>
      </c>
      <c r="F806" s="58" t="s">
        <v>25</v>
      </c>
      <c r="G806" s="58" t="s">
        <v>25</v>
      </c>
      <c r="H806" s="58" t="s">
        <v>25</v>
      </c>
      <c r="I806" s="66">
        <v>44682</v>
      </c>
      <c r="J806" s="67">
        <f>EFEITO!$J$806*EFEITO!$Y$701</f>
        <v>0</v>
      </c>
      <c r="K806" s="67">
        <f ca="1">EFEITO!$L$806*EFEITO!$Z$817</f>
        <v>-560.06796221601223</v>
      </c>
      <c r="L806" s="67">
        <f>EFEITO!$N$806*EFEITO!$AA$817</f>
        <v>-554.01723927424212</v>
      </c>
      <c r="M806" s="67">
        <f>$J$806-EFEITO!$K$806*EFEITO!$Y$806</f>
        <v>0</v>
      </c>
      <c r="N806" s="67">
        <f ca="1">$K$806-EFEITO!$M$806*EFEITO!$Z$806</f>
        <v>-56.006796221601235</v>
      </c>
      <c r="O806" s="67">
        <f>$L$806-EFEITO!$O$806*EFEITO!$AA$806</f>
        <v>-55.4017239274242</v>
      </c>
      <c r="P806" s="18"/>
      <c r="Q806" s="18"/>
      <c r="R806" s="18"/>
      <c r="S806" s="18"/>
      <c r="T806" s="18"/>
      <c r="U806" s="18"/>
      <c r="V806" s="18"/>
      <c r="W806" s="18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1.25" customHeight="1" x14ac:dyDescent="0.2">
      <c r="A807" s="58" t="s">
        <v>21</v>
      </c>
      <c r="B807" s="58" t="s">
        <v>22</v>
      </c>
      <c r="C807" s="58" t="s">
        <v>23</v>
      </c>
      <c r="D807" s="58" t="s">
        <v>24</v>
      </c>
      <c r="E807" s="58" t="s">
        <v>31</v>
      </c>
      <c r="F807" s="58" t="s">
        <v>25</v>
      </c>
      <c r="G807" s="58" t="s">
        <v>25</v>
      </c>
      <c r="H807" s="58" t="s">
        <v>25</v>
      </c>
      <c r="I807" s="66">
        <v>44713</v>
      </c>
      <c r="J807" s="67">
        <f>EFEITO!$J$807*EFEITO!$Y$701</f>
        <v>0</v>
      </c>
      <c r="K807" s="67">
        <f ca="1">EFEITO!$L$807*EFEITO!$Z$817</f>
        <v>704906.70292045269</v>
      </c>
      <c r="L807" s="67">
        <f>EFEITO!$N$807*EFEITO!$AA$817</f>
        <v>697291.20721830206</v>
      </c>
      <c r="M807" s="67">
        <f>$J$807-EFEITO!$K$807*EFEITO!$Y$807</f>
        <v>0</v>
      </c>
      <c r="N807" s="67">
        <f ca="1">$K$807-EFEITO!$M$807*EFEITO!$Z$807</f>
        <v>70490.670292045223</v>
      </c>
      <c r="O807" s="67">
        <f>$L$807-EFEITO!$O$807*EFEITO!$AA$807</f>
        <v>69729.120721830172</v>
      </c>
      <c r="P807" s="18"/>
      <c r="Q807" s="18"/>
      <c r="R807" s="18"/>
      <c r="S807" s="18"/>
      <c r="T807" s="18"/>
      <c r="U807" s="18"/>
      <c r="V807" s="18"/>
      <c r="W807" s="18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1.25" customHeight="1" x14ac:dyDescent="0.2">
      <c r="A808" s="58" t="s">
        <v>27</v>
      </c>
      <c r="B808" s="58" t="s">
        <v>22</v>
      </c>
      <c r="C808" s="58" t="s">
        <v>23</v>
      </c>
      <c r="D808" s="58" t="s">
        <v>24</v>
      </c>
      <c r="E808" s="58" t="s">
        <v>31</v>
      </c>
      <c r="F808" s="58" t="s">
        <v>25</v>
      </c>
      <c r="G808" s="58" t="s">
        <v>25</v>
      </c>
      <c r="H808" s="58" t="s">
        <v>25</v>
      </c>
      <c r="I808" s="66">
        <v>44713</v>
      </c>
      <c r="J808" s="67">
        <f>EFEITO!$J$808*EFEITO!$Y$701</f>
        <v>0</v>
      </c>
      <c r="K808" s="67">
        <f ca="1">EFEITO!$L$808*EFEITO!$Z$817</f>
        <v>-163.12659093670257</v>
      </c>
      <c r="L808" s="67">
        <f>EFEITO!$N$808*EFEITO!$AA$817</f>
        <v>-161.36424444880839</v>
      </c>
      <c r="M808" s="67">
        <f>$J$808-EFEITO!$K$808*EFEITO!$Y$808</f>
        <v>0</v>
      </c>
      <c r="N808" s="67">
        <f ca="1">$K$808-EFEITO!$M$808*EFEITO!$Z$808</f>
        <v>-16.31265909367022</v>
      </c>
      <c r="O808" s="67">
        <f>$L$808-EFEITO!$O$808*EFEITO!$AA$808</f>
        <v>-16.136424444880845</v>
      </c>
      <c r="P808" s="18"/>
      <c r="Q808" s="18"/>
      <c r="R808" s="18"/>
      <c r="S808" s="18"/>
      <c r="T808" s="18"/>
      <c r="U808" s="18"/>
      <c r="V808" s="18"/>
      <c r="W808" s="18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1.25" customHeight="1" x14ac:dyDescent="0.2">
      <c r="A809" s="58" t="s">
        <v>21</v>
      </c>
      <c r="B809" s="58" t="s">
        <v>22</v>
      </c>
      <c r="C809" s="58" t="s">
        <v>23</v>
      </c>
      <c r="D809" s="58" t="s">
        <v>24</v>
      </c>
      <c r="E809" s="58" t="s">
        <v>31</v>
      </c>
      <c r="F809" s="58" t="s">
        <v>25</v>
      </c>
      <c r="G809" s="58" t="s">
        <v>25</v>
      </c>
      <c r="H809" s="58" t="s">
        <v>25</v>
      </c>
      <c r="I809" s="66">
        <v>44743</v>
      </c>
      <c r="J809" s="67">
        <f>EFEITO!$J$809*EFEITO!$Y$701</f>
        <v>0</v>
      </c>
      <c r="K809" s="67">
        <f ca="1">EFEITO!$L$809*EFEITO!$Z$817</f>
        <v>689102.7948822662</v>
      </c>
      <c r="L809" s="67">
        <f>EFEITO!$N$809*EFEITO!$AA$817</f>
        <v>681658.03751079587</v>
      </c>
      <c r="M809" s="67">
        <f>$J$809-EFEITO!$K$809*EFEITO!$Y$809</f>
        <v>0</v>
      </c>
      <c r="N809" s="67">
        <f ca="1">$K$809-EFEITO!$M$809*EFEITO!$Z$809</f>
        <v>68910.279488226515</v>
      </c>
      <c r="O809" s="67">
        <f>$L$809-EFEITO!$O$809*EFEITO!$AA$809</f>
        <v>68165.803751079482</v>
      </c>
      <c r="P809" s="18"/>
      <c r="Q809" s="18"/>
      <c r="R809" s="18"/>
      <c r="S809" s="18"/>
      <c r="T809" s="18"/>
      <c r="U809" s="18"/>
      <c r="V809" s="18"/>
      <c r="W809" s="18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1.25" customHeight="1" x14ac:dyDescent="0.2">
      <c r="A810" s="58" t="s">
        <v>27</v>
      </c>
      <c r="B810" s="58" t="s">
        <v>22</v>
      </c>
      <c r="C810" s="58" t="s">
        <v>23</v>
      </c>
      <c r="D810" s="58" t="s">
        <v>24</v>
      </c>
      <c r="E810" s="58" t="s">
        <v>31</v>
      </c>
      <c r="F810" s="58" t="s">
        <v>25</v>
      </c>
      <c r="G810" s="58" t="s">
        <v>25</v>
      </c>
      <c r="H810" s="58" t="s">
        <v>25</v>
      </c>
      <c r="I810" s="66">
        <v>44743</v>
      </c>
      <c r="J810" s="67">
        <f>EFEITO!$J$810*EFEITO!$Y$701</f>
        <v>0</v>
      </c>
      <c r="K810" s="67">
        <f ca="1">EFEITO!$L$810*EFEITO!$Z$817</f>
        <v>-185.55649719049921</v>
      </c>
      <c r="L810" s="67">
        <f>EFEITO!$N$810*EFEITO!$AA$817</f>
        <v>-183.55182806051957</v>
      </c>
      <c r="M810" s="67">
        <f>$J$810-EFEITO!$K$810*EFEITO!$Y$810</f>
        <v>0</v>
      </c>
      <c r="N810" s="67">
        <f ca="1">$K$810-EFEITO!$M$810*EFEITO!$Z$810</f>
        <v>-18.55564971904991</v>
      </c>
      <c r="O810" s="67">
        <f>$L$810-EFEITO!$O$810*EFEITO!$AA$810</f>
        <v>-18.355182806051943</v>
      </c>
      <c r="P810" s="18"/>
      <c r="Q810" s="18"/>
      <c r="R810" s="18"/>
      <c r="S810" s="18"/>
      <c r="T810" s="18"/>
      <c r="U810" s="18"/>
      <c r="V810" s="18"/>
      <c r="W810" s="18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1.25" customHeight="1" x14ac:dyDescent="0.2">
      <c r="A811" s="58" t="s">
        <v>21</v>
      </c>
      <c r="B811" s="58" t="s">
        <v>22</v>
      </c>
      <c r="C811" s="58" t="s">
        <v>23</v>
      </c>
      <c r="D811" s="58" t="s">
        <v>24</v>
      </c>
      <c r="E811" s="58" t="s">
        <v>31</v>
      </c>
      <c r="F811" s="58" t="s">
        <v>25</v>
      </c>
      <c r="G811" s="58" t="s">
        <v>25</v>
      </c>
      <c r="H811" s="58" t="s">
        <v>25</v>
      </c>
      <c r="I811" s="66">
        <v>44774</v>
      </c>
      <c r="J811" s="67">
        <f>EFEITO!$J$811*EFEITO!$Y$701</f>
        <v>0</v>
      </c>
      <c r="K811" s="67">
        <f ca="1">EFEITO!$L$811*EFEITO!$Z$817</f>
        <v>767876.96549266437</v>
      </c>
      <c r="L811" s="67">
        <f>EFEITO!$N$811*EFEITO!$AA$817</f>
        <v>759581.16733063478</v>
      </c>
      <c r="M811" s="67">
        <f>$J$811-EFEITO!$K$811*EFEITO!$Y$811</f>
        <v>0</v>
      </c>
      <c r="N811" s="67">
        <f ca="1">$K$811-EFEITO!$M$811*EFEITO!$Z$811</f>
        <v>76787.696549266344</v>
      </c>
      <c r="O811" s="67">
        <f>$L$811-EFEITO!$O$811*EFEITO!$AA$811</f>
        <v>75958.116733063478</v>
      </c>
      <c r="P811" s="18"/>
      <c r="Q811" s="18"/>
      <c r="R811" s="18"/>
      <c r="S811" s="18"/>
      <c r="T811" s="18"/>
      <c r="U811" s="18"/>
      <c r="V811" s="18"/>
      <c r="W811" s="18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1.25" customHeight="1" x14ac:dyDescent="0.2">
      <c r="A812" s="58" t="s">
        <v>27</v>
      </c>
      <c r="B812" s="58" t="s">
        <v>22</v>
      </c>
      <c r="C812" s="58" t="s">
        <v>23</v>
      </c>
      <c r="D812" s="58" t="s">
        <v>24</v>
      </c>
      <c r="E812" s="58" t="s">
        <v>31</v>
      </c>
      <c r="F812" s="58" t="s">
        <v>25</v>
      </c>
      <c r="G812" s="58" t="s">
        <v>25</v>
      </c>
      <c r="H812" s="58" t="s">
        <v>25</v>
      </c>
      <c r="I812" s="66">
        <v>44774</v>
      </c>
      <c r="J812" s="67">
        <f>EFEITO!$J$812*EFEITO!$Y$701</f>
        <v>0</v>
      </c>
      <c r="K812" s="67">
        <f ca="1">EFEITO!$L$812*EFEITO!$Z$817</f>
        <v>-124.38402558923572</v>
      </c>
      <c r="L812" s="67">
        <f>EFEITO!$N$812*EFEITO!$AA$817</f>
        <v>-123.0402363922164</v>
      </c>
      <c r="M812" s="67">
        <f>$J$812-EFEITO!$K$812*EFEITO!$Y$812</f>
        <v>0</v>
      </c>
      <c r="N812" s="67">
        <f ca="1">$K$812-EFEITO!$M$812*EFEITO!$Z$812</f>
        <v>-12.438402558923556</v>
      </c>
      <c r="O812" s="67">
        <f>$L$812-EFEITO!$O$812*EFEITO!$AA$812</f>
        <v>-12.30402363922164</v>
      </c>
      <c r="P812" s="18"/>
      <c r="Q812" s="18"/>
      <c r="R812" s="18"/>
      <c r="S812" s="18"/>
      <c r="T812" s="18"/>
      <c r="U812" s="18"/>
      <c r="V812" s="18"/>
      <c r="W812" s="18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1.25" customHeight="1" x14ac:dyDescent="0.2">
      <c r="A813" s="58" t="s">
        <v>21</v>
      </c>
      <c r="B813" s="58" t="s">
        <v>22</v>
      </c>
      <c r="C813" s="58" t="s">
        <v>23</v>
      </c>
      <c r="D813" s="58" t="s">
        <v>24</v>
      </c>
      <c r="E813" s="58" t="s">
        <v>31</v>
      </c>
      <c r="F813" s="58" t="s">
        <v>25</v>
      </c>
      <c r="G813" s="58" t="s">
        <v>25</v>
      </c>
      <c r="H813" s="58" t="s">
        <v>25</v>
      </c>
      <c r="I813" s="66">
        <v>44805</v>
      </c>
      <c r="J813" s="67">
        <f>EFEITO!$J$813*EFEITO!$Y$701</f>
        <v>0</v>
      </c>
      <c r="K813" s="67">
        <f ca="1">EFEITO!$L$813*EFEITO!$Z$817</f>
        <v>761361.75742006523</v>
      </c>
      <c r="L813" s="67">
        <f>EFEITO!$N$813*EFEITO!$AA$817</f>
        <v>753136.34664245113</v>
      </c>
      <c r="M813" s="67">
        <f>$J$813-EFEITO!$K$813*EFEITO!$Y$813</f>
        <v>0</v>
      </c>
      <c r="N813" s="67">
        <f ca="1">$K$813-EFEITO!$M$813*EFEITO!$Z$813</f>
        <v>76136.175742006395</v>
      </c>
      <c r="O813" s="67">
        <f>$L$813-EFEITO!$O$813*EFEITO!$AA$813</f>
        <v>75313.634664245066</v>
      </c>
      <c r="P813" s="18"/>
      <c r="Q813" s="18"/>
      <c r="R813" s="18"/>
      <c r="S813" s="18"/>
      <c r="T813" s="18"/>
      <c r="U813" s="18"/>
      <c r="V813" s="18"/>
      <c r="W813" s="18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1.25" customHeight="1" x14ac:dyDescent="0.2">
      <c r="A814" s="58" t="s">
        <v>27</v>
      </c>
      <c r="B814" s="58" t="s">
        <v>22</v>
      </c>
      <c r="C814" s="58" t="s">
        <v>23</v>
      </c>
      <c r="D814" s="58" t="s">
        <v>24</v>
      </c>
      <c r="E814" s="58" t="s">
        <v>31</v>
      </c>
      <c r="F814" s="58" t="s">
        <v>25</v>
      </c>
      <c r="G814" s="58" t="s">
        <v>25</v>
      </c>
      <c r="H814" s="58" t="s">
        <v>25</v>
      </c>
      <c r="I814" s="66">
        <v>44805</v>
      </c>
      <c r="J814" s="67">
        <f>EFEITO!$J$814*EFEITO!$Y$701</f>
        <v>0</v>
      </c>
      <c r="K814" s="67">
        <f ca="1">EFEITO!$L$814*EFEITO!$Z$817</f>
        <v>-236.19370979376728</v>
      </c>
      <c r="L814" s="67">
        <f>EFEITO!$N$814*EFEITO!$AA$817</f>
        <v>-233.64197894150379</v>
      </c>
      <c r="M814" s="67">
        <f>$J$814-EFEITO!$K$814*EFEITO!$Y$814</f>
        <v>0</v>
      </c>
      <c r="N814" s="67">
        <f ca="1">$K$814-EFEITO!$M$814*EFEITO!$Z$814</f>
        <v>-23.619370979376725</v>
      </c>
      <c r="O814" s="67">
        <f>$L$814-EFEITO!$O$814*EFEITO!$AA$814</f>
        <v>-23.364197894150351</v>
      </c>
      <c r="P814" s="18"/>
      <c r="Q814" s="18"/>
      <c r="R814" s="18"/>
      <c r="S814" s="18"/>
      <c r="T814" s="18"/>
      <c r="U814" s="18"/>
      <c r="V814" s="18"/>
      <c r="W814" s="18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1.25" customHeight="1" x14ac:dyDescent="0.2">
      <c r="A815" s="58" t="s">
        <v>55</v>
      </c>
      <c r="B815" s="58" t="s">
        <v>22</v>
      </c>
      <c r="C815" s="58" t="s">
        <v>23</v>
      </c>
      <c r="D815" s="58" t="s">
        <v>24</v>
      </c>
      <c r="E815" s="58" t="s">
        <v>31</v>
      </c>
      <c r="F815" s="58" t="s">
        <v>25</v>
      </c>
      <c r="G815" s="58" t="s">
        <v>25</v>
      </c>
      <c r="H815" s="58" t="s">
        <v>25</v>
      </c>
      <c r="I815" s="66">
        <v>44835</v>
      </c>
      <c r="J815" s="67">
        <f>EFEITO!$J$815*EFEITO!$Y$701</f>
        <v>0</v>
      </c>
      <c r="K815" s="67">
        <f ca="1">EFEITO!$L$815*EFEITO!$Z$817</f>
        <v>761361.75742006523</v>
      </c>
      <c r="L815" s="67">
        <f>EFEITO!$N$815*EFEITO!$AA$817</f>
        <v>753136.34664245113</v>
      </c>
      <c r="M815" s="67">
        <f>$J$815-EFEITO!$K$815*EFEITO!$Y$815</f>
        <v>0</v>
      </c>
      <c r="N815" s="67">
        <f ca="1">$K$815-EFEITO!$M$815*EFEITO!$Z$815</f>
        <v>76136.175742006395</v>
      </c>
      <c r="O815" s="67">
        <f>$L$815-EFEITO!$O$815*EFEITO!$AA$815</f>
        <v>75313.634664245066</v>
      </c>
      <c r="P815" s="18"/>
      <c r="Q815" s="18"/>
      <c r="R815" s="18"/>
      <c r="S815" s="18"/>
      <c r="T815" s="18"/>
      <c r="U815" s="18"/>
      <c r="V815" s="18"/>
      <c r="W815" s="18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1.25" customHeight="1" x14ac:dyDescent="0.2">
      <c r="A816" s="58" t="s">
        <v>55</v>
      </c>
      <c r="B816" s="58" t="s">
        <v>22</v>
      </c>
      <c r="C816" s="58" t="s">
        <v>23</v>
      </c>
      <c r="D816" s="58" t="s">
        <v>24</v>
      </c>
      <c r="E816" s="58" t="s">
        <v>31</v>
      </c>
      <c r="F816" s="58" t="s">
        <v>25</v>
      </c>
      <c r="G816" s="58" t="s">
        <v>25</v>
      </c>
      <c r="H816" s="58" t="s">
        <v>25</v>
      </c>
      <c r="I816" s="66">
        <v>44835</v>
      </c>
      <c r="J816" s="67">
        <f>EFEITO!$J$816*EFEITO!$Y$701</f>
        <v>0</v>
      </c>
      <c r="K816" s="67">
        <f ca="1">EFEITO!$L$816*EFEITO!$Z$817</f>
        <v>-236.19370979376728</v>
      </c>
      <c r="L816" s="67">
        <f>EFEITO!$N$816*EFEITO!$AA$817</f>
        <v>-233.64197894150379</v>
      </c>
      <c r="M816" s="67">
        <f>$J$816-EFEITO!$K$816*EFEITO!$Y$816</f>
        <v>0</v>
      </c>
      <c r="N816" s="67">
        <f ca="1">$K$816-EFEITO!$M$816*EFEITO!$Z$816</f>
        <v>-23.619370979376725</v>
      </c>
      <c r="O816" s="67">
        <f>$L$816-EFEITO!$O$816*EFEITO!$AA$816</f>
        <v>-23.364197894150351</v>
      </c>
      <c r="P816" s="18"/>
      <c r="Q816" s="18"/>
      <c r="R816" s="18"/>
      <c r="S816" s="18"/>
      <c r="T816" s="18"/>
      <c r="U816" s="18"/>
      <c r="V816" s="18"/>
      <c r="W816" s="18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1.25" customHeight="1" x14ac:dyDescent="0.2">
      <c r="A817" s="58" t="s">
        <v>21</v>
      </c>
      <c r="B817" s="58" t="s">
        <v>22</v>
      </c>
      <c r="C817" s="58" t="s">
        <v>23</v>
      </c>
      <c r="D817" s="58" t="s">
        <v>24</v>
      </c>
      <c r="E817" s="58" t="s">
        <v>32</v>
      </c>
      <c r="F817" s="58" t="s">
        <v>25</v>
      </c>
      <c r="G817" s="58" t="s">
        <v>25</v>
      </c>
      <c r="H817" s="58" t="s">
        <v>25</v>
      </c>
      <c r="I817" s="66">
        <v>44501</v>
      </c>
      <c r="J817" s="67">
        <f>EFEITO!$J$817*EFEITO!$Y$701</f>
        <v>0</v>
      </c>
      <c r="K817" s="67">
        <f ca="1">EFEITO!$L$817*EFEITO!$Z$817</f>
        <v>924153.93884534761</v>
      </c>
      <c r="L817" s="67">
        <f>EFEITO!$N$817*EFEITO!$AA$817</f>
        <v>914169.79439013952</v>
      </c>
      <c r="M817" s="67">
        <f>$J$817-EFEITO!$K$817*EFEITO!$Y$817</f>
        <v>0</v>
      </c>
      <c r="N817" s="67">
        <f ca="1">$K$817-EFEITO!$M$817*EFEITO!$Z$817</f>
        <v>0</v>
      </c>
      <c r="O817" s="67">
        <f>$L$817-EFEITO!$O$817*EFEITO!$AA$817</f>
        <v>0</v>
      </c>
      <c r="P817" s="18"/>
      <c r="Q817" s="18"/>
      <c r="R817" s="18"/>
      <c r="S817" s="18"/>
      <c r="T817" s="18"/>
      <c r="U817" s="18"/>
      <c r="V817" s="18"/>
      <c r="W817" s="18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1.25" customHeight="1" x14ac:dyDescent="0.2">
      <c r="A818" s="58" t="s">
        <v>27</v>
      </c>
      <c r="B818" s="58" t="s">
        <v>22</v>
      </c>
      <c r="C818" s="58" t="s">
        <v>23</v>
      </c>
      <c r="D818" s="58" t="s">
        <v>24</v>
      </c>
      <c r="E818" s="58" t="s">
        <v>32</v>
      </c>
      <c r="F818" s="58" t="s">
        <v>25</v>
      </c>
      <c r="G818" s="58" t="s">
        <v>25</v>
      </c>
      <c r="H818" s="58" t="s">
        <v>25</v>
      </c>
      <c r="I818" s="66">
        <v>44501</v>
      </c>
      <c r="J818" s="67">
        <f>EFEITO!$J$818*EFEITO!$Y$701</f>
        <v>0</v>
      </c>
      <c r="K818" s="67">
        <f ca="1">EFEITO!$L$818*EFEITO!$Z$817</f>
        <v>-2304.5029440453754</v>
      </c>
      <c r="L818" s="67">
        <f>EFEITO!$N$818*EFEITO!$AA$817</f>
        <v>-2279.606128348687</v>
      </c>
      <c r="M818" s="67">
        <f>$J$818-EFEITO!$K$818*EFEITO!$Y$818</f>
        <v>0</v>
      </c>
      <c r="N818" s="67">
        <f ca="1">$K$818-EFEITO!$M$818*EFEITO!$Z$818</f>
        <v>0</v>
      </c>
      <c r="O818" s="67">
        <f>$L$818-EFEITO!$O$818*EFEITO!$AA$818</f>
        <v>0</v>
      </c>
      <c r="P818" s="18"/>
      <c r="Q818" s="18"/>
      <c r="R818" s="18"/>
      <c r="S818" s="18"/>
      <c r="T818" s="18"/>
      <c r="U818" s="18"/>
      <c r="V818" s="18"/>
      <c r="W818" s="18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1.25" customHeight="1" x14ac:dyDescent="0.2">
      <c r="A819" s="58" t="s">
        <v>21</v>
      </c>
      <c r="B819" s="58" t="s">
        <v>22</v>
      </c>
      <c r="C819" s="58" t="s">
        <v>23</v>
      </c>
      <c r="D819" s="58" t="s">
        <v>24</v>
      </c>
      <c r="E819" s="58" t="s">
        <v>32</v>
      </c>
      <c r="F819" s="58" t="s">
        <v>25</v>
      </c>
      <c r="G819" s="58" t="s">
        <v>25</v>
      </c>
      <c r="H819" s="58" t="s">
        <v>25</v>
      </c>
      <c r="I819" s="66">
        <v>44531</v>
      </c>
      <c r="J819" s="67">
        <f>EFEITO!$J$819*EFEITO!$Y$701</f>
        <v>0</v>
      </c>
      <c r="K819" s="67">
        <f ca="1">EFEITO!$L$819*EFEITO!$Z$817</f>
        <v>838743.57460740593</v>
      </c>
      <c r="L819" s="67">
        <f>EFEITO!$N$819*EFEITO!$AA$817</f>
        <v>829682.16540081764</v>
      </c>
      <c r="M819" s="67">
        <f>$J$819-EFEITO!$K$819*EFEITO!$Y$819</f>
        <v>0</v>
      </c>
      <c r="N819" s="67">
        <f ca="1">$K$819-EFEITO!$M$819*EFEITO!$Z$819</f>
        <v>0</v>
      </c>
      <c r="O819" s="67">
        <f>$L$819-EFEITO!$O$819*EFEITO!$AA$819</f>
        <v>0</v>
      </c>
      <c r="P819" s="18"/>
      <c r="Q819" s="18"/>
      <c r="R819" s="18"/>
      <c r="S819" s="18"/>
      <c r="T819" s="18"/>
      <c r="U819" s="18"/>
      <c r="V819" s="18"/>
      <c r="W819" s="18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1.25" customHeight="1" x14ac:dyDescent="0.2">
      <c r="A820" s="58" t="s">
        <v>27</v>
      </c>
      <c r="B820" s="58" t="s">
        <v>22</v>
      </c>
      <c r="C820" s="58" t="s">
        <v>23</v>
      </c>
      <c r="D820" s="58" t="s">
        <v>24</v>
      </c>
      <c r="E820" s="58" t="s">
        <v>32</v>
      </c>
      <c r="F820" s="58" t="s">
        <v>25</v>
      </c>
      <c r="G820" s="58" t="s">
        <v>25</v>
      </c>
      <c r="H820" s="58" t="s">
        <v>25</v>
      </c>
      <c r="I820" s="66">
        <v>44531</v>
      </c>
      <c r="J820" s="67">
        <f>EFEITO!$J$820*EFEITO!$Y$701</f>
        <v>0</v>
      </c>
      <c r="K820" s="67">
        <f ca="1">EFEITO!$L$820*EFEITO!$Z$817</f>
        <v>-697.02632918995209</v>
      </c>
      <c r="L820" s="67">
        <f>EFEITO!$N$820*EFEITO!$AA$817</f>
        <v>-689.49596950938758</v>
      </c>
      <c r="M820" s="67">
        <f>$J$820-EFEITO!$K$820*EFEITO!$Y$820</f>
        <v>0</v>
      </c>
      <c r="N820" s="67">
        <f ca="1">$K$820-EFEITO!$M$820*EFEITO!$Z$820</f>
        <v>0</v>
      </c>
      <c r="O820" s="67">
        <f>$L$820-EFEITO!$O$820*EFEITO!$AA$820</f>
        <v>0</v>
      </c>
      <c r="P820" s="18"/>
      <c r="Q820" s="18"/>
      <c r="R820" s="18"/>
      <c r="S820" s="18"/>
      <c r="T820" s="18"/>
      <c r="U820" s="18"/>
      <c r="V820" s="18"/>
      <c r="W820" s="18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1.25" customHeight="1" x14ac:dyDescent="0.2">
      <c r="A821" s="58" t="s">
        <v>21</v>
      </c>
      <c r="B821" s="58" t="s">
        <v>22</v>
      </c>
      <c r="C821" s="58" t="s">
        <v>23</v>
      </c>
      <c r="D821" s="58" t="s">
        <v>24</v>
      </c>
      <c r="E821" s="58" t="s">
        <v>32</v>
      </c>
      <c r="F821" s="58" t="s">
        <v>25</v>
      </c>
      <c r="G821" s="58" t="s">
        <v>25</v>
      </c>
      <c r="H821" s="58" t="s">
        <v>25</v>
      </c>
      <c r="I821" s="66">
        <v>44562</v>
      </c>
      <c r="J821" s="67">
        <f>EFEITO!$J$821*EFEITO!$Y$701</f>
        <v>0</v>
      </c>
      <c r="K821" s="67">
        <f ca="1">EFEITO!$L$821*EFEITO!$Z$817</f>
        <v>717533.04090601788</v>
      </c>
      <c r="L821" s="67">
        <f>EFEITO!$N$821*EFEITO!$AA$817</f>
        <v>709781.13591414911</v>
      </c>
      <c r="M821" s="67">
        <f>$J$821-EFEITO!$K$821*EFEITO!$Y$821</f>
        <v>0</v>
      </c>
      <c r="N821" s="67">
        <f ca="1">$K$821-EFEITO!$M$821*EFEITO!$Z$821</f>
        <v>0</v>
      </c>
      <c r="O821" s="67">
        <f>$L$821-EFEITO!$O$821*EFEITO!$AA$821</f>
        <v>0</v>
      </c>
      <c r="P821" s="18"/>
      <c r="Q821" s="18"/>
      <c r="R821" s="18"/>
      <c r="S821" s="18"/>
      <c r="T821" s="18"/>
      <c r="U821" s="18"/>
      <c r="V821" s="18"/>
      <c r="W821" s="18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1.25" customHeight="1" x14ac:dyDescent="0.2">
      <c r="A822" s="58" t="s">
        <v>27</v>
      </c>
      <c r="B822" s="58" t="s">
        <v>22</v>
      </c>
      <c r="C822" s="58" t="s">
        <v>23</v>
      </c>
      <c r="D822" s="58" t="s">
        <v>24</v>
      </c>
      <c r="E822" s="58" t="s">
        <v>32</v>
      </c>
      <c r="F822" s="58" t="s">
        <v>25</v>
      </c>
      <c r="G822" s="58" t="s">
        <v>25</v>
      </c>
      <c r="H822" s="58" t="s">
        <v>25</v>
      </c>
      <c r="I822" s="66">
        <v>44562</v>
      </c>
      <c r="J822" s="67">
        <f>EFEITO!$J$822*EFEITO!$Y$701</f>
        <v>0</v>
      </c>
      <c r="K822" s="67">
        <f ca="1">EFEITO!$L$822*EFEITO!$Z$817</f>
        <v>-1831.435830328938</v>
      </c>
      <c r="L822" s="67">
        <f>EFEITO!$N$822*EFEITO!$AA$817</f>
        <v>-1811.6498194471426</v>
      </c>
      <c r="M822" s="67">
        <f>$J$822-EFEITO!$K$822*EFEITO!$Y$822</f>
        <v>0</v>
      </c>
      <c r="N822" s="67">
        <f ca="1">$K$822-EFEITO!$M$822*EFEITO!$Z$822</f>
        <v>0</v>
      </c>
      <c r="O822" s="67">
        <f>$L$822-EFEITO!$O$822*EFEITO!$AA$822</f>
        <v>0</v>
      </c>
      <c r="P822" s="18"/>
      <c r="Q822" s="18"/>
      <c r="R822" s="18"/>
      <c r="S822" s="18"/>
      <c r="T822" s="18"/>
      <c r="U822" s="18"/>
      <c r="V822" s="18"/>
      <c r="W822" s="18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1.25" customHeight="1" x14ac:dyDescent="0.2">
      <c r="A823" s="58" t="s">
        <v>21</v>
      </c>
      <c r="B823" s="58" t="s">
        <v>22</v>
      </c>
      <c r="C823" s="58" t="s">
        <v>23</v>
      </c>
      <c r="D823" s="58" t="s">
        <v>24</v>
      </c>
      <c r="E823" s="58" t="s">
        <v>32</v>
      </c>
      <c r="F823" s="58" t="s">
        <v>25</v>
      </c>
      <c r="G823" s="58" t="s">
        <v>25</v>
      </c>
      <c r="H823" s="58" t="s">
        <v>25</v>
      </c>
      <c r="I823" s="66">
        <v>44593</v>
      </c>
      <c r="J823" s="67">
        <f>EFEITO!$J$823*EFEITO!$Y$701</f>
        <v>0</v>
      </c>
      <c r="K823" s="67">
        <f ca="1">EFEITO!$L$823*EFEITO!$Z$817</f>
        <v>826440.43118013395</v>
      </c>
      <c r="L823" s="67">
        <f>EFEITO!$N$823*EFEITO!$AA$817</f>
        <v>817511.93961428478</v>
      </c>
      <c r="M823" s="67">
        <f>$J$823-EFEITO!$K$823*EFEITO!$Y$823</f>
        <v>0</v>
      </c>
      <c r="N823" s="67">
        <f ca="1">$K$823-EFEITO!$M$823*EFEITO!$Z$823</f>
        <v>0</v>
      </c>
      <c r="O823" s="67">
        <f>$L$823-EFEITO!$O$823*EFEITO!$AA$823</f>
        <v>0</v>
      </c>
      <c r="P823" s="18"/>
      <c r="Q823" s="18"/>
      <c r="R823" s="18"/>
      <c r="S823" s="18"/>
      <c r="T823" s="18"/>
      <c r="U823" s="18"/>
      <c r="V823" s="18"/>
      <c r="W823" s="18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1.25" customHeight="1" x14ac:dyDescent="0.2">
      <c r="A824" s="58" t="s">
        <v>27</v>
      </c>
      <c r="B824" s="58" t="s">
        <v>22</v>
      </c>
      <c r="C824" s="58" t="s">
        <v>23</v>
      </c>
      <c r="D824" s="58" t="s">
        <v>24</v>
      </c>
      <c r="E824" s="58" t="s">
        <v>32</v>
      </c>
      <c r="F824" s="58" t="s">
        <v>25</v>
      </c>
      <c r="G824" s="58" t="s">
        <v>25</v>
      </c>
      <c r="H824" s="58" t="s">
        <v>25</v>
      </c>
      <c r="I824" s="66">
        <v>44593</v>
      </c>
      <c r="J824" s="67">
        <f>EFEITO!$J$824*EFEITO!$Y$701</f>
        <v>0</v>
      </c>
      <c r="K824" s="67">
        <f ca="1">EFEITO!$L$824*EFEITO!$Z$817</f>
        <v>-518.60662035293365</v>
      </c>
      <c r="L824" s="67">
        <f>EFEITO!$N$824*EFEITO!$AA$817</f>
        <v>-513.00382714350337</v>
      </c>
      <c r="M824" s="67">
        <f>$J$824-EFEITO!$K$824*EFEITO!$Y$824</f>
        <v>0</v>
      </c>
      <c r="N824" s="67">
        <f ca="1">$K$824-EFEITO!$M$824*EFEITO!$Z$824</f>
        <v>0</v>
      </c>
      <c r="O824" s="67">
        <f>$L$824-EFEITO!$O$824*EFEITO!$AA$824</f>
        <v>0</v>
      </c>
      <c r="P824" s="18"/>
      <c r="Q824" s="18"/>
      <c r="R824" s="18"/>
      <c r="S824" s="18"/>
      <c r="T824" s="18"/>
      <c r="U824" s="18"/>
      <c r="V824" s="18"/>
      <c r="W824" s="18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1.25" customHeight="1" x14ac:dyDescent="0.2">
      <c r="A825" s="58" t="s">
        <v>21</v>
      </c>
      <c r="B825" s="58" t="s">
        <v>22</v>
      </c>
      <c r="C825" s="58" t="s">
        <v>23</v>
      </c>
      <c r="D825" s="58" t="s">
        <v>24</v>
      </c>
      <c r="E825" s="58" t="s">
        <v>32</v>
      </c>
      <c r="F825" s="58" t="s">
        <v>25</v>
      </c>
      <c r="G825" s="58" t="s">
        <v>25</v>
      </c>
      <c r="H825" s="58" t="s">
        <v>25</v>
      </c>
      <c r="I825" s="66">
        <v>44621</v>
      </c>
      <c r="J825" s="67">
        <f>EFEITO!$J$825*EFEITO!$Y$701</f>
        <v>0</v>
      </c>
      <c r="K825" s="67">
        <f ca="1">EFEITO!$L$825*EFEITO!$Z$817</f>
        <v>816064.90030243085</v>
      </c>
      <c r="L825" s="67">
        <f>EFEITO!$N$825*EFEITO!$AA$817</f>
        <v>807248.50131632213</v>
      </c>
      <c r="M825" s="67">
        <f>$J$825-EFEITO!$K$825*EFEITO!$Y$825</f>
        <v>0</v>
      </c>
      <c r="N825" s="67">
        <f ca="1">$K$825-EFEITO!$M$825*EFEITO!$Z$825</f>
        <v>0</v>
      </c>
      <c r="O825" s="67">
        <f>$L$825-EFEITO!$O$825*EFEITO!$AA$825</f>
        <v>0</v>
      </c>
      <c r="P825" s="18"/>
      <c r="Q825" s="18"/>
      <c r="R825" s="18"/>
      <c r="S825" s="18"/>
      <c r="T825" s="18"/>
      <c r="U825" s="18"/>
      <c r="V825" s="18"/>
      <c r="W825" s="18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1.25" customHeight="1" x14ac:dyDescent="0.2">
      <c r="A826" s="58" t="s">
        <v>27</v>
      </c>
      <c r="B826" s="58" t="s">
        <v>22</v>
      </c>
      <c r="C826" s="58" t="s">
        <v>23</v>
      </c>
      <c r="D826" s="58" t="s">
        <v>24</v>
      </c>
      <c r="E826" s="58" t="s">
        <v>32</v>
      </c>
      <c r="F826" s="58" t="s">
        <v>25</v>
      </c>
      <c r="G826" s="58" t="s">
        <v>25</v>
      </c>
      <c r="H826" s="58" t="s">
        <v>25</v>
      </c>
      <c r="I826" s="66">
        <v>44621</v>
      </c>
      <c r="J826" s="67">
        <f>EFEITO!$J$826*EFEITO!$Y$701</f>
        <v>0</v>
      </c>
      <c r="K826" s="67">
        <f ca="1">EFEITO!$L$826*EFEITO!$Z$817</f>
        <v>-339.84706445146372</v>
      </c>
      <c r="L826" s="67">
        <f>EFEITO!$N$826*EFEITO!$AA$817</f>
        <v>-336.17550926835082</v>
      </c>
      <c r="M826" s="67">
        <f>$J$826-EFEITO!$K$826*EFEITO!$Y$826</f>
        <v>0</v>
      </c>
      <c r="N826" s="67">
        <f ca="1">$K$826-EFEITO!$M$826*EFEITO!$Z$826</f>
        <v>0</v>
      </c>
      <c r="O826" s="67">
        <f>$L$826-EFEITO!$O$826*EFEITO!$AA$826</f>
        <v>0</v>
      </c>
      <c r="P826" s="18"/>
      <c r="Q826" s="18"/>
      <c r="R826" s="18"/>
      <c r="S826" s="18"/>
      <c r="T826" s="18"/>
      <c r="U826" s="18"/>
      <c r="V826" s="18"/>
      <c r="W826" s="18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1.25" customHeight="1" x14ac:dyDescent="0.2">
      <c r="A827" s="58" t="s">
        <v>21</v>
      </c>
      <c r="B827" s="58" t="s">
        <v>22</v>
      </c>
      <c r="C827" s="58" t="s">
        <v>23</v>
      </c>
      <c r="D827" s="58" t="s">
        <v>24</v>
      </c>
      <c r="E827" s="58" t="s">
        <v>32</v>
      </c>
      <c r="F827" s="58" t="s">
        <v>25</v>
      </c>
      <c r="G827" s="58" t="s">
        <v>25</v>
      </c>
      <c r="H827" s="58" t="s">
        <v>25</v>
      </c>
      <c r="I827" s="66">
        <v>44652</v>
      </c>
      <c r="J827" s="67">
        <f>EFEITO!$J$827*EFEITO!$Y$701</f>
        <v>0</v>
      </c>
      <c r="K827" s="67">
        <f ca="1">EFEITO!$L$827*EFEITO!$Z$817</f>
        <v>816064.90030243085</v>
      </c>
      <c r="L827" s="67">
        <f>EFEITO!$N$827*EFEITO!$AA$817</f>
        <v>807248.50131632213</v>
      </c>
      <c r="M827" s="67">
        <f>$J$827-EFEITO!$K$827*EFEITO!$Y$827</f>
        <v>0</v>
      </c>
      <c r="N827" s="67">
        <f ca="1">$K$827-EFEITO!$M$827*EFEITO!$Z$827</f>
        <v>0</v>
      </c>
      <c r="O827" s="67">
        <f>$L$827-EFEITO!$O$827*EFEITO!$AA$827</f>
        <v>0</v>
      </c>
      <c r="P827" s="18"/>
      <c r="Q827" s="18"/>
      <c r="R827" s="18"/>
      <c r="S827" s="18"/>
      <c r="T827" s="18"/>
      <c r="U827" s="18"/>
      <c r="V827" s="18"/>
      <c r="W827" s="18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1.25" customHeight="1" x14ac:dyDescent="0.2">
      <c r="A828" s="58" t="s">
        <v>27</v>
      </c>
      <c r="B828" s="58" t="s">
        <v>22</v>
      </c>
      <c r="C828" s="58" t="s">
        <v>23</v>
      </c>
      <c r="D828" s="58" t="s">
        <v>24</v>
      </c>
      <c r="E828" s="58" t="s">
        <v>32</v>
      </c>
      <c r="F828" s="58" t="s">
        <v>25</v>
      </c>
      <c r="G828" s="58" t="s">
        <v>25</v>
      </c>
      <c r="H828" s="58" t="s">
        <v>25</v>
      </c>
      <c r="I828" s="66">
        <v>44652</v>
      </c>
      <c r="J828" s="67">
        <f>EFEITO!$J$828*EFEITO!$Y$701</f>
        <v>0</v>
      </c>
      <c r="K828" s="67">
        <f ca="1">EFEITO!$L$828*EFEITO!$Z$817</f>
        <v>-339.84706445146372</v>
      </c>
      <c r="L828" s="67">
        <f>EFEITO!$N$828*EFEITO!$AA$817</f>
        <v>-336.17550926835082</v>
      </c>
      <c r="M828" s="67">
        <f>$J$828-EFEITO!$K$828*EFEITO!$Y$828</f>
        <v>0</v>
      </c>
      <c r="N828" s="67">
        <f ca="1">$K$828-EFEITO!$M$828*EFEITO!$Z$828</f>
        <v>0</v>
      </c>
      <c r="O828" s="67">
        <f>$L$828-EFEITO!$O$828*EFEITO!$AA$828</f>
        <v>0</v>
      </c>
      <c r="P828" s="18"/>
      <c r="Q828" s="18"/>
      <c r="R828" s="18"/>
      <c r="S828" s="18"/>
      <c r="T828" s="18"/>
      <c r="U828" s="18"/>
      <c r="V828" s="18"/>
      <c r="W828" s="18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1.25" customHeight="1" x14ac:dyDescent="0.2">
      <c r="A829" s="58" t="s">
        <v>21</v>
      </c>
      <c r="B829" s="58" t="s">
        <v>22</v>
      </c>
      <c r="C829" s="58" t="s">
        <v>23</v>
      </c>
      <c r="D829" s="58" t="s">
        <v>24</v>
      </c>
      <c r="E829" s="58" t="s">
        <v>32</v>
      </c>
      <c r="F829" s="58" t="s">
        <v>25</v>
      </c>
      <c r="G829" s="58" t="s">
        <v>25</v>
      </c>
      <c r="H829" s="58" t="s">
        <v>25</v>
      </c>
      <c r="I829" s="66">
        <v>44682</v>
      </c>
      <c r="J829" s="67">
        <f>EFEITO!$J$829*EFEITO!$Y$701</f>
        <v>0</v>
      </c>
      <c r="K829" s="67">
        <f ca="1">EFEITO!$L$829*EFEITO!$Z$817</f>
        <v>687445.02090187196</v>
      </c>
      <c r="L829" s="67">
        <f>EFEITO!$N$829*EFEITO!$AA$817</f>
        <v>680018.17337658489</v>
      </c>
      <c r="M829" s="67">
        <f>$J$829-EFEITO!$K$829*EFEITO!$Y$829</f>
        <v>0</v>
      </c>
      <c r="N829" s="67">
        <f ca="1">$K$829-EFEITO!$M$829*EFEITO!$Z$829</f>
        <v>0</v>
      </c>
      <c r="O829" s="67">
        <f>$L$829-EFEITO!$O$829*EFEITO!$AA$829</f>
        <v>0</v>
      </c>
      <c r="P829" s="18"/>
      <c r="Q829" s="18"/>
      <c r="R829" s="18"/>
      <c r="S829" s="18"/>
      <c r="T829" s="18"/>
      <c r="U829" s="18"/>
      <c r="V829" s="18"/>
      <c r="W829" s="18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1.25" customHeight="1" x14ac:dyDescent="0.2">
      <c r="A830" s="58" t="s">
        <v>27</v>
      </c>
      <c r="B830" s="58" t="s">
        <v>22</v>
      </c>
      <c r="C830" s="58" t="s">
        <v>23</v>
      </c>
      <c r="D830" s="58" t="s">
        <v>24</v>
      </c>
      <c r="E830" s="58" t="s">
        <v>32</v>
      </c>
      <c r="F830" s="58" t="s">
        <v>25</v>
      </c>
      <c r="G830" s="58" t="s">
        <v>25</v>
      </c>
      <c r="H830" s="58" t="s">
        <v>25</v>
      </c>
      <c r="I830" s="66">
        <v>44682</v>
      </c>
      <c r="J830" s="67">
        <f>EFEITO!$J$830*EFEITO!$Y$701</f>
        <v>0</v>
      </c>
      <c r="K830" s="67">
        <f ca="1">EFEITO!$L$830*EFEITO!$Z$817</f>
        <v>-3122.5148281800489</v>
      </c>
      <c r="L830" s="67">
        <f>EFEITO!$N$830*EFEITO!$AA$817</f>
        <v>-3088.7805791576075</v>
      </c>
      <c r="M830" s="67">
        <f>$J$830-EFEITO!$K$830*EFEITO!$Y$830</f>
        <v>0</v>
      </c>
      <c r="N830" s="67">
        <f ca="1">$K$830-EFEITO!$M$830*EFEITO!$Z$830</f>
        <v>0</v>
      </c>
      <c r="O830" s="67">
        <f>$L$830-EFEITO!$O$830*EFEITO!$AA$830</f>
        <v>0</v>
      </c>
      <c r="P830" s="18"/>
      <c r="Q830" s="18"/>
      <c r="R830" s="18"/>
      <c r="S830" s="18"/>
      <c r="T830" s="18"/>
      <c r="U830" s="18"/>
      <c r="V830" s="18"/>
      <c r="W830" s="18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1.25" customHeight="1" x14ac:dyDescent="0.2">
      <c r="A831" s="58" t="s">
        <v>21</v>
      </c>
      <c r="B831" s="58" t="s">
        <v>22</v>
      </c>
      <c r="C831" s="58" t="s">
        <v>23</v>
      </c>
      <c r="D831" s="58" t="s">
        <v>24</v>
      </c>
      <c r="E831" s="58" t="s">
        <v>32</v>
      </c>
      <c r="F831" s="58" t="s">
        <v>25</v>
      </c>
      <c r="G831" s="58" t="s">
        <v>25</v>
      </c>
      <c r="H831" s="58" t="s">
        <v>25</v>
      </c>
      <c r="I831" s="66">
        <v>44713</v>
      </c>
      <c r="J831" s="67">
        <f>EFEITO!$J$831*EFEITO!$Y$701</f>
        <v>0</v>
      </c>
      <c r="K831" s="67">
        <f ca="1">EFEITO!$L$831*EFEITO!$Z$817</f>
        <v>639367.53638805228</v>
      </c>
      <c r="L831" s="67">
        <f>EFEITO!$N$831*EFEITO!$AA$817</f>
        <v>632460.09643140982</v>
      </c>
      <c r="M831" s="67">
        <f>$J$831-EFEITO!$K$831*EFEITO!$Y$831</f>
        <v>0</v>
      </c>
      <c r="N831" s="67">
        <f ca="1">$K$831-EFEITO!$M$831*EFEITO!$Z$831</f>
        <v>0</v>
      </c>
      <c r="O831" s="67">
        <f>$L$831-EFEITO!$O$831*EFEITO!$AA$831</f>
        <v>0</v>
      </c>
      <c r="P831" s="18"/>
      <c r="Q831" s="18"/>
      <c r="R831" s="18"/>
      <c r="S831" s="18"/>
      <c r="T831" s="18"/>
      <c r="U831" s="18"/>
      <c r="V831" s="18"/>
      <c r="W831" s="18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1.25" customHeight="1" x14ac:dyDescent="0.2">
      <c r="A832" s="58" t="s">
        <v>27</v>
      </c>
      <c r="B832" s="58" t="s">
        <v>22</v>
      </c>
      <c r="C832" s="58" t="s">
        <v>23</v>
      </c>
      <c r="D832" s="58" t="s">
        <v>24</v>
      </c>
      <c r="E832" s="58" t="s">
        <v>32</v>
      </c>
      <c r="F832" s="58" t="s">
        <v>25</v>
      </c>
      <c r="G832" s="58" t="s">
        <v>25</v>
      </c>
      <c r="H832" s="58" t="s">
        <v>25</v>
      </c>
      <c r="I832" s="66">
        <v>44713</v>
      </c>
      <c r="J832" s="67">
        <f>EFEITO!$J$832*EFEITO!$Y$701</f>
        <v>0</v>
      </c>
      <c r="K832" s="67">
        <f ca="1">EFEITO!$L$832*EFEITO!$Z$817</f>
        <v>-519.2863144818366</v>
      </c>
      <c r="L832" s="67">
        <f>EFEITO!$N$832*EFEITO!$AA$817</f>
        <v>-513.67617816204006</v>
      </c>
      <c r="M832" s="67">
        <f>$J$832-EFEITO!$K$832*EFEITO!$Y$832</f>
        <v>0</v>
      </c>
      <c r="N832" s="67">
        <f ca="1">$K$832-EFEITO!$M$832*EFEITO!$Z$832</f>
        <v>0</v>
      </c>
      <c r="O832" s="67">
        <f>$L$832-EFEITO!$O$832*EFEITO!$AA$832</f>
        <v>0</v>
      </c>
      <c r="P832" s="18"/>
      <c r="Q832" s="18"/>
      <c r="R832" s="18"/>
      <c r="S832" s="18"/>
      <c r="T832" s="18"/>
      <c r="U832" s="18"/>
      <c r="V832" s="18"/>
      <c r="W832" s="18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1.25" customHeight="1" x14ac:dyDescent="0.2">
      <c r="A833" s="58" t="s">
        <v>21</v>
      </c>
      <c r="B833" s="58" t="s">
        <v>22</v>
      </c>
      <c r="C833" s="58" t="s">
        <v>23</v>
      </c>
      <c r="D833" s="58" t="s">
        <v>24</v>
      </c>
      <c r="E833" s="58" t="s">
        <v>32</v>
      </c>
      <c r="F833" s="58" t="s">
        <v>25</v>
      </c>
      <c r="G833" s="58" t="s">
        <v>25</v>
      </c>
      <c r="H833" s="58" t="s">
        <v>25</v>
      </c>
      <c r="I833" s="66">
        <v>44743</v>
      </c>
      <c r="J833" s="67">
        <f>EFEITO!$J$833*EFEITO!$Y$701</f>
        <v>0</v>
      </c>
      <c r="K833" s="67">
        <f ca="1">EFEITO!$L$833*EFEITO!$Z$817</f>
        <v>959048.7557290952</v>
      </c>
      <c r="L833" s="67">
        <f>EFEITO!$N$833*EFEITO!$AA$817</f>
        <v>948687.62333079532</v>
      </c>
      <c r="M833" s="67">
        <f>$J$833-EFEITO!$K$833*EFEITO!$Y$833</f>
        <v>0</v>
      </c>
      <c r="N833" s="67">
        <f ca="1">$K$833-EFEITO!$M$833*EFEITO!$Z$833</f>
        <v>0</v>
      </c>
      <c r="O833" s="67">
        <f>$L$833-EFEITO!$O$833*EFEITO!$AA$833</f>
        <v>0</v>
      </c>
      <c r="P833" s="18"/>
      <c r="Q833" s="18"/>
      <c r="R833" s="18"/>
      <c r="S833" s="18"/>
      <c r="T833" s="18"/>
      <c r="U833" s="18"/>
      <c r="V833" s="18"/>
      <c r="W833" s="18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1.25" customHeight="1" x14ac:dyDescent="0.2">
      <c r="A834" s="58" t="s">
        <v>27</v>
      </c>
      <c r="B834" s="58" t="s">
        <v>22</v>
      </c>
      <c r="C834" s="58" t="s">
        <v>23</v>
      </c>
      <c r="D834" s="58" t="s">
        <v>24</v>
      </c>
      <c r="E834" s="58" t="s">
        <v>32</v>
      </c>
      <c r="F834" s="58" t="s">
        <v>25</v>
      </c>
      <c r="G834" s="58" t="s">
        <v>25</v>
      </c>
      <c r="H834" s="58" t="s">
        <v>25</v>
      </c>
      <c r="I834" s="66">
        <v>44743</v>
      </c>
      <c r="J834" s="67">
        <f>EFEITO!$J$834*EFEITO!$Y$701</f>
        <v>0</v>
      </c>
      <c r="K834" s="67">
        <f ca="1">EFEITO!$L$834*EFEITO!$Z$817</f>
        <v>-436.70347782013084</v>
      </c>
      <c r="L834" s="67">
        <f>EFEITO!$N$834*EFEITO!$AA$817</f>
        <v>-431.9855294098308</v>
      </c>
      <c r="M834" s="67">
        <f>$J$834-EFEITO!$K$834*EFEITO!$Y$834</f>
        <v>0</v>
      </c>
      <c r="N834" s="67">
        <f ca="1">$K$834-EFEITO!$M$834*EFEITO!$Z$834</f>
        <v>0</v>
      </c>
      <c r="O834" s="67">
        <f>$L$834-EFEITO!$O$834*EFEITO!$AA$834</f>
        <v>0</v>
      </c>
      <c r="P834" s="18"/>
      <c r="Q834" s="18"/>
      <c r="R834" s="18"/>
      <c r="S834" s="18"/>
      <c r="T834" s="18"/>
      <c r="U834" s="18"/>
      <c r="V834" s="18"/>
      <c r="W834" s="18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1.25" customHeight="1" x14ac:dyDescent="0.2">
      <c r="A835" s="58" t="s">
        <v>21</v>
      </c>
      <c r="B835" s="58" t="s">
        <v>22</v>
      </c>
      <c r="C835" s="58" t="s">
        <v>23</v>
      </c>
      <c r="D835" s="58" t="s">
        <v>24</v>
      </c>
      <c r="E835" s="58" t="s">
        <v>32</v>
      </c>
      <c r="F835" s="58" t="s">
        <v>25</v>
      </c>
      <c r="G835" s="58" t="s">
        <v>25</v>
      </c>
      <c r="H835" s="58" t="s">
        <v>25</v>
      </c>
      <c r="I835" s="66">
        <v>44774</v>
      </c>
      <c r="J835" s="67">
        <f>EFEITO!$J$835*EFEITO!$Y$701</f>
        <v>0</v>
      </c>
      <c r="K835" s="67">
        <f ca="1">EFEITO!$L$835*EFEITO!$Z$817</f>
        <v>885182.31657644047</v>
      </c>
      <c r="L835" s="67">
        <f>EFEITO!$N$835*EFEITO!$AA$817</f>
        <v>875619.20404030068</v>
      </c>
      <c r="M835" s="67">
        <f>$J$835-EFEITO!$K$835*EFEITO!$Y$835</f>
        <v>0</v>
      </c>
      <c r="N835" s="67">
        <f ca="1">$K$835-EFEITO!$M$835*EFEITO!$Z$835</f>
        <v>0</v>
      </c>
      <c r="O835" s="67">
        <f>$L$835-EFEITO!$O$835*EFEITO!$AA$835</f>
        <v>0</v>
      </c>
      <c r="P835" s="18"/>
      <c r="Q835" s="18"/>
      <c r="R835" s="18"/>
      <c r="S835" s="18"/>
      <c r="T835" s="18"/>
      <c r="U835" s="18"/>
      <c r="V835" s="18"/>
      <c r="W835" s="18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1.25" customHeight="1" x14ac:dyDescent="0.2">
      <c r="A836" s="58" t="s">
        <v>27</v>
      </c>
      <c r="B836" s="58" t="s">
        <v>22</v>
      </c>
      <c r="C836" s="58" t="s">
        <v>23</v>
      </c>
      <c r="D836" s="58" t="s">
        <v>24</v>
      </c>
      <c r="E836" s="58" t="s">
        <v>32</v>
      </c>
      <c r="F836" s="58" t="s">
        <v>25</v>
      </c>
      <c r="G836" s="58" t="s">
        <v>25</v>
      </c>
      <c r="H836" s="58" t="s">
        <v>25</v>
      </c>
      <c r="I836" s="66">
        <v>44774</v>
      </c>
      <c r="J836" s="67">
        <f>EFEITO!$J$836*EFEITO!$Y$701</f>
        <v>0</v>
      </c>
      <c r="K836" s="67">
        <f ca="1">EFEITO!$L$836*EFEITO!$Z$817</f>
        <v>-340570.25900461647</v>
      </c>
      <c r="L836" s="67">
        <f>EFEITO!$N$836*EFEITO!$AA$817</f>
        <v>-336890.8907520739</v>
      </c>
      <c r="M836" s="67">
        <f>$J$836-EFEITO!$K$836*EFEITO!$Y$836</f>
        <v>0</v>
      </c>
      <c r="N836" s="67">
        <f ca="1">$K$836-EFEITO!$M$836*EFEITO!$Z$836</f>
        <v>0</v>
      </c>
      <c r="O836" s="67">
        <f>$L$836-EFEITO!$O$836*EFEITO!$AA$836</f>
        <v>0</v>
      </c>
      <c r="P836" s="18"/>
      <c r="Q836" s="18"/>
      <c r="R836" s="18"/>
      <c r="S836" s="18"/>
      <c r="T836" s="18"/>
      <c r="U836" s="18"/>
      <c r="V836" s="18"/>
      <c r="W836" s="18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1.25" customHeight="1" x14ac:dyDescent="0.2">
      <c r="A837" s="58" t="s">
        <v>21</v>
      </c>
      <c r="B837" s="58" t="s">
        <v>22</v>
      </c>
      <c r="C837" s="58" t="s">
        <v>23</v>
      </c>
      <c r="D837" s="58" t="s">
        <v>24</v>
      </c>
      <c r="E837" s="58" t="s">
        <v>32</v>
      </c>
      <c r="F837" s="58" t="s">
        <v>25</v>
      </c>
      <c r="G837" s="58" t="s">
        <v>25</v>
      </c>
      <c r="H837" s="58" t="s">
        <v>25</v>
      </c>
      <c r="I837" s="66">
        <v>44805</v>
      </c>
      <c r="J837" s="67">
        <f>EFEITO!$J$837*EFEITO!$Y$701</f>
        <v>0</v>
      </c>
      <c r="K837" s="67">
        <f ca="1">EFEITO!$L$837*EFEITO!$Z$817</f>
        <v>895326.75145031663</v>
      </c>
      <c r="L837" s="67">
        <f>EFEITO!$N$837*EFEITO!$AA$817</f>
        <v>885654.04299196089</v>
      </c>
      <c r="M837" s="67">
        <f>$J$837-EFEITO!$K$837*EFEITO!$Y$837</f>
        <v>0</v>
      </c>
      <c r="N837" s="67">
        <f ca="1">$K$837-EFEITO!$M$837*EFEITO!$Z$837</f>
        <v>0</v>
      </c>
      <c r="O837" s="67">
        <f>$L$837-EFEITO!$O$837*EFEITO!$AA$837</f>
        <v>0</v>
      </c>
      <c r="P837" s="18"/>
      <c r="Q837" s="18"/>
      <c r="R837" s="18"/>
      <c r="S837" s="18"/>
      <c r="T837" s="18"/>
      <c r="U837" s="18"/>
      <c r="V837" s="18"/>
      <c r="W837" s="18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1.25" customHeight="1" x14ac:dyDescent="0.2">
      <c r="A838" s="58" t="s">
        <v>27</v>
      </c>
      <c r="B838" s="58" t="s">
        <v>22</v>
      </c>
      <c r="C838" s="58" t="s">
        <v>23</v>
      </c>
      <c r="D838" s="58" t="s">
        <v>24</v>
      </c>
      <c r="E838" s="58" t="s">
        <v>32</v>
      </c>
      <c r="F838" s="58" t="s">
        <v>25</v>
      </c>
      <c r="G838" s="58" t="s">
        <v>25</v>
      </c>
      <c r="H838" s="58" t="s">
        <v>25</v>
      </c>
      <c r="I838" s="66">
        <v>44805</v>
      </c>
      <c r="J838" s="67">
        <f>EFEITO!$J$838*EFEITO!$Y$701</f>
        <v>0</v>
      </c>
      <c r="K838" s="67">
        <f ca="1">EFEITO!$L$838*EFEITO!$Z$817</f>
        <v>-962.4468865265452</v>
      </c>
      <c r="L838" s="67">
        <f>EFEITO!$N$838*EFEITO!$AA$817</f>
        <v>-952.04904224796951</v>
      </c>
      <c r="M838" s="67">
        <f>$J$838-EFEITO!$K$838*EFEITO!$Y$838</f>
        <v>0</v>
      </c>
      <c r="N838" s="67">
        <f ca="1">$K$838-EFEITO!$M$838*EFEITO!$Z$838</f>
        <v>0</v>
      </c>
      <c r="O838" s="67">
        <f>$L$838-EFEITO!$O$838*EFEITO!$AA$838</f>
        <v>0</v>
      </c>
      <c r="P838" s="18"/>
      <c r="Q838" s="18"/>
      <c r="R838" s="18"/>
      <c r="S838" s="18"/>
      <c r="T838" s="18"/>
      <c r="U838" s="18"/>
      <c r="V838" s="18"/>
      <c r="W838" s="18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1.25" customHeight="1" x14ac:dyDescent="0.2">
      <c r="A839" s="58" t="s">
        <v>55</v>
      </c>
      <c r="B839" s="58" t="s">
        <v>22</v>
      </c>
      <c r="C839" s="58" t="s">
        <v>23</v>
      </c>
      <c r="D839" s="58" t="s">
        <v>24</v>
      </c>
      <c r="E839" s="58" t="s">
        <v>32</v>
      </c>
      <c r="F839" s="58" t="s">
        <v>25</v>
      </c>
      <c r="G839" s="58" t="s">
        <v>25</v>
      </c>
      <c r="H839" s="58" t="s">
        <v>25</v>
      </c>
      <c r="I839" s="66">
        <v>44835</v>
      </c>
      <c r="J839" s="67">
        <f>EFEITO!$J$839*EFEITO!$Y$701</f>
        <v>0</v>
      </c>
      <c r="K839" s="67">
        <f ca="1">EFEITO!$L$839*EFEITO!$Z$817</f>
        <v>895326.75145031663</v>
      </c>
      <c r="L839" s="67">
        <f>EFEITO!$N$839*EFEITO!$AA$817</f>
        <v>885654.04299196089</v>
      </c>
      <c r="M839" s="67">
        <f>$J$839-EFEITO!$K$839*EFEITO!$Y$839</f>
        <v>0</v>
      </c>
      <c r="N839" s="67">
        <f ca="1">$K$839-EFEITO!$M$839*EFEITO!$Z$839</f>
        <v>0</v>
      </c>
      <c r="O839" s="67">
        <f>$L$839-EFEITO!$O$839*EFEITO!$AA$839</f>
        <v>0</v>
      </c>
      <c r="P839" s="18"/>
      <c r="Q839" s="18"/>
      <c r="R839" s="18"/>
      <c r="S839" s="18"/>
      <c r="T839" s="18"/>
      <c r="U839" s="18"/>
      <c r="V839" s="18"/>
      <c r="W839" s="18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1.25" customHeight="1" x14ac:dyDescent="0.2">
      <c r="A840" s="58" t="s">
        <v>55</v>
      </c>
      <c r="B840" s="58" t="s">
        <v>22</v>
      </c>
      <c r="C840" s="58" t="s">
        <v>23</v>
      </c>
      <c r="D840" s="58" t="s">
        <v>24</v>
      </c>
      <c r="E840" s="58" t="s">
        <v>32</v>
      </c>
      <c r="F840" s="58" t="s">
        <v>25</v>
      </c>
      <c r="G840" s="58" t="s">
        <v>25</v>
      </c>
      <c r="H840" s="58" t="s">
        <v>25</v>
      </c>
      <c r="I840" s="66">
        <v>44835</v>
      </c>
      <c r="J840" s="67">
        <f>EFEITO!$J$840*EFEITO!$Y$701</f>
        <v>0</v>
      </c>
      <c r="K840" s="67">
        <f ca="1">EFEITO!$L$840*EFEITO!$Z$817</f>
        <v>-962.4468865265452</v>
      </c>
      <c r="L840" s="67">
        <f>EFEITO!$N$840*EFEITO!$AA$817</f>
        <v>-952.04904224796951</v>
      </c>
      <c r="M840" s="67">
        <f>$J$840-EFEITO!$K$840*EFEITO!$Y$840</f>
        <v>0</v>
      </c>
      <c r="N840" s="67">
        <f ca="1">$K$840-EFEITO!$M$840*EFEITO!$Z$840</f>
        <v>0</v>
      </c>
      <c r="O840" s="67">
        <f>$L$840-EFEITO!$O$840*EFEITO!$AA$840</f>
        <v>0</v>
      </c>
      <c r="P840" s="18"/>
      <c r="Q840" s="18"/>
      <c r="R840" s="18"/>
      <c r="S840" s="18"/>
      <c r="T840" s="18"/>
      <c r="U840" s="18"/>
      <c r="V840" s="18"/>
      <c r="W840" s="18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1.25" customHeight="1" x14ac:dyDescent="0.2">
      <c r="A841" s="58" t="s">
        <v>21</v>
      </c>
      <c r="B841" s="58" t="s">
        <v>43</v>
      </c>
      <c r="C841" s="58" t="s">
        <v>33</v>
      </c>
      <c r="D841" s="58" t="s">
        <v>44</v>
      </c>
      <c r="E841" s="58" t="s">
        <v>25</v>
      </c>
      <c r="F841" s="58" t="s">
        <v>25</v>
      </c>
      <c r="G841" s="58" t="s">
        <v>25</v>
      </c>
      <c r="H841" s="58" t="s">
        <v>35</v>
      </c>
      <c r="I841" s="66">
        <v>44501</v>
      </c>
      <c r="J841" s="67">
        <f>EFEITO!$J$841*EFEITO!$Y$841/(1-CUSTOS!$M$38)</f>
        <v>0</v>
      </c>
      <c r="K841" s="67">
        <f ca="1">EFEITO!$L$841*EFEITO!$Z$841/(1-CUSTOS!$M$38)</f>
        <v>39.780017327889865</v>
      </c>
      <c r="L841" s="67">
        <f>EFEITO!$N$841*EFEITO!$AA$841/(1-CUSTOS!$M$38)</f>
        <v>40.942981216179781</v>
      </c>
      <c r="M841" s="67">
        <f>$J$841-EFEITO!$K$841*EFEITO!$Y$841</f>
        <v>0</v>
      </c>
      <c r="N841" s="67">
        <f ca="1">$K$841-EFEITO!$M$841*EFEITO!$Z$841</f>
        <v>2.3868010396733936</v>
      </c>
      <c r="O841" s="67">
        <f>$L$841-EFEITO!$O$841*EFEITO!$AA$841</f>
        <v>2.4565788729707876</v>
      </c>
      <c r="P841" s="18"/>
      <c r="Q841" s="18"/>
      <c r="R841" s="18"/>
      <c r="S841" s="18"/>
      <c r="T841" s="18"/>
      <c r="U841" s="18"/>
      <c r="V841" s="18"/>
      <c r="W841" s="18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1.25" customHeight="1" x14ac:dyDescent="0.2">
      <c r="A842" s="58" t="s">
        <v>21</v>
      </c>
      <c r="B842" s="58" t="s">
        <v>43</v>
      </c>
      <c r="C842" s="58" t="s">
        <v>33</v>
      </c>
      <c r="D842" s="58" t="s">
        <v>44</v>
      </c>
      <c r="E842" s="58" t="s">
        <v>25</v>
      </c>
      <c r="F842" s="58" t="s">
        <v>25</v>
      </c>
      <c r="G842" s="58" t="s">
        <v>25</v>
      </c>
      <c r="H842" s="58" t="s">
        <v>35</v>
      </c>
      <c r="I842" s="66">
        <v>44531</v>
      </c>
      <c r="J842" s="67">
        <f>EFEITO!$J$842*EFEITO!$Y$842/(1-CUSTOS!$M$38)</f>
        <v>0</v>
      </c>
      <c r="K842" s="67">
        <f ca="1">EFEITO!$L$842*EFEITO!$Z$842/(1-CUSTOS!$M$38)</f>
        <v>35.462806145018099</v>
      </c>
      <c r="L842" s="67">
        <f>EFEITO!$N$842*EFEITO!$AA$842/(1-CUSTOS!$M$38)</f>
        <v>36.499556898144768</v>
      </c>
      <c r="M842" s="67">
        <f>$J$842-EFEITO!$K$842*EFEITO!$Y$842</f>
        <v>0</v>
      </c>
      <c r="N842" s="67">
        <f ca="1">$K$842-EFEITO!$M$842*EFEITO!$Z$842</f>
        <v>2.1277683687010907</v>
      </c>
      <c r="O842" s="67">
        <f>$L$842-EFEITO!$O$842*EFEITO!$AA$842</f>
        <v>2.189973413888687</v>
      </c>
      <c r="P842" s="18"/>
      <c r="Q842" s="18"/>
      <c r="R842" s="18"/>
      <c r="S842" s="18"/>
      <c r="T842" s="18"/>
      <c r="U842" s="18"/>
      <c r="V842" s="18"/>
      <c r="W842" s="18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1.25" customHeight="1" x14ac:dyDescent="0.2">
      <c r="A843" s="58" t="s">
        <v>21</v>
      </c>
      <c r="B843" s="58" t="s">
        <v>43</v>
      </c>
      <c r="C843" s="58" t="s">
        <v>33</v>
      </c>
      <c r="D843" s="58" t="s">
        <v>44</v>
      </c>
      <c r="E843" s="58" t="s">
        <v>25</v>
      </c>
      <c r="F843" s="58" t="s">
        <v>25</v>
      </c>
      <c r="G843" s="58" t="s">
        <v>25</v>
      </c>
      <c r="H843" s="58" t="s">
        <v>35</v>
      </c>
      <c r="I843" s="66">
        <v>44562</v>
      </c>
      <c r="J843" s="67">
        <f>EFEITO!$J$843*EFEITO!$Y$843/(1-CUSTOS!$M$38)</f>
        <v>0</v>
      </c>
      <c r="K843" s="67">
        <f ca="1">EFEITO!$L$843*EFEITO!$Z$843/(1-CUSTOS!$M$38)</f>
        <v>54.58188424059307</v>
      </c>
      <c r="L843" s="67">
        <f>EFEITO!$N$843*EFEITO!$AA$843/(1-CUSTOS!$M$38)</f>
        <v>56.177578878014117</v>
      </c>
      <c r="M843" s="67">
        <f>$J$843-EFEITO!$K$843*EFEITO!$Y$843</f>
        <v>0</v>
      </c>
      <c r="N843" s="67">
        <f ca="1">$K$843-EFEITO!$M$843*EFEITO!$Z$843</f>
        <v>3.2749130544355864</v>
      </c>
      <c r="O843" s="67">
        <f>$L$843-EFEITO!$O$843*EFEITO!$AA$843</f>
        <v>3.3706547326808476</v>
      </c>
      <c r="P843" s="18"/>
      <c r="Q843" s="18"/>
      <c r="R843" s="18"/>
      <c r="S843" s="18"/>
      <c r="T843" s="18"/>
      <c r="U843" s="18"/>
      <c r="V843" s="18"/>
      <c r="W843" s="18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1.25" customHeight="1" x14ac:dyDescent="0.2">
      <c r="A844" s="58" t="s">
        <v>21</v>
      </c>
      <c r="B844" s="58" t="s">
        <v>43</v>
      </c>
      <c r="C844" s="58" t="s">
        <v>33</v>
      </c>
      <c r="D844" s="58" t="s">
        <v>44</v>
      </c>
      <c r="E844" s="58" t="s">
        <v>25</v>
      </c>
      <c r="F844" s="58" t="s">
        <v>25</v>
      </c>
      <c r="G844" s="58" t="s">
        <v>25</v>
      </c>
      <c r="H844" s="58" t="s">
        <v>35</v>
      </c>
      <c r="I844" s="66">
        <v>44593</v>
      </c>
      <c r="J844" s="67">
        <f>EFEITO!$J$844*EFEITO!$Y$844/(1-CUSTOS!$M$38)</f>
        <v>0</v>
      </c>
      <c r="K844" s="67">
        <f ca="1">EFEITO!$L$844*EFEITO!$Z$844/(1-CUSTOS!$M$38)</f>
        <v>41.321878464629783</v>
      </c>
      <c r="L844" s="67">
        <f>EFEITO!$N$844*EFEITO!$AA$844/(1-CUSTOS!$M$38)</f>
        <v>42.529918472620864</v>
      </c>
      <c r="M844" s="67">
        <f>$J$844-EFEITO!$K$844*EFEITO!$Y$844</f>
        <v>0</v>
      </c>
      <c r="N844" s="67">
        <f ca="1">$K$844-EFEITO!$M$844*EFEITO!$Z$844</f>
        <v>2.4793127078777886</v>
      </c>
      <c r="O844" s="67">
        <f>$L$844-EFEITO!$O$844*EFEITO!$AA$844</f>
        <v>2.5517951083572541</v>
      </c>
      <c r="P844" s="18"/>
      <c r="Q844" s="18"/>
      <c r="R844" s="18"/>
      <c r="S844" s="18"/>
      <c r="T844" s="18"/>
      <c r="U844" s="18"/>
      <c r="V844" s="18"/>
      <c r="W844" s="18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1.25" customHeight="1" x14ac:dyDescent="0.2">
      <c r="A845" s="58" t="s">
        <v>21</v>
      </c>
      <c r="B845" s="58" t="s">
        <v>43</v>
      </c>
      <c r="C845" s="58" t="s">
        <v>33</v>
      </c>
      <c r="D845" s="58" t="s">
        <v>44</v>
      </c>
      <c r="E845" s="58" t="s">
        <v>25</v>
      </c>
      <c r="F845" s="58" t="s">
        <v>25</v>
      </c>
      <c r="G845" s="58" t="s">
        <v>25</v>
      </c>
      <c r="H845" s="58" t="s">
        <v>35</v>
      </c>
      <c r="I845" s="66">
        <v>44621</v>
      </c>
      <c r="J845" s="67">
        <f>EFEITO!$J$845*EFEITO!$Y$845/(1-CUSTOS!$M$38)</f>
        <v>0</v>
      </c>
      <c r="K845" s="67">
        <f ca="1">EFEITO!$L$845*EFEITO!$Z$845/(1-CUSTOS!$M$38)</f>
        <v>36.079550599714068</v>
      </c>
      <c r="L845" s="67">
        <f>EFEITO!$N$845*EFEITO!$AA$845/(1-CUSTOS!$M$38)</f>
        <v>37.134331800721199</v>
      </c>
      <c r="M845" s="67">
        <f>$J$845-EFEITO!$K$845*EFEITO!$Y$845</f>
        <v>0</v>
      </c>
      <c r="N845" s="67">
        <f ca="1">$K$845-EFEITO!$M$845*EFEITO!$Z$845</f>
        <v>2.1647730359828472</v>
      </c>
      <c r="O845" s="67">
        <f>$L$845-EFEITO!$O$845*EFEITO!$AA$845</f>
        <v>2.2280599080432708</v>
      </c>
      <c r="P845" s="18"/>
      <c r="Q845" s="18"/>
      <c r="R845" s="18"/>
      <c r="S845" s="18"/>
      <c r="T845" s="18"/>
      <c r="U845" s="18"/>
      <c r="V845" s="18"/>
      <c r="W845" s="18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1.25" customHeight="1" x14ac:dyDescent="0.2">
      <c r="A846" s="58" t="s">
        <v>21</v>
      </c>
      <c r="B846" s="58" t="s">
        <v>43</v>
      </c>
      <c r="C846" s="58" t="s">
        <v>33</v>
      </c>
      <c r="D846" s="58" t="s">
        <v>44</v>
      </c>
      <c r="E846" s="58" t="s">
        <v>25</v>
      </c>
      <c r="F846" s="58" t="s">
        <v>25</v>
      </c>
      <c r="G846" s="58" t="s">
        <v>25</v>
      </c>
      <c r="H846" s="58" t="s">
        <v>35</v>
      </c>
      <c r="I846" s="66">
        <v>44652</v>
      </c>
      <c r="J846" s="67">
        <f>EFEITO!$J$846*EFEITO!$Y$846/(1-CUSTOS!$M$38)</f>
        <v>0</v>
      </c>
      <c r="K846" s="67">
        <f ca="1">EFEITO!$L$846*EFEITO!$Z$846/(1-CUSTOS!$M$38)</f>
        <v>36.079550599714068</v>
      </c>
      <c r="L846" s="67">
        <f>EFEITO!$N$846*EFEITO!$AA$846/(1-CUSTOS!$M$38)</f>
        <v>37.134331800721199</v>
      </c>
      <c r="M846" s="67">
        <f>$J$846-EFEITO!$K$846*EFEITO!$Y$846</f>
        <v>0</v>
      </c>
      <c r="N846" s="67">
        <f ca="1">$K$846-EFEITO!$M$846*EFEITO!$Z$846</f>
        <v>2.1647730359828472</v>
      </c>
      <c r="O846" s="67">
        <f>$L$846-EFEITO!$O$846*EFEITO!$AA$846</f>
        <v>2.2280599080432708</v>
      </c>
      <c r="P846" s="18"/>
      <c r="Q846" s="18"/>
      <c r="R846" s="18"/>
      <c r="S846" s="18"/>
      <c r="T846" s="18"/>
      <c r="U846" s="18"/>
      <c r="V846" s="18"/>
      <c r="W846" s="18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1.25" customHeight="1" x14ac:dyDescent="0.2">
      <c r="A847" s="58" t="s">
        <v>21</v>
      </c>
      <c r="B847" s="58" t="s">
        <v>43</v>
      </c>
      <c r="C847" s="58" t="s">
        <v>33</v>
      </c>
      <c r="D847" s="58" t="s">
        <v>44</v>
      </c>
      <c r="E847" s="58" t="s">
        <v>25</v>
      </c>
      <c r="F847" s="58" t="s">
        <v>25</v>
      </c>
      <c r="G847" s="58" t="s">
        <v>25</v>
      </c>
      <c r="H847" s="58" t="s">
        <v>35</v>
      </c>
      <c r="I847" s="66">
        <v>44682</v>
      </c>
      <c r="J847" s="67">
        <f>EFEITO!$J$847*EFEITO!$Y$847/(1-CUSTOS!$M$38)</f>
        <v>0</v>
      </c>
      <c r="K847" s="67">
        <f ca="1">EFEITO!$L$847*EFEITO!$Z$847/(1-CUSTOS!$M$38)</f>
        <v>39.163272873193904</v>
      </c>
      <c r="L847" s="67">
        <f>EFEITO!$N$847*EFEITO!$AA$847/(1-CUSTOS!$M$38)</f>
        <v>40.308206313603357</v>
      </c>
      <c r="M847" s="67">
        <f>$J$847-EFEITO!$K$847*EFEITO!$Y$847</f>
        <v>0</v>
      </c>
      <c r="N847" s="67">
        <f ca="1">$K$847-EFEITO!$M$847*EFEITO!$Z$847</f>
        <v>2.3497963723916371</v>
      </c>
      <c r="O847" s="67">
        <f>$L$847-EFEITO!$O$847*EFEITO!$AA$847</f>
        <v>2.4184923788162038</v>
      </c>
      <c r="P847" s="18"/>
      <c r="Q847" s="18"/>
      <c r="R847" s="18"/>
      <c r="S847" s="18"/>
      <c r="T847" s="18"/>
      <c r="U847" s="18"/>
      <c r="V847" s="18"/>
      <c r="W847" s="18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1.25" customHeight="1" x14ac:dyDescent="0.2">
      <c r="A848" s="58" t="s">
        <v>21</v>
      </c>
      <c r="B848" s="58" t="s">
        <v>43</v>
      </c>
      <c r="C848" s="58" t="s">
        <v>33</v>
      </c>
      <c r="D848" s="58" t="s">
        <v>44</v>
      </c>
      <c r="E848" s="58" t="s">
        <v>25</v>
      </c>
      <c r="F848" s="58" t="s">
        <v>25</v>
      </c>
      <c r="G848" s="58" t="s">
        <v>25</v>
      </c>
      <c r="H848" s="58" t="s">
        <v>36</v>
      </c>
      <c r="I848" s="66">
        <v>44501</v>
      </c>
      <c r="J848" s="67">
        <f>EFEITO!$J$848*EFEITO!$Y$848/(1-CUSTOS!$M$38)</f>
        <v>0</v>
      </c>
      <c r="K848" s="67">
        <f ca="1">EFEITO!$L$848*EFEITO!$Z$848/(1-CUSTOS!$M$38)</f>
        <v>6.3043715254563075</v>
      </c>
      <c r="L848" s="67">
        <f>EFEITO!$N$848*EFEITO!$AA$848/(1-CUSTOS!$M$38)</f>
        <v>3.1738745128821542</v>
      </c>
      <c r="M848" s="67">
        <f>$J$848-EFEITO!$K$848*EFEITO!$Y$848</f>
        <v>0</v>
      </c>
      <c r="N848" s="67">
        <f ca="1">$K$848-EFEITO!$M$848*EFEITO!$Z$848</f>
        <v>0.37826229152737856</v>
      </c>
      <c r="O848" s="67">
        <f>$L$848-EFEITO!$O$848*EFEITO!$AA$848</f>
        <v>0.19043247077292946</v>
      </c>
      <c r="P848" s="18"/>
      <c r="Q848" s="18"/>
      <c r="R848" s="18"/>
      <c r="S848" s="18"/>
      <c r="T848" s="18"/>
      <c r="U848" s="18"/>
      <c r="V848" s="18"/>
      <c r="W848" s="18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1.25" customHeight="1" x14ac:dyDescent="0.2">
      <c r="A849" s="58" t="s">
        <v>21</v>
      </c>
      <c r="B849" s="58" t="s">
        <v>43</v>
      </c>
      <c r="C849" s="58" t="s">
        <v>33</v>
      </c>
      <c r="D849" s="58" t="s">
        <v>44</v>
      </c>
      <c r="E849" s="58" t="s">
        <v>25</v>
      </c>
      <c r="F849" s="58" t="s">
        <v>25</v>
      </c>
      <c r="G849" s="58" t="s">
        <v>25</v>
      </c>
      <c r="H849" s="58" t="s">
        <v>36</v>
      </c>
      <c r="I849" s="66">
        <v>44531</v>
      </c>
      <c r="J849" s="67">
        <f>EFEITO!$J$849*EFEITO!$Y$849/(1-CUSTOS!$M$38)</f>
        <v>0</v>
      </c>
      <c r="K849" s="67">
        <f ca="1">EFEITO!$L$849*EFEITO!$Z$849/(1-CUSTOS!$M$38)</f>
        <v>5.6739343729106766</v>
      </c>
      <c r="L849" s="67">
        <f>EFEITO!$N$849*EFEITO!$AA$849/(1-CUSTOS!$M$38)</f>
        <v>2.8564870615939379</v>
      </c>
      <c r="M849" s="67">
        <f>$J$849-EFEITO!$K$849*EFEITO!$Y$849</f>
        <v>0</v>
      </c>
      <c r="N849" s="67">
        <f ca="1">$K$849-EFEITO!$M$849*EFEITO!$Z$849</f>
        <v>0.34043606237464097</v>
      </c>
      <c r="O849" s="67">
        <f>$L$849-EFEITO!$O$849*EFEITO!$AA$849</f>
        <v>0.17138922369563625</v>
      </c>
      <c r="P849" s="18"/>
      <c r="Q849" s="18"/>
      <c r="R849" s="18"/>
      <c r="S849" s="18"/>
      <c r="T849" s="18"/>
      <c r="U849" s="18"/>
      <c r="V849" s="18"/>
      <c r="W849" s="18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1.25" customHeight="1" x14ac:dyDescent="0.2">
      <c r="A850" s="58" t="s">
        <v>21</v>
      </c>
      <c r="B850" s="58" t="s">
        <v>43</v>
      </c>
      <c r="C850" s="58" t="s">
        <v>33</v>
      </c>
      <c r="D850" s="58" t="s">
        <v>44</v>
      </c>
      <c r="E850" s="58" t="s">
        <v>25</v>
      </c>
      <c r="F850" s="58" t="s">
        <v>25</v>
      </c>
      <c r="G850" s="58" t="s">
        <v>25</v>
      </c>
      <c r="H850" s="58" t="s">
        <v>36</v>
      </c>
      <c r="I850" s="66">
        <v>44562</v>
      </c>
      <c r="J850" s="67">
        <f>EFEITO!$J$850*EFEITO!$Y$850/(1-CUSTOS!$M$38)</f>
        <v>0</v>
      </c>
      <c r="K850" s="67">
        <f ca="1">EFEITO!$L$850*EFEITO!$Z$850/(1-CUSTOS!$M$38)</f>
        <v>8.1956829830931994</v>
      </c>
      <c r="L850" s="67">
        <f>EFEITO!$N$850*EFEITO!$AA$850/(1-CUSTOS!$M$38)</f>
        <v>4.1260368667467997</v>
      </c>
      <c r="M850" s="67">
        <f>$J$850-EFEITO!$K$850*EFEITO!$Y$850</f>
        <v>0</v>
      </c>
      <c r="N850" s="67">
        <f ca="1">$K$850-EFEITO!$M$850*EFEITO!$Z$850</f>
        <v>0.49174097898559221</v>
      </c>
      <c r="O850" s="67">
        <f>$L$850-EFEITO!$O$850*EFEITO!$AA$850</f>
        <v>0.24756221200480821</v>
      </c>
      <c r="P850" s="18"/>
      <c r="Q850" s="18"/>
      <c r="R850" s="18"/>
      <c r="S850" s="18"/>
      <c r="T850" s="18"/>
      <c r="U850" s="18"/>
      <c r="V850" s="18"/>
      <c r="W850" s="18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1.25" customHeight="1" x14ac:dyDescent="0.2">
      <c r="A851" s="58" t="s">
        <v>21</v>
      </c>
      <c r="B851" s="58" t="s">
        <v>43</v>
      </c>
      <c r="C851" s="58" t="s">
        <v>33</v>
      </c>
      <c r="D851" s="58" t="s">
        <v>44</v>
      </c>
      <c r="E851" s="58" t="s">
        <v>25</v>
      </c>
      <c r="F851" s="58" t="s">
        <v>25</v>
      </c>
      <c r="G851" s="58" t="s">
        <v>25</v>
      </c>
      <c r="H851" s="58" t="s">
        <v>36</v>
      </c>
      <c r="I851" s="66">
        <v>44593</v>
      </c>
      <c r="J851" s="67">
        <f>EFEITO!$J$851*EFEITO!$Y$851/(1-CUSTOS!$M$38)</f>
        <v>0</v>
      </c>
      <c r="K851" s="67">
        <f ca="1">EFEITO!$L$851*EFEITO!$Z$851/(1-CUSTOS!$M$38)</f>
        <v>7.5652458305475694</v>
      </c>
      <c r="L851" s="67">
        <f>EFEITO!$N$851*EFEITO!$AA$851/(1-CUSTOS!$M$38)</f>
        <v>3.8086494154585848</v>
      </c>
      <c r="M851" s="67">
        <f>$J$851-EFEITO!$K$851*EFEITO!$Y$851</f>
        <v>0</v>
      </c>
      <c r="N851" s="67">
        <f ca="1">$K$851-EFEITO!$M$851*EFEITO!$Z$851</f>
        <v>0.45391474983285462</v>
      </c>
      <c r="O851" s="67">
        <f>$L$851-EFEITO!$O$851*EFEITO!$AA$851</f>
        <v>0.22851896492751544</v>
      </c>
      <c r="P851" s="18"/>
      <c r="Q851" s="18"/>
      <c r="R851" s="18"/>
      <c r="S851" s="18"/>
      <c r="T851" s="18"/>
      <c r="U851" s="18"/>
      <c r="V851" s="18"/>
      <c r="W851" s="18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1.25" customHeight="1" x14ac:dyDescent="0.2">
      <c r="A852" s="58" t="s">
        <v>21</v>
      </c>
      <c r="B852" s="58" t="s">
        <v>43</v>
      </c>
      <c r="C852" s="58" t="s">
        <v>33</v>
      </c>
      <c r="D852" s="58" t="s">
        <v>44</v>
      </c>
      <c r="E852" s="58" t="s">
        <v>25</v>
      </c>
      <c r="F852" s="58" t="s">
        <v>25</v>
      </c>
      <c r="G852" s="58" t="s">
        <v>25</v>
      </c>
      <c r="H852" s="58" t="s">
        <v>36</v>
      </c>
      <c r="I852" s="66">
        <v>44621</v>
      </c>
      <c r="J852" s="67">
        <f>EFEITO!$J$852*EFEITO!$Y$852/(1-CUSTOS!$M$38)</f>
        <v>0</v>
      </c>
      <c r="K852" s="67">
        <f ca="1">EFEITO!$L$852*EFEITO!$Z$852/(1-CUSTOS!$M$38)</f>
        <v>6.3043715254563075</v>
      </c>
      <c r="L852" s="67">
        <f>EFEITO!$N$852*EFEITO!$AA$852/(1-CUSTOS!$M$38)</f>
        <v>3.1738745128821542</v>
      </c>
      <c r="M852" s="67">
        <f>$J$852-EFEITO!$K$852*EFEITO!$Y$852</f>
        <v>0</v>
      </c>
      <c r="N852" s="67">
        <f ca="1">$K$852-EFEITO!$M$852*EFEITO!$Z$852</f>
        <v>0.37826229152737856</v>
      </c>
      <c r="O852" s="67">
        <f>$L$852-EFEITO!$O$852*EFEITO!$AA$852</f>
        <v>0.19043247077292946</v>
      </c>
      <c r="P852" s="18"/>
      <c r="Q852" s="18"/>
      <c r="R852" s="18"/>
      <c r="S852" s="18"/>
      <c r="T852" s="18"/>
      <c r="U852" s="18"/>
      <c r="V852" s="18"/>
      <c r="W852" s="18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1.25" customHeight="1" x14ac:dyDescent="0.2">
      <c r="A853" s="58" t="s">
        <v>21</v>
      </c>
      <c r="B853" s="58" t="s">
        <v>43</v>
      </c>
      <c r="C853" s="58" t="s">
        <v>33</v>
      </c>
      <c r="D853" s="58" t="s">
        <v>44</v>
      </c>
      <c r="E853" s="58" t="s">
        <v>25</v>
      </c>
      <c r="F853" s="58" t="s">
        <v>25</v>
      </c>
      <c r="G853" s="58" t="s">
        <v>25</v>
      </c>
      <c r="H853" s="58" t="s">
        <v>36</v>
      </c>
      <c r="I853" s="66">
        <v>44652</v>
      </c>
      <c r="J853" s="67">
        <f>EFEITO!$J$853*EFEITO!$Y$853/(1-CUSTOS!$M$38)</f>
        <v>0</v>
      </c>
      <c r="K853" s="67">
        <f ca="1">EFEITO!$L$853*EFEITO!$Z$853/(1-CUSTOS!$M$38)</f>
        <v>6.3043715254563075</v>
      </c>
      <c r="L853" s="67">
        <f>EFEITO!$N$853*EFEITO!$AA$853/(1-CUSTOS!$M$38)</f>
        <v>3.1738745128821542</v>
      </c>
      <c r="M853" s="67">
        <f>$J$853-EFEITO!$K$853*EFEITO!$Y$853</f>
        <v>0</v>
      </c>
      <c r="N853" s="67">
        <f ca="1">$K$853-EFEITO!$M$853*EFEITO!$Z$853</f>
        <v>0.37826229152737856</v>
      </c>
      <c r="O853" s="67">
        <f>$L$853-EFEITO!$O$853*EFEITO!$AA$853</f>
        <v>0.19043247077292946</v>
      </c>
      <c r="P853" s="18"/>
      <c r="Q853" s="18"/>
      <c r="R853" s="18"/>
      <c r="S853" s="18"/>
      <c r="T853" s="18"/>
      <c r="U853" s="18"/>
      <c r="V853" s="18"/>
      <c r="W853" s="18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1.25" customHeight="1" x14ac:dyDescent="0.2">
      <c r="A854" s="58" t="s">
        <v>21</v>
      </c>
      <c r="B854" s="58" t="s">
        <v>43</v>
      </c>
      <c r="C854" s="58" t="s">
        <v>33</v>
      </c>
      <c r="D854" s="58" t="s">
        <v>44</v>
      </c>
      <c r="E854" s="58" t="s">
        <v>25</v>
      </c>
      <c r="F854" s="58" t="s">
        <v>25</v>
      </c>
      <c r="G854" s="58" t="s">
        <v>25</v>
      </c>
      <c r="H854" s="58" t="s">
        <v>36</v>
      </c>
      <c r="I854" s="66">
        <v>44682</v>
      </c>
      <c r="J854" s="67">
        <f>EFEITO!$J$854*EFEITO!$Y$854/(1-CUSTOS!$M$38)</f>
        <v>0</v>
      </c>
      <c r="K854" s="67">
        <f ca="1">EFEITO!$L$854*EFEITO!$Z$854/(1-CUSTOS!$M$38)</f>
        <v>6.9348086780019385</v>
      </c>
      <c r="L854" s="67">
        <f>EFEITO!$N$854*EFEITO!$AA$854/(1-CUSTOS!$M$38)</f>
        <v>3.491261964170369</v>
      </c>
      <c r="M854" s="67">
        <f>$J$854-EFEITO!$K$854*EFEITO!$Y$854</f>
        <v>0</v>
      </c>
      <c r="N854" s="67">
        <f ca="1">$K$854-EFEITO!$M$854*EFEITO!$Z$854</f>
        <v>0.41608852068011704</v>
      </c>
      <c r="O854" s="67">
        <f>$L$854-EFEITO!$O$854*EFEITO!$AA$854</f>
        <v>0.20947571785022223</v>
      </c>
      <c r="P854" s="18"/>
      <c r="Q854" s="18"/>
      <c r="R854" s="18"/>
      <c r="S854" s="18"/>
      <c r="T854" s="18"/>
      <c r="U854" s="18"/>
      <c r="V854" s="18"/>
      <c r="W854" s="18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1.25" customHeight="1" x14ac:dyDescent="0.2">
      <c r="A855" s="58" t="s">
        <v>21</v>
      </c>
      <c r="B855" s="58" t="s">
        <v>43</v>
      </c>
      <c r="C855" s="58" t="s">
        <v>33</v>
      </c>
      <c r="D855" s="58" t="s">
        <v>44</v>
      </c>
      <c r="E855" s="58" t="s">
        <v>25</v>
      </c>
      <c r="F855" s="58" t="s">
        <v>25</v>
      </c>
      <c r="G855" s="58" t="s">
        <v>25</v>
      </c>
      <c r="H855" s="58" t="s">
        <v>34</v>
      </c>
      <c r="I855" s="66">
        <v>44501</v>
      </c>
      <c r="J855" s="67">
        <f>EFEITO!$J$855*EFEITO!$Y$855/(1-CUSTOS!$M$38)</f>
        <v>0</v>
      </c>
      <c r="K855" s="67">
        <f ca="1">EFEITO!$L$855*EFEITO!$Z$855/(1-CUSTOS!$M$38)</f>
        <v>14.28753116614917</v>
      </c>
      <c r="L855" s="67">
        <f>EFEITO!$N$855*EFEITO!$AA$855/(1-CUSTOS!$M$38)</f>
        <v>8.1426622057476088</v>
      </c>
      <c r="M855" s="67">
        <f>$J$855-EFEITO!$K$855*EFEITO!$Y$855</f>
        <v>0</v>
      </c>
      <c r="N855" s="67">
        <f ca="1">$K$855-EFEITO!$M$855*EFEITO!$Z$855</f>
        <v>0.85725186996895175</v>
      </c>
      <c r="O855" s="67">
        <f>$L$855-EFEITO!$O$855*EFEITO!$AA$855</f>
        <v>0.48855973234485717</v>
      </c>
      <c r="P855" s="18"/>
      <c r="Q855" s="18"/>
      <c r="R855" s="18"/>
      <c r="S855" s="18"/>
      <c r="T855" s="18"/>
      <c r="U855" s="18"/>
      <c r="V855" s="18"/>
      <c r="W855" s="18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1.25" customHeight="1" x14ac:dyDescent="0.2">
      <c r="A856" s="58" t="s">
        <v>21</v>
      </c>
      <c r="B856" s="58" t="s">
        <v>43</v>
      </c>
      <c r="C856" s="58" t="s">
        <v>33</v>
      </c>
      <c r="D856" s="58" t="s">
        <v>44</v>
      </c>
      <c r="E856" s="58" t="s">
        <v>25</v>
      </c>
      <c r="F856" s="58" t="s">
        <v>25</v>
      </c>
      <c r="G856" s="58" t="s">
        <v>25</v>
      </c>
      <c r="H856" s="58" t="s">
        <v>34</v>
      </c>
      <c r="I856" s="66">
        <v>44531</v>
      </c>
      <c r="J856" s="67">
        <f>EFEITO!$J$856*EFEITO!$Y$856/(1-CUSTOS!$M$38)</f>
        <v>0</v>
      </c>
      <c r="K856" s="67">
        <f ca="1">EFEITO!$L$856*EFEITO!$Z$856/(1-CUSTOS!$M$38)</f>
        <v>12.382527010662614</v>
      </c>
      <c r="L856" s="67">
        <f>EFEITO!$N$856*EFEITO!$AA$856/(1-CUSTOS!$M$38)</f>
        <v>7.0569739116479271</v>
      </c>
      <c r="M856" s="67">
        <f>$J$856-EFEITO!$K$856*EFEITO!$Y$856</f>
        <v>0</v>
      </c>
      <c r="N856" s="67">
        <f ca="1">$K$856-EFEITO!$M$856*EFEITO!$Z$856</f>
        <v>0.74295162063975795</v>
      </c>
      <c r="O856" s="67">
        <f>$L$856-EFEITO!$O$856*EFEITO!$AA$856</f>
        <v>0.42341843469887586</v>
      </c>
      <c r="P856" s="18"/>
      <c r="Q856" s="18"/>
      <c r="R856" s="18"/>
      <c r="S856" s="18"/>
      <c r="T856" s="18"/>
      <c r="U856" s="18"/>
      <c r="V856" s="18"/>
      <c r="W856" s="18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1.25" customHeight="1" x14ac:dyDescent="0.2">
      <c r="A857" s="58" t="s">
        <v>21</v>
      </c>
      <c r="B857" s="58" t="s">
        <v>43</v>
      </c>
      <c r="C857" s="58" t="s">
        <v>33</v>
      </c>
      <c r="D857" s="58" t="s">
        <v>44</v>
      </c>
      <c r="E857" s="58" t="s">
        <v>25</v>
      </c>
      <c r="F857" s="58" t="s">
        <v>25</v>
      </c>
      <c r="G857" s="58" t="s">
        <v>25</v>
      </c>
      <c r="H857" s="58" t="s">
        <v>34</v>
      </c>
      <c r="I857" s="66">
        <v>44562</v>
      </c>
      <c r="J857" s="67">
        <f>EFEITO!$J$857*EFEITO!$Y$857/(1-CUSTOS!$M$38)</f>
        <v>0</v>
      </c>
      <c r="K857" s="67">
        <f ca="1">EFEITO!$L$857*EFEITO!$Z$857/(1-CUSTOS!$M$38)</f>
        <v>18.097539477122282</v>
      </c>
      <c r="L857" s="67">
        <f>EFEITO!$N$857*EFEITO!$AA$857/(1-CUSTOS!$M$38)</f>
        <v>10.31403879394697</v>
      </c>
      <c r="M857" s="67">
        <f>$J$857-EFEITO!$K$857*EFEITO!$Y$857</f>
        <v>0</v>
      </c>
      <c r="N857" s="67">
        <f ca="1">$K$857-EFEITO!$M$857*EFEITO!$Z$857</f>
        <v>1.0858523686273394</v>
      </c>
      <c r="O857" s="67">
        <f>$L$857-EFEITO!$O$857*EFEITO!$AA$857</f>
        <v>0.61884232763681801</v>
      </c>
      <c r="P857" s="18"/>
      <c r="Q857" s="18"/>
      <c r="R857" s="18"/>
      <c r="S857" s="18"/>
      <c r="T857" s="18"/>
      <c r="U857" s="18"/>
      <c r="V857" s="18"/>
      <c r="W857" s="18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1.25" customHeight="1" x14ac:dyDescent="0.2">
      <c r="A858" s="58" t="s">
        <v>21</v>
      </c>
      <c r="B858" s="58" t="s">
        <v>43</v>
      </c>
      <c r="C858" s="58" t="s">
        <v>33</v>
      </c>
      <c r="D858" s="58" t="s">
        <v>44</v>
      </c>
      <c r="E858" s="58" t="s">
        <v>25</v>
      </c>
      <c r="F858" s="58" t="s">
        <v>25</v>
      </c>
      <c r="G858" s="58" t="s">
        <v>25</v>
      </c>
      <c r="H858" s="58" t="s">
        <v>34</v>
      </c>
      <c r="I858" s="66">
        <v>44593</v>
      </c>
      <c r="J858" s="67">
        <f>EFEITO!$J$858*EFEITO!$Y$858/(1-CUSTOS!$M$38)</f>
        <v>0</v>
      </c>
      <c r="K858" s="67">
        <f ca="1">EFEITO!$L$858*EFEITO!$Z$858/(1-CUSTOS!$M$38)</f>
        <v>17.145037399379003</v>
      </c>
      <c r="L858" s="67">
        <f>EFEITO!$N$858*EFEITO!$AA$858/(1-CUSTOS!$M$38)</f>
        <v>9.7711946468971291</v>
      </c>
      <c r="M858" s="67">
        <f>$J$858-EFEITO!$K$858*EFEITO!$Y$858</f>
        <v>0</v>
      </c>
      <c r="N858" s="67">
        <f ca="1">$K$858-EFEITO!$M$858*EFEITO!$Z$858</f>
        <v>1.0287022439627407</v>
      </c>
      <c r="O858" s="67">
        <f>$L$858-EFEITO!$O$858*EFEITO!$AA$858</f>
        <v>0.58627167881382825</v>
      </c>
      <c r="P858" s="18"/>
      <c r="Q858" s="18"/>
      <c r="R858" s="18"/>
      <c r="S858" s="18"/>
      <c r="T858" s="18"/>
      <c r="U858" s="18"/>
      <c r="V858" s="18"/>
      <c r="W858" s="18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1.25" customHeight="1" x14ac:dyDescent="0.2">
      <c r="A859" s="58" t="s">
        <v>21</v>
      </c>
      <c r="B859" s="58" t="s">
        <v>43</v>
      </c>
      <c r="C859" s="58" t="s">
        <v>33</v>
      </c>
      <c r="D859" s="58" t="s">
        <v>44</v>
      </c>
      <c r="E859" s="58" t="s">
        <v>25</v>
      </c>
      <c r="F859" s="58" t="s">
        <v>25</v>
      </c>
      <c r="G859" s="58" t="s">
        <v>25</v>
      </c>
      <c r="H859" s="58" t="s">
        <v>34</v>
      </c>
      <c r="I859" s="66">
        <v>44621</v>
      </c>
      <c r="J859" s="67">
        <f>EFEITO!$J$859*EFEITO!$Y$859/(1-CUSTOS!$M$38)</f>
        <v>0</v>
      </c>
      <c r="K859" s="67">
        <f ca="1">EFEITO!$L$859*EFEITO!$Z$859/(1-CUSTOS!$M$38)</f>
        <v>14.28753116614917</v>
      </c>
      <c r="L859" s="67">
        <f>EFEITO!$N$859*EFEITO!$AA$859/(1-CUSTOS!$M$38)</f>
        <v>8.1426622057476088</v>
      </c>
      <c r="M859" s="67">
        <f>$J$859-EFEITO!$K$859*EFEITO!$Y$859</f>
        <v>0</v>
      </c>
      <c r="N859" s="67">
        <f ca="1">$K$859-EFEITO!$M$859*EFEITO!$Z$859</f>
        <v>0.85725186996895175</v>
      </c>
      <c r="O859" s="67">
        <f>$L$859-EFEITO!$O$859*EFEITO!$AA$859</f>
        <v>0.48855973234485717</v>
      </c>
      <c r="P859" s="18"/>
      <c r="Q859" s="18"/>
      <c r="R859" s="18"/>
      <c r="S859" s="18"/>
      <c r="T859" s="18"/>
      <c r="U859" s="18"/>
      <c r="V859" s="18"/>
      <c r="W859" s="18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1.25" customHeight="1" x14ac:dyDescent="0.2">
      <c r="A860" s="58" t="s">
        <v>21</v>
      </c>
      <c r="B860" s="58" t="s">
        <v>43</v>
      </c>
      <c r="C860" s="58" t="s">
        <v>33</v>
      </c>
      <c r="D860" s="58" t="s">
        <v>44</v>
      </c>
      <c r="E860" s="58" t="s">
        <v>25</v>
      </c>
      <c r="F860" s="58" t="s">
        <v>25</v>
      </c>
      <c r="G860" s="58" t="s">
        <v>25</v>
      </c>
      <c r="H860" s="58" t="s">
        <v>34</v>
      </c>
      <c r="I860" s="66">
        <v>44652</v>
      </c>
      <c r="J860" s="67">
        <f>EFEITO!$J$860*EFEITO!$Y$860/(1-CUSTOS!$M$38)</f>
        <v>0</v>
      </c>
      <c r="K860" s="67">
        <f ca="1">EFEITO!$L$860*EFEITO!$Z$860/(1-CUSTOS!$M$38)</f>
        <v>14.28753116614917</v>
      </c>
      <c r="L860" s="67">
        <f>EFEITO!$N$860*EFEITO!$AA$860/(1-CUSTOS!$M$38)</f>
        <v>8.1426622057476088</v>
      </c>
      <c r="M860" s="67">
        <f>$J$860-EFEITO!$K$860*EFEITO!$Y$860</f>
        <v>0</v>
      </c>
      <c r="N860" s="67">
        <f ca="1">$K$860-EFEITO!$M$860*EFEITO!$Z$860</f>
        <v>0.85725186996895175</v>
      </c>
      <c r="O860" s="67">
        <f>$L$860-EFEITO!$O$860*EFEITO!$AA$860</f>
        <v>0.48855973234485717</v>
      </c>
      <c r="P860" s="18"/>
      <c r="Q860" s="18"/>
      <c r="R860" s="18"/>
      <c r="S860" s="18"/>
      <c r="T860" s="18"/>
      <c r="U860" s="18"/>
      <c r="V860" s="18"/>
      <c r="W860" s="18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1.25" customHeight="1" x14ac:dyDescent="0.2">
      <c r="A861" s="58" t="s">
        <v>21</v>
      </c>
      <c r="B861" s="58" t="s">
        <v>43</v>
      </c>
      <c r="C861" s="58" t="s">
        <v>33</v>
      </c>
      <c r="D861" s="58" t="s">
        <v>44</v>
      </c>
      <c r="E861" s="58" t="s">
        <v>25</v>
      </c>
      <c r="F861" s="58" t="s">
        <v>25</v>
      </c>
      <c r="G861" s="58" t="s">
        <v>25</v>
      </c>
      <c r="H861" s="58" t="s">
        <v>34</v>
      </c>
      <c r="I861" s="66">
        <v>44682</v>
      </c>
      <c r="J861" s="67">
        <f>EFEITO!$J$861*EFEITO!$Y$861/(1-CUSTOS!$M$38)</f>
        <v>0</v>
      </c>
      <c r="K861" s="67">
        <f ca="1">EFEITO!$L$861*EFEITO!$Z$861/(1-CUSTOS!$M$38)</f>
        <v>16.192535321635727</v>
      </c>
      <c r="L861" s="67">
        <f>EFEITO!$N$861*EFEITO!$AA$861/(1-CUSTOS!$M$38)</f>
        <v>9.2283504998472914</v>
      </c>
      <c r="M861" s="67">
        <f>$J$861-EFEITO!$K$861*EFEITO!$Y$861</f>
        <v>0</v>
      </c>
      <c r="N861" s="67">
        <f ca="1">$K$861-EFEITO!$M$861*EFEITO!$Z$861</f>
        <v>0.97155211929814378</v>
      </c>
      <c r="O861" s="67">
        <f>$L$861-EFEITO!$O$861*EFEITO!$AA$861</f>
        <v>0.55370102999083848</v>
      </c>
      <c r="P861" s="18"/>
      <c r="Q861" s="18"/>
      <c r="R861" s="18"/>
      <c r="S861" s="18"/>
      <c r="T861" s="18"/>
      <c r="U861" s="18"/>
      <c r="V861" s="18"/>
      <c r="W861" s="18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1.25" customHeight="1" x14ac:dyDescent="0.2">
      <c r="A862" s="58" t="s">
        <v>21</v>
      </c>
      <c r="B862" s="58" t="s">
        <v>43</v>
      </c>
      <c r="C862" s="58" t="s">
        <v>23</v>
      </c>
      <c r="D862" s="58" t="s">
        <v>44</v>
      </c>
      <c r="E862" s="58" t="s">
        <v>52</v>
      </c>
      <c r="F862" s="58" t="s">
        <v>53</v>
      </c>
      <c r="G862" s="58" t="s">
        <v>25</v>
      </c>
      <c r="H862" s="58" t="s">
        <v>25</v>
      </c>
      <c r="I862" s="66">
        <v>44501</v>
      </c>
      <c r="J862" s="67">
        <f>EFEITO!$J$862*EFEITO!$Y$701</f>
        <v>0</v>
      </c>
      <c r="K862" s="67">
        <f ca="1">EFEITO!$L$862*EFEITO!$Z$701</f>
        <v>13444.35010115242</v>
      </c>
      <c r="L862" s="67">
        <f>EFEITO!$N$862*EFEITO!$AA$701</f>
        <v>11328.778486834153</v>
      </c>
      <c r="M862" s="67">
        <f>$J$862-EFEITO!$K$862*EFEITO!$Y$862</f>
        <v>0</v>
      </c>
      <c r="N862" s="67">
        <f ca="1">$K$862-EFEITO!$M$862*EFEITO!$Z$862</f>
        <v>806.66100606914551</v>
      </c>
      <c r="O862" s="67">
        <f>$L$862-EFEITO!$O$862*EFEITO!$AA$862</f>
        <v>679.7267092100501</v>
      </c>
      <c r="P862" s="18"/>
      <c r="Q862" s="18"/>
      <c r="R862" s="18"/>
      <c r="S862" s="18"/>
      <c r="T862" s="18"/>
      <c r="U862" s="18"/>
      <c r="V862" s="18"/>
      <c r="W862" s="18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1.25" customHeight="1" x14ac:dyDescent="0.2">
      <c r="A863" s="58" t="s">
        <v>21</v>
      </c>
      <c r="B863" s="58" t="s">
        <v>43</v>
      </c>
      <c r="C863" s="58" t="s">
        <v>23</v>
      </c>
      <c r="D863" s="58" t="s">
        <v>44</v>
      </c>
      <c r="E863" s="58" t="s">
        <v>52</v>
      </c>
      <c r="F863" s="58" t="s">
        <v>53</v>
      </c>
      <c r="G863" s="58" t="s">
        <v>25</v>
      </c>
      <c r="H863" s="58" t="s">
        <v>25</v>
      </c>
      <c r="I863" s="66">
        <v>44531</v>
      </c>
      <c r="J863" s="67">
        <f>EFEITO!$J$863*EFEITO!$Y$701</f>
        <v>0</v>
      </c>
      <c r="K863" s="67">
        <f ca="1">EFEITO!$L$863*EFEITO!$Z$701</f>
        <v>11149.566820288635</v>
      </c>
      <c r="L863" s="67">
        <f>EFEITO!$N$863*EFEITO!$AA$701</f>
        <v>9395.0969575226009</v>
      </c>
      <c r="M863" s="67">
        <f>$J$863-EFEITO!$K$863*EFEITO!$Y$863</f>
        <v>0</v>
      </c>
      <c r="N863" s="67">
        <f ca="1">$K$863-EFEITO!$M$863*EFEITO!$Z$863</f>
        <v>668.97400921731969</v>
      </c>
      <c r="O863" s="67">
        <f>$L$863-EFEITO!$O$863*EFEITO!$AA$863</f>
        <v>563.7058174513586</v>
      </c>
      <c r="P863" s="18"/>
      <c r="Q863" s="18"/>
      <c r="R863" s="18"/>
      <c r="S863" s="18"/>
      <c r="T863" s="18"/>
      <c r="U863" s="18"/>
      <c r="V863" s="18"/>
      <c r="W863" s="18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1.25" customHeight="1" x14ac:dyDescent="0.2">
      <c r="A864" s="58" t="s">
        <v>21</v>
      </c>
      <c r="B864" s="58" t="s">
        <v>43</v>
      </c>
      <c r="C864" s="58" t="s">
        <v>23</v>
      </c>
      <c r="D864" s="58" t="s">
        <v>44</v>
      </c>
      <c r="E864" s="58" t="s">
        <v>52</v>
      </c>
      <c r="F864" s="58" t="s">
        <v>53</v>
      </c>
      <c r="G864" s="58" t="s">
        <v>25</v>
      </c>
      <c r="H864" s="58" t="s">
        <v>25</v>
      </c>
      <c r="I864" s="66">
        <v>44562</v>
      </c>
      <c r="J864" s="67">
        <f>EFEITO!$J$864*EFEITO!$Y$701</f>
        <v>0</v>
      </c>
      <c r="K864" s="67">
        <f ca="1">EFEITO!$L$864*EFEITO!$Z$701</f>
        <v>20801.061453573879</v>
      </c>
      <c r="L864" s="67">
        <f>EFEITO!$N$864*EFEITO!$AA$701</f>
        <v>17527.854877742546</v>
      </c>
      <c r="M864" s="67">
        <f>$J$864-EFEITO!$K$864*EFEITO!$Y$864</f>
        <v>0</v>
      </c>
      <c r="N864" s="67">
        <f ca="1">$K$864-EFEITO!$M$864*EFEITO!$Z$864</f>
        <v>1248.063687214435</v>
      </c>
      <c r="O864" s="67">
        <f>$L$864-EFEITO!$O$864*EFEITO!$AA$864</f>
        <v>1051.6712926645559</v>
      </c>
      <c r="P864" s="18"/>
      <c r="Q864" s="18"/>
      <c r="R864" s="18"/>
      <c r="S864" s="18"/>
      <c r="T864" s="18"/>
      <c r="U864" s="18"/>
      <c r="V864" s="18"/>
      <c r="W864" s="18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1.25" customHeight="1" x14ac:dyDescent="0.2">
      <c r="A865" s="58" t="s">
        <v>21</v>
      </c>
      <c r="B865" s="58" t="s">
        <v>43</v>
      </c>
      <c r="C865" s="58" t="s">
        <v>23</v>
      </c>
      <c r="D865" s="58" t="s">
        <v>44</v>
      </c>
      <c r="E865" s="58" t="s">
        <v>52</v>
      </c>
      <c r="F865" s="58" t="s">
        <v>53</v>
      </c>
      <c r="G865" s="58" t="s">
        <v>25</v>
      </c>
      <c r="H865" s="58" t="s">
        <v>25</v>
      </c>
      <c r="I865" s="66">
        <v>44593</v>
      </c>
      <c r="J865" s="67">
        <f>EFEITO!$J$865*EFEITO!$Y$701</f>
        <v>0</v>
      </c>
      <c r="K865" s="67">
        <f ca="1">EFEITO!$L$865*EFEITO!$Z$701</f>
        <v>22416.426110079003</v>
      </c>
      <c r="L865" s="67">
        <f>EFEITO!$N$865*EFEITO!$AA$701</f>
        <v>18889.029514770096</v>
      </c>
      <c r="M865" s="67">
        <f>$J$865-EFEITO!$K$865*EFEITO!$Y$865</f>
        <v>0</v>
      </c>
      <c r="N865" s="67">
        <f ca="1">$K$865-EFEITO!$M$865*EFEITO!$Z$865</f>
        <v>1344.9855666047442</v>
      </c>
      <c r="O865" s="67">
        <f>$L$865-EFEITO!$O$865*EFEITO!$AA$865</f>
        <v>1133.3417708862071</v>
      </c>
      <c r="P865" s="18"/>
      <c r="Q865" s="18"/>
      <c r="R865" s="18"/>
      <c r="S865" s="18"/>
      <c r="T865" s="18"/>
      <c r="U865" s="18"/>
      <c r="V865" s="18"/>
      <c r="W865" s="18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1.25" customHeight="1" x14ac:dyDescent="0.2">
      <c r="A866" s="58" t="s">
        <v>21</v>
      </c>
      <c r="B866" s="58" t="s">
        <v>43</v>
      </c>
      <c r="C866" s="58" t="s">
        <v>23</v>
      </c>
      <c r="D866" s="58" t="s">
        <v>44</v>
      </c>
      <c r="E866" s="58" t="s">
        <v>52</v>
      </c>
      <c r="F866" s="58" t="s">
        <v>53</v>
      </c>
      <c r="G866" s="58" t="s">
        <v>25</v>
      </c>
      <c r="H866" s="58" t="s">
        <v>25</v>
      </c>
      <c r="I866" s="66">
        <v>44621</v>
      </c>
      <c r="J866" s="67">
        <f>EFEITO!$J$866*EFEITO!$Y$701</f>
        <v>0</v>
      </c>
      <c r="K866" s="67">
        <f ca="1">EFEITO!$L$866*EFEITO!$Z$701</f>
        <v>9369.8331248899303</v>
      </c>
      <c r="L866" s="67">
        <f>EFEITO!$N$866*EFEITO!$AA$701</f>
        <v>7895.4180106764879</v>
      </c>
      <c r="M866" s="67">
        <f>$J$866-EFEITO!$K$866*EFEITO!$Y$866</f>
        <v>0</v>
      </c>
      <c r="N866" s="67">
        <f ca="1">$K$866-EFEITO!$M$866*EFEITO!$Z$866</f>
        <v>562.18998749339698</v>
      </c>
      <c r="O866" s="67">
        <f>$L$866-EFEITO!$O$866*EFEITO!$AA$866</f>
        <v>473.72508064059002</v>
      </c>
      <c r="P866" s="18"/>
      <c r="Q866" s="18"/>
      <c r="R866" s="18"/>
      <c r="S866" s="18"/>
      <c r="T866" s="18"/>
      <c r="U866" s="18"/>
      <c r="V866" s="18"/>
      <c r="W866" s="18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1.25" customHeight="1" x14ac:dyDescent="0.2">
      <c r="A867" s="58" t="s">
        <v>27</v>
      </c>
      <c r="B867" s="58" t="s">
        <v>43</v>
      </c>
      <c r="C867" s="58" t="s">
        <v>23</v>
      </c>
      <c r="D867" s="58" t="s">
        <v>44</v>
      </c>
      <c r="E867" s="58" t="s">
        <v>52</v>
      </c>
      <c r="F867" s="58" t="s">
        <v>53</v>
      </c>
      <c r="G867" s="58" t="s">
        <v>25</v>
      </c>
      <c r="H867" s="58" t="s">
        <v>25</v>
      </c>
      <c r="I867" s="66">
        <v>44621</v>
      </c>
      <c r="J867" s="67">
        <f>EFEITO!$J$867*EFEITO!$Y$701</f>
        <v>0</v>
      </c>
      <c r="K867" s="67">
        <f ca="1">EFEITO!$L$867*EFEITO!$Z$701</f>
        <v>-2948.6688506370378</v>
      </c>
      <c r="L867" s="67">
        <f>EFEITO!$N$867*EFEITO!$AA$701</f>
        <v>-2484.6731890023812</v>
      </c>
      <c r="M867" s="67">
        <f>$J$867-EFEITO!$K$867*EFEITO!$Y$867</f>
        <v>0</v>
      </c>
      <c r="N867" s="67">
        <f ca="1">$K$867-EFEITO!$M$867*EFEITO!$Z$867</f>
        <v>-176.92013103822228</v>
      </c>
      <c r="O867" s="67">
        <f>$L$867-EFEITO!$O$867*EFEITO!$AA$867</f>
        <v>-149.08039134014325</v>
      </c>
      <c r="P867" s="18"/>
      <c r="Q867" s="18"/>
      <c r="R867" s="18"/>
      <c r="S867" s="18"/>
      <c r="T867" s="18"/>
      <c r="U867" s="18"/>
      <c r="V867" s="18"/>
      <c r="W867" s="18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1.25" customHeight="1" x14ac:dyDescent="0.2">
      <c r="A868" s="58" t="s">
        <v>21</v>
      </c>
      <c r="B868" s="58" t="s">
        <v>43</v>
      </c>
      <c r="C868" s="58" t="s">
        <v>23</v>
      </c>
      <c r="D868" s="58" t="s">
        <v>44</v>
      </c>
      <c r="E868" s="58" t="s">
        <v>52</v>
      </c>
      <c r="F868" s="58" t="s">
        <v>53</v>
      </c>
      <c r="G868" s="58" t="s">
        <v>25</v>
      </c>
      <c r="H868" s="58" t="s">
        <v>25</v>
      </c>
      <c r="I868" s="66">
        <v>44652</v>
      </c>
      <c r="J868" s="67">
        <f>EFEITO!$J$868*EFEITO!$Y$701</f>
        <v>0</v>
      </c>
      <c r="K868" s="67">
        <f ca="1">EFEITO!$L$868*EFEITO!$Z$701</f>
        <v>9369.8331248899303</v>
      </c>
      <c r="L868" s="67">
        <f>EFEITO!$N$868*EFEITO!$AA$701</f>
        <v>7895.4180106764879</v>
      </c>
      <c r="M868" s="67">
        <f>$J$868-EFEITO!$K$868*EFEITO!$Y$868</f>
        <v>0</v>
      </c>
      <c r="N868" s="67">
        <f ca="1">$K$868-EFEITO!$M$868*EFEITO!$Z$868</f>
        <v>562.18998749339698</v>
      </c>
      <c r="O868" s="67">
        <f>$L$868-EFEITO!$O$868*EFEITO!$AA$868</f>
        <v>473.72508064059002</v>
      </c>
      <c r="P868" s="18"/>
      <c r="Q868" s="18"/>
      <c r="R868" s="18"/>
      <c r="S868" s="18"/>
      <c r="T868" s="18"/>
      <c r="U868" s="18"/>
      <c r="V868" s="18"/>
      <c r="W868" s="18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1.25" customHeight="1" x14ac:dyDescent="0.2">
      <c r="A869" s="58" t="s">
        <v>27</v>
      </c>
      <c r="B869" s="58" t="s">
        <v>43</v>
      </c>
      <c r="C869" s="58" t="s">
        <v>23</v>
      </c>
      <c r="D869" s="58" t="s">
        <v>44</v>
      </c>
      <c r="E869" s="58" t="s">
        <v>52</v>
      </c>
      <c r="F869" s="58" t="s">
        <v>53</v>
      </c>
      <c r="G869" s="58" t="s">
        <v>25</v>
      </c>
      <c r="H869" s="58" t="s">
        <v>25</v>
      </c>
      <c r="I869" s="66">
        <v>44652</v>
      </c>
      <c r="J869" s="67">
        <f>EFEITO!$J$869*EFEITO!$Y$701</f>
        <v>0</v>
      </c>
      <c r="K869" s="67">
        <f ca="1">EFEITO!$L$869*EFEITO!$Z$701</f>
        <v>-2948.6688506370378</v>
      </c>
      <c r="L869" s="67">
        <f>EFEITO!$N$869*EFEITO!$AA$701</f>
        <v>-2484.6731890023812</v>
      </c>
      <c r="M869" s="67">
        <f>$J$869-EFEITO!$K$869*EFEITO!$Y$869</f>
        <v>0</v>
      </c>
      <c r="N869" s="67">
        <f ca="1">$K$869-EFEITO!$M$869*EFEITO!$Z$869</f>
        <v>-176.92013103822228</v>
      </c>
      <c r="O869" s="67">
        <f>$L$869-EFEITO!$O$869*EFEITO!$AA$869</f>
        <v>-149.08039134014325</v>
      </c>
      <c r="P869" s="18"/>
      <c r="Q869" s="18"/>
      <c r="R869" s="18"/>
      <c r="S869" s="18"/>
      <c r="T869" s="18"/>
      <c r="U869" s="18"/>
      <c r="V869" s="18"/>
      <c r="W869" s="18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1.25" customHeight="1" x14ac:dyDescent="0.2">
      <c r="A870" s="58" t="s">
        <v>21</v>
      </c>
      <c r="B870" s="58" t="s">
        <v>43</v>
      </c>
      <c r="C870" s="58" t="s">
        <v>23</v>
      </c>
      <c r="D870" s="58" t="s">
        <v>44</v>
      </c>
      <c r="E870" s="58" t="s">
        <v>52</v>
      </c>
      <c r="F870" s="58" t="s">
        <v>53</v>
      </c>
      <c r="G870" s="58" t="s">
        <v>25</v>
      </c>
      <c r="H870" s="58" t="s">
        <v>25</v>
      </c>
      <c r="I870" s="66">
        <v>44682</v>
      </c>
      <c r="J870" s="67">
        <f>EFEITO!$J$870*EFEITO!$Y$701</f>
        <v>0</v>
      </c>
      <c r="K870" s="67">
        <f ca="1">EFEITO!$L$870*EFEITO!$Z$701</f>
        <v>4864.0468985207372</v>
      </c>
      <c r="L870" s="67">
        <f>EFEITO!$N$870*EFEITO!$AA$701</f>
        <v>4098.6518089997335</v>
      </c>
      <c r="M870" s="67">
        <f>$J$870-EFEITO!$K$870*EFEITO!$Y$870</f>
        <v>0</v>
      </c>
      <c r="N870" s="67">
        <f ca="1">$K$870-EFEITO!$M$870*EFEITO!$Z$870</f>
        <v>291.84281391124478</v>
      </c>
      <c r="O870" s="67">
        <f>$L$870-EFEITO!$O$870*EFEITO!$AA$870</f>
        <v>245.91910853998479</v>
      </c>
      <c r="P870" s="18"/>
      <c r="Q870" s="18"/>
      <c r="R870" s="18"/>
      <c r="S870" s="18"/>
      <c r="T870" s="18"/>
      <c r="U870" s="18"/>
      <c r="V870" s="18"/>
      <c r="W870" s="18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1.25" customHeight="1" x14ac:dyDescent="0.2">
      <c r="A871" s="58" t="s">
        <v>27</v>
      </c>
      <c r="B871" s="58" t="s">
        <v>43</v>
      </c>
      <c r="C871" s="58" t="s">
        <v>23</v>
      </c>
      <c r="D871" s="58" t="s">
        <v>44</v>
      </c>
      <c r="E871" s="58" t="s">
        <v>52</v>
      </c>
      <c r="F871" s="58" t="s">
        <v>53</v>
      </c>
      <c r="G871" s="58" t="s">
        <v>25</v>
      </c>
      <c r="H871" s="58" t="s">
        <v>25</v>
      </c>
      <c r="I871" s="66">
        <v>44682</v>
      </c>
      <c r="J871" s="67">
        <f>EFEITO!$J$871*EFEITO!$Y$701</f>
        <v>0</v>
      </c>
      <c r="K871" s="67">
        <f ca="1">EFEITO!$L$871*EFEITO!$Z$701</f>
        <v>-7503.5264162875674</v>
      </c>
      <c r="L871" s="67">
        <f>EFEITO!$N$871*EFEITO!$AA$701</f>
        <v>-6322.7889783191422</v>
      </c>
      <c r="M871" s="67">
        <f>$J$871-EFEITO!$K$871*EFEITO!$Y$871</f>
        <v>0</v>
      </c>
      <c r="N871" s="67">
        <f ca="1">$K$871-EFEITO!$M$871*EFEITO!$Z$871</f>
        <v>-450.21158497725446</v>
      </c>
      <c r="O871" s="67">
        <f>$L$871-EFEITO!$O$871*EFEITO!$AA$871</f>
        <v>-379.36733869914951</v>
      </c>
      <c r="P871" s="18"/>
      <c r="Q871" s="18"/>
      <c r="R871" s="18"/>
      <c r="S871" s="18"/>
      <c r="T871" s="18"/>
      <c r="U871" s="18"/>
      <c r="V871" s="18"/>
      <c r="W871" s="18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1.25" customHeight="1" x14ac:dyDescent="0.2">
      <c r="A872" s="58" t="s">
        <v>21</v>
      </c>
      <c r="B872" s="58" t="s">
        <v>43</v>
      </c>
      <c r="C872" s="58" t="s">
        <v>23</v>
      </c>
      <c r="D872" s="58" t="s">
        <v>44</v>
      </c>
      <c r="E872" s="58" t="s">
        <v>52</v>
      </c>
      <c r="F872" s="58" t="s">
        <v>53</v>
      </c>
      <c r="G872" s="58" t="s">
        <v>25</v>
      </c>
      <c r="H872" s="58" t="s">
        <v>25</v>
      </c>
      <c r="I872" s="66">
        <v>44713</v>
      </c>
      <c r="J872" s="67">
        <f>EFEITO!$J$872*EFEITO!$Y$701</f>
        <v>0</v>
      </c>
      <c r="K872" s="67">
        <f ca="1">EFEITO!$L$872*EFEITO!$Z$701</f>
        <v>3379.9381007437405</v>
      </c>
      <c r="L872" s="67">
        <f>EFEITO!$N$872*EFEITO!$AA$701</f>
        <v>2848.0789145214681</v>
      </c>
      <c r="M872" s="67">
        <f>$J$872-EFEITO!$K$872*EFEITO!$Y$872</f>
        <v>0</v>
      </c>
      <c r="N872" s="67">
        <f ca="1">$K$872-EFEITO!$M$872*EFEITO!$Z$872</f>
        <v>202.79628604462459</v>
      </c>
      <c r="O872" s="67">
        <f>$L$872-EFEITO!$O$872*EFEITO!$AA$872</f>
        <v>170.8847348712884</v>
      </c>
      <c r="P872" s="18"/>
      <c r="Q872" s="18"/>
      <c r="R872" s="18"/>
      <c r="S872" s="18"/>
      <c r="T872" s="18"/>
      <c r="U872" s="18"/>
      <c r="V872" s="18"/>
      <c r="W872" s="18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1.25" customHeight="1" x14ac:dyDescent="0.2">
      <c r="A873" s="58" t="s">
        <v>27</v>
      </c>
      <c r="B873" s="58" t="s">
        <v>43</v>
      </c>
      <c r="C873" s="58" t="s">
        <v>23</v>
      </c>
      <c r="D873" s="58" t="s">
        <v>44</v>
      </c>
      <c r="E873" s="58" t="s">
        <v>52</v>
      </c>
      <c r="F873" s="58" t="s">
        <v>53</v>
      </c>
      <c r="G873" s="58" t="s">
        <v>25</v>
      </c>
      <c r="H873" s="58" t="s">
        <v>25</v>
      </c>
      <c r="I873" s="66">
        <v>44713</v>
      </c>
      <c r="J873" s="67">
        <f>EFEITO!$J$873*EFEITO!$Y$701</f>
        <v>0</v>
      </c>
      <c r="K873" s="67">
        <f ca="1">EFEITO!$L$873*EFEITO!$Z$701</f>
        <v>-676.62594651338338</v>
      </c>
      <c r="L873" s="67">
        <f>EFEITO!$N$873*EFEITO!$AA$701</f>
        <v>-570.15366371912296</v>
      </c>
      <c r="M873" s="67">
        <f>$J$873-EFEITO!$K$873*EFEITO!$Y$873</f>
        <v>0</v>
      </c>
      <c r="N873" s="67">
        <f ca="1">$K$873-EFEITO!$M$873*EFEITO!$Z$873</f>
        <v>-40.597556790803083</v>
      </c>
      <c r="O873" s="67">
        <f>$L$873-EFEITO!$O$873*EFEITO!$AA$873</f>
        <v>-34.209219823147464</v>
      </c>
      <c r="P873" s="18"/>
      <c r="Q873" s="18"/>
      <c r="R873" s="18"/>
      <c r="S873" s="18"/>
      <c r="T873" s="18"/>
      <c r="U873" s="18"/>
      <c r="V873" s="18"/>
      <c r="W873" s="18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1.25" customHeight="1" x14ac:dyDescent="0.2">
      <c r="A874" s="58" t="s">
        <v>21</v>
      </c>
      <c r="B874" s="58" t="s">
        <v>43</v>
      </c>
      <c r="C874" s="58" t="s">
        <v>23</v>
      </c>
      <c r="D874" s="58" t="s">
        <v>44</v>
      </c>
      <c r="E874" s="58" t="s">
        <v>52</v>
      </c>
      <c r="F874" s="58" t="s">
        <v>53</v>
      </c>
      <c r="G874" s="58" t="s">
        <v>25</v>
      </c>
      <c r="H874" s="58" t="s">
        <v>25</v>
      </c>
      <c r="I874" s="66">
        <v>44743</v>
      </c>
      <c r="J874" s="67">
        <f>EFEITO!$J$874*EFEITO!$Y$701</f>
        <v>0</v>
      </c>
      <c r="K874" s="67">
        <f ca="1">EFEITO!$L$874*EFEITO!$Z$701</f>
        <v>3085.5100650557233</v>
      </c>
      <c r="L874" s="67">
        <f>EFEITO!$N$874*EFEITO!$AA$701</f>
        <v>2599.9813886814254</v>
      </c>
      <c r="M874" s="67">
        <f>$J$874-EFEITO!$K$874*EFEITO!$Y$874</f>
        <v>0</v>
      </c>
      <c r="N874" s="67">
        <f ca="1">$K$874-EFEITO!$M$874*EFEITO!$Z$874</f>
        <v>185.1306039033434</v>
      </c>
      <c r="O874" s="67">
        <f>$L$874-EFEITO!$O$874*EFEITO!$AA$874</f>
        <v>155.99888332088585</v>
      </c>
      <c r="P874" s="18"/>
      <c r="Q874" s="18"/>
      <c r="R874" s="18"/>
      <c r="S874" s="18"/>
      <c r="T874" s="18"/>
      <c r="U874" s="18"/>
      <c r="V874" s="18"/>
      <c r="W874" s="18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1.25" customHeight="1" x14ac:dyDescent="0.2">
      <c r="A875" s="58" t="s">
        <v>21</v>
      </c>
      <c r="B875" s="58" t="s">
        <v>43</v>
      </c>
      <c r="C875" s="58" t="s">
        <v>23</v>
      </c>
      <c r="D875" s="58" t="s">
        <v>44</v>
      </c>
      <c r="E875" s="58" t="s">
        <v>52</v>
      </c>
      <c r="F875" s="58" t="s">
        <v>53</v>
      </c>
      <c r="G875" s="58" t="s">
        <v>25</v>
      </c>
      <c r="H875" s="58" t="s">
        <v>25</v>
      </c>
      <c r="I875" s="66">
        <v>44774</v>
      </c>
      <c r="J875" s="67">
        <f>EFEITO!$J$875*EFEITO!$Y$701</f>
        <v>0</v>
      </c>
      <c r="K875" s="67">
        <f ca="1">EFEITO!$L$875*EFEITO!$Z$701</f>
        <v>4406.0477318949333</v>
      </c>
      <c r="L875" s="67">
        <f>EFEITO!$N$875*EFEITO!$AA$701</f>
        <v>3712.7223243596668</v>
      </c>
      <c r="M875" s="67">
        <f>$J$875-EFEITO!$K$875*EFEITO!$Y$875</f>
        <v>0</v>
      </c>
      <c r="N875" s="67">
        <f ca="1">$K$875-EFEITO!$M$875*EFEITO!$Z$875</f>
        <v>264.36286391369686</v>
      </c>
      <c r="O875" s="67">
        <f>$L$875-EFEITO!$O$875*EFEITO!$AA$875</f>
        <v>222.76333946158047</v>
      </c>
      <c r="P875" s="18"/>
      <c r="Q875" s="18"/>
      <c r="R875" s="18"/>
      <c r="S875" s="18"/>
      <c r="T875" s="18"/>
      <c r="U875" s="18"/>
      <c r="V875" s="18"/>
      <c r="W875" s="18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1.25" customHeight="1" x14ac:dyDescent="0.2">
      <c r="A876" s="58" t="s">
        <v>21</v>
      </c>
      <c r="B876" s="58" t="s">
        <v>43</v>
      </c>
      <c r="C876" s="58" t="s">
        <v>23</v>
      </c>
      <c r="D876" s="58" t="s">
        <v>44</v>
      </c>
      <c r="E876" s="58" t="s">
        <v>52</v>
      </c>
      <c r="F876" s="58" t="s">
        <v>53</v>
      </c>
      <c r="G876" s="58" t="s">
        <v>25</v>
      </c>
      <c r="H876" s="58" t="s">
        <v>25</v>
      </c>
      <c r="I876" s="66">
        <v>44805</v>
      </c>
      <c r="J876" s="67">
        <f>EFEITO!$J$876*EFEITO!$Y$701</f>
        <v>0</v>
      </c>
      <c r="K876" s="67">
        <f ca="1">EFEITO!$L$876*EFEITO!$Z$701</f>
        <v>9641.1218298599197</v>
      </c>
      <c r="L876" s="67">
        <f>EFEITO!$N$876*EFEITO!$AA$701</f>
        <v>8124.0173569789658</v>
      </c>
      <c r="M876" s="67">
        <f>$J$876-EFEITO!$K$876*EFEITO!$Y$876</f>
        <v>0</v>
      </c>
      <c r="N876" s="67">
        <f ca="1">$K$876-EFEITO!$M$876*EFEITO!$Z$876</f>
        <v>578.46730979159656</v>
      </c>
      <c r="O876" s="67">
        <f>$L$876-EFEITO!$O$876*EFEITO!$AA$876</f>
        <v>487.44104141873868</v>
      </c>
      <c r="P876" s="18"/>
      <c r="Q876" s="18"/>
      <c r="R876" s="18"/>
      <c r="S876" s="18"/>
      <c r="T876" s="18"/>
      <c r="U876" s="18"/>
      <c r="V876" s="18"/>
      <c r="W876" s="18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1.25" customHeight="1" x14ac:dyDescent="0.2">
      <c r="A877" s="58" t="s">
        <v>27</v>
      </c>
      <c r="B877" s="58" t="s">
        <v>43</v>
      </c>
      <c r="C877" s="58" t="s">
        <v>23</v>
      </c>
      <c r="D877" s="58" t="s">
        <v>44</v>
      </c>
      <c r="E877" s="58" t="s">
        <v>52</v>
      </c>
      <c r="F877" s="58" t="s">
        <v>53</v>
      </c>
      <c r="G877" s="58" t="s">
        <v>25</v>
      </c>
      <c r="H877" s="58" t="s">
        <v>25</v>
      </c>
      <c r="I877" s="66">
        <v>44805</v>
      </c>
      <c r="J877" s="67">
        <f>EFEITO!$J$877*EFEITO!$Y$701</f>
        <v>0</v>
      </c>
      <c r="K877" s="67">
        <f ca="1">EFEITO!$L$877*EFEITO!$Z$701</f>
        <v>3527.9500265435431</v>
      </c>
      <c r="L877" s="67">
        <f>EFEITO!$N$877*EFEITO!$AA$701</f>
        <v>2972.8000284600262</v>
      </c>
      <c r="M877" s="67">
        <f>$J$877-EFEITO!$K$877*EFEITO!$Y$877</f>
        <v>0</v>
      </c>
      <c r="N877" s="67">
        <f ca="1">$K$877-EFEITO!$M$877*EFEITO!$Z$877</f>
        <v>211.67700159261267</v>
      </c>
      <c r="O877" s="67">
        <f>$L$877-EFEITO!$O$877*EFEITO!$AA$877</f>
        <v>178.36800170760171</v>
      </c>
      <c r="P877" s="18"/>
      <c r="Q877" s="18"/>
      <c r="R877" s="18"/>
      <c r="S877" s="18"/>
      <c r="T877" s="18"/>
      <c r="U877" s="18"/>
      <c r="V877" s="18"/>
      <c r="W877" s="18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1.25" customHeight="1" x14ac:dyDescent="0.2">
      <c r="A878" s="58" t="s">
        <v>55</v>
      </c>
      <c r="B878" s="58" t="s">
        <v>43</v>
      </c>
      <c r="C878" s="58" t="s">
        <v>23</v>
      </c>
      <c r="D878" s="58" t="s">
        <v>44</v>
      </c>
      <c r="E878" s="58" t="s">
        <v>52</v>
      </c>
      <c r="F878" s="58" t="s">
        <v>53</v>
      </c>
      <c r="G878" s="58" t="s">
        <v>25</v>
      </c>
      <c r="H878" s="58" t="s">
        <v>25</v>
      </c>
      <c r="I878" s="66">
        <v>44835</v>
      </c>
      <c r="J878" s="67">
        <f>EFEITO!$J$878*EFEITO!$Y$701</f>
        <v>0</v>
      </c>
      <c r="K878" s="67">
        <f ca="1">EFEITO!$L$878*EFEITO!$Z$701</f>
        <v>9641.1218298599197</v>
      </c>
      <c r="L878" s="67">
        <f>EFEITO!$N$878*EFEITO!$AA$701</f>
        <v>8124.0173569789658</v>
      </c>
      <c r="M878" s="67">
        <f>$J$878-EFEITO!$K$878*EFEITO!$Y$878</f>
        <v>0</v>
      </c>
      <c r="N878" s="67">
        <f ca="1">$K$878-EFEITO!$M$878*EFEITO!$Z$878</f>
        <v>578.46730979159656</v>
      </c>
      <c r="O878" s="67">
        <f>$L$878-EFEITO!$O$878*EFEITO!$AA$878</f>
        <v>487.44104141873868</v>
      </c>
      <c r="P878" s="18"/>
      <c r="Q878" s="18"/>
      <c r="R878" s="18"/>
      <c r="S878" s="18"/>
      <c r="T878" s="18"/>
      <c r="U878" s="18"/>
      <c r="V878" s="18"/>
      <c r="W878" s="18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1.25" customHeight="1" x14ac:dyDescent="0.2">
      <c r="A879" s="58" t="s">
        <v>55</v>
      </c>
      <c r="B879" s="58" t="s">
        <v>43</v>
      </c>
      <c r="C879" s="58" t="s">
        <v>23</v>
      </c>
      <c r="D879" s="58" t="s">
        <v>44</v>
      </c>
      <c r="E879" s="58" t="s">
        <v>52</v>
      </c>
      <c r="F879" s="58" t="s">
        <v>53</v>
      </c>
      <c r="G879" s="58" t="s">
        <v>25</v>
      </c>
      <c r="H879" s="58" t="s">
        <v>25</v>
      </c>
      <c r="I879" s="66">
        <v>44835</v>
      </c>
      <c r="J879" s="67">
        <f>EFEITO!$J$879*EFEITO!$Y$701</f>
        <v>0</v>
      </c>
      <c r="K879" s="67">
        <f ca="1">EFEITO!$L$879*EFEITO!$Z$701</f>
        <v>3527.9500265435431</v>
      </c>
      <c r="L879" s="67">
        <f>EFEITO!$N$879*EFEITO!$AA$701</f>
        <v>2972.8000284600262</v>
      </c>
      <c r="M879" s="67">
        <f>$J$879-EFEITO!$K$879*EFEITO!$Y$879</f>
        <v>0</v>
      </c>
      <c r="N879" s="67">
        <f ca="1">$K$879-EFEITO!$M$879*EFEITO!$Z$879</f>
        <v>211.67700159261267</v>
      </c>
      <c r="O879" s="67">
        <f>$L$879-EFEITO!$O$879*EFEITO!$AA$879</f>
        <v>178.36800170760171</v>
      </c>
      <c r="P879" s="18"/>
      <c r="Q879" s="18"/>
      <c r="R879" s="18"/>
      <c r="S879" s="18"/>
      <c r="T879" s="18"/>
      <c r="U879" s="18"/>
      <c r="V879" s="18"/>
      <c r="W879" s="18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1.25" customHeight="1" x14ac:dyDescent="0.2">
      <c r="A880" s="58" t="s">
        <v>21</v>
      </c>
      <c r="B880" s="58" t="s">
        <v>43</v>
      </c>
      <c r="C880" s="58" t="s">
        <v>23</v>
      </c>
      <c r="D880" s="58" t="s">
        <v>44</v>
      </c>
      <c r="E880" s="58" t="s">
        <v>52</v>
      </c>
      <c r="F880" s="58" t="s">
        <v>54</v>
      </c>
      <c r="G880" s="58" t="s">
        <v>25</v>
      </c>
      <c r="H880" s="58" t="s">
        <v>25</v>
      </c>
      <c r="I880" s="66">
        <v>44501</v>
      </c>
      <c r="J880" s="67">
        <f>EFEITO!$J$880*EFEITO!$Y$701</f>
        <v>0</v>
      </c>
      <c r="K880" s="67">
        <f ca="1">EFEITO!$L$880*EFEITO!$Z$701</f>
        <v>20500.250154239508</v>
      </c>
      <c r="L880" s="67">
        <f>EFEITO!$N$880*EFEITO!$AA$701</f>
        <v>17274.378543754206</v>
      </c>
      <c r="M880" s="67">
        <f>$J$880-EFEITO!$K$880*EFEITO!$Y$880</f>
        <v>0</v>
      </c>
      <c r="N880" s="67">
        <f ca="1">$K$880-EFEITO!$M$880*EFEITO!$Z$880</f>
        <v>14141.072556394414</v>
      </c>
      <c r="O880" s="67">
        <f>$L$880-EFEITO!$O$880*EFEITO!$AA$880</f>
        <v>11915.866319481653</v>
      </c>
      <c r="P880" s="18"/>
      <c r="Q880" s="18"/>
      <c r="R880" s="18"/>
      <c r="S880" s="18"/>
      <c r="T880" s="18"/>
      <c r="U880" s="18"/>
      <c r="V880" s="18"/>
      <c r="W880" s="18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1.25" customHeight="1" x14ac:dyDescent="0.2">
      <c r="A881" s="58" t="s">
        <v>21</v>
      </c>
      <c r="B881" s="58" t="s">
        <v>43</v>
      </c>
      <c r="C881" s="58" t="s">
        <v>23</v>
      </c>
      <c r="D881" s="58" t="s">
        <v>44</v>
      </c>
      <c r="E881" s="58" t="s">
        <v>52</v>
      </c>
      <c r="F881" s="58" t="s">
        <v>54</v>
      </c>
      <c r="G881" s="58" t="s">
        <v>25</v>
      </c>
      <c r="H881" s="58" t="s">
        <v>25</v>
      </c>
      <c r="I881" s="66">
        <v>44531</v>
      </c>
      <c r="J881" s="67">
        <f>EFEITO!$J$881*EFEITO!$Y$701</f>
        <v>0</v>
      </c>
      <c r="K881" s="67">
        <f ca="1">EFEITO!$L$881*EFEITO!$Z$701</f>
        <v>22426.798913504324</v>
      </c>
      <c r="L881" s="67">
        <f>EFEITO!$N$881*EFEITO!$AA$701</f>
        <v>18897.770078011072</v>
      </c>
      <c r="M881" s="67">
        <f>$J$881-EFEITO!$K$881*EFEITO!$Y$881</f>
        <v>0</v>
      </c>
      <c r="N881" s="67">
        <f ca="1">$K$881-EFEITO!$M$881*EFEITO!$Z$881</f>
        <v>15470.005890535285</v>
      </c>
      <c r="O881" s="67">
        <f>$L$881-EFEITO!$O$881*EFEITO!$AA$881</f>
        <v>13035.681799812039</v>
      </c>
      <c r="P881" s="18"/>
      <c r="Q881" s="18"/>
      <c r="R881" s="18"/>
      <c r="S881" s="18"/>
      <c r="T881" s="18"/>
      <c r="U881" s="18"/>
      <c r="V881" s="18"/>
      <c r="W881" s="18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1.25" customHeight="1" x14ac:dyDescent="0.2">
      <c r="A882" s="58" t="s">
        <v>21</v>
      </c>
      <c r="B882" s="58" t="s">
        <v>43</v>
      </c>
      <c r="C882" s="58" t="s">
        <v>23</v>
      </c>
      <c r="D882" s="58" t="s">
        <v>44</v>
      </c>
      <c r="E882" s="58" t="s">
        <v>52</v>
      </c>
      <c r="F882" s="58" t="s">
        <v>54</v>
      </c>
      <c r="G882" s="58" t="s">
        <v>25</v>
      </c>
      <c r="H882" s="58" t="s">
        <v>25</v>
      </c>
      <c r="I882" s="66">
        <v>44562</v>
      </c>
      <c r="J882" s="67">
        <f>EFEITO!$J$882*EFEITO!$Y$701</f>
        <v>0</v>
      </c>
      <c r="K882" s="67">
        <f ca="1">EFEITO!$L$882*EFEITO!$Z$701</f>
        <v>45530.622727499926</v>
      </c>
      <c r="L882" s="67">
        <f>EFEITO!$N$882*EFEITO!$AA$701</f>
        <v>38366.029995250537</v>
      </c>
      <c r="M882" s="67">
        <f>$J$882-EFEITO!$K$882*EFEITO!$Y$882</f>
        <v>0</v>
      </c>
      <c r="N882" s="67">
        <f ca="1">$K$882-EFEITO!$M$882*EFEITO!$Z$882</f>
        <v>31407.023557429449</v>
      </c>
      <c r="O882" s="67">
        <f>$L$882-EFEITO!$O$882*EFEITO!$AA$882</f>
        <v>26464.887490723821</v>
      </c>
      <c r="P882" s="18"/>
      <c r="Q882" s="18"/>
      <c r="R882" s="18"/>
      <c r="S882" s="18"/>
      <c r="T882" s="18"/>
      <c r="U882" s="18"/>
      <c r="V882" s="18"/>
      <c r="W882" s="18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1.25" customHeight="1" x14ac:dyDescent="0.2">
      <c r="A883" s="58" t="s">
        <v>21</v>
      </c>
      <c r="B883" s="58" t="s">
        <v>43</v>
      </c>
      <c r="C883" s="58" t="s">
        <v>23</v>
      </c>
      <c r="D883" s="58" t="s">
        <v>44</v>
      </c>
      <c r="E883" s="58" t="s">
        <v>52</v>
      </c>
      <c r="F883" s="58" t="s">
        <v>54</v>
      </c>
      <c r="G883" s="58" t="s">
        <v>25</v>
      </c>
      <c r="H883" s="58" t="s">
        <v>25</v>
      </c>
      <c r="I883" s="66">
        <v>44593</v>
      </c>
      <c r="J883" s="67">
        <f>EFEITO!$J$883*EFEITO!$Y$701</f>
        <v>0</v>
      </c>
      <c r="K883" s="67">
        <f ca="1">EFEITO!$L$883*EFEITO!$Z$701</f>
        <v>40299.937123291806</v>
      </c>
      <c r="L883" s="67">
        <f>EFEITO!$N$883*EFEITO!$AA$701</f>
        <v>33958.432893233192</v>
      </c>
      <c r="M883" s="67">
        <f>$J$883-EFEITO!$K$883*EFEITO!$Y$883</f>
        <v>0</v>
      </c>
      <c r="N883" s="67">
        <f ca="1">$K$883-EFEITO!$M$883*EFEITO!$Z$883</f>
        <v>27798.896627646689</v>
      </c>
      <c r="O883" s="67">
        <f>$L$883-EFEITO!$O$883*EFEITO!$AA$883</f>
        <v>23424.527009752259</v>
      </c>
      <c r="P883" s="18"/>
      <c r="Q883" s="18"/>
      <c r="R883" s="18"/>
      <c r="S883" s="18"/>
      <c r="T883" s="18"/>
      <c r="U883" s="18"/>
      <c r="V883" s="18"/>
      <c r="W883" s="18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1.25" customHeight="1" x14ac:dyDescent="0.2">
      <c r="A884" s="58" t="s">
        <v>21</v>
      </c>
      <c r="B884" s="58" t="s">
        <v>43</v>
      </c>
      <c r="C884" s="58" t="s">
        <v>23</v>
      </c>
      <c r="D884" s="58" t="s">
        <v>44</v>
      </c>
      <c r="E884" s="58" t="s">
        <v>52</v>
      </c>
      <c r="F884" s="58" t="s">
        <v>54</v>
      </c>
      <c r="G884" s="58" t="s">
        <v>25</v>
      </c>
      <c r="H884" s="58" t="s">
        <v>25</v>
      </c>
      <c r="I884" s="66">
        <v>44621</v>
      </c>
      <c r="J884" s="67">
        <f>EFEITO!$J$884*EFEITO!$Y$701</f>
        <v>0</v>
      </c>
      <c r="K884" s="67">
        <f ca="1">EFEITO!$L$884*EFEITO!$Z$701</f>
        <v>16343.548658530226</v>
      </c>
      <c r="L884" s="67">
        <f>EFEITO!$N$884*EFEITO!$AA$701</f>
        <v>13771.76591268726</v>
      </c>
      <c r="M884" s="67">
        <f>$J$884-EFEITO!$K$884*EFEITO!$Y$884</f>
        <v>0</v>
      </c>
      <c r="N884" s="67">
        <f ca="1">$K$884-EFEITO!$M$884*EFEITO!$Z$884</f>
        <v>11273.779864654151</v>
      </c>
      <c r="O884" s="67">
        <f>$L$884-EFEITO!$O$884*EFEITO!$AA$884</f>
        <v>9499.7641265716738</v>
      </c>
      <c r="P884" s="18"/>
      <c r="Q884" s="18"/>
      <c r="R884" s="18"/>
      <c r="S884" s="18"/>
      <c r="T884" s="18"/>
      <c r="U884" s="18"/>
      <c r="V884" s="18"/>
      <c r="W884" s="18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1.25" customHeight="1" x14ac:dyDescent="0.2">
      <c r="A885" s="58" t="s">
        <v>27</v>
      </c>
      <c r="B885" s="58" t="s">
        <v>43</v>
      </c>
      <c r="C885" s="58" t="s">
        <v>23</v>
      </c>
      <c r="D885" s="58" t="s">
        <v>44</v>
      </c>
      <c r="E885" s="58" t="s">
        <v>52</v>
      </c>
      <c r="F885" s="58" t="s">
        <v>54</v>
      </c>
      <c r="G885" s="58" t="s">
        <v>25</v>
      </c>
      <c r="H885" s="58" t="s">
        <v>25</v>
      </c>
      <c r="I885" s="66">
        <v>44621</v>
      </c>
      <c r="J885" s="67">
        <f>EFEITO!$J$885*EFEITO!$Y$701</f>
        <v>0</v>
      </c>
      <c r="K885" s="67">
        <f ca="1">EFEITO!$L$885*EFEITO!$Z$701</f>
        <v>2927.1253358305976</v>
      </c>
      <c r="L885" s="67">
        <f>EFEITO!$N$885*EFEITO!$AA$701</f>
        <v>2466.51971150189</v>
      </c>
      <c r="M885" s="67">
        <f>$J$885-EFEITO!$K$885*EFEITO!$Y$885</f>
        <v>0</v>
      </c>
      <c r="N885" s="67">
        <f ca="1">$K$885-EFEITO!$M$885*EFEITO!$Z$885</f>
        <v>2019.1310566559464</v>
      </c>
      <c r="O885" s="67">
        <f>$L$885-EFEITO!$O$885*EFEITO!$AA$885</f>
        <v>1701.4052969940039</v>
      </c>
      <c r="P885" s="18"/>
      <c r="Q885" s="18"/>
      <c r="R885" s="18"/>
      <c r="S885" s="18"/>
      <c r="T885" s="18"/>
      <c r="U885" s="18"/>
      <c r="V885" s="18"/>
      <c r="W885" s="18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1.25" customHeight="1" x14ac:dyDescent="0.2">
      <c r="A886" s="58" t="s">
        <v>21</v>
      </c>
      <c r="B886" s="58" t="s">
        <v>43</v>
      </c>
      <c r="C886" s="58" t="s">
        <v>23</v>
      </c>
      <c r="D886" s="58" t="s">
        <v>44</v>
      </c>
      <c r="E886" s="58" t="s">
        <v>52</v>
      </c>
      <c r="F886" s="58" t="s">
        <v>54</v>
      </c>
      <c r="G886" s="58" t="s">
        <v>25</v>
      </c>
      <c r="H886" s="58" t="s">
        <v>25</v>
      </c>
      <c r="I886" s="66">
        <v>44652</v>
      </c>
      <c r="J886" s="67">
        <f>EFEITO!$J$886*EFEITO!$Y$701</f>
        <v>0</v>
      </c>
      <c r="K886" s="67">
        <f ca="1">EFEITO!$L$886*EFEITO!$Z$701</f>
        <v>16343.548658530226</v>
      </c>
      <c r="L886" s="67">
        <f>EFEITO!$N$886*EFEITO!$AA$701</f>
        <v>13771.76591268726</v>
      </c>
      <c r="M886" s="67">
        <f>$J$886-EFEITO!$K$886*EFEITO!$Y$886</f>
        <v>0</v>
      </c>
      <c r="N886" s="67">
        <f ca="1">$K$886-EFEITO!$M$886*EFEITO!$Z$886</f>
        <v>11273.779864654151</v>
      </c>
      <c r="O886" s="67">
        <f>$L$886-EFEITO!$O$886*EFEITO!$AA$886</f>
        <v>9499.7641265716738</v>
      </c>
      <c r="P886" s="18"/>
      <c r="Q886" s="18"/>
      <c r="R886" s="18"/>
      <c r="S886" s="18"/>
      <c r="T886" s="18"/>
      <c r="U886" s="18"/>
      <c r="V886" s="18"/>
      <c r="W886" s="18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1.25" customHeight="1" x14ac:dyDescent="0.2">
      <c r="A887" s="58" t="s">
        <v>27</v>
      </c>
      <c r="B887" s="58" t="s">
        <v>43</v>
      </c>
      <c r="C887" s="58" t="s">
        <v>23</v>
      </c>
      <c r="D887" s="58" t="s">
        <v>44</v>
      </c>
      <c r="E887" s="58" t="s">
        <v>52</v>
      </c>
      <c r="F887" s="58" t="s">
        <v>54</v>
      </c>
      <c r="G887" s="58" t="s">
        <v>25</v>
      </c>
      <c r="H887" s="58" t="s">
        <v>25</v>
      </c>
      <c r="I887" s="66">
        <v>44652</v>
      </c>
      <c r="J887" s="67">
        <f>EFEITO!$J$887*EFEITO!$Y$701</f>
        <v>0</v>
      </c>
      <c r="K887" s="67">
        <f ca="1">EFEITO!$L$887*EFEITO!$Z$701</f>
        <v>2927.1253358305976</v>
      </c>
      <c r="L887" s="67">
        <f>EFEITO!$N$887*EFEITO!$AA$701</f>
        <v>2466.51971150189</v>
      </c>
      <c r="M887" s="67">
        <f>$J$887-EFEITO!$K$887*EFEITO!$Y$887</f>
        <v>0</v>
      </c>
      <c r="N887" s="67">
        <f ca="1">$K$887-EFEITO!$M$887*EFEITO!$Z$887</f>
        <v>2019.1310566559464</v>
      </c>
      <c r="O887" s="67">
        <f>$L$887-EFEITO!$O$887*EFEITO!$AA$887</f>
        <v>1701.4052969940039</v>
      </c>
      <c r="P887" s="18"/>
      <c r="Q887" s="18"/>
      <c r="R887" s="18"/>
      <c r="S887" s="18"/>
      <c r="T887" s="18"/>
      <c r="U887" s="18"/>
      <c r="V887" s="18"/>
      <c r="W887" s="18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1.25" customHeight="1" x14ac:dyDescent="0.2">
      <c r="A888" s="58" t="s">
        <v>21</v>
      </c>
      <c r="B888" s="58" t="s">
        <v>43</v>
      </c>
      <c r="C888" s="58" t="s">
        <v>23</v>
      </c>
      <c r="D888" s="58" t="s">
        <v>44</v>
      </c>
      <c r="E888" s="58" t="s">
        <v>52</v>
      </c>
      <c r="F888" s="58" t="s">
        <v>54</v>
      </c>
      <c r="G888" s="58" t="s">
        <v>25</v>
      </c>
      <c r="H888" s="58" t="s">
        <v>25</v>
      </c>
      <c r="I888" s="66">
        <v>44682</v>
      </c>
      <c r="J888" s="67">
        <f>EFEITO!$J$888*EFEITO!$Y$701</f>
        <v>0</v>
      </c>
      <c r="K888" s="67">
        <f ca="1">EFEITO!$L$888*EFEITO!$Z$701</f>
        <v>11452.37288951249</v>
      </c>
      <c r="L888" s="67">
        <f>EFEITO!$N$888*EFEITO!$AA$701</f>
        <v>9650.254169057278</v>
      </c>
      <c r="M888" s="67">
        <f>$J$888-EFEITO!$K$888*EFEITO!$Y$888</f>
        <v>0</v>
      </c>
      <c r="N888" s="67">
        <f ca="1">$K$888-EFEITO!$M$888*EFEITO!$Z$888</f>
        <v>7899.8468191857155</v>
      </c>
      <c r="O888" s="67">
        <f>$L$888-EFEITO!$O$888*EFEITO!$AA$888</f>
        <v>6656.7453258157111</v>
      </c>
      <c r="P888" s="18"/>
      <c r="Q888" s="18"/>
      <c r="R888" s="18"/>
      <c r="S888" s="18"/>
      <c r="T888" s="18"/>
      <c r="U888" s="18"/>
      <c r="V888" s="18"/>
      <c r="W888" s="18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1.25" customHeight="1" x14ac:dyDescent="0.2">
      <c r="A889" s="58" t="s">
        <v>27</v>
      </c>
      <c r="B889" s="58" t="s">
        <v>43</v>
      </c>
      <c r="C889" s="58" t="s">
        <v>23</v>
      </c>
      <c r="D889" s="58" t="s">
        <v>44</v>
      </c>
      <c r="E889" s="58" t="s">
        <v>52</v>
      </c>
      <c r="F889" s="58" t="s">
        <v>54</v>
      </c>
      <c r="G889" s="58" t="s">
        <v>25</v>
      </c>
      <c r="H889" s="58" t="s">
        <v>25</v>
      </c>
      <c r="I889" s="66">
        <v>44682</v>
      </c>
      <c r="J889" s="67">
        <f>EFEITO!$J$889*EFEITO!$Y$701</f>
        <v>0</v>
      </c>
      <c r="K889" s="67">
        <f ca="1">EFEITO!$L$889*EFEITO!$Z$701</f>
        <v>7503.5264162875674</v>
      </c>
      <c r="L889" s="67">
        <f>EFEITO!$N$889*EFEITO!$AA$701</f>
        <v>6322.7889783191422</v>
      </c>
      <c r="M889" s="67">
        <f>$J$889-EFEITO!$K$889*EFEITO!$Y$889</f>
        <v>0</v>
      </c>
      <c r="N889" s="67">
        <f ca="1">$K$889-EFEITO!$M$889*EFEITO!$Z$889</f>
        <v>5175.9325219551647</v>
      </c>
      <c r="O889" s="67">
        <f>$L$889-EFEITO!$O$889*EFEITO!$AA$889</f>
        <v>4361.4598372445444</v>
      </c>
      <c r="P889" s="18"/>
      <c r="Q889" s="18"/>
      <c r="R889" s="18"/>
      <c r="S889" s="18"/>
      <c r="T889" s="18"/>
      <c r="U889" s="18"/>
      <c r="V889" s="18"/>
      <c r="W889" s="18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1.25" customHeight="1" x14ac:dyDescent="0.2">
      <c r="A890" s="58" t="s">
        <v>21</v>
      </c>
      <c r="B890" s="58" t="s">
        <v>43</v>
      </c>
      <c r="C890" s="58" t="s">
        <v>23</v>
      </c>
      <c r="D890" s="58" t="s">
        <v>44</v>
      </c>
      <c r="E890" s="58" t="s">
        <v>52</v>
      </c>
      <c r="F890" s="58" t="s">
        <v>54</v>
      </c>
      <c r="G890" s="58" t="s">
        <v>25</v>
      </c>
      <c r="H890" s="58" t="s">
        <v>25</v>
      </c>
      <c r="I890" s="66">
        <v>44713</v>
      </c>
      <c r="J890" s="67">
        <f>EFEITO!$J$890*EFEITO!$Y$701</f>
        <v>0</v>
      </c>
      <c r="K890" s="67">
        <f ca="1">EFEITO!$L$890*EFEITO!$Z$701</f>
        <v>5132.5429256454463</v>
      </c>
      <c r="L890" s="67">
        <f>EFEITO!$N$890*EFEITO!$AA$701</f>
        <v>4324.8979267373334</v>
      </c>
      <c r="M890" s="67">
        <f>$J$890-EFEITO!$K$890*EFEITO!$Y$890</f>
        <v>0</v>
      </c>
      <c r="N890" s="67">
        <f ca="1">$K$890-EFEITO!$M$890*EFEITO!$Z$890</f>
        <v>3540.4281101102288</v>
      </c>
      <c r="O890" s="67">
        <f>$L$890-EFEITO!$O$890*EFEITO!$AA$890</f>
        <v>2983.3145898634129</v>
      </c>
      <c r="P890" s="18"/>
      <c r="Q890" s="18"/>
      <c r="R890" s="18"/>
      <c r="S890" s="18"/>
      <c r="T890" s="18"/>
      <c r="U890" s="18"/>
      <c r="V890" s="18"/>
      <c r="W890" s="18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1.25" customHeight="1" x14ac:dyDescent="0.2">
      <c r="A891" s="58" t="s">
        <v>27</v>
      </c>
      <c r="B891" s="58" t="s">
        <v>43</v>
      </c>
      <c r="C891" s="58" t="s">
        <v>23</v>
      </c>
      <c r="D891" s="58" t="s">
        <v>44</v>
      </c>
      <c r="E891" s="58" t="s">
        <v>52</v>
      </c>
      <c r="F891" s="58" t="s">
        <v>54</v>
      </c>
      <c r="G891" s="58" t="s">
        <v>25</v>
      </c>
      <c r="H891" s="58" t="s">
        <v>25</v>
      </c>
      <c r="I891" s="66">
        <v>44713</v>
      </c>
      <c r="J891" s="67">
        <f>EFEITO!$J$891*EFEITO!$Y$701</f>
        <v>0</v>
      </c>
      <c r="K891" s="67">
        <f ca="1">EFEITO!$L$891*EFEITO!$Z$701</f>
        <v>-4960.9927151497186</v>
      </c>
      <c r="L891" s="67">
        <f>EFEITO!$N$891*EFEITO!$AA$701</f>
        <v>-4180.3424577519427</v>
      </c>
      <c r="M891" s="67">
        <f>$J$891-EFEITO!$K$891*EFEITO!$Y$891</f>
        <v>0</v>
      </c>
      <c r="N891" s="67">
        <f ca="1">$K$891-EFEITO!$M$891*EFEITO!$Z$891</f>
        <v>-3422.0927749102757</v>
      </c>
      <c r="O891" s="67">
        <f>$L$891-EFEITO!$O$891*EFEITO!$AA$891</f>
        <v>-2883.6002273572904</v>
      </c>
      <c r="P891" s="18"/>
      <c r="Q891" s="18"/>
      <c r="R891" s="18"/>
      <c r="S891" s="18"/>
      <c r="T891" s="18"/>
      <c r="U891" s="18"/>
      <c r="V891" s="18"/>
      <c r="W891" s="18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1.25" customHeight="1" x14ac:dyDescent="0.2">
      <c r="A892" s="58" t="s">
        <v>21</v>
      </c>
      <c r="B892" s="58" t="s">
        <v>43</v>
      </c>
      <c r="C892" s="58" t="s">
        <v>23</v>
      </c>
      <c r="D892" s="58" t="s">
        <v>44</v>
      </c>
      <c r="E892" s="58" t="s">
        <v>52</v>
      </c>
      <c r="F892" s="58" t="s">
        <v>54</v>
      </c>
      <c r="G892" s="58" t="s">
        <v>25</v>
      </c>
      <c r="H892" s="58" t="s">
        <v>25</v>
      </c>
      <c r="I892" s="66">
        <v>44743</v>
      </c>
      <c r="J892" s="67">
        <f>EFEITO!$J$892*EFEITO!$Y$701</f>
        <v>0</v>
      </c>
      <c r="K892" s="67">
        <f ca="1">EFEITO!$L$892*EFEITO!$Z$701</f>
        <v>4440.7567279719751</v>
      </c>
      <c r="L892" s="67">
        <f>EFEITO!$N$892*EFEITO!$AA$701</f>
        <v>3741.9695936660132</v>
      </c>
      <c r="M892" s="67">
        <f>$J$892-EFEITO!$K$892*EFEITO!$Y$892</f>
        <v>0</v>
      </c>
      <c r="N892" s="67">
        <f ca="1">$K$892-EFEITO!$M$892*EFEITO!$Z$892</f>
        <v>3063.2339909550683</v>
      </c>
      <c r="O892" s="67">
        <f>$L$892-EFEITO!$O$892*EFEITO!$AA$892</f>
        <v>2581.2106257108162</v>
      </c>
      <c r="P892" s="18"/>
      <c r="Q892" s="18"/>
      <c r="R892" s="18"/>
      <c r="S892" s="18"/>
      <c r="T892" s="18"/>
      <c r="U892" s="18"/>
      <c r="V892" s="18"/>
      <c r="W892" s="18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1.25" customHeight="1" x14ac:dyDescent="0.2">
      <c r="A893" s="58" t="s">
        <v>21</v>
      </c>
      <c r="B893" s="58" t="s">
        <v>43</v>
      </c>
      <c r="C893" s="58" t="s">
        <v>23</v>
      </c>
      <c r="D893" s="58" t="s">
        <v>44</v>
      </c>
      <c r="E893" s="58" t="s">
        <v>52</v>
      </c>
      <c r="F893" s="58" t="s">
        <v>54</v>
      </c>
      <c r="G893" s="58" t="s">
        <v>25</v>
      </c>
      <c r="H893" s="58" t="s">
        <v>25</v>
      </c>
      <c r="I893" s="66">
        <v>44774</v>
      </c>
      <c r="J893" s="67">
        <f>EFEITO!$J$893*EFEITO!$Y$701</f>
        <v>0</v>
      </c>
      <c r="K893" s="67">
        <f ca="1">EFEITO!$L$893*EFEITO!$Z$701</f>
        <v>6794.1862435866269</v>
      </c>
      <c r="L893" s="67">
        <f>EFEITO!$N$893*EFEITO!$AA$701</f>
        <v>5725.0689228400151</v>
      </c>
      <c r="M893" s="67">
        <f>$J$893-EFEITO!$K$893*EFEITO!$Y$893</f>
        <v>0</v>
      </c>
      <c r="N893" s="67">
        <f ca="1">$K$893-EFEITO!$M$893*EFEITO!$Z$893</f>
        <v>4686.6296708260552</v>
      </c>
      <c r="O893" s="67">
        <f>$L$893-EFEITO!$O$893*EFEITO!$AA$893</f>
        <v>3949.1525429750427</v>
      </c>
      <c r="P893" s="18"/>
      <c r="Q893" s="18"/>
      <c r="R893" s="18"/>
      <c r="S893" s="18"/>
      <c r="T893" s="18"/>
      <c r="U893" s="18"/>
      <c r="V893" s="18"/>
      <c r="W893" s="18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1.25" customHeight="1" x14ac:dyDescent="0.2">
      <c r="A894" s="58" t="s">
        <v>21</v>
      </c>
      <c r="B894" s="58" t="s">
        <v>43</v>
      </c>
      <c r="C894" s="58" t="s">
        <v>23</v>
      </c>
      <c r="D894" s="58" t="s">
        <v>44</v>
      </c>
      <c r="E894" s="58" t="s">
        <v>52</v>
      </c>
      <c r="F894" s="58" t="s">
        <v>54</v>
      </c>
      <c r="G894" s="58" t="s">
        <v>25</v>
      </c>
      <c r="H894" s="58" t="s">
        <v>25</v>
      </c>
      <c r="I894" s="66">
        <v>44805</v>
      </c>
      <c r="J894" s="67">
        <f>EFEITO!$J$894*EFEITO!$Y$701</f>
        <v>0</v>
      </c>
      <c r="K894" s="67">
        <f ca="1">EFEITO!$L$894*EFEITO!$Z$701</f>
        <v>10602.600916591791</v>
      </c>
      <c r="L894" s="67">
        <f>EFEITO!$N$894*EFEITO!$AA$701</f>
        <v>8934.2003343156921</v>
      </c>
      <c r="M894" s="67">
        <f>$J$894-EFEITO!$K$894*EFEITO!$Y$894</f>
        <v>0</v>
      </c>
      <c r="N894" s="67">
        <f ca="1">$K$894-EFEITO!$M$894*EFEITO!$Z$894</f>
        <v>7313.6741122650183</v>
      </c>
      <c r="O894" s="67">
        <f>$L$894-EFEITO!$O$894*EFEITO!$AA$894</f>
        <v>6162.8113906109647</v>
      </c>
      <c r="P894" s="18"/>
      <c r="Q894" s="18"/>
      <c r="R894" s="18"/>
      <c r="S894" s="18"/>
      <c r="T894" s="18"/>
      <c r="U894" s="18"/>
      <c r="V894" s="18"/>
      <c r="W894" s="18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1.25" customHeight="1" x14ac:dyDescent="0.2">
      <c r="A895" s="58" t="s">
        <v>27</v>
      </c>
      <c r="B895" s="58" t="s">
        <v>43</v>
      </c>
      <c r="C895" s="58" t="s">
        <v>23</v>
      </c>
      <c r="D895" s="58" t="s">
        <v>44</v>
      </c>
      <c r="E895" s="58" t="s">
        <v>52</v>
      </c>
      <c r="F895" s="58" t="s">
        <v>54</v>
      </c>
      <c r="G895" s="58" t="s">
        <v>25</v>
      </c>
      <c r="H895" s="58" t="s">
        <v>25</v>
      </c>
      <c r="I895" s="66">
        <v>44805</v>
      </c>
      <c r="J895" s="67">
        <f>EFEITO!$J$895*EFEITO!$Y$701</f>
        <v>0</v>
      </c>
      <c r="K895" s="67">
        <f ca="1">EFEITO!$L$895*EFEITO!$Z$701</f>
        <v>1821.2249090999971</v>
      </c>
      <c r="L895" s="67">
        <f>EFEITO!$N$895*EFEITO!$AA$701</f>
        <v>1534.6411998100216</v>
      </c>
      <c r="M895" s="67">
        <f>$J$895-EFEITO!$K$895*EFEITO!$Y$895</f>
        <v>0</v>
      </c>
      <c r="N895" s="67">
        <f ca="1">$K$895-EFEITO!$M$895*EFEITO!$Z$895</f>
        <v>1256.2809422971782</v>
      </c>
      <c r="O895" s="67">
        <f>$L$895-EFEITO!$O$895*EFEITO!$AA$895</f>
        <v>1058.5954996289529</v>
      </c>
      <c r="P895" s="18"/>
      <c r="Q895" s="18"/>
      <c r="R895" s="18"/>
      <c r="S895" s="18"/>
      <c r="T895" s="18"/>
      <c r="U895" s="18"/>
      <c r="V895" s="18"/>
      <c r="W895" s="18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1.25" customHeight="1" x14ac:dyDescent="0.2">
      <c r="A896" s="58" t="s">
        <v>55</v>
      </c>
      <c r="B896" s="58" t="s">
        <v>43</v>
      </c>
      <c r="C896" s="58" t="s">
        <v>23</v>
      </c>
      <c r="D896" s="58" t="s">
        <v>44</v>
      </c>
      <c r="E896" s="58" t="s">
        <v>52</v>
      </c>
      <c r="F896" s="58" t="s">
        <v>54</v>
      </c>
      <c r="G896" s="58" t="s">
        <v>25</v>
      </c>
      <c r="H896" s="58" t="s">
        <v>25</v>
      </c>
      <c r="I896" s="66">
        <v>44835</v>
      </c>
      <c r="J896" s="67">
        <f>EFEITO!$J$896*EFEITO!$Y$701</f>
        <v>0</v>
      </c>
      <c r="K896" s="67">
        <f ca="1">EFEITO!$L$896*EFEITO!$Z$701</f>
        <v>10602.600916591791</v>
      </c>
      <c r="L896" s="67">
        <f>EFEITO!$N$896*EFEITO!$AA$701</f>
        <v>8934.2003343156921</v>
      </c>
      <c r="M896" s="67">
        <f>$J$896-EFEITO!$K$896*EFEITO!$Y$896</f>
        <v>0</v>
      </c>
      <c r="N896" s="67">
        <f ca="1">$K$896-EFEITO!$M$896*EFEITO!$Z$896</f>
        <v>7313.6741122650183</v>
      </c>
      <c r="O896" s="67">
        <f>$L$896-EFEITO!$O$896*EFEITO!$AA$896</f>
        <v>6162.8113906109647</v>
      </c>
      <c r="P896" s="18"/>
      <c r="Q896" s="18"/>
      <c r="R896" s="18"/>
      <c r="S896" s="18"/>
      <c r="T896" s="18"/>
      <c r="U896" s="18"/>
      <c r="V896" s="18"/>
      <c r="W896" s="18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1.25" customHeight="1" x14ac:dyDescent="0.2">
      <c r="A897" s="58" t="s">
        <v>55</v>
      </c>
      <c r="B897" s="58" t="s">
        <v>43</v>
      </c>
      <c r="C897" s="58" t="s">
        <v>23</v>
      </c>
      <c r="D897" s="58" t="s">
        <v>44</v>
      </c>
      <c r="E897" s="58" t="s">
        <v>52</v>
      </c>
      <c r="F897" s="58" t="s">
        <v>54</v>
      </c>
      <c r="G897" s="58" t="s">
        <v>25</v>
      </c>
      <c r="H897" s="58" t="s">
        <v>25</v>
      </c>
      <c r="I897" s="66">
        <v>44835</v>
      </c>
      <c r="J897" s="67">
        <f>EFEITO!$J$897*EFEITO!$Y$701</f>
        <v>0</v>
      </c>
      <c r="K897" s="67">
        <f ca="1">EFEITO!$L$897*EFEITO!$Z$701</f>
        <v>1821.2249090999971</v>
      </c>
      <c r="L897" s="67">
        <f>EFEITO!$N$897*EFEITO!$AA$701</f>
        <v>1534.6411998100216</v>
      </c>
      <c r="M897" s="67">
        <f>$J$897-EFEITO!$K$897*EFEITO!$Y$897</f>
        <v>0</v>
      </c>
      <c r="N897" s="67">
        <f ca="1">$K$897-EFEITO!$M$897*EFEITO!$Z$897</f>
        <v>1256.2809422971782</v>
      </c>
      <c r="O897" s="67">
        <f>$L$897-EFEITO!$O$897*EFEITO!$AA$897</f>
        <v>1058.5954996289529</v>
      </c>
      <c r="P897" s="18"/>
      <c r="Q897" s="18"/>
      <c r="R897" s="18"/>
      <c r="S897" s="18"/>
      <c r="T897" s="18"/>
      <c r="U897" s="18"/>
      <c r="V897" s="18"/>
      <c r="W897" s="18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1.25" customHeight="1" x14ac:dyDescent="0.2">
      <c r="A898" s="58" t="s">
        <v>21</v>
      </c>
      <c r="B898" s="58" t="s">
        <v>43</v>
      </c>
      <c r="C898" s="58" t="s">
        <v>23</v>
      </c>
      <c r="D898" s="58" t="s">
        <v>44</v>
      </c>
      <c r="E898" s="58" t="s">
        <v>25</v>
      </c>
      <c r="F898" s="58" t="s">
        <v>25</v>
      </c>
      <c r="G898" s="58" t="s">
        <v>25</v>
      </c>
      <c r="H898" s="58" t="s">
        <v>25</v>
      </c>
      <c r="I898" s="66">
        <v>44501</v>
      </c>
      <c r="J898" s="67">
        <f>EFEITO!$J$898*EFEITO!$Y$701</f>
        <v>0</v>
      </c>
      <c r="K898" s="67">
        <f ca="1">EFEITO!$L$898*EFEITO!$Z$701</f>
        <v>1894696.2736695162</v>
      </c>
      <c r="L898" s="67">
        <f>EFEITO!$N$898*EFEITO!$AA$701</f>
        <v>1596551.2815968809</v>
      </c>
      <c r="M898" s="67">
        <f>$J$898-EFEITO!$K$898*EFEITO!$Y$898</f>
        <v>0</v>
      </c>
      <c r="N898" s="67">
        <f ca="1">$K$898-EFEITO!$M$898*EFEITO!$Z$898</f>
        <v>113681.77642017091</v>
      </c>
      <c r="O898" s="67">
        <f>$L$898-EFEITO!$O$898*EFEITO!$AA$898</f>
        <v>95793.076895812992</v>
      </c>
      <c r="P898" s="18"/>
      <c r="Q898" s="18"/>
      <c r="R898" s="18"/>
      <c r="S898" s="18"/>
      <c r="T898" s="18"/>
      <c r="U898" s="18"/>
      <c r="V898" s="18"/>
      <c r="W898" s="18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1.25" customHeight="1" x14ac:dyDescent="0.2">
      <c r="A899" s="58" t="s">
        <v>27</v>
      </c>
      <c r="B899" s="58" t="s">
        <v>43</v>
      </c>
      <c r="C899" s="58" t="s">
        <v>23</v>
      </c>
      <c r="D899" s="58" t="s">
        <v>44</v>
      </c>
      <c r="E899" s="58" t="s">
        <v>25</v>
      </c>
      <c r="F899" s="58" t="s">
        <v>25</v>
      </c>
      <c r="G899" s="58" t="s">
        <v>25</v>
      </c>
      <c r="H899" s="58" t="s">
        <v>25</v>
      </c>
      <c r="I899" s="66">
        <v>44501</v>
      </c>
      <c r="J899" s="67">
        <f>EFEITO!$J$899*EFEITO!$Y$701</f>
        <v>0</v>
      </c>
      <c r="K899" s="67">
        <f ca="1">EFEITO!$L$899*EFEITO!$Z$701</f>
        <v>-5031.2086152595975</v>
      </c>
      <c r="L899" s="67">
        <f>EFEITO!$N$899*EFEITO!$AA$701</f>
        <v>-4239.5093473831721</v>
      </c>
      <c r="M899" s="67">
        <f>$J$899-EFEITO!$K$899*EFEITO!$Y$899</f>
        <v>0</v>
      </c>
      <c r="N899" s="67">
        <f ca="1">$K$899-EFEITO!$M$899*EFEITO!$Z$899</f>
        <v>-301.87251691557594</v>
      </c>
      <c r="O899" s="67">
        <f>$L$899-EFEITO!$O$899*EFEITO!$AA$899</f>
        <v>-254.37056084299047</v>
      </c>
      <c r="P899" s="18"/>
      <c r="Q899" s="18"/>
      <c r="R899" s="18"/>
      <c r="S899" s="18"/>
      <c r="T899" s="18"/>
      <c r="U899" s="18"/>
      <c r="V899" s="18"/>
      <c r="W899" s="18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1.25" customHeight="1" x14ac:dyDescent="0.2">
      <c r="A900" s="58" t="s">
        <v>28</v>
      </c>
      <c r="B900" s="58" t="s">
        <v>43</v>
      </c>
      <c r="C900" s="58" t="s">
        <v>23</v>
      </c>
      <c r="D900" s="58" t="s">
        <v>44</v>
      </c>
      <c r="E900" s="58" t="s">
        <v>25</v>
      </c>
      <c r="F900" s="58" t="s">
        <v>25</v>
      </c>
      <c r="G900" s="58" t="s">
        <v>25</v>
      </c>
      <c r="H900" s="58" t="s">
        <v>25</v>
      </c>
      <c r="I900" s="66">
        <v>44501</v>
      </c>
      <c r="J900" s="67">
        <f>EFEITO!$J$900*EFEITO!$Y$701</f>
        <v>0</v>
      </c>
      <c r="K900" s="67">
        <f ca="1">EFEITO!$L$900*EFEITO!$Z$701</f>
        <v>4212.1560986369705</v>
      </c>
      <c r="L900" s="67">
        <f>EFEITO!$N$900*EFEITO!$AA$701</f>
        <v>3549.3410268552479</v>
      </c>
      <c r="M900" s="67">
        <f>$J$900-EFEITO!$K$900*EFEITO!$Y$900</f>
        <v>0</v>
      </c>
      <c r="N900" s="67">
        <f ca="1">$K$900-EFEITO!$M$900*EFEITO!$Z$900</f>
        <v>252.72936591821872</v>
      </c>
      <c r="O900" s="67">
        <f>$L$900-EFEITO!$O$900*EFEITO!$AA$900</f>
        <v>212.96046161131517</v>
      </c>
      <c r="P900" s="18"/>
      <c r="Q900" s="18"/>
      <c r="R900" s="18"/>
      <c r="S900" s="18"/>
      <c r="T900" s="18"/>
      <c r="U900" s="18"/>
      <c r="V900" s="18"/>
      <c r="W900" s="18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1.25" customHeight="1" x14ac:dyDescent="0.2">
      <c r="A901" s="58" t="s">
        <v>21</v>
      </c>
      <c r="B901" s="58" t="s">
        <v>43</v>
      </c>
      <c r="C901" s="58" t="s">
        <v>23</v>
      </c>
      <c r="D901" s="58" t="s">
        <v>44</v>
      </c>
      <c r="E901" s="58" t="s">
        <v>25</v>
      </c>
      <c r="F901" s="58" t="s">
        <v>25</v>
      </c>
      <c r="G901" s="58" t="s">
        <v>25</v>
      </c>
      <c r="H901" s="58" t="s">
        <v>25</v>
      </c>
      <c r="I901" s="66">
        <v>44531</v>
      </c>
      <c r="J901" s="67">
        <f>EFEITO!$J$901*EFEITO!$Y$701</f>
        <v>0</v>
      </c>
      <c r="K901" s="67">
        <f ca="1">EFEITO!$L$901*EFEITO!$Z$701</f>
        <v>1824271.7206291966</v>
      </c>
      <c r="L901" s="67">
        <f>EFEITO!$N$901*EFEITO!$AA$701</f>
        <v>1537208.5721743037</v>
      </c>
      <c r="M901" s="67">
        <f>$J$901-EFEITO!$K$901*EFEITO!$Y$901</f>
        <v>0</v>
      </c>
      <c r="N901" s="67">
        <f ca="1">$K$901-EFEITO!$M$901*EFEITO!$Z$901</f>
        <v>109456.30323775182</v>
      </c>
      <c r="O901" s="67">
        <f>$L$901-EFEITO!$O$901*EFEITO!$AA$901</f>
        <v>92232.514330458362</v>
      </c>
      <c r="P901" s="18"/>
      <c r="Q901" s="18"/>
      <c r="R901" s="18"/>
      <c r="S901" s="18"/>
      <c r="T901" s="18"/>
      <c r="U901" s="18"/>
      <c r="V901" s="18"/>
      <c r="W901" s="18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1.25" customHeight="1" x14ac:dyDescent="0.2">
      <c r="A902" s="58" t="s">
        <v>27</v>
      </c>
      <c r="B902" s="58" t="s">
        <v>43</v>
      </c>
      <c r="C902" s="58" t="s">
        <v>23</v>
      </c>
      <c r="D902" s="58" t="s">
        <v>44</v>
      </c>
      <c r="E902" s="58" t="s">
        <v>25</v>
      </c>
      <c r="F902" s="58" t="s">
        <v>25</v>
      </c>
      <c r="G902" s="58" t="s">
        <v>25</v>
      </c>
      <c r="H902" s="58" t="s">
        <v>25</v>
      </c>
      <c r="I902" s="66">
        <v>44531</v>
      </c>
      <c r="J902" s="67">
        <f>EFEITO!$J$902*EFEITO!$Y$701</f>
        <v>0</v>
      </c>
      <c r="K902" s="67">
        <f ca="1">EFEITO!$L$902*EFEITO!$Z$701</f>
        <v>-494.30397861443515</v>
      </c>
      <c r="L902" s="67">
        <f>EFEITO!$N$902*EFEITO!$AA$701</f>
        <v>-416.5214559834867</v>
      </c>
      <c r="M902" s="67">
        <f>$J$902-EFEITO!$K$902*EFEITO!$Y$902</f>
        <v>0</v>
      </c>
      <c r="N902" s="67">
        <f ca="1">$K$902-EFEITO!$M$902*EFEITO!$Z$902</f>
        <v>-29.658238716866094</v>
      </c>
      <c r="O902" s="67">
        <f>$L$902-EFEITO!$O$902*EFEITO!$AA$902</f>
        <v>-24.99128735900922</v>
      </c>
      <c r="P902" s="18"/>
      <c r="Q902" s="18"/>
      <c r="R902" s="18"/>
      <c r="S902" s="18"/>
      <c r="T902" s="18"/>
      <c r="U902" s="18"/>
      <c r="V902" s="18"/>
      <c r="W902" s="18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1.25" customHeight="1" x14ac:dyDescent="0.2">
      <c r="A903" s="58" t="s">
        <v>28</v>
      </c>
      <c r="B903" s="58" t="s">
        <v>43</v>
      </c>
      <c r="C903" s="58" t="s">
        <v>23</v>
      </c>
      <c r="D903" s="58" t="s">
        <v>44</v>
      </c>
      <c r="E903" s="58" t="s">
        <v>25</v>
      </c>
      <c r="F903" s="58" t="s">
        <v>25</v>
      </c>
      <c r="G903" s="58" t="s">
        <v>25</v>
      </c>
      <c r="H903" s="58" t="s">
        <v>25</v>
      </c>
      <c r="I903" s="66">
        <v>44531</v>
      </c>
      <c r="J903" s="67">
        <f>EFEITO!$J$903*EFEITO!$Y$701</f>
        <v>0</v>
      </c>
      <c r="K903" s="67">
        <f ca="1">EFEITO!$L$903*EFEITO!$Z$701</f>
        <v>5057.5395778008024</v>
      </c>
      <c r="L903" s="67">
        <f>EFEITO!$N$903*EFEITO!$AA$701</f>
        <v>4261.6969309948836</v>
      </c>
      <c r="M903" s="67">
        <f>$J$903-EFEITO!$K$903*EFEITO!$Y$903</f>
        <v>0</v>
      </c>
      <c r="N903" s="67">
        <f ca="1">$K$903-EFEITO!$M$903*EFEITO!$Z$903</f>
        <v>303.45237466804883</v>
      </c>
      <c r="O903" s="67">
        <f>$L$903-EFEITO!$O$903*EFEITO!$AA$903</f>
        <v>255.70181585969385</v>
      </c>
      <c r="P903" s="18"/>
      <c r="Q903" s="18"/>
      <c r="R903" s="18"/>
      <c r="S903" s="18"/>
      <c r="T903" s="18"/>
      <c r="U903" s="18"/>
      <c r="V903" s="18"/>
      <c r="W903" s="18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1.25" customHeight="1" x14ac:dyDescent="0.2">
      <c r="A904" s="58" t="s">
        <v>21</v>
      </c>
      <c r="B904" s="58" t="s">
        <v>43</v>
      </c>
      <c r="C904" s="58" t="s">
        <v>23</v>
      </c>
      <c r="D904" s="58" t="s">
        <v>44</v>
      </c>
      <c r="E904" s="58" t="s">
        <v>25</v>
      </c>
      <c r="F904" s="58" t="s">
        <v>25</v>
      </c>
      <c r="G904" s="58" t="s">
        <v>25</v>
      </c>
      <c r="H904" s="58" t="s">
        <v>25</v>
      </c>
      <c r="I904" s="66">
        <v>44562</v>
      </c>
      <c r="J904" s="67">
        <f>EFEITO!$J$904*EFEITO!$Y$701</f>
        <v>0</v>
      </c>
      <c r="K904" s="67">
        <f ca="1">EFEITO!$L$904*EFEITO!$Z$701</f>
        <v>1839526.1249280679</v>
      </c>
      <c r="L904" s="67">
        <f>EFEITO!$N$904*EFEITO!$AA$701</f>
        <v>1550062.5789466884</v>
      </c>
      <c r="M904" s="67">
        <f>$J$904-EFEITO!$K$904*EFEITO!$Y$904</f>
        <v>0</v>
      </c>
      <c r="N904" s="67">
        <f ca="1">$K$904-EFEITO!$M$904*EFEITO!$Z$904</f>
        <v>110371.56749568414</v>
      </c>
      <c r="O904" s="67">
        <f>$L$904-EFEITO!$O$904*EFEITO!$AA$904</f>
        <v>93003.754736801377</v>
      </c>
      <c r="P904" s="18"/>
      <c r="Q904" s="18"/>
      <c r="R904" s="18"/>
      <c r="S904" s="18"/>
      <c r="T904" s="18"/>
      <c r="U904" s="18"/>
      <c r="V904" s="18"/>
      <c r="W904" s="18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1.25" customHeight="1" x14ac:dyDescent="0.2">
      <c r="A905" s="58" t="s">
        <v>27</v>
      </c>
      <c r="B905" s="58" t="s">
        <v>43</v>
      </c>
      <c r="C905" s="58" t="s">
        <v>23</v>
      </c>
      <c r="D905" s="58" t="s">
        <v>44</v>
      </c>
      <c r="E905" s="58" t="s">
        <v>25</v>
      </c>
      <c r="F905" s="58" t="s">
        <v>25</v>
      </c>
      <c r="G905" s="58" t="s">
        <v>25</v>
      </c>
      <c r="H905" s="58" t="s">
        <v>25</v>
      </c>
      <c r="I905" s="66">
        <v>44562</v>
      </c>
      <c r="J905" s="67">
        <f>EFEITO!$J$905*EFEITO!$Y$701</f>
        <v>0</v>
      </c>
      <c r="K905" s="67">
        <f ca="1">EFEITO!$L$905*EFEITO!$Z$701</f>
        <v>-14141.322700538552</v>
      </c>
      <c r="L905" s="67">
        <f>EFEITO!$N$905*EFEITO!$AA$701</f>
        <v>-11916.077101525963</v>
      </c>
      <c r="M905" s="67">
        <f>$J$905-EFEITO!$K$905*EFEITO!$Y$905</f>
        <v>0</v>
      </c>
      <c r="N905" s="67">
        <f ca="1">$K$905-EFEITO!$M$905*EFEITO!$Z$905</f>
        <v>-848.47936203231438</v>
      </c>
      <c r="O905" s="67">
        <f>$L$905-EFEITO!$O$905*EFEITO!$AA$905</f>
        <v>-714.96462609155969</v>
      </c>
      <c r="P905" s="18"/>
      <c r="Q905" s="18"/>
      <c r="R905" s="18"/>
      <c r="S905" s="18"/>
      <c r="T905" s="18"/>
      <c r="U905" s="18"/>
      <c r="V905" s="18"/>
      <c r="W905" s="18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1.25" customHeight="1" x14ac:dyDescent="0.2">
      <c r="A906" s="58" t="s">
        <v>28</v>
      </c>
      <c r="B906" s="58" t="s">
        <v>43</v>
      </c>
      <c r="C906" s="58" t="s">
        <v>23</v>
      </c>
      <c r="D906" s="58" t="s">
        <v>44</v>
      </c>
      <c r="E906" s="58" t="s">
        <v>25</v>
      </c>
      <c r="F906" s="58" t="s">
        <v>25</v>
      </c>
      <c r="G906" s="58" t="s">
        <v>25</v>
      </c>
      <c r="H906" s="58" t="s">
        <v>25</v>
      </c>
      <c r="I906" s="66">
        <v>44562</v>
      </c>
      <c r="J906" s="67">
        <f>EFEITO!$J$906*EFEITO!$Y$701</f>
        <v>0</v>
      </c>
      <c r="K906" s="67">
        <f ca="1">EFEITO!$L$906*EFEITO!$Z$701</f>
        <v>5101.4245153694774</v>
      </c>
      <c r="L906" s="67">
        <f>EFEITO!$N$906*EFEITO!$AA$701</f>
        <v>4298.6762370144024</v>
      </c>
      <c r="M906" s="67">
        <f>$J$906-EFEITO!$K$906*EFEITO!$Y$906</f>
        <v>0</v>
      </c>
      <c r="N906" s="67">
        <f ca="1">$K$906-EFEITO!$M$906*EFEITO!$Z$906</f>
        <v>306.0854709221685</v>
      </c>
      <c r="O906" s="67">
        <f>$L$906-EFEITO!$O$906*EFEITO!$AA$906</f>
        <v>257.92057422086464</v>
      </c>
      <c r="P906" s="18"/>
      <c r="Q906" s="18"/>
      <c r="R906" s="18"/>
      <c r="S906" s="18"/>
      <c r="T906" s="18"/>
      <c r="U906" s="18"/>
      <c r="V906" s="18"/>
      <c r="W906" s="18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1.25" customHeight="1" x14ac:dyDescent="0.2">
      <c r="A907" s="58" t="s">
        <v>21</v>
      </c>
      <c r="B907" s="58" t="s">
        <v>43</v>
      </c>
      <c r="C907" s="58" t="s">
        <v>23</v>
      </c>
      <c r="D907" s="58" t="s">
        <v>44</v>
      </c>
      <c r="E907" s="58" t="s">
        <v>25</v>
      </c>
      <c r="F907" s="58" t="s">
        <v>25</v>
      </c>
      <c r="G907" s="58" t="s">
        <v>25</v>
      </c>
      <c r="H907" s="58" t="s">
        <v>25</v>
      </c>
      <c r="I907" s="66">
        <v>44593</v>
      </c>
      <c r="J907" s="67">
        <f>EFEITO!$J$907*EFEITO!$Y$701</f>
        <v>0</v>
      </c>
      <c r="K907" s="67">
        <f ca="1">EFEITO!$L$907*EFEITO!$Z$701</f>
        <v>1861951.3280256607</v>
      </c>
      <c r="L907" s="67">
        <f>EFEITO!$N$907*EFEITO!$AA$701</f>
        <v>1568959.0043226625</v>
      </c>
      <c r="M907" s="67">
        <f>$J$907-EFEITO!$K$907*EFEITO!$Y$907</f>
        <v>0</v>
      </c>
      <c r="N907" s="67">
        <f ca="1">$K$907-EFEITO!$M$907*EFEITO!$Z$907</f>
        <v>111717.07968153968</v>
      </c>
      <c r="O907" s="67">
        <f>$L$907-EFEITO!$O$907*EFEITO!$AA$907</f>
        <v>94137.54025935987</v>
      </c>
      <c r="P907" s="18"/>
      <c r="Q907" s="18"/>
      <c r="R907" s="18"/>
      <c r="S907" s="18"/>
      <c r="T907" s="18"/>
      <c r="U907" s="18"/>
      <c r="V907" s="18"/>
      <c r="W907" s="18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1.25" customHeight="1" x14ac:dyDescent="0.2">
      <c r="A908" s="58" t="s">
        <v>27</v>
      </c>
      <c r="B908" s="58" t="s">
        <v>43</v>
      </c>
      <c r="C908" s="58" t="s">
        <v>23</v>
      </c>
      <c r="D908" s="58" t="s">
        <v>44</v>
      </c>
      <c r="E908" s="58" t="s">
        <v>25</v>
      </c>
      <c r="F908" s="58" t="s">
        <v>25</v>
      </c>
      <c r="G908" s="58" t="s">
        <v>25</v>
      </c>
      <c r="H908" s="58" t="s">
        <v>25</v>
      </c>
      <c r="I908" s="66">
        <v>44593</v>
      </c>
      <c r="J908" s="67">
        <f>EFEITO!$J$908*EFEITO!$Y$701</f>
        <v>0</v>
      </c>
      <c r="K908" s="67">
        <f ca="1">EFEITO!$L$908*EFEITO!$Z$701</f>
        <v>-4246.4661407361164</v>
      </c>
      <c r="L908" s="67">
        <f>EFEITO!$N$908*EFEITO!$AA$701</f>
        <v>-3578.2521206523261</v>
      </c>
      <c r="M908" s="67">
        <f>$J$908-EFEITO!$K$908*EFEITO!$Y$908</f>
        <v>0</v>
      </c>
      <c r="N908" s="67">
        <f ca="1">$K$908-EFEITO!$M$908*EFEITO!$Z$908</f>
        <v>-254.78796844416775</v>
      </c>
      <c r="O908" s="67">
        <f>$L$908-EFEITO!$O$908*EFEITO!$AA$908</f>
        <v>-214.69512723913977</v>
      </c>
      <c r="P908" s="18"/>
      <c r="Q908" s="18"/>
      <c r="R908" s="18"/>
      <c r="S908" s="18"/>
      <c r="T908" s="18"/>
      <c r="U908" s="18"/>
      <c r="V908" s="18"/>
      <c r="W908" s="18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1.25" customHeight="1" x14ac:dyDescent="0.2">
      <c r="A909" s="58" t="s">
        <v>28</v>
      </c>
      <c r="B909" s="58" t="s">
        <v>43</v>
      </c>
      <c r="C909" s="58" t="s">
        <v>23</v>
      </c>
      <c r="D909" s="58" t="s">
        <v>44</v>
      </c>
      <c r="E909" s="58" t="s">
        <v>25</v>
      </c>
      <c r="F909" s="58" t="s">
        <v>25</v>
      </c>
      <c r="G909" s="58" t="s">
        <v>25</v>
      </c>
      <c r="H909" s="58" t="s">
        <v>25</v>
      </c>
      <c r="I909" s="66">
        <v>44593</v>
      </c>
      <c r="J909" s="67">
        <f>EFEITO!$J$909*EFEITO!$Y$701</f>
        <v>0</v>
      </c>
      <c r="K909" s="67">
        <f ca="1">EFEITO!$L$909*EFEITO!$Z$701</f>
        <v>6098.0115521562884</v>
      </c>
      <c r="L909" s="67">
        <f>EFEITO!$N$909*EFEITO!$AA$701</f>
        <v>5138.4426591667425</v>
      </c>
      <c r="M909" s="67">
        <f>$J$909-EFEITO!$K$909*EFEITO!$Y$909</f>
        <v>0</v>
      </c>
      <c r="N909" s="67">
        <f ca="1">$K$909-EFEITO!$M$909*EFEITO!$Z$909</f>
        <v>365.88069312937751</v>
      </c>
      <c r="O909" s="67">
        <f>$L$909-EFEITO!$O$909*EFEITO!$AA$909</f>
        <v>308.30655955000475</v>
      </c>
      <c r="P909" s="18"/>
      <c r="Q909" s="18"/>
      <c r="R909" s="18"/>
      <c r="S909" s="18"/>
      <c r="T909" s="18"/>
      <c r="U909" s="18"/>
      <c r="V909" s="18"/>
      <c r="W909" s="18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1.25" customHeight="1" x14ac:dyDescent="0.2">
      <c r="A910" s="58" t="s">
        <v>21</v>
      </c>
      <c r="B910" s="58" t="s">
        <v>43</v>
      </c>
      <c r="C910" s="58" t="s">
        <v>23</v>
      </c>
      <c r="D910" s="58" t="s">
        <v>44</v>
      </c>
      <c r="E910" s="58" t="s">
        <v>25</v>
      </c>
      <c r="F910" s="58" t="s">
        <v>25</v>
      </c>
      <c r="G910" s="58" t="s">
        <v>25</v>
      </c>
      <c r="H910" s="58" t="s">
        <v>25</v>
      </c>
      <c r="I910" s="66">
        <v>44621</v>
      </c>
      <c r="J910" s="67">
        <f>EFEITO!$J$910*EFEITO!$Y$701</f>
        <v>0</v>
      </c>
      <c r="K910" s="67">
        <f ca="1">EFEITO!$L$910*EFEITO!$Z$701</f>
        <v>1817990.5892011859</v>
      </c>
      <c r="L910" s="67">
        <f>EFEITO!$N$910*EFEITO!$AA$701</f>
        <v>1531915.8249563831</v>
      </c>
      <c r="M910" s="67">
        <f>$J$910-EFEITO!$K$910*EFEITO!$Y$910</f>
        <v>0</v>
      </c>
      <c r="N910" s="67">
        <f ca="1">$K$910-EFEITO!$M$910*EFEITO!$Z$910</f>
        <v>109079.43535207142</v>
      </c>
      <c r="O910" s="67">
        <f>$L$910-EFEITO!$O$910*EFEITO!$AA$910</f>
        <v>91914.949497383321</v>
      </c>
      <c r="P910" s="18"/>
      <c r="Q910" s="18"/>
      <c r="R910" s="18"/>
      <c r="S910" s="18"/>
      <c r="T910" s="18"/>
      <c r="U910" s="18"/>
      <c r="V910" s="18"/>
      <c r="W910" s="18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1.25" customHeight="1" x14ac:dyDescent="0.2">
      <c r="A911" s="58" t="s">
        <v>27</v>
      </c>
      <c r="B911" s="58" t="s">
        <v>43</v>
      </c>
      <c r="C911" s="58" t="s">
        <v>23</v>
      </c>
      <c r="D911" s="58" t="s">
        <v>44</v>
      </c>
      <c r="E911" s="58" t="s">
        <v>25</v>
      </c>
      <c r="F911" s="58" t="s">
        <v>25</v>
      </c>
      <c r="G911" s="58" t="s">
        <v>25</v>
      </c>
      <c r="H911" s="58" t="s">
        <v>25</v>
      </c>
      <c r="I911" s="66">
        <v>44621</v>
      </c>
      <c r="J911" s="67">
        <f>EFEITO!$J$911*EFEITO!$Y$701</f>
        <v>0</v>
      </c>
      <c r="K911" s="67">
        <f ca="1">EFEITO!$L$911*EFEITO!$Z$701</f>
        <v>-4016.6686494674195</v>
      </c>
      <c r="L911" s="67">
        <f>EFEITO!$N$911*EFEITO!$AA$701</f>
        <v>-3384.6150273137559</v>
      </c>
      <c r="M911" s="67">
        <f>$J$911-EFEITO!$K$911*EFEITO!$Y$911</f>
        <v>0</v>
      </c>
      <c r="N911" s="67">
        <f ca="1">$K$911-EFEITO!$M$911*EFEITO!$Z$911</f>
        <v>-241.00011896804563</v>
      </c>
      <c r="O911" s="67">
        <f>$L$911-EFEITO!$O$911*EFEITO!$AA$911</f>
        <v>-203.0769016388258</v>
      </c>
      <c r="P911" s="18"/>
      <c r="Q911" s="18"/>
      <c r="R911" s="18"/>
      <c r="S911" s="18"/>
      <c r="T911" s="18"/>
      <c r="U911" s="18"/>
      <c r="V911" s="18"/>
      <c r="W911" s="18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1.25" customHeight="1" x14ac:dyDescent="0.2">
      <c r="A912" s="58" t="s">
        <v>28</v>
      </c>
      <c r="B912" s="58" t="s">
        <v>43</v>
      </c>
      <c r="C912" s="58" t="s">
        <v>23</v>
      </c>
      <c r="D912" s="58" t="s">
        <v>44</v>
      </c>
      <c r="E912" s="58" t="s">
        <v>25</v>
      </c>
      <c r="F912" s="58" t="s">
        <v>25</v>
      </c>
      <c r="G912" s="58" t="s">
        <v>25</v>
      </c>
      <c r="H912" s="58" t="s">
        <v>25</v>
      </c>
      <c r="I912" s="66">
        <v>44621</v>
      </c>
      <c r="J912" s="67">
        <f>EFEITO!$J$912*EFEITO!$Y$701</f>
        <v>0</v>
      </c>
      <c r="K912" s="67">
        <f ca="1">EFEITO!$L$912*EFEITO!$Z$701</f>
        <v>5761.6933487890819</v>
      </c>
      <c r="L912" s="67">
        <f>EFEITO!$N$912*EFEITO!$AA$701</f>
        <v>4855.0467048535229</v>
      </c>
      <c r="M912" s="67">
        <f>$J$912-EFEITO!$K$912*EFEITO!$Y$912</f>
        <v>0</v>
      </c>
      <c r="N912" s="67">
        <f ca="1">$K$912-EFEITO!$M$912*EFEITO!$Z$912</f>
        <v>345.70160092734568</v>
      </c>
      <c r="O912" s="67">
        <f>$L$912-EFEITO!$O$912*EFEITO!$AA$912</f>
        <v>291.30280229121217</v>
      </c>
      <c r="P912" s="18"/>
      <c r="Q912" s="18"/>
      <c r="R912" s="18"/>
      <c r="S912" s="18"/>
      <c r="T912" s="18"/>
      <c r="U912" s="18"/>
      <c r="V912" s="18"/>
      <c r="W912" s="18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1.25" customHeight="1" x14ac:dyDescent="0.2">
      <c r="A913" s="58" t="s">
        <v>21</v>
      </c>
      <c r="B913" s="58" t="s">
        <v>43</v>
      </c>
      <c r="C913" s="58" t="s">
        <v>23</v>
      </c>
      <c r="D913" s="58" t="s">
        <v>44</v>
      </c>
      <c r="E913" s="58" t="s">
        <v>25</v>
      </c>
      <c r="F913" s="58" t="s">
        <v>25</v>
      </c>
      <c r="G913" s="58" t="s">
        <v>25</v>
      </c>
      <c r="H913" s="58" t="s">
        <v>25</v>
      </c>
      <c r="I913" s="66">
        <v>44652</v>
      </c>
      <c r="J913" s="67">
        <f>EFEITO!$J$913*EFEITO!$Y$701</f>
        <v>0</v>
      </c>
      <c r="K913" s="67">
        <f ca="1">EFEITO!$L$913*EFEITO!$Z$701</f>
        <v>1817990.5892011859</v>
      </c>
      <c r="L913" s="67">
        <f>EFEITO!$N$913*EFEITO!$AA$701</f>
        <v>1531915.8249563831</v>
      </c>
      <c r="M913" s="67">
        <f>$J$913-EFEITO!$K$913*EFEITO!$Y$913</f>
        <v>0</v>
      </c>
      <c r="N913" s="67">
        <f ca="1">$K$913-EFEITO!$M$913*EFEITO!$Z$913</f>
        <v>109079.43535207142</v>
      </c>
      <c r="O913" s="67">
        <f>$L$913-EFEITO!$O$913*EFEITO!$AA$913</f>
        <v>91914.949497383321</v>
      </c>
      <c r="P913" s="18"/>
      <c r="Q913" s="18"/>
      <c r="R913" s="18"/>
      <c r="S913" s="18"/>
      <c r="T913" s="18"/>
      <c r="U913" s="18"/>
      <c r="V913" s="18"/>
      <c r="W913" s="18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1.25" customHeight="1" x14ac:dyDescent="0.2">
      <c r="A914" s="58" t="s">
        <v>27</v>
      </c>
      <c r="B914" s="58" t="s">
        <v>43</v>
      </c>
      <c r="C914" s="58" t="s">
        <v>23</v>
      </c>
      <c r="D914" s="58" t="s">
        <v>44</v>
      </c>
      <c r="E914" s="58" t="s">
        <v>25</v>
      </c>
      <c r="F914" s="58" t="s">
        <v>25</v>
      </c>
      <c r="G914" s="58" t="s">
        <v>25</v>
      </c>
      <c r="H914" s="58" t="s">
        <v>25</v>
      </c>
      <c r="I914" s="66">
        <v>44652</v>
      </c>
      <c r="J914" s="67">
        <f>EFEITO!$J$914*EFEITO!$Y$701</f>
        <v>0</v>
      </c>
      <c r="K914" s="67">
        <f ca="1">EFEITO!$L$914*EFEITO!$Z$701</f>
        <v>-4016.6686494674195</v>
      </c>
      <c r="L914" s="67">
        <f>EFEITO!$N$914*EFEITO!$AA$701</f>
        <v>-3384.6150273137559</v>
      </c>
      <c r="M914" s="67">
        <f>$J$914-EFEITO!$K$914*EFEITO!$Y$914</f>
        <v>0</v>
      </c>
      <c r="N914" s="67">
        <f ca="1">$K$914-EFEITO!$M$914*EFEITO!$Z$914</f>
        <v>-241.00011896804563</v>
      </c>
      <c r="O914" s="67">
        <f>$L$914-EFEITO!$O$914*EFEITO!$AA$914</f>
        <v>-203.0769016388258</v>
      </c>
      <c r="P914" s="18"/>
      <c r="Q914" s="18"/>
      <c r="R914" s="18"/>
      <c r="S914" s="18"/>
      <c r="T914" s="18"/>
      <c r="U914" s="18"/>
      <c r="V914" s="18"/>
      <c r="W914" s="18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1.25" customHeight="1" x14ac:dyDescent="0.2">
      <c r="A915" s="58" t="s">
        <v>28</v>
      </c>
      <c r="B915" s="58" t="s">
        <v>43</v>
      </c>
      <c r="C915" s="58" t="s">
        <v>23</v>
      </c>
      <c r="D915" s="58" t="s">
        <v>44</v>
      </c>
      <c r="E915" s="58" t="s">
        <v>25</v>
      </c>
      <c r="F915" s="58" t="s">
        <v>25</v>
      </c>
      <c r="G915" s="58" t="s">
        <v>25</v>
      </c>
      <c r="H915" s="58" t="s">
        <v>25</v>
      </c>
      <c r="I915" s="66">
        <v>44652</v>
      </c>
      <c r="J915" s="67">
        <f>EFEITO!$J$915*EFEITO!$Y$701</f>
        <v>0</v>
      </c>
      <c r="K915" s="67">
        <f ca="1">EFEITO!$L$915*EFEITO!$Z$701</f>
        <v>5761.6933487890819</v>
      </c>
      <c r="L915" s="67">
        <f>EFEITO!$N$915*EFEITO!$AA$701</f>
        <v>4855.0467048535229</v>
      </c>
      <c r="M915" s="67">
        <f>$J$915-EFEITO!$K$915*EFEITO!$Y$915</f>
        <v>0</v>
      </c>
      <c r="N915" s="67">
        <f ca="1">$K$915-EFEITO!$M$915*EFEITO!$Z$915</f>
        <v>345.70160092734568</v>
      </c>
      <c r="O915" s="67">
        <f>$L$915-EFEITO!$O$915*EFEITO!$AA$915</f>
        <v>291.30280229121217</v>
      </c>
      <c r="P915" s="18"/>
      <c r="Q915" s="18"/>
      <c r="R915" s="18"/>
      <c r="S915" s="18"/>
      <c r="T915" s="18"/>
      <c r="U915" s="18"/>
      <c r="V915" s="18"/>
      <c r="W915" s="18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1.25" customHeight="1" x14ac:dyDescent="0.2">
      <c r="A916" s="58" t="s">
        <v>21</v>
      </c>
      <c r="B916" s="58" t="s">
        <v>43</v>
      </c>
      <c r="C916" s="58" t="s">
        <v>23</v>
      </c>
      <c r="D916" s="58" t="s">
        <v>44</v>
      </c>
      <c r="E916" s="58" t="s">
        <v>25</v>
      </c>
      <c r="F916" s="58" t="s">
        <v>25</v>
      </c>
      <c r="G916" s="58" t="s">
        <v>25</v>
      </c>
      <c r="H916" s="58" t="s">
        <v>25</v>
      </c>
      <c r="I916" s="66">
        <v>44682</v>
      </c>
      <c r="J916" s="67">
        <f>EFEITO!$J$916*EFEITO!$Y$701</f>
        <v>0</v>
      </c>
      <c r="K916" s="67">
        <f ca="1">EFEITO!$L$916*EFEITO!$Z$701</f>
        <v>1750333.1809515599</v>
      </c>
      <c r="L916" s="67">
        <f>EFEITO!$N$916*EFEITO!$AA$701</f>
        <v>1474904.8288660911</v>
      </c>
      <c r="M916" s="67">
        <f>$J$916-EFEITO!$K$916*EFEITO!$Y$916</f>
        <v>0</v>
      </c>
      <c r="N916" s="67">
        <f ca="1">$K$916-EFEITO!$M$916*EFEITO!$Z$916</f>
        <v>105019.99085709359</v>
      </c>
      <c r="O916" s="67">
        <f>$L$916-EFEITO!$O$916*EFEITO!$AA$916</f>
        <v>88494.289731965633</v>
      </c>
      <c r="P916" s="18"/>
      <c r="Q916" s="18"/>
      <c r="R916" s="18"/>
      <c r="S916" s="18"/>
      <c r="T916" s="18"/>
      <c r="U916" s="18"/>
      <c r="V916" s="18"/>
      <c r="W916" s="18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1.25" customHeight="1" x14ac:dyDescent="0.2">
      <c r="A917" s="58" t="s">
        <v>27</v>
      </c>
      <c r="B917" s="58" t="s">
        <v>43</v>
      </c>
      <c r="C917" s="58" t="s">
        <v>23</v>
      </c>
      <c r="D917" s="58" t="s">
        <v>44</v>
      </c>
      <c r="E917" s="58" t="s">
        <v>25</v>
      </c>
      <c r="F917" s="58" t="s">
        <v>25</v>
      </c>
      <c r="G917" s="58" t="s">
        <v>25</v>
      </c>
      <c r="H917" s="58" t="s">
        <v>25</v>
      </c>
      <c r="I917" s="66">
        <v>44682</v>
      </c>
      <c r="J917" s="67">
        <f>EFEITO!$J$917*EFEITO!$Y$701</f>
        <v>0</v>
      </c>
      <c r="K917" s="67">
        <f ca="1">EFEITO!$L$917*EFEITO!$Z$701</f>
        <v>-5709.8293316624658</v>
      </c>
      <c r="L917" s="67">
        <f>EFEITO!$N$917*EFEITO!$AA$701</f>
        <v>-4811.3438886486365</v>
      </c>
      <c r="M917" s="67">
        <f>$J$917-EFEITO!$K$917*EFEITO!$Y$917</f>
        <v>0</v>
      </c>
      <c r="N917" s="67">
        <f ca="1">$K$917-EFEITO!$M$917*EFEITO!$Z$917</f>
        <v>-342.58975989974806</v>
      </c>
      <c r="O917" s="67">
        <f>$L$917-EFEITO!$O$917*EFEITO!$AA$917</f>
        <v>-288.68063331891881</v>
      </c>
      <c r="P917" s="18"/>
      <c r="Q917" s="18"/>
      <c r="R917" s="18"/>
      <c r="S917" s="18"/>
      <c r="T917" s="18"/>
      <c r="U917" s="18"/>
      <c r="V917" s="18"/>
      <c r="W917" s="18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1.25" customHeight="1" x14ac:dyDescent="0.2">
      <c r="A918" s="58" t="s">
        <v>28</v>
      </c>
      <c r="B918" s="58" t="s">
        <v>43</v>
      </c>
      <c r="C918" s="58" t="s">
        <v>23</v>
      </c>
      <c r="D918" s="58" t="s">
        <v>44</v>
      </c>
      <c r="E918" s="58" t="s">
        <v>25</v>
      </c>
      <c r="F918" s="58" t="s">
        <v>25</v>
      </c>
      <c r="G918" s="58" t="s">
        <v>25</v>
      </c>
      <c r="H918" s="58" t="s">
        <v>25</v>
      </c>
      <c r="I918" s="66">
        <v>44682</v>
      </c>
      <c r="J918" s="67">
        <f>EFEITO!$J$918*EFEITO!$Y$701</f>
        <v>0</v>
      </c>
      <c r="K918" s="67">
        <f ca="1">EFEITO!$L$918*EFEITO!$Z$701</f>
        <v>25592.099774139453</v>
      </c>
      <c r="L918" s="67">
        <f>EFEITO!$N$918*EFEITO!$AA$701</f>
        <v>21564.986568546166</v>
      </c>
      <c r="M918" s="67">
        <f>$J$918-EFEITO!$K$918*EFEITO!$Y$918</f>
        <v>0</v>
      </c>
      <c r="N918" s="67">
        <f ca="1">$K$918-EFEITO!$M$918*EFEITO!$Z$918</f>
        <v>1535.5259864483669</v>
      </c>
      <c r="O918" s="67">
        <f>$L$918-EFEITO!$O$918*EFEITO!$AA$918</f>
        <v>1293.8991941127715</v>
      </c>
      <c r="P918" s="18"/>
      <c r="Q918" s="18"/>
      <c r="R918" s="18"/>
      <c r="S918" s="18"/>
      <c r="T918" s="18"/>
      <c r="U918" s="18"/>
      <c r="V918" s="18"/>
      <c r="W918" s="18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1.25" customHeight="1" x14ac:dyDescent="0.2">
      <c r="A919" s="58" t="s">
        <v>21</v>
      </c>
      <c r="B919" s="58" t="s">
        <v>43</v>
      </c>
      <c r="C919" s="58" t="s">
        <v>23</v>
      </c>
      <c r="D919" s="58" t="s">
        <v>44</v>
      </c>
      <c r="E919" s="58" t="s">
        <v>25</v>
      </c>
      <c r="F919" s="58" t="s">
        <v>25</v>
      </c>
      <c r="G919" s="58" t="s">
        <v>25</v>
      </c>
      <c r="H919" s="58" t="s">
        <v>25</v>
      </c>
      <c r="I919" s="66">
        <v>44713</v>
      </c>
      <c r="J919" s="67">
        <f>EFEITO!$J$919*EFEITO!$Y$701</f>
        <v>0</v>
      </c>
      <c r="K919" s="67">
        <f ca="1">EFEITO!$L$919*EFEITO!$Z$701</f>
        <v>1654221.9760443396</v>
      </c>
      <c r="L919" s="67">
        <f>EFEITO!$N$919*EFEITO!$AA$701</f>
        <v>1393917.4592792713</v>
      </c>
      <c r="M919" s="67">
        <f>$J$919-EFEITO!$K$919*EFEITO!$Y$919</f>
        <v>0</v>
      </c>
      <c r="N919" s="67">
        <f ca="1">$K$919-EFEITO!$M$919*EFEITO!$Z$919</f>
        <v>99253.318562660599</v>
      </c>
      <c r="O919" s="67">
        <f>$L$919-EFEITO!$O$919*EFEITO!$AA$919</f>
        <v>83635.047556756297</v>
      </c>
      <c r="P919" s="18"/>
      <c r="Q919" s="18"/>
      <c r="R919" s="18"/>
      <c r="S919" s="18"/>
      <c r="T919" s="18"/>
      <c r="U919" s="18"/>
      <c r="V919" s="18"/>
      <c r="W919" s="18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1.25" customHeight="1" x14ac:dyDescent="0.2">
      <c r="A920" s="58" t="s">
        <v>27</v>
      </c>
      <c r="B920" s="58" t="s">
        <v>43</v>
      </c>
      <c r="C920" s="58" t="s">
        <v>23</v>
      </c>
      <c r="D920" s="58" t="s">
        <v>44</v>
      </c>
      <c r="E920" s="58" t="s">
        <v>25</v>
      </c>
      <c r="F920" s="58" t="s">
        <v>25</v>
      </c>
      <c r="G920" s="58" t="s">
        <v>25</v>
      </c>
      <c r="H920" s="58" t="s">
        <v>25</v>
      </c>
      <c r="I920" s="66">
        <v>44713</v>
      </c>
      <c r="J920" s="67">
        <f>EFEITO!$J$920*EFEITO!$Y$701</f>
        <v>0</v>
      </c>
      <c r="K920" s="67">
        <f ca="1">EFEITO!$L$920*EFEITO!$Z$701</f>
        <v>-1782.5263732439839</v>
      </c>
      <c r="L920" s="67">
        <f>EFEITO!$N$920*EFEITO!$AA$701</f>
        <v>-1502.0321754109914</v>
      </c>
      <c r="M920" s="67">
        <f>$J$920-EFEITO!$K$920*EFEITO!$Y$920</f>
        <v>0</v>
      </c>
      <c r="N920" s="67">
        <f ca="1">$K$920-EFEITO!$M$920*EFEITO!$Z$920</f>
        <v>-106.95158239463899</v>
      </c>
      <c r="O920" s="67">
        <f>$L$920-EFEITO!$O$920*EFEITO!$AA$920</f>
        <v>-90.121930524659547</v>
      </c>
      <c r="P920" s="18"/>
      <c r="Q920" s="18"/>
      <c r="R920" s="18"/>
      <c r="S920" s="18"/>
      <c r="T920" s="18"/>
      <c r="U920" s="18"/>
      <c r="V920" s="18"/>
      <c r="W920" s="18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1.25" customHeight="1" x14ac:dyDescent="0.2">
      <c r="A921" s="58" t="s">
        <v>28</v>
      </c>
      <c r="B921" s="58" t="s">
        <v>43</v>
      </c>
      <c r="C921" s="58" t="s">
        <v>23</v>
      </c>
      <c r="D921" s="58" t="s">
        <v>44</v>
      </c>
      <c r="E921" s="58" t="s">
        <v>25</v>
      </c>
      <c r="F921" s="58" t="s">
        <v>25</v>
      </c>
      <c r="G921" s="58" t="s">
        <v>25</v>
      </c>
      <c r="H921" s="58" t="s">
        <v>25</v>
      </c>
      <c r="I921" s="66">
        <v>44713</v>
      </c>
      <c r="J921" s="67">
        <f>EFEITO!$J$921*EFEITO!$Y$701</f>
        <v>0</v>
      </c>
      <c r="K921" s="67">
        <f ca="1">EFEITO!$L$921*EFEITO!$Z$701</f>
        <v>6317.4362399996617</v>
      </c>
      <c r="L921" s="67">
        <f>EFEITO!$N$921*EFEITO!$AA$701</f>
        <v>5323.3391892643358</v>
      </c>
      <c r="M921" s="67">
        <f>$J$921-EFEITO!$K$921*EFEITO!$Y$921</f>
        <v>0</v>
      </c>
      <c r="N921" s="67">
        <f ca="1">$K$921-EFEITO!$M$921*EFEITO!$Z$921</f>
        <v>379.04617439998037</v>
      </c>
      <c r="O921" s="67">
        <f>$L$921-EFEITO!$O$921*EFEITO!$AA$921</f>
        <v>319.40035135586095</v>
      </c>
      <c r="P921" s="18"/>
      <c r="Q921" s="18"/>
      <c r="R921" s="18"/>
      <c r="S921" s="18"/>
      <c r="T921" s="18"/>
      <c r="U921" s="18"/>
      <c r="V921" s="18"/>
      <c r="W921" s="18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1.25" customHeight="1" x14ac:dyDescent="0.2">
      <c r="A922" s="58" t="s">
        <v>21</v>
      </c>
      <c r="B922" s="58" t="s">
        <v>43</v>
      </c>
      <c r="C922" s="58" t="s">
        <v>23</v>
      </c>
      <c r="D922" s="58" t="s">
        <v>44</v>
      </c>
      <c r="E922" s="58" t="s">
        <v>25</v>
      </c>
      <c r="F922" s="58" t="s">
        <v>25</v>
      </c>
      <c r="G922" s="58" t="s">
        <v>25</v>
      </c>
      <c r="H922" s="58" t="s">
        <v>25</v>
      </c>
      <c r="I922" s="66">
        <v>44743</v>
      </c>
      <c r="J922" s="67">
        <f>EFEITO!$J$922*EFEITO!$Y$701</f>
        <v>0</v>
      </c>
      <c r="K922" s="67">
        <f ca="1">EFEITO!$L$922*EFEITO!$Z$701</f>
        <v>1603787.0120665513</v>
      </c>
      <c r="L922" s="67">
        <f>EFEITO!$N$922*EFEITO!$AA$701</f>
        <v>1351418.8237485848</v>
      </c>
      <c r="M922" s="67">
        <f>$J$922-EFEITO!$K$922*EFEITO!$Y$922</f>
        <v>0</v>
      </c>
      <c r="N922" s="67">
        <f ca="1">$K$922-EFEITO!$M$922*EFEITO!$Z$922</f>
        <v>96227.220723993145</v>
      </c>
      <c r="O922" s="67">
        <f>$L$922-EFEITO!$O$922*EFEITO!$AA$922</f>
        <v>81085.129424915183</v>
      </c>
      <c r="P922" s="18"/>
      <c r="Q922" s="18"/>
      <c r="R922" s="18"/>
      <c r="S922" s="18"/>
      <c r="T922" s="18"/>
      <c r="U922" s="18"/>
      <c r="V922" s="18"/>
      <c r="W922" s="18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1.25" customHeight="1" x14ac:dyDescent="0.2">
      <c r="A923" s="58" t="s">
        <v>27</v>
      </c>
      <c r="B923" s="58" t="s">
        <v>43</v>
      </c>
      <c r="C923" s="58" t="s">
        <v>23</v>
      </c>
      <c r="D923" s="58" t="s">
        <v>44</v>
      </c>
      <c r="E923" s="58" t="s">
        <v>25</v>
      </c>
      <c r="F923" s="58" t="s">
        <v>25</v>
      </c>
      <c r="G923" s="58" t="s">
        <v>25</v>
      </c>
      <c r="H923" s="58" t="s">
        <v>25</v>
      </c>
      <c r="I923" s="66">
        <v>44743</v>
      </c>
      <c r="J923" s="67">
        <f>EFEITO!$J$923*EFEITO!$Y$701</f>
        <v>0</v>
      </c>
      <c r="K923" s="67">
        <f ca="1">EFEITO!$L$923*EFEITO!$Z$701</f>
        <v>-3172.4820322372784</v>
      </c>
      <c r="L923" s="67">
        <f>EFEITO!$N$923*EFEITO!$AA$701</f>
        <v>-2673.2676497019256</v>
      </c>
      <c r="M923" s="67">
        <f>$J$923-EFEITO!$K$923*EFEITO!$Y$923</f>
        <v>0</v>
      </c>
      <c r="N923" s="67">
        <f ca="1">$K$923-EFEITO!$M$923*EFEITO!$Z$923</f>
        <v>-190.34892193423684</v>
      </c>
      <c r="O923" s="67">
        <f>$L$923-EFEITO!$O$923*EFEITO!$AA$923</f>
        <v>-160.39605898211585</v>
      </c>
      <c r="P923" s="18"/>
      <c r="Q923" s="18"/>
      <c r="R923" s="18"/>
      <c r="S923" s="18"/>
      <c r="T923" s="18"/>
      <c r="U923" s="18"/>
      <c r="V923" s="18"/>
      <c r="W923" s="18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1.25" customHeight="1" x14ac:dyDescent="0.2">
      <c r="A924" s="58" t="s">
        <v>28</v>
      </c>
      <c r="B924" s="58" t="s">
        <v>43</v>
      </c>
      <c r="C924" s="58" t="s">
        <v>23</v>
      </c>
      <c r="D924" s="58" t="s">
        <v>44</v>
      </c>
      <c r="E924" s="58" t="s">
        <v>25</v>
      </c>
      <c r="F924" s="58" t="s">
        <v>25</v>
      </c>
      <c r="G924" s="58" t="s">
        <v>25</v>
      </c>
      <c r="H924" s="58" t="s">
        <v>25</v>
      </c>
      <c r="I924" s="66">
        <v>44743</v>
      </c>
      <c r="J924" s="67">
        <f>EFEITO!$J$924*EFEITO!$Y$701</f>
        <v>0</v>
      </c>
      <c r="K924" s="67">
        <f ca="1">EFEITO!$L$924*EFEITO!$Z$701</f>
        <v>11997.344023319849</v>
      </c>
      <c r="L924" s="67">
        <f>EFEITO!$N$924*EFEITO!$AA$701</f>
        <v>10109.469914717845</v>
      </c>
      <c r="M924" s="67">
        <f>$J$924-EFEITO!$K$924*EFEITO!$Y$924</f>
        <v>0</v>
      </c>
      <c r="N924" s="67">
        <f ca="1">$K$924-EFEITO!$M$924*EFEITO!$Z$924</f>
        <v>719.84064139919064</v>
      </c>
      <c r="O924" s="67">
        <f>$L$924-EFEITO!$O$924*EFEITO!$AA$924</f>
        <v>606.56819488307156</v>
      </c>
      <c r="P924" s="18"/>
      <c r="Q924" s="18"/>
      <c r="R924" s="18"/>
      <c r="S924" s="18"/>
      <c r="T924" s="18"/>
      <c r="U924" s="18"/>
      <c r="V924" s="18"/>
      <c r="W924" s="18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1.25" customHeight="1" x14ac:dyDescent="0.2">
      <c r="A925" s="58" t="s">
        <v>21</v>
      </c>
      <c r="B925" s="58" t="s">
        <v>43</v>
      </c>
      <c r="C925" s="58" t="s">
        <v>23</v>
      </c>
      <c r="D925" s="58" t="s">
        <v>44</v>
      </c>
      <c r="E925" s="58" t="s">
        <v>25</v>
      </c>
      <c r="F925" s="58" t="s">
        <v>25</v>
      </c>
      <c r="G925" s="58" t="s">
        <v>25</v>
      </c>
      <c r="H925" s="58" t="s">
        <v>25</v>
      </c>
      <c r="I925" s="66">
        <v>44774</v>
      </c>
      <c r="J925" s="67">
        <f>EFEITO!$J$925*EFEITO!$Y$701</f>
        <v>0</v>
      </c>
      <c r="K925" s="67">
        <f ca="1">EFEITO!$L$925*EFEITO!$Z$701</f>
        <v>1839699.2709544753</v>
      </c>
      <c r="L925" s="67">
        <f>EFEITO!$N$925*EFEITO!$AA$701</f>
        <v>1550208.4791177108</v>
      </c>
      <c r="M925" s="67">
        <f>$J$925-EFEITO!$K$925*EFEITO!$Y$925</f>
        <v>0</v>
      </c>
      <c r="N925" s="67">
        <f ca="1">$K$925-EFEITO!$M$925*EFEITO!$Z$925</f>
        <v>110381.95625726855</v>
      </c>
      <c r="O925" s="67">
        <f>$L$925-EFEITO!$O$925*EFEITO!$AA$925</f>
        <v>93012.508747062646</v>
      </c>
      <c r="P925" s="18"/>
      <c r="Q925" s="18"/>
      <c r="R925" s="18"/>
      <c r="S925" s="18"/>
      <c r="T925" s="18"/>
      <c r="U925" s="18"/>
      <c r="V925" s="18"/>
      <c r="W925" s="18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1.25" customHeight="1" x14ac:dyDescent="0.2">
      <c r="A926" s="58" t="s">
        <v>27</v>
      </c>
      <c r="B926" s="58" t="s">
        <v>43</v>
      </c>
      <c r="C926" s="58" t="s">
        <v>23</v>
      </c>
      <c r="D926" s="58" t="s">
        <v>44</v>
      </c>
      <c r="E926" s="58" t="s">
        <v>25</v>
      </c>
      <c r="F926" s="58" t="s">
        <v>25</v>
      </c>
      <c r="G926" s="58" t="s">
        <v>25</v>
      </c>
      <c r="H926" s="58" t="s">
        <v>25</v>
      </c>
      <c r="I926" s="66">
        <v>44774</v>
      </c>
      <c r="J926" s="67">
        <f>EFEITO!$J$926*EFEITO!$Y$701</f>
        <v>0</v>
      </c>
      <c r="K926" s="67">
        <f ca="1">EFEITO!$L$926*EFEITO!$Z$701</f>
        <v>-2522.9849562208942</v>
      </c>
      <c r="L926" s="67">
        <f>EFEITO!$N$926*EFEITO!$AA$701</f>
        <v>-2125.9739206130507</v>
      </c>
      <c r="M926" s="67">
        <f>$J$926-EFEITO!$K$926*EFEITO!$Y$926</f>
        <v>0</v>
      </c>
      <c r="N926" s="67">
        <f ca="1">$K$926-EFEITO!$M$926*EFEITO!$Z$926</f>
        <v>-151.3790973732539</v>
      </c>
      <c r="O926" s="67">
        <f>$L$926-EFEITO!$O$926*EFEITO!$AA$926</f>
        <v>-127.55843523678345</v>
      </c>
      <c r="P926" s="18"/>
      <c r="Q926" s="18"/>
      <c r="R926" s="18"/>
      <c r="S926" s="18"/>
      <c r="T926" s="18"/>
      <c r="U926" s="18"/>
      <c r="V926" s="18"/>
      <c r="W926" s="18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1.25" customHeight="1" x14ac:dyDescent="0.2">
      <c r="A927" s="58" t="s">
        <v>28</v>
      </c>
      <c r="B927" s="58" t="s">
        <v>43</v>
      </c>
      <c r="C927" s="58" t="s">
        <v>23</v>
      </c>
      <c r="D927" s="58" t="s">
        <v>44</v>
      </c>
      <c r="E927" s="58" t="s">
        <v>25</v>
      </c>
      <c r="F927" s="58" t="s">
        <v>25</v>
      </c>
      <c r="G927" s="58" t="s">
        <v>25</v>
      </c>
      <c r="H927" s="58" t="s">
        <v>25</v>
      </c>
      <c r="I927" s="66">
        <v>44774</v>
      </c>
      <c r="J927" s="67">
        <f>EFEITO!$J$927*EFEITO!$Y$701</f>
        <v>0</v>
      </c>
      <c r="K927" s="67">
        <f ca="1">EFEITO!$L$927*EFEITO!$Z$701</f>
        <v>11785.499461056521</v>
      </c>
      <c r="L927" s="67">
        <f>EFEITO!$N$927*EFEITO!$AA$701</f>
        <v>9930.9607192963522</v>
      </c>
      <c r="M927" s="67">
        <f>$J$927-EFEITO!$K$927*EFEITO!$Y$927</f>
        <v>0</v>
      </c>
      <c r="N927" s="67">
        <f ca="1">$K$927-EFEITO!$M$927*EFEITO!$Z$927</f>
        <v>707.12996766339347</v>
      </c>
      <c r="O927" s="67">
        <f>$L$927-EFEITO!$O$927*EFEITO!$AA$927</f>
        <v>595.85764315778215</v>
      </c>
      <c r="P927" s="18"/>
      <c r="Q927" s="18"/>
      <c r="R927" s="18"/>
      <c r="S927" s="18"/>
      <c r="T927" s="18"/>
      <c r="U927" s="18"/>
      <c r="V927" s="18"/>
      <c r="W927" s="18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1.25" customHeight="1" x14ac:dyDescent="0.2">
      <c r="A928" s="58" t="s">
        <v>21</v>
      </c>
      <c r="B928" s="58" t="s">
        <v>43</v>
      </c>
      <c r="C928" s="58" t="s">
        <v>23</v>
      </c>
      <c r="D928" s="58" t="s">
        <v>44</v>
      </c>
      <c r="E928" s="58" t="s">
        <v>25</v>
      </c>
      <c r="F928" s="58" t="s">
        <v>25</v>
      </c>
      <c r="G928" s="58" t="s">
        <v>25</v>
      </c>
      <c r="H928" s="58" t="s">
        <v>25</v>
      </c>
      <c r="I928" s="66">
        <v>44805</v>
      </c>
      <c r="J928" s="67">
        <f>EFEITO!$J$928*EFEITO!$Y$701</f>
        <v>0</v>
      </c>
      <c r="K928" s="67">
        <f ca="1">EFEITO!$L$928*EFEITO!$Z$701</f>
        <v>1786136.1088359964</v>
      </c>
      <c r="L928" s="67">
        <f>EFEITO!$N$928*EFEITO!$AA$701</f>
        <v>1505073.8914188514</v>
      </c>
      <c r="M928" s="67">
        <f>$J$928-EFEITO!$K$928*EFEITO!$Y$928</f>
        <v>0</v>
      </c>
      <c r="N928" s="67">
        <f ca="1">$K$928-EFEITO!$M$928*EFEITO!$Z$928</f>
        <v>107168.16653016</v>
      </c>
      <c r="O928" s="67">
        <f>$L$928-EFEITO!$O$928*EFEITO!$AA$928</f>
        <v>90304.433485131245</v>
      </c>
      <c r="P928" s="18"/>
      <c r="Q928" s="18"/>
      <c r="R928" s="18"/>
      <c r="S928" s="18"/>
      <c r="T928" s="18"/>
      <c r="U928" s="18"/>
      <c r="V928" s="18"/>
      <c r="W928" s="18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1.25" customHeight="1" x14ac:dyDescent="0.2">
      <c r="A929" s="58" t="s">
        <v>27</v>
      </c>
      <c r="B929" s="58" t="s">
        <v>43</v>
      </c>
      <c r="C929" s="58" t="s">
        <v>23</v>
      </c>
      <c r="D929" s="58" t="s">
        <v>44</v>
      </c>
      <c r="E929" s="58" t="s">
        <v>25</v>
      </c>
      <c r="F929" s="58" t="s">
        <v>25</v>
      </c>
      <c r="G929" s="58" t="s">
        <v>25</v>
      </c>
      <c r="H929" s="58" t="s">
        <v>25</v>
      </c>
      <c r="I929" s="66">
        <v>44805</v>
      </c>
      <c r="J929" s="67">
        <f>EFEITO!$J$929*EFEITO!$Y$701</f>
        <v>0</v>
      </c>
      <c r="K929" s="67">
        <f ca="1">EFEITO!$L$929*EFEITO!$Z$701</f>
        <v>-6858.4178340280496</v>
      </c>
      <c r="L929" s="67">
        <f>EFEITO!$N$929*EFEITO!$AA$701</f>
        <v>-5779.1931798322184</v>
      </c>
      <c r="M929" s="67">
        <f>$J$929-EFEITO!$K$929*EFEITO!$Y$929</f>
        <v>0</v>
      </c>
      <c r="N929" s="67">
        <f ca="1">$K$929-EFEITO!$M$929*EFEITO!$Z$929</f>
        <v>-411.50507004168321</v>
      </c>
      <c r="O929" s="67">
        <f>$L$929-EFEITO!$O$929*EFEITO!$AA$929</f>
        <v>-346.75159078993329</v>
      </c>
      <c r="P929" s="18"/>
      <c r="Q929" s="18"/>
      <c r="R929" s="18"/>
      <c r="S929" s="18"/>
      <c r="T929" s="18"/>
      <c r="U929" s="18"/>
      <c r="V929" s="18"/>
      <c r="W929" s="18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1.25" customHeight="1" x14ac:dyDescent="0.2">
      <c r="A930" s="58" t="s">
        <v>28</v>
      </c>
      <c r="B930" s="58" t="s">
        <v>43</v>
      </c>
      <c r="C930" s="58" t="s">
        <v>23</v>
      </c>
      <c r="D930" s="58" t="s">
        <v>44</v>
      </c>
      <c r="E930" s="58" t="s">
        <v>25</v>
      </c>
      <c r="F930" s="58" t="s">
        <v>25</v>
      </c>
      <c r="G930" s="58" t="s">
        <v>25</v>
      </c>
      <c r="H930" s="58" t="s">
        <v>25</v>
      </c>
      <c r="I930" s="66">
        <v>44805</v>
      </c>
      <c r="J930" s="67">
        <f>EFEITO!$J$930*EFEITO!$Y$701</f>
        <v>0</v>
      </c>
      <c r="K930" s="67">
        <f ca="1">EFEITO!$L$930*EFEITO!$Z$701</f>
        <v>13504.592151814875</v>
      </c>
      <c r="L930" s="67">
        <f>EFEITO!$N$930*EFEITO!$AA$701</f>
        <v>11379.540988733675</v>
      </c>
      <c r="M930" s="67">
        <f>$J$930-EFEITO!$K$930*EFEITO!$Y$930</f>
        <v>0</v>
      </c>
      <c r="N930" s="67">
        <f ca="1">$K$930-EFEITO!$M$930*EFEITO!$Z$930</f>
        <v>810.27552910889426</v>
      </c>
      <c r="O930" s="67">
        <f>$L$930-EFEITO!$O$930*EFEITO!$AA$930</f>
        <v>682.77245932402184</v>
      </c>
      <c r="P930" s="18"/>
      <c r="Q930" s="18"/>
      <c r="R930" s="18"/>
      <c r="S930" s="18"/>
      <c r="T930" s="18"/>
      <c r="U930" s="18"/>
      <c r="V930" s="18"/>
      <c r="W930" s="18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1.25" customHeight="1" x14ac:dyDescent="0.2">
      <c r="A931" s="58" t="s">
        <v>55</v>
      </c>
      <c r="B931" s="58" t="s">
        <v>43</v>
      </c>
      <c r="C931" s="58" t="s">
        <v>23</v>
      </c>
      <c r="D931" s="58" t="s">
        <v>44</v>
      </c>
      <c r="E931" s="58" t="s">
        <v>25</v>
      </c>
      <c r="F931" s="58" t="s">
        <v>25</v>
      </c>
      <c r="G931" s="58" t="s">
        <v>25</v>
      </c>
      <c r="H931" s="58" t="s">
        <v>25</v>
      </c>
      <c r="I931" s="66">
        <v>44835</v>
      </c>
      <c r="J931" s="67">
        <f>EFEITO!$J$931*EFEITO!$Y$701</f>
        <v>0</v>
      </c>
      <c r="K931" s="67">
        <f ca="1">EFEITO!$L$931*EFEITO!$Z$701</f>
        <v>1786136.1088359964</v>
      </c>
      <c r="L931" s="67">
        <f>EFEITO!$N$931*EFEITO!$AA$701</f>
        <v>1505073.8914188514</v>
      </c>
      <c r="M931" s="67">
        <f>$J$931-EFEITO!$K$931*EFEITO!$Y$931</f>
        <v>0</v>
      </c>
      <c r="N931" s="67">
        <f ca="1">$K$931-EFEITO!$M$931*EFEITO!$Z$931</f>
        <v>107168.16653016</v>
      </c>
      <c r="O931" s="67">
        <f>$L$931-EFEITO!$O$931*EFEITO!$AA$931</f>
        <v>90304.433485131245</v>
      </c>
      <c r="P931" s="18"/>
      <c r="Q931" s="18"/>
      <c r="R931" s="18"/>
      <c r="S931" s="18"/>
      <c r="T931" s="18"/>
      <c r="U931" s="18"/>
      <c r="V931" s="18"/>
      <c r="W931" s="18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1.25" customHeight="1" x14ac:dyDescent="0.2">
      <c r="A932" s="58" t="s">
        <v>55</v>
      </c>
      <c r="B932" s="58" t="s">
        <v>43</v>
      </c>
      <c r="C932" s="58" t="s">
        <v>23</v>
      </c>
      <c r="D932" s="58" t="s">
        <v>44</v>
      </c>
      <c r="E932" s="58" t="s">
        <v>25</v>
      </c>
      <c r="F932" s="58" t="s">
        <v>25</v>
      </c>
      <c r="G932" s="58" t="s">
        <v>25</v>
      </c>
      <c r="H932" s="58" t="s">
        <v>25</v>
      </c>
      <c r="I932" s="66">
        <v>44835</v>
      </c>
      <c r="J932" s="67">
        <f>EFEITO!$J$932*EFEITO!$Y$701</f>
        <v>0</v>
      </c>
      <c r="K932" s="67">
        <f ca="1">EFEITO!$L$932*EFEITO!$Z$701</f>
        <v>-6858.4178340280496</v>
      </c>
      <c r="L932" s="67">
        <f>EFEITO!$N$932*EFEITO!$AA$701</f>
        <v>-5779.1931798322184</v>
      </c>
      <c r="M932" s="67">
        <f>$J$932-EFEITO!$K$932*EFEITO!$Y$932</f>
        <v>0</v>
      </c>
      <c r="N932" s="67">
        <f ca="1">$K$932-EFEITO!$M$932*EFEITO!$Z$932</f>
        <v>-411.50507004168321</v>
      </c>
      <c r="O932" s="67">
        <f>$L$932-EFEITO!$O$932*EFEITO!$AA$932</f>
        <v>-346.75159078993329</v>
      </c>
      <c r="P932" s="18"/>
      <c r="Q932" s="18"/>
      <c r="R932" s="18"/>
      <c r="S932" s="18"/>
      <c r="T932" s="18"/>
      <c r="U932" s="18"/>
      <c r="V932" s="18"/>
      <c r="W932" s="18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1.25" customHeight="1" x14ac:dyDescent="0.2">
      <c r="A933" s="58" t="s">
        <v>55</v>
      </c>
      <c r="B933" s="58" t="s">
        <v>43</v>
      </c>
      <c r="C933" s="58" t="s">
        <v>23</v>
      </c>
      <c r="D933" s="58" t="s">
        <v>44</v>
      </c>
      <c r="E933" s="58" t="s">
        <v>25</v>
      </c>
      <c r="F933" s="58" t="s">
        <v>25</v>
      </c>
      <c r="G933" s="58" t="s">
        <v>25</v>
      </c>
      <c r="H933" s="58" t="s">
        <v>25</v>
      </c>
      <c r="I933" s="66">
        <v>44835</v>
      </c>
      <c r="J933" s="67">
        <f>EFEITO!$J$933*EFEITO!$Y$701</f>
        <v>0</v>
      </c>
      <c r="K933" s="67">
        <f ca="1">EFEITO!$L$933*EFEITO!$Z$701</f>
        <v>13504.592151814875</v>
      </c>
      <c r="L933" s="67">
        <f>EFEITO!$N$933*EFEITO!$AA$701</f>
        <v>11379.540988733675</v>
      </c>
      <c r="M933" s="67">
        <f>$J$933-EFEITO!$K$933*EFEITO!$Y$933</f>
        <v>0</v>
      </c>
      <c r="N933" s="67">
        <f ca="1">$K$933-EFEITO!$M$933*EFEITO!$Z$933</f>
        <v>810.27552910889426</v>
      </c>
      <c r="O933" s="67">
        <f>$L$933-EFEITO!$O$933*EFEITO!$AA$933</f>
        <v>682.77245932402184</v>
      </c>
      <c r="P933" s="18"/>
      <c r="Q933" s="18"/>
      <c r="R933" s="18"/>
      <c r="S933" s="18"/>
      <c r="T933" s="18"/>
      <c r="U933" s="18"/>
      <c r="V933" s="18"/>
      <c r="W933" s="18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1.25" customHeight="1" x14ac:dyDescent="0.2">
      <c r="A934" s="58" t="s">
        <v>21</v>
      </c>
      <c r="B934" s="58" t="s">
        <v>37</v>
      </c>
      <c r="C934" s="58" t="s">
        <v>33</v>
      </c>
      <c r="D934" s="58" t="s">
        <v>42</v>
      </c>
      <c r="E934" s="58" t="s">
        <v>25</v>
      </c>
      <c r="F934" s="58" t="s">
        <v>25</v>
      </c>
      <c r="G934" s="58" t="s">
        <v>25</v>
      </c>
      <c r="H934" s="58" t="s">
        <v>35</v>
      </c>
      <c r="I934" s="66">
        <v>44501</v>
      </c>
      <c r="J934" s="67">
        <f>EFEITO!$J$934*EFEITO!$Y$934</f>
        <v>0</v>
      </c>
      <c r="K934" s="67">
        <f ca="1">EFEITO!$L$934*EFEITO!$Z$934</f>
        <v>29979.374367677541</v>
      </c>
      <c r="L934" s="67">
        <f>EFEITO!$N$934*EFEITO!$AA$934</f>
        <v>28314.769304324273</v>
      </c>
      <c r="M934" s="67">
        <f>$J$934-EFEITO!$K$934*EFEITO!$Y$934</f>
        <v>0</v>
      </c>
      <c r="N934" s="67">
        <f ca="1">$K$934-EFEITO!$M$934*EFEITO!$Z$934</f>
        <v>0</v>
      </c>
      <c r="O934" s="67">
        <f>$L$934-EFEITO!$O$934*EFEITO!$AA$934</f>
        <v>0</v>
      </c>
      <c r="P934" s="18"/>
      <c r="Q934" s="18"/>
      <c r="R934" s="18"/>
      <c r="S934" s="18"/>
      <c r="T934" s="18"/>
      <c r="U934" s="18"/>
      <c r="V934" s="18"/>
      <c r="W934" s="18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1.25" customHeight="1" x14ac:dyDescent="0.2">
      <c r="A935" s="58" t="s">
        <v>28</v>
      </c>
      <c r="B935" s="58" t="s">
        <v>37</v>
      </c>
      <c r="C935" s="58" t="s">
        <v>33</v>
      </c>
      <c r="D935" s="58" t="s">
        <v>42</v>
      </c>
      <c r="E935" s="58" t="s">
        <v>25</v>
      </c>
      <c r="F935" s="58" t="s">
        <v>25</v>
      </c>
      <c r="G935" s="58" t="s">
        <v>25</v>
      </c>
      <c r="H935" s="58" t="s">
        <v>35</v>
      </c>
      <c r="I935" s="66">
        <v>44501</v>
      </c>
      <c r="J935" s="67">
        <f>EFEITO!$J$935*EFEITO!$Y$935</f>
        <v>0</v>
      </c>
      <c r="K935" s="67">
        <f ca="1">EFEITO!$L$935*EFEITO!$Z$935</f>
        <v>2755.5807493942048</v>
      </c>
      <c r="L935" s="67">
        <f>EFEITO!$N$935*EFEITO!$AA$935</f>
        <v>2602.577100563366</v>
      </c>
      <c r="M935" s="67">
        <f>$J$935-EFEITO!$K$935*EFEITO!$Y$935</f>
        <v>0</v>
      </c>
      <c r="N935" s="67">
        <f ca="1">$K$935-EFEITO!$M$935*EFEITO!$Z$935</f>
        <v>0</v>
      </c>
      <c r="O935" s="67">
        <f>$L$935-EFEITO!$O$935*EFEITO!$AA$935</f>
        <v>0</v>
      </c>
      <c r="P935" s="18"/>
      <c r="Q935" s="18"/>
      <c r="R935" s="18"/>
      <c r="S935" s="18"/>
      <c r="T935" s="18"/>
      <c r="U935" s="18"/>
      <c r="V935" s="18"/>
      <c r="W935" s="18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1.25" customHeight="1" x14ac:dyDescent="0.2">
      <c r="A936" s="58" t="s">
        <v>21</v>
      </c>
      <c r="B936" s="58" t="s">
        <v>37</v>
      </c>
      <c r="C936" s="58" t="s">
        <v>33</v>
      </c>
      <c r="D936" s="58" t="s">
        <v>42</v>
      </c>
      <c r="E936" s="58" t="s">
        <v>25</v>
      </c>
      <c r="F936" s="58" t="s">
        <v>25</v>
      </c>
      <c r="G936" s="58" t="s">
        <v>25</v>
      </c>
      <c r="H936" s="58" t="s">
        <v>35</v>
      </c>
      <c r="I936" s="66">
        <v>44531</v>
      </c>
      <c r="J936" s="67">
        <f>EFEITO!$J$936*EFEITO!$Y$936</f>
        <v>0</v>
      </c>
      <c r="K936" s="67">
        <f ca="1">EFEITO!$L$936*EFEITO!$Z$936</f>
        <v>29590.568644866678</v>
      </c>
      <c r="L936" s="67">
        <f>EFEITO!$N$936*EFEITO!$AA$936</f>
        <v>27947.552023183809</v>
      </c>
      <c r="M936" s="67">
        <f>$J$936-EFEITO!$K$936*EFEITO!$Y$936</f>
        <v>0</v>
      </c>
      <c r="N936" s="67">
        <f ca="1">$K$936-EFEITO!$M$936*EFEITO!$Z$936</f>
        <v>0</v>
      </c>
      <c r="O936" s="67">
        <f>$L$936-EFEITO!$O$936*EFEITO!$AA$936</f>
        <v>0</v>
      </c>
      <c r="P936" s="18"/>
      <c r="Q936" s="18"/>
      <c r="R936" s="18"/>
      <c r="S936" s="18"/>
      <c r="T936" s="18"/>
      <c r="U936" s="18"/>
      <c r="V936" s="18"/>
      <c r="W936" s="18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1.25" customHeight="1" x14ac:dyDescent="0.2">
      <c r="A937" s="58" t="s">
        <v>28</v>
      </c>
      <c r="B937" s="58" t="s">
        <v>37</v>
      </c>
      <c r="C937" s="58" t="s">
        <v>33</v>
      </c>
      <c r="D937" s="58" t="s">
        <v>42</v>
      </c>
      <c r="E937" s="58" t="s">
        <v>25</v>
      </c>
      <c r="F937" s="58" t="s">
        <v>25</v>
      </c>
      <c r="G937" s="58" t="s">
        <v>25</v>
      </c>
      <c r="H937" s="58" t="s">
        <v>35</v>
      </c>
      <c r="I937" s="66">
        <v>44531</v>
      </c>
      <c r="J937" s="67">
        <f>EFEITO!$J$937*EFEITO!$Y$937</f>
        <v>0</v>
      </c>
      <c r="K937" s="67">
        <f ca="1">EFEITO!$L$937*EFEITO!$Z$937</f>
        <v>2849.3377041601784</v>
      </c>
      <c r="L937" s="67">
        <f>EFEITO!$N$937*EFEITO!$AA$937</f>
        <v>2691.1281994727783</v>
      </c>
      <c r="M937" s="67">
        <f>$J$937-EFEITO!$K$937*EFEITO!$Y$937</f>
        <v>0</v>
      </c>
      <c r="N937" s="67">
        <f ca="1">$K$937-EFEITO!$M$937*EFEITO!$Z$937</f>
        <v>0</v>
      </c>
      <c r="O937" s="67">
        <f>$L$937-EFEITO!$O$937*EFEITO!$AA$937</f>
        <v>0</v>
      </c>
      <c r="P937" s="18"/>
      <c r="Q937" s="18"/>
      <c r="R937" s="18"/>
      <c r="S937" s="18"/>
      <c r="T937" s="18"/>
      <c r="U937" s="18"/>
      <c r="V937" s="18"/>
      <c r="W937" s="18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1.25" customHeight="1" x14ac:dyDescent="0.2">
      <c r="A938" s="58" t="s">
        <v>21</v>
      </c>
      <c r="B938" s="58" t="s">
        <v>37</v>
      </c>
      <c r="C938" s="58" t="s">
        <v>33</v>
      </c>
      <c r="D938" s="58" t="s">
        <v>42</v>
      </c>
      <c r="E938" s="58" t="s">
        <v>25</v>
      </c>
      <c r="F938" s="58" t="s">
        <v>25</v>
      </c>
      <c r="G938" s="58" t="s">
        <v>25</v>
      </c>
      <c r="H938" s="58" t="s">
        <v>35</v>
      </c>
      <c r="I938" s="66">
        <v>44562</v>
      </c>
      <c r="J938" s="67">
        <f>EFEITO!$J$938*EFEITO!$Y$938</f>
        <v>0</v>
      </c>
      <c r="K938" s="67">
        <f ca="1">EFEITO!$L$938*EFEITO!$Z$938</f>
        <v>24683.618632347872</v>
      </c>
      <c r="L938" s="67">
        <f>EFEITO!$N$938*EFEITO!$AA$938</f>
        <v>23313.060459473287</v>
      </c>
      <c r="M938" s="67">
        <f>$J$938-EFEITO!$K$938*EFEITO!$Y$938</f>
        <v>0</v>
      </c>
      <c r="N938" s="67">
        <f ca="1">$K$938-EFEITO!$M$938*EFEITO!$Z$938</f>
        <v>0</v>
      </c>
      <c r="O938" s="67">
        <f>$L$938-EFEITO!$O$938*EFEITO!$AA$938</f>
        <v>0</v>
      </c>
      <c r="P938" s="18"/>
      <c r="Q938" s="18"/>
      <c r="R938" s="18"/>
      <c r="S938" s="18"/>
      <c r="T938" s="18"/>
      <c r="U938" s="18"/>
      <c r="V938" s="18"/>
      <c r="W938" s="18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1.25" customHeight="1" x14ac:dyDescent="0.2">
      <c r="A939" s="58" t="s">
        <v>28</v>
      </c>
      <c r="B939" s="58" t="s">
        <v>37</v>
      </c>
      <c r="C939" s="58" t="s">
        <v>33</v>
      </c>
      <c r="D939" s="58" t="s">
        <v>42</v>
      </c>
      <c r="E939" s="58" t="s">
        <v>25</v>
      </c>
      <c r="F939" s="58" t="s">
        <v>25</v>
      </c>
      <c r="G939" s="58" t="s">
        <v>25</v>
      </c>
      <c r="H939" s="58" t="s">
        <v>35</v>
      </c>
      <c r="I939" s="66">
        <v>44562</v>
      </c>
      <c r="J939" s="67">
        <f>EFEITO!$J$939*EFEITO!$Y$939</f>
        <v>0</v>
      </c>
      <c r="K939" s="67">
        <f ca="1">EFEITO!$L$939*EFEITO!$Z$939</f>
        <v>2390.2982768830466</v>
      </c>
      <c r="L939" s="67">
        <f>EFEITO!$N$939*EFEITO!$AA$939</f>
        <v>2257.5769410130761</v>
      </c>
      <c r="M939" s="67">
        <f>$J$939-EFEITO!$K$939*EFEITO!$Y$939</f>
        <v>0</v>
      </c>
      <c r="N939" s="67">
        <f ca="1">$K$939-EFEITO!$M$939*EFEITO!$Z$939</f>
        <v>0</v>
      </c>
      <c r="O939" s="67">
        <f>$L$939-EFEITO!$O$939*EFEITO!$AA$939</f>
        <v>0</v>
      </c>
      <c r="P939" s="18"/>
      <c r="Q939" s="18"/>
      <c r="R939" s="18"/>
      <c r="S939" s="18"/>
      <c r="T939" s="18"/>
      <c r="U939" s="18"/>
      <c r="V939" s="18"/>
      <c r="W939" s="18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1.25" customHeight="1" x14ac:dyDescent="0.2">
      <c r="A940" s="58" t="s">
        <v>21</v>
      </c>
      <c r="B940" s="58" t="s">
        <v>37</v>
      </c>
      <c r="C940" s="58" t="s">
        <v>33</v>
      </c>
      <c r="D940" s="58" t="s">
        <v>42</v>
      </c>
      <c r="E940" s="58" t="s">
        <v>25</v>
      </c>
      <c r="F940" s="58" t="s">
        <v>25</v>
      </c>
      <c r="G940" s="58" t="s">
        <v>25</v>
      </c>
      <c r="H940" s="58" t="s">
        <v>35</v>
      </c>
      <c r="I940" s="66">
        <v>44593</v>
      </c>
      <c r="J940" s="67">
        <f>EFEITO!$J$940*EFEITO!$Y$940</f>
        <v>0</v>
      </c>
      <c r="K940" s="67">
        <f ca="1">EFEITO!$L$940*EFEITO!$Z$940</f>
        <v>27080.973884320832</v>
      </c>
      <c r="L940" s="67">
        <f>EFEITO!$N$940*EFEITO!$AA$940</f>
        <v>25577.302536963416</v>
      </c>
      <c r="M940" s="67">
        <f>$J$940-EFEITO!$K$940*EFEITO!$Y$940</f>
        <v>0</v>
      </c>
      <c r="N940" s="67">
        <f ca="1">$K$940-EFEITO!$M$940*EFEITO!$Z$940</f>
        <v>0</v>
      </c>
      <c r="O940" s="67">
        <f>$L$940-EFEITO!$O$940*EFEITO!$AA$940</f>
        <v>0</v>
      </c>
      <c r="P940" s="18"/>
      <c r="Q940" s="18"/>
      <c r="R940" s="18"/>
      <c r="S940" s="18"/>
      <c r="T940" s="18"/>
      <c r="U940" s="18"/>
      <c r="V940" s="18"/>
      <c r="W940" s="18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1.25" customHeight="1" x14ac:dyDescent="0.2">
      <c r="A941" s="58" t="s">
        <v>28</v>
      </c>
      <c r="B941" s="58" t="s">
        <v>37</v>
      </c>
      <c r="C941" s="58" t="s">
        <v>33</v>
      </c>
      <c r="D941" s="58" t="s">
        <v>42</v>
      </c>
      <c r="E941" s="58" t="s">
        <v>25</v>
      </c>
      <c r="F941" s="58" t="s">
        <v>25</v>
      </c>
      <c r="G941" s="58" t="s">
        <v>25</v>
      </c>
      <c r="H941" s="58" t="s">
        <v>35</v>
      </c>
      <c r="I941" s="66">
        <v>44593</v>
      </c>
      <c r="J941" s="67">
        <f>EFEITO!$J$941*EFEITO!$Y$941</f>
        <v>0</v>
      </c>
      <c r="K941" s="67">
        <f ca="1">EFEITO!$L$941*EFEITO!$Z$941</f>
        <v>2140.2797308404502</v>
      </c>
      <c r="L941" s="67">
        <f>EFEITO!$N$941*EFEITO!$AA$941</f>
        <v>2021.4406772546438</v>
      </c>
      <c r="M941" s="67">
        <f>$J$941-EFEITO!$K$941*EFEITO!$Y$941</f>
        <v>0</v>
      </c>
      <c r="N941" s="67">
        <f ca="1">$K$941-EFEITO!$M$941*EFEITO!$Z$941</f>
        <v>0</v>
      </c>
      <c r="O941" s="67">
        <f>$L$941-EFEITO!$O$941*EFEITO!$AA$941</f>
        <v>0</v>
      </c>
      <c r="P941" s="18"/>
      <c r="Q941" s="18"/>
      <c r="R941" s="18"/>
      <c r="S941" s="18"/>
      <c r="T941" s="18"/>
      <c r="U941" s="18"/>
      <c r="V941" s="18"/>
      <c r="W941" s="18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1.25" customHeight="1" x14ac:dyDescent="0.2">
      <c r="A942" s="58" t="s">
        <v>21</v>
      </c>
      <c r="B942" s="58" t="s">
        <v>37</v>
      </c>
      <c r="C942" s="58" t="s">
        <v>33</v>
      </c>
      <c r="D942" s="58" t="s">
        <v>42</v>
      </c>
      <c r="E942" s="58" t="s">
        <v>25</v>
      </c>
      <c r="F942" s="58" t="s">
        <v>25</v>
      </c>
      <c r="G942" s="58" t="s">
        <v>25</v>
      </c>
      <c r="H942" s="58" t="s">
        <v>35</v>
      </c>
      <c r="I942" s="66">
        <v>44621</v>
      </c>
      <c r="J942" s="67">
        <f>EFEITO!$J$942*EFEITO!$Y$942</f>
        <v>0</v>
      </c>
      <c r="K942" s="67">
        <f ca="1">EFEITO!$L$942*EFEITO!$Z$942</f>
        <v>30701.202105445682</v>
      </c>
      <c r="L942" s="67">
        <f>EFEITO!$N$942*EFEITO!$AA$942</f>
        <v>28996.517549691358</v>
      </c>
      <c r="M942" s="67">
        <f>$J$942-EFEITO!$K$942*EFEITO!$Y$942</f>
        <v>0</v>
      </c>
      <c r="N942" s="67">
        <f ca="1">$K$942-EFEITO!$M$942*EFEITO!$Z$942</f>
        <v>0</v>
      </c>
      <c r="O942" s="67">
        <f>$L$942-EFEITO!$O$942*EFEITO!$AA$942</f>
        <v>0</v>
      </c>
      <c r="P942" s="18"/>
      <c r="Q942" s="18"/>
      <c r="R942" s="18"/>
      <c r="S942" s="18"/>
      <c r="T942" s="18"/>
      <c r="U942" s="18"/>
      <c r="V942" s="18"/>
      <c r="W942" s="18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1.25" customHeight="1" x14ac:dyDescent="0.2">
      <c r="A943" s="58" t="s">
        <v>28</v>
      </c>
      <c r="B943" s="58" t="s">
        <v>37</v>
      </c>
      <c r="C943" s="58" t="s">
        <v>33</v>
      </c>
      <c r="D943" s="58" t="s">
        <v>42</v>
      </c>
      <c r="E943" s="58" t="s">
        <v>25</v>
      </c>
      <c r="F943" s="58" t="s">
        <v>25</v>
      </c>
      <c r="G943" s="58" t="s">
        <v>25</v>
      </c>
      <c r="H943" s="58" t="s">
        <v>35</v>
      </c>
      <c r="I943" s="66">
        <v>44621</v>
      </c>
      <c r="J943" s="67">
        <f>EFEITO!$J$943*EFEITO!$Y$943</f>
        <v>0</v>
      </c>
      <c r="K943" s="67">
        <f ca="1">EFEITO!$L$943*EFEITO!$Z$943</f>
        <v>1564.6321913633437</v>
      </c>
      <c r="L943" s="67">
        <f>EFEITO!$N$943*EFEITO!$AA$943</f>
        <v>1477.7559731979309</v>
      </c>
      <c r="M943" s="67">
        <f>$J$943-EFEITO!$K$943*EFEITO!$Y$943</f>
        <v>0</v>
      </c>
      <c r="N943" s="67">
        <f ca="1">$K$943-EFEITO!$M$943*EFEITO!$Z$943</f>
        <v>0</v>
      </c>
      <c r="O943" s="67">
        <f>$L$943-EFEITO!$O$943*EFEITO!$AA$943</f>
        <v>0</v>
      </c>
      <c r="P943" s="18"/>
      <c r="Q943" s="18"/>
      <c r="R943" s="18"/>
      <c r="S943" s="18"/>
      <c r="T943" s="18"/>
      <c r="U943" s="18"/>
      <c r="V943" s="18"/>
      <c r="W943" s="18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1.25" customHeight="1" x14ac:dyDescent="0.2">
      <c r="A944" s="58" t="s">
        <v>21</v>
      </c>
      <c r="B944" s="58" t="s">
        <v>37</v>
      </c>
      <c r="C944" s="58" t="s">
        <v>33</v>
      </c>
      <c r="D944" s="58" t="s">
        <v>42</v>
      </c>
      <c r="E944" s="58" t="s">
        <v>25</v>
      </c>
      <c r="F944" s="58" t="s">
        <v>25</v>
      </c>
      <c r="G944" s="58" t="s">
        <v>25</v>
      </c>
      <c r="H944" s="58" t="s">
        <v>35</v>
      </c>
      <c r="I944" s="66">
        <v>44652</v>
      </c>
      <c r="J944" s="67">
        <f>EFEITO!$J$944*EFEITO!$Y$944</f>
        <v>0</v>
      </c>
      <c r="K944" s="67">
        <f ca="1">EFEITO!$L$944*EFEITO!$Z$944</f>
        <v>30701.202105445682</v>
      </c>
      <c r="L944" s="67">
        <f>EFEITO!$N$944*EFEITO!$AA$944</f>
        <v>28996.517549691358</v>
      </c>
      <c r="M944" s="67">
        <f>$J$944-EFEITO!$K$944*EFEITO!$Y$944</f>
        <v>0</v>
      </c>
      <c r="N944" s="67">
        <f ca="1">$K$944-EFEITO!$M$944*EFEITO!$Z$944</f>
        <v>0</v>
      </c>
      <c r="O944" s="67">
        <f>$L$944-EFEITO!$O$944*EFEITO!$AA$944</f>
        <v>0</v>
      </c>
      <c r="P944" s="18"/>
      <c r="Q944" s="18"/>
      <c r="R944" s="18"/>
      <c r="S944" s="18"/>
      <c r="T944" s="18"/>
      <c r="U944" s="18"/>
      <c r="V944" s="18"/>
      <c r="W944" s="18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1.25" customHeight="1" x14ac:dyDescent="0.2">
      <c r="A945" s="58" t="s">
        <v>28</v>
      </c>
      <c r="B945" s="58" t="s">
        <v>37</v>
      </c>
      <c r="C945" s="58" t="s">
        <v>33</v>
      </c>
      <c r="D945" s="58" t="s">
        <v>42</v>
      </c>
      <c r="E945" s="58" t="s">
        <v>25</v>
      </c>
      <c r="F945" s="58" t="s">
        <v>25</v>
      </c>
      <c r="G945" s="58" t="s">
        <v>25</v>
      </c>
      <c r="H945" s="58" t="s">
        <v>35</v>
      </c>
      <c r="I945" s="66">
        <v>44652</v>
      </c>
      <c r="J945" s="67">
        <f>EFEITO!$J$945*EFEITO!$Y$945</f>
        <v>0</v>
      </c>
      <c r="K945" s="67">
        <f ca="1">EFEITO!$L$945*EFEITO!$Z$945</f>
        <v>1564.6321913633437</v>
      </c>
      <c r="L945" s="67">
        <f>EFEITO!$N$945*EFEITO!$AA$945</f>
        <v>1477.7559731979309</v>
      </c>
      <c r="M945" s="67">
        <f>$J$945-EFEITO!$K$945*EFEITO!$Y$945</f>
        <v>0</v>
      </c>
      <c r="N945" s="67">
        <f ca="1">$K$945-EFEITO!$M$945*EFEITO!$Z$945</f>
        <v>0</v>
      </c>
      <c r="O945" s="67">
        <f>$L$945-EFEITO!$O$945*EFEITO!$AA$945</f>
        <v>0</v>
      </c>
      <c r="P945" s="18"/>
      <c r="Q945" s="18"/>
      <c r="R945" s="18"/>
      <c r="S945" s="18"/>
      <c r="T945" s="18"/>
      <c r="U945" s="18"/>
      <c r="V945" s="18"/>
      <c r="W945" s="18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1.25" customHeight="1" x14ac:dyDescent="0.2">
      <c r="A946" s="58" t="s">
        <v>21</v>
      </c>
      <c r="B946" s="58" t="s">
        <v>37</v>
      </c>
      <c r="C946" s="58" t="s">
        <v>33</v>
      </c>
      <c r="D946" s="58" t="s">
        <v>42</v>
      </c>
      <c r="E946" s="58" t="s">
        <v>25</v>
      </c>
      <c r="F946" s="58" t="s">
        <v>25</v>
      </c>
      <c r="G946" s="58" t="s">
        <v>25</v>
      </c>
      <c r="H946" s="58" t="s">
        <v>35</v>
      </c>
      <c r="I946" s="66">
        <v>44682</v>
      </c>
      <c r="J946" s="67">
        <f>EFEITO!$J$946*EFEITO!$Y$946</f>
        <v>0</v>
      </c>
      <c r="K946" s="67">
        <f ca="1">EFEITO!$L$946*EFEITO!$Z$946</f>
        <v>30080.188297533427</v>
      </c>
      <c r="L946" s="67">
        <f>EFEITO!$N$946*EFEITO!$AA$946</f>
        <v>28409.985539710739</v>
      </c>
      <c r="M946" s="67">
        <f>$J$946-EFEITO!$K$946*EFEITO!$Y$946</f>
        <v>0</v>
      </c>
      <c r="N946" s="67">
        <f ca="1">$K$946-EFEITO!$M$946*EFEITO!$Z$946</f>
        <v>0</v>
      </c>
      <c r="O946" s="67">
        <f>$L$946-EFEITO!$O$946*EFEITO!$AA$946</f>
        <v>0</v>
      </c>
      <c r="P946" s="18"/>
      <c r="Q946" s="18"/>
      <c r="R946" s="18"/>
      <c r="S946" s="18"/>
      <c r="T946" s="18"/>
      <c r="U946" s="18"/>
      <c r="V946" s="18"/>
      <c r="W946" s="18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1.25" customHeight="1" x14ac:dyDescent="0.2">
      <c r="A947" s="58" t="s">
        <v>28</v>
      </c>
      <c r="B947" s="58" t="s">
        <v>37</v>
      </c>
      <c r="C947" s="58" t="s">
        <v>33</v>
      </c>
      <c r="D947" s="58" t="s">
        <v>42</v>
      </c>
      <c r="E947" s="58" t="s">
        <v>25</v>
      </c>
      <c r="F947" s="58" t="s">
        <v>25</v>
      </c>
      <c r="G947" s="58" t="s">
        <v>25</v>
      </c>
      <c r="H947" s="58" t="s">
        <v>35</v>
      </c>
      <c r="I947" s="66">
        <v>44682</v>
      </c>
      <c r="J947" s="67">
        <f>EFEITO!$J$947*EFEITO!$Y$947</f>
        <v>0</v>
      </c>
      <c r="K947" s="67">
        <f ca="1">EFEITO!$L$947*EFEITO!$Z$947</f>
        <v>6142.9287925519602</v>
      </c>
      <c r="L947" s="67">
        <f>EFEITO!$N$947*EFEITO!$AA$947</f>
        <v>5801.8426095485784</v>
      </c>
      <c r="M947" s="67">
        <f>$J$947-EFEITO!$K$947*EFEITO!$Y$947</f>
        <v>0</v>
      </c>
      <c r="N947" s="67">
        <f ca="1">$K$947-EFEITO!$M$947*EFEITO!$Z$947</f>
        <v>0</v>
      </c>
      <c r="O947" s="67">
        <f>$L$947-EFEITO!$O$947*EFEITO!$AA$947</f>
        <v>0</v>
      </c>
      <c r="P947" s="18"/>
      <c r="Q947" s="18"/>
      <c r="R947" s="18"/>
      <c r="S947" s="18"/>
      <c r="T947" s="18"/>
      <c r="U947" s="18"/>
      <c r="V947" s="18"/>
      <c r="W947" s="18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1.25" customHeight="1" x14ac:dyDescent="0.2">
      <c r="A948" s="58" t="s">
        <v>21</v>
      </c>
      <c r="B948" s="58" t="s">
        <v>37</v>
      </c>
      <c r="C948" s="58" t="s">
        <v>33</v>
      </c>
      <c r="D948" s="58" t="s">
        <v>42</v>
      </c>
      <c r="E948" s="58" t="s">
        <v>25</v>
      </c>
      <c r="F948" s="58" t="s">
        <v>25</v>
      </c>
      <c r="G948" s="58" t="s">
        <v>25</v>
      </c>
      <c r="H948" s="58" t="s">
        <v>35</v>
      </c>
      <c r="I948" s="66">
        <v>44713</v>
      </c>
      <c r="J948" s="67">
        <f>EFEITO!$J$948*EFEITO!$Y$948</f>
        <v>0</v>
      </c>
      <c r="K948" s="67">
        <f ca="1">EFEITO!$L$948*EFEITO!$Z$948</f>
        <v>28988.709483627037</v>
      </c>
      <c r="L948" s="67">
        <f>EFEITO!$N$948*EFEITO!$AA$948</f>
        <v>27379.111097926612</v>
      </c>
      <c r="M948" s="67">
        <f>$J$948-EFEITO!$K$948*EFEITO!$Y$948</f>
        <v>0</v>
      </c>
      <c r="N948" s="67">
        <f ca="1">$K$948-EFEITO!$M$948*EFEITO!$Z$948</f>
        <v>0</v>
      </c>
      <c r="O948" s="67">
        <f>$L$948-EFEITO!$O$948*EFEITO!$AA$948</f>
        <v>0</v>
      </c>
      <c r="P948" s="18"/>
      <c r="Q948" s="18"/>
      <c r="R948" s="18"/>
      <c r="S948" s="18"/>
      <c r="T948" s="18"/>
      <c r="U948" s="18"/>
      <c r="V948" s="18"/>
      <c r="W948" s="18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1.25" customHeight="1" x14ac:dyDescent="0.2">
      <c r="A949" s="58" t="s">
        <v>28</v>
      </c>
      <c r="B949" s="58" t="s">
        <v>37</v>
      </c>
      <c r="C949" s="58" t="s">
        <v>33</v>
      </c>
      <c r="D949" s="58" t="s">
        <v>42</v>
      </c>
      <c r="E949" s="58" t="s">
        <v>25</v>
      </c>
      <c r="F949" s="58" t="s">
        <v>25</v>
      </c>
      <c r="G949" s="58" t="s">
        <v>25</v>
      </c>
      <c r="H949" s="58" t="s">
        <v>35</v>
      </c>
      <c r="I949" s="66">
        <v>44713</v>
      </c>
      <c r="J949" s="67">
        <f>EFEITO!$J$949*EFEITO!$Y$949</f>
        <v>0</v>
      </c>
      <c r="K949" s="67">
        <f ca="1">EFEITO!$L$949*EFEITO!$Z$949</f>
        <v>1497.4229047927536</v>
      </c>
      <c r="L949" s="67">
        <f>EFEITO!$N$949*EFEITO!$AA$949</f>
        <v>1414.2784829402879</v>
      </c>
      <c r="M949" s="67">
        <f>$J$949-EFEITO!$K$949*EFEITO!$Y$949</f>
        <v>0</v>
      </c>
      <c r="N949" s="67">
        <f ca="1">$K$949-EFEITO!$M$949*EFEITO!$Z$949</f>
        <v>0</v>
      </c>
      <c r="O949" s="67">
        <f>$L$949-EFEITO!$O$949*EFEITO!$AA$949</f>
        <v>0</v>
      </c>
      <c r="P949" s="18"/>
      <c r="Q949" s="18"/>
      <c r="R949" s="18"/>
      <c r="S949" s="18"/>
      <c r="T949" s="18"/>
      <c r="U949" s="18"/>
      <c r="V949" s="18"/>
      <c r="W949" s="18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1.25" customHeight="1" x14ac:dyDescent="0.2">
      <c r="A950" s="58" t="s">
        <v>21</v>
      </c>
      <c r="B950" s="58" t="s">
        <v>37</v>
      </c>
      <c r="C950" s="58" t="s">
        <v>33</v>
      </c>
      <c r="D950" s="58" t="s">
        <v>42</v>
      </c>
      <c r="E950" s="58" t="s">
        <v>25</v>
      </c>
      <c r="F950" s="58" t="s">
        <v>25</v>
      </c>
      <c r="G950" s="58" t="s">
        <v>25</v>
      </c>
      <c r="H950" s="58" t="s">
        <v>35</v>
      </c>
      <c r="I950" s="66">
        <v>44743</v>
      </c>
      <c r="J950" s="67">
        <f>EFEITO!$J$950*EFEITO!$Y$950</f>
        <v>0</v>
      </c>
      <c r="K950" s="67">
        <f ca="1">EFEITO!$L$950*EFEITO!$Z$950</f>
        <v>29251.161747685193</v>
      </c>
      <c r="L950" s="67">
        <f>EFEITO!$N$950*EFEITO!$AA$950</f>
        <v>27626.990697382709</v>
      </c>
      <c r="M950" s="67">
        <f>$J$950-EFEITO!$K$950*EFEITO!$Y$950</f>
        <v>0</v>
      </c>
      <c r="N950" s="67">
        <f ca="1">$K$950-EFEITO!$M$950*EFEITO!$Z$950</f>
        <v>0</v>
      </c>
      <c r="O950" s="67">
        <f>$L$950-EFEITO!$O$950*EFEITO!$AA$950</f>
        <v>0</v>
      </c>
      <c r="P950" s="18"/>
      <c r="Q950" s="18"/>
      <c r="R950" s="18"/>
      <c r="S950" s="18"/>
      <c r="T950" s="18"/>
      <c r="U950" s="18"/>
      <c r="V950" s="18"/>
      <c r="W950" s="18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1.25" customHeight="1" x14ac:dyDescent="0.2">
      <c r="A951" s="58" t="s">
        <v>28</v>
      </c>
      <c r="B951" s="58" t="s">
        <v>37</v>
      </c>
      <c r="C951" s="58" t="s">
        <v>33</v>
      </c>
      <c r="D951" s="58" t="s">
        <v>42</v>
      </c>
      <c r="E951" s="58" t="s">
        <v>25</v>
      </c>
      <c r="F951" s="58" t="s">
        <v>25</v>
      </c>
      <c r="G951" s="58" t="s">
        <v>25</v>
      </c>
      <c r="H951" s="58" t="s">
        <v>35</v>
      </c>
      <c r="I951" s="66">
        <v>44743</v>
      </c>
      <c r="J951" s="67">
        <f>EFEITO!$J$951*EFEITO!$Y$951</f>
        <v>0</v>
      </c>
      <c r="K951" s="67">
        <f ca="1">EFEITO!$L$951*EFEITO!$Z$951</f>
        <v>1489.3577904042827</v>
      </c>
      <c r="L951" s="67">
        <f>EFEITO!$N$951*EFEITO!$AA$951</f>
        <v>1406.6611841093709</v>
      </c>
      <c r="M951" s="67">
        <f>$J$951-EFEITO!$K$951*EFEITO!$Y$951</f>
        <v>0</v>
      </c>
      <c r="N951" s="67">
        <f ca="1">$K$951-EFEITO!$M$951*EFEITO!$Z$951</f>
        <v>0</v>
      </c>
      <c r="O951" s="67">
        <f>$L$951-EFEITO!$O$951*EFEITO!$AA$951</f>
        <v>0</v>
      </c>
      <c r="P951" s="18"/>
      <c r="Q951" s="18"/>
      <c r="R951" s="18"/>
      <c r="S951" s="18"/>
      <c r="T951" s="18"/>
      <c r="U951" s="18"/>
      <c r="V951" s="18"/>
      <c r="W951" s="18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1.25" customHeight="1" x14ac:dyDescent="0.2">
      <c r="A952" s="58" t="s">
        <v>21</v>
      </c>
      <c r="B952" s="58" t="s">
        <v>37</v>
      </c>
      <c r="C952" s="58" t="s">
        <v>33</v>
      </c>
      <c r="D952" s="58" t="s">
        <v>42</v>
      </c>
      <c r="E952" s="58" t="s">
        <v>25</v>
      </c>
      <c r="F952" s="58" t="s">
        <v>25</v>
      </c>
      <c r="G952" s="58" t="s">
        <v>25</v>
      </c>
      <c r="H952" s="58" t="s">
        <v>35</v>
      </c>
      <c r="I952" s="66">
        <v>44774</v>
      </c>
      <c r="J952" s="67">
        <f>EFEITO!$J$952*EFEITO!$Y$952</f>
        <v>0</v>
      </c>
      <c r="K952" s="67">
        <f ca="1">EFEITO!$L$952*EFEITO!$Z$952</f>
        <v>36637.12629536022</v>
      </c>
      <c r="L952" s="67">
        <f>EFEITO!$N$952*EFEITO!$AA$952</f>
        <v>34602.849489246393</v>
      </c>
      <c r="M952" s="67">
        <f>$J$952-EFEITO!$K$952*EFEITO!$Y$952</f>
        <v>0</v>
      </c>
      <c r="N952" s="67">
        <f ca="1">$K$952-EFEITO!$M$952*EFEITO!$Z$952</f>
        <v>0</v>
      </c>
      <c r="O952" s="67">
        <f>$L$952-EFEITO!$O$952*EFEITO!$AA$952</f>
        <v>0</v>
      </c>
      <c r="P952" s="18"/>
      <c r="Q952" s="18"/>
      <c r="R952" s="18"/>
      <c r="S952" s="18"/>
      <c r="T952" s="18"/>
      <c r="U952" s="18"/>
      <c r="V952" s="18"/>
      <c r="W952" s="18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1.25" customHeight="1" x14ac:dyDescent="0.2">
      <c r="A953" s="58" t="s">
        <v>28</v>
      </c>
      <c r="B953" s="58" t="s">
        <v>37</v>
      </c>
      <c r="C953" s="58" t="s">
        <v>33</v>
      </c>
      <c r="D953" s="58" t="s">
        <v>42</v>
      </c>
      <c r="E953" s="58" t="s">
        <v>25</v>
      </c>
      <c r="F953" s="58" t="s">
        <v>25</v>
      </c>
      <c r="G953" s="58" t="s">
        <v>25</v>
      </c>
      <c r="H953" s="58" t="s">
        <v>35</v>
      </c>
      <c r="I953" s="66">
        <v>44774</v>
      </c>
      <c r="J953" s="67">
        <f>EFEITO!$J$953*EFEITO!$Y$953</f>
        <v>0</v>
      </c>
      <c r="K953" s="67">
        <f ca="1">EFEITO!$L$953*EFEITO!$Z$953</f>
        <v>1865.3937487667358</v>
      </c>
      <c r="L953" s="67">
        <f>EFEITO!$N$953*EFEITO!$AA$953</f>
        <v>1761.8177421008838</v>
      </c>
      <c r="M953" s="67">
        <f>$J$953-EFEITO!$K$953*EFEITO!$Y$953</f>
        <v>0</v>
      </c>
      <c r="N953" s="67">
        <f ca="1">$K$953-EFEITO!$M$953*EFEITO!$Z$953</f>
        <v>0</v>
      </c>
      <c r="O953" s="67">
        <f>$L$953-EFEITO!$O$953*EFEITO!$AA$953</f>
        <v>0</v>
      </c>
      <c r="P953" s="18"/>
      <c r="Q953" s="18"/>
      <c r="R953" s="18"/>
      <c r="S953" s="18"/>
      <c r="T953" s="18"/>
      <c r="U953" s="18"/>
      <c r="V953" s="18"/>
      <c r="W953" s="18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1.25" customHeight="1" x14ac:dyDescent="0.2">
      <c r="A954" s="58" t="s">
        <v>21</v>
      </c>
      <c r="B954" s="58" t="s">
        <v>37</v>
      </c>
      <c r="C954" s="58" t="s">
        <v>33</v>
      </c>
      <c r="D954" s="58" t="s">
        <v>42</v>
      </c>
      <c r="E954" s="58" t="s">
        <v>25</v>
      </c>
      <c r="F954" s="58" t="s">
        <v>25</v>
      </c>
      <c r="G954" s="58" t="s">
        <v>25</v>
      </c>
      <c r="H954" s="58" t="s">
        <v>35</v>
      </c>
      <c r="I954" s="66">
        <v>44805</v>
      </c>
      <c r="J954" s="67">
        <f>EFEITO!$J$954*EFEITO!$Y$954</f>
        <v>0</v>
      </c>
      <c r="K954" s="67">
        <f ca="1">EFEITO!$L$954*EFEITO!$Z$954</f>
        <v>35611.176535860162</v>
      </c>
      <c r="L954" s="67">
        <f>EFEITO!$N$954*EFEITO!$AA$954</f>
        <v>33633.865600463476</v>
      </c>
      <c r="M954" s="67">
        <f>$J$954-EFEITO!$K$954*EFEITO!$Y$954</f>
        <v>0</v>
      </c>
      <c r="N954" s="67">
        <f ca="1">$K$954-EFEITO!$M$954*EFEITO!$Z$954</f>
        <v>0</v>
      </c>
      <c r="O954" s="67">
        <f>$L$954-EFEITO!$O$954*EFEITO!$AA$954</f>
        <v>0</v>
      </c>
      <c r="P954" s="18"/>
      <c r="Q954" s="18"/>
      <c r="R954" s="18"/>
      <c r="S954" s="18"/>
      <c r="T954" s="18"/>
      <c r="U954" s="18"/>
      <c r="V954" s="18"/>
      <c r="W954" s="18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1.25" customHeight="1" x14ac:dyDescent="0.2">
      <c r="A955" s="58" t="s">
        <v>28</v>
      </c>
      <c r="B955" s="58" t="s">
        <v>37</v>
      </c>
      <c r="C955" s="58" t="s">
        <v>33</v>
      </c>
      <c r="D955" s="58" t="s">
        <v>42</v>
      </c>
      <c r="E955" s="58" t="s">
        <v>25</v>
      </c>
      <c r="F955" s="58" t="s">
        <v>25</v>
      </c>
      <c r="G955" s="58" t="s">
        <v>25</v>
      </c>
      <c r="H955" s="58" t="s">
        <v>35</v>
      </c>
      <c r="I955" s="66">
        <v>44805</v>
      </c>
      <c r="J955" s="67">
        <f>EFEITO!$J$955*EFEITO!$Y$955</f>
        <v>0</v>
      </c>
      <c r="K955" s="67">
        <f ca="1">EFEITO!$L$955*EFEITO!$Z$955</f>
        <v>1953.1018677413563</v>
      </c>
      <c r="L955" s="67">
        <f>EFEITO!$N$955*EFEITO!$AA$955</f>
        <v>1844.655866887108</v>
      </c>
      <c r="M955" s="67">
        <f>$J$955-EFEITO!$K$955*EFEITO!$Y$955</f>
        <v>0</v>
      </c>
      <c r="N955" s="67">
        <f ca="1">$K$955-EFEITO!$M$955*EFEITO!$Z$955</f>
        <v>0</v>
      </c>
      <c r="O955" s="67">
        <f>$L$955-EFEITO!$O$955*EFEITO!$AA$955</f>
        <v>0</v>
      </c>
      <c r="P955" s="18"/>
      <c r="Q955" s="18"/>
      <c r="R955" s="18"/>
      <c r="S955" s="18"/>
      <c r="T955" s="18"/>
      <c r="U955" s="18"/>
      <c r="V955" s="18"/>
      <c r="W955" s="18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1.25" customHeight="1" x14ac:dyDescent="0.2">
      <c r="A956" s="58" t="s">
        <v>55</v>
      </c>
      <c r="B956" s="58" t="s">
        <v>37</v>
      </c>
      <c r="C956" s="58" t="s">
        <v>33</v>
      </c>
      <c r="D956" s="58" t="s">
        <v>42</v>
      </c>
      <c r="E956" s="58" t="s">
        <v>25</v>
      </c>
      <c r="F956" s="58" t="s">
        <v>25</v>
      </c>
      <c r="G956" s="58" t="s">
        <v>25</v>
      </c>
      <c r="H956" s="58" t="s">
        <v>35</v>
      </c>
      <c r="I956" s="66">
        <v>44835</v>
      </c>
      <c r="J956" s="67">
        <f>EFEITO!$J$956*EFEITO!$Y$956</f>
        <v>0</v>
      </c>
      <c r="K956" s="67">
        <f ca="1">EFEITO!$L$956*EFEITO!$Z$956</f>
        <v>35611.176535860162</v>
      </c>
      <c r="L956" s="67">
        <f>EFEITO!$N$956*EFEITO!$AA$956</f>
        <v>33633.865600463476</v>
      </c>
      <c r="M956" s="67">
        <f>$J$956-EFEITO!$K$956*EFEITO!$Y$956</f>
        <v>0</v>
      </c>
      <c r="N956" s="67">
        <f ca="1">$K$956-EFEITO!$M$956*EFEITO!$Z$956</f>
        <v>0</v>
      </c>
      <c r="O956" s="67">
        <f>$L$956-EFEITO!$O$956*EFEITO!$AA$956</f>
        <v>0</v>
      </c>
      <c r="P956" s="18"/>
      <c r="Q956" s="18"/>
      <c r="R956" s="18"/>
      <c r="S956" s="18"/>
      <c r="T956" s="18"/>
      <c r="U956" s="18"/>
      <c r="V956" s="18"/>
      <c r="W956" s="18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1.25" customHeight="1" x14ac:dyDescent="0.2">
      <c r="A957" s="58" t="s">
        <v>55</v>
      </c>
      <c r="B957" s="58" t="s">
        <v>37</v>
      </c>
      <c r="C957" s="58" t="s">
        <v>33</v>
      </c>
      <c r="D957" s="58" t="s">
        <v>42</v>
      </c>
      <c r="E957" s="58" t="s">
        <v>25</v>
      </c>
      <c r="F957" s="58" t="s">
        <v>25</v>
      </c>
      <c r="G957" s="58" t="s">
        <v>25</v>
      </c>
      <c r="H957" s="58" t="s">
        <v>35</v>
      </c>
      <c r="I957" s="66">
        <v>44835</v>
      </c>
      <c r="J957" s="67">
        <f>EFEITO!$J$957*EFEITO!$Y$957</f>
        <v>0</v>
      </c>
      <c r="K957" s="67">
        <f ca="1">EFEITO!$L$957*EFEITO!$Z$957</f>
        <v>1953.1018677413563</v>
      </c>
      <c r="L957" s="67">
        <f>EFEITO!$N$957*EFEITO!$AA$957</f>
        <v>1844.655866887108</v>
      </c>
      <c r="M957" s="67">
        <f>$J$957-EFEITO!$K$957*EFEITO!$Y$957</f>
        <v>0</v>
      </c>
      <c r="N957" s="67">
        <f ca="1">$K$957-EFEITO!$M$957*EFEITO!$Z$957</f>
        <v>0</v>
      </c>
      <c r="O957" s="67">
        <f>$L$957-EFEITO!$O$957*EFEITO!$AA$957</f>
        <v>0</v>
      </c>
      <c r="P957" s="18"/>
      <c r="Q957" s="18"/>
      <c r="R957" s="18"/>
      <c r="S957" s="18"/>
      <c r="T957" s="18"/>
      <c r="U957" s="18"/>
      <c r="V957" s="18"/>
      <c r="W957" s="18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1.25" customHeight="1" x14ac:dyDescent="0.2">
      <c r="A958" s="58" t="s">
        <v>21</v>
      </c>
      <c r="B958" s="58" t="s">
        <v>37</v>
      </c>
      <c r="C958" s="58" t="s">
        <v>33</v>
      </c>
      <c r="D958" s="58" t="s">
        <v>42</v>
      </c>
      <c r="E958" s="58" t="s">
        <v>25</v>
      </c>
      <c r="F958" s="58" t="s">
        <v>25</v>
      </c>
      <c r="G958" s="58" t="s">
        <v>25</v>
      </c>
      <c r="H958" s="58" t="s">
        <v>36</v>
      </c>
      <c r="I958" s="66">
        <v>44501</v>
      </c>
      <c r="J958" s="67">
        <f>EFEITO!$J$958*EFEITO!$Y$958</f>
        <v>0</v>
      </c>
      <c r="K958" s="67">
        <f ca="1">EFEITO!$L$958*EFEITO!$Z$958</f>
        <v>1606.0341557321524</v>
      </c>
      <c r="L958" s="67">
        <f>EFEITO!$N$958*EFEITO!$AA$958</f>
        <v>714.43915284977288</v>
      </c>
      <c r="M958" s="67">
        <f>$J$958-EFEITO!$K$958*EFEITO!$Y$958</f>
        <v>0</v>
      </c>
      <c r="N958" s="67">
        <f ca="1">$K$958-EFEITO!$M$958*EFEITO!$Z$958</f>
        <v>0</v>
      </c>
      <c r="O958" s="67">
        <f>$L$958-EFEITO!$O$958*EFEITO!$AA$958</f>
        <v>0</v>
      </c>
      <c r="P958" s="18"/>
      <c r="Q958" s="18"/>
      <c r="R958" s="18"/>
      <c r="S958" s="18"/>
      <c r="T958" s="18"/>
      <c r="U958" s="18"/>
      <c r="V958" s="18"/>
      <c r="W958" s="18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1.25" customHeight="1" x14ac:dyDescent="0.2">
      <c r="A959" s="58" t="s">
        <v>21</v>
      </c>
      <c r="B959" s="58" t="s">
        <v>37</v>
      </c>
      <c r="C959" s="58" t="s">
        <v>33</v>
      </c>
      <c r="D959" s="58" t="s">
        <v>42</v>
      </c>
      <c r="E959" s="58" t="s">
        <v>25</v>
      </c>
      <c r="F959" s="58" t="s">
        <v>25</v>
      </c>
      <c r="G959" s="58" t="s">
        <v>25</v>
      </c>
      <c r="H959" s="58" t="s">
        <v>36</v>
      </c>
      <c r="I959" s="66">
        <v>44531</v>
      </c>
      <c r="J959" s="67">
        <f>EFEITO!$J$959*EFEITO!$Y$959</f>
        <v>0</v>
      </c>
      <c r="K959" s="67">
        <f ca="1">EFEITO!$L$959*EFEITO!$Z$959</f>
        <v>1516.8496735169063</v>
      </c>
      <c r="L959" s="67">
        <f>EFEITO!$N$959*EFEITO!$AA$959</f>
        <v>674.76572143874591</v>
      </c>
      <c r="M959" s="67">
        <f>$J$959-EFEITO!$K$959*EFEITO!$Y$959</f>
        <v>0</v>
      </c>
      <c r="N959" s="67">
        <f ca="1">$K$959-EFEITO!$M$959*EFEITO!$Z$959</f>
        <v>0</v>
      </c>
      <c r="O959" s="67">
        <f>$L$959-EFEITO!$O$959*EFEITO!$AA$959</f>
        <v>0</v>
      </c>
      <c r="P959" s="18"/>
      <c r="Q959" s="18"/>
      <c r="R959" s="18"/>
      <c r="S959" s="18"/>
      <c r="T959" s="18"/>
      <c r="U959" s="18"/>
      <c r="V959" s="18"/>
      <c r="W959" s="18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1.25" customHeight="1" x14ac:dyDescent="0.2">
      <c r="A960" s="58" t="s">
        <v>21</v>
      </c>
      <c r="B960" s="58" t="s">
        <v>37</v>
      </c>
      <c r="C960" s="58" t="s">
        <v>33</v>
      </c>
      <c r="D960" s="58" t="s">
        <v>42</v>
      </c>
      <c r="E960" s="58" t="s">
        <v>25</v>
      </c>
      <c r="F960" s="58" t="s">
        <v>25</v>
      </c>
      <c r="G960" s="58" t="s">
        <v>25</v>
      </c>
      <c r="H960" s="58" t="s">
        <v>36</v>
      </c>
      <c r="I960" s="66">
        <v>44562</v>
      </c>
      <c r="J960" s="67">
        <f>EFEITO!$J$960*EFEITO!$Y$960</f>
        <v>0</v>
      </c>
      <c r="K960" s="67">
        <f ca="1">EFEITO!$L$960*EFEITO!$Z$960</f>
        <v>1337.767233228692</v>
      </c>
      <c r="L960" s="67">
        <f>EFEITO!$N$960*EFEITO!$AA$960</f>
        <v>595.10147116540384</v>
      </c>
      <c r="M960" s="67">
        <f>$J$960-EFEITO!$K$960*EFEITO!$Y$960</f>
        <v>0</v>
      </c>
      <c r="N960" s="67">
        <f ca="1">$K$960-EFEITO!$M$960*EFEITO!$Z$960</f>
        <v>0</v>
      </c>
      <c r="O960" s="67">
        <f>$L$960-EFEITO!$O$960*EFEITO!$AA$960</f>
        <v>0</v>
      </c>
      <c r="P960" s="18"/>
      <c r="Q960" s="18"/>
      <c r="R960" s="18"/>
      <c r="S960" s="18"/>
      <c r="T960" s="18"/>
      <c r="U960" s="18"/>
      <c r="V960" s="18"/>
      <c r="W960" s="18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1.25" customHeight="1" x14ac:dyDescent="0.2">
      <c r="A961" s="58" t="s">
        <v>21</v>
      </c>
      <c r="B961" s="58" t="s">
        <v>37</v>
      </c>
      <c r="C961" s="58" t="s">
        <v>33</v>
      </c>
      <c r="D961" s="58" t="s">
        <v>42</v>
      </c>
      <c r="E961" s="58" t="s">
        <v>25</v>
      </c>
      <c r="F961" s="58" t="s">
        <v>25</v>
      </c>
      <c r="G961" s="58" t="s">
        <v>25</v>
      </c>
      <c r="H961" s="58" t="s">
        <v>36</v>
      </c>
      <c r="I961" s="66">
        <v>44593</v>
      </c>
      <c r="J961" s="67">
        <f>EFEITO!$J$961*EFEITO!$Y$961</f>
        <v>0</v>
      </c>
      <c r="K961" s="67">
        <f ca="1">EFEITO!$L$961*EFEITO!$Z$961</f>
        <v>1324.2111919319748</v>
      </c>
      <c r="L961" s="67">
        <f>EFEITO!$N$961*EFEITO!$AA$961</f>
        <v>589.07110959092779</v>
      </c>
      <c r="M961" s="67">
        <f>$J$961-EFEITO!$K$961*EFEITO!$Y$961</f>
        <v>0</v>
      </c>
      <c r="N961" s="67">
        <f ca="1">$K$961-EFEITO!$M$961*EFEITO!$Z$961</f>
        <v>0</v>
      </c>
      <c r="O961" s="67">
        <f>$L$961-EFEITO!$O$961*EFEITO!$AA$961</f>
        <v>0</v>
      </c>
      <c r="P961" s="18"/>
      <c r="Q961" s="18"/>
      <c r="R961" s="18"/>
      <c r="S961" s="18"/>
      <c r="T961" s="18"/>
      <c r="U961" s="18"/>
      <c r="V961" s="18"/>
      <c r="W961" s="18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1.25" customHeight="1" x14ac:dyDescent="0.2">
      <c r="A962" s="58" t="s">
        <v>21</v>
      </c>
      <c r="B962" s="58" t="s">
        <v>37</v>
      </c>
      <c r="C962" s="58" t="s">
        <v>33</v>
      </c>
      <c r="D962" s="58" t="s">
        <v>42</v>
      </c>
      <c r="E962" s="58" t="s">
        <v>25</v>
      </c>
      <c r="F962" s="58" t="s">
        <v>25</v>
      </c>
      <c r="G962" s="58" t="s">
        <v>25</v>
      </c>
      <c r="H962" s="58" t="s">
        <v>36</v>
      </c>
      <c r="I962" s="66">
        <v>44621</v>
      </c>
      <c r="J962" s="67">
        <f>EFEITO!$J$962*EFEITO!$Y$962</f>
        <v>0</v>
      </c>
      <c r="K962" s="67">
        <f ca="1">EFEITO!$L$962*EFEITO!$Z$962</f>
        <v>1529.6922389559018</v>
      </c>
      <c r="L962" s="67">
        <f>EFEITO!$N$962*EFEITO!$AA$962</f>
        <v>680.47869556193382</v>
      </c>
      <c r="M962" s="67">
        <f>$J$962-EFEITO!$K$962*EFEITO!$Y$962</f>
        <v>0</v>
      </c>
      <c r="N962" s="67">
        <f ca="1">$K$962-EFEITO!$M$962*EFEITO!$Z$962</f>
        <v>0</v>
      </c>
      <c r="O962" s="67">
        <f>$L$962-EFEITO!$O$962*EFEITO!$AA$962</f>
        <v>0</v>
      </c>
      <c r="P962" s="18"/>
      <c r="Q962" s="18"/>
      <c r="R962" s="18"/>
      <c r="S962" s="18"/>
      <c r="T962" s="18"/>
      <c r="U962" s="18"/>
      <c r="V962" s="18"/>
      <c r="W962" s="18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1.25" customHeight="1" x14ac:dyDescent="0.2">
      <c r="A963" s="58" t="s">
        <v>21</v>
      </c>
      <c r="B963" s="58" t="s">
        <v>37</v>
      </c>
      <c r="C963" s="58" t="s">
        <v>33</v>
      </c>
      <c r="D963" s="58" t="s">
        <v>42</v>
      </c>
      <c r="E963" s="58" t="s">
        <v>25</v>
      </c>
      <c r="F963" s="58" t="s">
        <v>25</v>
      </c>
      <c r="G963" s="58" t="s">
        <v>25</v>
      </c>
      <c r="H963" s="58" t="s">
        <v>36</v>
      </c>
      <c r="I963" s="66">
        <v>44652</v>
      </c>
      <c r="J963" s="67">
        <f>EFEITO!$J$963*EFEITO!$Y$963</f>
        <v>0</v>
      </c>
      <c r="K963" s="67">
        <f ca="1">EFEITO!$L$963*EFEITO!$Z$963</f>
        <v>1529.6922389559018</v>
      </c>
      <c r="L963" s="67">
        <f>EFEITO!$N$963*EFEITO!$AA$963</f>
        <v>680.47869556193382</v>
      </c>
      <c r="M963" s="67">
        <f>$J$963-EFEITO!$K$963*EFEITO!$Y$963</f>
        <v>0</v>
      </c>
      <c r="N963" s="67">
        <f ca="1">$K$963-EFEITO!$M$963*EFEITO!$Z$963</f>
        <v>0</v>
      </c>
      <c r="O963" s="67">
        <f>$L$963-EFEITO!$O$963*EFEITO!$AA$963</f>
        <v>0</v>
      </c>
      <c r="P963" s="18"/>
      <c r="Q963" s="18"/>
      <c r="R963" s="18"/>
      <c r="S963" s="18"/>
      <c r="T963" s="18"/>
      <c r="U963" s="18"/>
      <c r="V963" s="18"/>
      <c r="W963" s="18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1.25" customHeight="1" x14ac:dyDescent="0.2">
      <c r="A964" s="58" t="s">
        <v>21</v>
      </c>
      <c r="B964" s="58" t="s">
        <v>37</v>
      </c>
      <c r="C964" s="58" t="s">
        <v>33</v>
      </c>
      <c r="D964" s="58" t="s">
        <v>42</v>
      </c>
      <c r="E964" s="58" t="s">
        <v>25</v>
      </c>
      <c r="F964" s="58" t="s">
        <v>25</v>
      </c>
      <c r="G964" s="58" t="s">
        <v>25</v>
      </c>
      <c r="H964" s="58" t="s">
        <v>36</v>
      </c>
      <c r="I964" s="66">
        <v>44682</v>
      </c>
      <c r="J964" s="67">
        <f>EFEITO!$J$964*EFEITO!$Y$964</f>
        <v>0</v>
      </c>
      <c r="K964" s="67">
        <f ca="1">EFEITO!$L$964*EFEITO!$Z$964</f>
        <v>1452.6368463219292</v>
      </c>
      <c r="L964" s="67">
        <f>EFEITO!$N$964*EFEITO!$AA$964</f>
        <v>646.20085082280661</v>
      </c>
      <c r="M964" s="67">
        <f>$J$964-EFEITO!$K$964*EFEITO!$Y$964</f>
        <v>0</v>
      </c>
      <c r="N964" s="67">
        <f ca="1">$K$964-EFEITO!$M$964*EFEITO!$Z$964</f>
        <v>0</v>
      </c>
      <c r="O964" s="67">
        <f>$L$964-EFEITO!$O$964*EFEITO!$AA$964</f>
        <v>0</v>
      </c>
      <c r="P964" s="18"/>
      <c r="Q964" s="18"/>
      <c r="R964" s="18"/>
      <c r="S964" s="18"/>
      <c r="T964" s="18"/>
      <c r="U964" s="18"/>
      <c r="V964" s="18"/>
      <c r="W964" s="18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1.25" customHeight="1" x14ac:dyDescent="0.2">
      <c r="A965" s="58" t="s">
        <v>21</v>
      </c>
      <c r="B965" s="58" t="s">
        <v>37</v>
      </c>
      <c r="C965" s="58" t="s">
        <v>33</v>
      </c>
      <c r="D965" s="58" t="s">
        <v>42</v>
      </c>
      <c r="E965" s="58" t="s">
        <v>25</v>
      </c>
      <c r="F965" s="58" t="s">
        <v>25</v>
      </c>
      <c r="G965" s="58" t="s">
        <v>25</v>
      </c>
      <c r="H965" s="58" t="s">
        <v>36</v>
      </c>
      <c r="I965" s="66">
        <v>44713</v>
      </c>
      <c r="J965" s="67">
        <f>EFEITO!$J$965*EFEITO!$Y$965</f>
        <v>0</v>
      </c>
      <c r="K965" s="67">
        <f ca="1">EFEITO!$L$965*EFEITO!$Z$965</f>
        <v>1665.252651923076</v>
      </c>
      <c r="L965" s="67">
        <f>EFEITO!$N$965*EFEITO!$AA$965</f>
        <v>740.78231130669474</v>
      </c>
      <c r="M965" s="67">
        <f>$J$965-EFEITO!$K$965*EFEITO!$Y$965</f>
        <v>0</v>
      </c>
      <c r="N965" s="67">
        <f ca="1">$K$965-EFEITO!$M$965*EFEITO!$Z$965</f>
        <v>0</v>
      </c>
      <c r="O965" s="67">
        <f>$L$965-EFEITO!$O$965*EFEITO!$AA$965</f>
        <v>0</v>
      </c>
      <c r="P965" s="18"/>
      <c r="Q965" s="18"/>
      <c r="R965" s="18"/>
      <c r="S965" s="18"/>
      <c r="T965" s="18"/>
      <c r="U965" s="18"/>
      <c r="V965" s="18"/>
      <c r="W965" s="18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1.25" customHeight="1" x14ac:dyDescent="0.2">
      <c r="A966" s="58" t="s">
        <v>21</v>
      </c>
      <c r="B966" s="58" t="s">
        <v>37</v>
      </c>
      <c r="C966" s="58" t="s">
        <v>33</v>
      </c>
      <c r="D966" s="58" t="s">
        <v>42</v>
      </c>
      <c r="E966" s="58" t="s">
        <v>25</v>
      </c>
      <c r="F966" s="58" t="s">
        <v>25</v>
      </c>
      <c r="G966" s="58" t="s">
        <v>25</v>
      </c>
      <c r="H966" s="58" t="s">
        <v>36</v>
      </c>
      <c r="I966" s="66">
        <v>44743</v>
      </c>
      <c r="J966" s="67">
        <f>EFEITO!$J$966*EFEITO!$Y$966</f>
        <v>0</v>
      </c>
      <c r="K966" s="67">
        <f ca="1">EFEITO!$L$966*EFEITO!$Z$966</f>
        <v>1655.2639899149681</v>
      </c>
      <c r="L966" s="67">
        <f>EFEITO!$N$966*EFEITO!$AA$966</f>
        <v>736.33888698865974</v>
      </c>
      <c r="M966" s="67">
        <f>$J$966-EFEITO!$K$966*EFEITO!$Y$966</f>
        <v>0</v>
      </c>
      <c r="N966" s="67">
        <f ca="1">$K$966-EFEITO!$M$966*EFEITO!$Z$966</f>
        <v>0</v>
      </c>
      <c r="O966" s="67">
        <f>$L$966-EFEITO!$O$966*EFEITO!$AA$966</f>
        <v>0</v>
      </c>
      <c r="P966" s="18"/>
      <c r="Q966" s="18"/>
      <c r="R966" s="18"/>
      <c r="S966" s="18"/>
      <c r="T966" s="18"/>
      <c r="U966" s="18"/>
      <c r="V966" s="18"/>
      <c r="W966" s="18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1.25" customHeight="1" x14ac:dyDescent="0.2">
      <c r="A967" s="58" t="s">
        <v>21</v>
      </c>
      <c r="B967" s="58" t="s">
        <v>37</v>
      </c>
      <c r="C967" s="58" t="s">
        <v>33</v>
      </c>
      <c r="D967" s="58" t="s">
        <v>42</v>
      </c>
      <c r="E967" s="58" t="s">
        <v>25</v>
      </c>
      <c r="F967" s="58" t="s">
        <v>25</v>
      </c>
      <c r="G967" s="58" t="s">
        <v>25</v>
      </c>
      <c r="H967" s="58" t="s">
        <v>36</v>
      </c>
      <c r="I967" s="66">
        <v>44774</v>
      </c>
      <c r="J967" s="67">
        <f>EFEITO!$J$967*EFEITO!$Y$967</f>
        <v>0</v>
      </c>
      <c r="K967" s="67">
        <f ca="1">EFEITO!$L$967*EFEITO!$Z$967</f>
        <v>1866.4528438006712</v>
      </c>
      <c r="L967" s="67">
        <f>EFEITO!$N$967*EFEITO!$AA$967</f>
        <v>830.28557256997158</v>
      </c>
      <c r="M967" s="67">
        <f>$J$967-EFEITO!$K$967*EFEITO!$Y$967</f>
        <v>0</v>
      </c>
      <c r="N967" s="67">
        <f ca="1">$K$967-EFEITO!$M$967*EFEITO!$Z$967</f>
        <v>0</v>
      </c>
      <c r="O967" s="67">
        <f>$L$967-EFEITO!$O$967*EFEITO!$AA$967</f>
        <v>0</v>
      </c>
      <c r="P967" s="18"/>
      <c r="Q967" s="18"/>
      <c r="R967" s="18"/>
      <c r="S967" s="18"/>
      <c r="T967" s="18"/>
      <c r="U967" s="18"/>
      <c r="V967" s="18"/>
      <c r="W967" s="18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1.25" customHeight="1" x14ac:dyDescent="0.2">
      <c r="A968" s="58" t="s">
        <v>21</v>
      </c>
      <c r="B968" s="58" t="s">
        <v>37</v>
      </c>
      <c r="C968" s="58" t="s">
        <v>33</v>
      </c>
      <c r="D968" s="58" t="s">
        <v>42</v>
      </c>
      <c r="E968" s="58" t="s">
        <v>25</v>
      </c>
      <c r="F968" s="58" t="s">
        <v>25</v>
      </c>
      <c r="G968" s="58" t="s">
        <v>25</v>
      </c>
      <c r="H968" s="58" t="s">
        <v>36</v>
      </c>
      <c r="I968" s="66">
        <v>44805</v>
      </c>
      <c r="J968" s="67">
        <f>EFEITO!$J$968*EFEITO!$Y$968</f>
        <v>0</v>
      </c>
      <c r="K968" s="67">
        <f ca="1">EFEITO!$L$968*EFEITO!$Z$968</f>
        <v>1672.3874105002953</v>
      </c>
      <c r="L968" s="67">
        <f>EFEITO!$N$968*EFEITO!$AA$968</f>
        <v>743.95618581957683</v>
      </c>
      <c r="M968" s="67">
        <f>$J$968-EFEITO!$K$968*EFEITO!$Y$968</f>
        <v>0</v>
      </c>
      <c r="N968" s="67">
        <f ca="1">$K$968-EFEITO!$M$968*EFEITO!$Z$968</f>
        <v>0</v>
      </c>
      <c r="O968" s="67">
        <f>$L$968-EFEITO!$O$968*EFEITO!$AA$968</f>
        <v>0</v>
      </c>
      <c r="P968" s="18"/>
      <c r="Q968" s="18"/>
      <c r="R968" s="18"/>
      <c r="S968" s="18"/>
      <c r="T968" s="18"/>
      <c r="U968" s="18"/>
      <c r="V968" s="18"/>
      <c r="W968" s="18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1.25" customHeight="1" x14ac:dyDescent="0.2">
      <c r="A969" s="58" t="s">
        <v>55</v>
      </c>
      <c r="B969" s="58" t="s">
        <v>37</v>
      </c>
      <c r="C969" s="58" t="s">
        <v>33</v>
      </c>
      <c r="D969" s="58" t="s">
        <v>42</v>
      </c>
      <c r="E969" s="58" t="s">
        <v>25</v>
      </c>
      <c r="F969" s="58" t="s">
        <v>25</v>
      </c>
      <c r="G969" s="58" t="s">
        <v>25</v>
      </c>
      <c r="H969" s="58" t="s">
        <v>36</v>
      </c>
      <c r="I969" s="66">
        <v>44835</v>
      </c>
      <c r="J969" s="67">
        <f>EFEITO!$J$969*EFEITO!$Y$969</f>
        <v>0</v>
      </c>
      <c r="K969" s="67">
        <f ca="1">EFEITO!$L$969*EFEITO!$Z$969</f>
        <v>1672.3874105002953</v>
      </c>
      <c r="L969" s="67">
        <f>EFEITO!$N$969*EFEITO!$AA$969</f>
        <v>743.95618581957683</v>
      </c>
      <c r="M969" s="67">
        <f>$J$969-EFEITO!$K$969*EFEITO!$Y$969</f>
        <v>0</v>
      </c>
      <c r="N969" s="67">
        <f ca="1">$K$969-EFEITO!$M$969*EFEITO!$Z$969</f>
        <v>0</v>
      </c>
      <c r="O969" s="67">
        <f>$L$969-EFEITO!$O$969*EFEITO!$AA$969</f>
        <v>0</v>
      </c>
      <c r="P969" s="18"/>
      <c r="Q969" s="18"/>
      <c r="R969" s="18"/>
      <c r="S969" s="18"/>
      <c r="T969" s="18"/>
      <c r="U969" s="18"/>
      <c r="V969" s="18"/>
      <c r="W969" s="18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1.25" customHeight="1" x14ac:dyDescent="0.2">
      <c r="A970" s="58" t="s">
        <v>21</v>
      </c>
      <c r="B970" s="58" t="s">
        <v>37</v>
      </c>
      <c r="C970" s="58" t="s">
        <v>33</v>
      </c>
      <c r="D970" s="58" t="s">
        <v>42</v>
      </c>
      <c r="E970" s="58" t="s">
        <v>25</v>
      </c>
      <c r="F970" s="58" t="s">
        <v>25</v>
      </c>
      <c r="G970" s="58" t="s">
        <v>25</v>
      </c>
      <c r="H970" s="58" t="s">
        <v>34</v>
      </c>
      <c r="I970" s="66">
        <v>44501</v>
      </c>
      <c r="J970" s="67">
        <f>EFEITO!$J$970*EFEITO!$Y$970</f>
        <v>0</v>
      </c>
      <c r="K970" s="67">
        <f ca="1">EFEITO!$L$970*EFEITO!$Z$970</f>
        <v>3638.1150561091549</v>
      </c>
      <c r="L970" s="67">
        <f>EFEITO!$N$970*EFEITO!$AA$970</f>
        <v>1810.3852304112183</v>
      </c>
      <c r="M970" s="67">
        <f>$J$970-EFEITO!$K$970*EFEITO!$Y$970</f>
        <v>0</v>
      </c>
      <c r="N970" s="67">
        <f ca="1">$K$970-EFEITO!$M$970*EFEITO!$Z$970</f>
        <v>0</v>
      </c>
      <c r="O970" s="67">
        <f>$L$970-EFEITO!$O$970*EFEITO!$AA$970</f>
        <v>0</v>
      </c>
      <c r="P970" s="18"/>
      <c r="Q970" s="18"/>
      <c r="R970" s="18"/>
      <c r="S970" s="18"/>
      <c r="T970" s="18"/>
      <c r="U970" s="18"/>
      <c r="V970" s="18"/>
      <c r="W970" s="18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1.25" customHeight="1" x14ac:dyDescent="0.2">
      <c r="A971" s="58" t="s">
        <v>28</v>
      </c>
      <c r="B971" s="58" t="s">
        <v>37</v>
      </c>
      <c r="C971" s="58" t="s">
        <v>33</v>
      </c>
      <c r="D971" s="58" t="s">
        <v>42</v>
      </c>
      <c r="E971" s="58" t="s">
        <v>25</v>
      </c>
      <c r="F971" s="58" t="s">
        <v>25</v>
      </c>
      <c r="G971" s="58" t="s">
        <v>25</v>
      </c>
      <c r="H971" s="58" t="s">
        <v>34</v>
      </c>
      <c r="I971" s="66">
        <v>44501</v>
      </c>
      <c r="J971" s="67">
        <f>EFEITO!$J$971*EFEITO!$Y$971</f>
        <v>0</v>
      </c>
      <c r="K971" s="67">
        <f ca="1">EFEITO!$L$971*EFEITO!$Z$971</f>
        <v>163.63336084448972</v>
      </c>
      <c r="L971" s="67">
        <f>EFEITO!$N$971*EFEITO!$AA$971</f>
        <v>81.426622057476081</v>
      </c>
      <c r="M971" s="67">
        <f>$J$971-EFEITO!$K$971*EFEITO!$Y$971</f>
        <v>0</v>
      </c>
      <c r="N971" s="67">
        <f ca="1">$K$971-EFEITO!$M$971*EFEITO!$Z$971</f>
        <v>0</v>
      </c>
      <c r="O971" s="67">
        <f>$L$971-EFEITO!$O$971*EFEITO!$AA$971</f>
        <v>0</v>
      </c>
      <c r="P971" s="18"/>
      <c r="Q971" s="18"/>
      <c r="R971" s="18"/>
      <c r="S971" s="18"/>
      <c r="T971" s="18"/>
      <c r="U971" s="18"/>
      <c r="V971" s="18"/>
      <c r="W971" s="18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1.25" customHeight="1" x14ac:dyDescent="0.2">
      <c r="A972" s="58" t="s">
        <v>21</v>
      </c>
      <c r="B972" s="58" t="s">
        <v>37</v>
      </c>
      <c r="C972" s="58" t="s">
        <v>33</v>
      </c>
      <c r="D972" s="58" t="s">
        <v>42</v>
      </c>
      <c r="E972" s="58" t="s">
        <v>25</v>
      </c>
      <c r="F972" s="58" t="s">
        <v>25</v>
      </c>
      <c r="G972" s="58" t="s">
        <v>25</v>
      </c>
      <c r="H972" s="58" t="s">
        <v>34</v>
      </c>
      <c r="I972" s="66">
        <v>44531</v>
      </c>
      <c r="J972" s="67">
        <f>EFEITO!$J$972*EFEITO!$Y$972</f>
        <v>0</v>
      </c>
      <c r="K972" s="67">
        <f ca="1">EFEITO!$L$972*EFEITO!$Z$972</f>
        <v>3137.3969719250163</v>
      </c>
      <c r="L972" s="67">
        <f>EFEITO!$N$972*EFEITO!$AA$972</f>
        <v>1561.2197669153413</v>
      </c>
      <c r="M972" s="67">
        <f>$J$972-EFEITO!$K$972*EFEITO!$Y$972</f>
        <v>0</v>
      </c>
      <c r="N972" s="67">
        <f ca="1">$K$972-EFEITO!$M$972*EFEITO!$Z$972</f>
        <v>0</v>
      </c>
      <c r="O972" s="67">
        <f>$L$972-EFEITO!$O$972*EFEITO!$AA$972</f>
        <v>0</v>
      </c>
      <c r="P972" s="18"/>
      <c r="Q972" s="18"/>
      <c r="R972" s="18"/>
      <c r="S972" s="18"/>
      <c r="T972" s="18"/>
      <c r="U972" s="18"/>
      <c r="V972" s="18"/>
      <c r="W972" s="18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1.25" customHeight="1" x14ac:dyDescent="0.2">
      <c r="A973" s="58" t="s">
        <v>28</v>
      </c>
      <c r="B973" s="58" t="s">
        <v>37</v>
      </c>
      <c r="C973" s="58" t="s">
        <v>33</v>
      </c>
      <c r="D973" s="58" t="s">
        <v>42</v>
      </c>
      <c r="E973" s="58" t="s">
        <v>25</v>
      </c>
      <c r="F973" s="58" t="s">
        <v>25</v>
      </c>
      <c r="G973" s="58" t="s">
        <v>25</v>
      </c>
      <c r="H973" s="58" t="s">
        <v>34</v>
      </c>
      <c r="I973" s="66">
        <v>44531</v>
      </c>
      <c r="J973" s="67">
        <f>EFEITO!$J$973*EFEITO!$Y$973</f>
        <v>0</v>
      </c>
      <c r="K973" s="67">
        <f ca="1">EFEITO!$L$973*EFEITO!$Z$973</f>
        <v>218.17781445931965</v>
      </c>
      <c r="L973" s="67">
        <f>EFEITO!$N$973*EFEITO!$AA$973</f>
        <v>108.56882940996812</v>
      </c>
      <c r="M973" s="67">
        <f>$J$973-EFEITO!$K$973*EFEITO!$Y$973</f>
        <v>0</v>
      </c>
      <c r="N973" s="67">
        <f ca="1">$K$973-EFEITO!$M$973*EFEITO!$Z$973</f>
        <v>0</v>
      </c>
      <c r="O973" s="67">
        <f>$L$973-EFEITO!$O$973*EFEITO!$AA$973</f>
        <v>0</v>
      </c>
      <c r="P973" s="18"/>
      <c r="Q973" s="18"/>
      <c r="R973" s="18"/>
      <c r="S973" s="18"/>
      <c r="T973" s="18"/>
      <c r="U973" s="18"/>
      <c r="V973" s="18"/>
      <c r="W973" s="18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1.25" customHeight="1" x14ac:dyDescent="0.2">
      <c r="A974" s="58" t="s">
        <v>21</v>
      </c>
      <c r="B974" s="58" t="s">
        <v>37</v>
      </c>
      <c r="C974" s="58" t="s">
        <v>33</v>
      </c>
      <c r="D974" s="58" t="s">
        <v>42</v>
      </c>
      <c r="E974" s="58" t="s">
        <v>25</v>
      </c>
      <c r="F974" s="58" t="s">
        <v>25</v>
      </c>
      <c r="G974" s="58" t="s">
        <v>25</v>
      </c>
      <c r="H974" s="58" t="s">
        <v>34</v>
      </c>
      <c r="I974" s="66">
        <v>44562</v>
      </c>
      <c r="J974" s="67">
        <f>EFEITO!$J$974*EFEITO!$Y$974</f>
        <v>0</v>
      </c>
      <c r="K974" s="67">
        <f ca="1">EFEITO!$L$974*EFEITO!$Z$974</f>
        <v>2873.4018164292397</v>
      </c>
      <c r="L974" s="67">
        <f>EFEITO!$N$974*EFEITO!$AA$974</f>
        <v>1429.85148332928</v>
      </c>
      <c r="M974" s="67">
        <f>$J$974-EFEITO!$K$974*EFEITO!$Y$974</f>
        <v>0</v>
      </c>
      <c r="N974" s="67">
        <f ca="1">$K$974-EFEITO!$M$974*EFEITO!$Z$974</f>
        <v>0</v>
      </c>
      <c r="O974" s="67">
        <f>$L$974-EFEITO!$O$974*EFEITO!$AA$974</f>
        <v>0</v>
      </c>
      <c r="P974" s="18"/>
      <c r="Q974" s="18"/>
      <c r="R974" s="18"/>
      <c r="S974" s="18"/>
      <c r="T974" s="18"/>
      <c r="U974" s="18"/>
      <c r="V974" s="18"/>
      <c r="W974" s="18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1.25" customHeight="1" x14ac:dyDescent="0.2">
      <c r="A975" s="58" t="s">
        <v>28</v>
      </c>
      <c r="B975" s="58" t="s">
        <v>37</v>
      </c>
      <c r="C975" s="58" t="s">
        <v>33</v>
      </c>
      <c r="D975" s="58" t="s">
        <v>42</v>
      </c>
      <c r="E975" s="58" t="s">
        <v>25</v>
      </c>
      <c r="F975" s="58" t="s">
        <v>25</v>
      </c>
      <c r="G975" s="58" t="s">
        <v>25</v>
      </c>
      <c r="H975" s="58" t="s">
        <v>34</v>
      </c>
      <c r="I975" s="66">
        <v>44562</v>
      </c>
      <c r="J975" s="67">
        <f>EFEITO!$J$975*EFEITO!$Y$975</f>
        <v>0</v>
      </c>
      <c r="K975" s="67">
        <f ca="1">EFEITO!$L$975*EFEITO!$Z$975</f>
        <v>158.17891548300673</v>
      </c>
      <c r="L975" s="67">
        <f>EFEITO!$N$975*EFEITO!$AA$975</f>
        <v>78.712401322226881</v>
      </c>
      <c r="M975" s="67">
        <f>$J$975-EFEITO!$K$975*EFEITO!$Y$975</f>
        <v>0</v>
      </c>
      <c r="N975" s="67">
        <f ca="1">$K$975-EFEITO!$M$975*EFEITO!$Z$975</f>
        <v>0</v>
      </c>
      <c r="O975" s="67">
        <f>$L$975-EFEITO!$O$975*EFEITO!$AA$975</f>
        <v>0</v>
      </c>
      <c r="P975" s="18"/>
      <c r="Q975" s="18"/>
      <c r="R975" s="18"/>
      <c r="S975" s="18"/>
      <c r="T975" s="18"/>
      <c r="U975" s="18"/>
      <c r="V975" s="18"/>
      <c r="W975" s="18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1.25" customHeight="1" x14ac:dyDescent="0.2">
      <c r="A976" s="58" t="s">
        <v>21</v>
      </c>
      <c r="B976" s="58" t="s">
        <v>37</v>
      </c>
      <c r="C976" s="58" t="s">
        <v>33</v>
      </c>
      <c r="D976" s="58" t="s">
        <v>42</v>
      </c>
      <c r="E976" s="58" t="s">
        <v>25</v>
      </c>
      <c r="F976" s="58" t="s">
        <v>25</v>
      </c>
      <c r="G976" s="58" t="s">
        <v>25</v>
      </c>
      <c r="H976" s="58" t="s">
        <v>34</v>
      </c>
      <c r="I976" s="66">
        <v>44593</v>
      </c>
      <c r="J976" s="67">
        <f>EFEITO!$J$976*EFEITO!$Y$976</f>
        <v>0</v>
      </c>
      <c r="K976" s="67">
        <f ca="1">EFEITO!$L$976*EFEITO!$Z$976</f>
        <v>2836.3115879711554</v>
      </c>
      <c r="L976" s="67">
        <f>EFEITO!$N$976*EFEITO!$AA$976</f>
        <v>1411.3947823295855</v>
      </c>
      <c r="M976" s="67">
        <f>$J$976-EFEITO!$K$976*EFEITO!$Y$976</f>
        <v>0</v>
      </c>
      <c r="N976" s="67">
        <f ca="1">$K$976-EFEITO!$M$976*EFEITO!$Z$976</f>
        <v>0</v>
      </c>
      <c r="O976" s="67">
        <f>$L$976-EFEITO!$O$976*EFEITO!$AA$976</f>
        <v>0</v>
      </c>
      <c r="P976" s="18"/>
      <c r="Q976" s="18"/>
      <c r="R976" s="18"/>
      <c r="S976" s="18"/>
      <c r="T976" s="18"/>
      <c r="U976" s="18"/>
      <c r="V976" s="18"/>
      <c r="W976" s="18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1.25" customHeight="1" x14ac:dyDescent="0.2">
      <c r="A977" s="58" t="s">
        <v>28</v>
      </c>
      <c r="B977" s="58" t="s">
        <v>37</v>
      </c>
      <c r="C977" s="58" t="s">
        <v>33</v>
      </c>
      <c r="D977" s="58" t="s">
        <v>42</v>
      </c>
      <c r="E977" s="58" t="s">
        <v>25</v>
      </c>
      <c r="F977" s="58" t="s">
        <v>25</v>
      </c>
      <c r="G977" s="58" t="s">
        <v>25</v>
      </c>
      <c r="H977" s="58" t="s">
        <v>34</v>
      </c>
      <c r="I977" s="66">
        <v>44593</v>
      </c>
      <c r="J977" s="67">
        <f>EFEITO!$J$977*EFEITO!$Y$977</f>
        <v>0</v>
      </c>
      <c r="K977" s="67">
        <f ca="1">EFEITO!$L$977*EFEITO!$Z$977</f>
        <v>181.08758600123531</v>
      </c>
      <c r="L977" s="67">
        <f>EFEITO!$N$977*EFEITO!$AA$977</f>
        <v>90.112128410273542</v>
      </c>
      <c r="M977" s="67">
        <f>$J$977-EFEITO!$K$977*EFEITO!$Y$977</f>
        <v>0</v>
      </c>
      <c r="N977" s="67">
        <f ca="1">$K$977-EFEITO!$M$977*EFEITO!$Z$977</f>
        <v>0</v>
      </c>
      <c r="O977" s="67">
        <f>$L$977-EFEITO!$O$977*EFEITO!$AA$977</f>
        <v>0</v>
      </c>
      <c r="P977" s="18"/>
      <c r="Q977" s="18"/>
      <c r="R977" s="18"/>
      <c r="S977" s="18"/>
      <c r="T977" s="18"/>
      <c r="U977" s="18"/>
      <c r="V977" s="18"/>
      <c r="W977" s="18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1.25" customHeight="1" x14ac:dyDescent="0.2">
      <c r="A978" s="58" t="s">
        <v>21</v>
      </c>
      <c r="B978" s="58" t="s">
        <v>37</v>
      </c>
      <c r="C978" s="58" t="s">
        <v>33</v>
      </c>
      <c r="D978" s="58" t="s">
        <v>42</v>
      </c>
      <c r="E978" s="58" t="s">
        <v>25</v>
      </c>
      <c r="F978" s="58" t="s">
        <v>25</v>
      </c>
      <c r="G978" s="58" t="s">
        <v>25</v>
      </c>
      <c r="H978" s="58" t="s">
        <v>34</v>
      </c>
      <c r="I978" s="66">
        <v>44621</v>
      </c>
      <c r="J978" s="67">
        <f>EFEITO!$J$978*EFEITO!$Y$978</f>
        <v>0</v>
      </c>
      <c r="K978" s="67">
        <f ca="1">EFEITO!$L$978*EFEITO!$Z$978</f>
        <v>3162.4874205878382</v>
      </c>
      <c r="L978" s="67">
        <f>EFEITO!$N$978*EFEITO!$AA$978</f>
        <v>1573.7051822974877</v>
      </c>
      <c r="M978" s="67">
        <f>$J$978-EFEITO!$K$978*EFEITO!$Y$978</f>
        <v>0</v>
      </c>
      <c r="N978" s="67">
        <f ca="1">$K$978-EFEITO!$M$978*EFEITO!$Z$978</f>
        <v>0</v>
      </c>
      <c r="O978" s="67">
        <f>$L$978-EFEITO!$O$978*EFEITO!$AA$978</f>
        <v>0</v>
      </c>
      <c r="P978" s="18"/>
      <c r="Q978" s="18"/>
      <c r="R978" s="18"/>
      <c r="S978" s="18"/>
      <c r="T978" s="18"/>
      <c r="U978" s="18"/>
      <c r="V978" s="18"/>
      <c r="W978" s="18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1.25" customHeight="1" x14ac:dyDescent="0.2">
      <c r="A979" s="58" t="s">
        <v>28</v>
      </c>
      <c r="B979" s="58" t="s">
        <v>37</v>
      </c>
      <c r="C979" s="58" t="s">
        <v>33</v>
      </c>
      <c r="D979" s="58" t="s">
        <v>42</v>
      </c>
      <c r="E979" s="58" t="s">
        <v>25</v>
      </c>
      <c r="F979" s="58" t="s">
        <v>25</v>
      </c>
      <c r="G979" s="58" t="s">
        <v>25</v>
      </c>
      <c r="H979" s="58" t="s">
        <v>34</v>
      </c>
      <c r="I979" s="66">
        <v>44621</v>
      </c>
      <c r="J979" s="67">
        <f>EFEITO!$J$979*EFEITO!$Y$979</f>
        <v>0</v>
      </c>
      <c r="K979" s="67">
        <f ca="1">EFEITO!$L$979*EFEITO!$Z$979</f>
        <v>189.81469857960806</v>
      </c>
      <c r="L979" s="67">
        <f>EFEITO!$N$979*EFEITO!$AA$979</f>
        <v>94.454881586672244</v>
      </c>
      <c r="M979" s="67">
        <f>$J$979-EFEITO!$K$979*EFEITO!$Y$979</f>
        <v>0</v>
      </c>
      <c r="N979" s="67">
        <f ca="1">$K$979-EFEITO!$M$979*EFEITO!$Z$979</f>
        <v>0</v>
      </c>
      <c r="O979" s="67">
        <f>$L$979-EFEITO!$O$979*EFEITO!$AA$979</f>
        <v>0</v>
      </c>
      <c r="P979" s="18"/>
      <c r="Q979" s="18"/>
      <c r="R979" s="18"/>
      <c r="S979" s="18"/>
      <c r="T979" s="18"/>
      <c r="U979" s="18"/>
      <c r="V979" s="18"/>
      <c r="W979" s="18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1.25" customHeight="1" x14ac:dyDescent="0.2">
      <c r="A980" s="58" t="s">
        <v>21</v>
      </c>
      <c r="B980" s="58" t="s">
        <v>37</v>
      </c>
      <c r="C980" s="58" t="s">
        <v>33</v>
      </c>
      <c r="D980" s="58" t="s">
        <v>42</v>
      </c>
      <c r="E980" s="58" t="s">
        <v>25</v>
      </c>
      <c r="F980" s="58" t="s">
        <v>25</v>
      </c>
      <c r="G980" s="58" t="s">
        <v>25</v>
      </c>
      <c r="H980" s="58" t="s">
        <v>34</v>
      </c>
      <c r="I980" s="66">
        <v>44652</v>
      </c>
      <c r="J980" s="67">
        <f>EFEITO!$J$980*EFEITO!$Y$980</f>
        <v>0</v>
      </c>
      <c r="K980" s="67">
        <f ca="1">EFEITO!$L$980*EFEITO!$Z$980</f>
        <v>3162.4874205878382</v>
      </c>
      <c r="L980" s="67">
        <f>EFEITO!$N$980*EFEITO!$AA$980</f>
        <v>1573.7051822974877</v>
      </c>
      <c r="M980" s="67">
        <f>$J$980-EFEITO!$K$980*EFEITO!$Y$980</f>
        <v>0</v>
      </c>
      <c r="N980" s="67">
        <f ca="1">$K$980-EFEITO!$M$980*EFEITO!$Z$980</f>
        <v>0</v>
      </c>
      <c r="O980" s="67">
        <f>$L$980-EFEITO!$O$980*EFEITO!$AA$980</f>
        <v>0</v>
      </c>
      <c r="P980" s="18"/>
      <c r="Q980" s="18"/>
      <c r="R980" s="18"/>
      <c r="S980" s="18"/>
      <c r="T980" s="18"/>
      <c r="U980" s="18"/>
      <c r="V980" s="18"/>
      <c r="W980" s="18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1.25" customHeight="1" x14ac:dyDescent="0.2">
      <c r="A981" s="58" t="s">
        <v>28</v>
      </c>
      <c r="B981" s="58" t="s">
        <v>37</v>
      </c>
      <c r="C981" s="58" t="s">
        <v>33</v>
      </c>
      <c r="D981" s="58" t="s">
        <v>42</v>
      </c>
      <c r="E981" s="58" t="s">
        <v>25</v>
      </c>
      <c r="F981" s="58" t="s">
        <v>25</v>
      </c>
      <c r="G981" s="58" t="s">
        <v>25</v>
      </c>
      <c r="H981" s="58" t="s">
        <v>34</v>
      </c>
      <c r="I981" s="66">
        <v>44652</v>
      </c>
      <c r="J981" s="67">
        <f>EFEITO!$J$981*EFEITO!$Y$981</f>
        <v>0</v>
      </c>
      <c r="K981" s="67">
        <f ca="1">EFEITO!$L$981*EFEITO!$Z$981</f>
        <v>189.81469857960806</v>
      </c>
      <c r="L981" s="67">
        <f>EFEITO!$N$981*EFEITO!$AA$981</f>
        <v>94.454881586672244</v>
      </c>
      <c r="M981" s="67">
        <f>$J$981-EFEITO!$K$981*EFEITO!$Y$981</f>
        <v>0</v>
      </c>
      <c r="N981" s="67">
        <f ca="1">$K$981-EFEITO!$M$981*EFEITO!$Z$981</f>
        <v>0</v>
      </c>
      <c r="O981" s="67">
        <f>$L$981-EFEITO!$O$981*EFEITO!$AA$981</f>
        <v>0</v>
      </c>
      <c r="P981" s="18"/>
      <c r="Q981" s="18"/>
      <c r="R981" s="18"/>
      <c r="S981" s="18"/>
      <c r="T981" s="18"/>
      <c r="U981" s="18"/>
      <c r="V981" s="18"/>
      <c r="W981" s="18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1.25" customHeight="1" x14ac:dyDescent="0.2">
      <c r="A982" s="58" t="s">
        <v>21</v>
      </c>
      <c r="B982" s="58" t="s">
        <v>37</v>
      </c>
      <c r="C982" s="58" t="s">
        <v>33</v>
      </c>
      <c r="D982" s="58" t="s">
        <v>42</v>
      </c>
      <c r="E982" s="58" t="s">
        <v>25</v>
      </c>
      <c r="F982" s="58" t="s">
        <v>25</v>
      </c>
      <c r="G982" s="58" t="s">
        <v>25</v>
      </c>
      <c r="H982" s="58" t="s">
        <v>34</v>
      </c>
      <c r="I982" s="66">
        <v>44682</v>
      </c>
      <c r="J982" s="67">
        <f>EFEITO!$J$982*EFEITO!$Y$982</f>
        <v>0</v>
      </c>
      <c r="K982" s="67">
        <f ca="1">EFEITO!$L$982*EFEITO!$Z$982</f>
        <v>3298.848554624913</v>
      </c>
      <c r="L982" s="67">
        <f>EFEITO!$N$982*EFEITO!$AA$982</f>
        <v>1641.5607006787179</v>
      </c>
      <c r="M982" s="67">
        <f>$J$982-EFEITO!$K$982*EFEITO!$Y$982</f>
        <v>0</v>
      </c>
      <c r="N982" s="67">
        <f ca="1">$K$982-EFEITO!$M$982*EFEITO!$Z$982</f>
        <v>0</v>
      </c>
      <c r="O982" s="67">
        <f>$L$982-EFEITO!$O$982*EFEITO!$AA$982</f>
        <v>0</v>
      </c>
      <c r="P982" s="18"/>
      <c r="Q982" s="18"/>
      <c r="R982" s="18"/>
      <c r="S982" s="18"/>
      <c r="T982" s="18"/>
      <c r="U982" s="18"/>
      <c r="V982" s="18"/>
      <c r="W982" s="18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1.25" customHeight="1" x14ac:dyDescent="0.2">
      <c r="A983" s="58" t="s">
        <v>28</v>
      </c>
      <c r="B983" s="58" t="s">
        <v>37</v>
      </c>
      <c r="C983" s="58" t="s">
        <v>33</v>
      </c>
      <c r="D983" s="58" t="s">
        <v>42</v>
      </c>
      <c r="E983" s="58" t="s">
        <v>25</v>
      </c>
      <c r="F983" s="58" t="s">
        <v>25</v>
      </c>
      <c r="G983" s="58" t="s">
        <v>25</v>
      </c>
      <c r="H983" s="58" t="s">
        <v>34</v>
      </c>
      <c r="I983" s="66">
        <v>44682</v>
      </c>
      <c r="J983" s="67">
        <f>EFEITO!$J$983*EFEITO!$Y$983</f>
        <v>0</v>
      </c>
      <c r="K983" s="67">
        <f ca="1">EFEITO!$L$983*EFEITO!$Z$983</f>
        <v>562.89876130504467</v>
      </c>
      <c r="L983" s="67">
        <f>EFEITO!$N$983*EFEITO!$AA$983</f>
        <v>280.10757987771774</v>
      </c>
      <c r="M983" s="67">
        <f>$J$983-EFEITO!$K$983*EFEITO!$Y$983</f>
        <v>0</v>
      </c>
      <c r="N983" s="67">
        <f ca="1">$K$983-EFEITO!$M$983*EFEITO!$Z$983</f>
        <v>0</v>
      </c>
      <c r="O983" s="67">
        <f>$L$983-EFEITO!$O$983*EFEITO!$AA$983</f>
        <v>0</v>
      </c>
      <c r="P983" s="18"/>
      <c r="Q983" s="18"/>
      <c r="R983" s="18"/>
      <c r="S983" s="18"/>
      <c r="T983" s="18"/>
      <c r="U983" s="18"/>
      <c r="V983" s="18"/>
      <c r="W983" s="18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1.25" customHeight="1" x14ac:dyDescent="0.2">
      <c r="A984" s="58" t="s">
        <v>21</v>
      </c>
      <c r="B984" s="58" t="s">
        <v>37</v>
      </c>
      <c r="C984" s="58" t="s">
        <v>33</v>
      </c>
      <c r="D984" s="58" t="s">
        <v>42</v>
      </c>
      <c r="E984" s="58" t="s">
        <v>25</v>
      </c>
      <c r="F984" s="58" t="s">
        <v>25</v>
      </c>
      <c r="G984" s="58" t="s">
        <v>25</v>
      </c>
      <c r="H984" s="58" t="s">
        <v>34</v>
      </c>
      <c r="I984" s="66">
        <v>44713</v>
      </c>
      <c r="J984" s="67">
        <f>EFEITO!$J$984*EFEITO!$Y$984</f>
        <v>0</v>
      </c>
      <c r="K984" s="67">
        <f ca="1">EFEITO!$L$984*EFEITO!$Z$984</f>
        <v>3302.1212218418032</v>
      </c>
      <c r="L984" s="67">
        <f>EFEITO!$N$984*EFEITO!$AA$984</f>
        <v>1643.1892331198674</v>
      </c>
      <c r="M984" s="67">
        <f>$J$984-EFEITO!$K$984*EFEITO!$Y$984</f>
        <v>0</v>
      </c>
      <c r="N984" s="67">
        <f ca="1">$K$984-EFEITO!$M$984*EFEITO!$Z$984</f>
        <v>0</v>
      </c>
      <c r="O984" s="67">
        <f>$L$984-EFEITO!$O$984*EFEITO!$AA$984</f>
        <v>0</v>
      </c>
      <c r="P984" s="18"/>
      <c r="Q984" s="18"/>
      <c r="R984" s="18"/>
      <c r="S984" s="18"/>
      <c r="T984" s="18"/>
      <c r="U984" s="18"/>
      <c r="V984" s="18"/>
      <c r="W984" s="18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1.25" customHeight="1" x14ac:dyDescent="0.2">
      <c r="A985" s="58" t="s">
        <v>28</v>
      </c>
      <c r="B985" s="58" t="s">
        <v>37</v>
      </c>
      <c r="C985" s="58" t="s">
        <v>33</v>
      </c>
      <c r="D985" s="58" t="s">
        <v>42</v>
      </c>
      <c r="E985" s="58" t="s">
        <v>25</v>
      </c>
      <c r="F985" s="58" t="s">
        <v>25</v>
      </c>
      <c r="G985" s="58" t="s">
        <v>25</v>
      </c>
      <c r="H985" s="58" t="s">
        <v>34</v>
      </c>
      <c r="I985" s="66">
        <v>44713</v>
      </c>
      <c r="J985" s="67">
        <f>EFEITO!$J$985*EFEITO!$Y$985</f>
        <v>0</v>
      </c>
      <c r="K985" s="67">
        <f ca="1">EFEITO!$L$985*EFEITO!$Z$985</f>
        <v>186.54203136271832</v>
      </c>
      <c r="L985" s="67">
        <f>EFEITO!$N$985*EFEITO!$AA$985</f>
        <v>92.826349145522741</v>
      </c>
      <c r="M985" s="67">
        <f>$J$985-EFEITO!$K$985*EFEITO!$Y$985</f>
        <v>0</v>
      </c>
      <c r="N985" s="67">
        <f ca="1">$K$985-EFEITO!$M$985*EFEITO!$Z$985</f>
        <v>0</v>
      </c>
      <c r="O985" s="67">
        <f>$L$985-EFEITO!$O$985*EFEITO!$AA$985</f>
        <v>0</v>
      </c>
      <c r="P985" s="18"/>
      <c r="Q985" s="18"/>
      <c r="R985" s="18"/>
      <c r="S985" s="18"/>
      <c r="T985" s="18"/>
      <c r="U985" s="18"/>
      <c r="V985" s="18"/>
      <c r="W985" s="18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1.25" customHeight="1" x14ac:dyDescent="0.2">
      <c r="A986" s="58" t="s">
        <v>21</v>
      </c>
      <c r="B986" s="58" t="s">
        <v>37</v>
      </c>
      <c r="C986" s="58" t="s">
        <v>33</v>
      </c>
      <c r="D986" s="58" t="s">
        <v>42</v>
      </c>
      <c r="E986" s="58" t="s">
        <v>25</v>
      </c>
      <c r="F986" s="58" t="s">
        <v>25</v>
      </c>
      <c r="G986" s="58" t="s">
        <v>25</v>
      </c>
      <c r="H986" s="58" t="s">
        <v>34</v>
      </c>
      <c r="I986" s="66">
        <v>44743</v>
      </c>
      <c r="J986" s="67">
        <f>EFEITO!$J$986*EFEITO!$Y$986</f>
        <v>0</v>
      </c>
      <c r="K986" s="67">
        <f ca="1">EFEITO!$L$986*EFEITO!$Z$986</f>
        <v>3147.2149735756857</v>
      </c>
      <c r="L986" s="67">
        <f>EFEITO!$N$986*EFEITO!$AA$986</f>
        <v>1566.1053642387899</v>
      </c>
      <c r="M986" s="67">
        <f>$J$986-EFEITO!$K$986*EFEITO!$Y$986</f>
        <v>0</v>
      </c>
      <c r="N986" s="67">
        <f ca="1">$K$986-EFEITO!$M$986*EFEITO!$Z$986</f>
        <v>0</v>
      </c>
      <c r="O986" s="67">
        <f>$L$986-EFEITO!$O$986*EFEITO!$AA$986</f>
        <v>0</v>
      </c>
      <c r="P986" s="18"/>
      <c r="Q986" s="18"/>
      <c r="R986" s="18"/>
      <c r="S986" s="18"/>
      <c r="T986" s="18"/>
      <c r="U986" s="18"/>
      <c r="V986" s="18"/>
      <c r="W986" s="18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1.25" customHeight="1" x14ac:dyDescent="0.2">
      <c r="A987" s="58" t="s">
        <v>28</v>
      </c>
      <c r="B987" s="58" t="s">
        <v>37</v>
      </c>
      <c r="C987" s="58" t="s">
        <v>33</v>
      </c>
      <c r="D987" s="58" t="s">
        <v>42</v>
      </c>
      <c r="E987" s="58" t="s">
        <v>25</v>
      </c>
      <c r="F987" s="58" t="s">
        <v>25</v>
      </c>
      <c r="G987" s="58" t="s">
        <v>25</v>
      </c>
      <c r="H987" s="58" t="s">
        <v>34</v>
      </c>
      <c r="I987" s="66">
        <v>44743</v>
      </c>
      <c r="J987" s="67">
        <f>EFEITO!$J$987*EFEITO!$Y$987</f>
        <v>0</v>
      </c>
      <c r="K987" s="67">
        <f ca="1">EFEITO!$L$987*EFEITO!$Z$987</f>
        <v>161.45158269989653</v>
      </c>
      <c r="L987" s="67">
        <f>EFEITO!$N$987*EFEITO!$AA$987</f>
        <v>80.340933763376398</v>
      </c>
      <c r="M987" s="67">
        <f>$J$987-EFEITO!$K$987*EFEITO!$Y$987</f>
        <v>0</v>
      </c>
      <c r="N987" s="67">
        <f ca="1">$K$987-EFEITO!$M$987*EFEITO!$Z$987</f>
        <v>0</v>
      </c>
      <c r="O987" s="67">
        <f>$L$987-EFEITO!$O$987*EFEITO!$AA$987</f>
        <v>0</v>
      </c>
      <c r="P987" s="18"/>
      <c r="Q987" s="18"/>
      <c r="R987" s="18"/>
      <c r="S987" s="18"/>
      <c r="T987" s="18"/>
      <c r="U987" s="18"/>
      <c r="V987" s="18"/>
      <c r="W987" s="18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1.25" customHeight="1" x14ac:dyDescent="0.2">
      <c r="A988" s="58" t="s">
        <v>21</v>
      </c>
      <c r="B988" s="58" t="s">
        <v>37</v>
      </c>
      <c r="C988" s="58" t="s">
        <v>33</v>
      </c>
      <c r="D988" s="58" t="s">
        <v>42</v>
      </c>
      <c r="E988" s="58" t="s">
        <v>25</v>
      </c>
      <c r="F988" s="58" t="s">
        <v>25</v>
      </c>
      <c r="G988" s="58" t="s">
        <v>25</v>
      </c>
      <c r="H988" s="58" t="s">
        <v>34</v>
      </c>
      <c r="I988" s="66">
        <v>44774</v>
      </c>
      <c r="J988" s="67">
        <f>EFEITO!$J$988*EFEITO!$Y$988</f>
        <v>0</v>
      </c>
      <c r="K988" s="67">
        <f ca="1">EFEITO!$L$988*EFEITO!$Z$988</f>
        <v>3903.2011006772282</v>
      </c>
      <c r="L988" s="67">
        <f>EFEITO!$N$988*EFEITO!$AA$988</f>
        <v>1942.2963581443294</v>
      </c>
      <c r="M988" s="67">
        <f>$J$988-EFEITO!$K$988*EFEITO!$Y$988</f>
        <v>0</v>
      </c>
      <c r="N988" s="67">
        <f ca="1">$K$988-EFEITO!$M$988*EFEITO!$Z$988</f>
        <v>0</v>
      </c>
      <c r="O988" s="67">
        <f>$L$988-EFEITO!$O$988*EFEITO!$AA$988</f>
        <v>0</v>
      </c>
      <c r="P988" s="18"/>
      <c r="Q988" s="18"/>
      <c r="R988" s="18"/>
      <c r="S988" s="18"/>
      <c r="T988" s="18"/>
      <c r="U988" s="18"/>
      <c r="V988" s="18"/>
      <c r="W988" s="18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1.25" customHeight="1" x14ac:dyDescent="0.2">
      <c r="A989" s="58" t="s">
        <v>28</v>
      </c>
      <c r="B989" s="58" t="s">
        <v>37</v>
      </c>
      <c r="C989" s="58" t="s">
        <v>33</v>
      </c>
      <c r="D989" s="58" t="s">
        <v>42</v>
      </c>
      <c r="E989" s="58" t="s">
        <v>25</v>
      </c>
      <c r="F989" s="58" t="s">
        <v>25</v>
      </c>
      <c r="G989" s="58" t="s">
        <v>25</v>
      </c>
      <c r="H989" s="58" t="s">
        <v>34</v>
      </c>
      <c r="I989" s="66">
        <v>44774</v>
      </c>
      <c r="J989" s="67">
        <f>EFEITO!$J$989*EFEITO!$Y$989</f>
        <v>0</v>
      </c>
      <c r="K989" s="67">
        <f ca="1">EFEITO!$L$989*EFEITO!$Z$989</f>
        <v>164.72424991678633</v>
      </c>
      <c r="L989" s="67">
        <f>EFEITO!$N$989*EFEITO!$AA$989</f>
        <v>81.969466204525915</v>
      </c>
      <c r="M989" s="67">
        <f>$J$989-EFEITO!$K$989*EFEITO!$Y$989</f>
        <v>0</v>
      </c>
      <c r="N989" s="67">
        <f ca="1">$K$989-EFEITO!$M$989*EFEITO!$Z$989</f>
        <v>0</v>
      </c>
      <c r="O989" s="67">
        <f>$L$989-EFEITO!$O$989*EFEITO!$AA$989</f>
        <v>0</v>
      </c>
      <c r="P989" s="18"/>
      <c r="Q989" s="18"/>
      <c r="R989" s="18"/>
      <c r="S989" s="18"/>
      <c r="T989" s="18"/>
      <c r="U989" s="18"/>
      <c r="V989" s="18"/>
      <c r="W989" s="18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1.25" customHeight="1" x14ac:dyDescent="0.2">
      <c r="A990" s="58" t="s">
        <v>21</v>
      </c>
      <c r="B990" s="58" t="s">
        <v>37</v>
      </c>
      <c r="C990" s="58" t="s">
        <v>33</v>
      </c>
      <c r="D990" s="58" t="s">
        <v>42</v>
      </c>
      <c r="E990" s="58" t="s">
        <v>25</v>
      </c>
      <c r="F990" s="58" t="s">
        <v>25</v>
      </c>
      <c r="G990" s="58" t="s">
        <v>25</v>
      </c>
      <c r="H990" s="58" t="s">
        <v>34</v>
      </c>
      <c r="I990" s="66">
        <v>44805</v>
      </c>
      <c r="J990" s="67">
        <f>EFEITO!$J$990*EFEITO!$Y$990</f>
        <v>0</v>
      </c>
      <c r="K990" s="67">
        <f ca="1">EFEITO!$L$990*EFEITO!$Z$990</f>
        <v>3380.6652350471581</v>
      </c>
      <c r="L990" s="67">
        <f>EFEITO!$N$990*EFEITO!$AA$990</f>
        <v>1682.2740117074559</v>
      </c>
      <c r="M990" s="67">
        <f>$J$990-EFEITO!$K$990*EFEITO!$Y$990</f>
        <v>0</v>
      </c>
      <c r="N990" s="67">
        <f ca="1">$K$990-EFEITO!$M$990*EFEITO!$Z$990</f>
        <v>0</v>
      </c>
      <c r="O990" s="67">
        <f>$L$990-EFEITO!$O$990*EFEITO!$AA$990</f>
        <v>0</v>
      </c>
      <c r="P990" s="18"/>
      <c r="Q990" s="18"/>
      <c r="R990" s="18"/>
      <c r="S990" s="18"/>
      <c r="T990" s="18"/>
      <c r="U990" s="18"/>
      <c r="V990" s="18"/>
      <c r="W990" s="18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1.25" customHeight="1" x14ac:dyDescent="0.2">
      <c r="A991" s="58" t="s">
        <v>28</v>
      </c>
      <c r="B991" s="58" t="s">
        <v>37</v>
      </c>
      <c r="C991" s="58" t="s">
        <v>33</v>
      </c>
      <c r="D991" s="58" t="s">
        <v>42</v>
      </c>
      <c r="E991" s="58" t="s">
        <v>25</v>
      </c>
      <c r="F991" s="58" t="s">
        <v>25</v>
      </c>
      <c r="G991" s="58" t="s">
        <v>25</v>
      </c>
      <c r="H991" s="58" t="s">
        <v>34</v>
      </c>
      <c r="I991" s="66">
        <v>44805</v>
      </c>
      <c r="J991" s="67">
        <f>EFEITO!$J$991*EFEITO!$Y$991</f>
        <v>0</v>
      </c>
      <c r="K991" s="67">
        <f ca="1">EFEITO!$L$991*EFEITO!$Z$991</f>
        <v>159.26980455530332</v>
      </c>
      <c r="L991" s="67">
        <f>EFEITO!$N$991*EFEITO!$AA$991</f>
        <v>79.255245469276716</v>
      </c>
      <c r="M991" s="67">
        <f>$J$991-EFEITO!$K$991*EFEITO!$Y$991</f>
        <v>0</v>
      </c>
      <c r="N991" s="67">
        <f ca="1">$K$991-EFEITO!$M$991*EFEITO!$Z$991</f>
        <v>0</v>
      </c>
      <c r="O991" s="67">
        <f>$L$991-EFEITO!$O$991*EFEITO!$AA$991</f>
        <v>0</v>
      </c>
      <c r="P991" s="18"/>
      <c r="Q991" s="18"/>
      <c r="R991" s="18"/>
      <c r="S991" s="18"/>
      <c r="T991" s="18"/>
      <c r="U991" s="18"/>
      <c r="V991" s="18"/>
      <c r="W991" s="18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1.25" customHeight="1" x14ac:dyDescent="0.2">
      <c r="A992" s="58" t="s">
        <v>55</v>
      </c>
      <c r="B992" s="58" t="s">
        <v>37</v>
      </c>
      <c r="C992" s="58" t="s">
        <v>33</v>
      </c>
      <c r="D992" s="58" t="s">
        <v>42</v>
      </c>
      <c r="E992" s="58" t="s">
        <v>25</v>
      </c>
      <c r="F992" s="58" t="s">
        <v>25</v>
      </c>
      <c r="G992" s="58" t="s">
        <v>25</v>
      </c>
      <c r="H992" s="58" t="s">
        <v>34</v>
      </c>
      <c r="I992" s="66">
        <v>44835</v>
      </c>
      <c r="J992" s="67">
        <f>EFEITO!$J$992*EFEITO!$Y$992</f>
        <v>0</v>
      </c>
      <c r="K992" s="67">
        <f ca="1">EFEITO!$L$992*EFEITO!$Z$992</f>
        <v>3380.6652350471581</v>
      </c>
      <c r="L992" s="67">
        <f>EFEITO!$N$992*EFEITO!$AA$992</f>
        <v>1682.2740117074559</v>
      </c>
      <c r="M992" s="67">
        <f>$J$992-EFEITO!$K$992*EFEITO!$Y$992</f>
        <v>0</v>
      </c>
      <c r="N992" s="67">
        <f ca="1">$K$992-EFEITO!$M$992*EFEITO!$Z$992</f>
        <v>0</v>
      </c>
      <c r="O992" s="67">
        <f>$L$992-EFEITO!$O$992*EFEITO!$AA$992</f>
        <v>0</v>
      </c>
      <c r="P992" s="18"/>
      <c r="Q992" s="18"/>
      <c r="R992" s="18"/>
      <c r="S992" s="18"/>
      <c r="T992" s="18"/>
      <c r="U992" s="18"/>
      <c r="V992" s="18"/>
      <c r="W992" s="18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1.25" customHeight="1" x14ac:dyDescent="0.2">
      <c r="A993" s="58" t="s">
        <v>55</v>
      </c>
      <c r="B993" s="58" t="s">
        <v>37</v>
      </c>
      <c r="C993" s="58" t="s">
        <v>33</v>
      </c>
      <c r="D993" s="58" t="s">
        <v>42</v>
      </c>
      <c r="E993" s="58" t="s">
        <v>25</v>
      </c>
      <c r="F993" s="58" t="s">
        <v>25</v>
      </c>
      <c r="G993" s="58" t="s">
        <v>25</v>
      </c>
      <c r="H993" s="58" t="s">
        <v>34</v>
      </c>
      <c r="I993" s="66">
        <v>44835</v>
      </c>
      <c r="J993" s="67">
        <f>EFEITO!$J$993*EFEITO!$Y$993</f>
        <v>0</v>
      </c>
      <c r="K993" s="67">
        <f ca="1">EFEITO!$L$993*EFEITO!$Z$993</f>
        <v>159.26980455530332</v>
      </c>
      <c r="L993" s="67">
        <f>EFEITO!$N$993*EFEITO!$AA$993</f>
        <v>79.255245469276716</v>
      </c>
      <c r="M993" s="67">
        <f>$J$993-EFEITO!$K$993*EFEITO!$Y$993</f>
        <v>0</v>
      </c>
      <c r="N993" s="67">
        <f ca="1">$K$993-EFEITO!$M$993*EFEITO!$Z$993</f>
        <v>0</v>
      </c>
      <c r="O993" s="67">
        <f>$L$993-EFEITO!$O$993*EFEITO!$AA$993</f>
        <v>0</v>
      </c>
      <c r="P993" s="18"/>
      <c r="Q993" s="18"/>
      <c r="R993" s="18"/>
      <c r="S993" s="18"/>
      <c r="T993" s="18"/>
      <c r="U993" s="18"/>
      <c r="V993" s="18"/>
      <c r="W993" s="18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1.25" customHeight="1" x14ac:dyDescent="0.2">
      <c r="A994" s="58" t="s">
        <v>21</v>
      </c>
      <c r="B994" s="58" t="s">
        <v>37</v>
      </c>
      <c r="C994" s="58" t="s">
        <v>23</v>
      </c>
      <c r="D994" s="58" t="s">
        <v>42</v>
      </c>
      <c r="E994" s="58" t="s">
        <v>25</v>
      </c>
      <c r="F994" s="58" t="s">
        <v>25</v>
      </c>
      <c r="G994" s="58" t="s">
        <v>25</v>
      </c>
      <c r="H994" s="58" t="s">
        <v>25</v>
      </c>
      <c r="I994" s="66">
        <v>44501</v>
      </c>
      <c r="J994" s="67">
        <f>EFEITO!$J$994*EFEITO!$Y$994</f>
        <v>0</v>
      </c>
      <c r="K994" s="67">
        <f ca="1">EFEITO!$L$994*EFEITO!$Z$994</f>
        <v>4950871.6516844481</v>
      </c>
      <c r="L994" s="67">
        <f>EFEITO!$N$994*EFEITO!$AA$994</f>
        <v>4171814.0212573134</v>
      </c>
      <c r="M994" s="67">
        <f>$J$994-EFEITO!$K$994*EFEITO!$Y$994</f>
        <v>0</v>
      </c>
      <c r="N994" s="67">
        <f ca="1">$K$994-EFEITO!$M$994*EFEITO!$Z$994</f>
        <v>0</v>
      </c>
      <c r="O994" s="67">
        <f>$L$994-EFEITO!$O$994*EFEITO!$AA$994</f>
        <v>0</v>
      </c>
      <c r="P994" s="18"/>
      <c r="Q994" s="18"/>
      <c r="R994" s="18"/>
      <c r="S994" s="18"/>
      <c r="T994" s="18"/>
      <c r="U994" s="18"/>
      <c r="V994" s="18"/>
      <c r="W994" s="18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1.25" customHeight="1" x14ac:dyDescent="0.2">
      <c r="A995" s="58" t="s">
        <v>27</v>
      </c>
      <c r="B995" s="58" t="s">
        <v>37</v>
      </c>
      <c r="C995" s="58" t="s">
        <v>23</v>
      </c>
      <c r="D995" s="58" t="s">
        <v>42</v>
      </c>
      <c r="E995" s="58" t="s">
        <v>25</v>
      </c>
      <c r="F995" s="58" t="s">
        <v>25</v>
      </c>
      <c r="G995" s="58" t="s">
        <v>25</v>
      </c>
      <c r="H995" s="58" t="s">
        <v>25</v>
      </c>
      <c r="I995" s="66">
        <v>44501</v>
      </c>
      <c r="J995" s="67">
        <f>EFEITO!$J$995*EFEITO!$Y$995</f>
        <v>0</v>
      </c>
      <c r="K995" s="67">
        <f ca="1">EFEITO!$L$995*EFEITO!$Z$995</f>
        <v>-6856.8220181164625</v>
      </c>
      <c r="L995" s="67">
        <f>EFEITO!$N$995*EFEITO!$AA$995</f>
        <v>-5777.8484777951462</v>
      </c>
      <c r="M995" s="67">
        <f>$J$995-EFEITO!$K$995*EFEITO!$Y$995</f>
        <v>0</v>
      </c>
      <c r="N995" s="67">
        <f ca="1">$K$995-EFEITO!$M$995*EFEITO!$Z$995</f>
        <v>0</v>
      </c>
      <c r="O995" s="67">
        <f>$L$995-EFEITO!$O$995*EFEITO!$AA$995</f>
        <v>0</v>
      </c>
      <c r="P995" s="18"/>
      <c r="Q995" s="18"/>
      <c r="R995" s="18"/>
      <c r="S995" s="18"/>
      <c r="T995" s="18"/>
      <c r="U995" s="18"/>
      <c r="V995" s="18"/>
      <c r="W995" s="18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1.25" customHeight="1" x14ac:dyDescent="0.2">
      <c r="A996" s="58" t="s">
        <v>28</v>
      </c>
      <c r="B996" s="58" t="s">
        <v>37</v>
      </c>
      <c r="C996" s="58" t="s">
        <v>23</v>
      </c>
      <c r="D996" s="58" t="s">
        <v>42</v>
      </c>
      <c r="E996" s="58" t="s">
        <v>25</v>
      </c>
      <c r="F996" s="58" t="s">
        <v>25</v>
      </c>
      <c r="G996" s="58" t="s">
        <v>25</v>
      </c>
      <c r="H996" s="58" t="s">
        <v>25</v>
      </c>
      <c r="I996" s="66">
        <v>44501</v>
      </c>
      <c r="J996" s="67">
        <f>EFEITO!$J$996*EFEITO!$Y$996</f>
        <v>0</v>
      </c>
      <c r="K996" s="67">
        <f ca="1">EFEITO!$L$996*EFEITO!$Z$996</f>
        <v>131656.40852193549</v>
      </c>
      <c r="L996" s="67">
        <f>EFEITO!$N$996*EFEITO!$AA$996</f>
        <v>110939.26276059286</v>
      </c>
      <c r="M996" s="67">
        <f>$J$996-EFEITO!$K$996*EFEITO!$Y$996</f>
        <v>0</v>
      </c>
      <c r="N996" s="67">
        <f ca="1">$K$996-EFEITO!$M$996*EFEITO!$Z$996</f>
        <v>0</v>
      </c>
      <c r="O996" s="67">
        <f>$L$996-EFEITO!$O$996*EFEITO!$AA$996</f>
        <v>0</v>
      </c>
      <c r="P996" s="18"/>
      <c r="Q996" s="18"/>
      <c r="R996" s="18"/>
      <c r="S996" s="18"/>
      <c r="T996" s="18"/>
      <c r="U996" s="18"/>
      <c r="V996" s="18"/>
      <c r="W996" s="18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1.25" customHeight="1" x14ac:dyDescent="0.2">
      <c r="A997" s="58" t="s">
        <v>21</v>
      </c>
      <c r="B997" s="58" t="s">
        <v>37</v>
      </c>
      <c r="C997" s="58" t="s">
        <v>23</v>
      </c>
      <c r="D997" s="58" t="s">
        <v>42</v>
      </c>
      <c r="E997" s="58" t="s">
        <v>25</v>
      </c>
      <c r="F997" s="58" t="s">
        <v>25</v>
      </c>
      <c r="G997" s="58" t="s">
        <v>25</v>
      </c>
      <c r="H997" s="58" t="s">
        <v>25</v>
      </c>
      <c r="I997" s="66">
        <v>44531</v>
      </c>
      <c r="J997" s="67">
        <f>EFEITO!$J$997*EFEITO!$Y$997</f>
        <v>0</v>
      </c>
      <c r="K997" s="67">
        <f ca="1">EFEITO!$L$997*EFEITO!$Z$997</f>
        <v>4798845.8499130234</v>
      </c>
      <c r="L997" s="67">
        <f>EFEITO!$N$997*EFEITO!$AA$997</f>
        <v>4043710.6455200068</v>
      </c>
      <c r="M997" s="67">
        <f>$J$997-EFEITO!$K$997*EFEITO!$Y$997</f>
        <v>0</v>
      </c>
      <c r="N997" s="67">
        <f ca="1">$K$997-EFEITO!$M$997*EFEITO!$Z$997</f>
        <v>0</v>
      </c>
      <c r="O997" s="67">
        <f>$L$997-EFEITO!$O$997*EFEITO!$AA$997</f>
        <v>0</v>
      </c>
      <c r="P997" s="18"/>
      <c r="Q997" s="18"/>
      <c r="R997" s="18"/>
      <c r="S997" s="18"/>
      <c r="T997" s="18"/>
      <c r="U997" s="18"/>
      <c r="V997" s="18"/>
      <c r="W997" s="18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1.25" customHeight="1" x14ac:dyDescent="0.2">
      <c r="A998" s="58" t="s">
        <v>27</v>
      </c>
      <c r="B998" s="58" t="s">
        <v>37</v>
      </c>
      <c r="C998" s="58" t="s">
        <v>23</v>
      </c>
      <c r="D998" s="58" t="s">
        <v>42</v>
      </c>
      <c r="E998" s="58" t="s">
        <v>25</v>
      </c>
      <c r="F998" s="58" t="s">
        <v>25</v>
      </c>
      <c r="G998" s="58" t="s">
        <v>25</v>
      </c>
      <c r="H998" s="58" t="s">
        <v>25</v>
      </c>
      <c r="I998" s="66">
        <v>44531</v>
      </c>
      <c r="J998" s="67">
        <f>EFEITO!$J$998*EFEITO!$Y$998</f>
        <v>0</v>
      </c>
      <c r="K998" s="67">
        <f ca="1">EFEITO!$L$998*EFEITO!$Z$998</f>
        <v>-1817.6343232989238</v>
      </c>
      <c r="L998" s="67">
        <f>EFEITO!$N$998*EFEITO!$AA$998</f>
        <v>-1531.6156202266063</v>
      </c>
      <c r="M998" s="67">
        <f>$J$998-EFEITO!$K$998*EFEITO!$Y$998</f>
        <v>0</v>
      </c>
      <c r="N998" s="67">
        <f ca="1">$K$998-EFEITO!$M$998*EFEITO!$Z$998</f>
        <v>0</v>
      </c>
      <c r="O998" s="67">
        <f>$L$998-EFEITO!$O$998*EFEITO!$AA$998</f>
        <v>0</v>
      </c>
      <c r="P998" s="18"/>
      <c r="Q998" s="18"/>
      <c r="R998" s="18"/>
      <c r="S998" s="18"/>
      <c r="T998" s="18"/>
      <c r="U998" s="18"/>
      <c r="V998" s="18"/>
      <c r="W998" s="18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1.25" customHeight="1" x14ac:dyDescent="0.2">
      <c r="A999" s="58" t="s">
        <v>28</v>
      </c>
      <c r="B999" s="58" t="s">
        <v>37</v>
      </c>
      <c r="C999" s="58" t="s">
        <v>23</v>
      </c>
      <c r="D999" s="58" t="s">
        <v>42</v>
      </c>
      <c r="E999" s="58" t="s">
        <v>25</v>
      </c>
      <c r="F999" s="58" t="s">
        <v>25</v>
      </c>
      <c r="G999" s="58" t="s">
        <v>25</v>
      </c>
      <c r="H999" s="58" t="s">
        <v>25</v>
      </c>
      <c r="I999" s="66">
        <v>44531</v>
      </c>
      <c r="J999" s="67">
        <f>EFEITO!$J$999*EFEITO!$Y$999</f>
        <v>0</v>
      </c>
      <c r="K999" s="67">
        <f ca="1">EFEITO!$L$999*EFEITO!$Z$999</f>
        <v>133667.53552451447</v>
      </c>
      <c r="L999" s="67">
        <f>EFEITO!$N$999*EFEITO!$AA$999</f>
        <v>112633.92350281461</v>
      </c>
      <c r="M999" s="67">
        <f>$J$999-EFEITO!$K$999*EFEITO!$Y$999</f>
        <v>0</v>
      </c>
      <c r="N999" s="67">
        <f ca="1">$K$999-EFEITO!$M$999*EFEITO!$Z$999</f>
        <v>0</v>
      </c>
      <c r="O999" s="67">
        <f>$L$999-EFEITO!$O$999*EFEITO!$AA$999</f>
        <v>0</v>
      </c>
      <c r="P999" s="18"/>
      <c r="Q999" s="18"/>
      <c r="R999" s="18"/>
      <c r="S999" s="18"/>
      <c r="T999" s="18"/>
      <c r="U999" s="18"/>
      <c r="V999" s="18"/>
      <c r="W999" s="18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1.25" customHeight="1" x14ac:dyDescent="0.2">
      <c r="A1000" s="58" t="s">
        <v>21</v>
      </c>
      <c r="B1000" s="58" t="s">
        <v>37</v>
      </c>
      <c r="C1000" s="58" t="s">
        <v>23</v>
      </c>
      <c r="D1000" s="58" t="s">
        <v>42</v>
      </c>
      <c r="E1000" s="58" t="s">
        <v>25</v>
      </c>
      <c r="F1000" s="58" t="s">
        <v>25</v>
      </c>
      <c r="G1000" s="58" t="s">
        <v>25</v>
      </c>
      <c r="H1000" s="58" t="s">
        <v>25</v>
      </c>
      <c r="I1000" s="66">
        <v>44562</v>
      </c>
      <c r="J1000" s="67">
        <f>EFEITO!$J$1000*EFEITO!$Y$1000</f>
        <v>0</v>
      </c>
      <c r="K1000" s="67">
        <f ca="1">EFEITO!$L$1000*EFEITO!$Z$1000</f>
        <v>4299786.3398820553</v>
      </c>
      <c r="L1000" s="67">
        <f>EFEITO!$N$1000*EFEITO!$AA$1000</f>
        <v>3623181.9774660412</v>
      </c>
      <c r="M1000" s="67">
        <f>$J$1000-EFEITO!$K$1000*EFEITO!$Y$1000</f>
        <v>0</v>
      </c>
      <c r="N1000" s="67">
        <f ca="1">$K$1000-EFEITO!$M$1000*EFEITO!$Z$1000</f>
        <v>0</v>
      </c>
      <c r="O1000" s="67">
        <f>$L$1000-EFEITO!$O$1000*EFEITO!$AA$1000</f>
        <v>0</v>
      </c>
      <c r="P1000" s="18"/>
      <c r="Q1000" s="18"/>
      <c r="R1000" s="18"/>
      <c r="S1000" s="18"/>
      <c r="T1000" s="18"/>
      <c r="U1000" s="18"/>
      <c r="V1000" s="18"/>
      <c r="W1000" s="18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1:36" ht="11.25" customHeight="1" x14ac:dyDescent="0.2">
      <c r="A1001" s="58" t="s">
        <v>27</v>
      </c>
      <c r="B1001" s="58" t="s">
        <v>37</v>
      </c>
      <c r="C1001" s="58" t="s">
        <v>23</v>
      </c>
      <c r="D1001" s="58" t="s">
        <v>42</v>
      </c>
      <c r="E1001" s="58" t="s">
        <v>25</v>
      </c>
      <c r="F1001" s="58" t="s">
        <v>25</v>
      </c>
      <c r="G1001" s="58" t="s">
        <v>25</v>
      </c>
      <c r="H1001" s="58" t="s">
        <v>25</v>
      </c>
      <c r="I1001" s="66">
        <v>44562</v>
      </c>
      <c r="J1001" s="67">
        <f>EFEITO!$J$1001*EFEITO!$Y$1001</f>
        <v>0</v>
      </c>
      <c r="K1001" s="67">
        <f ca="1">EFEITO!$L$1001*EFEITO!$Z$1001</f>
        <v>-20607.169820315914</v>
      </c>
      <c r="L1001" s="67">
        <f>EFEITO!$N$1001*EFEITO!$AA$1001</f>
        <v>-17364.473580238126</v>
      </c>
      <c r="M1001" s="67">
        <f>$J$1001-EFEITO!$K$1001*EFEITO!$Y$1001</f>
        <v>0</v>
      </c>
      <c r="N1001" s="67">
        <f ca="1">$K$1001-EFEITO!$M$1001*EFEITO!$Z$1001</f>
        <v>0</v>
      </c>
      <c r="O1001" s="67">
        <f>$L$1001-EFEITO!$O$1001*EFEITO!$AA$1001</f>
        <v>0</v>
      </c>
      <c r="P1001" s="18"/>
      <c r="Q1001" s="18"/>
      <c r="R1001" s="18"/>
      <c r="S1001" s="18"/>
      <c r="T1001" s="18"/>
      <c r="U1001" s="18"/>
      <c r="V1001" s="18"/>
      <c r="W1001" s="18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1:36" ht="11.25" customHeight="1" x14ac:dyDescent="0.2">
      <c r="A1002" s="58" t="s">
        <v>28</v>
      </c>
      <c r="B1002" s="58" t="s">
        <v>37</v>
      </c>
      <c r="C1002" s="58" t="s">
        <v>23</v>
      </c>
      <c r="D1002" s="58" t="s">
        <v>42</v>
      </c>
      <c r="E1002" s="58" t="s">
        <v>25</v>
      </c>
      <c r="F1002" s="58" t="s">
        <v>25</v>
      </c>
      <c r="G1002" s="58" t="s">
        <v>25</v>
      </c>
      <c r="H1002" s="58" t="s">
        <v>25</v>
      </c>
      <c r="I1002" s="66">
        <v>44562</v>
      </c>
      <c r="J1002" s="67">
        <f>EFEITO!$J$1002*EFEITO!$Y$1002</f>
        <v>0</v>
      </c>
      <c r="K1002" s="67">
        <f ca="1">EFEITO!$L$1002*EFEITO!$Z$1002</f>
        <v>128750.42774693343</v>
      </c>
      <c r="L1002" s="67">
        <f>EFEITO!$N$1002*EFEITO!$AA$1002</f>
        <v>108490.56035108218</v>
      </c>
      <c r="M1002" s="67">
        <f>$J$1002-EFEITO!$K$1002*EFEITO!$Y$1002</f>
        <v>0</v>
      </c>
      <c r="N1002" s="67">
        <f ca="1">$K$1002-EFEITO!$M$1002*EFEITO!$Z$1002</f>
        <v>0</v>
      </c>
      <c r="O1002" s="67">
        <f>$L$1002-EFEITO!$O$1002*EFEITO!$AA$1002</f>
        <v>0</v>
      </c>
      <c r="P1002" s="18"/>
      <c r="Q1002" s="18"/>
      <c r="R1002" s="18"/>
      <c r="S1002" s="18"/>
      <c r="T1002" s="18"/>
      <c r="U1002" s="18"/>
      <c r="V1002" s="18"/>
      <c r="W1002" s="18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1:36" ht="11.25" customHeight="1" x14ac:dyDescent="0.2">
      <c r="A1003" s="58" t="s">
        <v>21</v>
      </c>
      <c r="B1003" s="58" t="s">
        <v>37</v>
      </c>
      <c r="C1003" s="58" t="s">
        <v>23</v>
      </c>
      <c r="D1003" s="58" t="s">
        <v>42</v>
      </c>
      <c r="E1003" s="58" t="s">
        <v>25</v>
      </c>
      <c r="F1003" s="58" t="s">
        <v>25</v>
      </c>
      <c r="G1003" s="58" t="s">
        <v>25</v>
      </c>
      <c r="H1003" s="58" t="s">
        <v>25</v>
      </c>
      <c r="I1003" s="66">
        <v>44593</v>
      </c>
      <c r="J1003" s="67">
        <f>EFEITO!$J$1003*EFEITO!$Y$1003</f>
        <v>0</v>
      </c>
      <c r="K1003" s="67">
        <f ca="1">EFEITO!$L$1003*EFEITO!$Z$1003</f>
        <v>4420976.1907938616</v>
      </c>
      <c r="L1003" s="67">
        <f>EFEITO!$N$1003*EFEITO!$AA$1003</f>
        <v>3725301.6757409787</v>
      </c>
      <c r="M1003" s="67">
        <f>$J$1003-EFEITO!$K$1003*EFEITO!$Y$1003</f>
        <v>0</v>
      </c>
      <c r="N1003" s="67">
        <f ca="1">$K$1003-EFEITO!$M$1003*EFEITO!$Z$1003</f>
        <v>0</v>
      </c>
      <c r="O1003" s="67">
        <f>$L$1003-EFEITO!$O$1003*EFEITO!$AA$1003</f>
        <v>0</v>
      </c>
      <c r="P1003" s="18"/>
      <c r="Q1003" s="18"/>
      <c r="R1003" s="18"/>
      <c r="S1003" s="18"/>
      <c r="T1003" s="18"/>
      <c r="U1003" s="18"/>
      <c r="V1003" s="18"/>
      <c r="W1003" s="18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1:36" ht="11.25" customHeight="1" x14ac:dyDescent="0.2">
      <c r="A1004" s="58" t="s">
        <v>27</v>
      </c>
      <c r="B1004" s="58" t="s">
        <v>37</v>
      </c>
      <c r="C1004" s="58" t="s">
        <v>23</v>
      </c>
      <c r="D1004" s="58" t="s">
        <v>42</v>
      </c>
      <c r="E1004" s="58" t="s">
        <v>25</v>
      </c>
      <c r="F1004" s="58" t="s">
        <v>25</v>
      </c>
      <c r="G1004" s="58" t="s">
        <v>25</v>
      </c>
      <c r="H1004" s="58" t="s">
        <v>25</v>
      </c>
      <c r="I1004" s="66">
        <v>44593</v>
      </c>
      <c r="J1004" s="67">
        <f>EFEITO!$J$1004*EFEITO!$Y$1004</f>
        <v>0</v>
      </c>
      <c r="K1004" s="67">
        <f ca="1">EFEITO!$L$1004*EFEITO!$Z$1004</f>
        <v>-27807.491213401729</v>
      </c>
      <c r="L1004" s="67">
        <f>EFEITO!$N$1004*EFEITO!$AA$1004</f>
        <v>-23431.769171513319</v>
      </c>
      <c r="M1004" s="67">
        <f>$J$1004-EFEITO!$K$1004*EFEITO!$Y$1004</f>
        <v>0</v>
      </c>
      <c r="N1004" s="67">
        <f ca="1">$K$1004-EFEITO!$M$1004*EFEITO!$Z$1004</f>
        <v>0</v>
      </c>
      <c r="O1004" s="67">
        <f>$L$1004-EFEITO!$O$1004*EFEITO!$AA$1004</f>
        <v>0</v>
      </c>
      <c r="P1004" s="18"/>
      <c r="Q1004" s="18"/>
      <c r="R1004" s="18"/>
      <c r="S1004" s="18"/>
      <c r="T1004" s="18"/>
      <c r="U1004" s="18"/>
      <c r="V1004" s="18"/>
      <c r="W1004" s="18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ht="11.25" customHeight="1" x14ac:dyDescent="0.2">
      <c r="A1005" s="58" t="s">
        <v>28</v>
      </c>
      <c r="B1005" s="58" t="s">
        <v>37</v>
      </c>
      <c r="C1005" s="58" t="s">
        <v>23</v>
      </c>
      <c r="D1005" s="58" t="s">
        <v>42</v>
      </c>
      <c r="E1005" s="58" t="s">
        <v>25</v>
      </c>
      <c r="F1005" s="58" t="s">
        <v>25</v>
      </c>
      <c r="G1005" s="58" t="s">
        <v>25</v>
      </c>
      <c r="H1005" s="58" t="s">
        <v>25</v>
      </c>
      <c r="I1005" s="66">
        <v>44593</v>
      </c>
      <c r="J1005" s="67">
        <f>EFEITO!$J$1005*EFEITO!$Y$1005</f>
        <v>0</v>
      </c>
      <c r="K1005" s="67">
        <f ca="1">EFEITO!$L$1005*EFEITO!$Z$1005</f>
        <v>131186.04178199486</v>
      </c>
      <c r="L1005" s="67">
        <f>EFEITO!$N$1005*EFEITO!$AA$1005</f>
        <v>110542.91183516546</v>
      </c>
      <c r="M1005" s="67">
        <f>$J$1005-EFEITO!$K$1005*EFEITO!$Y$1005</f>
        <v>0</v>
      </c>
      <c r="N1005" s="67">
        <f ca="1">$K$1005-EFEITO!$M$1005*EFEITO!$Z$1005</f>
        <v>0</v>
      </c>
      <c r="O1005" s="67">
        <f>$L$1005-EFEITO!$O$1005*EFEITO!$AA$1005</f>
        <v>0</v>
      </c>
      <c r="P1005" s="18"/>
      <c r="Q1005" s="18"/>
      <c r="R1005" s="18"/>
      <c r="S1005" s="18"/>
      <c r="T1005" s="18"/>
      <c r="U1005" s="18"/>
      <c r="V1005" s="18"/>
      <c r="W1005" s="18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1:36" ht="11.25" customHeight="1" x14ac:dyDescent="0.2">
      <c r="A1006" s="58" t="s">
        <v>21</v>
      </c>
      <c r="B1006" s="58" t="s">
        <v>37</v>
      </c>
      <c r="C1006" s="58" t="s">
        <v>23</v>
      </c>
      <c r="D1006" s="58" t="s">
        <v>42</v>
      </c>
      <c r="E1006" s="58" t="s">
        <v>25</v>
      </c>
      <c r="F1006" s="58" t="s">
        <v>25</v>
      </c>
      <c r="G1006" s="58" t="s">
        <v>25</v>
      </c>
      <c r="H1006" s="58" t="s">
        <v>25</v>
      </c>
      <c r="I1006" s="66">
        <v>44621</v>
      </c>
      <c r="J1006" s="67">
        <f>EFEITO!$J$1006*EFEITO!$Y$1006</f>
        <v>0</v>
      </c>
      <c r="K1006" s="67">
        <f ca="1">EFEITO!$L$1006*EFEITO!$Z$1006</f>
        <v>4798487.5892408723</v>
      </c>
      <c r="L1006" s="67">
        <f>EFEITO!$N$1006*EFEITO!$AA$1006</f>
        <v>4043408.7599126836</v>
      </c>
      <c r="M1006" s="67">
        <f>$J$1006-EFEITO!$K$1006*EFEITO!$Y$1006</f>
        <v>0</v>
      </c>
      <c r="N1006" s="67">
        <f ca="1">$K$1006-EFEITO!$M$1006*EFEITO!$Z$1006</f>
        <v>0</v>
      </c>
      <c r="O1006" s="67">
        <f>$L$1006-EFEITO!$O$1006*EFEITO!$AA$1006</f>
        <v>0</v>
      </c>
      <c r="P1006" s="18"/>
      <c r="Q1006" s="18"/>
      <c r="R1006" s="18"/>
      <c r="S1006" s="18"/>
      <c r="T1006" s="18"/>
      <c r="U1006" s="18"/>
      <c r="V1006" s="18"/>
      <c r="W1006" s="18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1:36" ht="11.25" customHeight="1" x14ac:dyDescent="0.2">
      <c r="A1007" s="58" t="s">
        <v>27</v>
      </c>
      <c r="B1007" s="58" t="s">
        <v>37</v>
      </c>
      <c r="C1007" s="58" t="s">
        <v>23</v>
      </c>
      <c r="D1007" s="58" t="s">
        <v>42</v>
      </c>
      <c r="E1007" s="58" t="s">
        <v>25</v>
      </c>
      <c r="F1007" s="58" t="s">
        <v>25</v>
      </c>
      <c r="G1007" s="58" t="s">
        <v>25</v>
      </c>
      <c r="H1007" s="58" t="s">
        <v>25</v>
      </c>
      <c r="I1007" s="66">
        <v>44621</v>
      </c>
      <c r="J1007" s="67">
        <f>EFEITO!$J$1007*EFEITO!$Y$1007</f>
        <v>0</v>
      </c>
      <c r="K1007" s="67">
        <f ca="1">EFEITO!$L$1007*EFEITO!$Z$1007</f>
        <v>-14831.513082300437</v>
      </c>
      <c r="L1007" s="67">
        <f>EFEITO!$N$1007*EFEITO!$AA$1007</f>
        <v>-12497.660732560211</v>
      </c>
      <c r="M1007" s="67">
        <f>$J$1007-EFEITO!$K$1007*EFEITO!$Y$1007</f>
        <v>0</v>
      </c>
      <c r="N1007" s="67">
        <f ca="1">$K$1007-EFEITO!$M$1007*EFEITO!$Z$1007</f>
        <v>0</v>
      </c>
      <c r="O1007" s="67">
        <f>$L$1007-EFEITO!$O$1007*EFEITO!$AA$1007</f>
        <v>0</v>
      </c>
      <c r="P1007" s="18"/>
      <c r="Q1007" s="18"/>
      <c r="R1007" s="18"/>
      <c r="S1007" s="18"/>
      <c r="T1007" s="18"/>
      <c r="U1007" s="18"/>
      <c r="V1007" s="18"/>
      <c r="W1007" s="18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1:36" ht="11.25" customHeight="1" x14ac:dyDescent="0.2">
      <c r="A1008" s="58" t="s">
        <v>28</v>
      </c>
      <c r="B1008" s="58" t="s">
        <v>37</v>
      </c>
      <c r="C1008" s="58" t="s">
        <v>23</v>
      </c>
      <c r="D1008" s="58" t="s">
        <v>42</v>
      </c>
      <c r="E1008" s="58" t="s">
        <v>25</v>
      </c>
      <c r="F1008" s="58" t="s">
        <v>25</v>
      </c>
      <c r="G1008" s="58" t="s">
        <v>25</v>
      </c>
      <c r="H1008" s="58" t="s">
        <v>25</v>
      </c>
      <c r="I1008" s="66">
        <v>44621</v>
      </c>
      <c r="J1008" s="67">
        <f>EFEITO!$J$1008*EFEITO!$Y$1008</f>
        <v>0</v>
      </c>
      <c r="K1008" s="67">
        <f ca="1">EFEITO!$L$1008*EFEITO!$Z$1008</f>
        <v>140347.62093042253</v>
      </c>
      <c r="L1008" s="67">
        <f>EFEITO!$N$1008*EFEITO!$AA$1008</f>
        <v>118262.84623000387</v>
      </c>
      <c r="M1008" s="67">
        <f>$J$1008-EFEITO!$K$1008*EFEITO!$Y$1008</f>
        <v>0</v>
      </c>
      <c r="N1008" s="67">
        <f ca="1">$K$1008-EFEITO!$M$1008*EFEITO!$Z$1008</f>
        <v>0</v>
      </c>
      <c r="O1008" s="67">
        <f>$L$1008-EFEITO!$O$1008*EFEITO!$AA$1008</f>
        <v>0</v>
      </c>
      <c r="P1008" s="18"/>
      <c r="Q1008" s="18"/>
      <c r="R1008" s="18"/>
      <c r="S1008" s="18"/>
      <c r="T1008" s="18"/>
      <c r="U1008" s="18"/>
      <c r="V1008" s="18"/>
      <c r="W1008" s="18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1:36" ht="11.25" customHeight="1" x14ac:dyDescent="0.2">
      <c r="A1009" s="58" t="s">
        <v>21</v>
      </c>
      <c r="B1009" s="58" t="s">
        <v>37</v>
      </c>
      <c r="C1009" s="58" t="s">
        <v>23</v>
      </c>
      <c r="D1009" s="58" t="s">
        <v>42</v>
      </c>
      <c r="E1009" s="58" t="s">
        <v>25</v>
      </c>
      <c r="F1009" s="58" t="s">
        <v>25</v>
      </c>
      <c r="G1009" s="58" t="s">
        <v>25</v>
      </c>
      <c r="H1009" s="58" t="s">
        <v>25</v>
      </c>
      <c r="I1009" s="66">
        <v>44652</v>
      </c>
      <c r="J1009" s="67">
        <f>EFEITO!$J$1009*EFEITO!$Y$1009</f>
        <v>0</v>
      </c>
      <c r="K1009" s="67">
        <f ca="1">EFEITO!$L$1009*EFEITO!$Z$1009</f>
        <v>4798487.5892408723</v>
      </c>
      <c r="L1009" s="67">
        <f>EFEITO!$N$1009*EFEITO!$AA$1009</f>
        <v>4043408.7599126836</v>
      </c>
      <c r="M1009" s="67">
        <f>$J$1009-EFEITO!$K$1009*EFEITO!$Y$1009</f>
        <v>0</v>
      </c>
      <c r="N1009" s="67">
        <f ca="1">$K$1009-EFEITO!$M$1009*EFEITO!$Z$1009</f>
        <v>0</v>
      </c>
      <c r="O1009" s="67">
        <f>$L$1009-EFEITO!$O$1009*EFEITO!$AA$1009</f>
        <v>0</v>
      </c>
      <c r="P1009" s="18"/>
      <c r="Q1009" s="18"/>
      <c r="R1009" s="18"/>
      <c r="S1009" s="18"/>
      <c r="T1009" s="18"/>
      <c r="U1009" s="18"/>
      <c r="V1009" s="18"/>
      <c r="W1009" s="18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</row>
    <row r="1010" spans="1:36" ht="11.25" customHeight="1" x14ac:dyDescent="0.2">
      <c r="A1010" s="58" t="s">
        <v>27</v>
      </c>
      <c r="B1010" s="58" t="s">
        <v>37</v>
      </c>
      <c r="C1010" s="58" t="s">
        <v>23</v>
      </c>
      <c r="D1010" s="58" t="s">
        <v>42</v>
      </c>
      <c r="E1010" s="58" t="s">
        <v>25</v>
      </c>
      <c r="F1010" s="58" t="s">
        <v>25</v>
      </c>
      <c r="G1010" s="58" t="s">
        <v>25</v>
      </c>
      <c r="H1010" s="58" t="s">
        <v>25</v>
      </c>
      <c r="I1010" s="66">
        <v>44652</v>
      </c>
      <c r="J1010" s="67">
        <f>EFEITO!$J$1010*EFEITO!$Y$1010</f>
        <v>0</v>
      </c>
      <c r="K1010" s="67">
        <f ca="1">EFEITO!$L$1010*EFEITO!$Z$1010</f>
        <v>-14831.513082300437</v>
      </c>
      <c r="L1010" s="67">
        <f>EFEITO!$N$1010*EFEITO!$AA$1010</f>
        <v>-12497.660732560211</v>
      </c>
      <c r="M1010" s="67">
        <f>$J$1010-EFEITO!$K$1010*EFEITO!$Y$1010</f>
        <v>0</v>
      </c>
      <c r="N1010" s="67">
        <f ca="1">$K$1010-EFEITO!$M$1010*EFEITO!$Z$1010</f>
        <v>0</v>
      </c>
      <c r="O1010" s="67">
        <f>$L$1010-EFEITO!$O$1010*EFEITO!$AA$1010</f>
        <v>0</v>
      </c>
      <c r="P1010" s="18"/>
      <c r="Q1010" s="18"/>
      <c r="R1010" s="18"/>
      <c r="S1010" s="18"/>
      <c r="T1010" s="18"/>
      <c r="U1010" s="18"/>
      <c r="V1010" s="18"/>
      <c r="W1010" s="18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ht="11.25" customHeight="1" x14ac:dyDescent="0.2">
      <c r="A1011" s="58" t="s">
        <v>28</v>
      </c>
      <c r="B1011" s="58" t="s">
        <v>37</v>
      </c>
      <c r="C1011" s="58" t="s">
        <v>23</v>
      </c>
      <c r="D1011" s="58" t="s">
        <v>42</v>
      </c>
      <c r="E1011" s="58" t="s">
        <v>25</v>
      </c>
      <c r="F1011" s="58" t="s">
        <v>25</v>
      </c>
      <c r="G1011" s="58" t="s">
        <v>25</v>
      </c>
      <c r="H1011" s="58" t="s">
        <v>25</v>
      </c>
      <c r="I1011" s="66">
        <v>44652</v>
      </c>
      <c r="J1011" s="67">
        <f>EFEITO!$J$1011*EFEITO!$Y$1011</f>
        <v>0</v>
      </c>
      <c r="K1011" s="67">
        <f ca="1">EFEITO!$L$1011*EFEITO!$Z$1011</f>
        <v>140347.62093042253</v>
      </c>
      <c r="L1011" s="67">
        <f>EFEITO!$N$1011*EFEITO!$AA$1011</f>
        <v>118262.84623000387</v>
      </c>
      <c r="M1011" s="67">
        <f>$J$1011-EFEITO!$K$1011*EFEITO!$Y$1011</f>
        <v>0</v>
      </c>
      <c r="N1011" s="67">
        <f ca="1">$K$1011-EFEITO!$M$1011*EFEITO!$Z$1011</f>
        <v>0</v>
      </c>
      <c r="O1011" s="67">
        <f>$L$1011-EFEITO!$O$1011*EFEITO!$AA$1011</f>
        <v>0</v>
      </c>
      <c r="P1011" s="18"/>
      <c r="Q1011" s="18"/>
      <c r="R1011" s="18"/>
      <c r="S1011" s="18"/>
      <c r="T1011" s="18"/>
      <c r="U1011" s="18"/>
      <c r="V1011" s="18"/>
      <c r="W1011" s="18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1:36" ht="11.25" customHeight="1" x14ac:dyDescent="0.2">
      <c r="A1012" s="58" t="s">
        <v>21</v>
      </c>
      <c r="B1012" s="58" t="s">
        <v>37</v>
      </c>
      <c r="C1012" s="58" t="s">
        <v>23</v>
      </c>
      <c r="D1012" s="58" t="s">
        <v>42</v>
      </c>
      <c r="E1012" s="58" t="s">
        <v>25</v>
      </c>
      <c r="F1012" s="58" t="s">
        <v>25</v>
      </c>
      <c r="G1012" s="58" t="s">
        <v>25</v>
      </c>
      <c r="H1012" s="58" t="s">
        <v>25</v>
      </c>
      <c r="I1012" s="66">
        <v>44682</v>
      </c>
      <c r="J1012" s="67">
        <f>EFEITO!$J$1012*EFEITO!$Y$1012</f>
        <v>0</v>
      </c>
      <c r="K1012" s="67">
        <f ca="1">EFEITO!$L$1012*EFEITO!$Z$1012</f>
        <v>4534615.4387199897</v>
      </c>
      <c r="L1012" s="67">
        <f>EFEITO!$N$1012*EFEITO!$AA$1012</f>
        <v>3821058.916327504</v>
      </c>
      <c r="M1012" s="67">
        <f>$J$1012-EFEITO!$K$1012*EFEITO!$Y$1012</f>
        <v>0</v>
      </c>
      <c r="N1012" s="67">
        <f ca="1">$K$1012-EFEITO!$M$1012*EFEITO!$Z$1012</f>
        <v>0</v>
      </c>
      <c r="O1012" s="67">
        <f>$L$1012-EFEITO!$O$1012*EFEITO!$AA$1012</f>
        <v>0</v>
      </c>
      <c r="P1012" s="18"/>
      <c r="Q1012" s="18"/>
      <c r="R1012" s="18"/>
      <c r="S1012" s="18"/>
      <c r="T1012" s="18"/>
      <c r="U1012" s="18"/>
      <c r="V1012" s="18"/>
      <c r="W1012" s="18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1:36" ht="11.25" customHeight="1" x14ac:dyDescent="0.2">
      <c r="A1013" s="58" t="s">
        <v>27</v>
      </c>
      <c r="B1013" s="58" t="s">
        <v>37</v>
      </c>
      <c r="C1013" s="58" t="s">
        <v>23</v>
      </c>
      <c r="D1013" s="58" t="s">
        <v>42</v>
      </c>
      <c r="E1013" s="58" t="s">
        <v>25</v>
      </c>
      <c r="F1013" s="58" t="s">
        <v>25</v>
      </c>
      <c r="G1013" s="58" t="s">
        <v>25</v>
      </c>
      <c r="H1013" s="58" t="s">
        <v>25</v>
      </c>
      <c r="I1013" s="66">
        <v>44682</v>
      </c>
      <c r="J1013" s="67">
        <f>EFEITO!$J$1013*EFEITO!$Y$1013</f>
        <v>0</v>
      </c>
      <c r="K1013" s="67">
        <f ca="1">EFEITO!$L$1013*EFEITO!$Z$1013</f>
        <v>-47351.049728644131</v>
      </c>
      <c r="L1013" s="67">
        <f>EFEITO!$N$1013*EFEITO!$AA$1013</f>
        <v>-39899.99884404202</v>
      </c>
      <c r="M1013" s="67">
        <f>$J$1013-EFEITO!$K$1013*EFEITO!$Y$1013</f>
        <v>0</v>
      </c>
      <c r="N1013" s="67">
        <f ca="1">$K$1013-EFEITO!$M$1013*EFEITO!$Z$1013</f>
        <v>0</v>
      </c>
      <c r="O1013" s="67">
        <f>$L$1013-EFEITO!$O$1013*EFEITO!$AA$1013</f>
        <v>0</v>
      </c>
      <c r="P1013" s="18"/>
      <c r="Q1013" s="18"/>
      <c r="R1013" s="18"/>
      <c r="S1013" s="18"/>
      <c r="T1013" s="18"/>
      <c r="U1013" s="18"/>
      <c r="V1013" s="18"/>
      <c r="W1013" s="18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1:36" ht="11.25" customHeight="1" x14ac:dyDescent="0.2">
      <c r="A1014" s="58" t="s">
        <v>28</v>
      </c>
      <c r="B1014" s="58" t="s">
        <v>37</v>
      </c>
      <c r="C1014" s="58" t="s">
        <v>23</v>
      </c>
      <c r="D1014" s="58" t="s">
        <v>42</v>
      </c>
      <c r="E1014" s="58" t="s">
        <v>25</v>
      </c>
      <c r="F1014" s="58" t="s">
        <v>25</v>
      </c>
      <c r="G1014" s="58" t="s">
        <v>25</v>
      </c>
      <c r="H1014" s="58" t="s">
        <v>25</v>
      </c>
      <c r="I1014" s="66">
        <v>44682</v>
      </c>
      <c r="J1014" s="67">
        <f>EFEITO!$J$1014*EFEITO!$Y$1014</f>
        <v>0</v>
      </c>
      <c r="K1014" s="67">
        <f ca="1">EFEITO!$L$1014*EFEITO!$Z$1014</f>
        <v>599666.12836113235</v>
      </c>
      <c r="L1014" s="67">
        <f>EFEITO!$N$1014*EFEITO!$AA$1014</f>
        <v>505304.06327922107</v>
      </c>
      <c r="M1014" s="67">
        <f>$J$1014-EFEITO!$K$1014*EFEITO!$Y$1014</f>
        <v>0</v>
      </c>
      <c r="N1014" s="67">
        <f ca="1">$K$1014-EFEITO!$M$1014*EFEITO!$Z$1014</f>
        <v>0</v>
      </c>
      <c r="O1014" s="67">
        <f>$L$1014-EFEITO!$O$1014*EFEITO!$AA$1014</f>
        <v>0</v>
      </c>
      <c r="P1014" s="18"/>
      <c r="Q1014" s="18"/>
      <c r="R1014" s="18"/>
      <c r="S1014" s="18"/>
      <c r="T1014" s="18"/>
      <c r="U1014" s="18"/>
      <c r="V1014" s="18"/>
      <c r="W1014" s="18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1:36" ht="11.25" customHeight="1" x14ac:dyDescent="0.2">
      <c r="A1015" s="58" t="s">
        <v>21</v>
      </c>
      <c r="B1015" s="58" t="s">
        <v>37</v>
      </c>
      <c r="C1015" s="58" t="s">
        <v>23</v>
      </c>
      <c r="D1015" s="58" t="s">
        <v>42</v>
      </c>
      <c r="E1015" s="58" t="s">
        <v>25</v>
      </c>
      <c r="F1015" s="58" t="s">
        <v>25</v>
      </c>
      <c r="G1015" s="58" t="s">
        <v>25</v>
      </c>
      <c r="H1015" s="58" t="s">
        <v>25</v>
      </c>
      <c r="I1015" s="66">
        <v>44713</v>
      </c>
      <c r="J1015" s="67">
        <f>EFEITO!$J$1015*EFEITO!$Y$1015</f>
        <v>0</v>
      </c>
      <c r="K1015" s="67">
        <f ca="1">EFEITO!$L$1015*EFEITO!$Z$1015</f>
        <v>4428276.2506814227</v>
      </c>
      <c r="L1015" s="67">
        <f>EFEITO!$N$1015*EFEITO!$AA$1015</f>
        <v>3731453.0152095715</v>
      </c>
      <c r="M1015" s="67">
        <f>$J$1015-EFEITO!$K$1015*EFEITO!$Y$1015</f>
        <v>0</v>
      </c>
      <c r="N1015" s="67">
        <f ca="1">$K$1015-EFEITO!$M$1015*EFEITO!$Z$1015</f>
        <v>0</v>
      </c>
      <c r="O1015" s="67">
        <f>$L$1015-EFEITO!$O$1015*EFEITO!$AA$1015</f>
        <v>0</v>
      </c>
      <c r="P1015" s="18"/>
      <c r="Q1015" s="18"/>
      <c r="R1015" s="18"/>
      <c r="S1015" s="18"/>
      <c r="T1015" s="18"/>
      <c r="U1015" s="18"/>
      <c r="V1015" s="18"/>
      <c r="W1015" s="18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1:36" ht="11.25" customHeight="1" x14ac:dyDescent="0.2">
      <c r="A1016" s="58" t="s">
        <v>27</v>
      </c>
      <c r="B1016" s="58" t="s">
        <v>37</v>
      </c>
      <c r="C1016" s="58" t="s">
        <v>23</v>
      </c>
      <c r="D1016" s="58" t="s">
        <v>42</v>
      </c>
      <c r="E1016" s="58" t="s">
        <v>25</v>
      </c>
      <c r="F1016" s="58" t="s">
        <v>25</v>
      </c>
      <c r="G1016" s="58" t="s">
        <v>25</v>
      </c>
      <c r="H1016" s="58" t="s">
        <v>25</v>
      </c>
      <c r="I1016" s="66">
        <v>44713</v>
      </c>
      <c r="J1016" s="67">
        <f>EFEITO!$J$1016*EFEITO!$Y$1016</f>
        <v>0</v>
      </c>
      <c r="K1016" s="67">
        <f ca="1">EFEITO!$L$1016*EFEITO!$Z$1016</f>
        <v>-17204.491342832043</v>
      </c>
      <c r="L1016" s="67">
        <f>EFEITO!$N$1016*EFEITO!$AA$1016</f>
        <v>-14497.232661688362</v>
      </c>
      <c r="M1016" s="67">
        <f>$J$1016-EFEITO!$K$1016*EFEITO!$Y$1016</f>
        <v>0</v>
      </c>
      <c r="N1016" s="67">
        <f ca="1">$K$1016-EFEITO!$M$1016*EFEITO!$Z$1016</f>
        <v>0</v>
      </c>
      <c r="O1016" s="67">
        <f>$L$1016-EFEITO!$O$1016*EFEITO!$AA$1016</f>
        <v>0</v>
      </c>
      <c r="P1016" s="18"/>
      <c r="Q1016" s="18"/>
      <c r="R1016" s="18"/>
      <c r="S1016" s="18"/>
      <c r="T1016" s="18"/>
      <c r="U1016" s="18"/>
      <c r="V1016" s="18"/>
      <c r="W1016" s="18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1:36" ht="11.25" customHeight="1" x14ac:dyDescent="0.2">
      <c r="A1017" s="58" t="s">
        <v>28</v>
      </c>
      <c r="B1017" s="58" t="s">
        <v>37</v>
      </c>
      <c r="C1017" s="58" t="s">
        <v>23</v>
      </c>
      <c r="D1017" s="58" t="s">
        <v>42</v>
      </c>
      <c r="E1017" s="58" t="s">
        <v>25</v>
      </c>
      <c r="F1017" s="58" t="s">
        <v>25</v>
      </c>
      <c r="G1017" s="58" t="s">
        <v>25</v>
      </c>
      <c r="H1017" s="58" t="s">
        <v>25</v>
      </c>
      <c r="I1017" s="66">
        <v>44713</v>
      </c>
      <c r="J1017" s="67">
        <f>EFEITO!$J$1017*EFEITO!$Y$1017</f>
        <v>0</v>
      </c>
      <c r="K1017" s="67">
        <f ca="1">EFEITO!$L$1017*EFEITO!$Z$1017</f>
        <v>187004.49073752583</v>
      </c>
      <c r="L1017" s="67">
        <f>EFEITO!$N$1017*EFEITO!$AA$1017</f>
        <v>157577.89968791898</v>
      </c>
      <c r="M1017" s="67">
        <f>$J$1017-EFEITO!$K$1017*EFEITO!$Y$1017</f>
        <v>0</v>
      </c>
      <c r="N1017" s="67">
        <f ca="1">$K$1017-EFEITO!$M$1017*EFEITO!$Z$1017</f>
        <v>0</v>
      </c>
      <c r="O1017" s="67">
        <f>$L$1017-EFEITO!$O$1017*EFEITO!$AA$1017</f>
        <v>0</v>
      </c>
      <c r="P1017" s="18"/>
      <c r="Q1017" s="18"/>
      <c r="R1017" s="18"/>
      <c r="S1017" s="18"/>
      <c r="T1017" s="18"/>
      <c r="U1017" s="18"/>
      <c r="V1017" s="18"/>
      <c r="W1017" s="18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1:36" ht="11.25" customHeight="1" x14ac:dyDescent="0.2">
      <c r="A1018" s="58" t="s">
        <v>28</v>
      </c>
      <c r="B1018" s="58" t="s">
        <v>37</v>
      </c>
      <c r="C1018" s="58" t="s">
        <v>23</v>
      </c>
      <c r="D1018" s="58" t="s">
        <v>42</v>
      </c>
      <c r="E1018" s="58" t="s">
        <v>25</v>
      </c>
      <c r="F1018" s="58" t="s">
        <v>25</v>
      </c>
      <c r="G1018" s="58" t="s">
        <v>25</v>
      </c>
      <c r="H1018" s="58" t="s">
        <v>25</v>
      </c>
      <c r="I1018" s="66">
        <v>44713</v>
      </c>
      <c r="J1018" s="67">
        <f>EFEITO!$J$1018*EFEITO!$Y$1018</f>
        <v>0</v>
      </c>
      <c r="K1018" s="67">
        <f ca="1">EFEITO!$L$1018*EFEITO!$Z$1018</f>
        <v>550.55648949791805</v>
      </c>
      <c r="L1018" s="67">
        <f>EFEITO!$N$1018*EFEITO!$AA$1018</f>
        <v>463.92220279032409</v>
      </c>
      <c r="M1018" s="67">
        <f>$J$1018-EFEITO!$K$1018*EFEITO!$Y$1018</f>
        <v>0</v>
      </c>
      <c r="N1018" s="67">
        <f ca="1">$K$1018-EFEITO!$M$1018*EFEITO!$Z$1018</f>
        <v>0</v>
      </c>
      <c r="O1018" s="67">
        <f>$L$1018-EFEITO!$O$1018*EFEITO!$AA$1018</f>
        <v>0</v>
      </c>
      <c r="P1018" s="18"/>
      <c r="Q1018" s="18"/>
      <c r="R1018" s="18"/>
      <c r="S1018" s="18"/>
      <c r="T1018" s="18"/>
      <c r="U1018" s="18"/>
      <c r="V1018" s="18"/>
      <c r="W1018" s="18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1:36" ht="11.25" customHeight="1" x14ac:dyDescent="0.2">
      <c r="A1019" s="58" t="s">
        <v>21</v>
      </c>
      <c r="B1019" s="58" t="s">
        <v>37</v>
      </c>
      <c r="C1019" s="58" t="s">
        <v>23</v>
      </c>
      <c r="D1019" s="58" t="s">
        <v>42</v>
      </c>
      <c r="E1019" s="58" t="s">
        <v>25</v>
      </c>
      <c r="F1019" s="58" t="s">
        <v>25</v>
      </c>
      <c r="G1019" s="58" t="s">
        <v>25</v>
      </c>
      <c r="H1019" s="58" t="s">
        <v>25</v>
      </c>
      <c r="I1019" s="66">
        <v>44743</v>
      </c>
      <c r="J1019" s="67">
        <f>EFEITO!$J$1019*EFEITO!$Y$1019</f>
        <v>0</v>
      </c>
      <c r="K1019" s="67">
        <f ca="1">EFEITO!$L$1019*EFEITO!$Z$1019</f>
        <v>4349173.2517599082</v>
      </c>
      <c r="L1019" s="67">
        <f>EFEITO!$N$1019*EFEITO!$AA$1019</f>
        <v>3664797.4799338798</v>
      </c>
      <c r="M1019" s="67">
        <f>$J$1019-EFEITO!$K$1019*EFEITO!$Y$1019</f>
        <v>0</v>
      </c>
      <c r="N1019" s="67">
        <f ca="1">$K$1019-EFEITO!$M$1019*EFEITO!$Z$1019</f>
        <v>0</v>
      </c>
      <c r="O1019" s="67">
        <f>$L$1019-EFEITO!$O$1019*EFEITO!$AA$1019</f>
        <v>0</v>
      </c>
      <c r="P1019" s="18"/>
      <c r="Q1019" s="18"/>
      <c r="R1019" s="18"/>
      <c r="S1019" s="18"/>
      <c r="T1019" s="18"/>
      <c r="U1019" s="18"/>
      <c r="V1019" s="18"/>
      <c r="W1019" s="18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1:36" ht="11.25" customHeight="1" x14ac:dyDescent="0.2">
      <c r="A1020" s="58" t="s">
        <v>27</v>
      </c>
      <c r="B1020" s="58" t="s">
        <v>37</v>
      </c>
      <c r="C1020" s="58" t="s">
        <v>23</v>
      </c>
      <c r="D1020" s="58" t="s">
        <v>42</v>
      </c>
      <c r="E1020" s="58" t="s">
        <v>25</v>
      </c>
      <c r="F1020" s="58" t="s">
        <v>25</v>
      </c>
      <c r="G1020" s="58" t="s">
        <v>25</v>
      </c>
      <c r="H1020" s="58" t="s">
        <v>25</v>
      </c>
      <c r="I1020" s="66">
        <v>44743</v>
      </c>
      <c r="J1020" s="67">
        <f>EFEITO!$J$1020*EFEITO!$Y$1020</f>
        <v>0</v>
      </c>
      <c r="K1020" s="67">
        <f ca="1">EFEITO!$L$1020*EFEITO!$Z$1020</f>
        <v>-2033.8673793191206</v>
      </c>
      <c r="L1020" s="67">
        <f>EFEITO!$N$1020*EFEITO!$AA$1020</f>
        <v>-1713.8227462500524</v>
      </c>
      <c r="M1020" s="67">
        <f>$J$1020-EFEITO!$K$1020*EFEITO!$Y$1020</f>
        <v>0</v>
      </c>
      <c r="N1020" s="67">
        <f ca="1">$K$1020-EFEITO!$M$1020*EFEITO!$Z$1020</f>
        <v>0</v>
      </c>
      <c r="O1020" s="67">
        <f>$L$1020-EFEITO!$O$1020*EFEITO!$AA$1020</f>
        <v>0</v>
      </c>
      <c r="P1020" s="18"/>
      <c r="Q1020" s="18"/>
      <c r="R1020" s="18"/>
      <c r="S1020" s="18"/>
      <c r="T1020" s="18"/>
      <c r="U1020" s="18"/>
      <c r="V1020" s="18"/>
      <c r="W1020" s="18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1:36" ht="11.25" customHeight="1" x14ac:dyDescent="0.2">
      <c r="A1021" s="58" t="s">
        <v>28</v>
      </c>
      <c r="B1021" s="58" t="s">
        <v>37</v>
      </c>
      <c r="C1021" s="58" t="s">
        <v>23</v>
      </c>
      <c r="D1021" s="58" t="s">
        <v>42</v>
      </c>
      <c r="E1021" s="58" t="s">
        <v>25</v>
      </c>
      <c r="F1021" s="58" t="s">
        <v>25</v>
      </c>
      <c r="G1021" s="58" t="s">
        <v>25</v>
      </c>
      <c r="H1021" s="58" t="s">
        <v>25</v>
      </c>
      <c r="I1021" s="66">
        <v>44743</v>
      </c>
      <c r="J1021" s="67">
        <f>EFEITO!$J$1021*EFEITO!$Y$1021</f>
        <v>0</v>
      </c>
      <c r="K1021" s="67">
        <f ca="1">EFEITO!$L$1021*EFEITO!$Z$1021</f>
        <v>242531.70328919191</v>
      </c>
      <c r="L1021" s="67">
        <f>EFEITO!$N$1021*EFEITO!$AA$1021</f>
        <v>204367.47941890656</v>
      </c>
      <c r="M1021" s="67">
        <f>$J$1021-EFEITO!$K$1021*EFEITO!$Y$1021</f>
        <v>0</v>
      </c>
      <c r="N1021" s="67">
        <f ca="1">$K$1021-EFEITO!$M$1021*EFEITO!$Z$1021</f>
        <v>0</v>
      </c>
      <c r="O1021" s="67">
        <f>$L$1021-EFEITO!$O$1021*EFEITO!$AA$1021</f>
        <v>0</v>
      </c>
      <c r="P1021" s="18"/>
      <c r="Q1021" s="18"/>
      <c r="R1021" s="18"/>
      <c r="S1021" s="18"/>
      <c r="T1021" s="18"/>
      <c r="U1021" s="18"/>
      <c r="V1021" s="18"/>
      <c r="W1021" s="18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1:36" ht="11.25" customHeight="1" x14ac:dyDescent="0.2">
      <c r="A1022" s="58" t="s">
        <v>21</v>
      </c>
      <c r="B1022" s="58" t="s">
        <v>37</v>
      </c>
      <c r="C1022" s="58" t="s">
        <v>23</v>
      </c>
      <c r="D1022" s="58" t="s">
        <v>42</v>
      </c>
      <c r="E1022" s="58" t="s">
        <v>25</v>
      </c>
      <c r="F1022" s="58" t="s">
        <v>25</v>
      </c>
      <c r="G1022" s="58" t="s">
        <v>25</v>
      </c>
      <c r="H1022" s="58" t="s">
        <v>25</v>
      </c>
      <c r="I1022" s="66">
        <v>44774</v>
      </c>
      <c r="J1022" s="67">
        <f>EFEITO!$J$1022*EFEITO!$Y$1022</f>
        <v>0</v>
      </c>
      <c r="K1022" s="67">
        <f ca="1">EFEITO!$L$1022*EFEITO!$Z$1022</f>
        <v>5104810.4377798885</v>
      </c>
      <c r="L1022" s="67">
        <f>EFEITO!$N$1022*EFEITO!$AA$1022</f>
        <v>4301529.3585615624</v>
      </c>
      <c r="M1022" s="67">
        <f>$J$1022-EFEITO!$K$1022*EFEITO!$Y$1022</f>
        <v>0</v>
      </c>
      <c r="N1022" s="67">
        <f ca="1">$K$1022-EFEITO!$M$1022*EFEITO!$Z$1022</f>
        <v>0</v>
      </c>
      <c r="O1022" s="67">
        <f>$L$1022-EFEITO!$O$1022*EFEITO!$AA$1022</f>
        <v>0</v>
      </c>
      <c r="P1022" s="18"/>
      <c r="Q1022" s="18"/>
      <c r="R1022" s="18"/>
      <c r="S1022" s="18"/>
      <c r="T1022" s="18"/>
      <c r="U1022" s="18"/>
      <c r="V1022" s="18"/>
      <c r="W1022" s="18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ht="11.25" customHeight="1" x14ac:dyDescent="0.2">
      <c r="A1023" s="58" t="s">
        <v>27</v>
      </c>
      <c r="B1023" s="58" t="s">
        <v>37</v>
      </c>
      <c r="C1023" s="58" t="s">
        <v>23</v>
      </c>
      <c r="D1023" s="58" t="s">
        <v>42</v>
      </c>
      <c r="E1023" s="58" t="s">
        <v>25</v>
      </c>
      <c r="F1023" s="58" t="s">
        <v>25</v>
      </c>
      <c r="G1023" s="58" t="s">
        <v>25</v>
      </c>
      <c r="H1023" s="58" t="s">
        <v>25</v>
      </c>
      <c r="I1023" s="66">
        <v>44774</v>
      </c>
      <c r="J1023" s="67">
        <f>EFEITO!$J$1023*EFEITO!$Y$1023</f>
        <v>0</v>
      </c>
      <c r="K1023" s="67">
        <f ca="1">EFEITO!$L$1023*EFEITO!$Z$1023</f>
        <v>-19593.826716457428</v>
      </c>
      <c r="L1023" s="67">
        <f>EFEITO!$N$1023*EFEITO!$AA$1023</f>
        <v>-16510.587786696513</v>
      </c>
      <c r="M1023" s="67">
        <f>$J$1023-EFEITO!$K$1023*EFEITO!$Y$1023</f>
        <v>0</v>
      </c>
      <c r="N1023" s="67">
        <f ca="1">$K$1023-EFEITO!$M$1023*EFEITO!$Z$1023</f>
        <v>0</v>
      </c>
      <c r="O1023" s="67">
        <f>$L$1023-EFEITO!$O$1023*EFEITO!$AA$1023</f>
        <v>0</v>
      </c>
      <c r="P1023" s="18"/>
      <c r="Q1023" s="18"/>
      <c r="R1023" s="18"/>
      <c r="S1023" s="18"/>
      <c r="T1023" s="18"/>
      <c r="U1023" s="18"/>
      <c r="V1023" s="18"/>
      <c r="W1023" s="18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1:36" ht="11.25" customHeight="1" x14ac:dyDescent="0.2">
      <c r="A1024" s="58" t="s">
        <v>28</v>
      </c>
      <c r="B1024" s="58" t="s">
        <v>37</v>
      </c>
      <c r="C1024" s="58" t="s">
        <v>23</v>
      </c>
      <c r="D1024" s="58" t="s">
        <v>42</v>
      </c>
      <c r="E1024" s="58" t="s">
        <v>25</v>
      </c>
      <c r="F1024" s="58" t="s">
        <v>25</v>
      </c>
      <c r="G1024" s="58" t="s">
        <v>25</v>
      </c>
      <c r="H1024" s="58" t="s">
        <v>25</v>
      </c>
      <c r="I1024" s="66">
        <v>44774</v>
      </c>
      <c r="J1024" s="67">
        <f>EFEITO!$J$1024*EFEITO!$Y$1024</f>
        <v>0</v>
      </c>
      <c r="K1024" s="67">
        <f ca="1">EFEITO!$L$1024*EFEITO!$Z$1024</f>
        <v>279009.66130423005</v>
      </c>
      <c r="L1024" s="67">
        <f>EFEITO!$N$1024*EFEITO!$AA$1024</f>
        <v>235105.35093334893</v>
      </c>
      <c r="M1024" s="67">
        <f>$J$1024-EFEITO!$K$1024*EFEITO!$Y$1024</f>
        <v>0</v>
      </c>
      <c r="N1024" s="67">
        <f ca="1">$K$1024-EFEITO!$M$1024*EFEITO!$Z$1024</f>
        <v>0</v>
      </c>
      <c r="O1024" s="67">
        <f>$L$1024-EFEITO!$O$1024*EFEITO!$AA$1024</f>
        <v>0</v>
      </c>
      <c r="P1024" s="18"/>
      <c r="Q1024" s="18"/>
      <c r="R1024" s="18"/>
      <c r="S1024" s="18"/>
      <c r="T1024" s="18"/>
      <c r="U1024" s="18"/>
      <c r="V1024" s="18"/>
      <c r="W1024" s="18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1:36" ht="11.25" customHeight="1" x14ac:dyDescent="0.2">
      <c r="A1025" s="58" t="s">
        <v>28</v>
      </c>
      <c r="B1025" s="58" t="s">
        <v>37</v>
      </c>
      <c r="C1025" s="58" t="s">
        <v>23</v>
      </c>
      <c r="D1025" s="58" t="s">
        <v>42</v>
      </c>
      <c r="E1025" s="58" t="s">
        <v>25</v>
      </c>
      <c r="F1025" s="58" t="s">
        <v>25</v>
      </c>
      <c r="G1025" s="58" t="s">
        <v>25</v>
      </c>
      <c r="H1025" s="58" t="s">
        <v>25</v>
      </c>
      <c r="I1025" s="66">
        <v>44774</v>
      </c>
      <c r="J1025" s="67">
        <f>EFEITO!$J$1025*EFEITO!$Y$1025</f>
        <v>0</v>
      </c>
      <c r="K1025" s="67">
        <f ca="1">EFEITO!$L$1025*EFEITO!$Z$1025</f>
        <v>286.05000215217916</v>
      </c>
      <c r="L1025" s="67">
        <f>EFEITO!$N$1025*EFEITO!$AA$1025</f>
        <v>241.03784014540753</v>
      </c>
      <c r="M1025" s="67">
        <f>$J$1025-EFEITO!$K$1025*EFEITO!$Y$1025</f>
        <v>0</v>
      </c>
      <c r="N1025" s="67">
        <f ca="1">$K$1025-EFEITO!$M$1025*EFEITO!$Z$1025</f>
        <v>0</v>
      </c>
      <c r="O1025" s="67">
        <f>$L$1025-EFEITO!$O$1025*EFEITO!$AA$1025</f>
        <v>0</v>
      </c>
      <c r="P1025" s="18"/>
      <c r="Q1025" s="18"/>
      <c r="R1025" s="18"/>
      <c r="S1025" s="18"/>
      <c r="T1025" s="18"/>
      <c r="U1025" s="18"/>
      <c r="V1025" s="18"/>
      <c r="W1025" s="18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1:36" ht="11.25" customHeight="1" x14ac:dyDescent="0.2">
      <c r="A1026" s="58" t="s">
        <v>21</v>
      </c>
      <c r="B1026" s="58" t="s">
        <v>37</v>
      </c>
      <c r="C1026" s="58" t="s">
        <v>23</v>
      </c>
      <c r="D1026" s="58" t="s">
        <v>42</v>
      </c>
      <c r="E1026" s="58" t="s">
        <v>25</v>
      </c>
      <c r="F1026" s="58" t="s">
        <v>25</v>
      </c>
      <c r="G1026" s="58" t="s">
        <v>25</v>
      </c>
      <c r="H1026" s="58" t="s">
        <v>25</v>
      </c>
      <c r="I1026" s="66">
        <v>44805</v>
      </c>
      <c r="J1026" s="67">
        <f>EFEITO!$J$1026*EFEITO!$Y$1026</f>
        <v>0</v>
      </c>
      <c r="K1026" s="67">
        <f ca="1">EFEITO!$L$1026*EFEITO!$Z$1026</f>
        <v>5135803.5765067991</v>
      </c>
      <c r="L1026" s="67">
        <f>EFEITO!$N$1026*EFEITO!$AA$1026</f>
        <v>4327645.4891745839</v>
      </c>
      <c r="M1026" s="67">
        <f>$J$1026-EFEITO!$K$1026*EFEITO!$Y$1026</f>
        <v>0</v>
      </c>
      <c r="N1026" s="67">
        <f ca="1">$K$1026-EFEITO!$M$1026*EFEITO!$Z$1026</f>
        <v>0</v>
      </c>
      <c r="O1026" s="67">
        <f>$L$1026-EFEITO!$O$1026*EFEITO!$AA$1026</f>
        <v>0</v>
      </c>
      <c r="P1026" s="18"/>
      <c r="Q1026" s="18"/>
      <c r="R1026" s="18"/>
      <c r="S1026" s="18"/>
      <c r="T1026" s="18"/>
      <c r="U1026" s="18"/>
      <c r="V1026" s="18"/>
      <c r="W1026" s="18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1:36" ht="11.25" customHeight="1" x14ac:dyDescent="0.2">
      <c r="A1027" s="58" t="s">
        <v>27</v>
      </c>
      <c r="B1027" s="58" t="s">
        <v>37</v>
      </c>
      <c r="C1027" s="58" t="s">
        <v>23</v>
      </c>
      <c r="D1027" s="58" t="s">
        <v>42</v>
      </c>
      <c r="E1027" s="58" t="s">
        <v>25</v>
      </c>
      <c r="F1027" s="58" t="s">
        <v>25</v>
      </c>
      <c r="G1027" s="58" t="s">
        <v>25</v>
      </c>
      <c r="H1027" s="58" t="s">
        <v>25</v>
      </c>
      <c r="I1027" s="66">
        <v>44805</v>
      </c>
      <c r="J1027" s="67">
        <f>EFEITO!$J$1027*EFEITO!$Y$1027</f>
        <v>0</v>
      </c>
      <c r="K1027" s="67">
        <f ca="1">EFEITO!$L$1027*EFEITO!$Z$1027</f>
        <v>-1099.5171630842478</v>
      </c>
      <c r="L1027" s="67">
        <f>EFEITO!$N$1027*EFEITO!$AA$1027</f>
        <v>-926.49970354357481</v>
      </c>
      <c r="M1027" s="67">
        <f>$J$1027-EFEITO!$K$1027*EFEITO!$Y$1027</f>
        <v>0</v>
      </c>
      <c r="N1027" s="67">
        <f ca="1">$K$1027-EFEITO!$M$1027*EFEITO!$Z$1027</f>
        <v>0</v>
      </c>
      <c r="O1027" s="67">
        <f>$L$1027-EFEITO!$O$1027*EFEITO!$AA$1027</f>
        <v>0</v>
      </c>
      <c r="P1027" s="18"/>
      <c r="Q1027" s="18"/>
      <c r="R1027" s="18"/>
      <c r="S1027" s="18"/>
      <c r="T1027" s="18"/>
      <c r="U1027" s="18"/>
      <c r="V1027" s="18"/>
      <c r="W1027" s="18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1:36" ht="11.25" customHeight="1" x14ac:dyDescent="0.2">
      <c r="A1028" s="58" t="s">
        <v>28</v>
      </c>
      <c r="B1028" s="58" t="s">
        <v>37</v>
      </c>
      <c r="C1028" s="58" t="s">
        <v>23</v>
      </c>
      <c r="D1028" s="58" t="s">
        <v>42</v>
      </c>
      <c r="E1028" s="58" t="s">
        <v>25</v>
      </c>
      <c r="F1028" s="58" t="s">
        <v>25</v>
      </c>
      <c r="G1028" s="58" t="s">
        <v>25</v>
      </c>
      <c r="H1028" s="58" t="s">
        <v>25</v>
      </c>
      <c r="I1028" s="66">
        <v>44805</v>
      </c>
      <c r="J1028" s="67">
        <f>EFEITO!$J$1028*EFEITO!$Y$1028</f>
        <v>0</v>
      </c>
      <c r="K1028" s="67">
        <f ca="1">EFEITO!$L$1028*EFEITO!$Z$1028</f>
        <v>272942.76816234976</v>
      </c>
      <c r="L1028" s="67">
        <f>EFEITO!$N$1028*EFEITO!$AA$1028</f>
        <v>229993.12996390511</v>
      </c>
      <c r="M1028" s="67">
        <f>$J$1028-EFEITO!$K$1028*EFEITO!$Y$1028</f>
        <v>0</v>
      </c>
      <c r="N1028" s="67">
        <f ca="1">$K$1028-EFEITO!$M$1028*EFEITO!$Z$1028</f>
        <v>0</v>
      </c>
      <c r="O1028" s="67">
        <f>$L$1028-EFEITO!$O$1028*EFEITO!$AA$1028</f>
        <v>0</v>
      </c>
      <c r="P1028" s="18"/>
      <c r="Q1028" s="18"/>
      <c r="R1028" s="18"/>
      <c r="S1028" s="18"/>
      <c r="T1028" s="18"/>
      <c r="U1028" s="18"/>
      <c r="V1028" s="18"/>
      <c r="W1028" s="18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1:36" ht="11.25" customHeight="1" x14ac:dyDescent="0.2">
      <c r="A1029" s="58" t="s">
        <v>28</v>
      </c>
      <c r="B1029" s="58" t="s">
        <v>37</v>
      </c>
      <c r="C1029" s="58" t="s">
        <v>23</v>
      </c>
      <c r="D1029" s="58" t="s">
        <v>42</v>
      </c>
      <c r="E1029" s="58" t="s">
        <v>25</v>
      </c>
      <c r="F1029" s="58" t="s">
        <v>25</v>
      </c>
      <c r="G1029" s="58" t="s">
        <v>25</v>
      </c>
      <c r="H1029" s="58" t="s">
        <v>25</v>
      </c>
      <c r="I1029" s="66">
        <v>44805</v>
      </c>
      <c r="J1029" s="67">
        <f>EFEITO!$J$1029*EFEITO!$Y$1029</f>
        <v>0</v>
      </c>
      <c r="K1029" s="67">
        <f ca="1">EFEITO!$L$1029*EFEITO!$Z$1029</f>
        <v>-647.50230612689927</v>
      </c>
      <c r="L1029" s="67">
        <f>EFEITO!$N$1029*EFEITO!$AA$1029</f>
        <v>-545.61285154253335</v>
      </c>
      <c r="M1029" s="67">
        <f>$J$1029-EFEITO!$K$1029*EFEITO!$Y$1029</f>
        <v>0</v>
      </c>
      <c r="N1029" s="67">
        <f ca="1">$K$1029-EFEITO!$M$1029*EFEITO!$Z$1029</f>
        <v>0</v>
      </c>
      <c r="O1029" s="67">
        <f>$L$1029-EFEITO!$O$1029*EFEITO!$AA$1029</f>
        <v>0</v>
      </c>
      <c r="P1029" s="18"/>
      <c r="Q1029" s="18"/>
      <c r="R1029" s="18"/>
      <c r="S1029" s="18"/>
      <c r="T1029" s="18"/>
      <c r="U1029" s="18"/>
      <c r="V1029" s="18"/>
      <c r="W1029" s="18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1:36" ht="11.25" customHeight="1" x14ac:dyDescent="0.2">
      <c r="A1030" s="58" t="s">
        <v>55</v>
      </c>
      <c r="B1030" s="58" t="s">
        <v>37</v>
      </c>
      <c r="C1030" s="58" t="s">
        <v>23</v>
      </c>
      <c r="D1030" s="58" t="s">
        <v>42</v>
      </c>
      <c r="E1030" s="58" t="s">
        <v>25</v>
      </c>
      <c r="F1030" s="58" t="s">
        <v>25</v>
      </c>
      <c r="G1030" s="58" t="s">
        <v>25</v>
      </c>
      <c r="H1030" s="58" t="s">
        <v>25</v>
      </c>
      <c r="I1030" s="66">
        <v>44835</v>
      </c>
      <c r="J1030" s="67">
        <f>EFEITO!$J$1030*EFEITO!$Y$1030</f>
        <v>0</v>
      </c>
      <c r="K1030" s="67">
        <f ca="1">EFEITO!$L$1030*EFEITO!$Z$1030</f>
        <v>5135803.5765067991</v>
      </c>
      <c r="L1030" s="67">
        <f>EFEITO!$N$1030*EFEITO!$AA$1030</f>
        <v>4327645.4891745839</v>
      </c>
      <c r="M1030" s="67">
        <f>$J$1030-EFEITO!$K$1030*EFEITO!$Y$1030</f>
        <v>0</v>
      </c>
      <c r="N1030" s="67">
        <f ca="1">$K$1030-EFEITO!$M$1030*EFEITO!$Z$1030</f>
        <v>0</v>
      </c>
      <c r="O1030" s="67">
        <f>$L$1030-EFEITO!$O$1030*EFEITO!$AA$1030</f>
        <v>0</v>
      </c>
      <c r="P1030" s="18"/>
      <c r="Q1030" s="18"/>
      <c r="R1030" s="18"/>
      <c r="S1030" s="18"/>
      <c r="T1030" s="18"/>
      <c r="U1030" s="18"/>
      <c r="V1030" s="18"/>
      <c r="W1030" s="18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1:36" ht="11.25" customHeight="1" x14ac:dyDescent="0.2">
      <c r="A1031" s="58" t="s">
        <v>55</v>
      </c>
      <c r="B1031" s="58" t="s">
        <v>37</v>
      </c>
      <c r="C1031" s="58" t="s">
        <v>23</v>
      </c>
      <c r="D1031" s="58" t="s">
        <v>42</v>
      </c>
      <c r="E1031" s="58" t="s">
        <v>25</v>
      </c>
      <c r="F1031" s="58" t="s">
        <v>25</v>
      </c>
      <c r="G1031" s="58" t="s">
        <v>25</v>
      </c>
      <c r="H1031" s="58" t="s">
        <v>25</v>
      </c>
      <c r="I1031" s="66">
        <v>44835</v>
      </c>
      <c r="J1031" s="67">
        <f>EFEITO!$J$1031*EFEITO!$Y$1031</f>
        <v>0</v>
      </c>
      <c r="K1031" s="67">
        <f ca="1">EFEITO!$L$1031*EFEITO!$Z$1031</f>
        <v>-1099.5171630842478</v>
      </c>
      <c r="L1031" s="67">
        <f>EFEITO!$N$1031*EFEITO!$AA$1031</f>
        <v>-926.49970354357481</v>
      </c>
      <c r="M1031" s="67">
        <f>$J$1031-EFEITO!$K$1031*EFEITO!$Y$1031</f>
        <v>0</v>
      </c>
      <c r="N1031" s="67">
        <f ca="1">$K$1031-EFEITO!$M$1031*EFEITO!$Z$1031</f>
        <v>0</v>
      </c>
      <c r="O1031" s="67">
        <f>$L$1031-EFEITO!$O$1031*EFEITO!$AA$1031</f>
        <v>0</v>
      </c>
      <c r="P1031" s="18"/>
      <c r="Q1031" s="18"/>
      <c r="R1031" s="18"/>
      <c r="S1031" s="18"/>
      <c r="T1031" s="18"/>
      <c r="U1031" s="18"/>
      <c r="V1031" s="18"/>
      <c r="W1031" s="18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1:36" ht="11.25" customHeight="1" x14ac:dyDescent="0.2">
      <c r="A1032" s="58" t="s">
        <v>55</v>
      </c>
      <c r="B1032" s="58" t="s">
        <v>37</v>
      </c>
      <c r="C1032" s="58" t="s">
        <v>23</v>
      </c>
      <c r="D1032" s="58" t="s">
        <v>42</v>
      </c>
      <c r="E1032" s="58" t="s">
        <v>25</v>
      </c>
      <c r="F1032" s="58" t="s">
        <v>25</v>
      </c>
      <c r="G1032" s="58" t="s">
        <v>25</v>
      </c>
      <c r="H1032" s="58" t="s">
        <v>25</v>
      </c>
      <c r="I1032" s="66">
        <v>44835</v>
      </c>
      <c r="J1032" s="67">
        <f>EFEITO!$J$1032*EFEITO!$Y$1032</f>
        <v>0</v>
      </c>
      <c r="K1032" s="67">
        <f ca="1">EFEITO!$L$1032*EFEITO!$Z$1032</f>
        <v>272942.76816234976</v>
      </c>
      <c r="L1032" s="67">
        <f>EFEITO!$N$1032*EFEITO!$AA$1032</f>
        <v>229993.12996390511</v>
      </c>
      <c r="M1032" s="67">
        <f>$J$1032-EFEITO!$K$1032*EFEITO!$Y$1032</f>
        <v>0</v>
      </c>
      <c r="N1032" s="67">
        <f ca="1">$K$1032-EFEITO!$M$1032*EFEITO!$Z$1032</f>
        <v>0</v>
      </c>
      <c r="O1032" s="67">
        <f>$L$1032-EFEITO!$O$1032*EFEITO!$AA$1032</f>
        <v>0</v>
      </c>
      <c r="P1032" s="18"/>
      <c r="Q1032" s="18"/>
      <c r="R1032" s="18"/>
      <c r="S1032" s="18"/>
      <c r="T1032" s="18"/>
      <c r="U1032" s="18"/>
      <c r="V1032" s="18"/>
      <c r="W1032" s="18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1:36" ht="11.25" customHeight="1" x14ac:dyDescent="0.2">
      <c r="A1033" s="58" t="s">
        <v>55</v>
      </c>
      <c r="B1033" s="58" t="s">
        <v>37</v>
      </c>
      <c r="C1033" s="58" t="s">
        <v>23</v>
      </c>
      <c r="D1033" s="58" t="s">
        <v>42</v>
      </c>
      <c r="E1033" s="58" t="s">
        <v>25</v>
      </c>
      <c r="F1033" s="58" t="s">
        <v>25</v>
      </c>
      <c r="G1033" s="58" t="s">
        <v>25</v>
      </c>
      <c r="H1033" s="58" t="s">
        <v>25</v>
      </c>
      <c r="I1033" s="66">
        <v>44835</v>
      </c>
      <c r="J1033" s="67">
        <f>EFEITO!$J$1033*EFEITO!$Y$1033</f>
        <v>0</v>
      </c>
      <c r="K1033" s="67">
        <f ca="1">EFEITO!$L$1033*EFEITO!$Z$1033</f>
        <v>-647.50230612689927</v>
      </c>
      <c r="L1033" s="67">
        <f>EFEITO!$N$1033*EFEITO!$AA$1033</f>
        <v>-545.61285154253335</v>
      </c>
      <c r="M1033" s="67">
        <f>$J$1033-EFEITO!$K$1033*EFEITO!$Y$1033</f>
        <v>0</v>
      </c>
      <c r="N1033" s="67">
        <f ca="1">$K$1033-EFEITO!$M$1033*EFEITO!$Z$1033</f>
        <v>0</v>
      </c>
      <c r="O1033" s="67">
        <f>$L$1033-EFEITO!$O$1033*EFEITO!$AA$1033</f>
        <v>0</v>
      </c>
      <c r="P1033" s="18"/>
      <c r="Q1033" s="18"/>
      <c r="R1033" s="18"/>
      <c r="S1033" s="18"/>
      <c r="T1033" s="18"/>
      <c r="U1033" s="18"/>
      <c r="V1033" s="18"/>
      <c r="W1033" s="18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1:36" ht="11.25" customHeight="1" x14ac:dyDescent="0.2">
      <c r="A1034" s="58" t="s">
        <v>21</v>
      </c>
      <c r="B1034" s="58" t="s">
        <v>37</v>
      </c>
      <c r="C1034" s="58" t="s">
        <v>23</v>
      </c>
      <c r="D1034" s="58" t="s">
        <v>51</v>
      </c>
      <c r="E1034" s="58" t="s">
        <v>25</v>
      </c>
      <c r="F1034" s="58" t="s">
        <v>25</v>
      </c>
      <c r="G1034" s="58" t="s">
        <v>25</v>
      </c>
      <c r="H1034" s="58" t="s">
        <v>25</v>
      </c>
      <c r="I1034" s="66">
        <v>44501</v>
      </c>
      <c r="J1034" s="67">
        <f>EFEITO!$J$1034*EFEITO!$Y$1034</f>
        <v>0</v>
      </c>
      <c r="K1034" s="67">
        <f ca="1">EFEITO!$L$1034*EFEITO!$Z$1034</f>
        <v>16619.624811234979</v>
      </c>
      <c r="L1034" s="67">
        <f>EFEITO!$N$1034*EFEITO!$AA$1034</f>
        <v>14004.399365100959</v>
      </c>
      <c r="M1034" s="67">
        <f>$J$1034-EFEITO!$K$1034*EFEITO!$Y$1034</f>
        <v>0</v>
      </c>
      <c r="N1034" s="67">
        <f ca="1">$K$1034-EFEITO!$M$1034*EFEITO!$Z$1034</f>
        <v>0</v>
      </c>
      <c r="O1034" s="67">
        <f>$L$1034-EFEITO!$O$1034*EFEITO!$AA$1034</f>
        <v>0</v>
      </c>
      <c r="P1034" s="18"/>
      <c r="Q1034" s="18"/>
      <c r="R1034" s="18"/>
      <c r="S1034" s="18"/>
      <c r="T1034" s="18"/>
      <c r="U1034" s="18"/>
      <c r="V1034" s="18"/>
      <c r="W1034" s="18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ht="11.25" customHeight="1" x14ac:dyDescent="0.2">
      <c r="A1035" s="58" t="s">
        <v>21</v>
      </c>
      <c r="B1035" s="58" t="s">
        <v>37</v>
      </c>
      <c r="C1035" s="58" t="s">
        <v>23</v>
      </c>
      <c r="D1035" s="58" t="s">
        <v>51</v>
      </c>
      <c r="E1035" s="58" t="s">
        <v>25</v>
      </c>
      <c r="F1035" s="58" t="s">
        <v>25</v>
      </c>
      <c r="G1035" s="58" t="s">
        <v>25</v>
      </c>
      <c r="H1035" s="58" t="s">
        <v>25</v>
      </c>
      <c r="I1035" s="66">
        <v>44531</v>
      </c>
      <c r="J1035" s="67">
        <f>EFEITO!$J$1035*EFEITO!$Y$1035</f>
        <v>0</v>
      </c>
      <c r="K1035" s="67">
        <f ca="1">EFEITO!$L$1035*EFEITO!$Z$1035</f>
        <v>15721.18045301084</v>
      </c>
      <c r="L1035" s="67">
        <f>EFEITO!$N$1035*EFEITO!$AA$1035</f>
        <v>13247.332118228633</v>
      </c>
      <c r="M1035" s="67">
        <f>$J$1035-EFEITO!$K$1035*EFEITO!$Y$1035</f>
        <v>0</v>
      </c>
      <c r="N1035" s="67">
        <f ca="1">$K$1035-EFEITO!$M$1035*EFEITO!$Z$1035</f>
        <v>0</v>
      </c>
      <c r="O1035" s="67">
        <f>$L$1035-EFEITO!$O$1035*EFEITO!$AA$1035</f>
        <v>0</v>
      </c>
      <c r="P1035" s="18"/>
      <c r="Q1035" s="18"/>
      <c r="R1035" s="18"/>
      <c r="S1035" s="18"/>
      <c r="T1035" s="18"/>
      <c r="U1035" s="18"/>
      <c r="V1035" s="18"/>
      <c r="W1035" s="18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1:36" ht="11.25" customHeight="1" x14ac:dyDescent="0.2">
      <c r="A1036" s="58" t="s">
        <v>21</v>
      </c>
      <c r="B1036" s="58" t="s">
        <v>37</v>
      </c>
      <c r="C1036" s="58" t="s">
        <v>23</v>
      </c>
      <c r="D1036" s="58" t="s">
        <v>51</v>
      </c>
      <c r="E1036" s="58" t="s">
        <v>25</v>
      </c>
      <c r="F1036" s="58" t="s">
        <v>25</v>
      </c>
      <c r="G1036" s="58" t="s">
        <v>25</v>
      </c>
      <c r="H1036" s="58" t="s">
        <v>25</v>
      </c>
      <c r="I1036" s="66">
        <v>44562</v>
      </c>
      <c r="J1036" s="67">
        <f>EFEITO!$J$1036*EFEITO!$Y$1036</f>
        <v>0</v>
      </c>
      <c r="K1036" s="67">
        <f ca="1">EFEITO!$L$1036*EFEITO!$Z$1036</f>
        <v>15445.503254283985</v>
      </c>
      <c r="L1036" s="67">
        <f>EFEITO!$N$1036*EFEITO!$AA$1036</f>
        <v>13015.034841324203</v>
      </c>
      <c r="M1036" s="67">
        <f>$J$1036-EFEITO!$K$1036*EFEITO!$Y$1036</f>
        <v>0</v>
      </c>
      <c r="N1036" s="67">
        <f ca="1">$K$1036-EFEITO!$M$1036*EFEITO!$Z$1036</f>
        <v>0</v>
      </c>
      <c r="O1036" s="67">
        <f>$L$1036-EFEITO!$O$1036*EFEITO!$AA$1036</f>
        <v>0</v>
      </c>
      <c r="P1036" s="18"/>
      <c r="Q1036" s="18"/>
      <c r="R1036" s="18"/>
      <c r="S1036" s="18"/>
      <c r="T1036" s="18"/>
      <c r="U1036" s="18"/>
      <c r="V1036" s="18"/>
      <c r="W1036" s="18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1:36" ht="11.25" customHeight="1" x14ac:dyDescent="0.2">
      <c r="A1037" s="58" t="s">
        <v>21</v>
      </c>
      <c r="B1037" s="58" t="s">
        <v>37</v>
      </c>
      <c r="C1037" s="58" t="s">
        <v>23</v>
      </c>
      <c r="D1037" s="58" t="s">
        <v>51</v>
      </c>
      <c r="E1037" s="58" t="s">
        <v>25</v>
      </c>
      <c r="F1037" s="58" t="s">
        <v>25</v>
      </c>
      <c r="G1037" s="58" t="s">
        <v>25</v>
      </c>
      <c r="H1037" s="58" t="s">
        <v>25</v>
      </c>
      <c r="I1037" s="66">
        <v>44593</v>
      </c>
      <c r="J1037" s="67">
        <f>EFEITO!$J$1037*EFEITO!$Y$1037</f>
        <v>0</v>
      </c>
      <c r="K1037" s="67">
        <f ca="1">EFEITO!$L$1037*EFEITO!$Z$1037</f>
        <v>15005.855970641443</v>
      </c>
      <c r="L1037" s="67">
        <f>EFEITO!$N$1037*EFEITO!$AA$1037</f>
        <v>12644.56943011048</v>
      </c>
      <c r="M1037" s="67">
        <f>$J$1037-EFEITO!$K$1037*EFEITO!$Y$1037</f>
        <v>0</v>
      </c>
      <c r="N1037" s="67">
        <f ca="1">$K$1037-EFEITO!$M$1037*EFEITO!$Z$1037</f>
        <v>0</v>
      </c>
      <c r="O1037" s="67">
        <f>$L$1037-EFEITO!$O$1037*EFEITO!$AA$1037</f>
        <v>0</v>
      </c>
      <c r="P1037" s="18"/>
      <c r="Q1037" s="18"/>
      <c r="R1037" s="18"/>
      <c r="S1037" s="18"/>
      <c r="T1037" s="18"/>
      <c r="U1037" s="18"/>
      <c r="V1037" s="18"/>
      <c r="W1037" s="18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1:36" ht="11.25" customHeight="1" x14ac:dyDescent="0.2">
      <c r="A1038" s="58" t="s">
        <v>21</v>
      </c>
      <c r="B1038" s="58" t="s">
        <v>37</v>
      </c>
      <c r="C1038" s="58" t="s">
        <v>23</v>
      </c>
      <c r="D1038" s="58" t="s">
        <v>51</v>
      </c>
      <c r="E1038" s="58" t="s">
        <v>25</v>
      </c>
      <c r="F1038" s="58" t="s">
        <v>25</v>
      </c>
      <c r="G1038" s="58" t="s">
        <v>25</v>
      </c>
      <c r="H1038" s="58" t="s">
        <v>25</v>
      </c>
      <c r="I1038" s="66">
        <v>44621</v>
      </c>
      <c r="J1038" s="67">
        <f>EFEITO!$J$1038*EFEITO!$Y$1038</f>
        <v>0</v>
      </c>
      <c r="K1038" s="67">
        <f ca="1">EFEITO!$L$1038*EFEITO!$Z$1038</f>
        <v>15912.279408423523</v>
      </c>
      <c r="L1038" s="67">
        <f>EFEITO!$N$1038*EFEITO!$AA$1038</f>
        <v>13408.360187168171</v>
      </c>
      <c r="M1038" s="67">
        <f>$J$1038-EFEITO!$K$1038*EFEITO!$Y$1038</f>
        <v>0</v>
      </c>
      <c r="N1038" s="67">
        <f ca="1">$K$1038-EFEITO!$M$1038*EFEITO!$Z$1038</f>
        <v>0</v>
      </c>
      <c r="O1038" s="67">
        <f>$L$1038-EFEITO!$O$1038*EFEITO!$AA$1038</f>
        <v>0</v>
      </c>
      <c r="P1038" s="18"/>
      <c r="Q1038" s="18"/>
      <c r="R1038" s="18"/>
      <c r="S1038" s="18"/>
      <c r="T1038" s="18"/>
      <c r="U1038" s="18"/>
      <c r="V1038" s="18"/>
      <c r="W1038" s="18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1:36" ht="11.25" customHeight="1" x14ac:dyDescent="0.2">
      <c r="A1039" s="58" t="s">
        <v>21</v>
      </c>
      <c r="B1039" s="58" t="s">
        <v>37</v>
      </c>
      <c r="C1039" s="58" t="s">
        <v>23</v>
      </c>
      <c r="D1039" s="58" t="s">
        <v>51</v>
      </c>
      <c r="E1039" s="58" t="s">
        <v>25</v>
      </c>
      <c r="F1039" s="58" t="s">
        <v>25</v>
      </c>
      <c r="G1039" s="58" t="s">
        <v>25</v>
      </c>
      <c r="H1039" s="58" t="s">
        <v>25</v>
      </c>
      <c r="I1039" s="66">
        <v>44652</v>
      </c>
      <c r="J1039" s="67">
        <f>EFEITO!$J$1039*EFEITO!$Y$1039</f>
        <v>0</v>
      </c>
      <c r="K1039" s="67">
        <f ca="1">EFEITO!$L$1039*EFEITO!$Z$1039</f>
        <v>15912.279408423523</v>
      </c>
      <c r="L1039" s="67">
        <f>EFEITO!$N$1039*EFEITO!$AA$1039</f>
        <v>13408.360187168171</v>
      </c>
      <c r="M1039" s="67">
        <f>$J$1039-EFEITO!$K$1039*EFEITO!$Y$1039</f>
        <v>0</v>
      </c>
      <c r="N1039" s="67">
        <f ca="1">$K$1039-EFEITO!$M$1039*EFEITO!$Z$1039</f>
        <v>0</v>
      </c>
      <c r="O1039" s="67">
        <f>$L$1039-EFEITO!$O$1039*EFEITO!$AA$1039</f>
        <v>0</v>
      </c>
      <c r="P1039" s="18"/>
      <c r="Q1039" s="18"/>
      <c r="R1039" s="18"/>
      <c r="S1039" s="18"/>
      <c r="T1039" s="18"/>
      <c r="U1039" s="18"/>
      <c r="V1039" s="18"/>
      <c r="W1039" s="18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1:36" ht="11.25" customHeight="1" x14ac:dyDescent="0.2">
      <c r="A1040" s="58" t="s">
        <v>21</v>
      </c>
      <c r="B1040" s="58" t="s">
        <v>37</v>
      </c>
      <c r="C1040" s="58" t="s">
        <v>23</v>
      </c>
      <c r="D1040" s="58" t="s">
        <v>51</v>
      </c>
      <c r="E1040" s="58" t="s">
        <v>25</v>
      </c>
      <c r="F1040" s="58" t="s">
        <v>25</v>
      </c>
      <c r="G1040" s="58" t="s">
        <v>25</v>
      </c>
      <c r="H1040" s="58" t="s">
        <v>25</v>
      </c>
      <c r="I1040" s="66">
        <v>44682</v>
      </c>
      <c r="J1040" s="67">
        <f>EFEITO!$J$1040*EFEITO!$Y$1040</f>
        <v>0</v>
      </c>
      <c r="K1040" s="67">
        <f ca="1">EFEITO!$L$1040*EFEITO!$Z$1040</f>
        <v>15617.851372735506</v>
      </c>
      <c r="L1040" s="67">
        <f>EFEITO!$N$1040*EFEITO!$AA$1040</f>
        <v>13160.26266132813</v>
      </c>
      <c r="M1040" s="67">
        <f>$J$1040-EFEITO!$K$1040*EFEITO!$Y$1040</f>
        <v>0</v>
      </c>
      <c r="N1040" s="67">
        <f ca="1">$K$1040-EFEITO!$M$1040*EFEITO!$Z$1040</f>
        <v>0</v>
      </c>
      <c r="O1040" s="67">
        <f>$L$1040-EFEITO!$O$1040*EFEITO!$AA$1040</f>
        <v>0</v>
      </c>
      <c r="P1040" s="18"/>
      <c r="Q1040" s="18"/>
      <c r="R1040" s="18"/>
      <c r="S1040" s="18"/>
      <c r="T1040" s="18"/>
      <c r="U1040" s="18"/>
      <c r="V1040" s="18"/>
      <c r="W1040" s="18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ht="11.25" customHeight="1" x14ac:dyDescent="0.2">
      <c r="A1041" s="58" t="s">
        <v>21</v>
      </c>
      <c r="B1041" s="58" t="s">
        <v>37</v>
      </c>
      <c r="C1041" s="58" t="s">
        <v>23</v>
      </c>
      <c r="D1041" s="58" t="s">
        <v>51</v>
      </c>
      <c r="E1041" s="58" t="s">
        <v>25</v>
      </c>
      <c r="F1041" s="58" t="s">
        <v>25</v>
      </c>
      <c r="G1041" s="58" t="s">
        <v>25</v>
      </c>
      <c r="H1041" s="58" t="s">
        <v>25</v>
      </c>
      <c r="I1041" s="66">
        <v>44713</v>
      </c>
      <c r="J1041" s="67">
        <f>EFEITO!$J$1041*EFEITO!$Y$1041</f>
        <v>0</v>
      </c>
      <c r="K1041" s="67">
        <f ca="1">EFEITO!$L$1041*EFEITO!$Z$1041</f>
        <v>15187.778984562496</v>
      </c>
      <c r="L1041" s="67">
        <f>EFEITO!$N$1041*EFEITO!$AA$1041</f>
        <v>12797.865462336847</v>
      </c>
      <c r="M1041" s="67">
        <f>$J$1041-EFEITO!$K$1041*EFEITO!$Y$1041</f>
        <v>0</v>
      </c>
      <c r="N1041" s="67">
        <f ca="1">$K$1041-EFEITO!$M$1041*EFEITO!$Z$1041</f>
        <v>0</v>
      </c>
      <c r="O1041" s="67">
        <f>$L$1041-EFEITO!$O$1041*EFEITO!$AA$1041</f>
        <v>0</v>
      </c>
      <c r="P1041" s="18"/>
      <c r="Q1041" s="18"/>
      <c r="R1041" s="18"/>
      <c r="S1041" s="18"/>
      <c r="T1041" s="18"/>
      <c r="U1041" s="18"/>
      <c r="V1041" s="18"/>
      <c r="W1041" s="18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1:36" ht="11.25" customHeight="1" x14ac:dyDescent="0.2">
      <c r="A1042" s="58" t="s">
        <v>21</v>
      </c>
      <c r="B1042" s="58" t="s">
        <v>37</v>
      </c>
      <c r="C1042" s="58" t="s">
        <v>23</v>
      </c>
      <c r="D1042" s="58" t="s">
        <v>51</v>
      </c>
      <c r="E1042" s="58" t="s">
        <v>25</v>
      </c>
      <c r="F1042" s="58" t="s">
        <v>25</v>
      </c>
      <c r="G1042" s="58" t="s">
        <v>25</v>
      </c>
      <c r="H1042" s="58" t="s">
        <v>25</v>
      </c>
      <c r="I1042" s="66">
        <v>44743</v>
      </c>
      <c r="J1042" s="67">
        <f>EFEITO!$J$1042*EFEITO!$Y$1042</f>
        <v>0</v>
      </c>
      <c r="K1042" s="67">
        <f ca="1">EFEITO!$L$1042*EFEITO!$Z$1042</f>
        <v>14711.02898097553</v>
      </c>
      <c r="L1042" s="67">
        <f>EFEITO!$N$1042*EFEITO!$AA$1042</f>
        <v>12396.135728761168</v>
      </c>
      <c r="M1042" s="67">
        <f>$J$1042-EFEITO!$K$1042*EFEITO!$Y$1042</f>
        <v>0</v>
      </c>
      <c r="N1042" s="67">
        <f ca="1">$K$1042-EFEITO!$M$1042*EFEITO!$Z$1042</f>
        <v>0</v>
      </c>
      <c r="O1042" s="67">
        <f>$L$1042-EFEITO!$O$1042*EFEITO!$AA$1042</f>
        <v>0</v>
      </c>
      <c r="P1042" s="18"/>
      <c r="Q1042" s="18"/>
      <c r="R1042" s="18"/>
      <c r="S1042" s="18"/>
      <c r="T1042" s="18"/>
      <c r="U1042" s="18"/>
      <c r="V1042" s="18"/>
      <c r="W1042" s="18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1:36" ht="11.25" customHeight="1" x14ac:dyDescent="0.2">
      <c r="A1043" s="58" t="s">
        <v>21</v>
      </c>
      <c r="B1043" s="58" t="s">
        <v>37</v>
      </c>
      <c r="C1043" s="58" t="s">
        <v>23</v>
      </c>
      <c r="D1043" s="58" t="s">
        <v>51</v>
      </c>
      <c r="E1043" s="58" t="s">
        <v>25</v>
      </c>
      <c r="F1043" s="58" t="s">
        <v>25</v>
      </c>
      <c r="G1043" s="58" t="s">
        <v>25</v>
      </c>
      <c r="H1043" s="58" t="s">
        <v>25</v>
      </c>
      <c r="I1043" s="66">
        <v>44774</v>
      </c>
      <c r="J1043" s="67">
        <f>EFEITO!$J$1043*EFEITO!$Y$1043</f>
        <v>0</v>
      </c>
      <c r="K1043" s="67">
        <f ca="1">EFEITO!$L$1043*EFEITO!$Z$1043</f>
        <v>17071.639668192325</v>
      </c>
      <c r="L1043" s="67">
        <f>EFEITO!$N$1043*EFEITO!$AA$1043</f>
        <v>14385.286217101999</v>
      </c>
      <c r="M1043" s="67">
        <f>$J$1043-EFEITO!$K$1043*EFEITO!$Y$1043</f>
        <v>0</v>
      </c>
      <c r="N1043" s="67">
        <f ca="1">$K$1043-EFEITO!$M$1043*EFEITO!$Z$1043</f>
        <v>0</v>
      </c>
      <c r="O1043" s="67">
        <f>$L$1043-EFEITO!$O$1043*EFEITO!$AA$1043</f>
        <v>0</v>
      </c>
      <c r="P1043" s="18"/>
      <c r="Q1043" s="18"/>
      <c r="R1043" s="18"/>
      <c r="S1043" s="18"/>
      <c r="T1043" s="18"/>
      <c r="U1043" s="18"/>
      <c r="V1043" s="18"/>
      <c r="W1043" s="18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1:36" ht="11.25" customHeight="1" x14ac:dyDescent="0.2">
      <c r="A1044" s="58" t="s">
        <v>21</v>
      </c>
      <c r="B1044" s="58" t="s">
        <v>37</v>
      </c>
      <c r="C1044" s="58" t="s">
        <v>23</v>
      </c>
      <c r="D1044" s="58" t="s">
        <v>51</v>
      </c>
      <c r="E1044" s="58" t="s">
        <v>25</v>
      </c>
      <c r="F1044" s="58" t="s">
        <v>25</v>
      </c>
      <c r="G1044" s="58" t="s">
        <v>25</v>
      </c>
      <c r="H1044" s="58" t="s">
        <v>25</v>
      </c>
      <c r="I1044" s="66">
        <v>44805</v>
      </c>
      <c r="J1044" s="67">
        <f>EFEITO!$J$1044*EFEITO!$Y$1044</f>
        <v>0</v>
      </c>
      <c r="K1044" s="67">
        <f ca="1">EFEITO!$L$1044*EFEITO!$Z$1044</f>
        <v>17654.112475922007</v>
      </c>
      <c r="L1044" s="67">
        <f>EFEITO!$N$1044*EFEITO!$AA$1044</f>
        <v>14876.102460633792</v>
      </c>
      <c r="M1044" s="67">
        <f>$J$1044-EFEITO!$K$1044*EFEITO!$Y$1044</f>
        <v>0</v>
      </c>
      <c r="N1044" s="67">
        <f ca="1">$K$1044-EFEITO!$M$1044*EFEITO!$Z$1044</f>
        <v>0</v>
      </c>
      <c r="O1044" s="67">
        <f>$L$1044-EFEITO!$O$1044*EFEITO!$AA$1044</f>
        <v>0</v>
      </c>
      <c r="P1044" s="18"/>
      <c r="Q1044" s="18"/>
      <c r="R1044" s="18"/>
      <c r="S1044" s="18"/>
      <c r="T1044" s="18"/>
      <c r="U1044" s="18"/>
      <c r="V1044" s="18"/>
      <c r="W1044" s="18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1:36" ht="11.25" customHeight="1" x14ac:dyDescent="0.2">
      <c r="A1045" s="58" t="s">
        <v>55</v>
      </c>
      <c r="B1045" s="58" t="s">
        <v>37</v>
      </c>
      <c r="C1045" s="58" t="s">
        <v>23</v>
      </c>
      <c r="D1045" s="58" t="s">
        <v>51</v>
      </c>
      <c r="E1045" s="58" t="s">
        <v>25</v>
      </c>
      <c r="F1045" s="58" t="s">
        <v>25</v>
      </c>
      <c r="G1045" s="58" t="s">
        <v>25</v>
      </c>
      <c r="H1045" s="58" t="s">
        <v>25</v>
      </c>
      <c r="I1045" s="66">
        <v>44835</v>
      </c>
      <c r="J1045" s="67">
        <f>EFEITO!$J$1045*EFEITO!$Y$1045</f>
        <v>0</v>
      </c>
      <c r="K1045" s="67">
        <f ca="1">EFEITO!$L$1045*EFEITO!$Z$1045</f>
        <v>17654.112475922007</v>
      </c>
      <c r="L1045" s="67">
        <f>EFEITO!$N$1045*EFEITO!$AA$1045</f>
        <v>14876.102460633792</v>
      </c>
      <c r="M1045" s="67">
        <f>$J$1045-EFEITO!$K$1045*EFEITO!$Y$1045</f>
        <v>0</v>
      </c>
      <c r="N1045" s="67">
        <f ca="1">$K$1045-EFEITO!$M$1045*EFEITO!$Z$1045</f>
        <v>0</v>
      </c>
      <c r="O1045" s="67">
        <f>$L$1045-EFEITO!$O$1045*EFEITO!$AA$1045</f>
        <v>0</v>
      </c>
      <c r="P1045" s="18"/>
      <c r="Q1045" s="18"/>
      <c r="R1045" s="18"/>
      <c r="S1045" s="18"/>
      <c r="T1045" s="18"/>
      <c r="U1045" s="18"/>
      <c r="V1045" s="18"/>
      <c r="W1045" s="18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1:36" ht="11.25" customHeight="1" x14ac:dyDescent="0.2">
      <c r="A1046" s="58" t="s">
        <v>21</v>
      </c>
      <c r="B1046" s="58" t="s">
        <v>37</v>
      </c>
      <c r="C1046" s="58" t="s">
        <v>23</v>
      </c>
      <c r="D1046" s="58" t="s">
        <v>38</v>
      </c>
      <c r="E1046" s="58" t="s">
        <v>25</v>
      </c>
      <c r="F1046" s="58" t="s">
        <v>25</v>
      </c>
      <c r="G1046" s="58" t="s">
        <v>25</v>
      </c>
      <c r="H1046" s="58" t="s">
        <v>25</v>
      </c>
      <c r="I1046" s="66">
        <v>44501</v>
      </c>
      <c r="J1046" s="67">
        <f>EFEITO!$J$1046*EFEITO!$Y$1046</f>
        <v>0</v>
      </c>
      <c r="K1046" s="67">
        <f ca="1">EFEITO!$L$1046*EFEITO!$Z$1046</f>
        <v>222742.78807754285</v>
      </c>
      <c r="L1046" s="67">
        <f>EFEITO!$N$1046*EFEITO!$AA$1046</f>
        <v>187692.50180817783</v>
      </c>
      <c r="M1046" s="67">
        <f>$J$1046-EFEITO!$K$1046*EFEITO!$Y$1046</f>
        <v>0</v>
      </c>
      <c r="N1046" s="67">
        <f ca="1">$K$1046-EFEITO!$M$1046*EFEITO!$Z$1046</f>
        <v>0</v>
      </c>
      <c r="O1046" s="67">
        <f>$L$1046-EFEITO!$O$1046*EFEITO!$AA$1046</f>
        <v>0</v>
      </c>
      <c r="P1046" s="18"/>
      <c r="Q1046" s="18"/>
      <c r="R1046" s="18"/>
      <c r="S1046" s="18"/>
      <c r="T1046" s="18"/>
      <c r="U1046" s="18"/>
      <c r="V1046" s="18"/>
      <c r="W1046" s="18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ht="11.25" customHeight="1" x14ac:dyDescent="0.2">
      <c r="A1047" s="58" t="s">
        <v>27</v>
      </c>
      <c r="B1047" s="58" t="s">
        <v>37</v>
      </c>
      <c r="C1047" s="58" t="s">
        <v>23</v>
      </c>
      <c r="D1047" s="58" t="s">
        <v>38</v>
      </c>
      <c r="E1047" s="58" t="s">
        <v>25</v>
      </c>
      <c r="F1047" s="58" t="s">
        <v>25</v>
      </c>
      <c r="G1047" s="58" t="s">
        <v>25</v>
      </c>
      <c r="H1047" s="58" t="s">
        <v>25</v>
      </c>
      <c r="I1047" s="66">
        <v>44501</v>
      </c>
      <c r="J1047" s="67">
        <f>EFEITO!$J$1047*EFEITO!$Y$1047</f>
        <v>0</v>
      </c>
      <c r="K1047" s="67">
        <f ca="1">EFEITO!$L$1047*EFEITO!$Z$1047</f>
        <v>392.17176027279237</v>
      </c>
      <c r="L1047" s="67">
        <f>EFEITO!$N$1047*EFEITO!$AA$1047</f>
        <v>330.46052561078886</v>
      </c>
      <c r="M1047" s="67">
        <f>$J$1047-EFEITO!$K$1047*EFEITO!$Y$1047</f>
        <v>0</v>
      </c>
      <c r="N1047" s="67">
        <f ca="1">$K$1047-EFEITO!$M$1047*EFEITO!$Z$1047</f>
        <v>0</v>
      </c>
      <c r="O1047" s="67">
        <f>$L$1047-EFEITO!$O$1047*EFEITO!$AA$1047</f>
        <v>0</v>
      </c>
      <c r="P1047" s="18"/>
      <c r="Q1047" s="18"/>
      <c r="R1047" s="18"/>
      <c r="S1047" s="18"/>
      <c r="T1047" s="18"/>
      <c r="U1047" s="18"/>
      <c r="V1047" s="18"/>
      <c r="W1047" s="18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1:36" ht="11.25" customHeight="1" x14ac:dyDescent="0.2">
      <c r="A1048" s="58" t="s">
        <v>28</v>
      </c>
      <c r="B1048" s="58" t="s">
        <v>37</v>
      </c>
      <c r="C1048" s="58" t="s">
        <v>23</v>
      </c>
      <c r="D1048" s="58" t="s">
        <v>38</v>
      </c>
      <c r="E1048" s="58" t="s">
        <v>25</v>
      </c>
      <c r="F1048" s="58" t="s">
        <v>25</v>
      </c>
      <c r="G1048" s="58" t="s">
        <v>25</v>
      </c>
      <c r="H1048" s="58" t="s">
        <v>25</v>
      </c>
      <c r="I1048" s="66">
        <v>44501</v>
      </c>
      <c r="J1048" s="67">
        <f>EFEITO!$J$1048*EFEITO!$Y$1048</f>
        <v>0</v>
      </c>
      <c r="K1048" s="67">
        <f ca="1">EFEITO!$L$1048*EFEITO!$Z$1048</f>
        <v>1969.2368348997998</v>
      </c>
      <c r="L1048" s="67">
        <f>EFEITO!$N$1048*EFEITO!$AA$1048</f>
        <v>1659.3623137485797</v>
      </c>
      <c r="M1048" s="67">
        <f>$J$1048-EFEITO!$K$1048*EFEITO!$Y$1048</f>
        <v>0</v>
      </c>
      <c r="N1048" s="67">
        <f ca="1">$K$1048-EFEITO!$M$1048*EFEITO!$Z$1048</f>
        <v>0</v>
      </c>
      <c r="O1048" s="67">
        <f>$L$1048-EFEITO!$O$1048*EFEITO!$AA$1048</f>
        <v>0</v>
      </c>
      <c r="P1048" s="18"/>
      <c r="Q1048" s="18"/>
      <c r="R1048" s="18"/>
      <c r="S1048" s="18"/>
      <c r="T1048" s="18"/>
      <c r="U1048" s="18"/>
      <c r="V1048" s="18"/>
      <c r="W1048" s="18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1:36" ht="11.25" customHeight="1" x14ac:dyDescent="0.2">
      <c r="A1049" s="58" t="s">
        <v>21</v>
      </c>
      <c r="B1049" s="58" t="s">
        <v>37</v>
      </c>
      <c r="C1049" s="58" t="s">
        <v>23</v>
      </c>
      <c r="D1049" s="58" t="s">
        <v>38</v>
      </c>
      <c r="E1049" s="58" t="s">
        <v>25</v>
      </c>
      <c r="F1049" s="58" t="s">
        <v>25</v>
      </c>
      <c r="G1049" s="58" t="s">
        <v>25</v>
      </c>
      <c r="H1049" s="58" t="s">
        <v>25</v>
      </c>
      <c r="I1049" s="66">
        <v>44531</v>
      </c>
      <c r="J1049" s="67">
        <f>EFEITO!$J$1049*EFEITO!$Y$1049</f>
        <v>0</v>
      </c>
      <c r="K1049" s="67">
        <f ca="1">EFEITO!$L$1049*EFEITO!$Z$1049</f>
        <v>233309.48313612389</v>
      </c>
      <c r="L1049" s="67">
        <f>EFEITO!$N$1049*EFEITO!$AA$1049</f>
        <v>196596.44634665936</v>
      </c>
      <c r="M1049" s="67">
        <f>$J$1049-EFEITO!$K$1049*EFEITO!$Y$1049</f>
        <v>0</v>
      </c>
      <c r="N1049" s="67">
        <f ca="1">$K$1049-EFEITO!$M$1049*EFEITO!$Z$1049</f>
        <v>0</v>
      </c>
      <c r="O1049" s="67">
        <f>$L$1049-EFEITO!$O$1049*EFEITO!$AA$1049</f>
        <v>0</v>
      </c>
      <c r="P1049" s="18"/>
      <c r="Q1049" s="18"/>
      <c r="R1049" s="18"/>
      <c r="S1049" s="18"/>
      <c r="T1049" s="18"/>
      <c r="U1049" s="18"/>
      <c r="V1049" s="18"/>
      <c r="W1049" s="18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1:36" ht="11.25" customHeight="1" x14ac:dyDescent="0.2">
      <c r="A1050" s="58" t="s">
        <v>27</v>
      </c>
      <c r="B1050" s="58" t="s">
        <v>37</v>
      </c>
      <c r="C1050" s="58" t="s">
        <v>23</v>
      </c>
      <c r="D1050" s="58" t="s">
        <v>38</v>
      </c>
      <c r="E1050" s="58" t="s">
        <v>25</v>
      </c>
      <c r="F1050" s="58" t="s">
        <v>25</v>
      </c>
      <c r="G1050" s="58" t="s">
        <v>25</v>
      </c>
      <c r="H1050" s="58" t="s">
        <v>25</v>
      </c>
      <c r="I1050" s="66">
        <v>44531</v>
      </c>
      <c r="J1050" s="67">
        <f>EFEITO!$J$1050*EFEITO!$Y$1050</f>
        <v>0</v>
      </c>
      <c r="K1050" s="67">
        <f ca="1">EFEITO!$L$1050*EFEITO!$Z$1050</f>
        <v>225.40899751182874</v>
      </c>
      <c r="L1050" s="67">
        <f>EFEITO!$N$1050*EFEITO!$AA$1050</f>
        <v>189.93916273661819</v>
      </c>
      <c r="M1050" s="67">
        <f>$J$1050-EFEITO!$K$1050*EFEITO!$Y$1050</f>
        <v>0</v>
      </c>
      <c r="N1050" s="67">
        <f ca="1">$K$1050-EFEITO!$M$1050*EFEITO!$Z$1050</f>
        <v>0</v>
      </c>
      <c r="O1050" s="67">
        <f>$L$1050-EFEITO!$O$1050*EFEITO!$AA$1050</f>
        <v>0</v>
      </c>
      <c r="P1050" s="18"/>
      <c r="Q1050" s="18"/>
      <c r="R1050" s="18"/>
      <c r="S1050" s="18"/>
      <c r="T1050" s="18"/>
      <c r="U1050" s="18"/>
      <c r="V1050" s="18"/>
      <c r="W1050" s="18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1:36" ht="11.25" customHeight="1" x14ac:dyDescent="0.2">
      <c r="A1051" s="58" t="s">
        <v>28</v>
      </c>
      <c r="B1051" s="58" t="s">
        <v>37</v>
      </c>
      <c r="C1051" s="58" t="s">
        <v>23</v>
      </c>
      <c r="D1051" s="58" t="s">
        <v>38</v>
      </c>
      <c r="E1051" s="58" t="s">
        <v>25</v>
      </c>
      <c r="F1051" s="58" t="s">
        <v>25</v>
      </c>
      <c r="G1051" s="58" t="s">
        <v>25</v>
      </c>
      <c r="H1051" s="58" t="s">
        <v>25</v>
      </c>
      <c r="I1051" s="66">
        <v>44531</v>
      </c>
      <c r="J1051" s="67">
        <f>EFEITO!$J$1051*EFEITO!$Y$1051</f>
        <v>0</v>
      </c>
      <c r="K1051" s="67">
        <f ca="1">EFEITO!$L$1051*EFEITO!$Z$1051</f>
        <v>2051.8203083244875</v>
      </c>
      <c r="L1051" s="67">
        <f>EFEITO!$N$1051*EFEITO!$AA$1051</f>
        <v>1728.9506441671283</v>
      </c>
      <c r="M1051" s="67">
        <f>$J$1051-EFEITO!$K$1051*EFEITO!$Y$1051</f>
        <v>0</v>
      </c>
      <c r="N1051" s="67">
        <f ca="1">$K$1051-EFEITO!$M$1051*EFEITO!$Z$1051</f>
        <v>0</v>
      </c>
      <c r="O1051" s="67">
        <f>$L$1051-EFEITO!$O$1051*EFEITO!$AA$1051</f>
        <v>0</v>
      </c>
      <c r="P1051" s="18"/>
      <c r="Q1051" s="18"/>
      <c r="R1051" s="18"/>
      <c r="S1051" s="18"/>
      <c r="T1051" s="18"/>
      <c r="U1051" s="18"/>
      <c r="V1051" s="18"/>
      <c r="W1051" s="18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1:36" ht="11.25" customHeight="1" x14ac:dyDescent="0.2">
      <c r="A1052" s="58" t="s">
        <v>21</v>
      </c>
      <c r="B1052" s="58" t="s">
        <v>37</v>
      </c>
      <c r="C1052" s="58" t="s">
        <v>23</v>
      </c>
      <c r="D1052" s="58" t="s">
        <v>38</v>
      </c>
      <c r="E1052" s="58" t="s">
        <v>25</v>
      </c>
      <c r="F1052" s="58" t="s">
        <v>25</v>
      </c>
      <c r="G1052" s="58" t="s">
        <v>25</v>
      </c>
      <c r="H1052" s="58" t="s">
        <v>25</v>
      </c>
      <c r="I1052" s="66">
        <v>44562</v>
      </c>
      <c r="J1052" s="67">
        <f>EFEITO!$J$1052*EFEITO!$Y$1052</f>
        <v>0</v>
      </c>
      <c r="K1052" s="67">
        <f ca="1">EFEITO!$L$1052*EFEITO!$Z$1052</f>
        <v>222792.65732477998</v>
      </c>
      <c r="L1052" s="67">
        <f>EFEITO!$N$1052*EFEITO!$AA$1052</f>
        <v>187734.52374683638</v>
      </c>
      <c r="M1052" s="67">
        <f>$J$1052-EFEITO!$K$1052*EFEITO!$Y$1052</f>
        <v>0</v>
      </c>
      <c r="N1052" s="67">
        <f ca="1">$K$1052-EFEITO!$M$1052*EFEITO!$Z$1052</f>
        <v>0</v>
      </c>
      <c r="O1052" s="67">
        <f>$L$1052-EFEITO!$O$1052*EFEITO!$AA$1052</f>
        <v>0</v>
      </c>
      <c r="P1052" s="18"/>
      <c r="Q1052" s="18"/>
      <c r="R1052" s="18"/>
      <c r="S1052" s="18"/>
      <c r="T1052" s="18"/>
      <c r="U1052" s="18"/>
      <c r="V1052" s="18"/>
      <c r="W1052" s="18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ht="11.25" customHeight="1" x14ac:dyDescent="0.2">
      <c r="A1053" s="58" t="s">
        <v>28</v>
      </c>
      <c r="B1053" s="58" t="s">
        <v>37</v>
      </c>
      <c r="C1053" s="58" t="s">
        <v>23</v>
      </c>
      <c r="D1053" s="58" t="s">
        <v>38</v>
      </c>
      <c r="E1053" s="58" t="s">
        <v>25</v>
      </c>
      <c r="F1053" s="58" t="s">
        <v>25</v>
      </c>
      <c r="G1053" s="58" t="s">
        <v>25</v>
      </c>
      <c r="H1053" s="58" t="s">
        <v>25</v>
      </c>
      <c r="I1053" s="66">
        <v>44562</v>
      </c>
      <c r="J1053" s="67">
        <f>EFEITO!$J$1053*EFEITO!$Y$1053</f>
        <v>0</v>
      </c>
      <c r="K1053" s="67">
        <f ca="1">EFEITO!$L$1053*EFEITO!$Z$1053</f>
        <v>2301.5654984880357</v>
      </c>
      <c r="L1053" s="67">
        <f>EFEITO!$N$1053*EFEITO!$AA$1053</f>
        <v>1939.396512969116</v>
      </c>
      <c r="M1053" s="67">
        <f>$J$1053-EFEITO!$K$1053*EFEITO!$Y$1053</f>
        <v>0</v>
      </c>
      <c r="N1053" s="67">
        <f ca="1">$K$1053-EFEITO!$M$1053*EFEITO!$Z$1053</f>
        <v>0</v>
      </c>
      <c r="O1053" s="67">
        <f>$L$1053-EFEITO!$O$1053*EFEITO!$AA$1053</f>
        <v>0</v>
      </c>
      <c r="P1053" s="18"/>
      <c r="Q1053" s="18"/>
      <c r="R1053" s="18"/>
      <c r="S1053" s="18"/>
      <c r="T1053" s="18"/>
      <c r="U1053" s="18"/>
      <c r="V1053" s="18"/>
      <c r="W1053" s="18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1:36" ht="11.25" customHeight="1" x14ac:dyDescent="0.2">
      <c r="A1054" s="58" t="s">
        <v>21</v>
      </c>
      <c r="B1054" s="58" t="s">
        <v>37</v>
      </c>
      <c r="C1054" s="58" t="s">
        <v>23</v>
      </c>
      <c r="D1054" s="58" t="s">
        <v>38</v>
      </c>
      <c r="E1054" s="58" t="s">
        <v>25</v>
      </c>
      <c r="F1054" s="58" t="s">
        <v>25</v>
      </c>
      <c r="G1054" s="58" t="s">
        <v>25</v>
      </c>
      <c r="H1054" s="58" t="s">
        <v>25</v>
      </c>
      <c r="I1054" s="66">
        <v>44593</v>
      </c>
      <c r="J1054" s="67">
        <f>EFEITO!$J$1054*EFEITO!$Y$1054</f>
        <v>0</v>
      </c>
      <c r="K1054" s="67">
        <f ca="1">EFEITO!$L$1054*EFEITO!$Z$1054</f>
        <v>236955.92249410285</v>
      </c>
      <c r="L1054" s="67">
        <f>EFEITO!$N$1054*EFEITO!$AA$1054</f>
        <v>199669.09050137209</v>
      </c>
      <c r="M1054" s="67">
        <f>$J$1054-EFEITO!$K$1054*EFEITO!$Y$1054</f>
        <v>0</v>
      </c>
      <c r="N1054" s="67">
        <f ca="1">$K$1054-EFEITO!$M$1054*EFEITO!$Z$1054</f>
        <v>0</v>
      </c>
      <c r="O1054" s="67">
        <f>$L$1054-EFEITO!$O$1054*EFEITO!$AA$1054</f>
        <v>0</v>
      </c>
      <c r="P1054" s="18"/>
      <c r="Q1054" s="18"/>
      <c r="R1054" s="18"/>
      <c r="S1054" s="18"/>
      <c r="T1054" s="18"/>
      <c r="U1054" s="18"/>
      <c r="V1054" s="18"/>
      <c r="W1054" s="18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1:36" ht="11.25" customHeight="1" x14ac:dyDescent="0.2">
      <c r="A1055" s="58" t="s">
        <v>27</v>
      </c>
      <c r="B1055" s="58" t="s">
        <v>37</v>
      </c>
      <c r="C1055" s="58" t="s">
        <v>23</v>
      </c>
      <c r="D1055" s="58" t="s">
        <v>38</v>
      </c>
      <c r="E1055" s="58" t="s">
        <v>25</v>
      </c>
      <c r="F1055" s="58" t="s">
        <v>25</v>
      </c>
      <c r="G1055" s="58" t="s">
        <v>25</v>
      </c>
      <c r="H1055" s="58" t="s">
        <v>25</v>
      </c>
      <c r="I1055" s="66">
        <v>44593</v>
      </c>
      <c r="J1055" s="67">
        <f>EFEITO!$J$1055*EFEITO!$Y$1055</f>
        <v>0</v>
      </c>
      <c r="K1055" s="67">
        <f ca="1">EFEITO!$L$1055*EFEITO!$Z$1055</f>
        <v>100.13744845215756</v>
      </c>
      <c r="L1055" s="67">
        <f>EFEITO!$N$1055*EFEITO!$AA$1055</f>
        <v>84.380052826356064</v>
      </c>
      <c r="M1055" s="67">
        <f>$J$1055-EFEITO!$K$1055*EFEITO!$Y$1055</f>
        <v>0</v>
      </c>
      <c r="N1055" s="67">
        <f ca="1">$K$1055-EFEITO!$M$1055*EFEITO!$Z$1055</f>
        <v>0</v>
      </c>
      <c r="O1055" s="67">
        <f>$L$1055-EFEITO!$O$1055*EFEITO!$AA$1055</f>
        <v>0</v>
      </c>
      <c r="P1055" s="18"/>
      <c r="Q1055" s="18"/>
      <c r="R1055" s="18"/>
      <c r="S1055" s="18"/>
      <c r="T1055" s="18"/>
      <c r="U1055" s="18"/>
      <c r="V1055" s="18"/>
      <c r="W1055" s="18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1:36" ht="11.25" customHeight="1" x14ac:dyDescent="0.2">
      <c r="A1056" s="58" t="s">
        <v>28</v>
      </c>
      <c r="B1056" s="58" t="s">
        <v>37</v>
      </c>
      <c r="C1056" s="58" t="s">
        <v>23</v>
      </c>
      <c r="D1056" s="58" t="s">
        <v>38</v>
      </c>
      <c r="E1056" s="58" t="s">
        <v>25</v>
      </c>
      <c r="F1056" s="58" t="s">
        <v>25</v>
      </c>
      <c r="G1056" s="58" t="s">
        <v>25</v>
      </c>
      <c r="H1056" s="58" t="s">
        <v>25</v>
      </c>
      <c r="I1056" s="66">
        <v>44593</v>
      </c>
      <c r="J1056" s="67">
        <f>EFEITO!$J$1056*EFEITO!$Y$1056</f>
        <v>0</v>
      </c>
      <c r="K1056" s="67">
        <f ca="1">EFEITO!$L$1056*EFEITO!$Z$1056</f>
        <v>2394.9207293159438</v>
      </c>
      <c r="L1056" s="67">
        <f>EFEITO!$N$1056*EFEITO!$AA$1056</f>
        <v>2018.0615821379101</v>
      </c>
      <c r="M1056" s="67">
        <f>$J$1056-EFEITO!$K$1056*EFEITO!$Y$1056</f>
        <v>0</v>
      </c>
      <c r="N1056" s="67">
        <f ca="1">$K$1056-EFEITO!$M$1056*EFEITO!$Z$1056</f>
        <v>0</v>
      </c>
      <c r="O1056" s="67">
        <f>$L$1056-EFEITO!$O$1056*EFEITO!$AA$1056</f>
        <v>0</v>
      </c>
      <c r="P1056" s="18"/>
      <c r="Q1056" s="18"/>
      <c r="R1056" s="18"/>
      <c r="S1056" s="18"/>
      <c r="T1056" s="18"/>
      <c r="U1056" s="18"/>
      <c r="V1056" s="18"/>
      <c r="W1056" s="18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1:36" ht="11.25" customHeight="1" x14ac:dyDescent="0.2">
      <c r="A1057" s="58" t="s">
        <v>21</v>
      </c>
      <c r="B1057" s="58" t="s">
        <v>37</v>
      </c>
      <c r="C1057" s="58" t="s">
        <v>23</v>
      </c>
      <c r="D1057" s="58" t="s">
        <v>38</v>
      </c>
      <c r="E1057" s="58" t="s">
        <v>25</v>
      </c>
      <c r="F1057" s="58" t="s">
        <v>25</v>
      </c>
      <c r="G1057" s="58" t="s">
        <v>25</v>
      </c>
      <c r="H1057" s="58" t="s">
        <v>25</v>
      </c>
      <c r="I1057" s="66">
        <v>44621</v>
      </c>
      <c r="J1057" s="67">
        <f>EFEITO!$J$1057*EFEITO!$Y$1057</f>
        <v>0</v>
      </c>
      <c r="K1057" s="67">
        <f ca="1">EFEITO!$L$1057*EFEITO!$Z$1057</f>
        <v>248343.66483919602</v>
      </c>
      <c r="L1057" s="67">
        <f>EFEITO!$N$1057*EFEITO!$AA$1057</f>
        <v>209264.88423792788</v>
      </c>
      <c r="M1057" s="67">
        <f>$J$1057-EFEITO!$K$1057*EFEITO!$Y$1057</f>
        <v>0</v>
      </c>
      <c r="N1057" s="67">
        <f ca="1">$K$1057-EFEITO!$M$1057*EFEITO!$Z$1057</f>
        <v>0</v>
      </c>
      <c r="O1057" s="67">
        <f>$L$1057-EFEITO!$O$1057*EFEITO!$AA$1057</f>
        <v>0</v>
      </c>
      <c r="P1057" s="18"/>
      <c r="Q1057" s="18"/>
      <c r="R1057" s="18"/>
      <c r="S1057" s="18"/>
      <c r="T1057" s="18"/>
      <c r="U1057" s="18"/>
      <c r="V1057" s="18"/>
      <c r="W1057" s="18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1:36" ht="11.25" customHeight="1" x14ac:dyDescent="0.2">
      <c r="A1058" s="58" t="s">
        <v>28</v>
      </c>
      <c r="B1058" s="58" t="s">
        <v>37</v>
      </c>
      <c r="C1058" s="58" t="s">
        <v>23</v>
      </c>
      <c r="D1058" s="58" t="s">
        <v>38</v>
      </c>
      <c r="E1058" s="58" t="s">
        <v>25</v>
      </c>
      <c r="F1058" s="58" t="s">
        <v>25</v>
      </c>
      <c r="G1058" s="58" t="s">
        <v>25</v>
      </c>
      <c r="H1058" s="58" t="s">
        <v>25</v>
      </c>
      <c r="I1058" s="66">
        <v>44621</v>
      </c>
      <c r="J1058" s="67">
        <f>EFEITO!$J$1058*EFEITO!$Y$1058</f>
        <v>0</v>
      </c>
      <c r="K1058" s="67">
        <f ca="1">EFEITO!$L$1058*EFEITO!$Z$1058</f>
        <v>2497.4519016354834</v>
      </c>
      <c r="L1058" s="67">
        <f>EFEITO!$N$1058*EFEITO!$AA$1058</f>
        <v>2104.4586880198763</v>
      </c>
      <c r="M1058" s="67">
        <f>$J$1058-EFEITO!$K$1058*EFEITO!$Y$1058</f>
        <v>0</v>
      </c>
      <c r="N1058" s="67">
        <f ca="1">$K$1058-EFEITO!$M$1058*EFEITO!$Z$1058</f>
        <v>0</v>
      </c>
      <c r="O1058" s="67">
        <f>$L$1058-EFEITO!$O$1058*EFEITO!$AA$1058</f>
        <v>0</v>
      </c>
      <c r="P1058" s="18"/>
      <c r="Q1058" s="18"/>
      <c r="R1058" s="18"/>
      <c r="S1058" s="18"/>
      <c r="T1058" s="18"/>
      <c r="U1058" s="18"/>
      <c r="V1058" s="18"/>
      <c r="W1058" s="18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ht="11.25" customHeight="1" x14ac:dyDescent="0.2">
      <c r="A1059" s="58" t="s">
        <v>21</v>
      </c>
      <c r="B1059" s="58" t="s">
        <v>37</v>
      </c>
      <c r="C1059" s="58" t="s">
        <v>23</v>
      </c>
      <c r="D1059" s="58" t="s">
        <v>38</v>
      </c>
      <c r="E1059" s="58" t="s">
        <v>25</v>
      </c>
      <c r="F1059" s="58" t="s">
        <v>25</v>
      </c>
      <c r="G1059" s="58" t="s">
        <v>25</v>
      </c>
      <c r="H1059" s="58" t="s">
        <v>25</v>
      </c>
      <c r="I1059" s="66">
        <v>44652</v>
      </c>
      <c r="J1059" s="67">
        <f>EFEITO!$J$1059*EFEITO!$Y$1059</f>
        <v>0</v>
      </c>
      <c r="K1059" s="67">
        <f ca="1">EFEITO!$L$1059*EFEITO!$Z$1059</f>
        <v>248343.66483919602</v>
      </c>
      <c r="L1059" s="67">
        <f>EFEITO!$N$1059*EFEITO!$AA$1059</f>
        <v>209264.88423792788</v>
      </c>
      <c r="M1059" s="67">
        <f>$J$1059-EFEITO!$K$1059*EFEITO!$Y$1059</f>
        <v>0</v>
      </c>
      <c r="N1059" s="67">
        <f ca="1">$K$1059-EFEITO!$M$1059*EFEITO!$Z$1059</f>
        <v>0</v>
      </c>
      <c r="O1059" s="67">
        <f>$L$1059-EFEITO!$O$1059*EFEITO!$AA$1059</f>
        <v>0</v>
      </c>
      <c r="P1059" s="18"/>
      <c r="Q1059" s="18"/>
      <c r="R1059" s="18"/>
      <c r="S1059" s="18"/>
      <c r="T1059" s="18"/>
      <c r="U1059" s="18"/>
      <c r="V1059" s="18"/>
      <c r="W1059" s="18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1:36" ht="11.25" customHeight="1" x14ac:dyDescent="0.2">
      <c r="A1060" s="58" t="s">
        <v>28</v>
      </c>
      <c r="B1060" s="58" t="s">
        <v>37</v>
      </c>
      <c r="C1060" s="58" t="s">
        <v>23</v>
      </c>
      <c r="D1060" s="58" t="s">
        <v>38</v>
      </c>
      <c r="E1060" s="58" t="s">
        <v>25</v>
      </c>
      <c r="F1060" s="58" t="s">
        <v>25</v>
      </c>
      <c r="G1060" s="58" t="s">
        <v>25</v>
      </c>
      <c r="H1060" s="58" t="s">
        <v>25</v>
      </c>
      <c r="I1060" s="66">
        <v>44652</v>
      </c>
      <c r="J1060" s="67">
        <f>EFEITO!$J$1060*EFEITO!$Y$1060</f>
        <v>0</v>
      </c>
      <c r="K1060" s="67">
        <f ca="1">EFEITO!$L$1060*EFEITO!$Z$1060</f>
        <v>2497.4519016354834</v>
      </c>
      <c r="L1060" s="67">
        <f>EFEITO!$N$1060*EFEITO!$AA$1060</f>
        <v>2104.4586880198763</v>
      </c>
      <c r="M1060" s="67">
        <f>$J$1060-EFEITO!$K$1060*EFEITO!$Y$1060</f>
        <v>0</v>
      </c>
      <c r="N1060" s="67">
        <f ca="1">$K$1060-EFEITO!$M$1060*EFEITO!$Z$1060</f>
        <v>0</v>
      </c>
      <c r="O1060" s="67">
        <f>$L$1060-EFEITO!$O$1060*EFEITO!$AA$1060</f>
        <v>0</v>
      </c>
      <c r="P1060" s="18"/>
      <c r="Q1060" s="18"/>
      <c r="R1060" s="18"/>
      <c r="S1060" s="18"/>
      <c r="T1060" s="18"/>
      <c r="U1060" s="18"/>
      <c r="V1060" s="18"/>
      <c r="W1060" s="18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1:36" ht="11.25" customHeight="1" x14ac:dyDescent="0.2">
      <c r="A1061" s="58" t="s">
        <v>21</v>
      </c>
      <c r="B1061" s="58" t="s">
        <v>37</v>
      </c>
      <c r="C1061" s="58" t="s">
        <v>23</v>
      </c>
      <c r="D1061" s="58" t="s">
        <v>38</v>
      </c>
      <c r="E1061" s="58" t="s">
        <v>25</v>
      </c>
      <c r="F1061" s="58" t="s">
        <v>25</v>
      </c>
      <c r="G1061" s="58" t="s">
        <v>25</v>
      </c>
      <c r="H1061" s="58" t="s">
        <v>25</v>
      </c>
      <c r="I1061" s="66">
        <v>44682</v>
      </c>
      <c r="J1061" s="67">
        <f>EFEITO!$J$1061*EFEITO!$Y$1061</f>
        <v>0</v>
      </c>
      <c r="K1061" s="67">
        <f ca="1">EFEITO!$L$1061*EFEITO!$Z$1061</f>
        <v>226115.94396066235</v>
      </c>
      <c r="L1061" s="67">
        <f>EFEITO!$N$1061*EFEITO!$AA$1061</f>
        <v>190534.86573904174</v>
      </c>
      <c r="M1061" s="67">
        <f>$J$1061-EFEITO!$K$1061*EFEITO!$Y$1061</f>
        <v>0</v>
      </c>
      <c r="N1061" s="67">
        <f ca="1">$K$1061-EFEITO!$M$1061*EFEITO!$Z$1061</f>
        <v>0</v>
      </c>
      <c r="O1061" s="67">
        <f>$L$1061-EFEITO!$O$1061*EFEITO!$AA$1061</f>
        <v>0</v>
      </c>
      <c r="P1061" s="18"/>
      <c r="Q1061" s="18"/>
      <c r="R1061" s="18"/>
      <c r="S1061" s="18"/>
      <c r="T1061" s="18"/>
      <c r="U1061" s="18"/>
      <c r="V1061" s="18"/>
      <c r="W1061" s="18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1:36" ht="11.25" customHeight="1" x14ac:dyDescent="0.2">
      <c r="A1062" s="58" t="s">
        <v>27</v>
      </c>
      <c r="B1062" s="58" t="s">
        <v>37</v>
      </c>
      <c r="C1062" s="58" t="s">
        <v>23</v>
      </c>
      <c r="D1062" s="58" t="s">
        <v>38</v>
      </c>
      <c r="E1062" s="58" t="s">
        <v>25</v>
      </c>
      <c r="F1062" s="58" t="s">
        <v>25</v>
      </c>
      <c r="G1062" s="58" t="s">
        <v>25</v>
      </c>
      <c r="H1062" s="58" t="s">
        <v>25</v>
      </c>
      <c r="I1062" s="66">
        <v>44682</v>
      </c>
      <c r="J1062" s="67">
        <f>EFEITO!$J$1062*EFEITO!$Y$1062</f>
        <v>0</v>
      </c>
      <c r="K1062" s="67">
        <f ca="1">EFEITO!$L$1062*EFEITO!$Z$1062</f>
        <v>-1093.1338994378955</v>
      </c>
      <c r="L1062" s="67">
        <f>EFEITO!$N$1062*EFEITO!$AA$1062</f>
        <v>-921.12089539528131</v>
      </c>
      <c r="M1062" s="67">
        <f>$J$1062-EFEITO!$K$1062*EFEITO!$Y$1062</f>
        <v>0</v>
      </c>
      <c r="N1062" s="67">
        <f ca="1">$K$1062-EFEITO!$M$1062*EFEITO!$Z$1062</f>
        <v>0</v>
      </c>
      <c r="O1062" s="67">
        <f>$L$1062-EFEITO!$O$1062*EFEITO!$AA$1062</f>
        <v>0</v>
      </c>
      <c r="P1062" s="18"/>
      <c r="Q1062" s="18"/>
      <c r="R1062" s="18"/>
      <c r="S1062" s="18"/>
      <c r="T1062" s="18"/>
      <c r="U1062" s="18"/>
      <c r="V1062" s="18"/>
      <c r="W1062" s="18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1:36" ht="11.25" customHeight="1" x14ac:dyDescent="0.2">
      <c r="A1063" s="58" t="s">
        <v>28</v>
      </c>
      <c r="B1063" s="58" t="s">
        <v>37</v>
      </c>
      <c r="C1063" s="58" t="s">
        <v>23</v>
      </c>
      <c r="D1063" s="58" t="s">
        <v>38</v>
      </c>
      <c r="E1063" s="58" t="s">
        <v>25</v>
      </c>
      <c r="F1063" s="58" t="s">
        <v>25</v>
      </c>
      <c r="G1063" s="58" t="s">
        <v>25</v>
      </c>
      <c r="H1063" s="58" t="s">
        <v>25</v>
      </c>
      <c r="I1063" s="66">
        <v>44682</v>
      </c>
      <c r="J1063" s="67">
        <f>EFEITO!$J$1063*EFEITO!$Y$1063</f>
        <v>0</v>
      </c>
      <c r="K1063" s="67">
        <f ca="1">EFEITO!$L$1063*EFEITO!$Z$1063</f>
        <v>9244.5615758302592</v>
      </c>
      <c r="L1063" s="67">
        <f>EFEITO!$N$1063*EFEITO!$AA$1063</f>
        <v>7789.8589007662258</v>
      </c>
      <c r="M1063" s="67">
        <f>$J$1063-EFEITO!$K$1063*EFEITO!$Y$1063</f>
        <v>0</v>
      </c>
      <c r="N1063" s="67">
        <f ca="1">$K$1063-EFEITO!$M$1063*EFEITO!$Z$1063</f>
        <v>0</v>
      </c>
      <c r="O1063" s="67">
        <f>$L$1063-EFEITO!$O$1063*EFEITO!$AA$1063</f>
        <v>0</v>
      </c>
      <c r="P1063" s="18"/>
      <c r="Q1063" s="18"/>
      <c r="R1063" s="18"/>
      <c r="S1063" s="18"/>
      <c r="T1063" s="18"/>
      <c r="U1063" s="18"/>
      <c r="V1063" s="18"/>
      <c r="W1063" s="18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1:36" ht="11.25" customHeight="1" x14ac:dyDescent="0.2">
      <c r="A1064" s="58" t="s">
        <v>21</v>
      </c>
      <c r="B1064" s="58" t="s">
        <v>37</v>
      </c>
      <c r="C1064" s="58" t="s">
        <v>23</v>
      </c>
      <c r="D1064" s="58" t="s">
        <v>38</v>
      </c>
      <c r="E1064" s="58" t="s">
        <v>25</v>
      </c>
      <c r="F1064" s="58" t="s">
        <v>25</v>
      </c>
      <c r="G1064" s="58" t="s">
        <v>25</v>
      </c>
      <c r="H1064" s="58" t="s">
        <v>25</v>
      </c>
      <c r="I1064" s="66">
        <v>44713</v>
      </c>
      <c r="J1064" s="67">
        <f>EFEITO!$J$1064*EFEITO!$Y$1064</f>
        <v>0</v>
      </c>
      <c r="K1064" s="67">
        <f ca="1">EFEITO!$L$1064*EFEITO!$Z$1064</f>
        <v>220179.90772353226</v>
      </c>
      <c r="L1064" s="67">
        <f>EFEITO!$N$1064*EFEITO!$AA$1064</f>
        <v>185532.91033663796</v>
      </c>
      <c r="M1064" s="67">
        <f>$J$1064-EFEITO!$K$1064*EFEITO!$Y$1064</f>
        <v>0</v>
      </c>
      <c r="N1064" s="67">
        <f ca="1">$K$1064-EFEITO!$M$1064*EFEITO!$Z$1064</f>
        <v>0</v>
      </c>
      <c r="O1064" s="67">
        <f>$L$1064-EFEITO!$O$1064*EFEITO!$AA$1064</f>
        <v>0</v>
      </c>
      <c r="P1064" s="18"/>
      <c r="Q1064" s="18"/>
      <c r="R1064" s="18"/>
      <c r="S1064" s="18"/>
      <c r="T1064" s="18"/>
      <c r="U1064" s="18"/>
      <c r="V1064" s="18"/>
      <c r="W1064" s="18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ht="11.25" customHeight="1" x14ac:dyDescent="0.2">
      <c r="A1065" s="58" t="s">
        <v>28</v>
      </c>
      <c r="B1065" s="58" t="s">
        <v>37</v>
      </c>
      <c r="C1065" s="58" t="s">
        <v>23</v>
      </c>
      <c r="D1065" s="58" t="s">
        <v>38</v>
      </c>
      <c r="E1065" s="58" t="s">
        <v>25</v>
      </c>
      <c r="F1065" s="58" t="s">
        <v>25</v>
      </c>
      <c r="G1065" s="58" t="s">
        <v>25</v>
      </c>
      <c r="H1065" s="58" t="s">
        <v>25</v>
      </c>
      <c r="I1065" s="66">
        <v>44713</v>
      </c>
      <c r="J1065" s="67">
        <f>EFEITO!$J$1065*EFEITO!$Y$1065</f>
        <v>0</v>
      </c>
      <c r="K1065" s="67">
        <f ca="1">EFEITO!$L$1065*EFEITO!$Z$1065</f>
        <v>1949.6880899828445</v>
      </c>
      <c r="L1065" s="67">
        <f>EFEITO!$N$1065*EFEITO!$AA$1065</f>
        <v>1642.8897137944302</v>
      </c>
      <c r="M1065" s="67">
        <f>$J$1065-EFEITO!$K$1065*EFEITO!$Y$1065</f>
        <v>0</v>
      </c>
      <c r="N1065" s="67">
        <f ca="1">$K$1065-EFEITO!$M$1065*EFEITO!$Z$1065</f>
        <v>0</v>
      </c>
      <c r="O1065" s="67">
        <f>$L$1065-EFEITO!$O$1065*EFEITO!$AA$1065</f>
        <v>0</v>
      </c>
      <c r="P1065" s="18"/>
      <c r="Q1065" s="18"/>
      <c r="R1065" s="18"/>
      <c r="S1065" s="18"/>
      <c r="T1065" s="18"/>
      <c r="U1065" s="18"/>
      <c r="V1065" s="18"/>
      <c r="W1065" s="18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1:36" ht="11.25" customHeight="1" x14ac:dyDescent="0.2">
      <c r="A1066" s="58" t="s">
        <v>21</v>
      </c>
      <c r="B1066" s="58" t="s">
        <v>37</v>
      </c>
      <c r="C1066" s="58" t="s">
        <v>23</v>
      </c>
      <c r="D1066" s="58" t="s">
        <v>38</v>
      </c>
      <c r="E1066" s="58" t="s">
        <v>25</v>
      </c>
      <c r="F1066" s="58" t="s">
        <v>25</v>
      </c>
      <c r="G1066" s="58" t="s">
        <v>25</v>
      </c>
      <c r="H1066" s="58" t="s">
        <v>25</v>
      </c>
      <c r="I1066" s="66">
        <v>44743</v>
      </c>
      <c r="J1066" s="67">
        <f>EFEITO!$J$1066*EFEITO!$Y$1066</f>
        <v>0</v>
      </c>
      <c r="K1066" s="67">
        <f ca="1">EFEITO!$L$1066*EFEITO!$Z$1066</f>
        <v>220712.51128402477</v>
      </c>
      <c r="L1066" s="67">
        <f>EFEITO!$N$1066*EFEITO!$AA$1066</f>
        <v>185981.70464151117</v>
      </c>
      <c r="M1066" s="67">
        <f>$J$1066-EFEITO!$K$1066*EFEITO!$Y$1066</f>
        <v>0</v>
      </c>
      <c r="N1066" s="67">
        <f ca="1">$K$1066-EFEITO!$M$1066*EFEITO!$Z$1066</f>
        <v>0</v>
      </c>
      <c r="O1066" s="67">
        <f>$L$1066-EFEITO!$O$1066*EFEITO!$AA$1066</f>
        <v>0</v>
      </c>
      <c r="P1066" s="18"/>
      <c r="Q1066" s="18"/>
      <c r="R1066" s="18"/>
      <c r="S1066" s="18"/>
      <c r="T1066" s="18"/>
      <c r="U1066" s="18"/>
      <c r="V1066" s="18"/>
      <c r="W1066" s="18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1:36" ht="11.25" customHeight="1" x14ac:dyDescent="0.2">
      <c r="A1067" s="58" t="s">
        <v>27</v>
      </c>
      <c r="B1067" s="58" t="s">
        <v>37</v>
      </c>
      <c r="C1067" s="58" t="s">
        <v>23</v>
      </c>
      <c r="D1067" s="58" t="s">
        <v>38</v>
      </c>
      <c r="E1067" s="58" t="s">
        <v>25</v>
      </c>
      <c r="F1067" s="58" t="s">
        <v>25</v>
      </c>
      <c r="G1067" s="58" t="s">
        <v>25</v>
      </c>
      <c r="H1067" s="58" t="s">
        <v>25</v>
      </c>
      <c r="I1067" s="66">
        <v>44743</v>
      </c>
      <c r="J1067" s="67">
        <f>EFEITO!$J$1067*EFEITO!$Y$1067</f>
        <v>0</v>
      </c>
      <c r="K1067" s="67">
        <f ca="1">EFEITO!$L$1067*EFEITO!$Z$1067</f>
        <v>2820.6046237320875</v>
      </c>
      <c r="L1067" s="67">
        <f>EFEITO!$N$1067*EFEITO!$AA$1067</f>
        <v>2376.7608505272406</v>
      </c>
      <c r="M1067" s="67">
        <f>$J$1067-EFEITO!$K$1067*EFEITO!$Y$1067</f>
        <v>0</v>
      </c>
      <c r="N1067" s="67">
        <f ca="1">$K$1067-EFEITO!$M$1067*EFEITO!$Z$1067</f>
        <v>0</v>
      </c>
      <c r="O1067" s="67">
        <f>$L$1067-EFEITO!$O$1067*EFEITO!$AA$1067</f>
        <v>0</v>
      </c>
      <c r="P1067" s="18"/>
      <c r="Q1067" s="18"/>
      <c r="R1067" s="18"/>
      <c r="S1067" s="18"/>
      <c r="T1067" s="18"/>
      <c r="U1067" s="18"/>
      <c r="V1067" s="18"/>
      <c r="W1067" s="18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1:36" ht="11.25" customHeight="1" x14ac:dyDescent="0.2">
      <c r="A1068" s="58" t="s">
        <v>28</v>
      </c>
      <c r="B1068" s="58" t="s">
        <v>37</v>
      </c>
      <c r="C1068" s="58" t="s">
        <v>23</v>
      </c>
      <c r="D1068" s="58" t="s">
        <v>38</v>
      </c>
      <c r="E1068" s="58" t="s">
        <v>25</v>
      </c>
      <c r="F1068" s="58" t="s">
        <v>25</v>
      </c>
      <c r="G1068" s="58" t="s">
        <v>25</v>
      </c>
      <c r="H1068" s="58" t="s">
        <v>25</v>
      </c>
      <c r="I1068" s="66">
        <v>44743</v>
      </c>
      <c r="J1068" s="67">
        <f>EFEITO!$J$1068*EFEITO!$Y$1068</f>
        <v>0</v>
      </c>
      <c r="K1068" s="67">
        <f ca="1">EFEITO!$L$1068*EFEITO!$Z$1068</f>
        <v>3141.7625759392063</v>
      </c>
      <c r="L1068" s="67">
        <f>EFEITO!$N$1068*EFEITO!$AA$1068</f>
        <v>2647.3821354882625</v>
      </c>
      <c r="M1068" s="67">
        <f>$J$1068-EFEITO!$K$1068*EFEITO!$Y$1068</f>
        <v>0</v>
      </c>
      <c r="N1068" s="67">
        <f ca="1">$K$1068-EFEITO!$M$1068*EFEITO!$Z$1068</f>
        <v>0</v>
      </c>
      <c r="O1068" s="67">
        <f>$L$1068-EFEITO!$O$1068*EFEITO!$AA$1068</f>
        <v>0</v>
      </c>
      <c r="P1068" s="18"/>
      <c r="Q1068" s="18"/>
      <c r="R1068" s="18"/>
      <c r="S1068" s="18"/>
      <c r="T1068" s="18"/>
      <c r="U1068" s="18"/>
      <c r="V1068" s="18"/>
      <c r="W1068" s="18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1:36" ht="11.25" customHeight="1" x14ac:dyDescent="0.2">
      <c r="A1069" s="58" t="s">
        <v>21</v>
      </c>
      <c r="B1069" s="58" t="s">
        <v>37</v>
      </c>
      <c r="C1069" s="58" t="s">
        <v>23</v>
      </c>
      <c r="D1069" s="58" t="s">
        <v>38</v>
      </c>
      <c r="E1069" s="58" t="s">
        <v>25</v>
      </c>
      <c r="F1069" s="58" t="s">
        <v>25</v>
      </c>
      <c r="G1069" s="58" t="s">
        <v>25</v>
      </c>
      <c r="H1069" s="58" t="s">
        <v>25</v>
      </c>
      <c r="I1069" s="66">
        <v>44774</v>
      </c>
      <c r="J1069" s="67">
        <f>EFEITO!$J$1069*EFEITO!$Y$1069</f>
        <v>0</v>
      </c>
      <c r="K1069" s="67">
        <f ca="1">EFEITO!$L$1069*EFEITO!$Z$1069</f>
        <v>237130.26538244387</v>
      </c>
      <c r="L1069" s="67">
        <f>EFEITO!$N$1069*EFEITO!$AA$1069</f>
        <v>199815.99919892236</v>
      </c>
      <c r="M1069" s="67">
        <f>$J$1069-EFEITO!$K$1069*EFEITO!$Y$1069</f>
        <v>0</v>
      </c>
      <c r="N1069" s="67">
        <f ca="1">$K$1069-EFEITO!$M$1069*EFEITO!$Z$1069</f>
        <v>0</v>
      </c>
      <c r="O1069" s="67">
        <f>$L$1069-EFEITO!$O$1069*EFEITO!$AA$1069</f>
        <v>0</v>
      </c>
      <c r="P1069" s="18"/>
      <c r="Q1069" s="18"/>
      <c r="R1069" s="18"/>
      <c r="S1069" s="18"/>
      <c r="T1069" s="18"/>
      <c r="U1069" s="18"/>
      <c r="V1069" s="18"/>
      <c r="W1069" s="18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1:36" ht="11.25" customHeight="1" x14ac:dyDescent="0.2">
      <c r="A1070" s="58" t="s">
        <v>27</v>
      </c>
      <c r="B1070" s="58" t="s">
        <v>37</v>
      </c>
      <c r="C1070" s="58" t="s">
        <v>23</v>
      </c>
      <c r="D1070" s="58" t="s">
        <v>38</v>
      </c>
      <c r="E1070" s="58" t="s">
        <v>25</v>
      </c>
      <c r="F1070" s="58" t="s">
        <v>25</v>
      </c>
      <c r="G1070" s="58" t="s">
        <v>25</v>
      </c>
      <c r="H1070" s="58" t="s">
        <v>25</v>
      </c>
      <c r="I1070" s="66">
        <v>44774</v>
      </c>
      <c r="J1070" s="67">
        <f>EFEITO!$J$1070*EFEITO!$Y$1070</f>
        <v>0</v>
      </c>
      <c r="K1070" s="67">
        <f ca="1">EFEITO!$L$1070*EFEITO!$Z$1070</f>
        <v>-159.58159115881685</v>
      </c>
      <c r="L1070" s="67">
        <f>EFEITO!$N$1070*EFEITO!$AA$1070</f>
        <v>-134.47020370734035</v>
      </c>
      <c r="M1070" s="67">
        <f>$J$1070-EFEITO!$K$1070*EFEITO!$Y$1070</f>
        <v>0</v>
      </c>
      <c r="N1070" s="67">
        <f ca="1">$K$1070-EFEITO!$M$1070*EFEITO!$Z$1070</f>
        <v>0</v>
      </c>
      <c r="O1070" s="67">
        <f>$L$1070-EFEITO!$O$1070*EFEITO!$AA$1070</f>
        <v>0</v>
      </c>
      <c r="P1070" s="18"/>
      <c r="Q1070" s="18"/>
      <c r="R1070" s="18"/>
      <c r="S1070" s="18"/>
      <c r="T1070" s="18"/>
      <c r="U1070" s="18"/>
      <c r="V1070" s="18"/>
      <c r="W1070" s="18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1:36" ht="11.25" customHeight="1" x14ac:dyDescent="0.2">
      <c r="A1071" s="58" t="s">
        <v>28</v>
      </c>
      <c r="B1071" s="58" t="s">
        <v>37</v>
      </c>
      <c r="C1071" s="58" t="s">
        <v>23</v>
      </c>
      <c r="D1071" s="58" t="s">
        <v>38</v>
      </c>
      <c r="E1071" s="58" t="s">
        <v>25</v>
      </c>
      <c r="F1071" s="58" t="s">
        <v>25</v>
      </c>
      <c r="G1071" s="58" t="s">
        <v>25</v>
      </c>
      <c r="H1071" s="58" t="s">
        <v>25</v>
      </c>
      <c r="I1071" s="66">
        <v>44774</v>
      </c>
      <c r="J1071" s="67">
        <f>EFEITO!$J$1071*EFEITO!$Y$1071</f>
        <v>0</v>
      </c>
      <c r="K1071" s="67">
        <f ca="1">EFEITO!$L$1071*EFEITO!$Z$1071</f>
        <v>3476.8839173727215</v>
      </c>
      <c r="L1071" s="67">
        <f>EFEITO!$N$1071*EFEITO!$AA$1071</f>
        <v>2929.7695632736772</v>
      </c>
      <c r="M1071" s="67">
        <f>$J$1071-EFEITO!$K$1071*EFEITO!$Y$1071</f>
        <v>0</v>
      </c>
      <c r="N1071" s="67">
        <f ca="1">$K$1071-EFEITO!$M$1071*EFEITO!$Z$1071</f>
        <v>0</v>
      </c>
      <c r="O1071" s="67">
        <f>$L$1071-EFEITO!$O$1071*EFEITO!$AA$1071</f>
        <v>0</v>
      </c>
      <c r="P1071" s="18"/>
      <c r="Q1071" s="18"/>
      <c r="R1071" s="18"/>
      <c r="S1071" s="18"/>
      <c r="T1071" s="18"/>
      <c r="U1071" s="18"/>
      <c r="V1071" s="18"/>
      <c r="W1071" s="18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1:36" ht="11.25" customHeight="1" x14ac:dyDescent="0.2">
      <c r="A1072" s="58" t="s">
        <v>21</v>
      </c>
      <c r="B1072" s="58" t="s">
        <v>37</v>
      </c>
      <c r="C1072" s="58" t="s">
        <v>23</v>
      </c>
      <c r="D1072" s="58" t="s">
        <v>38</v>
      </c>
      <c r="E1072" s="58" t="s">
        <v>25</v>
      </c>
      <c r="F1072" s="58" t="s">
        <v>25</v>
      </c>
      <c r="G1072" s="58" t="s">
        <v>25</v>
      </c>
      <c r="H1072" s="58" t="s">
        <v>25</v>
      </c>
      <c r="I1072" s="66">
        <v>44805</v>
      </c>
      <c r="J1072" s="67">
        <f>EFEITO!$J$1072*EFEITO!$Y$1072</f>
        <v>0</v>
      </c>
      <c r="K1072" s="67">
        <f ca="1">EFEITO!$L$1072*EFEITO!$Z$1072</f>
        <v>243001.67107515462</v>
      </c>
      <c r="L1072" s="67">
        <f>EFEITO!$N$1072*EFEITO!$AA$1072</f>
        <v>204763.49416882466</v>
      </c>
      <c r="M1072" s="67">
        <f>$J$1072-EFEITO!$K$1072*EFEITO!$Y$1072</f>
        <v>0</v>
      </c>
      <c r="N1072" s="67">
        <f ca="1">$K$1072-EFEITO!$M$1072*EFEITO!$Z$1072</f>
        <v>0</v>
      </c>
      <c r="O1072" s="67">
        <f>$L$1072-EFEITO!$O$1072*EFEITO!$AA$1072</f>
        <v>0</v>
      </c>
      <c r="P1072" s="18"/>
      <c r="Q1072" s="18"/>
      <c r="R1072" s="18"/>
      <c r="S1072" s="18"/>
      <c r="T1072" s="18"/>
      <c r="U1072" s="18"/>
      <c r="V1072" s="18"/>
      <c r="W1072" s="18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  <row r="1073" spans="1:36" ht="11.25" customHeight="1" x14ac:dyDescent="0.2">
      <c r="A1073" s="58" t="s">
        <v>28</v>
      </c>
      <c r="B1073" s="58" t="s">
        <v>37</v>
      </c>
      <c r="C1073" s="58" t="s">
        <v>23</v>
      </c>
      <c r="D1073" s="58" t="s">
        <v>38</v>
      </c>
      <c r="E1073" s="58" t="s">
        <v>25</v>
      </c>
      <c r="F1073" s="58" t="s">
        <v>25</v>
      </c>
      <c r="G1073" s="58" t="s">
        <v>25</v>
      </c>
      <c r="H1073" s="58" t="s">
        <v>25</v>
      </c>
      <c r="I1073" s="66">
        <v>44805</v>
      </c>
      <c r="J1073" s="67">
        <f>EFEITO!$J$1073*EFEITO!$Y$1073</f>
        <v>0</v>
      </c>
      <c r="K1073" s="67">
        <f ca="1">EFEITO!$L$1073*EFEITO!$Z$1073</f>
        <v>5906.513642765708</v>
      </c>
      <c r="L1073" s="67">
        <f>EFEITO!$N$1073*EFEITO!$AA$1073</f>
        <v>4977.0784147179338</v>
      </c>
      <c r="M1073" s="67">
        <f>$J$1073-EFEITO!$K$1073*EFEITO!$Y$1073</f>
        <v>0</v>
      </c>
      <c r="N1073" s="67">
        <f ca="1">$K$1073-EFEITO!$M$1073*EFEITO!$Z$1073</f>
        <v>0</v>
      </c>
      <c r="O1073" s="67">
        <f>$L$1073-EFEITO!$O$1073*EFEITO!$AA$1073</f>
        <v>0</v>
      </c>
      <c r="P1073" s="18"/>
      <c r="Q1073" s="18"/>
      <c r="R1073" s="18"/>
      <c r="S1073" s="18"/>
      <c r="T1073" s="18"/>
      <c r="U1073" s="18"/>
      <c r="V1073" s="18"/>
      <c r="W1073" s="18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</row>
    <row r="1074" spans="1:36" ht="11.25" customHeight="1" x14ac:dyDescent="0.2">
      <c r="A1074" s="58" t="s">
        <v>55</v>
      </c>
      <c r="B1074" s="58" t="s">
        <v>37</v>
      </c>
      <c r="C1074" s="58" t="s">
        <v>23</v>
      </c>
      <c r="D1074" s="58" t="s">
        <v>38</v>
      </c>
      <c r="E1074" s="58" t="s">
        <v>25</v>
      </c>
      <c r="F1074" s="58" t="s">
        <v>25</v>
      </c>
      <c r="G1074" s="58" t="s">
        <v>25</v>
      </c>
      <c r="H1074" s="58" t="s">
        <v>25</v>
      </c>
      <c r="I1074" s="66">
        <v>44835</v>
      </c>
      <c r="J1074" s="67">
        <f>EFEITO!$J$1074*EFEITO!$Y$1074</f>
        <v>0</v>
      </c>
      <c r="K1074" s="67">
        <f ca="1">EFEITO!$L$1074*EFEITO!$Z$1074</f>
        <v>243001.67107515462</v>
      </c>
      <c r="L1074" s="67">
        <f>EFEITO!$N$1074*EFEITO!$AA$1074</f>
        <v>204763.49416882466</v>
      </c>
      <c r="M1074" s="67">
        <f>$J$1074-EFEITO!$K$1074*EFEITO!$Y$1074</f>
        <v>0</v>
      </c>
      <c r="N1074" s="67">
        <f ca="1">$K$1074-EFEITO!$M$1074*EFEITO!$Z$1074</f>
        <v>0</v>
      </c>
      <c r="O1074" s="67">
        <f>$L$1074-EFEITO!$O$1074*EFEITO!$AA$1074</f>
        <v>0</v>
      </c>
      <c r="P1074" s="18"/>
      <c r="Q1074" s="18"/>
      <c r="R1074" s="18"/>
      <c r="S1074" s="18"/>
      <c r="T1074" s="18"/>
      <c r="U1074" s="18"/>
      <c r="V1074" s="18"/>
      <c r="W1074" s="18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</row>
    <row r="1075" spans="1:36" ht="11.25" customHeight="1" x14ac:dyDescent="0.2">
      <c r="A1075" s="58" t="s">
        <v>55</v>
      </c>
      <c r="B1075" s="58" t="s">
        <v>37</v>
      </c>
      <c r="C1075" s="58" t="s">
        <v>23</v>
      </c>
      <c r="D1075" s="58" t="s">
        <v>38</v>
      </c>
      <c r="E1075" s="58" t="s">
        <v>25</v>
      </c>
      <c r="F1075" s="58" t="s">
        <v>25</v>
      </c>
      <c r="G1075" s="58" t="s">
        <v>25</v>
      </c>
      <c r="H1075" s="58" t="s">
        <v>25</v>
      </c>
      <c r="I1075" s="66">
        <v>44835</v>
      </c>
      <c r="J1075" s="67">
        <f>EFEITO!$J$1075*EFEITO!$Y$1075</f>
        <v>0</v>
      </c>
      <c r="K1075" s="67">
        <f ca="1">EFEITO!$L$1075*EFEITO!$Z$1075</f>
        <v>5906.513642765708</v>
      </c>
      <c r="L1075" s="67">
        <f>EFEITO!$N$1075*EFEITO!$AA$1075</f>
        <v>4977.0784147179338</v>
      </c>
      <c r="M1075" s="67">
        <f>$J$1075-EFEITO!$K$1075*EFEITO!$Y$1075</f>
        <v>0</v>
      </c>
      <c r="N1075" s="67">
        <f ca="1">$K$1075-EFEITO!$M$1075*EFEITO!$Z$1075</f>
        <v>0</v>
      </c>
      <c r="O1075" s="67">
        <f>$L$1075-EFEITO!$O$1075*EFEITO!$AA$1075</f>
        <v>0</v>
      </c>
      <c r="P1075" s="18"/>
      <c r="Q1075" s="18"/>
      <c r="R1075" s="18"/>
      <c r="S1075" s="18"/>
      <c r="T1075" s="18"/>
      <c r="U1075" s="18"/>
      <c r="V1075" s="18"/>
      <c r="W1075" s="18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</row>
    <row r="1076" spans="1:36" ht="11.25" customHeight="1" x14ac:dyDescent="0.2">
      <c r="A1076" s="58" t="s">
        <v>21</v>
      </c>
      <c r="B1076" s="58" t="s">
        <v>37</v>
      </c>
      <c r="C1076" s="58" t="s">
        <v>23</v>
      </c>
      <c r="D1076" s="58" t="s">
        <v>45</v>
      </c>
      <c r="E1076" s="58" t="s">
        <v>25</v>
      </c>
      <c r="F1076" s="58" t="s">
        <v>25</v>
      </c>
      <c r="G1076" s="58" t="s">
        <v>25</v>
      </c>
      <c r="H1076" s="58" t="s">
        <v>25</v>
      </c>
      <c r="I1076" s="66">
        <v>44501</v>
      </c>
      <c r="J1076" s="67">
        <f>EFEITO!$J$1076*EFEITO!$Y$1076</f>
        <v>0</v>
      </c>
      <c r="K1076" s="67">
        <f ca="1">EFEITO!$L$1076*EFEITO!$Z$1076</f>
        <v>673711.58770484547</v>
      </c>
      <c r="L1076" s="67">
        <f>EFEITO!$N$1076*EFEITO!$AA$1076</f>
        <v>567697.90162391763</v>
      </c>
      <c r="M1076" s="67">
        <f>$J$1076-EFEITO!$K$1076*EFEITO!$Y$1076</f>
        <v>0</v>
      </c>
      <c r="N1076" s="67">
        <f ca="1">$K$1076-EFEITO!$M$1076*EFEITO!$Z$1076</f>
        <v>0</v>
      </c>
      <c r="O1076" s="67">
        <f>$L$1076-EFEITO!$O$1076*EFEITO!$AA$1076</f>
        <v>0</v>
      </c>
      <c r="P1076" s="18"/>
      <c r="Q1076" s="18"/>
      <c r="R1076" s="18"/>
      <c r="S1076" s="18"/>
      <c r="T1076" s="18"/>
      <c r="U1076" s="18"/>
      <c r="V1076" s="18"/>
      <c r="W1076" s="18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</row>
    <row r="1077" spans="1:36" ht="11.25" customHeight="1" x14ac:dyDescent="0.2">
      <c r="A1077" s="58" t="s">
        <v>27</v>
      </c>
      <c r="B1077" s="58" t="s">
        <v>37</v>
      </c>
      <c r="C1077" s="58" t="s">
        <v>23</v>
      </c>
      <c r="D1077" s="58" t="s">
        <v>45</v>
      </c>
      <c r="E1077" s="58" t="s">
        <v>25</v>
      </c>
      <c r="F1077" s="58" t="s">
        <v>25</v>
      </c>
      <c r="G1077" s="58" t="s">
        <v>25</v>
      </c>
      <c r="H1077" s="58" t="s">
        <v>25</v>
      </c>
      <c r="I1077" s="66">
        <v>44501</v>
      </c>
      <c r="J1077" s="67">
        <f>EFEITO!$J$1077*EFEITO!$Y$1077</f>
        <v>0</v>
      </c>
      <c r="K1077" s="67">
        <f ca="1">EFEITO!$L$1077*EFEITO!$Z$1077</f>
        <v>7970.7015244050035</v>
      </c>
      <c r="L1077" s="67">
        <f>EFEITO!$N$1077*EFEITO!$AA$1077</f>
        <v>6716.4504996723808</v>
      </c>
      <c r="M1077" s="67">
        <f>$J$1077-EFEITO!$K$1077*EFEITO!$Y$1077</f>
        <v>0</v>
      </c>
      <c r="N1077" s="67">
        <f ca="1">$K$1077-EFEITO!$M$1077*EFEITO!$Z$1077</f>
        <v>0</v>
      </c>
      <c r="O1077" s="67">
        <f>$L$1077-EFEITO!$O$1077*EFEITO!$AA$1077</f>
        <v>0</v>
      </c>
      <c r="P1077" s="18"/>
      <c r="Q1077" s="18"/>
      <c r="R1077" s="18"/>
      <c r="S1077" s="18"/>
      <c r="T1077" s="18"/>
      <c r="U1077" s="18"/>
      <c r="V1077" s="18"/>
      <c r="W1077" s="18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</row>
    <row r="1078" spans="1:36" ht="11.25" customHeight="1" x14ac:dyDescent="0.2">
      <c r="A1078" s="58" t="s">
        <v>28</v>
      </c>
      <c r="B1078" s="58" t="s">
        <v>37</v>
      </c>
      <c r="C1078" s="58" t="s">
        <v>23</v>
      </c>
      <c r="D1078" s="58" t="s">
        <v>45</v>
      </c>
      <c r="E1078" s="58" t="s">
        <v>25</v>
      </c>
      <c r="F1078" s="58" t="s">
        <v>25</v>
      </c>
      <c r="G1078" s="58" t="s">
        <v>25</v>
      </c>
      <c r="H1078" s="58" t="s">
        <v>25</v>
      </c>
      <c r="I1078" s="66">
        <v>44501</v>
      </c>
      <c r="J1078" s="67">
        <f>EFEITO!$J$1078*EFEITO!$Y$1078</f>
        <v>0</v>
      </c>
      <c r="K1078" s="67">
        <f ca="1">EFEITO!$L$1078*EFEITO!$Z$1078</f>
        <v>335793.97784024978</v>
      </c>
      <c r="L1078" s="67">
        <f>EFEITO!$N$1078*EFEITO!$AA$1078</f>
        <v>282954.21969404112</v>
      </c>
      <c r="M1078" s="67">
        <f>$J$1078-EFEITO!$K$1078*EFEITO!$Y$1078</f>
        <v>0</v>
      </c>
      <c r="N1078" s="67">
        <f ca="1">$K$1078-EFEITO!$M$1078*EFEITO!$Z$1078</f>
        <v>0</v>
      </c>
      <c r="O1078" s="67">
        <f>$L$1078-EFEITO!$O$1078*EFEITO!$AA$1078</f>
        <v>0</v>
      </c>
      <c r="P1078" s="18"/>
      <c r="Q1078" s="18"/>
      <c r="R1078" s="18"/>
      <c r="S1078" s="18"/>
      <c r="T1078" s="18"/>
      <c r="U1078" s="18"/>
      <c r="V1078" s="18"/>
      <c r="W1078" s="18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</row>
    <row r="1079" spans="1:36" ht="11.25" customHeight="1" x14ac:dyDescent="0.2">
      <c r="A1079" s="58" t="s">
        <v>28</v>
      </c>
      <c r="B1079" s="58" t="s">
        <v>37</v>
      </c>
      <c r="C1079" s="58" t="s">
        <v>23</v>
      </c>
      <c r="D1079" s="58" t="s">
        <v>45</v>
      </c>
      <c r="E1079" s="58" t="s">
        <v>25</v>
      </c>
      <c r="F1079" s="58" t="s">
        <v>25</v>
      </c>
      <c r="G1079" s="58" t="s">
        <v>25</v>
      </c>
      <c r="H1079" s="58" t="s">
        <v>25</v>
      </c>
      <c r="I1079" s="66">
        <v>44501</v>
      </c>
      <c r="J1079" s="67">
        <f>EFEITO!$J$1079*EFEITO!$Y$1079</f>
        <v>0</v>
      </c>
      <c r="K1079" s="67">
        <f ca="1">EFEITO!$L$1079*EFEITO!$Z$1079</f>
        <v>-207.85502248435893</v>
      </c>
      <c r="L1079" s="67">
        <f>EFEITO!$N$1079*EFEITO!$AA$1079</f>
        <v>-175.14744032881077</v>
      </c>
      <c r="M1079" s="67">
        <f>$J$1079-EFEITO!$K$1079*EFEITO!$Y$1079</f>
        <v>0</v>
      </c>
      <c r="N1079" s="67">
        <f ca="1">$K$1079-EFEITO!$M$1079*EFEITO!$Z$1079</f>
        <v>0</v>
      </c>
      <c r="O1079" s="67">
        <f>$L$1079-EFEITO!$O$1079*EFEITO!$AA$1079</f>
        <v>0</v>
      </c>
      <c r="P1079" s="18"/>
      <c r="Q1079" s="18"/>
      <c r="R1079" s="18"/>
      <c r="S1079" s="18"/>
      <c r="T1079" s="18"/>
      <c r="U1079" s="18"/>
      <c r="V1079" s="18"/>
      <c r="W1079" s="18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</row>
    <row r="1080" spans="1:36" ht="11.25" customHeight="1" x14ac:dyDescent="0.2">
      <c r="A1080" s="58" t="s">
        <v>21</v>
      </c>
      <c r="B1080" s="58" t="s">
        <v>37</v>
      </c>
      <c r="C1080" s="58" t="s">
        <v>23</v>
      </c>
      <c r="D1080" s="58" t="s">
        <v>45</v>
      </c>
      <c r="E1080" s="58" t="s">
        <v>25</v>
      </c>
      <c r="F1080" s="58" t="s">
        <v>25</v>
      </c>
      <c r="G1080" s="58" t="s">
        <v>25</v>
      </c>
      <c r="H1080" s="58" t="s">
        <v>25</v>
      </c>
      <c r="I1080" s="66">
        <v>44531</v>
      </c>
      <c r="J1080" s="67">
        <f>EFEITO!$J$1080*EFEITO!$Y$1080</f>
        <v>0</v>
      </c>
      <c r="K1080" s="67">
        <f ca="1">EFEITO!$L$1080*EFEITO!$Z$1080</f>
        <v>634803.60101043642</v>
      </c>
      <c r="L1080" s="67">
        <f>EFEITO!$N$1080*EFEITO!$AA$1080</f>
        <v>534912.38508252183</v>
      </c>
      <c r="M1080" s="67">
        <f>$J$1080-EFEITO!$K$1080*EFEITO!$Y$1080</f>
        <v>0</v>
      </c>
      <c r="N1080" s="67">
        <f ca="1">$K$1080-EFEITO!$M$1080*EFEITO!$Z$1080</f>
        <v>0</v>
      </c>
      <c r="O1080" s="67">
        <f>$L$1080-EFEITO!$O$1080*EFEITO!$AA$1080</f>
        <v>0</v>
      </c>
      <c r="P1080" s="18"/>
      <c r="Q1080" s="18"/>
      <c r="R1080" s="18"/>
      <c r="S1080" s="18"/>
      <c r="T1080" s="18"/>
      <c r="U1080" s="18"/>
      <c r="V1080" s="18"/>
      <c r="W1080" s="18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</row>
    <row r="1081" spans="1:36" ht="11.25" customHeight="1" x14ac:dyDescent="0.2">
      <c r="A1081" s="58" t="s">
        <v>27</v>
      </c>
      <c r="B1081" s="58" t="s">
        <v>37</v>
      </c>
      <c r="C1081" s="58" t="s">
        <v>23</v>
      </c>
      <c r="D1081" s="58" t="s">
        <v>45</v>
      </c>
      <c r="E1081" s="58" t="s">
        <v>25</v>
      </c>
      <c r="F1081" s="58" t="s">
        <v>25</v>
      </c>
      <c r="G1081" s="58" t="s">
        <v>25</v>
      </c>
      <c r="H1081" s="58" t="s">
        <v>25</v>
      </c>
      <c r="I1081" s="66">
        <v>44531</v>
      </c>
      <c r="J1081" s="67">
        <f>EFEITO!$J$1081*EFEITO!$Y$1081</f>
        <v>0</v>
      </c>
      <c r="K1081" s="67">
        <f ca="1">EFEITO!$L$1081*EFEITO!$Z$1081</f>
        <v>1479.3213500422321</v>
      </c>
      <c r="L1081" s="67">
        <f>EFEITO!$N$1081*EFEITO!$AA$1081</f>
        <v>1246.5387883670448</v>
      </c>
      <c r="M1081" s="67">
        <f>$J$1081-EFEITO!$K$1081*EFEITO!$Y$1081</f>
        <v>0</v>
      </c>
      <c r="N1081" s="67">
        <f ca="1">$K$1081-EFEITO!$M$1081*EFEITO!$Z$1081</f>
        <v>0</v>
      </c>
      <c r="O1081" s="67">
        <f>$L$1081-EFEITO!$O$1081*EFEITO!$AA$1081</f>
        <v>0</v>
      </c>
      <c r="P1081" s="18"/>
      <c r="Q1081" s="18"/>
      <c r="R1081" s="18"/>
      <c r="S1081" s="18"/>
      <c r="T1081" s="18"/>
      <c r="U1081" s="18"/>
      <c r="V1081" s="18"/>
      <c r="W1081" s="18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</row>
    <row r="1082" spans="1:36" ht="11.25" customHeight="1" x14ac:dyDescent="0.2">
      <c r="A1082" s="58" t="s">
        <v>28</v>
      </c>
      <c r="B1082" s="58" t="s">
        <v>37</v>
      </c>
      <c r="C1082" s="58" t="s">
        <v>23</v>
      </c>
      <c r="D1082" s="58" t="s">
        <v>45</v>
      </c>
      <c r="E1082" s="58" t="s">
        <v>25</v>
      </c>
      <c r="F1082" s="58" t="s">
        <v>25</v>
      </c>
      <c r="G1082" s="58" t="s">
        <v>25</v>
      </c>
      <c r="H1082" s="58" t="s">
        <v>25</v>
      </c>
      <c r="I1082" s="66">
        <v>44531</v>
      </c>
      <c r="J1082" s="67">
        <f>EFEITO!$J$1082*EFEITO!$Y$1082</f>
        <v>0</v>
      </c>
      <c r="K1082" s="67">
        <f ca="1">EFEITO!$L$1082*EFEITO!$Z$1082</f>
        <v>311598.21698874998</v>
      </c>
      <c r="L1082" s="67">
        <f>EFEITO!$N$1082*EFEITO!$AA$1082</f>
        <v>262565.8474079342</v>
      </c>
      <c r="M1082" s="67">
        <f>$J$1082-EFEITO!$K$1082*EFEITO!$Y$1082</f>
        <v>0</v>
      </c>
      <c r="N1082" s="67">
        <f ca="1">$K$1082-EFEITO!$M$1082*EFEITO!$Z$1082</f>
        <v>0</v>
      </c>
      <c r="O1082" s="67">
        <f>$L$1082-EFEITO!$O$1082*EFEITO!$AA$1082</f>
        <v>0</v>
      </c>
      <c r="P1082" s="18"/>
      <c r="Q1082" s="18"/>
      <c r="R1082" s="18"/>
      <c r="S1082" s="18"/>
      <c r="T1082" s="18"/>
      <c r="U1082" s="18"/>
      <c r="V1082" s="18"/>
      <c r="W1082" s="18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1:36" ht="11.25" customHeight="1" x14ac:dyDescent="0.2">
      <c r="A1083" s="58" t="s">
        <v>28</v>
      </c>
      <c r="B1083" s="58" t="s">
        <v>37</v>
      </c>
      <c r="C1083" s="58" t="s">
        <v>23</v>
      </c>
      <c r="D1083" s="58" t="s">
        <v>45</v>
      </c>
      <c r="E1083" s="58" t="s">
        <v>25</v>
      </c>
      <c r="F1083" s="58" t="s">
        <v>25</v>
      </c>
      <c r="G1083" s="58" t="s">
        <v>25</v>
      </c>
      <c r="H1083" s="58" t="s">
        <v>25</v>
      </c>
      <c r="I1083" s="66">
        <v>44531</v>
      </c>
      <c r="J1083" s="67">
        <f>EFEITO!$J$1083*EFEITO!$Y$1083</f>
        <v>0</v>
      </c>
      <c r="K1083" s="67">
        <f ca="1">EFEITO!$L$1083*EFEITO!$Z$1083</f>
        <v>-39.895397789704212</v>
      </c>
      <c r="L1083" s="67">
        <f>EFEITO!$N$1083*EFEITO!$AA$1083</f>
        <v>-33.617550926835086</v>
      </c>
      <c r="M1083" s="67">
        <f>$J$1083-EFEITO!$K$1083*EFEITO!$Y$1083</f>
        <v>0</v>
      </c>
      <c r="N1083" s="67">
        <f ca="1">$K$1083-EFEITO!$M$1083*EFEITO!$Z$1083</f>
        <v>0</v>
      </c>
      <c r="O1083" s="67">
        <f>$L$1083-EFEITO!$O$1083*EFEITO!$AA$1083</f>
        <v>0</v>
      </c>
      <c r="P1083" s="18"/>
      <c r="Q1083" s="18"/>
      <c r="R1083" s="18"/>
      <c r="S1083" s="18"/>
      <c r="T1083" s="18"/>
      <c r="U1083" s="18"/>
      <c r="V1083" s="18"/>
      <c r="W1083" s="18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</row>
    <row r="1084" spans="1:36" ht="11.25" customHeight="1" x14ac:dyDescent="0.2">
      <c r="A1084" s="58" t="s">
        <v>21</v>
      </c>
      <c r="B1084" s="58" t="s">
        <v>37</v>
      </c>
      <c r="C1084" s="58" t="s">
        <v>23</v>
      </c>
      <c r="D1084" s="58" t="s">
        <v>45</v>
      </c>
      <c r="E1084" s="58" t="s">
        <v>25</v>
      </c>
      <c r="F1084" s="58" t="s">
        <v>25</v>
      </c>
      <c r="G1084" s="58" t="s">
        <v>25</v>
      </c>
      <c r="H1084" s="58" t="s">
        <v>25</v>
      </c>
      <c r="I1084" s="66">
        <v>44562</v>
      </c>
      <c r="J1084" s="67">
        <f>EFEITO!$J$1084*EFEITO!$Y$1084</f>
        <v>0</v>
      </c>
      <c r="K1084" s="67">
        <f ca="1">EFEITO!$L$1084*EFEITO!$Z$1084</f>
        <v>560419.82869346661</v>
      </c>
      <c r="L1084" s="67">
        <f>EFEITO!$N$1084*EFEITO!$AA$1084</f>
        <v>472233.46990596555</v>
      </c>
      <c r="M1084" s="67">
        <f>$J$1084-EFEITO!$K$1084*EFEITO!$Y$1084</f>
        <v>0</v>
      </c>
      <c r="N1084" s="67">
        <f ca="1">$K$1084-EFEITO!$M$1084*EFEITO!$Z$1084</f>
        <v>0</v>
      </c>
      <c r="O1084" s="67">
        <f>$L$1084-EFEITO!$O$1084*EFEITO!$AA$1084</f>
        <v>0</v>
      </c>
      <c r="P1084" s="18"/>
      <c r="Q1084" s="18"/>
      <c r="R1084" s="18"/>
      <c r="S1084" s="18"/>
      <c r="T1084" s="18"/>
      <c r="U1084" s="18"/>
      <c r="V1084" s="18"/>
      <c r="W1084" s="18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</row>
    <row r="1085" spans="1:36" ht="11.25" customHeight="1" x14ac:dyDescent="0.2">
      <c r="A1085" s="58" t="s">
        <v>27</v>
      </c>
      <c r="B1085" s="58" t="s">
        <v>37</v>
      </c>
      <c r="C1085" s="58" t="s">
        <v>23</v>
      </c>
      <c r="D1085" s="58" t="s">
        <v>45</v>
      </c>
      <c r="E1085" s="58" t="s">
        <v>25</v>
      </c>
      <c r="F1085" s="58" t="s">
        <v>25</v>
      </c>
      <c r="G1085" s="58" t="s">
        <v>25</v>
      </c>
      <c r="H1085" s="58" t="s">
        <v>25</v>
      </c>
      <c r="I1085" s="66">
        <v>44562</v>
      </c>
      <c r="J1085" s="67">
        <f>EFEITO!$J$1085*EFEITO!$Y$1085</f>
        <v>0</v>
      </c>
      <c r="K1085" s="67">
        <f ca="1">EFEITO!$L$1085*EFEITO!$Z$1085</f>
        <v>2173.5012715830853</v>
      </c>
      <c r="L1085" s="67">
        <f>EFEITO!$N$1085*EFEITO!$AA$1085</f>
        <v>1831.4841744939754</v>
      </c>
      <c r="M1085" s="67">
        <f>$J$1085-EFEITO!$K$1085*EFEITO!$Y$1085</f>
        <v>0</v>
      </c>
      <c r="N1085" s="67">
        <f ca="1">$K$1085-EFEITO!$M$1085*EFEITO!$Z$1085</f>
        <v>0</v>
      </c>
      <c r="O1085" s="67">
        <f>$L$1085-EFEITO!$O$1085*EFEITO!$AA$1085</f>
        <v>0</v>
      </c>
      <c r="P1085" s="18"/>
      <c r="Q1085" s="18"/>
      <c r="R1085" s="18"/>
      <c r="S1085" s="18"/>
      <c r="T1085" s="18"/>
      <c r="U1085" s="18"/>
      <c r="V1085" s="18"/>
      <c r="W1085" s="18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</row>
    <row r="1086" spans="1:36" ht="11.25" customHeight="1" x14ac:dyDescent="0.2">
      <c r="A1086" s="58" t="s">
        <v>28</v>
      </c>
      <c r="B1086" s="58" t="s">
        <v>37</v>
      </c>
      <c r="C1086" s="58" t="s">
        <v>23</v>
      </c>
      <c r="D1086" s="58" t="s">
        <v>45</v>
      </c>
      <c r="E1086" s="58" t="s">
        <v>25</v>
      </c>
      <c r="F1086" s="58" t="s">
        <v>25</v>
      </c>
      <c r="G1086" s="58" t="s">
        <v>25</v>
      </c>
      <c r="H1086" s="58" t="s">
        <v>25</v>
      </c>
      <c r="I1086" s="66">
        <v>44562</v>
      </c>
      <c r="J1086" s="67">
        <f>EFEITO!$J$1086*EFEITO!$Y$1086</f>
        <v>0</v>
      </c>
      <c r="K1086" s="67">
        <f ca="1">EFEITO!$L$1086*EFEITO!$Z$1086</f>
        <v>232525.13961557831</v>
      </c>
      <c r="L1086" s="67">
        <f>EFEITO!$N$1086*EFEITO!$AA$1086</f>
        <v>195935.52529543778</v>
      </c>
      <c r="M1086" s="67">
        <f>$J$1086-EFEITO!$K$1086*EFEITO!$Y$1086</f>
        <v>0</v>
      </c>
      <c r="N1086" s="67">
        <f ca="1">$K$1086-EFEITO!$M$1086*EFEITO!$Z$1086</f>
        <v>0</v>
      </c>
      <c r="O1086" s="67">
        <f>$L$1086-EFEITO!$O$1086*EFEITO!$AA$1086</f>
        <v>0</v>
      </c>
      <c r="P1086" s="18"/>
      <c r="Q1086" s="18"/>
      <c r="R1086" s="18"/>
      <c r="S1086" s="18"/>
      <c r="T1086" s="18"/>
      <c r="U1086" s="18"/>
      <c r="V1086" s="18"/>
      <c r="W1086" s="18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</row>
    <row r="1087" spans="1:36" ht="11.25" customHeight="1" x14ac:dyDescent="0.2">
      <c r="A1087" s="58" t="s">
        <v>21</v>
      </c>
      <c r="B1087" s="58" t="s">
        <v>37</v>
      </c>
      <c r="C1087" s="58" t="s">
        <v>23</v>
      </c>
      <c r="D1087" s="58" t="s">
        <v>45</v>
      </c>
      <c r="E1087" s="58" t="s">
        <v>25</v>
      </c>
      <c r="F1087" s="58" t="s">
        <v>25</v>
      </c>
      <c r="G1087" s="58" t="s">
        <v>25</v>
      </c>
      <c r="H1087" s="58" t="s">
        <v>25</v>
      </c>
      <c r="I1087" s="66">
        <v>44593</v>
      </c>
      <c r="J1087" s="67">
        <f>EFEITO!$J$1087*EFEITO!$Y$1087</f>
        <v>0</v>
      </c>
      <c r="K1087" s="67">
        <f ca="1">EFEITO!$L$1087*EFEITO!$Z$1087</f>
        <v>607757.71294084017</v>
      </c>
      <c r="L1087" s="67">
        <f>EFEITO!$N$1087*EFEITO!$AA$1087</f>
        <v>512122.37495820172</v>
      </c>
      <c r="M1087" s="67">
        <f>$J$1087-EFEITO!$K$1087*EFEITO!$Y$1087</f>
        <v>0</v>
      </c>
      <c r="N1087" s="67">
        <f ca="1">$K$1087-EFEITO!$M$1087*EFEITO!$Z$1087</f>
        <v>0</v>
      </c>
      <c r="O1087" s="67">
        <f>$L$1087-EFEITO!$O$1087*EFEITO!$AA$1087</f>
        <v>0</v>
      </c>
      <c r="P1087" s="18"/>
      <c r="Q1087" s="18"/>
      <c r="R1087" s="18"/>
      <c r="S1087" s="18"/>
      <c r="T1087" s="18"/>
      <c r="U1087" s="18"/>
      <c r="V1087" s="18"/>
      <c r="W1087" s="18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</row>
    <row r="1088" spans="1:36" ht="11.25" customHeight="1" x14ac:dyDescent="0.2">
      <c r="A1088" s="58" t="s">
        <v>27</v>
      </c>
      <c r="B1088" s="58" t="s">
        <v>37</v>
      </c>
      <c r="C1088" s="58" t="s">
        <v>23</v>
      </c>
      <c r="D1088" s="58" t="s">
        <v>45</v>
      </c>
      <c r="E1088" s="58" t="s">
        <v>25</v>
      </c>
      <c r="F1088" s="58" t="s">
        <v>25</v>
      </c>
      <c r="G1088" s="58" t="s">
        <v>25</v>
      </c>
      <c r="H1088" s="58" t="s">
        <v>25</v>
      </c>
      <c r="I1088" s="66">
        <v>44593</v>
      </c>
      <c r="J1088" s="67">
        <f>EFEITO!$J$1088*EFEITO!$Y$1088</f>
        <v>0</v>
      </c>
      <c r="K1088" s="67">
        <f ca="1">EFEITO!$L$1088*EFEITO!$Z$1088</f>
        <v>-116.09560756803924</v>
      </c>
      <c r="L1088" s="67">
        <f>EFEITO!$N$1088*EFEITO!$AA$1088</f>
        <v>-97.827073197090087</v>
      </c>
      <c r="M1088" s="67">
        <f>$J$1088-EFEITO!$K$1088*EFEITO!$Y$1088</f>
        <v>0</v>
      </c>
      <c r="N1088" s="67">
        <f ca="1">$K$1088-EFEITO!$M$1088*EFEITO!$Z$1088</f>
        <v>0</v>
      </c>
      <c r="O1088" s="67">
        <f>$L$1088-EFEITO!$O$1088*EFEITO!$AA$1088</f>
        <v>0</v>
      </c>
      <c r="P1088" s="18"/>
      <c r="Q1088" s="18"/>
      <c r="R1088" s="18"/>
      <c r="S1088" s="18"/>
      <c r="T1088" s="18"/>
      <c r="U1088" s="18"/>
      <c r="V1088" s="18"/>
      <c r="W1088" s="18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1:36" ht="11.25" customHeight="1" x14ac:dyDescent="0.2">
      <c r="A1089" s="58" t="s">
        <v>28</v>
      </c>
      <c r="B1089" s="58" t="s">
        <v>37</v>
      </c>
      <c r="C1089" s="58" t="s">
        <v>23</v>
      </c>
      <c r="D1089" s="58" t="s">
        <v>45</v>
      </c>
      <c r="E1089" s="58" t="s">
        <v>25</v>
      </c>
      <c r="F1089" s="58" t="s">
        <v>25</v>
      </c>
      <c r="G1089" s="58" t="s">
        <v>25</v>
      </c>
      <c r="H1089" s="58" t="s">
        <v>25</v>
      </c>
      <c r="I1089" s="66">
        <v>44593</v>
      </c>
      <c r="J1089" s="67">
        <f>EFEITO!$J$1089*EFEITO!$Y$1089</f>
        <v>0</v>
      </c>
      <c r="K1089" s="67">
        <f ca="1">EFEITO!$L$1089*EFEITO!$Z$1089</f>
        <v>294700.52125492075</v>
      </c>
      <c r="L1089" s="67">
        <f>EFEITO!$N$1089*EFEITO!$AA$1089</f>
        <v>248327.13371287318</v>
      </c>
      <c r="M1089" s="67">
        <f>$J$1089-EFEITO!$K$1089*EFEITO!$Y$1089</f>
        <v>0</v>
      </c>
      <c r="N1089" s="67">
        <f ca="1">$K$1089-EFEITO!$M$1089*EFEITO!$Z$1089</f>
        <v>0</v>
      </c>
      <c r="O1089" s="67">
        <f>$L$1089-EFEITO!$O$1089*EFEITO!$AA$1089</f>
        <v>0</v>
      </c>
      <c r="P1089" s="18"/>
      <c r="Q1089" s="18"/>
      <c r="R1089" s="18"/>
      <c r="S1089" s="18"/>
      <c r="T1089" s="18"/>
      <c r="U1089" s="18"/>
      <c r="V1089" s="18"/>
      <c r="W1089" s="18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</row>
    <row r="1090" spans="1:36" ht="11.25" customHeight="1" x14ac:dyDescent="0.2">
      <c r="A1090" s="58" t="s">
        <v>21</v>
      </c>
      <c r="B1090" s="58" t="s">
        <v>37</v>
      </c>
      <c r="C1090" s="58" t="s">
        <v>23</v>
      </c>
      <c r="D1090" s="58" t="s">
        <v>45</v>
      </c>
      <c r="E1090" s="58" t="s">
        <v>25</v>
      </c>
      <c r="F1090" s="58" t="s">
        <v>25</v>
      </c>
      <c r="G1090" s="58" t="s">
        <v>25</v>
      </c>
      <c r="H1090" s="58" t="s">
        <v>25</v>
      </c>
      <c r="I1090" s="66">
        <v>44621</v>
      </c>
      <c r="J1090" s="67">
        <f>EFEITO!$J$1090*EFEITO!$Y$1090</f>
        <v>0</v>
      </c>
      <c r="K1090" s="67">
        <f ca="1">EFEITO!$L$1090*EFEITO!$Z$1090</f>
        <v>673456.25715899142</v>
      </c>
      <c r="L1090" s="67">
        <f>EFEITO!$N$1090*EFEITO!$AA$1090</f>
        <v>567482.74929798592</v>
      </c>
      <c r="M1090" s="67">
        <f>$J$1090-EFEITO!$K$1090*EFEITO!$Y$1090</f>
        <v>0</v>
      </c>
      <c r="N1090" s="67">
        <f ca="1">$K$1090-EFEITO!$M$1090*EFEITO!$Z$1090</f>
        <v>0</v>
      </c>
      <c r="O1090" s="67">
        <f>$L$1090-EFEITO!$O$1090*EFEITO!$AA$1090</f>
        <v>0</v>
      </c>
      <c r="P1090" s="18"/>
      <c r="Q1090" s="18"/>
      <c r="R1090" s="18"/>
      <c r="S1090" s="18"/>
      <c r="T1090" s="18"/>
      <c r="U1090" s="18"/>
      <c r="V1090" s="18"/>
      <c r="W1090" s="18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</row>
    <row r="1091" spans="1:36" ht="11.25" customHeight="1" x14ac:dyDescent="0.2">
      <c r="A1091" s="58" t="s">
        <v>28</v>
      </c>
      <c r="B1091" s="58" t="s">
        <v>37</v>
      </c>
      <c r="C1091" s="58" t="s">
        <v>23</v>
      </c>
      <c r="D1091" s="58" t="s">
        <v>45</v>
      </c>
      <c r="E1091" s="58" t="s">
        <v>25</v>
      </c>
      <c r="F1091" s="58" t="s">
        <v>25</v>
      </c>
      <c r="G1091" s="58" t="s">
        <v>25</v>
      </c>
      <c r="H1091" s="58" t="s">
        <v>25</v>
      </c>
      <c r="I1091" s="66">
        <v>44621</v>
      </c>
      <c r="J1091" s="67">
        <f>EFEITO!$J$1091*EFEITO!$Y$1091</f>
        <v>0</v>
      </c>
      <c r="K1091" s="67">
        <f ca="1">EFEITO!$L$1091*EFEITO!$Z$1091</f>
        <v>310430.07974146743</v>
      </c>
      <c r="L1091" s="67">
        <f>EFEITO!$N$1091*EFEITO!$AA$1091</f>
        <v>261581.52551679645</v>
      </c>
      <c r="M1091" s="67">
        <f>$J$1091-EFEITO!$K$1091*EFEITO!$Y$1091</f>
        <v>0</v>
      </c>
      <c r="N1091" s="67">
        <f ca="1">$K$1091-EFEITO!$M$1091*EFEITO!$Z$1091</f>
        <v>0</v>
      </c>
      <c r="O1091" s="67">
        <f>$L$1091-EFEITO!$O$1091*EFEITO!$AA$1091</f>
        <v>0</v>
      </c>
      <c r="P1091" s="18"/>
      <c r="Q1091" s="18"/>
      <c r="R1091" s="18"/>
      <c r="S1091" s="18"/>
      <c r="T1091" s="18"/>
      <c r="U1091" s="18"/>
      <c r="V1091" s="18"/>
      <c r="W1091" s="18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</row>
    <row r="1092" spans="1:36" ht="11.25" customHeight="1" x14ac:dyDescent="0.2">
      <c r="A1092" s="58" t="s">
        <v>21</v>
      </c>
      <c r="B1092" s="58" t="s">
        <v>37</v>
      </c>
      <c r="C1092" s="58" t="s">
        <v>23</v>
      </c>
      <c r="D1092" s="58" t="s">
        <v>45</v>
      </c>
      <c r="E1092" s="58" t="s">
        <v>25</v>
      </c>
      <c r="F1092" s="58" t="s">
        <v>25</v>
      </c>
      <c r="G1092" s="58" t="s">
        <v>25</v>
      </c>
      <c r="H1092" s="58" t="s">
        <v>25</v>
      </c>
      <c r="I1092" s="66">
        <v>44652</v>
      </c>
      <c r="J1092" s="67">
        <f>EFEITO!$J$1092*EFEITO!$Y$1092</f>
        <v>0</v>
      </c>
      <c r="K1092" s="67">
        <f ca="1">EFEITO!$L$1092*EFEITO!$Z$1092</f>
        <v>673456.25715899142</v>
      </c>
      <c r="L1092" s="67">
        <f>EFEITO!$N$1092*EFEITO!$AA$1092</f>
        <v>567482.74929798592</v>
      </c>
      <c r="M1092" s="67">
        <f>$J$1092-EFEITO!$K$1092*EFEITO!$Y$1092</f>
        <v>0</v>
      </c>
      <c r="N1092" s="67">
        <f ca="1">$K$1092-EFEITO!$M$1092*EFEITO!$Z$1092</f>
        <v>0</v>
      </c>
      <c r="O1092" s="67">
        <f>$L$1092-EFEITO!$O$1092*EFEITO!$AA$1092</f>
        <v>0</v>
      </c>
      <c r="P1092" s="18"/>
      <c r="Q1092" s="18"/>
      <c r="R1092" s="18"/>
      <c r="S1092" s="18"/>
      <c r="T1092" s="18"/>
      <c r="U1092" s="18"/>
      <c r="V1092" s="18"/>
      <c r="W1092" s="18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</row>
    <row r="1093" spans="1:36" ht="11.25" customHeight="1" x14ac:dyDescent="0.2">
      <c r="A1093" s="58" t="s">
        <v>28</v>
      </c>
      <c r="B1093" s="58" t="s">
        <v>37</v>
      </c>
      <c r="C1093" s="58" t="s">
        <v>23</v>
      </c>
      <c r="D1093" s="58" t="s">
        <v>45</v>
      </c>
      <c r="E1093" s="58" t="s">
        <v>25</v>
      </c>
      <c r="F1093" s="58" t="s">
        <v>25</v>
      </c>
      <c r="G1093" s="58" t="s">
        <v>25</v>
      </c>
      <c r="H1093" s="58" t="s">
        <v>25</v>
      </c>
      <c r="I1093" s="66">
        <v>44652</v>
      </c>
      <c r="J1093" s="67">
        <f>EFEITO!$J$1093*EFEITO!$Y$1093</f>
        <v>0</v>
      </c>
      <c r="K1093" s="67">
        <f ca="1">EFEITO!$L$1093*EFEITO!$Z$1093</f>
        <v>310430.07974146743</v>
      </c>
      <c r="L1093" s="67">
        <f>EFEITO!$N$1093*EFEITO!$AA$1093</f>
        <v>261581.52551679645</v>
      </c>
      <c r="M1093" s="67">
        <f>$J$1093-EFEITO!$K$1093*EFEITO!$Y$1093</f>
        <v>0</v>
      </c>
      <c r="N1093" s="67">
        <f ca="1">$K$1093-EFEITO!$M$1093*EFEITO!$Z$1093</f>
        <v>0</v>
      </c>
      <c r="O1093" s="67">
        <f>$L$1093-EFEITO!$O$1093*EFEITO!$AA$1093</f>
        <v>0</v>
      </c>
      <c r="P1093" s="18"/>
      <c r="Q1093" s="18"/>
      <c r="R1093" s="18"/>
      <c r="S1093" s="18"/>
      <c r="T1093" s="18"/>
      <c r="U1093" s="18"/>
      <c r="V1093" s="18"/>
      <c r="W1093" s="18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</row>
    <row r="1094" spans="1:36" ht="11.25" customHeight="1" x14ac:dyDescent="0.2">
      <c r="A1094" s="58" t="s">
        <v>21</v>
      </c>
      <c r="B1094" s="58" t="s">
        <v>37</v>
      </c>
      <c r="C1094" s="58" t="s">
        <v>23</v>
      </c>
      <c r="D1094" s="58" t="s">
        <v>45</v>
      </c>
      <c r="E1094" s="58" t="s">
        <v>25</v>
      </c>
      <c r="F1094" s="58" t="s">
        <v>25</v>
      </c>
      <c r="G1094" s="58" t="s">
        <v>25</v>
      </c>
      <c r="H1094" s="58" t="s">
        <v>25</v>
      </c>
      <c r="I1094" s="66">
        <v>44682</v>
      </c>
      <c r="J1094" s="67">
        <f>EFEITO!$J$1094*EFEITO!$Y$1094</f>
        <v>0</v>
      </c>
      <c r="K1094" s="67">
        <f ca="1">EFEITO!$L$1094*EFEITO!$Z$1094</f>
        <v>642432.00002180575</v>
      </c>
      <c r="L1094" s="67">
        <f>EFEITO!$N$1094*EFEITO!$AA$1094</f>
        <v>541340.39699524187</v>
      </c>
      <c r="M1094" s="67">
        <f>$J$1094-EFEITO!$K$1094*EFEITO!$Y$1094</f>
        <v>0</v>
      </c>
      <c r="N1094" s="67">
        <f ca="1">$K$1094-EFEITO!$M$1094*EFEITO!$Z$1094</f>
        <v>0</v>
      </c>
      <c r="O1094" s="67">
        <f>$L$1094-EFEITO!$O$1094*EFEITO!$AA$1094</f>
        <v>0</v>
      </c>
      <c r="P1094" s="18"/>
      <c r="Q1094" s="18"/>
      <c r="R1094" s="18"/>
      <c r="S1094" s="18"/>
      <c r="T1094" s="18"/>
      <c r="U1094" s="18"/>
      <c r="V1094" s="18"/>
      <c r="W1094" s="18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1:36" ht="11.25" customHeight="1" x14ac:dyDescent="0.2">
      <c r="A1095" s="58" t="s">
        <v>27</v>
      </c>
      <c r="B1095" s="58" t="s">
        <v>37</v>
      </c>
      <c r="C1095" s="58" t="s">
        <v>23</v>
      </c>
      <c r="D1095" s="58" t="s">
        <v>45</v>
      </c>
      <c r="E1095" s="58" t="s">
        <v>25</v>
      </c>
      <c r="F1095" s="58" t="s">
        <v>25</v>
      </c>
      <c r="G1095" s="58" t="s">
        <v>25</v>
      </c>
      <c r="H1095" s="58" t="s">
        <v>25</v>
      </c>
      <c r="I1095" s="66">
        <v>44682</v>
      </c>
      <c r="J1095" s="67">
        <f>EFEITO!$J$1095*EFEITO!$Y$1095</f>
        <v>0</v>
      </c>
      <c r="K1095" s="67">
        <f ca="1">EFEITO!$L$1095*EFEITO!$Z$1095</f>
        <v>79.790795579408424</v>
      </c>
      <c r="L1095" s="67">
        <f>EFEITO!$N$1095*EFEITO!$AA$1095</f>
        <v>67.235101853670173</v>
      </c>
      <c r="M1095" s="67">
        <f>$J$1095-EFEITO!$K$1095*EFEITO!$Y$1095</f>
        <v>0</v>
      </c>
      <c r="N1095" s="67">
        <f ca="1">$K$1095-EFEITO!$M$1095*EFEITO!$Z$1095</f>
        <v>0</v>
      </c>
      <c r="O1095" s="67">
        <f>$L$1095-EFEITO!$O$1095*EFEITO!$AA$1095</f>
        <v>0</v>
      </c>
      <c r="P1095" s="18"/>
      <c r="Q1095" s="18"/>
      <c r="R1095" s="18"/>
      <c r="S1095" s="18"/>
      <c r="T1095" s="18"/>
      <c r="U1095" s="18"/>
      <c r="V1095" s="18"/>
      <c r="W1095" s="18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</row>
    <row r="1096" spans="1:36" ht="11.25" customHeight="1" x14ac:dyDescent="0.2">
      <c r="A1096" s="58" t="s">
        <v>28</v>
      </c>
      <c r="B1096" s="58" t="s">
        <v>37</v>
      </c>
      <c r="C1096" s="58" t="s">
        <v>23</v>
      </c>
      <c r="D1096" s="58" t="s">
        <v>45</v>
      </c>
      <c r="E1096" s="58" t="s">
        <v>25</v>
      </c>
      <c r="F1096" s="58" t="s">
        <v>25</v>
      </c>
      <c r="G1096" s="58" t="s">
        <v>25</v>
      </c>
      <c r="H1096" s="58" t="s">
        <v>25</v>
      </c>
      <c r="I1096" s="66">
        <v>44682</v>
      </c>
      <c r="J1096" s="67">
        <f>EFEITO!$J$1096*EFEITO!$Y$1096</f>
        <v>0</v>
      </c>
      <c r="K1096" s="67">
        <f ca="1">EFEITO!$L$1096*EFEITO!$Z$1096</f>
        <v>1157813.9141504753</v>
      </c>
      <c r="L1096" s="67">
        <f>EFEITO!$N$1096*EFEITO!$AA$1096</f>
        <v>975623.01365990331</v>
      </c>
      <c r="M1096" s="67">
        <f>$J$1096-EFEITO!$K$1096*EFEITO!$Y$1096</f>
        <v>0</v>
      </c>
      <c r="N1096" s="67">
        <f ca="1">$K$1096-EFEITO!$M$1096*EFEITO!$Z$1096</f>
        <v>0</v>
      </c>
      <c r="O1096" s="67">
        <f>$L$1096-EFEITO!$O$1096*EFEITO!$AA$1096</f>
        <v>0</v>
      </c>
      <c r="P1096" s="18"/>
      <c r="Q1096" s="18"/>
      <c r="R1096" s="18"/>
      <c r="S1096" s="18"/>
      <c r="T1096" s="18"/>
      <c r="U1096" s="18"/>
      <c r="V1096" s="18"/>
      <c r="W1096" s="18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</row>
    <row r="1097" spans="1:36" ht="11.25" customHeight="1" x14ac:dyDescent="0.2">
      <c r="A1097" s="58" t="s">
        <v>21</v>
      </c>
      <c r="B1097" s="58" t="s">
        <v>37</v>
      </c>
      <c r="C1097" s="58" t="s">
        <v>23</v>
      </c>
      <c r="D1097" s="58" t="s">
        <v>45</v>
      </c>
      <c r="E1097" s="58" t="s">
        <v>25</v>
      </c>
      <c r="F1097" s="58" t="s">
        <v>25</v>
      </c>
      <c r="G1097" s="58" t="s">
        <v>25</v>
      </c>
      <c r="H1097" s="58" t="s">
        <v>25</v>
      </c>
      <c r="I1097" s="66">
        <v>44713</v>
      </c>
      <c r="J1097" s="67">
        <f>EFEITO!$J$1097*EFEITO!$Y$1097</f>
        <v>0</v>
      </c>
      <c r="K1097" s="67">
        <f ca="1">EFEITO!$L$1097*EFEITO!$Z$1097</f>
        <v>629617.99720573076</v>
      </c>
      <c r="L1097" s="67">
        <f>EFEITO!$N$1097*EFEITO!$AA$1097</f>
        <v>530542.77581305173</v>
      </c>
      <c r="M1097" s="67">
        <f>$J$1097-EFEITO!$K$1097*EFEITO!$Y$1097</f>
        <v>0</v>
      </c>
      <c r="N1097" s="67">
        <f ca="1">$K$1097-EFEITO!$M$1097*EFEITO!$Z$1097</f>
        <v>0</v>
      </c>
      <c r="O1097" s="67">
        <f>$L$1097-EFEITO!$O$1097*EFEITO!$AA$1097</f>
        <v>0</v>
      </c>
      <c r="P1097" s="18"/>
      <c r="Q1097" s="18"/>
      <c r="R1097" s="18"/>
      <c r="S1097" s="18"/>
      <c r="T1097" s="18"/>
      <c r="U1097" s="18"/>
      <c r="V1097" s="18"/>
      <c r="W1097" s="18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</row>
    <row r="1098" spans="1:36" ht="11.25" customHeight="1" x14ac:dyDescent="0.2">
      <c r="A1098" s="58" t="s">
        <v>27</v>
      </c>
      <c r="B1098" s="58" t="s">
        <v>37</v>
      </c>
      <c r="C1098" s="58" t="s">
        <v>23</v>
      </c>
      <c r="D1098" s="58" t="s">
        <v>45</v>
      </c>
      <c r="E1098" s="58" t="s">
        <v>25</v>
      </c>
      <c r="F1098" s="58" t="s">
        <v>25</v>
      </c>
      <c r="G1098" s="58" t="s">
        <v>25</v>
      </c>
      <c r="H1098" s="58" t="s">
        <v>25</v>
      </c>
      <c r="I1098" s="66">
        <v>44713</v>
      </c>
      <c r="J1098" s="67">
        <f>EFEITO!$J$1098*EFEITO!$Y$1098</f>
        <v>0</v>
      </c>
      <c r="K1098" s="67">
        <f ca="1">EFEITO!$L$1098*EFEITO!$Z$1098</f>
        <v>-2479.1000186522197</v>
      </c>
      <c r="L1098" s="67">
        <f>EFEITO!$N$1098*EFEITO!$AA$1098</f>
        <v>-2088.9946145935323</v>
      </c>
      <c r="M1098" s="67">
        <f>$J$1098-EFEITO!$K$1098*EFEITO!$Y$1098</f>
        <v>0</v>
      </c>
      <c r="N1098" s="67">
        <f ca="1">$K$1098-EFEITO!$M$1098*EFEITO!$Z$1098</f>
        <v>0</v>
      </c>
      <c r="O1098" s="67">
        <f>$L$1098-EFEITO!$O$1098*EFEITO!$AA$1098</f>
        <v>0</v>
      </c>
      <c r="P1098" s="18"/>
      <c r="Q1098" s="18"/>
      <c r="R1098" s="18"/>
      <c r="S1098" s="18"/>
      <c r="T1098" s="18"/>
      <c r="U1098" s="18"/>
      <c r="V1098" s="18"/>
      <c r="W1098" s="18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</row>
    <row r="1099" spans="1:36" ht="11.25" customHeight="1" x14ac:dyDescent="0.2">
      <c r="A1099" s="58" t="s">
        <v>28</v>
      </c>
      <c r="B1099" s="58" t="s">
        <v>37</v>
      </c>
      <c r="C1099" s="58" t="s">
        <v>23</v>
      </c>
      <c r="D1099" s="58" t="s">
        <v>45</v>
      </c>
      <c r="E1099" s="58" t="s">
        <v>25</v>
      </c>
      <c r="F1099" s="58" t="s">
        <v>25</v>
      </c>
      <c r="G1099" s="58" t="s">
        <v>25</v>
      </c>
      <c r="H1099" s="58" t="s">
        <v>25</v>
      </c>
      <c r="I1099" s="66">
        <v>44713</v>
      </c>
      <c r="J1099" s="67">
        <f>EFEITO!$J$1099*EFEITO!$Y$1099</f>
        <v>0</v>
      </c>
      <c r="K1099" s="67">
        <f ca="1">EFEITO!$L$1099*EFEITO!$Z$1099</f>
        <v>287453.12329244311</v>
      </c>
      <c r="L1099" s="67">
        <f>EFEITO!$N$1099*EFEITO!$AA$1099</f>
        <v>242220.16941150435</v>
      </c>
      <c r="M1099" s="67">
        <f>$J$1099-EFEITO!$K$1099*EFEITO!$Y$1099</f>
        <v>0</v>
      </c>
      <c r="N1099" s="67">
        <f ca="1">$K$1099-EFEITO!$M$1099*EFEITO!$Z$1099</f>
        <v>0</v>
      </c>
      <c r="O1099" s="67">
        <f>$L$1099-EFEITO!$O$1099*EFEITO!$AA$1099</f>
        <v>0</v>
      </c>
      <c r="P1099" s="18"/>
      <c r="Q1099" s="18"/>
      <c r="R1099" s="18"/>
      <c r="S1099" s="18"/>
      <c r="T1099" s="18"/>
      <c r="U1099" s="18"/>
      <c r="V1099" s="18"/>
      <c r="W1099" s="18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</row>
    <row r="1100" spans="1:36" ht="11.25" customHeight="1" x14ac:dyDescent="0.2">
      <c r="A1100" s="58" t="s">
        <v>21</v>
      </c>
      <c r="B1100" s="58" t="s">
        <v>37</v>
      </c>
      <c r="C1100" s="58" t="s">
        <v>23</v>
      </c>
      <c r="D1100" s="58" t="s">
        <v>45</v>
      </c>
      <c r="E1100" s="58" t="s">
        <v>25</v>
      </c>
      <c r="F1100" s="58" t="s">
        <v>25</v>
      </c>
      <c r="G1100" s="58" t="s">
        <v>25</v>
      </c>
      <c r="H1100" s="58" t="s">
        <v>25</v>
      </c>
      <c r="I1100" s="66">
        <v>44743</v>
      </c>
      <c r="J1100" s="67">
        <f>EFEITO!$J$1100*EFEITO!$Y$1100</f>
        <v>0</v>
      </c>
      <c r="K1100" s="67">
        <f ca="1">EFEITO!$L$1100*EFEITO!$Z$1100</f>
        <v>597579.20010275289</v>
      </c>
      <c r="L1100" s="67">
        <f>EFEITO!$N$1100*EFEITO!$AA$1100</f>
        <v>503545.52919023833</v>
      </c>
      <c r="M1100" s="67">
        <f>$J$1100-EFEITO!$K$1100*EFEITO!$Y$1100</f>
        <v>0</v>
      </c>
      <c r="N1100" s="67">
        <f ca="1">$K$1100-EFEITO!$M$1100*EFEITO!$Z$1100</f>
        <v>0</v>
      </c>
      <c r="O1100" s="67">
        <f>$L$1100-EFEITO!$O$1100*EFEITO!$AA$1100</f>
        <v>0</v>
      </c>
      <c r="P1100" s="18"/>
      <c r="Q1100" s="18"/>
      <c r="R1100" s="18"/>
      <c r="S1100" s="18"/>
      <c r="T1100" s="18"/>
      <c r="U1100" s="18"/>
      <c r="V1100" s="18"/>
      <c r="W1100" s="18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1:36" ht="11.25" customHeight="1" x14ac:dyDescent="0.2">
      <c r="A1101" s="58" t="s">
        <v>27</v>
      </c>
      <c r="B1101" s="58" t="s">
        <v>37</v>
      </c>
      <c r="C1101" s="58" t="s">
        <v>23</v>
      </c>
      <c r="D1101" s="58" t="s">
        <v>45</v>
      </c>
      <c r="E1101" s="58" t="s">
        <v>25</v>
      </c>
      <c r="F1101" s="58" t="s">
        <v>25</v>
      </c>
      <c r="G1101" s="58" t="s">
        <v>25</v>
      </c>
      <c r="H1101" s="58" t="s">
        <v>25</v>
      </c>
      <c r="I1101" s="66">
        <v>44743</v>
      </c>
      <c r="J1101" s="67">
        <f>EFEITO!$J$1101*EFEITO!$Y$1101</f>
        <v>0</v>
      </c>
      <c r="K1101" s="67">
        <f ca="1">EFEITO!$L$1101*EFEITO!$Z$1101</f>
        <v>-414.11422905712971</v>
      </c>
      <c r="L1101" s="67">
        <f>EFEITO!$N$1101*EFEITO!$AA$1101</f>
        <v>-348.95017862054817</v>
      </c>
      <c r="M1101" s="67">
        <f>$J$1101-EFEITO!$K$1101*EFEITO!$Y$1101</f>
        <v>0</v>
      </c>
      <c r="N1101" s="67">
        <f ca="1">$K$1101-EFEITO!$M$1101*EFEITO!$Z$1101</f>
        <v>0</v>
      </c>
      <c r="O1101" s="67">
        <f>$L$1101-EFEITO!$O$1101*EFEITO!$AA$1101</f>
        <v>0</v>
      </c>
      <c r="P1101" s="18"/>
      <c r="Q1101" s="18"/>
      <c r="R1101" s="18"/>
      <c r="S1101" s="18"/>
      <c r="T1101" s="18"/>
      <c r="U1101" s="18"/>
      <c r="V1101" s="18"/>
      <c r="W1101" s="18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</row>
    <row r="1102" spans="1:36" ht="11.25" customHeight="1" x14ac:dyDescent="0.2">
      <c r="A1102" s="58" t="s">
        <v>28</v>
      </c>
      <c r="B1102" s="58" t="s">
        <v>37</v>
      </c>
      <c r="C1102" s="58" t="s">
        <v>23</v>
      </c>
      <c r="D1102" s="58" t="s">
        <v>45</v>
      </c>
      <c r="E1102" s="58" t="s">
        <v>25</v>
      </c>
      <c r="F1102" s="58" t="s">
        <v>25</v>
      </c>
      <c r="G1102" s="58" t="s">
        <v>25</v>
      </c>
      <c r="H1102" s="58" t="s">
        <v>25</v>
      </c>
      <c r="I1102" s="66">
        <v>44743</v>
      </c>
      <c r="J1102" s="67">
        <f>EFEITO!$J$1102*EFEITO!$Y$1102</f>
        <v>0</v>
      </c>
      <c r="K1102" s="67">
        <f ca="1">EFEITO!$L$1102*EFEITO!$Z$1102</f>
        <v>259738.98730986923</v>
      </c>
      <c r="L1102" s="67">
        <f>EFEITO!$N$1102*EFEITO!$AA$1102</f>
        <v>218867.06530915978</v>
      </c>
      <c r="M1102" s="67">
        <f>$J$1102-EFEITO!$K$1102*EFEITO!$Y$1102</f>
        <v>0</v>
      </c>
      <c r="N1102" s="67">
        <f ca="1">$K$1102-EFEITO!$M$1102*EFEITO!$Z$1102</f>
        <v>0</v>
      </c>
      <c r="O1102" s="67">
        <f>$L$1102-EFEITO!$O$1102*EFEITO!$AA$1102</f>
        <v>0</v>
      </c>
      <c r="P1102" s="18"/>
      <c r="Q1102" s="18"/>
      <c r="R1102" s="18"/>
      <c r="S1102" s="18"/>
      <c r="T1102" s="18"/>
      <c r="U1102" s="18"/>
      <c r="V1102" s="18"/>
      <c r="W1102" s="18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</row>
    <row r="1103" spans="1:36" ht="11.25" customHeight="1" x14ac:dyDescent="0.2">
      <c r="A1103" s="58" t="s">
        <v>21</v>
      </c>
      <c r="B1103" s="58" t="s">
        <v>37</v>
      </c>
      <c r="C1103" s="58" t="s">
        <v>23</v>
      </c>
      <c r="D1103" s="58" t="s">
        <v>45</v>
      </c>
      <c r="E1103" s="58" t="s">
        <v>25</v>
      </c>
      <c r="F1103" s="58" t="s">
        <v>25</v>
      </c>
      <c r="G1103" s="58" t="s">
        <v>25</v>
      </c>
      <c r="H1103" s="58" t="s">
        <v>25</v>
      </c>
      <c r="I1103" s="66">
        <v>44774</v>
      </c>
      <c r="J1103" s="67">
        <f>EFEITO!$J$1103*EFEITO!$Y$1103</f>
        <v>0</v>
      </c>
      <c r="K1103" s="67">
        <f ca="1">EFEITO!$L$1103*EFEITO!$Z$1103</f>
        <v>756666.08832897746</v>
      </c>
      <c r="L1103" s="67">
        <f>EFEITO!$N$1103*EFEITO!$AA$1103</f>
        <v>637598.87526608584</v>
      </c>
      <c r="M1103" s="67">
        <f>$J$1103-EFEITO!$K$1103*EFEITO!$Y$1103</f>
        <v>0</v>
      </c>
      <c r="N1103" s="67">
        <f ca="1">$K$1103-EFEITO!$M$1103*EFEITO!$Z$1103</f>
        <v>0</v>
      </c>
      <c r="O1103" s="67">
        <f>$L$1103-EFEITO!$O$1103*EFEITO!$AA$1103</f>
        <v>0</v>
      </c>
      <c r="P1103" s="18"/>
      <c r="Q1103" s="18"/>
      <c r="R1103" s="18"/>
      <c r="S1103" s="18"/>
      <c r="T1103" s="18"/>
      <c r="U1103" s="18"/>
      <c r="V1103" s="18"/>
      <c r="W1103" s="18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</row>
    <row r="1104" spans="1:36" ht="11.25" customHeight="1" x14ac:dyDescent="0.2">
      <c r="A1104" s="58" t="s">
        <v>27</v>
      </c>
      <c r="B1104" s="58" t="s">
        <v>37</v>
      </c>
      <c r="C1104" s="58" t="s">
        <v>23</v>
      </c>
      <c r="D1104" s="58" t="s">
        <v>45</v>
      </c>
      <c r="E1104" s="58" t="s">
        <v>25</v>
      </c>
      <c r="F1104" s="58" t="s">
        <v>25</v>
      </c>
      <c r="G1104" s="58" t="s">
        <v>25</v>
      </c>
      <c r="H1104" s="58" t="s">
        <v>25</v>
      </c>
      <c r="I1104" s="66">
        <v>44774</v>
      </c>
      <c r="J1104" s="67">
        <f>EFEITO!$J$1104*EFEITO!$Y$1104</f>
        <v>0</v>
      </c>
      <c r="K1104" s="67">
        <f ca="1">EFEITO!$L$1104*EFEITO!$Z$1104</f>
        <v>-5544.2634308351935</v>
      </c>
      <c r="L1104" s="67">
        <f>EFEITO!$N$1104*EFEITO!$AA$1104</f>
        <v>-4671.831052302271</v>
      </c>
      <c r="M1104" s="67">
        <f>$J$1104-EFEITO!$K$1104*EFEITO!$Y$1104</f>
        <v>0</v>
      </c>
      <c r="N1104" s="67">
        <f ca="1">$K$1104-EFEITO!$M$1104*EFEITO!$Z$1104</f>
        <v>0</v>
      </c>
      <c r="O1104" s="67">
        <f>$L$1104-EFEITO!$O$1104*EFEITO!$AA$1104</f>
        <v>0</v>
      </c>
      <c r="P1104" s="18"/>
      <c r="Q1104" s="18"/>
      <c r="R1104" s="18"/>
      <c r="S1104" s="18"/>
      <c r="T1104" s="18"/>
      <c r="U1104" s="18"/>
      <c r="V1104" s="18"/>
      <c r="W1104" s="18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</row>
    <row r="1105" spans="1:36" ht="11.25" customHeight="1" x14ac:dyDescent="0.2">
      <c r="A1105" s="58" t="s">
        <v>28</v>
      </c>
      <c r="B1105" s="58" t="s">
        <v>37</v>
      </c>
      <c r="C1105" s="58" t="s">
        <v>23</v>
      </c>
      <c r="D1105" s="58" t="s">
        <v>45</v>
      </c>
      <c r="E1105" s="58" t="s">
        <v>25</v>
      </c>
      <c r="F1105" s="58" t="s">
        <v>25</v>
      </c>
      <c r="G1105" s="58" t="s">
        <v>25</v>
      </c>
      <c r="H1105" s="58" t="s">
        <v>25</v>
      </c>
      <c r="I1105" s="66">
        <v>44774</v>
      </c>
      <c r="J1105" s="67">
        <f>EFEITO!$J$1105*EFEITO!$Y$1105</f>
        <v>0</v>
      </c>
      <c r="K1105" s="67">
        <f ca="1">EFEITO!$L$1105*EFEITO!$Z$1105</f>
        <v>355521.0551853248</v>
      </c>
      <c r="L1105" s="67">
        <f>EFEITO!$N$1105*EFEITO!$AA$1105</f>
        <v>299577.09010083327</v>
      </c>
      <c r="M1105" s="67">
        <f>$J$1105-EFEITO!$K$1105*EFEITO!$Y$1105</f>
        <v>0</v>
      </c>
      <c r="N1105" s="67">
        <f ca="1">$K$1105-EFEITO!$M$1105*EFEITO!$Z$1105</f>
        <v>0</v>
      </c>
      <c r="O1105" s="67">
        <f>$L$1105-EFEITO!$O$1105*EFEITO!$AA$1105</f>
        <v>0</v>
      </c>
      <c r="P1105" s="18"/>
      <c r="Q1105" s="18"/>
      <c r="R1105" s="18"/>
      <c r="S1105" s="18"/>
      <c r="T1105" s="18"/>
      <c r="U1105" s="18"/>
      <c r="V1105" s="18"/>
      <c r="W1105" s="18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</row>
    <row r="1106" spans="1:36" ht="11.25" customHeight="1" x14ac:dyDescent="0.2">
      <c r="A1106" s="58" t="s">
        <v>21</v>
      </c>
      <c r="B1106" s="58" t="s">
        <v>37</v>
      </c>
      <c r="C1106" s="58" t="s">
        <v>23</v>
      </c>
      <c r="D1106" s="58" t="s">
        <v>45</v>
      </c>
      <c r="E1106" s="58" t="s">
        <v>25</v>
      </c>
      <c r="F1106" s="58" t="s">
        <v>25</v>
      </c>
      <c r="G1106" s="58" t="s">
        <v>25</v>
      </c>
      <c r="H1106" s="58" t="s">
        <v>25</v>
      </c>
      <c r="I1106" s="66">
        <v>44805</v>
      </c>
      <c r="J1106" s="67">
        <f>EFEITO!$J$1106*EFEITO!$Y$1106</f>
        <v>0</v>
      </c>
      <c r="K1106" s="67">
        <f ca="1">EFEITO!$L$1106*EFEITO!$Z$1106</f>
        <v>765970.8919554702</v>
      </c>
      <c r="L1106" s="67">
        <f>EFEITO!$N$1106*EFEITO!$AA$1106</f>
        <v>645439.4966687517</v>
      </c>
      <c r="M1106" s="67">
        <f>$J$1106-EFEITO!$K$1106*EFEITO!$Y$1106</f>
        <v>0</v>
      </c>
      <c r="N1106" s="67">
        <f ca="1">$K$1106-EFEITO!$M$1106*EFEITO!$Z$1106</f>
        <v>0</v>
      </c>
      <c r="O1106" s="67">
        <f>$L$1106-EFEITO!$O$1106*EFEITO!$AA$1106</f>
        <v>0</v>
      </c>
      <c r="P1106" s="18"/>
      <c r="Q1106" s="18"/>
      <c r="R1106" s="18"/>
      <c r="S1106" s="18"/>
      <c r="T1106" s="18"/>
      <c r="U1106" s="18"/>
      <c r="V1106" s="18"/>
      <c r="W1106" s="18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1:36" ht="11.25" customHeight="1" x14ac:dyDescent="0.2">
      <c r="A1107" s="58" t="s">
        <v>27</v>
      </c>
      <c r="B1107" s="58" t="s">
        <v>37</v>
      </c>
      <c r="C1107" s="58" t="s">
        <v>23</v>
      </c>
      <c r="D1107" s="58" t="s">
        <v>45</v>
      </c>
      <c r="E1107" s="58" t="s">
        <v>25</v>
      </c>
      <c r="F1107" s="58" t="s">
        <v>25</v>
      </c>
      <c r="G1107" s="58" t="s">
        <v>25</v>
      </c>
      <c r="H1107" s="58" t="s">
        <v>25</v>
      </c>
      <c r="I1107" s="66">
        <v>44805</v>
      </c>
      <c r="J1107" s="67">
        <f>EFEITO!$J$1107*EFEITO!$Y$1107</f>
        <v>0</v>
      </c>
      <c r="K1107" s="67">
        <f ca="1">EFEITO!$L$1107*EFEITO!$Z$1107</f>
        <v>-227.00481342341692</v>
      </c>
      <c r="L1107" s="67">
        <f>EFEITO!$N$1107*EFEITO!$AA$1107</f>
        <v>-191.28386477369159</v>
      </c>
      <c r="M1107" s="67">
        <f>$J$1107-EFEITO!$K$1107*EFEITO!$Y$1107</f>
        <v>0</v>
      </c>
      <c r="N1107" s="67">
        <f ca="1">$K$1107-EFEITO!$M$1107*EFEITO!$Z$1107</f>
        <v>0</v>
      </c>
      <c r="O1107" s="67">
        <f>$L$1107-EFEITO!$O$1107*EFEITO!$AA$1107</f>
        <v>0</v>
      </c>
      <c r="P1107" s="18"/>
      <c r="Q1107" s="18"/>
      <c r="R1107" s="18"/>
      <c r="S1107" s="18"/>
      <c r="T1107" s="18"/>
      <c r="U1107" s="18"/>
      <c r="V1107" s="18"/>
      <c r="W1107" s="18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</row>
    <row r="1108" spans="1:36" ht="11.25" customHeight="1" x14ac:dyDescent="0.2">
      <c r="A1108" s="58" t="s">
        <v>28</v>
      </c>
      <c r="B1108" s="58" t="s">
        <v>37</v>
      </c>
      <c r="C1108" s="58" t="s">
        <v>23</v>
      </c>
      <c r="D1108" s="58" t="s">
        <v>45</v>
      </c>
      <c r="E1108" s="58" t="s">
        <v>25</v>
      </c>
      <c r="F1108" s="58" t="s">
        <v>25</v>
      </c>
      <c r="G1108" s="58" t="s">
        <v>25</v>
      </c>
      <c r="H1108" s="58" t="s">
        <v>25</v>
      </c>
      <c r="I1108" s="66">
        <v>44805</v>
      </c>
      <c r="J1108" s="67">
        <f>EFEITO!$J$1108*EFEITO!$Y$1108</f>
        <v>0</v>
      </c>
      <c r="K1108" s="67">
        <f ca="1">EFEITO!$L$1108*EFEITO!$Z$1108</f>
        <v>347880.68755461852</v>
      </c>
      <c r="L1108" s="67">
        <f>EFEITO!$N$1108*EFEITO!$AA$1108</f>
        <v>293138.99292283505</v>
      </c>
      <c r="M1108" s="67">
        <f>$J$1108-EFEITO!$K$1108*EFEITO!$Y$1108</f>
        <v>0</v>
      </c>
      <c r="N1108" s="67">
        <f ca="1">$K$1108-EFEITO!$M$1108*EFEITO!$Z$1108</f>
        <v>0</v>
      </c>
      <c r="O1108" s="67">
        <f>$L$1108-EFEITO!$O$1108*EFEITO!$AA$1108</f>
        <v>0</v>
      </c>
      <c r="P1108" s="18"/>
      <c r="Q1108" s="18"/>
      <c r="R1108" s="18"/>
      <c r="S1108" s="18"/>
      <c r="T1108" s="18"/>
      <c r="U1108" s="18"/>
      <c r="V1108" s="18"/>
      <c r="W1108" s="18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</row>
    <row r="1109" spans="1:36" ht="11.25" customHeight="1" x14ac:dyDescent="0.2">
      <c r="A1109" s="58" t="s">
        <v>55</v>
      </c>
      <c r="B1109" s="58" t="s">
        <v>37</v>
      </c>
      <c r="C1109" s="58" t="s">
        <v>23</v>
      </c>
      <c r="D1109" s="58" t="s">
        <v>45</v>
      </c>
      <c r="E1109" s="58" t="s">
        <v>25</v>
      </c>
      <c r="F1109" s="58" t="s">
        <v>25</v>
      </c>
      <c r="G1109" s="58" t="s">
        <v>25</v>
      </c>
      <c r="H1109" s="58" t="s">
        <v>25</v>
      </c>
      <c r="I1109" s="66">
        <v>44835</v>
      </c>
      <c r="J1109" s="67">
        <f>EFEITO!$J$1109*EFEITO!$Y$1109</f>
        <v>0</v>
      </c>
      <c r="K1109" s="67">
        <f ca="1">EFEITO!$L$1109*EFEITO!$Z$1109</f>
        <v>765970.8919554702</v>
      </c>
      <c r="L1109" s="67">
        <f>EFEITO!$N$1109*EFEITO!$AA$1109</f>
        <v>645439.4966687517</v>
      </c>
      <c r="M1109" s="67">
        <f>$J$1109-EFEITO!$K$1109*EFEITO!$Y$1109</f>
        <v>0</v>
      </c>
      <c r="N1109" s="67">
        <f ca="1">$K$1109-EFEITO!$M$1109*EFEITO!$Z$1109</f>
        <v>0</v>
      </c>
      <c r="O1109" s="67">
        <f>$L$1109-EFEITO!$O$1109*EFEITO!$AA$1109</f>
        <v>0</v>
      </c>
      <c r="P1109" s="18"/>
      <c r="Q1109" s="18"/>
      <c r="R1109" s="18"/>
      <c r="S1109" s="18"/>
      <c r="T1109" s="18"/>
      <c r="U1109" s="18"/>
      <c r="V1109" s="18"/>
      <c r="W1109" s="18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</row>
    <row r="1110" spans="1:36" ht="11.25" customHeight="1" x14ac:dyDescent="0.2">
      <c r="A1110" s="58" t="s">
        <v>55</v>
      </c>
      <c r="B1110" s="58" t="s">
        <v>37</v>
      </c>
      <c r="C1110" s="58" t="s">
        <v>23</v>
      </c>
      <c r="D1110" s="58" t="s">
        <v>45</v>
      </c>
      <c r="E1110" s="58" t="s">
        <v>25</v>
      </c>
      <c r="F1110" s="58" t="s">
        <v>25</v>
      </c>
      <c r="G1110" s="58" t="s">
        <v>25</v>
      </c>
      <c r="H1110" s="58" t="s">
        <v>25</v>
      </c>
      <c r="I1110" s="66">
        <v>44835</v>
      </c>
      <c r="J1110" s="67">
        <f>EFEITO!$J$1110*EFEITO!$Y$1110</f>
        <v>0</v>
      </c>
      <c r="K1110" s="67">
        <f ca="1">EFEITO!$L$1110*EFEITO!$Z$1110</f>
        <v>-227.00481342341692</v>
      </c>
      <c r="L1110" s="67">
        <f>EFEITO!$N$1110*EFEITO!$AA$1110</f>
        <v>-191.28386477369159</v>
      </c>
      <c r="M1110" s="67">
        <f>$J$1110-EFEITO!$K$1110*EFEITO!$Y$1110</f>
        <v>0</v>
      </c>
      <c r="N1110" s="67">
        <f ca="1">$K$1110-EFEITO!$M$1110*EFEITO!$Z$1110</f>
        <v>0</v>
      </c>
      <c r="O1110" s="67">
        <f>$L$1110-EFEITO!$O$1110*EFEITO!$AA$1110</f>
        <v>0</v>
      </c>
      <c r="P1110" s="18"/>
      <c r="Q1110" s="18"/>
      <c r="R1110" s="18"/>
      <c r="S1110" s="18"/>
      <c r="T1110" s="18"/>
      <c r="U1110" s="18"/>
      <c r="V1110" s="18"/>
      <c r="W1110" s="18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</row>
    <row r="1111" spans="1:36" ht="11.25" customHeight="1" x14ac:dyDescent="0.2">
      <c r="A1111" s="58" t="s">
        <v>55</v>
      </c>
      <c r="B1111" s="58" t="s">
        <v>37</v>
      </c>
      <c r="C1111" s="58" t="s">
        <v>23</v>
      </c>
      <c r="D1111" s="58" t="s">
        <v>45</v>
      </c>
      <c r="E1111" s="58" t="s">
        <v>25</v>
      </c>
      <c r="F1111" s="58" t="s">
        <v>25</v>
      </c>
      <c r="G1111" s="58" t="s">
        <v>25</v>
      </c>
      <c r="H1111" s="58" t="s">
        <v>25</v>
      </c>
      <c r="I1111" s="66">
        <v>44835</v>
      </c>
      <c r="J1111" s="67">
        <f>EFEITO!$J$1111*EFEITO!$Y$1111</f>
        <v>0</v>
      </c>
      <c r="K1111" s="67">
        <f ca="1">EFEITO!$L$1111*EFEITO!$Z$1111</f>
        <v>347880.68755461852</v>
      </c>
      <c r="L1111" s="67">
        <f>EFEITO!$N$1111*EFEITO!$AA$1111</f>
        <v>293138.99292283505</v>
      </c>
      <c r="M1111" s="67">
        <f>$J$1111-EFEITO!$K$1111*EFEITO!$Y$1111</f>
        <v>0</v>
      </c>
      <c r="N1111" s="67">
        <f ca="1">$K$1111-EFEITO!$M$1111*EFEITO!$Z$1111</f>
        <v>0</v>
      </c>
      <c r="O1111" s="67">
        <f>$L$1111-EFEITO!$O$1111*EFEITO!$AA$1111</f>
        <v>0</v>
      </c>
      <c r="P1111" s="18"/>
      <c r="Q1111" s="18"/>
      <c r="R1111" s="18"/>
      <c r="S1111" s="18"/>
      <c r="T1111" s="18"/>
      <c r="U1111" s="18"/>
      <c r="V1111" s="18"/>
      <c r="W1111" s="18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</row>
    <row r="1112" spans="1:36" ht="11.25" customHeight="1" x14ac:dyDescent="0.2">
      <c r="A1112" s="58" t="s">
        <v>21</v>
      </c>
      <c r="B1112" s="58" t="s">
        <v>37</v>
      </c>
      <c r="C1112" s="58" t="s">
        <v>23</v>
      </c>
      <c r="D1112" s="58" t="s">
        <v>49</v>
      </c>
      <c r="E1112" s="58" t="s">
        <v>50</v>
      </c>
      <c r="F1112" s="58" t="s">
        <v>25</v>
      </c>
      <c r="G1112" s="58" t="s">
        <v>25</v>
      </c>
      <c r="H1112" s="58" t="s">
        <v>25</v>
      </c>
      <c r="I1112" s="66">
        <v>44501</v>
      </c>
      <c r="J1112" s="67">
        <f>EFEITO!$J$1112*EFEITO!$Y$1111</f>
        <v>0</v>
      </c>
      <c r="K1112" s="67">
        <f ca="1">EFEITO!$L$1112*EFEITO!$Z$1111</f>
        <v>337552.56697481993</v>
      </c>
      <c r="L1112" s="67">
        <f>EFEITO!$N$1112*EFEITO!$AA$1111</f>
        <v>284436.08133889607</v>
      </c>
      <c r="M1112" s="67">
        <f>$J$1112-EFEITO!$K$1112*EFEITO!$Y$1112</f>
        <v>0</v>
      </c>
      <c r="N1112" s="67">
        <f ca="1">$K$1112-EFEITO!$M$1112*EFEITO!$Z$1112</f>
        <v>10126.577009244589</v>
      </c>
      <c r="O1112" s="67">
        <f>$L$1112-EFEITO!$O$1112*EFEITO!$AA$1112</f>
        <v>8533.0824401669088</v>
      </c>
      <c r="P1112" s="18"/>
      <c r="Q1112" s="18"/>
      <c r="R1112" s="18"/>
      <c r="S1112" s="18"/>
      <c r="T1112" s="18"/>
      <c r="U1112" s="18"/>
      <c r="V1112" s="18"/>
      <c r="W1112" s="18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1:36" ht="11.25" customHeight="1" x14ac:dyDescent="0.2">
      <c r="A1113" s="58" t="s">
        <v>27</v>
      </c>
      <c r="B1113" s="58" t="s">
        <v>37</v>
      </c>
      <c r="C1113" s="58" t="s">
        <v>23</v>
      </c>
      <c r="D1113" s="58" t="s">
        <v>49</v>
      </c>
      <c r="E1113" s="58" t="s">
        <v>50</v>
      </c>
      <c r="F1113" s="58" t="s">
        <v>25</v>
      </c>
      <c r="G1113" s="58" t="s">
        <v>25</v>
      </c>
      <c r="H1113" s="58" t="s">
        <v>25</v>
      </c>
      <c r="I1113" s="66">
        <v>44501</v>
      </c>
      <c r="J1113" s="67">
        <f>EFEITO!$J$1113*EFEITO!$Y$1111</f>
        <v>0</v>
      </c>
      <c r="K1113" s="67">
        <f ca="1">EFEITO!$L$1113*EFEITO!$Z$1111</f>
        <v>-4225.7205338854701</v>
      </c>
      <c r="L1113" s="67">
        <f>EFEITO!$N$1113*EFEITO!$AA$1111</f>
        <v>-3560.770994170372</v>
      </c>
      <c r="M1113" s="67">
        <f>$J$1113-EFEITO!$K$1113*EFEITO!$Y$1113</f>
        <v>0</v>
      </c>
      <c r="N1113" s="67">
        <f ca="1">$K$1113-EFEITO!$M$1113*EFEITO!$Z$1113</f>
        <v>-126.77161601656462</v>
      </c>
      <c r="O1113" s="67">
        <f>$L$1113-EFEITO!$O$1113*EFEITO!$AA$1113</f>
        <v>-106.82312982511121</v>
      </c>
      <c r="P1113" s="18"/>
      <c r="Q1113" s="18"/>
      <c r="R1113" s="18"/>
      <c r="S1113" s="18"/>
      <c r="T1113" s="18"/>
      <c r="U1113" s="18"/>
      <c r="V1113" s="18"/>
      <c r="W1113" s="18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</row>
    <row r="1114" spans="1:36" ht="11.25" customHeight="1" x14ac:dyDescent="0.2">
      <c r="A1114" s="58" t="s">
        <v>21</v>
      </c>
      <c r="B1114" s="58" t="s">
        <v>37</v>
      </c>
      <c r="C1114" s="58" t="s">
        <v>23</v>
      </c>
      <c r="D1114" s="58" t="s">
        <v>49</v>
      </c>
      <c r="E1114" s="58" t="s">
        <v>50</v>
      </c>
      <c r="F1114" s="58" t="s">
        <v>25</v>
      </c>
      <c r="G1114" s="58" t="s">
        <v>25</v>
      </c>
      <c r="H1114" s="58" t="s">
        <v>25</v>
      </c>
      <c r="I1114" s="66">
        <v>44531</v>
      </c>
      <c r="J1114" s="67">
        <f>EFEITO!$J$1114*EFEITO!$Y$1111</f>
        <v>0</v>
      </c>
      <c r="K1114" s="67">
        <f ca="1">EFEITO!$L$1114*EFEITO!$Z$1111</f>
        <v>329469.75938262581</v>
      </c>
      <c r="L1114" s="67">
        <f>EFEITO!$N$1114*EFEITO!$AA$1111</f>
        <v>277625.1655211192</v>
      </c>
      <c r="M1114" s="67">
        <f>$J$1114-EFEITO!$K$1114*EFEITO!$Y$1114</f>
        <v>0</v>
      </c>
      <c r="N1114" s="67">
        <f ca="1">$K$1114-EFEITO!$M$1114*EFEITO!$Z$1114</f>
        <v>9884.0927814787719</v>
      </c>
      <c r="O1114" s="67">
        <f>$L$1114-EFEITO!$O$1114*EFEITO!$AA$1114</f>
        <v>8328.7549656335614</v>
      </c>
      <c r="P1114" s="18"/>
      <c r="Q1114" s="18"/>
      <c r="R1114" s="18"/>
      <c r="S1114" s="18"/>
      <c r="T1114" s="18"/>
      <c r="U1114" s="18"/>
      <c r="V1114" s="18"/>
      <c r="W1114" s="18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</row>
    <row r="1115" spans="1:36" ht="11.25" customHeight="1" x14ac:dyDescent="0.2">
      <c r="A1115" s="58" t="s">
        <v>27</v>
      </c>
      <c r="B1115" s="58" t="s">
        <v>37</v>
      </c>
      <c r="C1115" s="58" t="s">
        <v>23</v>
      </c>
      <c r="D1115" s="58" t="s">
        <v>49</v>
      </c>
      <c r="E1115" s="58" t="s">
        <v>50</v>
      </c>
      <c r="F1115" s="58" t="s">
        <v>25</v>
      </c>
      <c r="G1115" s="58" t="s">
        <v>25</v>
      </c>
      <c r="H1115" s="58" t="s">
        <v>25</v>
      </c>
      <c r="I1115" s="66">
        <v>44531</v>
      </c>
      <c r="J1115" s="67">
        <f>EFEITO!$J$1115*EFEITO!$Y$1111</f>
        <v>0</v>
      </c>
      <c r="K1115" s="67">
        <f ca="1">EFEITO!$L$1115*EFEITO!$Z$1111</f>
        <v>-509.06527579662571</v>
      </c>
      <c r="L1115" s="67">
        <f>EFEITO!$N$1115*EFEITO!$AA$1111</f>
        <v>-428.95994982641565</v>
      </c>
      <c r="M1115" s="67">
        <f>$J$1115-EFEITO!$K$1115*EFEITO!$Y$1115</f>
        <v>0</v>
      </c>
      <c r="N1115" s="67">
        <f ca="1">$K$1115-EFEITO!$M$1115*EFEITO!$Z$1115</f>
        <v>-15.271958273898804</v>
      </c>
      <c r="O1115" s="67">
        <f>$L$1115-EFEITO!$O$1115*EFEITO!$AA$1115</f>
        <v>-12.868798494792486</v>
      </c>
      <c r="P1115" s="18"/>
      <c r="Q1115" s="18"/>
      <c r="R1115" s="18"/>
      <c r="S1115" s="18"/>
      <c r="T1115" s="18"/>
      <c r="U1115" s="18"/>
      <c r="V1115" s="18"/>
      <c r="W1115" s="18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</row>
    <row r="1116" spans="1:36" ht="11.25" customHeight="1" x14ac:dyDescent="0.2">
      <c r="A1116" s="58" t="s">
        <v>21</v>
      </c>
      <c r="B1116" s="58" t="s">
        <v>37</v>
      </c>
      <c r="C1116" s="58" t="s">
        <v>23</v>
      </c>
      <c r="D1116" s="58" t="s">
        <v>49</v>
      </c>
      <c r="E1116" s="58" t="s">
        <v>50</v>
      </c>
      <c r="F1116" s="58" t="s">
        <v>25</v>
      </c>
      <c r="G1116" s="58" t="s">
        <v>25</v>
      </c>
      <c r="H1116" s="58" t="s">
        <v>25</v>
      </c>
      <c r="I1116" s="66">
        <v>44562</v>
      </c>
      <c r="J1116" s="67">
        <f>EFEITO!$J$1116*EFEITO!$Y$1111</f>
        <v>0</v>
      </c>
      <c r="K1116" s="67">
        <f ca="1">EFEITO!$L$1116*EFEITO!$Z$1111</f>
        <v>307567.5849500561</v>
      </c>
      <c r="L1116" s="67">
        <f>EFEITO!$N$1116*EFEITO!$AA$1111</f>
        <v>259169.46623779603</v>
      </c>
      <c r="M1116" s="67">
        <f>$J$1116-EFEITO!$K$1116*EFEITO!$Y$1116</f>
        <v>0</v>
      </c>
      <c r="N1116" s="67">
        <f ca="1">$K$1116-EFEITO!$M$1116*EFEITO!$Z$1116</f>
        <v>9227.0275485016755</v>
      </c>
      <c r="O1116" s="67">
        <f>$L$1116-EFEITO!$O$1116*EFEITO!$AA$1116</f>
        <v>7775.0839871338976</v>
      </c>
      <c r="P1116" s="18"/>
      <c r="Q1116" s="18"/>
      <c r="R1116" s="18"/>
      <c r="S1116" s="18"/>
      <c r="T1116" s="18"/>
      <c r="U1116" s="18"/>
      <c r="V1116" s="18"/>
      <c r="W1116" s="18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</row>
    <row r="1117" spans="1:36" ht="11.25" customHeight="1" x14ac:dyDescent="0.2">
      <c r="A1117" s="58" t="s">
        <v>21</v>
      </c>
      <c r="B1117" s="58" t="s">
        <v>37</v>
      </c>
      <c r="C1117" s="58" t="s">
        <v>23</v>
      </c>
      <c r="D1117" s="58" t="s">
        <v>49</v>
      </c>
      <c r="E1117" s="58" t="s">
        <v>50</v>
      </c>
      <c r="F1117" s="58" t="s">
        <v>25</v>
      </c>
      <c r="G1117" s="58" t="s">
        <v>25</v>
      </c>
      <c r="H1117" s="58" t="s">
        <v>25</v>
      </c>
      <c r="I1117" s="66">
        <v>44593</v>
      </c>
      <c r="J1117" s="67">
        <f>EFEITO!$J$1117*EFEITO!$Y$1111</f>
        <v>0</v>
      </c>
      <c r="K1117" s="67">
        <f ca="1">EFEITO!$L$1117*EFEITO!$Z$1111</f>
        <v>307977.31068535638</v>
      </c>
      <c r="L1117" s="67">
        <f>EFEITO!$N$1117*EFEITO!$AA$1111</f>
        <v>259514.71848581464</v>
      </c>
      <c r="M1117" s="67">
        <f>$J$1117-EFEITO!$K$1117*EFEITO!$Y$1117</f>
        <v>0</v>
      </c>
      <c r="N1117" s="67">
        <f ca="1">$K$1117-EFEITO!$M$1117*EFEITO!$Z$1117</f>
        <v>9239.3193205606658</v>
      </c>
      <c r="O1117" s="67">
        <f>$L$1117-EFEITO!$O$1117*EFEITO!$AA$1117</f>
        <v>7785.4415545744414</v>
      </c>
      <c r="P1117" s="18"/>
      <c r="Q1117" s="18"/>
      <c r="R1117" s="18"/>
      <c r="S1117" s="18"/>
      <c r="T1117" s="18"/>
      <c r="U1117" s="18"/>
      <c r="V1117" s="18"/>
      <c r="W1117" s="18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</row>
    <row r="1118" spans="1:36" ht="11.25" customHeight="1" x14ac:dyDescent="0.2">
      <c r="A1118" s="58" t="s">
        <v>21</v>
      </c>
      <c r="B1118" s="58" t="s">
        <v>37</v>
      </c>
      <c r="C1118" s="58" t="s">
        <v>23</v>
      </c>
      <c r="D1118" s="58" t="s">
        <v>49</v>
      </c>
      <c r="E1118" s="58" t="s">
        <v>50</v>
      </c>
      <c r="F1118" s="58" t="s">
        <v>25</v>
      </c>
      <c r="G1118" s="58" t="s">
        <v>25</v>
      </c>
      <c r="H1118" s="58" t="s">
        <v>25</v>
      </c>
      <c r="I1118" s="66">
        <v>44621</v>
      </c>
      <c r="J1118" s="67">
        <f>EFEITO!$J$1118*EFEITO!$Y$1111</f>
        <v>0</v>
      </c>
      <c r="K1118" s="67">
        <f ca="1">EFEITO!$L$1118*EFEITO!$Z$1111</f>
        <v>329190.89055207581</v>
      </c>
      <c r="L1118" s="67">
        <f>EFEITO!$N$1118*EFEITO!$AA$1111</f>
        <v>277390.17884014064</v>
      </c>
      <c r="M1118" s="67">
        <f>$J$1118-EFEITO!$K$1118*EFEITO!$Y$1118</f>
        <v>0</v>
      </c>
      <c r="N1118" s="67">
        <f ca="1">$K$1118-EFEITO!$M$1118*EFEITO!$Z$1118</f>
        <v>9875.7267165622907</v>
      </c>
      <c r="O1118" s="67">
        <f>$L$1118-EFEITO!$O$1118*EFEITO!$AA$1118</f>
        <v>8321.7053652041941</v>
      </c>
      <c r="P1118" s="18"/>
      <c r="Q1118" s="18"/>
      <c r="R1118" s="18"/>
      <c r="S1118" s="18"/>
      <c r="T1118" s="18"/>
      <c r="U1118" s="18"/>
      <c r="V1118" s="18"/>
      <c r="W1118" s="18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1:36" ht="11.25" customHeight="1" x14ac:dyDescent="0.2">
      <c r="A1119" s="58" t="s">
        <v>21</v>
      </c>
      <c r="B1119" s="58" t="s">
        <v>37</v>
      </c>
      <c r="C1119" s="58" t="s">
        <v>23</v>
      </c>
      <c r="D1119" s="58" t="s">
        <v>49</v>
      </c>
      <c r="E1119" s="58" t="s">
        <v>50</v>
      </c>
      <c r="F1119" s="58" t="s">
        <v>25</v>
      </c>
      <c r="G1119" s="58" t="s">
        <v>25</v>
      </c>
      <c r="H1119" s="58" t="s">
        <v>25</v>
      </c>
      <c r="I1119" s="66">
        <v>44652</v>
      </c>
      <c r="J1119" s="67">
        <f>EFEITO!$J$1119*EFEITO!$Y$1111</f>
        <v>0</v>
      </c>
      <c r="K1119" s="67">
        <f ca="1">EFEITO!$L$1119*EFEITO!$Z$1111</f>
        <v>329190.89055207581</v>
      </c>
      <c r="L1119" s="67">
        <f>EFEITO!$N$1119*EFEITO!$AA$1111</f>
        <v>277390.17884014064</v>
      </c>
      <c r="M1119" s="67">
        <f>$J$1119-EFEITO!$K$1119*EFEITO!$Y$1119</f>
        <v>0</v>
      </c>
      <c r="N1119" s="67">
        <f ca="1">$K$1119-EFEITO!$M$1119*EFEITO!$Z$1119</f>
        <v>9875.7267165622907</v>
      </c>
      <c r="O1119" s="67">
        <f>$L$1119-EFEITO!$O$1119*EFEITO!$AA$1119</f>
        <v>8321.7053652041941</v>
      </c>
      <c r="P1119" s="18"/>
      <c r="Q1119" s="18"/>
      <c r="R1119" s="18"/>
      <c r="S1119" s="18"/>
      <c r="T1119" s="18"/>
      <c r="U1119" s="18"/>
      <c r="V1119" s="18"/>
      <c r="W1119" s="18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</row>
    <row r="1120" spans="1:36" ht="11.25" customHeight="1" x14ac:dyDescent="0.2">
      <c r="A1120" s="58" t="s">
        <v>21</v>
      </c>
      <c r="B1120" s="58" t="s">
        <v>37</v>
      </c>
      <c r="C1120" s="58" t="s">
        <v>23</v>
      </c>
      <c r="D1120" s="58" t="s">
        <v>49</v>
      </c>
      <c r="E1120" s="58" t="s">
        <v>50</v>
      </c>
      <c r="F1120" s="58" t="s">
        <v>25</v>
      </c>
      <c r="G1120" s="58" t="s">
        <v>25</v>
      </c>
      <c r="H1120" s="58" t="s">
        <v>25</v>
      </c>
      <c r="I1120" s="66">
        <v>44682</v>
      </c>
      <c r="J1120" s="67">
        <f>EFEITO!$J$1120*EFEITO!$Y$1111</f>
        <v>0</v>
      </c>
      <c r="K1120" s="67">
        <f ca="1">EFEITO!$L$1120*EFEITO!$Z$1111</f>
        <v>319767.59759414766</v>
      </c>
      <c r="L1120" s="67">
        <f>EFEITO!$N$1120*EFEITO!$AA$1111</f>
        <v>269449.71331122221</v>
      </c>
      <c r="M1120" s="67">
        <f>$J$1120-EFEITO!$K$1120*EFEITO!$Y$1120</f>
        <v>0</v>
      </c>
      <c r="N1120" s="67">
        <f ca="1">$K$1120-EFEITO!$M$1120*EFEITO!$Z$1120</f>
        <v>9593.0279278244125</v>
      </c>
      <c r="O1120" s="67">
        <f>$L$1120-EFEITO!$O$1120*EFEITO!$AA$1120</f>
        <v>8083.4913993366936</v>
      </c>
      <c r="P1120" s="18"/>
      <c r="Q1120" s="18"/>
      <c r="R1120" s="18"/>
      <c r="S1120" s="18"/>
      <c r="T1120" s="18"/>
      <c r="U1120" s="18"/>
      <c r="V1120" s="18"/>
      <c r="W1120" s="18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</row>
    <row r="1121" spans="1:36" ht="11.25" customHeight="1" x14ac:dyDescent="0.2">
      <c r="A1121" s="58" t="s">
        <v>27</v>
      </c>
      <c r="B1121" s="58" t="s">
        <v>37</v>
      </c>
      <c r="C1121" s="58" t="s">
        <v>23</v>
      </c>
      <c r="D1121" s="58" t="s">
        <v>49</v>
      </c>
      <c r="E1121" s="58" t="s">
        <v>50</v>
      </c>
      <c r="F1121" s="58" t="s">
        <v>25</v>
      </c>
      <c r="G1121" s="58" t="s">
        <v>25</v>
      </c>
      <c r="H1121" s="58" t="s">
        <v>25</v>
      </c>
      <c r="I1121" s="66">
        <v>44682</v>
      </c>
      <c r="J1121" s="67">
        <f>EFEITO!$J$1121*EFEITO!$Y$1111</f>
        <v>0</v>
      </c>
      <c r="K1121" s="67">
        <f ca="1">EFEITO!$L$1121*EFEITO!$Z$1111</f>
        <v>27641.127404618666</v>
      </c>
      <c r="L1121" s="67">
        <f>EFEITO!$N$1121*EFEITO!$AA$1111</f>
        <v>23291.583984148419</v>
      </c>
      <c r="M1121" s="67">
        <f>$J$1121-EFEITO!$K$1121*EFEITO!$Y$1121</f>
        <v>0</v>
      </c>
      <c r="N1121" s="67">
        <f ca="1">$K$1121-EFEITO!$M$1121*EFEITO!$Z$1121</f>
        <v>829.23382213856166</v>
      </c>
      <c r="O1121" s="67">
        <f>$L$1121-EFEITO!$O$1121*EFEITO!$AA$1121</f>
        <v>698.74751952445149</v>
      </c>
      <c r="P1121" s="18"/>
      <c r="Q1121" s="18"/>
      <c r="R1121" s="18"/>
      <c r="S1121" s="18"/>
      <c r="T1121" s="18"/>
      <c r="U1121" s="18"/>
      <c r="V1121" s="18"/>
      <c r="W1121" s="18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</row>
    <row r="1122" spans="1:36" ht="11.25" customHeight="1" x14ac:dyDescent="0.2">
      <c r="A1122" s="58" t="s">
        <v>21</v>
      </c>
      <c r="B1122" s="58" t="s">
        <v>37</v>
      </c>
      <c r="C1122" s="58" t="s">
        <v>23</v>
      </c>
      <c r="D1122" s="58" t="s">
        <v>49</v>
      </c>
      <c r="E1122" s="58" t="s">
        <v>50</v>
      </c>
      <c r="F1122" s="58" t="s">
        <v>25</v>
      </c>
      <c r="G1122" s="58" t="s">
        <v>25</v>
      </c>
      <c r="H1122" s="58" t="s">
        <v>25</v>
      </c>
      <c r="I1122" s="66">
        <v>44713</v>
      </c>
      <c r="J1122" s="67">
        <f>EFEITO!$J$1122*EFEITO!$Y$1111</f>
        <v>0</v>
      </c>
      <c r="K1122" s="67">
        <f ca="1">EFEITO!$L$1122*EFEITO!$Z$1111</f>
        <v>317092.21221837011</v>
      </c>
      <c r="L1122" s="67">
        <f>EFEITO!$N$1122*EFEITO!$AA$1111</f>
        <v>267195.32034606865</v>
      </c>
      <c r="M1122" s="67">
        <f>$J$1122-EFEITO!$K$1122*EFEITO!$Y$1122</f>
        <v>0</v>
      </c>
      <c r="N1122" s="67">
        <f ca="1">$K$1122-EFEITO!$M$1122*EFEITO!$Z$1122</f>
        <v>9512.7663665511063</v>
      </c>
      <c r="O1122" s="67">
        <f>$L$1122-EFEITO!$O$1122*EFEITO!$AA$1122</f>
        <v>8015.8596103820892</v>
      </c>
      <c r="P1122" s="18"/>
      <c r="Q1122" s="18"/>
      <c r="R1122" s="18"/>
      <c r="S1122" s="18"/>
      <c r="T1122" s="18"/>
      <c r="U1122" s="18"/>
      <c r="V1122" s="18"/>
      <c r="W1122" s="18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</row>
    <row r="1123" spans="1:36" ht="11.25" customHeight="1" x14ac:dyDescent="0.2">
      <c r="A1123" s="58" t="s">
        <v>27</v>
      </c>
      <c r="B1123" s="58" t="s">
        <v>37</v>
      </c>
      <c r="C1123" s="58" t="s">
        <v>23</v>
      </c>
      <c r="D1123" s="58" t="s">
        <v>49</v>
      </c>
      <c r="E1123" s="58" t="s">
        <v>50</v>
      </c>
      <c r="F1123" s="58" t="s">
        <v>25</v>
      </c>
      <c r="G1123" s="58" t="s">
        <v>25</v>
      </c>
      <c r="H1123" s="58" t="s">
        <v>25</v>
      </c>
      <c r="I1123" s="66">
        <v>44713</v>
      </c>
      <c r="J1123" s="67">
        <f>EFEITO!$J$1123*EFEITO!$Y$1111</f>
        <v>0</v>
      </c>
      <c r="K1123" s="67">
        <f ca="1">EFEITO!$L$1123*EFEITO!$Z$1111</f>
        <v>-1633.7165394883873</v>
      </c>
      <c r="L1123" s="67">
        <f>EFEITO!$N$1123*EFEITO!$AA$1111</f>
        <v>-1376.6387104538965</v>
      </c>
      <c r="M1123" s="67">
        <f>$J$1123-EFEITO!$K$1123*EFEITO!$Y$1123</f>
        <v>0</v>
      </c>
      <c r="N1123" s="67">
        <f ca="1">$K$1123-EFEITO!$M$1123*EFEITO!$Z$1123</f>
        <v>-49.011496184651833</v>
      </c>
      <c r="O1123" s="67">
        <f>$L$1123-EFEITO!$O$1123*EFEITO!$AA$1123</f>
        <v>-41.299161313616878</v>
      </c>
      <c r="P1123" s="18"/>
      <c r="Q1123" s="18"/>
      <c r="R1123" s="18"/>
      <c r="S1123" s="18"/>
      <c r="T1123" s="18"/>
      <c r="U1123" s="18"/>
      <c r="V1123" s="18"/>
      <c r="W1123" s="18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</row>
    <row r="1124" spans="1:36" ht="11.25" customHeight="1" x14ac:dyDescent="0.2">
      <c r="A1124" s="58" t="s">
        <v>21</v>
      </c>
      <c r="B1124" s="58" t="s">
        <v>37</v>
      </c>
      <c r="C1124" s="58" t="s">
        <v>23</v>
      </c>
      <c r="D1124" s="58" t="s">
        <v>49</v>
      </c>
      <c r="E1124" s="58" t="s">
        <v>50</v>
      </c>
      <c r="F1124" s="58" t="s">
        <v>25</v>
      </c>
      <c r="G1124" s="58" t="s">
        <v>25</v>
      </c>
      <c r="H1124" s="58" t="s">
        <v>25</v>
      </c>
      <c r="I1124" s="66">
        <v>44743</v>
      </c>
      <c r="J1124" s="67">
        <f>EFEITO!$J$1124*EFEITO!$Y$1111</f>
        <v>0</v>
      </c>
      <c r="K1124" s="67">
        <f ca="1">EFEITO!$L$1124*EFEITO!$Z$1111</f>
        <v>308281.71257049183</v>
      </c>
      <c r="L1124" s="67">
        <f>EFEITO!$N$1124*EFEITO!$AA$1111</f>
        <v>259771.2203993864</v>
      </c>
      <c r="M1124" s="67">
        <f>$J$1124-EFEITO!$K$1124*EFEITO!$Y$1124</f>
        <v>0</v>
      </c>
      <c r="N1124" s="67">
        <f ca="1">$K$1124-EFEITO!$M$1124*EFEITO!$Z$1124</f>
        <v>9248.4513771147467</v>
      </c>
      <c r="O1124" s="67">
        <f>$L$1124-EFEITO!$O$1124*EFEITO!$AA$1124</f>
        <v>7793.1366119816084</v>
      </c>
      <c r="P1124" s="18"/>
      <c r="Q1124" s="18"/>
      <c r="R1124" s="18"/>
      <c r="S1124" s="18"/>
      <c r="T1124" s="18"/>
      <c r="U1124" s="18"/>
      <c r="V1124" s="18"/>
      <c r="W1124" s="18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1:36" ht="11.25" customHeight="1" x14ac:dyDescent="0.2">
      <c r="A1125" s="58" t="s">
        <v>27</v>
      </c>
      <c r="B1125" s="58" t="s">
        <v>37</v>
      </c>
      <c r="C1125" s="58" t="s">
        <v>23</v>
      </c>
      <c r="D1125" s="58" t="s">
        <v>49</v>
      </c>
      <c r="E1125" s="58" t="s">
        <v>50</v>
      </c>
      <c r="F1125" s="58" t="s">
        <v>25</v>
      </c>
      <c r="G1125" s="58" t="s">
        <v>25</v>
      </c>
      <c r="H1125" s="58" t="s">
        <v>25</v>
      </c>
      <c r="I1125" s="66">
        <v>44743</v>
      </c>
      <c r="J1125" s="67">
        <f>EFEITO!$J$1125*EFEITO!$Y$1111</f>
        <v>0</v>
      </c>
      <c r="K1125" s="67">
        <f ca="1">EFEITO!$L$1125*EFEITO!$Z$1111</f>
        <v>1906.601060369964</v>
      </c>
      <c r="L1125" s="67">
        <f>EFEITO!$N$1125*EFEITO!$AA$1111</f>
        <v>1606.5827587934486</v>
      </c>
      <c r="M1125" s="67">
        <f>$J$1125-EFEITO!$K$1125*EFEITO!$Y$1125</f>
        <v>0</v>
      </c>
      <c r="N1125" s="67">
        <f ca="1">$K$1125-EFEITO!$M$1125*EFEITO!$Z$1125</f>
        <v>57.198031811098872</v>
      </c>
      <c r="O1125" s="67">
        <f>$L$1125-EFEITO!$O$1125*EFEITO!$AA$1125</f>
        <v>48.197482763803691</v>
      </c>
      <c r="P1125" s="18"/>
      <c r="Q1125" s="18"/>
      <c r="R1125" s="18"/>
      <c r="S1125" s="18"/>
      <c r="T1125" s="18"/>
      <c r="U1125" s="18"/>
      <c r="V1125" s="18"/>
      <c r="W1125" s="18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</row>
    <row r="1126" spans="1:36" ht="11.25" customHeight="1" x14ac:dyDescent="0.2">
      <c r="A1126" s="58" t="s">
        <v>21</v>
      </c>
      <c r="B1126" s="58" t="s">
        <v>37</v>
      </c>
      <c r="C1126" s="58" t="s">
        <v>23</v>
      </c>
      <c r="D1126" s="58" t="s">
        <v>49</v>
      </c>
      <c r="E1126" s="58" t="s">
        <v>50</v>
      </c>
      <c r="F1126" s="58" t="s">
        <v>25</v>
      </c>
      <c r="G1126" s="58" t="s">
        <v>25</v>
      </c>
      <c r="H1126" s="58" t="s">
        <v>25</v>
      </c>
      <c r="I1126" s="66">
        <v>44774</v>
      </c>
      <c r="J1126" s="67">
        <f>EFEITO!$J$1126*EFEITO!$Y$1111</f>
        <v>0</v>
      </c>
      <c r="K1126" s="67">
        <f ca="1">EFEITO!$L$1126*EFEITO!$Z$1111</f>
        <v>343162.2588580302</v>
      </c>
      <c r="L1126" s="67">
        <f>EFEITO!$N$1126*EFEITO!$AA$1111</f>
        <v>289163.04517471831</v>
      </c>
      <c r="M1126" s="67">
        <f>$J$1126-EFEITO!$K$1126*EFEITO!$Y$1126</f>
        <v>0</v>
      </c>
      <c r="N1126" s="67">
        <f ca="1">$K$1126-EFEITO!$M$1126*EFEITO!$Z$1126</f>
        <v>10294.867765740899</v>
      </c>
      <c r="O1126" s="67">
        <f>$L$1126-EFEITO!$O$1126*EFEITO!$AA$1126</f>
        <v>8674.8913552415906</v>
      </c>
      <c r="P1126" s="18"/>
      <c r="Q1126" s="18"/>
      <c r="R1126" s="18"/>
      <c r="S1126" s="18"/>
      <c r="T1126" s="18"/>
      <c r="U1126" s="18"/>
      <c r="V1126" s="18"/>
      <c r="W1126" s="18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</row>
    <row r="1127" spans="1:36" ht="11.25" customHeight="1" x14ac:dyDescent="0.2">
      <c r="A1127" s="58" t="s">
        <v>27</v>
      </c>
      <c r="B1127" s="58" t="s">
        <v>37</v>
      </c>
      <c r="C1127" s="58" t="s">
        <v>23</v>
      </c>
      <c r="D1127" s="58" t="s">
        <v>49</v>
      </c>
      <c r="E1127" s="58" t="s">
        <v>50</v>
      </c>
      <c r="F1127" s="58" t="s">
        <v>25</v>
      </c>
      <c r="G1127" s="58" t="s">
        <v>25</v>
      </c>
      <c r="H1127" s="58" t="s">
        <v>25</v>
      </c>
      <c r="I1127" s="66">
        <v>44774</v>
      </c>
      <c r="J1127" s="67">
        <f>EFEITO!$J$1127*EFEITO!$Y$1111</f>
        <v>0</v>
      </c>
      <c r="K1127" s="67">
        <f ca="1">EFEITO!$L$1127*EFEITO!$Z$1111</f>
        <v>1914.5801399279051</v>
      </c>
      <c r="L1127" s="67">
        <f>EFEITO!$N$1127*EFEITO!$AA$1111</f>
        <v>1613.3062689788158</v>
      </c>
      <c r="M1127" s="67">
        <f>$J$1127-EFEITO!$K$1127*EFEITO!$Y$1127</f>
        <v>0</v>
      </c>
      <c r="N1127" s="67">
        <f ca="1">$K$1127-EFEITO!$M$1127*EFEITO!$Z$1127</f>
        <v>57.437404197837168</v>
      </c>
      <c r="O1127" s="67">
        <f>$L$1127-EFEITO!$O$1127*EFEITO!$AA$1127</f>
        <v>48.399188069364527</v>
      </c>
      <c r="P1127" s="18"/>
      <c r="Q1127" s="18"/>
      <c r="R1127" s="18"/>
      <c r="S1127" s="18"/>
      <c r="T1127" s="18"/>
      <c r="U1127" s="18"/>
      <c r="V1127" s="18"/>
      <c r="W1127" s="18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</row>
    <row r="1128" spans="1:36" ht="11.25" customHeight="1" x14ac:dyDescent="0.2">
      <c r="A1128" s="58" t="s">
        <v>21</v>
      </c>
      <c r="B1128" s="58" t="s">
        <v>37</v>
      </c>
      <c r="C1128" s="58" t="s">
        <v>23</v>
      </c>
      <c r="D1128" s="58" t="s">
        <v>49</v>
      </c>
      <c r="E1128" s="58" t="s">
        <v>50</v>
      </c>
      <c r="F1128" s="58" t="s">
        <v>25</v>
      </c>
      <c r="G1128" s="58" t="s">
        <v>25</v>
      </c>
      <c r="H1128" s="58" t="s">
        <v>25</v>
      </c>
      <c r="I1128" s="66">
        <v>44805</v>
      </c>
      <c r="J1128" s="67">
        <f>EFEITO!$J$1128*EFEITO!$Y$1111</f>
        <v>0</v>
      </c>
      <c r="K1128" s="67">
        <f ca="1">EFEITO!$L$1128*EFEITO!$Z$1111</f>
        <v>322120.62815578445</v>
      </c>
      <c r="L1128" s="67">
        <f>EFEITO!$N$1128*EFEITO!$AA$1111</f>
        <v>271432.47646488698</v>
      </c>
      <c r="M1128" s="67">
        <f>$J$1128-EFEITO!$K$1128*EFEITO!$Y$1128</f>
        <v>0</v>
      </c>
      <c r="N1128" s="67">
        <f ca="1">$K$1128-EFEITO!$M$1128*EFEITO!$Z$1128</f>
        <v>9663.6188446735614</v>
      </c>
      <c r="O1128" s="67">
        <f>$L$1128-EFEITO!$O$1128*EFEITO!$AA$1128</f>
        <v>8142.9742939466378</v>
      </c>
      <c r="P1128" s="18"/>
      <c r="Q1128" s="18"/>
      <c r="R1128" s="18"/>
      <c r="S1128" s="18"/>
      <c r="T1128" s="18"/>
      <c r="U1128" s="18"/>
      <c r="V1128" s="18"/>
      <c r="W1128" s="18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</row>
    <row r="1129" spans="1:36" ht="11.25" customHeight="1" x14ac:dyDescent="0.2">
      <c r="A1129" s="58" t="s">
        <v>27</v>
      </c>
      <c r="B1129" s="58" t="s">
        <v>37</v>
      </c>
      <c r="C1129" s="58" t="s">
        <v>23</v>
      </c>
      <c r="D1129" s="58" t="s">
        <v>49</v>
      </c>
      <c r="E1129" s="58" t="s">
        <v>50</v>
      </c>
      <c r="F1129" s="58" t="s">
        <v>25</v>
      </c>
      <c r="G1129" s="58" t="s">
        <v>25</v>
      </c>
      <c r="H1129" s="58" t="s">
        <v>25</v>
      </c>
      <c r="I1129" s="66">
        <v>44805</v>
      </c>
      <c r="J1129" s="67">
        <f>EFEITO!$J$1129*EFEITO!$Y$1111</f>
        <v>0</v>
      </c>
      <c r="K1129" s="67">
        <f ca="1">EFEITO!$L$1129*EFEITO!$Z$1111</f>
        <v>369.43138353266096</v>
      </c>
      <c r="L1129" s="67">
        <f>EFEITO!$N$1129*EFEITO!$AA$1111</f>
        <v>311.29852158249287</v>
      </c>
      <c r="M1129" s="67">
        <f>$J$1129-EFEITO!$K$1129*EFEITO!$Y$1129</f>
        <v>0</v>
      </c>
      <c r="N1129" s="67">
        <f ca="1">$K$1129-EFEITO!$M$1129*EFEITO!$Z$1129</f>
        <v>11.082941505979818</v>
      </c>
      <c r="O1129" s="67">
        <f>$L$1129-EFEITO!$O$1129*EFEITO!$AA$1129</f>
        <v>9.3389556474747906</v>
      </c>
      <c r="P1129" s="18"/>
      <c r="Q1129" s="18"/>
      <c r="R1129" s="18"/>
      <c r="S1129" s="18"/>
      <c r="T1129" s="18"/>
      <c r="U1129" s="18"/>
      <c r="V1129" s="18"/>
      <c r="W1129" s="18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</row>
    <row r="1130" spans="1:36" ht="11.25" customHeight="1" x14ac:dyDescent="0.2">
      <c r="A1130" s="58" t="s">
        <v>55</v>
      </c>
      <c r="B1130" s="58" t="s">
        <v>37</v>
      </c>
      <c r="C1130" s="58" t="s">
        <v>23</v>
      </c>
      <c r="D1130" s="58" t="s">
        <v>49</v>
      </c>
      <c r="E1130" s="58" t="s">
        <v>50</v>
      </c>
      <c r="F1130" s="58" t="s">
        <v>25</v>
      </c>
      <c r="G1130" s="58" t="s">
        <v>25</v>
      </c>
      <c r="H1130" s="58" t="s">
        <v>25</v>
      </c>
      <c r="I1130" s="66">
        <v>44835</v>
      </c>
      <c r="J1130" s="67">
        <f>EFEITO!$J$1130*EFEITO!$Y$1111</f>
        <v>0</v>
      </c>
      <c r="K1130" s="67">
        <f ca="1">EFEITO!$L$1130*EFEITO!$Z$1111</f>
        <v>322120.62815578445</v>
      </c>
      <c r="L1130" s="67">
        <f>EFEITO!$N$1130*EFEITO!$AA$1111</f>
        <v>271432.47646488698</v>
      </c>
      <c r="M1130" s="67">
        <f>$J$1130-EFEITO!$K$1130*EFEITO!$Y$1130</f>
        <v>0</v>
      </c>
      <c r="N1130" s="67">
        <f ca="1">$K$1130-EFEITO!$M$1130*EFEITO!$Z$1130</f>
        <v>9663.6188446735614</v>
      </c>
      <c r="O1130" s="67">
        <f>$L$1130-EFEITO!$O$1130*EFEITO!$AA$1130</f>
        <v>8142.9742939466378</v>
      </c>
      <c r="P1130" s="18"/>
      <c r="Q1130" s="18"/>
      <c r="R1130" s="18"/>
      <c r="S1130" s="18"/>
      <c r="T1130" s="18"/>
      <c r="U1130" s="18"/>
      <c r="V1130" s="18"/>
      <c r="W1130" s="18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1:36" ht="11.25" customHeight="1" x14ac:dyDescent="0.2">
      <c r="A1131" s="58" t="s">
        <v>55</v>
      </c>
      <c r="B1131" s="58" t="s">
        <v>37</v>
      </c>
      <c r="C1131" s="58" t="s">
        <v>23</v>
      </c>
      <c r="D1131" s="58" t="s">
        <v>49</v>
      </c>
      <c r="E1131" s="58" t="s">
        <v>50</v>
      </c>
      <c r="F1131" s="58" t="s">
        <v>25</v>
      </c>
      <c r="G1131" s="58" t="s">
        <v>25</v>
      </c>
      <c r="H1131" s="58" t="s">
        <v>25</v>
      </c>
      <c r="I1131" s="66">
        <v>44835</v>
      </c>
      <c r="J1131" s="67">
        <f>EFEITO!$J$1131*EFEITO!$Y$1111</f>
        <v>0</v>
      </c>
      <c r="K1131" s="67">
        <f ca="1">EFEITO!$L$1131*EFEITO!$Z$1111</f>
        <v>369.43138353266096</v>
      </c>
      <c r="L1131" s="67">
        <f>EFEITO!$N$1131*EFEITO!$AA$1111</f>
        <v>311.29852158249287</v>
      </c>
      <c r="M1131" s="67">
        <f>$J$1131-EFEITO!$K$1131*EFEITO!$Y$1131</f>
        <v>0</v>
      </c>
      <c r="N1131" s="67">
        <f ca="1">$K$1131-EFEITO!$M$1131*EFEITO!$Z$1131</f>
        <v>11.082941505979818</v>
      </c>
      <c r="O1131" s="67">
        <f>$L$1131-EFEITO!$O$1131*EFEITO!$AA$1131</f>
        <v>9.3389556474747906</v>
      </c>
      <c r="P1131" s="18"/>
      <c r="Q1131" s="18"/>
      <c r="R1131" s="18"/>
      <c r="S1131" s="18"/>
      <c r="T1131" s="18"/>
      <c r="U1131" s="18"/>
      <c r="V1131" s="18"/>
      <c r="W1131" s="18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</row>
    <row r="1132" spans="1:36" ht="11.25" customHeight="1" x14ac:dyDescent="0.2">
      <c r="A1132" s="58" t="s">
        <v>21</v>
      </c>
      <c r="B1132" s="58" t="s">
        <v>46</v>
      </c>
      <c r="C1132" s="58" t="s">
        <v>23</v>
      </c>
      <c r="D1132" s="58" t="s">
        <v>47</v>
      </c>
      <c r="E1132" s="58" t="s">
        <v>48</v>
      </c>
      <c r="F1132" s="58" t="s">
        <v>25</v>
      </c>
      <c r="G1132" s="58" t="s">
        <v>25</v>
      </c>
      <c r="H1132" s="58" t="s">
        <v>25</v>
      </c>
      <c r="I1132" s="66">
        <v>44501</v>
      </c>
      <c r="J1132" s="67">
        <f>EFEITO!$J$1132*EFEITO!$Y$1132</f>
        <v>0</v>
      </c>
      <c r="K1132" s="67">
        <f ca="1">EFEITO!$L$1132*EFEITO!$Z$1132</f>
        <v>709401.11292106472</v>
      </c>
      <c r="L1132" s="67">
        <f>EFEITO!$N$1132*EFEITO!$AA$1132</f>
        <v>597771.40628816863</v>
      </c>
      <c r="M1132" s="67">
        <f>$J$1132-EFEITO!$K$1132*EFEITO!$Y$1132</f>
        <v>0</v>
      </c>
      <c r="N1132" s="67">
        <f ca="1">$K$1132-EFEITO!$M$1132*EFEITO!$Z$1132</f>
        <v>0</v>
      </c>
      <c r="O1132" s="67">
        <f>$L$1132-EFEITO!$O$1132*EFEITO!$AA$1132</f>
        <v>0</v>
      </c>
      <c r="P1132" s="18"/>
      <c r="Q1132" s="18"/>
      <c r="R1132" s="18"/>
      <c r="S1132" s="18"/>
      <c r="T1132" s="18"/>
      <c r="U1132" s="18"/>
      <c r="V1132" s="18"/>
      <c r="W1132" s="18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</row>
    <row r="1133" spans="1:36" ht="11.25" customHeight="1" x14ac:dyDescent="0.2">
      <c r="A1133" s="58" t="s">
        <v>28</v>
      </c>
      <c r="B1133" s="58" t="s">
        <v>46</v>
      </c>
      <c r="C1133" s="58" t="s">
        <v>23</v>
      </c>
      <c r="D1133" s="58" t="s">
        <v>47</v>
      </c>
      <c r="E1133" s="58" t="s">
        <v>48</v>
      </c>
      <c r="F1133" s="58" t="s">
        <v>25</v>
      </c>
      <c r="G1133" s="58" t="s">
        <v>25</v>
      </c>
      <c r="H1133" s="58" t="s">
        <v>25</v>
      </c>
      <c r="I1133" s="66">
        <v>44501</v>
      </c>
      <c r="J1133" s="67">
        <f>EFEITO!$J$1133*EFEITO!$Y$1133</f>
        <v>0</v>
      </c>
      <c r="K1133" s="67">
        <f ca="1">EFEITO!$L$1133*EFEITO!$Z$1133</f>
        <v>61482.358684337472</v>
      </c>
      <c r="L1133" s="67">
        <f>EFEITO!$N$1133*EFEITO!$AA$1133</f>
        <v>51807.637940285349</v>
      </c>
      <c r="M1133" s="67">
        <f>$J$1133-EFEITO!$K$1133*EFEITO!$Y$1133</f>
        <v>0</v>
      </c>
      <c r="N1133" s="67">
        <f ca="1">$K$1133-EFEITO!$M$1133*EFEITO!$Z$1133</f>
        <v>0</v>
      </c>
      <c r="O1133" s="67">
        <f>$L$1133-EFEITO!$O$1133*EFEITO!$AA$1133</f>
        <v>0</v>
      </c>
      <c r="P1133" s="18"/>
      <c r="Q1133" s="18"/>
      <c r="R1133" s="18"/>
      <c r="S1133" s="18"/>
      <c r="T1133" s="18"/>
      <c r="U1133" s="18"/>
      <c r="V1133" s="18"/>
      <c r="W1133" s="18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</row>
    <row r="1134" spans="1:36" ht="11.25" customHeight="1" x14ac:dyDescent="0.2">
      <c r="A1134" s="58" t="s">
        <v>21</v>
      </c>
      <c r="B1134" s="58" t="s">
        <v>46</v>
      </c>
      <c r="C1134" s="58" t="s">
        <v>23</v>
      </c>
      <c r="D1134" s="58" t="s">
        <v>47</v>
      </c>
      <c r="E1134" s="58" t="s">
        <v>48</v>
      </c>
      <c r="F1134" s="58" t="s">
        <v>25</v>
      </c>
      <c r="G1134" s="58" t="s">
        <v>25</v>
      </c>
      <c r="H1134" s="58" t="s">
        <v>25</v>
      </c>
      <c r="I1134" s="66">
        <v>44531</v>
      </c>
      <c r="J1134" s="67">
        <f>EFEITO!$J$1134*EFEITO!$Y$1134</f>
        <v>0</v>
      </c>
      <c r="K1134" s="67">
        <f ca="1">EFEITO!$L$1134*EFEITO!$Z$1134</f>
        <v>739703.22346285882</v>
      </c>
      <c r="L1134" s="67">
        <f>EFEITO!$N$1134*EFEITO!$AA$1134</f>
        <v>623305.24730158597</v>
      </c>
      <c r="M1134" s="67">
        <f>$J$1134-EFEITO!$K$1134*EFEITO!$Y$1134</f>
        <v>0</v>
      </c>
      <c r="N1134" s="67">
        <f ca="1">$K$1134-EFEITO!$M$1134*EFEITO!$Z$1134</f>
        <v>0</v>
      </c>
      <c r="O1134" s="67">
        <f>$L$1134-EFEITO!$O$1134*EFEITO!$AA$1134</f>
        <v>0</v>
      </c>
      <c r="P1134" s="18"/>
      <c r="Q1134" s="18"/>
      <c r="R1134" s="18"/>
      <c r="S1134" s="18"/>
      <c r="T1134" s="18"/>
      <c r="U1134" s="18"/>
      <c r="V1134" s="18"/>
      <c r="W1134" s="18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</row>
    <row r="1135" spans="1:36" ht="11.25" customHeight="1" x14ac:dyDescent="0.2">
      <c r="A1135" s="58" t="s">
        <v>28</v>
      </c>
      <c r="B1135" s="58" t="s">
        <v>46</v>
      </c>
      <c r="C1135" s="58" t="s">
        <v>23</v>
      </c>
      <c r="D1135" s="58" t="s">
        <v>47</v>
      </c>
      <c r="E1135" s="58" t="s">
        <v>48</v>
      </c>
      <c r="F1135" s="58" t="s">
        <v>25</v>
      </c>
      <c r="G1135" s="58" t="s">
        <v>25</v>
      </c>
      <c r="H1135" s="58" t="s">
        <v>25</v>
      </c>
      <c r="I1135" s="66">
        <v>44531</v>
      </c>
      <c r="J1135" s="67">
        <f>EFEITO!$J$1135*EFEITO!$Y$1135</f>
        <v>0</v>
      </c>
      <c r="K1135" s="67">
        <f ca="1">EFEITO!$L$1135*EFEITO!$Z$1135</f>
        <v>63971.073493857017</v>
      </c>
      <c r="L1135" s="67">
        <f>EFEITO!$N$1135*EFEITO!$AA$1135</f>
        <v>53904.734384652256</v>
      </c>
      <c r="M1135" s="67">
        <f>$J$1135-EFEITO!$K$1135*EFEITO!$Y$1135</f>
        <v>0</v>
      </c>
      <c r="N1135" s="67">
        <f ca="1">$K$1135-EFEITO!$M$1135*EFEITO!$Z$1135</f>
        <v>0</v>
      </c>
      <c r="O1135" s="67">
        <f>$L$1135-EFEITO!$O$1135*EFEITO!$AA$1135</f>
        <v>0</v>
      </c>
      <c r="P1135" s="18"/>
      <c r="Q1135" s="18"/>
      <c r="R1135" s="18"/>
      <c r="S1135" s="18"/>
      <c r="T1135" s="18"/>
      <c r="U1135" s="18"/>
      <c r="V1135" s="18"/>
      <c r="W1135" s="18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</row>
    <row r="1136" spans="1:36" ht="11.25" customHeight="1" x14ac:dyDescent="0.2">
      <c r="A1136" s="58" t="s">
        <v>21</v>
      </c>
      <c r="B1136" s="58" t="s">
        <v>46</v>
      </c>
      <c r="C1136" s="58" t="s">
        <v>23</v>
      </c>
      <c r="D1136" s="58" t="s">
        <v>47</v>
      </c>
      <c r="E1136" s="58" t="s">
        <v>48</v>
      </c>
      <c r="F1136" s="58" t="s">
        <v>25</v>
      </c>
      <c r="G1136" s="58" t="s">
        <v>25</v>
      </c>
      <c r="H1136" s="58" t="s">
        <v>25</v>
      </c>
      <c r="I1136" s="66">
        <v>44562</v>
      </c>
      <c r="J1136" s="67">
        <f>EFEITO!$J$1136*EFEITO!$Y$1136</f>
        <v>0</v>
      </c>
      <c r="K1136" s="67">
        <f ca="1">EFEITO!$L$1136*EFEITO!$Z$1136</f>
        <v>731783.96705390362</v>
      </c>
      <c r="L1136" s="67">
        <f>EFEITO!$N$1136*EFEITO!$AA$1136</f>
        <v>616632.14663383376</v>
      </c>
      <c r="M1136" s="67">
        <f>$J$1136-EFEITO!$K$1136*EFEITO!$Y$1136</f>
        <v>0</v>
      </c>
      <c r="N1136" s="67">
        <f ca="1">$K$1136-EFEITO!$M$1136*EFEITO!$Z$1136</f>
        <v>0</v>
      </c>
      <c r="O1136" s="67">
        <f>$L$1136-EFEITO!$O$1136*EFEITO!$AA$1136</f>
        <v>0</v>
      </c>
      <c r="P1136" s="18"/>
      <c r="Q1136" s="18"/>
      <c r="R1136" s="18"/>
      <c r="S1136" s="18"/>
      <c r="T1136" s="18"/>
      <c r="U1136" s="18"/>
      <c r="V1136" s="18"/>
      <c r="W1136" s="18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1:36" ht="11.25" customHeight="1" x14ac:dyDescent="0.2">
      <c r="A1137" s="58" t="s">
        <v>28</v>
      </c>
      <c r="B1137" s="58" t="s">
        <v>46</v>
      </c>
      <c r="C1137" s="58" t="s">
        <v>23</v>
      </c>
      <c r="D1137" s="58" t="s">
        <v>47</v>
      </c>
      <c r="E1137" s="58" t="s">
        <v>48</v>
      </c>
      <c r="F1137" s="58" t="s">
        <v>25</v>
      </c>
      <c r="G1137" s="58" t="s">
        <v>25</v>
      </c>
      <c r="H1137" s="58" t="s">
        <v>25</v>
      </c>
      <c r="I1137" s="66">
        <v>44562</v>
      </c>
      <c r="J1137" s="67">
        <f>EFEITO!$J$1137*EFEITO!$Y$1137</f>
        <v>0</v>
      </c>
      <c r="K1137" s="67">
        <f ca="1">EFEITO!$L$1137*EFEITO!$Z$1137</f>
        <v>60034.814018634737</v>
      </c>
      <c r="L1137" s="67">
        <f>EFEITO!$N$1137*EFEITO!$AA$1137</f>
        <v>50587.875531231533</v>
      </c>
      <c r="M1137" s="67">
        <f>$J$1137-EFEITO!$K$1137*EFEITO!$Y$1137</f>
        <v>0</v>
      </c>
      <c r="N1137" s="67">
        <f ca="1">$K$1137-EFEITO!$M$1137*EFEITO!$Z$1137</f>
        <v>0</v>
      </c>
      <c r="O1137" s="67">
        <f>$L$1137-EFEITO!$O$1137*EFEITO!$AA$1137</f>
        <v>0</v>
      </c>
      <c r="P1137" s="18"/>
      <c r="Q1137" s="18"/>
      <c r="R1137" s="18"/>
      <c r="S1137" s="18"/>
      <c r="T1137" s="18"/>
      <c r="U1137" s="18"/>
      <c r="V1137" s="18"/>
      <c r="W1137" s="18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</row>
    <row r="1138" spans="1:36" ht="11.25" customHeight="1" x14ac:dyDescent="0.2">
      <c r="A1138" s="58" t="s">
        <v>21</v>
      </c>
      <c r="B1138" s="58" t="s">
        <v>46</v>
      </c>
      <c r="C1138" s="58" t="s">
        <v>23</v>
      </c>
      <c r="D1138" s="58" t="s">
        <v>47</v>
      </c>
      <c r="E1138" s="58" t="s">
        <v>48</v>
      </c>
      <c r="F1138" s="58" t="s">
        <v>25</v>
      </c>
      <c r="G1138" s="58" t="s">
        <v>25</v>
      </c>
      <c r="H1138" s="58" t="s">
        <v>25</v>
      </c>
      <c r="I1138" s="66">
        <v>44593</v>
      </c>
      <c r="J1138" s="67">
        <f>EFEITO!$J$1138*EFEITO!$Y$1138</f>
        <v>0</v>
      </c>
      <c r="K1138" s="67">
        <f ca="1">EFEITO!$L$1138*EFEITO!$Z$1138</f>
        <v>644402.91246341285</v>
      </c>
      <c r="L1138" s="67">
        <f>EFEITO!$N$1138*EFEITO!$AA$1138</f>
        <v>543001.17124612955</v>
      </c>
      <c r="M1138" s="67">
        <f>$J$1138-EFEITO!$K$1138*EFEITO!$Y$1138</f>
        <v>0</v>
      </c>
      <c r="N1138" s="67">
        <f ca="1">$K$1138-EFEITO!$M$1138*EFEITO!$Z$1138</f>
        <v>0</v>
      </c>
      <c r="O1138" s="67">
        <f>$L$1138-EFEITO!$O$1138*EFEITO!$AA$1138</f>
        <v>0</v>
      </c>
      <c r="P1138" s="18"/>
      <c r="Q1138" s="18"/>
      <c r="R1138" s="18"/>
      <c r="S1138" s="18"/>
      <c r="T1138" s="18"/>
      <c r="U1138" s="18"/>
      <c r="V1138" s="18"/>
      <c r="W1138" s="18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</row>
    <row r="1139" spans="1:36" ht="11.25" customHeight="1" x14ac:dyDescent="0.2">
      <c r="A1139" s="58" t="s">
        <v>28</v>
      </c>
      <c r="B1139" s="58" t="s">
        <v>46</v>
      </c>
      <c r="C1139" s="58" t="s">
        <v>23</v>
      </c>
      <c r="D1139" s="58" t="s">
        <v>47</v>
      </c>
      <c r="E1139" s="58" t="s">
        <v>48</v>
      </c>
      <c r="F1139" s="58" t="s">
        <v>25</v>
      </c>
      <c r="G1139" s="58" t="s">
        <v>25</v>
      </c>
      <c r="H1139" s="58" t="s">
        <v>25</v>
      </c>
      <c r="I1139" s="66">
        <v>44593</v>
      </c>
      <c r="J1139" s="67">
        <f>EFEITO!$J$1139*EFEITO!$Y$1139</f>
        <v>0</v>
      </c>
      <c r="K1139" s="67">
        <f ca="1">EFEITO!$L$1139*EFEITO!$Z$1139</f>
        <v>58761.053705703955</v>
      </c>
      <c r="L1139" s="67">
        <f>EFEITO!$N$1139*EFEITO!$AA$1139</f>
        <v>49514.551174015003</v>
      </c>
      <c r="M1139" s="67">
        <f>$J$1139-EFEITO!$K$1139*EFEITO!$Y$1139</f>
        <v>0</v>
      </c>
      <c r="N1139" s="67">
        <f ca="1">$K$1139-EFEITO!$M$1139*EFEITO!$Z$1139</f>
        <v>0</v>
      </c>
      <c r="O1139" s="67">
        <f>$L$1139-EFEITO!$O$1139*EFEITO!$AA$1139</f>
        <v>0</v>
      </c>
      <c r="P1139" s="18"/>
      <c r="Q1139" s="18"/>
      <c r="R1139" s="18"/>
      <c r="S1139" s="18"/>
      <c r="T1139" s="18"/>
      <c r="U1139" s="18"/>
      <c r="V1139" s="18"/>
      <c r="W1139" s="18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</row>
    <row r="1140" spans="1:36" ht="11.25" customHeight="1" x14ac:dyDescent="0.2">
      <c r="A1140" s="58" t="s">
        <v>21</v>
      </c>
      <c r="B1140" s="58" t="s">
        <v>46</v>
      </c>
      <c r="C1140" s="58" t="s">
        <v>23</v>
      </c>
      <c r="D1140" s="58" t="s">
        <v>47</v>
      </c>
      <c r="E1140" s="58" t="s">
        <v>48</v>
      </c>
      <c r="F1140" s="58" t="s">
        <v>25</v>
      </c>
      <c r="G1140" s="58" t="s">
        <v>25</v>
      </c>
      <c r="H1140" s="58" t="s">
        <v>25</v>
      </c>
      <c r="I1140" s="66">
        <v>44621</v>
      </c>
      <c r="J1140" s="67">
        <f>EFEITO!$J$1140*EFEITO!$Y$1140</f>
        <v>0</v>
      </c>
      <c r="K1140" s="67">
        <f ca="1">EFEITO!$L$1140*EFEITO!$Z$1140</f>
        <v>713543.85102754761</v>
      </c>
      <c r="L1140" s="67">
        <f>EFEITO!$N$1140*EFEITO!$AA$1140</f>
        <v>601262.25277641113</v>
      </c>
      <c r="M1140" s="67">
        <f>$J$1140-EFEITO!$K$1140*EFEITO!$Y$1140</f>
        <v>0</v>
      </c>
      <c r="N1140" s="67">
        <f ca="1">$K$1140-EFEITO!$M$1140*EFEITO!$Z$1140</f>
        <v>0</v>
      </c>
      <c r="O1140" s="67">
        <f>$L$1140-EFEITO!$O$1140*EFEITO!$AA$1140</f>
        <v>0</v>
      </c>
      <c r="P1140" s="18"/>
      <c r="Q1140" s="18"/>
      <c r="R1140" s="18"/>
      <c r="S1140" s="18"/>
      <c r="T1140" s="18"/>
      <c r="U1140" s="18"/>
      <c r="V1140" s="18"/>
      <c r="W1140" s="18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</row>
    <row r="1141" spans="1:36" ht="11.25" customHeight="1" x14ac:dyDescent="0.2">
      <c r="A1141" s="58" t="s">
        <v>28</v>
      </c>
      <c r="B1141" s="58" t="s">
        <v>46</v>
      </c>
      <c r="C1141" s="58" t="s">
        <v>23</v>
      </c>
      <c r="D1141" s="58" t="s">
        <v>47</v>
      </c>
      <c r="E1141" s="58" t="s">
        <v>48</v>
      </c>
      <c r="F1141" s="58" t="s">
        <v>25</v>
      </c>
      <c r="G1141" s="58" t="s">
        <v>25</v>
      </c>
      <c r="H1141" s="58" t="s">
        <v>25</v>
      </c>
      <c r="I1141" s="66">
        <v>44621</v>
      </c>
      <c r="J1141" s="67">
        <f>EFEITO!$J$1141*EFEITO!$Y$1141</f>
        <v>0</v>
      </c>
      <c r="K1141" s="67">
        <f ca="1">EFEITO!$L$1141*EFEITO!$Z$1141</f>
        <v>66368.946482609404</v>
      </c>
      <c r="L1141" s="67">
        <f>EFEITO!$N$1141*EFEITO!$AA$1141</f>
        <v>55925.283665558753</v>
      </c>
      <c r="M1141" s="67">
        <f>$J$1141-EFEITO!$K$1141*EFEITO!$Y$1141</f>
        <v>0</v>
      </c>
      <c r="N1141" s="67">
        <f ca="1">$K$1141-EFEITO!$M$1141*EFEITO!$Z$1141</f>
        <v>0</v>
      </c>
      <c r="O1141" s="67">
        <f>$L$1141-EFEITO!$O$1141*EFEITO!$AA$1141</f>
        <v>0</v>
      </c>
      <c r="P1141" s="18"/>
      <c r="Q1141" s="18"/>
      <c r="R1141" s="18"/>
      <c r="S1141" s="18"/>
      <c r="T1141" s="18"/>
      <c r="U1141" s="18"/>
      <c r="V1141" s="18"/>
      <c r="W1141" s="18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</row>
    <row r="1142" spans="1:36" ht="11.25" customHeight="1" x14ac:dyDescent="0.2">
      <c r="A1142" s="58" t="s">
        <v>21</v>
      </c>
      <c r="B1142" s="58" t="s">
        <v>46</v>
      </c>
      <c r="C1142" s="58" t="s">
        <v>23</v>
      </c>
      <c r="D1142" s="58" t="s">
        <v>47</v>
      </c>
      <c r="E1142" s="58" t="s">
        <v>48</v>
      </c>
      <c r="F1142" s="58" t="s">
        <v>25</v>
      </c>
      <c r="G1142" s="58" t="s">
        <v>25</v>
      </c>
      <c r="H1142" s="58" t="s">
        <v>25</v>
      </c>
      <c r="I1142" s="66">
        <v>44652</v>
      </c>
      <c r="J1142" s="67">
        <f>EFEITO!$J$1142*EFEITO!$Y$1142</f>
        <v>0</v>
      </c>
      <c r="K1142" s="67">
        <f ca="1">EFEITO!$L$1142*EFEITO!$Z$1142</f>
        <v>713543.85102754761</v>
      </c>
      <c r="L1142" s="67">
        <f>EFEITO!$N$1142*EFEITO!$AA$1142</f>
        <v>601262.25277641113</v>
      </c>
      <c r="M1142" s="67">
        <f>$J$1142-EFEITO!$K$1142*EFEITO!$Y$1142</f>
        <v>0</v>
      </c>
      <c r="N1142" s="67">
        <f ca="1">$K$1142-EFEITO!$M$1142*EFEITO!$Z$1142</f>
        <v>0</v>
      </c>
      <c r="O1142" s="67">
        <f>$L$1142-EFEITO!$O$1142*EFEITO!$AA$1142</f>
        <v>0</v>
      </c>
      <c r="P1142" s="18"/>
      <c r="Q1142" s="18"/>
      <c r="R1142" s="18"/>
      <c r="S1142" s="18"/>
      <c r="T1142" s="18"/>
      <c r="U1142" s="18"/>
      <c r="V1142" s="18"/>
      <c r="W1142" s="18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1:36" ht="11.25" customHeight="1" x14ac:dyDescent="0.2">
      <c r="A1143" s="58" t="s">
        <v>28</v>
      </c>
      <c r="B1143" s="58" t="s">
        <v>46</v>
      </c>
      <c r="C1143" s="58" t="s">
        <v>23</v>
      </c>
      <c r="D1143" s="58" t="s">
        <v>47</v>
      </c>
      <c r="E1143" s="58" t="s">
        <v>48</v>
      </c>
      <c r="F1143" s="58" t="s">
        <v>25</v>
      </c>
      <c r="G1143" s="58" t="s">
        <v>25</v>
      </c>
      <c r="H1143" s="58" t="s">
        <v>25</v>
      </c>
      <c r="I1143" s="66">
        <v>44652</v>
      </c>
      <c r="J1143" s="67">
        <f>EFEITO!$J$1143*EFEITO!$Y$1143</f>
        <v>0</v>
      </c>
      <c r="K1143" s="67">
        <f ca="1">EFEITO!$L$1143*EFEITO!$Z$1143</f>
        <v>66368.946482609404</v>
      </c>
      <c r="L1143" s="67">
        <f>EFEITO!$N$1143*EFEITO!$AA$1143</f>
        <v>55925.283665558753</v>
      </c>
      <c r="M1143" s="67">
        <f>$J$1143-EFEITO!$K$1143*EFEITO!$Y$1143</f>
        <v>0</v>
      </c>
      <c r="N1143" s="67">
        <f ca="1">$K$1143-EFEITO!$M$1143*EFEITO!$Z$1143</f>
        <v>0</v>
      </c>
      <c r="O1143" s="67">
        <f>$L$1143-EFEITO!$O$1143*EFEITO!$AA$1143</f>
        <v>0</v>
      </c>
      <c r="P1143" s="18"/>
      <c r="Q1143" s="18"/>
      <c r="R1143" s="18"/>
      <c r="S1143" s="18"/>
      <c r="T1143" s="18"/>
      <c r="U1143" s="18"/>
      <c r="V1143" s="18"/>
      <c r="W1143" s="18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</row>
    <row r="1144" spans="1:36" ht="11.25" customHeight="1" x14ac:dyDescent="0.2">
      <c r="A1144" s="58" t="s">
        <v>21</v>
      </c>
      <c r="B1144" s="58" t="s">
        <v>46</v>
      </c>
      <c r="C1144" s="58" t="s">
        <v>23</v>
      </c>
      <c r="D1144" s="58" t="s">
        <v>47</v>
      </c>
      <c r="E1144" s="58" t="s">
        <v>48</v>
      </c>
      <c r="F1144" s="58" t="s">
        <v>25</v>
      </c>
      <c r="G1144" s="58" t="s">
        <v>25</v>
      </c>
      <c r="H1144" s="58" t="s">
        <v>25</v>
      </c>
      <c r="I1144" s="66">
        <v>44682</v>
      </c>
      <c r="J1144" s="67">
        <f>EFEITO!$J$1144*EFEITO!$Y$1144</f>
        <v>0</v>
      </c>
      <c r="K1144" s="67">
        <f ca="1">EFEITO!$L$1144*EFEITO!$Z$1144</f>
        <v>711417.62580234534</v>
      </c>
      <c r="L1144" s="67">
        <f>EFEITO!$N$1144*EFEITO!$AA$1144</f>
        <v>599470.60539976542</v>
      </c>
      <c r="M1144" s="67">
        <f>$J$1144-EFEITO!$K$1144*EFEITO!$Y$1144</f>
        <v>0</v>
      </c>
      <c r="N1144" s="67">
        <f ca="1">$K$1144-EFEITO!$M$1144*EFEITO!$Z$1144</f>
        <v>0</v>
      </c>
      <c r="O1144" s="67">
        <f>$L$1144-EFEITO!$O$1144*EFEITO!$AA$1144</f>
        <v>0</v>
      </c>
      <c r="P1144" s="18"/>
      <c r="Q1144" s="18"/>
      <c r="R1144" s="18"/>
      <c r="S1144" s="18"/>
      <c r="T1144" s="18"/>
      <c r="U1144" s="18"/>
      <c r="V1144" s="18"/>
      <c r="W1144" s="18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</row>
    <row r="1145" spans="1:36" ht="11.25" customHeight="1" x14ac:dyDescent="0.2">
      <c r="A1145" s="58" t="s">
        <v>28</v>
      </c>
      <c r="B1145" s="58" t="s">
        <v>46</v>
      </c>
      <c r="C1145" s="58" t="s">
        <v>23</v>
      </c>
      <c r="D1145" s="58" t="s">
        <v>47</v>
      </c>
      <c r="E1145" s="58" t="s">
        <v>48</v>
      </c>
      <c r="F1145" s="58" t="s">
        <v>25</v>
      </c>
      <c r="G1145" s="58" t="s">
        <v>25</v>
      </c>
      <c r="H1145" s="58" t="s">
        <v>25</v>
      </c>
      <c r="I1145" s="66">
        <v>44682</v>
      </c>
      <c r="J1145" s="67">
        <f>EFEITO!$J$1145*EFEITO!$Y$1145</f>
        <v>0</v>
      </c>
      <c r="K1145" s="67">
        <f ca="1">EFEITO!$L$1145*EFEITO!$Z$1145</f>
        <v>253940.19124113576</v>
      </c>
      <c r="L1145" s="67">
        <f>EFEITO!$N$1145*EFEITO!$AA$1145</f>
        <v>213980.75428194433</v>
      </c>
      <c r="M1145" s="67">
        <f>$J$1145-EFEITO!$K$1145*EFEITO!$Y$1145</f>
        <v>0</v>
      </c>
      <c r="N1145" s="67">
        <f ca="1">$K$1145-EFEITO!$M$1145*EFEITO!$Z$1145</f>
        <v>0</v>
      </c>
      <c r="O1145" s="67">
        <f>$L$1145-EFEITO!$O$1145*EFEITO!$AA$1145</f>
        <v>0</v>
      </c>
      <c r="P1145" s="18"/>
      <c r="Q1145" s="18"/>
      <c r="R1145" s="18"/>
      <c r="S1145" s="18"/>
      <c r="T1145" s="18"/>
      <c r="U1145" s="18"/>
      <c r="V1145" s="18"/>
      <c r="W1145" s="18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</row>
    <row r="1146" spans="1:36" ht="11.25" customHeight="1" x14ac:dyDescent="0.2">
      <c r="A1146" s="58" t="s">
        <v>21</v>
      </c>
      <c r="B1146" s="58" t="s">
        <v>46</v>
      </c>
      <c r="C1146" s="58" t="s">
        <v>23</v>
      </c>
      <c r="D1146" s="58" t="s">
        <v>47</v>
      </c>
      <c r="E1146" s="58" t="s">
        <v>48</v>
      </c>
      <c r="F1146" s="58" t="s">
        <v>25</v>
      </c>
      <c r="G1146" s="58" t="s">
        <v>25</v>
      </c>
      <c r="H1146" s="58" t="s">
        <v>25</v>
      </c>
      <c r="I1146" s="66">
        <v>44713</v>
      </c>
      <c r="J1146" s="67">
        <f>EFEITO!$J$1146*EFEITO!$Y$1146</f>
        <v>0</v>
      </c>
      <c r="K1146" s="67">
        <f ca="1">EFEITO!$L$1146*EFEITO!$Z$1146</f>
        <v>690164.58938721183</v>
      </c>
      <c r="L1146" s="67">
        <f>EFEITO!$N$1146*EFEITO!$AA$1146</f>
        <v>581561.89728757273</v>
      </c>
      <c r="M1146" s="67">
        <f>$J$1146-EFEITO!$K$1146*EFEITO!$Y$1146</f>
        <v>0</v>
      </c>
      <c r="N1146" s="67">
        <f ca="1">$K$1146-EFEITO!$M$1146*EFEITO!$Z$1146</f>
        <v>0</v>
      </c>
      <c r="O1146" s="67">
        <f>$L$1146-EFEITO!$O$1146*EFEITO!$AA$1146</f>
        <v>0</v>
      </c>
      <c r="P1146" s="18"/>
      <c r="Q1146" s="18"/>
      <c r="R1146" s="18"/>
      <c r="S1146" s="18"/>
      <c r="T1146" s="18"/>
      <c r="U1146" s="18"/>
      <c r="V1146" s="18"/>
      <c r="W1146" s="18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</row>
    <row r="1147" spans="1:36" ht="11.25" customHeight="1" x14ac:dyDescent="0.2">
      <c r="A1147" s="58" t="s">
        <v>27</v>
      </c>
      <c r="B1147" s="58" t="s">
        <v>46</v>
      </c>
      <c r="C1147" s="58" t="s">
        <v>23</v>
      </c>
      <c r="D1147" s="58" t="s">
        <v>47</v>
      </c>
      <c r="E1147" s="58" t="s">
        <v>48</v>
      </c>
      <c r="F1147" s="58" t="s">
        <v>25</v>
      </c>
      <c r="G1147" s="58" t="s">
        <v>25</v>
      </c>
      <c r="H1147" s="58" t="s">
        <v>25</v>
      </c>
      <c r="I1147" s="66">
        <v>44713</v>
      </c>
      <c r="J1147" s="67">
        <f>EFEITO!$J$1147*EFEITO!$Y$1147</f>
        <v>0</v>
      </c>
      <c r="K1147" s="67">
        <f ca="1">EFEITO!$L$1147*EFEITO!$Z$1147</f>
        <v>-90379.931799246187</v>
      </c>
      <c r="L1147" s="67">
        <f>EFEITO!$N$1147*EFEITO!$AA$1147</f>
        <v>-76157.956264548047</v>
      </c>
      <c r="M1147" s="67">
        <f>$J$1147-EFEITO!$K$1147*EFEITO!$Y$1147</f>
        <v>0</v>
      </c>
      <c r="N1147" s="67">
        <f ca="1">$K$1147-EFEITO!$M$1147*EFEITO!$Z$1147</f>
        <v>0</v>
      </c>
      <c r="O1147" s="67">
        <f>$L$1147-EFEITO!$O$1147*EFEITO!$AA$1147</f>
        <v>0</v>
      </c>
      <c r="P1147" s="18"/>
      <c r="Q1147" s="18"/>
      <c r="R1147" s="18"/>
      <c r="S1147" s="18"/>
      <c r="T1147" s="18"/>
      <c r="U1147" s="18"/>
      <c r="V1147" s="18"/>
      <c r="W1147" s="18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</row>
    <row r="1148" spans="1:36" ht="11.25" customHeight="1" x14ac:dyDescent="0.2">
      <c r="A1148" s="58" t="s">
        <v>28</v>
      </c>
      <c r="B1148" s="58" t="s">
        <v>46</v>
      </c>
      <c r="C1148" s="58" t="s">
        <v>23</v>
      </c>
      <c r="D1148" s="58" t="s">
        <v>47</v>
      </c>
      <c r="E1148" s="58" t="s">
        <v>48</v>
      </c>
      <c r="F1148" s="58" t="s">
        <v>25</v>
      </c>
      <c r="G1148" s="58" t="s">
        <v>25</v>
      </c>
      <c r="H1148" s="58" t="s">
        <v>25</v>
      </c>
      <c r="I1148" s="66">
        <v>44713</v>
      </c>
      <c r="J1148" s="67">
        <f>EFEITO!$J$1148*EFEITO!$Y$1148</f>
        <v>0</v>
      </c>
      <c r="K1148" s="67">
        <f ca="1">EFEITO!$L$1148*EFEITO!$Z$1148</f>
        <v>64133.008913485428</v>
      </c>
      <c r="L1148" s="67">
        <f>EFEITO!$N$1148*EFEITO!$AA$1148</f>
        <v>54041.188023864284</v>
      </c>
      <c r="M1148" s="67">
        <f>$J$1148-EFEITO!$K$1148*EFEITO!$Y$1148</f>
        <v>0</v>
      </c>
      <c r="N1148" s="67">
        <f ca="1">$K$1148-EFEITO!$M$1148*EFEITO!$Z$1148</f>
        <v>0</v>
      </c>
      <c r="O1148" s="67">
        <f>$L$1148-EFEITO!$O$1148*EFEITO!$AA$1148</f>
        <v>0</v>
      </c>
      <c r="P1148" s="18"/>
      <c r="Q1148" s="18"/>
      <c r="R1148" s="18"/>
      <c r="S1148" s="18"/>
      <c r="T1148" s="18"/>
      <c r="U1148" s="18"/>
      <c r="V1148" s="18"/>
      <c r="W1148" s="18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</row>
    <row r="1149" spans="1:36" ht="11.25" customHeight="1" x14ac:dyDescent="0.2">
      <c r="A1149" s="58" t="s">
        <v>21</v>
      </c>
      <c r="B1149" s="58" t="s">
        <v>46</v>
      </c>
      <c r="C1149" s="58" t="s">
        <v>23</v>
      </c>
      <c r="D1149" s="58" t="s">
        <v>47</v>
      </c>
      <c r="E1149" s="58" t="s">
        <v>48</v>
      </c>
      <c r="F1149" s="58" t="s">
        <v>25</v>
      </c>
      <c r="G1149" s="58" t="s">
        <v>25</v>
      </c>
      <c r="H1149" s="58" t="s">
        <v>25</v>
      </c>
      <c r="I1149" s="66">
        <v>44743</v>
      </c>
      <c r="J1149" s="67">
        <f>EFEITO!$J$1149*EFEITO!$Y$1149</f>
        <v>0</v>
      </c>
      <c r="K1149" s="67">
        <f ca="1">EFEITO!$L$1149*EFEITO!$Z$1149</f>
        <v>717363.1571441493</v>
      </c>
      <c r="L1149" s="67">
        <f>EFEITO!$N$1149*EFEITO!$AA$1149</f>
        <v>604480.56177928986</v>
      </c>
      <c r="M1149" s="67">
        <f>$J$1149-EFEITO!$K$1149*EFEITO!$Y$1149</f>
        <v>0</v>
      </c>
      <c r="N1149" s="67">
        <f ca="1">$K$1149-EFEITO!$M$1149*EFEITO!$Z$1149</f>
        <v>0</v>
      </c>
      <c r="O1149" s="67">
        <f>$L$1149-EFEITO!$O$1149*EFEITO!$AA$1149</f>
        <v>0</v>
      </c>
      <c r="P1149" s="18"/>
      <c r="Q1149" s="18"/>
      <c r="R1149" s="18"/>
      <c r="S1149" s="18"/>
      <c r="T1149" s="18"/>
      <c r="U1149" s="18"/>
      <c r="V1149" s="18"/>
      <c r="W1149" s="18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</row>
    <row r="1150" spans="1:36" ht="11.25" customHeight="1" x14ac:dyDescent="0.2">
      <c r="A1150" s="58" t="s">
        <v>28</v>
      </c>
      <c r="B1150" s="58" t="s">
        <v>46</v>
      </c>
      <c r="C1150" s="58" t="s">
        <v>23</v>
      </c>
      <c r="D1150" s="58" t="s">
        <v>47</v>
      </c>
      <c r="E1150" s="58" t="s">
        <v>48</v>
      </c>
      <c r="F1150" s="58" t="s">
        <v>25</v>
      </c>
      <c r="G1150" s="58" t="s">
        <v>25</v>
      </c>
      <c r="H1150" s="58" t="s">
        <v>25</v>
      </c>
      <c r="I1150" s="66">
        <v>44743</v>
      </c>
      <c r="J1150" s="67">
        <f>EFEITO!$J$1150*EFEITO!$Y$1150</f>
        <v>0</v>
      </c>
      <c r="K1150" s="67">
        <f ca="1">EFEITO!$L$1150*EFEITO!$Z$1150</f>
        <v>59803.979247023504</v>
      </c>
      <c r="L1150" s="67">
        <f>EFEITO!$N$1150*EFEITO!$AA$1150</f>
        <v>50393.364381568863</v>
      </c>
      <c r="M1150" s="67">
        <f>$J$1150-EFEITO!$K$1150*EFEITO!$Y$1150</f>
        <v>0</v>
      </c>
      <c r="N1150" s="67">
        <f ca="1">$K$1150-EFEITO!$M$1150*EFEITO!$Z$1150</f>
        <v>0</v>
      </c>
      <c r="O1150" s="67">
        <f>$L$1150-EFEITO!$O$1150*EFEITO!$AA$1150</f>
        <v>0</v>
      </c>
      <c r="P1150" s="18"/>
      <c r="Q1150" s="18"/>
      <c r="R1150" s="18"/>
      <c r="S1150" s="18"/>
      <c r="T1150" s="18"/>
      <c r="U1150" s="18"/>
      <c r="V1150" s="18"/>
      <c r="W1150" s="18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</row>
    <row r="1151" spans="1:36" ht="11.25" customHeight="1" x14ac:dyDescent="0.2">
      <c r="A1151" s="58" t="s">
        <v>21</v>
      </c>
      <c r="B1151" s="58" t="s">
        <v>46</v>
      </c>
      <c r="C1151" s="58" t="s">
        <v>23</v>
      </c>
      <c r="D1151" s="58" t="s">
        <v>47</v>
      </c>
      <c r="E1151" s="58" t="s">
        <v>48</v>
      </c>
      <c r="F1151" s="58" t="s">
        <v>25</v>
      </c>
      <c r="G1151" s="58" t="s">
        <v>25</v>
      </c>
      <c r="H1151" s="58" t="s">
        <v>25</v>
      </c>
      <c r="I1151" s="66">
        <v>44774</v>
      </c>
      <c r="J1151" s="67">
        <f>EFEITO!$J$1151*EFEITO!$Y$1151</f>
        <v>0</v>
      </c>
      <c r="K1151" s="67">
        <f ca="1">EFEITO!$L$1151*EFEITO!$Z$1151</f>
        <v>713020.30372235319</v>
      </c>
      <c r="L1151" s="67">
        <f>EFEITO!$N$1151*EFEITO!$AA$1151</f>
        <v>600821.08965559828</v>
      </c>
      <c r="M1151" s="67">
        <f>$J$1151-EFEITO!$K$1151*EFEITO!$Y$1151</f>
        <v>0</v>
      </c>
      <c r="N1151" s="67">
        <f ca="1">$K$1151-EFEITO!$M$1151*EFEITO!$Z$1151</f>
        <v>0</v>
      </c>
      <c r="O1151" s="67">
        <f>$L$1151-EFEITO!$O$1151*EFEITO!$AA$1151</f>
        <v>0</v>
      </c>
      <c r="P1151" s="18"/>
      <c r="Q1151" s="18"/>
      <c r="R1151" s="18"/>
      <c r="S1151" s="18"/>
      <c r="T1151" s="18"/>
      <c r="U1151" s="18"/>
      <c r="V1151" s="18"/>
      <c r="W1151" s="18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</row>
    <row r="1152" spans="1:36" ht="11.25" customHeight="1" x14ac:dyDescent="0.2">
      <c r="A1152" s="58" t="s">
        <v>28</v>
      </c>
      <c r="B1152" s="58" t="s">
        <v>46</v>
      </c>
      <c r="C1152" s="58" t="s">
        <v>23</v>
      </c>
      <c r="D1152" s="58" t="s">
        <v>47</v>
      </c>
      <c r="E1152" s="58" t="s">
        <v>48</v>
      </c>
      <c r="F1152" s="58" t="s">
        <v>25</v>
      </c>
      <c r="G1152" s="58" t="s">
        <v>25</v>
      </c>
      <c r="H1152" s="58" t="s">
        <v>25</v>
      </c>
      <c r="I1152" s="66">
        <v>44774</v>
      </c>
      <c r="J1152" s="67">
        <f>EFEITO!$J$1152*EFEITO!$Y$1152</f>
        <v>0</v>
      </c>
      <c r="K1152" s="67">
        <f ca="1">EFEITO!$L$1152*EFEITO!$Z$1152</f>
        <v>68494.952283123828</v>
      </c>
      <c r="L1152" s="67">
        <f>EFEITO!$N$1152*EFEITO!$AA$1152</f>
        <v>57716.746145674326</v>
      </c>
      <c r="M1152" s="67">
        <f>$J$1152-EFEITO!$K$1152*EFEITO!$Y$1152</f>
        <v>0</v>
      </c>
      <c r="N1152" s="67">
        <f ca="1">$K$1152-EFEITO!$M$1152*EFEITO!$Z$1152</f>
        <v>0</v>
      </c>
      <c r="O1152" s="67">
        <f>$L$1152-EFEITO!$O$1152*EFEITO!$AA$1152</f>
        <v>0</v>
      </c>
      <c r="P1152" s="18"/>
      <c r="Q1152" s="18"/>
      <c r="R1152" s="18"/>
      <c r="S1152" s="18"/>
      <c r="T1152" s="18"/>
      <c r="U1152" s="18"/>
      <c r="V1152" s="18"/>
      <c r="W1152" s="18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</row>
    <row r="1153" spans="1:36" ht="11.25" customHeight="1" x14ac:dyDescent="0.2">
      <c r="A1153" s="58" t="s">
        <v>21</v>
      </c>
      <c r="B1153" s="58" t="s">
        <v>46</v>
      </c>
      <c r="C1153" s="58" t="s">
        <v>23</v>
      </c>
      <c r="D1153" s="58" t="s">
        <v>47</v>
      </c>
      <c r="E1153" s="58" t="s">
        <v>48</v>
      </c>
      <c r="F1153" s="58" t="s">
        <v>25</v>
      </c>
      <c r="G1153" s="58" t="s">
        <v>25</v>
      </c>
      <c r="H1153" s="58" t="s">
        <v>25</v>
      </c>
      <c r="I1153" s="66">
        <v>44805</v>
      </c>
      <c r="J1153" s="67">
        <f>EFEITO!$J$1153*EFEITO!$Y$1153</f>
        <v>0</v>
      </c>
      <c r="K1153" s="67">
        <f ca="1">EFEITO!$L$1153*EFEITO!$Z$1153</f>
        <v>691329.73447966017</v>
      </c>
      <c r="L1153" s="67">
        <f>EFEITO!$N$1153*EFEITO!$AA$1153</f>
        <v>582543.69786239101</v>
      </c>
      <c r="M1153" s="67">
        <f>$J$1153-EFEITO!$K$1153*EFEITO!$Y$1153</f>
        <v>0</v>
      </c>
      <c r="N1153" s="67">
        <f ca="1">$K$1153-EFEITO!$M$1153*EFEITO!$Z$1153</f>
        <v>0</v>
      </c>
      <c r="O1153" s="67">
        <f>$L$1153-EFEITO!$O$1153*EFEITO!$AA$1153</f>
        <v>0</v>
      </c>
      <c r="P1153" s="18"/>
      <c r="Q1153" s="18"/>
      <c r="R1153" s="18"/>
      <c r="S1153" s="18"/>
      <c r="T1153" s="18"/>
      <c r="U1153" s="18"/>
      <c r="V1153" s="18"/>
      <c r="W1153" s="18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</row>
    <row r="1154" spans="1:36" ht="11.25" customHeight="1" x14ac:dyDescent="0.2">
      <c r="A1154" s="58" t="s">
        <v>28</v>
      </c>
      <c r="B1154" s="58" t="s">
        <v>46</v>
      </c>
      <c r="C1154" s="58" t="s">
        <v>23</v>
      </c>
      <c r="D1154" s="58" t="s">
        <v>47</v>
      </c>
      <c r="E1154" s="58" t="s">
        <v>48</v>
      </c>
      <c r="F1154" s="58" t="s">
        <v>25</v>
      </c>
      <c r="G1154" s="58" t="s">
        <v>25</v>
      </c>
      <c r="H1154" s="58" t="s">
        <v>25</v>
      </c>
      <c r="I1154" s="66">
        <v>44805</v>
      </c>
      <c r="J1154" s="67">
        <f>EFEITO!$J$1154*EFEITO!$Y$1154</f>
        <v>0</v>
      </c>
      <c r="K1154" s="67">
        <f ca="1">EFEITO!$L$1154*EFEITO!$Z$1154</f>
        <v>62351.719297572927</v>
      </c>
      <c r="L1154" s="67">
        <f>EFEITO!$N$1154*EFEITO!$AA$1154</f>
        <v>52540.197992532027</v>
      </c>
      <c r="M1154" s="67">
        <f>$J$1154-EFEITO!$K$1154*EFEITO!$Y$1154</f>
        <v>0</v>
      </c>
      <c r="N1154" s="67">
        <f ca="1">$K$1154-EFEITO!$M$1154*EFEITO!$Z$1154</f>
        <v>0</v>
      </c>
      <c r="O1154" s="67">
        <f>$L$1154-EFEITO!$O$1154*EFEITO!$AA$1154</f>
        <v>0</v>
      </c>
      <c r="P1154" s="18"/>
      <c r="Q1154" s="18"/>
      <c r="R1154" s="18"/>
      <c r="S1154" s="18"/>
      <c r="T1154" s="18"/>
      <c r="U1154" s="18"/>
      <c r="V1154" s="18"/>
      <c r="W1154" s="18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</row>
    <row r="1155" spans="1:36" ht="11.25" customHeight="1" x14ac:dyDescent="0.2">
      <c r="A1155" s="58" t="s">
        <v>55</v>
      </c>
      <c r="B1155" s="58" t="s">
        <v>46</v>
      </c>
      <c r="C1155" s="58" t="s">
        <v>23</v>
      </c>
      <c r="D1155" s="58" t="s">
        <v>47</v>
      </c>
      <c r="E1155" s="58" t="s">
        <v>48</v>
      </c>
      <c r="F1155" s="58" t="s">
        <v>25</v>
      </c>
      <c r="G1155" s="58" t="s">
        <v>25</v>
      </c>
      <c r="H1155" s="58" t="s">
        <v>25</v>
      </c>
      <c r="I1155" s="66">
        <v>44835</v>
      </c>
      <c r="J1155" s="67">
        <f>EFEITO!$J$1155*EFEITO!$Y$1155</f>
        <v>0</v>
      </c>
      <c r="K1155" s="67">
        <f ca="1">EFEITO!$L$1155*EFEITO!$Z$1155</f>
        <v>691329.73447966017</v>
      </c>
      <c r="L1155" s="67">
        <f>EFEITO!$N$1155*EFEITO!$AA$1155</f>
        <v>582543.69786239101</v>
      </c>
      <c r="M1155" s="67">
        <f>$J$1155-EFEITO!$K$1155*EFEITO!$Y$1155</f>
        <v>0</v>
      </c>
      <c r="N1155" s="67">
        <f ca="1">$K$1155-EFEITO!$M$1155*EFEITO!$Z$1155</f>
        <v>0</v>
      </c>
      <c r="O1155" s="67">
        <f>$L$1155-EFEITO!$O$1155*EFEITO!$AA$1155</f>
        <v>0</v>
      </c>
      <c r="P1155" s="18"/>
      <c r="Q1155" s="18"/>
      <c r="R1155" s="18"/>
      <c r="S1155" s="18"/>
      <c r="T1155" s="18"/>
      <c r="U1155" s="18"/>
      <c r="V1155" s="18"/>
      <c r="W1155" s="18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</row>
    <row r="1156" spans="1:36" ht="11.25" customHeight="1" x14ac:dyDescent="0.2">
      <c r="A1156" s="58" t="s">
        <v>55</v>
      </c>
      <c r="B1156" s="58" t="s">
        <v>46</v>
      </c>
      <c r="C1156" s="58" t="s">
        <v>23</v>
      </c>
      <c r="D1156" s="58" t="s">
        <v>47</v>
      </c>
      <c r="E1156" s="58" t="s">
        <v>48</v>
      </c>
      <c r="F1156" s="58" t="s">
        <v>25</v>
      </c>
      <c r="G1156" s="58" t="s">
        <v>25</v>
      </c>
      <c r="H1156" s="58" t="s">
        <v>25</v>
      </c>
      <c r="I1156" s="66">
        <v>44835</v>
      </c>
      <c r="J1156" s="67">
        <f>EFEITO!$J$1156*EFEITO!$Y$1156</f>
        <v>0</v>
      </c>
      <c r="K1156" s="67">
        <f ca="1">EFEITO!$L$1156*EFEITO!$Z$1156</f>
        <v>62351.719297572927</v>
      </c>
      <c r="L1156" s="67">
        <f>EFEITO!$N$1156*EFEITO!$AA$1156</f>
        <v>52540.197992532027</v>
      </c>
      <c r="M1156" s="67">
        <f>$J$1156-EFEITO!$K$1156*EFEITO!$Y$1156</f>
        <v>0</v>
      </c>
      <c r="N1156" s="67">
        <f ca="1">$K$1156-EFEITO!$M$1156*EFEITO!$Z$1156</f>
        <v>0</v>
      </c>
      <c r="O1156" s="67">
        <f>$L$1156-EFEITO!$O$1156*EFEITO!$AA$1156</f>
        <v>0</v>
      </c>
      <c r="P1156" s="18"/>
      <c r="Q1156" s="18"/>
      <c r="R1156" s="18"/>
      <c r="S1156" s="18"/>
      <c r="T1156" s="18"/>
      <c r="U1156" s="18"/>
      <c r="V1156" s="18"/>
      <c r="W1156" s="18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1A4F-4AB5-4F72-8975-AE94EA1F7EA7}">
  <dimension ref="A1:BD103"/>
  <sheetViews>
    <sheetView showGridLines="0" topLeftCell="C39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7" width="10" style="9" bestFit="1" customWidth="1"/>
    <col min="38" max="38" width="4.140625" style="9" bestFit="1" customWidth="1"/>
    <col min="39" max="39" width="4.42578125" style="9" bestFit="1" customWidth="1"/>
    <col min="40" max="40" width="10.85546875" style="9" bestFit="1" customWidth="1"/>
    <col min="41" max="41" width="7.5703125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08" t="s">
        <v>62</v>
      </c>
      <c r="B1" s="108" t="s">
        <v>63</v>
      </c>
      <c r="C1" s="108" t="s">
        <v>64</v>
      </c>
      <c r="D1" s="108" t="s">
        <v>65</v>
      </c>
      <c r="E1" s="108" t="s">
        <v>66</v>
      </c>
      <c r="F1" s="108" t="s">
        <v>15</v>
      </c>
      <c r="G1" s="108" t="s">
        <v>68</v>
      </c>
      <c r="H1" s="108" t="s">
        <v>69</v>
      </c>
      <c r="I1" s="108" t="s">
        <v>661</v>
      </c>
      <c r="J1" s="103"/>
      <c r="L1" s="109" t="s">
        <v>856</v>
      </c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I1" s="109" t="s">
        <v>857</v>
      </c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</row>
    <row r="2" spans="1:56" ht="11.25" customHeight="1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3"/>
      <c r="L2" s="109" t="s">
        <v>560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I2" s="109" t="s">
        <v>560</v>
      </c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</row>
    <row r="3" spans="1:56" ht="11.25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3"/>
      <c r="L3" s="109" t="s">
        <v>561</v>
      </c>
      <c r="M3" s="109"/>
      <c r="N3" s="109"/>
      <c r="O3" s="109"/>
      <c r="P3" s="109"/>
      <c r="Q3" s="109"/>
      <c r="R3" s="109"/>
      <c r="S3" s="109"/>
      <c r="T3" s="109" t="s">
        <v>570</v>
      </c>
      <c r="U3" s="109"/>
      <c r="V3" s="109"/>
      <c r="W3" s="109"/>
      <c r="X3" s="109"/>
      <c r="Y3" s="109"/>
      <c r="Z3" s="109"/>
      <c r="AA3" s="32" t="s">
        <v>578</v>
      </c>
      <c r="AB3" s="109" t="s">
        <v>580</v>
      </c>
      <c r="AC3" s="109"/>
      <c r="AD3" s="109" t="s">
        <v>583</v>
      </c>
      <c r="AE3" s="109"/>
      <c r="AF3" s="109"/>
      <c r="AG3" s="109"/>
      <c r="AI3" s="109" t="s">
        <v>561</v>
      </c>
      <c r="AJ3" s="109"/>
      <c r="AK3" s="109"/>
      <c r="AL3" s="109"/>
      <c r="AM3" s="109"/>
      <c r="AN3" s="109"/>
      <c r="AO3" s="109"/>
      <c r="AP3" s="109"/>
      <c r="AQ3" s="109" t="s">
        <v>570</v>
      </c>
      <c r="AR3" s="109"/>
      <c r="AS3" s="109"/>
      <c r="AT3" s="109"/>
      <c r="AU3" s="109"/>
      <c r="AV3" s="109"/>
      <c r="AW3" s="109"/>
      <c r="AX3" s="32" t="s">
        <v>578</v>
      </c>
      <c r="AY3" s="109" t="s">
        <v>580</v>
      </c>
      <c r="AZ3" s="109"/>
      <c r="BA3" s="109" t="s">
        <v>583</v>
      </c>
      <c r="BB3" s="109"/>
      <c r="BC3" s="109"/>
      <c r="BD3" s="109"/>
    </row>
    <row r="4" spans="1:56" ht="11.25" customHeight="1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3"/>
      <c r="L4" s="32" t="s">
        <v>646</v>
      </c>
      <c r="M4" s="32" t="s">
        <v>562</v>
      </c>
      <c r="N4" s="32" t="s">
        <v>563</v>
      </c>
      <c r="O4" s="32" t="s">
        <v>564</v>
      </c>
      <c r="P4" s="32" t="s">
        <v>565</v>
      </c>
      <c r="Q4" s="32" t="s">
        <v>566</v>
      </c>
      <c r="R4" s="32" t="s">
        <v>567</v>
      </c>
      <c r="S4" s="32" t="s">
        <v>568</v>
      </c>
      <c r="T4" s="32" t="s">
        <v>571</v>
      </c>
      <c r="U4" s="32" t="s">
        <v>572</v>
      </c>
      <c r="V4" s="32" t="s">
        <v>573</v>
      </c>
      <c r="W4" s="32" t="s">
        <v>574</v>
      </c>
      <c r="X4" s="32" t="s">
        <v>575</v>
      </c>
      <c r="Y4" s="32" t="s">
        <v>576</v>
      </c>
      <c r="Z4" s="32" t="s">
        <v>577</v>
      </c>
      <c r="AA4" s="32" t="s">
        <v>579</v>
      </c>
      <c r="AB4" s="32" t="s">
        <v>581</v>
      </c>
      <c r="AC4" s="32" t="s">
        <v>582</v>
      </c>
      <c r="AD4" s="32" t="s">
        <v>584</v>
      </c>
      <c r="AE4" s="32" t="s">
        <v>585</v>
      </c>
      <c r="AF4" s="32" t="s">
        <v>586</v>
      </c>
      <c r="AG4" s="32" t="s">
        <v>587</v>
      </c>
      <c r="AI4" s="32" t="s">
        <v>646</v>
      </c>
      <c r="AJ4" s="32" t="s">
        <v>562</v>
      </c>
      <c r="AK4" s="32" t="s">
        <v>563</v>
      </c>
      <c r="AL4" s="32" t="s">
        <v>564</v>
      </c>
      <c r="AM4" s="32" t="s">
        <v>565</v>
      </c>
      <c r="AN4" s="32" t="s">
        <v>566</v>
      </c>
      <c r="AO4" s="32" t="s">
        <v>567</v>
      </c>
      <c r="AP4" s="32" t="s">
        <v>568</v>
      </c>
      <c r="AQ4" s="32" t="s">
        <v>571</v>
      </c>
      <c r="AR4" s="32" t="s">
        <v>572</v>
      </c>
      <c r="AS4" s="32" t="s">
        <v>573</v>
      </c>
      <c r="AT4" s="32" t="s">
        <v>574</v>
      </c>
      <c r="AU4" s="32" t="s">
        <v>575</v>
      </c>
      <c r="AV4" s="32" t="s">
        <v>576</v>
      </c>
      <c r="AW4" s="32" t="s">
        <v>577</v>
      </c>
      <c r="AX4" s="32" t="s">
        <v>579</v>
      </c>
      <c r="AY4" s="32" t="s">
        <v>581</v>
      </c>
      <c r="AZ4" s="32" t="s">
        <v>582</v>
      </c>
      <c r="BA4" s="32" t="s">
        <v>584</v>
      </c>
      <c r="BB4" s="32" t="s">
        <v>585</v>
      </c>
      <c r="BC4" s="32" t="s">
        <v>586</v>
      </c>
      <c r="BD4" s="32" t="s">
        <v>587</v>
      </c>
    </row>
    <row r="5" spans="1:56" ht="11.25" customHeight="1" x14ac:dyDescent="0.25">
      <c r="A5" s="107" t="s">
        <v>39</v>
      </c>
      <c r="B5" s="107" t="s">
        <v>40</v>
      </c>
      <c r="C5" s="107" t="s">
        <v>25</v>
      </c>
      <c r="D5" s="107" t="s">
        <v>25</v>
      </c>
      <c r="E5" s="107" t="s">
        <v>25</v>
      </c>
      <c r="F5" s="107" t="s">
        <v>25</v>
      </c>
      <c r="G5" s="40" t="s">
        <v>78</v>
      </c>
      <c r="H5" s="40" t="s">
        <v>77</v>
      </c>
      <c r="I5" s="40">
        <f>'MERCADO TUSD'!$U$2</f>
        <v>134815</v>
      </c>
      <c r="J5" s="15"/>
      <c r="L5" s="30">
        <f>('TUSD BE'!$L$5+'TUSD BF'!$L$5+'TUSD CVA'!$L$5)*1</f>
        <v>0</v>
      </c>
      <c r="M5" s="30">
        <f>('TUSD BE'!$M$5+'TUSD BF'!$M$5+'TUSD CVA'!$M$5)*1</f>
        <v>0</v>
      </c>
      <c r="N5" s="30">
        <f ca="1">('TUSD BE'!$N$5+'TUSD BF'!$N$5+'TUSD CVA'!$N$5)*1</f>
        <v>0</v>
      </c>
      <c r="O5" s="30">
        <f>('TUSD BE'!$O$5+'TUSD BF'!$O$5+'TUSD CVA'!$O$5)*1</f>
        <v>0</v>
      </c>
      <c r="P5" s="30">
        <f>('TUSD BE'!$P$5+'TUSD BF'!$P$5+'TUSD CVA'!$P$5)*1</f>
        <v>0</v>
      </c>
      <c r="Q5" s="30">
        <f>('TUSD BE'!$Q$5+'TUSD BF'!$Q$5+'TUSD CVA'!$Q$5)*1</f>
        <v>0</v>
      </c>
      <c r="R5" s="30">
        <f>('TUSD BE'!$R$5+'TUSD BF'!$R$5+'TUSD CVA'!$R$5)*1</f>
        <v>0</v>
      </c>
      <c r="S5" s="30">
        <f>('TUSD BE'!$S$5+'TUSD BF'!$S$5+'TUSD CVA'!$S$5)*1</f>
        <v>0</v>
      </c>
      <c r="T5" s="30">
        <f>('TUSD BE'!$U$5+'TUSD BF'!$U$5+'TUSD CVA'!$U$5)*1</f>
        <v>0</v>
      </c>
      <c r="U5" s="30">
        <f>('TUSD BE'!$V$5+'TUSD BF'!$V$5+'TUSD CVA'!$V$5)*1</f>
        <v>0</v>
      </c>
      <c r="V5" s="30">
        <f>('TUSD BE'!$W$5+'TUSD BF'!$W$5+'TUSD CVA'!$W$5)*1</f>
        <v>0.37281350351036724</v>
      </c>
      <c r="W5" s="30">
        <f>('TUSD BE'!$X$5+'TUSD BF'!$X$5+'TUSD CVA'!$X$5)*1</f>
        <v>0</v>
      </c>
      <c r="X5" s="30">
        <f>('TUSD BE'!$Y$5+'TUSD BF'!$Y$5+'TUSD CVA'!$Y$5)*1</f>
        <v>0</v>
      </c>
      <c r="Y5" s="30">
        <f>('TUSD BE'!$Z$5+'TUSD BF'!$Z$5+'TUSD CVA'!$Z$5)*1</f>
        <v>0</v>
      </c>
      <c r="Z5" s="30">
        <f>('TUSD BE'!$AA$5+'TUSD BF'!$AA$5+'TUSD CVA'!$AA$5)*1</f>
        <v>0</v>
      </c>
      <c r="AA5" s="30">
        <f>('TUSD BE'!$AC$5+'TUSD BF'!$AC$5+'TUSD CVA'!$AC$5)*1</f>
        <v>56.718440237963129</v>
      </c>
      <c r="AB5" s="30">
        <f ca="1">('TUSD BE'!$AE$5+'TUSD BF'!$AE$5+'TUSD CVA'!$AE$5)*1</f>
        <v>0</v>
      </c>
      <c r="AC5" s="30">
        <f ca="1">('TUSD BE'!$AF$5+'TUSD BF'!$AF$5+'TUSD CVA'!$AF$5)*1</f>
        <v>0</v>
      </c>
      <c r="AD5" s="30">
        <f>('TUSD BE'!$AH$5+'TUSD BF'!$AH$5+'TUSD CVA'!$AH$5)*1</f>
        <v>0</v>
      </c>
      <c r="AE5" s="30">
        <f>('TUSD BE'!$AI$5+'TUSD BF'!$AI$5+'TUSD CVA'!$AI$5)*1</f>
        <v>0</v>
      </c>
      <c r="AF5" s="30">
        <f ca="1">('TUSD BE'!$AJ$5+'TUSD BF'!$AJ$5+'TUSD CVA'!$AJ$5)*1</f>
        <v>0</v>
      </c>
      <c r="AG5" s="30">
        <f ca="1">('TUSD BE'!$AK$5+'TUSD BF'!$AK$5+'TUSD CVA'!$AK$5)*1</f>
        <v>0</v>
      </c>
      <c r="AI5" s="30">
        <v>0</v>
      </c>
      <c r="AJ5" s="30">
        <v>0</v>
      </c>
      <c r="AK5" s="30">
        <v>0</v>
      </c>
      <c r="AL5" s="30">
        <v>0</v>
      </c>
      <c r="AM5" s="30">
        <v>0</v>
      </c>
      <c r="AN5" s="30">
        <v>0</v>
      </c>
      <c r="AO5" s="30">
        <v>0</v>
      </c>
      <c r="AP5" s="30">
        <v>0</v>
      </c>
      <c r="AQ5" s="30">
        <v>0</v>
      </c>
      <c r="AR5" s="30">
        <v>0</v>
      </c>
      <c r="AS5" s="30">
        <v>1.0426790650273301</v>
      </c>
      <c r="AT5" s="30">
        <v>0</v>
      </c>
      <c r="AU5" s="30">
        <v>0</v>
      </c>
      <c r="AV5" s="30">
        <v>0</v>
      </c>
      <c r="AW5" s="30">
        <v>0</v>
      </c>
      <c r="AX5" s="30">
        <v>42.958240947169799</v>
      </c>
      <c r="AY5" s="30">
        <v>0</v>
      </c>
      <c r="AZ5" s="30">
        <v>0</v>
      </c>
      <c r="BA5" s="30">
        <v>0</v>
      </c>
      <c r="BB5" s="30">
        <v>0</v>
      </c>
      <c r="BC5" s="30">
        <v>0</v>
      </c>
      <c r="BD5" s="30">
        <v>0</v>
      </c>
    </row>
    <row r="6" spans="1:56" ht="11.25" customHeight="1" x14ac:dyDescent="0.25">
      <c r="A6" s="107"/>
      <c r="B6" s="107"/>
      <c r="C6" s="107"/>
      <c r="D6" s="107"/>
      <c r="E6" s="107"/>
      <c r="F6" s="107"/>
      <c r="G6" s="40" t="s">
        <v>79</v>
      </c>
      <c r="H6" s="40" t="s">
        <v>77</v>
      </c>
      <c r="I6" s="40">
        <f>'MERCADO TUSD'!$U$3</f>
        <v>171539</v>
      </c>
      <c r="J6" s="15"/>
      <c r="L6" s="30">
        <f>('TUSD BE'!$L$6+'TUSD BF'!$L$6+'TUSD CVA'!$L$6)*1</f>
        <v>0</v>
      </c>
      <c r="M6" s="30">
        <f>('TUSD BE'!$M$6+'TUSD BF'!$M$6+'TUSD CVA'!$M$6)*1</f>
        <v>0</v>
      </c>
      <c r="N6" s="30">
        <f ca="1">('TUSD BE'!$N$6+'TUSD BF'!$N$6+'TUSD CVA'!$N$6)*1</f>
        <v>0</v>
      </c>
      <c r="O6" s="30">
        <f>('TUSD BE'!$O$6+'TUSD BF'!$O$6+'TUSD CVA'!$O$6)*1</f>
        <v>0</v>
      </c>
      <c r="P6" s="30">
        <f>('TUSD BE'!$P$6+'TUSD BF'!$P$6+'TUSD CVA'!$P$6)*1</f>
        <v>0</v>
      </c>
      <c r="Q6" s="30">
        <f>('TUSD BE'!$Q$6+'TUSD BF'!$Q$6+'TUSD CVA'!$Q$6)*1</f>
        <v>0</v>
      </c>
      <c r="R6" s="30">
        <f>('TUSD BE'!$R$6+'TUSD BF'!$R$6+'TUSD CVA'!$R$6)*1</f>
        <v>0</v>
      </c>
      <c r="S6" s="30">
        <f>('TUSD BE'!$S$6+'TUSD BF'!$S$6+'TUSD CVA'!$S$6)*1</f>
        <v>0</v>
      </c>
      <c r="T6" s="30">
        <f>('TUSD BE'!$U$6+'TUSD BF'!$U$6+'TUSD CVA'!$U$6)*1</f>
        <v>0</v>
      </c>
      <c r="U6" s="30">
        <f>('TUSD BE'!$V$6+'TUSD BF'!$V$6+'TUSD CVA'!$V$6)*1</f>
        <v>0</v>
      </c>
      <c r="V6" s="30">
        <f>('TUSD BE'!$W$6+'TUSD BF'!$W$6+'TUSD CVA'!$W$6)*1</f>
        <v>0.11346497932924221</v>
      </c>
      <c r="W6" s="30">
        <f>('TUSD BE'!$X$6+'TUSD BF'!$X$6+'TUSD CVA'!$X$6)*1</f>
        <v>0</v>
      </c>
      <c r="X6" s="30">
        <f>('TUSD BE'!$Y$6+'TUSD BF'!$Y$6+'TUSD CVA'!$Y$6)*1</f>
        <v>0</v>
      </c>
      <c r="Y6" s="30">
        <f>('TUSD BE'!$Z$6+'TUSD BF'!$Z$6+'TUSD CVA'!$Z$6)*1</f>
        <v>0</v>
      </c>
      <c r="Z6" s="30">
        <f>('TUSD BE'!$AA$6+'TUSD BF'!$AA$6+'TUSD CVA'!$AA$6)*1</f>
        <v>0</v>
      </c>
      <c r="AA6" s="30">
        <f>('TUSD BE'!$AC$6+'TUSD BF'!$AC$6+'TUSD CVA'!$AC$6)*1</f>
        <v>18.911011806217651</v>
      </c>
      <c r="AB6" s="30">
        <f ca="1">('TUSD BE'!$AE$6+'TUSD BF'!$AE$6+'TUSD CVA'!$AE$6)*1</f>
        <v>0</v>
      </c>
      <c r="AC6" s="30">
        <f ca="1">('TUSD BE'!$AF$6+'TUSD BF'!$AF$6+'TUSD CVA'!$AF$6)*1</f>
        <v>0</v>
      </c>
      <c r="AD6" s="30">
        <f>('TUSD BE'!$AH$6+'TUSD BF'!$AH$6+'TUSD CVA'!$AH$6)*1</f>
        <v>0</v>
      </c>
      <c r="AE6" s="30">
        <f>('TUSD BE'!$AI$6+'TUSD BF'!$AI$6+'TUSD CVA'!$AI$6)*1</f>
        <v>0</v>
      </c>
      <c r="AF6" s="30">
        <f ca="1">('TUSD BE'!$AJ$6+'TUSD BF'!$AJ$6+'TUSD CVA'!$AJ$6)*1</f>
        <v>0</v>
      </c>
      <c r="AG6" s="30">
        <f ca="1">('TUSD BE'!$AK$6+'TUSD BF'!$AK$6+'TUSD CVA'!$AK$6)*1</f>
        <v>0</v>
      </c>
      <c r="AI6" s="30">
        <v>0</v>
      </c>
      <c r="AJ6" s="30">
        <v>0</v>
      </c>
      <c r="AK6" s="30">
        <v>0</v>
      </c>
      <c r="AL6" s="30">
        <v>0</v>
      </c>
      <c r="AM6" s="30">
        <v>0</v>
      </c>
      <c r="AN6" s="30">
        <v>0</v>
      </c>
      <c r="AO6" s="30">
        <v>0</v>
      </c>
      <c r="AP6" s="30">
        <v>0</v>
      </c>
      <c r="AQ6" s="30">
        <v>0</v>
      </c>
      <c r="AR6" s="30">
        <v>0</v>
      </c>
      <c r="AS6" s="30">
        <v>0.31733710674744697</v>
      </c>
      <c r="AT6" s="30">
        <v>0</v>
      </c>
      <c r="AU6" s="30">
        <v>0</v>
      </c>
      <c r="AV6" s="30">
        <v>0</v>
      </c>
      <c r="AW6" s="30">
        <v>0</v>
      </c>
      <c r="AX6" s="30">
        <v>14.3230984194541</v>
      </c>
      <c r="AY6" s="30">
        <v>0</v>
      </c>
      <c r="AZ6" s="30">
        <v>0</v>
      </c>
      <c r="BA6" s="30">
        <v>0</v>
      </c>
      <c r="BB6" s="30">
        <v>0</v>
      </c>
      <c r="BC6" s="30">
        <v>0</v>
      </c>
      <c r="BD6" s="30">
        <v>0</v>
      </c>
    </row>
    <row r="7" spans="1:56" ht="11.25" customHeight="1" x14ac:dyDescent="0.25">
      <c r="A7" s="107"/>
      <c r="B7" s="107"/>
      <c r="C7" s="107"/>
      <c r="D7" s="107"/>
      <c r="E7" s="107"/>
      <c r="F7" s="107"/>
      <c r="G7" s="40" t="s">
        <v>76</v>
      </c>
      <c r="H7" s="40" t="s">
        <v>72</v>
      </c>
      <c r="I7" s="40">
        <f>'MERCADO TUSD'!$U$4</f>
        <v>57392.119000000006</v>
      </c>
      <c r="J7" s="15"/>
      <c r="L7" s="30">
        <f>('TUSD BE'!$L$7+'TUSD BF'!$L$7+'TUSD CVA'!$L$7)*1</f>
        <v>11.86075285871822</v>
      </c>
      <c r="M7" s="30">
        <f>('TUSD BE'!$M$7+'TUSD BF'!$M$7+'TUSD CVA'!$M$7)*1</f>
        <v>0.66016908154819398</v>
      </c>
      <c r="N7" s="30">
        <f ca="1">('TUSD BE'!$N$7+'TUSD BF'!$N$7+'TUSD CVA'!$N$7)*1</f>
        <v>1.0585867592881828</v>
      </c>
      <c r="O7" s="30">
        <f>('TUSD BE'!$O$7+'TUSD BF'!$O$7+'TUSD CVA'!$O$7)*1</f>
        <v>0</v>
      </c>
      <c r="P7" s="30">
        <f>('TUSD BE'!$P$7+'TUSD BF'!$P$7+'TUSD CVA'!$P$7)*1</f>
        <v>0</v>
      </c>
      <c r="Q7" s="30">
        <f>('TUSD BE'!$Q$7+'TUSD BF'!$Q$7+'TUSD CVA'!$Q$7)*1</f>
        <v>37.780556773362214</v>
      </c>
      <c r="R7" s="30">
        <f>('TUSD BE'!$R$7+'TUSD BF'!$R$7+'TUSD CVA'!$R$7)*1</f>
        <v>0</v>
      </c>
      <c r="S7" s="30">
        <f>('TUSD BE'!$S$7+'TUSD BF'!$S$7+'TUSD CVA'!$S$7)*1</f>
        <v>0</v>
      </c>
      <c r="T7" s="30">
        <f>('TUSD BE'!$U$7+'TUSD BF'!$U$7+'TUSD CVA'!$U$7)*1</f>
        <v>0</v>
      </c>
      <c r="U7" s="30">
        <f>('TUSD BE'!$V$7+'TUSD BF'!$V$7+'TUSD CVA'!$V$7)*1</f>
        <v>0</v>
      </c>
      <c r="V7" s="30">
        <f>('TUSD BE'!$W$7+'TUSD BF'!$W$7+'TUSD CVA'!$W$7)*1</f>
        <v>0</v>
      </c>
      <c r="W7" s="30">
        <f>('TUSD BE'!$X$7+'TUSD BF'!$X$7+'TUSD CVA'!$X$7)*1</f>
        <v>0</v>
      </c>
      <c r="X7" s="30">
        <f>('TUSD BE'!$Y$7+'TUSD BF'!$Y$7+'TUSD CVA'!$Y$7)*1</f>
        <v>0</v>
      </c>
      <c r="Y7" s="30">
        <f>('TUSD BE'!$Z$7+'TUSD BF'!$Z$7+'TUSD CVA'!$Z$7)*1</f>
        <v>0</v>
      </c>
      <c r="Z7" s="30">
        <f>('TUSD BE'!$AA$7+'TUSD BF'!$AA$7+'TUSD CVA'!$AA$7)*1</f>
        <v>0</v>
      </c>
      <c r="AA7" s="30">
        <f>('TUSD BE'!$AC$7+'TUSD BF'!$AC$7+'TUSD CVA'!$AC$7)*1</f>
        <v>0</v>
      </c>
      <c r="AB7" s="30">
        <f ca="1">('TUSD BE'!$AE$7+'TUSD BF'!$AE$7+'TUSD CVA'!$AE$7)*1</f>
        <v>0</v>
      </c>
      <c r="AC7" s="30">
        <f ca="1">('TUSD BE'!$AF$7+'TUSD BF'!$AF$7+'TUSD CVA'!$AF$7)*1</f>
        <v>0</v>
      </c>
      <c r="AD7" s="30">
        <f>('TUSD BE'!$AH$7+'TUSD BF'!$AH$7+'TUSD CVA'!$AH$7)*1</f>
        <v>16.672973956676671</v>
      </c>
      <c r="AE7" s="30">
        <f>('TUSD BE'!$AI$7+'TUSD BF'!$AI$7+'TUSD CVA'!$AI$7)*1</f>
        <v>0</v>
      </c>
      <c r="AF7" s="30">
        <f ca="1">('TUSD BE'!$AJ$7+'TUSD BF'!$AJ$7+'TUSD CVA'!$AJ$7)*1</f>
        <v>37.601808915221106</v>
      </c>
      <c r="AG7" s="30">
        <f ca="1">('TUSD BE'!$AK$7+'TUSD BF'!$AK$7+'TUSD CVA'!$AK$7)*1</f>
        <v>3.8071164184279493</v>
      </c>
      <c r="AI7" s="30">
        <v>20.855027372619499</v>
      </c>
      <c r="AJ7" s="30">
        <v>1.63313096668277</v>
      </c>
      <c r="AK7" s="30">
        <v>0.85218409124383299</v>
      </c>
      <c r="AL7" s="30">
        <v>0</v>
      </c>
      <c r="AM7" s="30">
        <v>0</v>
      </c>
      <c r="AN7" s="30">
        <v>15.625448974377401</v>
      </c>
      <c r="AO7" s="30">
        <v>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13.3908418817587</v>
      </c>
      <c r="BB7" s="30">
        <v>0</v>
      </c>
      <c r="BC7" s="30">
        <v>32.930110009227597</v>
      </c>
      <c r="BD7" s="30">
        <v>2.4407483616486298</v>
      </c>
    </row>
    <row r="8" spans="1:56" ht="11.25" customHeight="1" x14ac:dyDescent="0.25">
      <c r="A8" s="107"/>
      <c r="B8" s="107"/>
      <c r="C8" s="107"/>
      <c r="D8" s="107"/>
      <c r="E8" s="39" t="s">
        <v>80</v>
      </c>
      <c r="F8" s="39" t="s">
        <v>25</v>
      </c>
      <c r="G8" s="40" t="s">
        <v>76</v>
      </c>
      <c r="H8" s="40" t="s">
        <v>72</v>
      </c>
      <c r="I8" s="40">
        <f>'MERCADO TUSD'!$U$5</f>
        <v>0</v>
      </c>
      <c r="J8" s="15"/>
      <c r="L8" s="30">
        <f>('TUSD BE'!$L$8+'TUSD BF'!$L$8+'TUSD CVA'!$L$8)*1</f>
        <v>0</v>
      </c>
      <c r="M8" s="30">
        <f>('TUSD BE'!$M$8+'TUSD BF'!$M$8+'TUSD CVA'!$M$8)*1</f>
        <v>0.66016908154819398</v>
      </c>
      <c r="N8" s="30">
        <f ca="1">('TUSD BE'!$N$8+'TUSD BF'!$N$8+'TUSD CVA'!$N$8)*1</f>
        <v>1.0484704947580208</v>
      </c>
      <c r="O8" s="30">
        <f>('TUSD BE'!$O$8+'TUSD BF'!$O$8+'TUSD CVA'!$O$8)*1</f>
        <v>0</v>
      </c>
      <c r="P8" s="30">
        <f>('TUSD BE'!$P$8+'TUSD BF'!$P$8+'TUSD CVA'!$P$8)*1</f>
        <v>0</v>
      </c>
      <c r="Q8" s="30">
        <f>('TUSD BE'!$Q$8+'TUSD BF'!$Q$8+'TUSD CVA'!$Q$8)*1</f>
        <v>0</v>
      </c>
      <c r="R8" s="30">
        <f>('TUSD BE'!$R$8+'TUSD BF'!$R$8+'TUSD CVA'!$R$8)*1</f>
        <v>0</v>
      </c>
      <c r="S8" s="30">
        <f>('TUSD BE'!$S$8+'TUSD BF'!$S$8+'TUSD CVA'!$S$8)*1</f>
        <v>0</v>
      </c>
      <c r="T8" s="30">
        <f>('TUSD BE'!$U$8+'TUSD BF'!$U$8+'TUSD CVA'!$U$8)*1</f>
        <v>0</v>
      </c>
      <c r="U8" s="30">
        <f>('TUSD BE'!$V$8+'TUSD BF'!$V$8+'TUSD CVA'!$V$8)*1</f>
        <v>0</v>
      </c>
      <c r="V8" s="30">
        <f>('TUSD BE'!$W$8+'TUSD BF'!$W$8+'TUSD CVA'!$W$8)*1</f>
        <v>0</v>
      </c>
      <c r="W8" s="30">
        <f>('TUSD BE'!$X$8+'TUSD BF'!$X$8+'TUSD CVA'!$X$8)*1</f>
        <v>0</v>
      </c>
      <c r="X8" s="30">
        <f>('TUSD BE'!$Y$8+'TUSD BF'!$Y$8+'TUSD CVA'!$Y$8)*1</f>
        <v>0</v>
      </c>
      <c r="Y8" s="30">
        <f>('TUSD BE'!$Z$8+'TUSD BF'!$Z$8+'TUSD CVA'!$Z$8)*1</f>
        <v>0</v>
      </c>
      <c r="Z8" s="30">
        <f>('TUSD BE'!$AA$8+'TUSD BF'!$AA$8+'TUSD CVA'!$AA$8)*1</f>
        <v>0</v>
      </c>
      <c r="AA8" s="30">
        <f>('TUSD BE'!$AC$8+'TUSD BF'!$AC$8+'TUSD CVA'!$AC$8)*1</f>
        <v>0</v>
      </c>
      <c r="AB8" s="30">
        <f ca="1">('TUSD BE'!$AE$8+'TUSD BF'!$AE$8+'TUSD CVA'!$AE$8)*1</f>
        <v>0</v>
      </c>
      <c r="AC8" s="30">
        <f ca="1">('TUSD BE'!$AF$8+'TUSD BF'!$AF$8+'TUSD CVA'!$AF$8)*1</f>
        <v>0</v>
      </c>
      <c r="AD8" s="30">
        <f>('TUSD BE'!$AH$8+'TUSD BF'!$AH$8+'TUSD CVA'!$AH$8)*1</f>
        <v>16.672973956676671</v>
      </c>
      <c r="AE8" s="30">
        <f>('TUSD BE'!$AI$8+'TUSD BF'!$AI$8+'TUSD CVA'!$AI$8)*1</f>
        <v>0</v>
      </c>
      <c r="AF8" s="30">
        <f ca="1">('TUSD BE'!$AJ$8+'TUSD BF'!$AJ$8+'TUSD CVA'!$AJ$8)*1</f>
        <v>37.601808915221106</v>
      </c>
      <c r="AG8" s="30">
        <f ca="1">('TUSD BE'!$AK$8+'TUSD BF'!$AK$8+'TUSD CVA'!$AK$8)*1</f>
        <v>3.8071164184279493</v>
      </c>
      <c r="AI8" s="30">
        <v>0</v>
      </c>
      <c r="AJ8" s="30">
        <v>1.63313096668277</v>
      </c>
      <c r="AK8" s="30">
        <v>0.84336839377827999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13.3908418817587</v>
      </c>
      <c r="BB8" s="30">
        <v>0</v>
      </c>
      <c r="BC8" s="30">
        <v>32.930110009227597</v>
      </c>
      <c r="BD8" s="30">
        <v>2.4407483616486298</v>
      </c>
    </row>
    <row r="9" spans="1:56" ht="11.25" customHeight="1" x14ac:dyDescent="0.25">
      <c r="A9" s="107"/>
      <c r="B9" s="39" t="s">
        <v>81</v>
      </c>
      <c r="C9" s="39" t="s">
        <v>25</v>
      </c>
      <c r="D9" s="39" t="s">
        <v>25</v>
      </c>
      <c r="E9" s="39" t="s">
        <v>25</v>
      </c>
      <c r="F9" s="39" t="s">
        <v>25</v>
      </c>
      <c r="G9" s="40" t="s">
        <v>9</v>
      </c>
      <c r="H9" s="40" t="s">
        <v>77</v>
      </c>
      <c r="I9" s="40">
        <f>'MERCADO TUSD'!$U$6</f>
        <v>0</v>
      </c>
      <c r="J9" s="15"/>
      <c r="L9" s="30">
        <f>('TUSD BE'!$L$9+'TUSD BF'!$L$9+'TUSD CVA'!$L$9)*1</f>
        <v>0</v>
      </c>
      <c r="M9" s="30">
        <f>('TUSD BE'!$M$9+'TUSD BF'!$M$9+'TUSD CVA'!$M$9)*1</f>
        <v>4.0581408028881799E-2</v>
      </c>
      <c r="N9" s="30">
        <f ca="1">('TUSD BE'!$N$9+'TUSD BF'!$N$9+'TUSD CVA'!$N$9)*1</f>
        <v>0.12473354165689848</v>
      </c>
      <c r="O9" s="30">
        <f>('TUSD BE'!$O$9+'TUSD BF'!$O$9+'TUSD CVA'!$O$9)*1</f>
        <v>0</v>
      </c>
      <c r="P9" s="30">
        <f>('TUSD BE'!$P$9+'TUSD BF'!$P$9+'TUSD CVA'!$P$9)*1</f>
        <v>0</v>
      </c>
      <c r="Q9" s="30">
        <f>('TUSD BE'!$Q$9+'TUSD BF'!$Q$9+'TUSD CVA'!$Q$9)*1</f>
        <v>0</v>
      </c>
      <c r="R9" s="30">
        <f>('TUSD BE'!$R$9+'TUSD BF'!$R$9+'TUSD CVA'!$R$9)*1</f>
        <v>0</v>
      </c>
      <c r="S9" s="30">
        <f>('TUSD BE'!$S$9+'TUSD BF'!$S$9+'TUSD CVA'!$S$9)*1</f>
        <v>0</v>
      </c>
      <c r="T9" s="30">
        <f>('TUSD BE'!$U$9+'TUSD BF'!$U$9+'TUSD CVA'!$U$9)*1</f>
        <v>0</v>
      </c>
      <c r="U9" s="30">
        <f>('TUSD BE'!$V$9+'TUSD BF'!$V$9+'TUSD CVA'!$V$9)*1</f>
        <v>0</v>
      </c>
      <c r="V9" s="30">
        <f>('TUSD BE'!$W$9+'TUSD BF'!$W$9+'TUSD CVA'!$W$9)*1</f>
        <v>0</v>
      </c>
      <c r="W9" s="30">
        <f>('TUSD BE'!$X$9+'TUSD BF'!$X$9+'TUSD CVA'!$X$9)*1</f>
        <v>0</v>
      </c>
      <c r="X9" s="30">
        <f>('TUSD BE'!$Y$9+'TUSD BF'!$Y$9+'TUSD CVA'!$Y$9)*1</f>
        <v>0</v>
      </c>
      <c r="Y9" s="30">
        <f>('TUSD BE'!$Z$9+'TUSD BF'!$Z$9+'TUSD CVA'!$Z$9)*1</f>
        <v>0</v>
      </c>
      <c r="Z9" s="30">
        <f>('TUSD BE'!$AA$9+'TUSD BF'!$AA$9+'TUSD CVA'!$AA$9)*1</f>
        <v>0</v>
      </c>
      <c r="AA9" s="30">
        <f>('TUSD BE'!$AC$9+'TUSD BF'!$AC$9+'TUSD CVA'!$AC$9)*1</f>
        <v>14.818812631975145</v>
      </c>
      <c r="AB9" s="30">
        <f ca="1">('TUSD BE'!$AE$9+'TUSD BF'!$AE$9+'TUSD CVA'!$AE$9)*1</f>
        <v>0</v>
      </c>
      <c r="AC9" s="30">
        <f ca="1">('TUSD BE'!$AF$9+'TUSD BF'!$AF$9+'TUSD CVA'!$AF$9)*1</f>
        <v>0</v>
      </c>
      <c r="AD9" s="30">
        <f>('TUSD BE'!$AH$9+'TUSD BF'!$AH$9+'TUSD CVA'!$AH$9)*1</f>
        <v>0</v>
      </c>
      <c r="AE9" s="30">
        <f>('TUSD BE'!$AI$9+'TUSD BF'!$AI$9+'TUSD CVA'!$AI$9)*1</f>
        <v>0</v>
      </c>
      <c r="AF9" s="30">
        <f ca="1">('TUSD BE'!$AJ$9+'TUSD BF'!$AJ$9+'TUSD CVA'!$AJ$9)*1</f>
        <v>0</v>
      </c>
      <c r="AG9" s="30">
        <f ca="1">('TUSD BE'!$AK$9+'TUSD BF'!$AK$9+'TUSD CVA'!$AK$9)*1</f>
        <v>0</v>
      </c>
      <c r="AI9" s="30">
        <v>0</v>
      </c>
      <c r="AJ9" s="30">
        <v>4.62217331507732E-2</v>
      </c>
      <c r="AK9" s="30">
        <v>0.108697549705283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0</v>
      </c>
      <c r="AT9" s="30">
        <v>0</v>
      </c>
      <c r="AU9" s="30">
        <v>0</v>
      </c>
      <c r="AV9" s="30">
        <v>0</v>
      </c>
      <c r="AW9" s="30">
        <v>0</v>
      </c>
      <c r="AX9" s="30">
        <v>11.2236888201532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0</v>
      </c>
    </row>
    <row r="10" spans="1:56" ht="11.25" customHeight="1" x14ac:dyDescent="0.25">
      <c r="A10" s="107"/>
      <c r="B10" s="107" t="s">
        <v>41</v>
      </c>
      <c r="C10" s="107" t="s">
        <v>25</v>
      </c>
      <c r="D10" s="107" t="s">
        <v>25</v>
      </c>
      <c r="E10" s="107" t="s">
        <v>25</v>
      </c>
      <c r="F10" s="107" t="s">
        <v>25</v>
      </c>
      <c r="G10" s="40" t="s">
        <v>9</v>
      </c>
      <c r="H10" s="40" t="s">
        <v>77</v>
      </c>
      <c r="I10" s="40">
        <f>'MERCADO TUSD'!$U$7</f>
        <v>1203254</v>
      </c>
      <c r="J10" s="15"/>
      <c r="L10" s="30">
        <f>('TUSD BE'!$L$10+'TUSD BF'!$L$10+'TUSD CVA'!$L$10)*1</f>
        <v>0</v>
      </c>
      <c r="M10" s="30">
        <f>('TUSD BE'!$M$10+'TUSD BF'!$M$10+'TUSD CVA'!$M$10)*1</f>
        <v>0</v>
      </c>
      <c r="N10" s="30">
        <f ca="1">('TUSD BE'!$N$10+'TUSD BF'!$N$10+'TUSD CVA'!$N$10)*1</f>
        <v>0</v>
      </c>
      <c r="O10" s="30">
        <f>('TUSD BE'!$O$10+'TUSD BF'!$O$10+'TUSD CVA'!$O$10)*1</f>
        <v>0</v>
      </c>
      <c r="P10" s="30">
        <f>('TUSD BE'!$P$10+'TUSD BF'!$P$10+'TUSD CVA'!$P$10)*1</f>
        <v>0</v>
      </c>
      <c r="Q10" s="30">
        <f>('TUSD BE'!$Q$10+'TUSD BF'!$Q$10+'TUSD CVA'!$Q$10)*1</f>
        <v>0</v>
      </c>
      <c r="R10" s="30">
        <f>('TUSD BE'!$R$10+'TUSD BF'!$R$10+'TUSD CVA'!$R$10)*1</f>
        <v>0</v>
      </c>
      <c r="S10" s="30">
        <f>('TUSD BE'!$S$10+'TUSD BF'!$S$10+'TUSD CVA'!$S$10)*1</f>
        <v>0</v>
      </c>
      <c r="T10" s="30">
        <f>('TUSD BE'!$U$10+'TUSD BF'!$U$10+'TUSD CVA'!$U$10)*1</f>
        <v>0</v>
      </c>
      <c r="U10" s="30">
        <f>('TUSD BE'!$V$10+'TUSD BF'!$V$10+'TUSD CVA'!$V$10)*1</f>
        <v>0</v>
      </c>
      <c r="V10" s="30">
        <f>('TUSD BE'!$W$10+'TUSD BF'!$W$10+'TUSD CVA'!$W$10)*1</f>
        <v>0.11346497932924221</v>
      </c>
      <c r="W10" s="30">
        <f>('TUSD BE'!$X$10+'TUSD BF'!$X$10+'TUSD CVA'!$X$10)*1</f>
        <v>0</v>
      </c>
      <c r="X10" s="30">
        <f>('TUSD BE'!$Y$10+'TUSD BF'!$Y$10+'TUSD CVA'!$Y$10)*1</f>
        <v>0</v>
      </c>
      <c r="Y10" s="30">
        <f>('TUSD BE'!$Z$10+'TUSD BF'!$Z$10+'TUSD CVA'!$Z$10)*1</f>
        <v>0</v>
      </c>
      <c r="Z10" s="30">
        <f>('TUSD BE'!$AA$10+'TUSD BF'!$AA$10+'TUSD CVA'!$AA$10)*1</f>
        <v>0</v>
      </c>
      <c r="AA10" s="30">
        <f>('TUSD BE'!$AC$10+'TUSD BF'!$AC$10+'TUSD CVA'!$AC$10)*1</f>
        <v>18.911011806217651</v>
      </c>
      <c r="AB10" s="30">
        <f ca="1">('TUSD BE'!$AE$10+'TUSD BF'!$AE$10+'TUSD CVA'!$AE$10)*1</f>
        <v>0</v>
      </c>
      <c r="AC10" s="30">
        <f ca="1">('TUSD BE'!$AF$10+'TUSD BF'!$AF$10+'TUSD CVA'!$AF$10)*1</f>
        <v>0</v>
      </c>
      <c r="AD10" s="30">
        <f>('TUSD BE'!$AH$10+'TUSD BF'!$AH$10+'TUSD CVA'!$AH$10)*1</f>
        <v>0</v>
      </c>
      <c r="AE10" s="30">
        <f>('TUSD BE'!$AI$10+'TUSD BF'!$AI$10+'TUSD CVA'!$AI$10)*1</f>
        <v>0</v>
      </c>
      <c r="AF10" s="30">
        <f ca="1">('TUSD BE'!$AJ$10+'TUSD BF'!$AJ$10+'TUSD CVA'!$AJ$10)*1</f>
        <v>0</v>
      </c>
      <c r="AG10" s="30">
        <f ca="1">('TUSD BE'!$AK$10+'TUSD BF'!$AK$10+'TUSD CVA'!$AK$10)*1</f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0.31733710674744797</v>
      </c>
      <c r="AT10" s="30">
        <v>0</v>
      </c>
      <c r="AU10" s="30">
        <v>0</v>
      </c>
      <c r="AV10" s="30">
        <v>0</v>
      </c>
      <c r="AW10" s="30">
        <v>0</v>
      </c>
      <c r="AX10" s="30">
        <v>14.3230984194541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</row>
    <row r="11" spans="1:56" ht="11.25" customHeight="1" x14ac:dyDescent="0.25">
      <c r="A11" s="107"/>
      <c r="B11" s="107"/>
      <c r="C11" s="107"/>
      <c r="D11" s="107"/>
      <c r="E11" s="107"/>
      <c r="F11" s="107"/>
      <c r="G11" s="40" t="s">
        <v>73</v>
      </c>
      <c r="H11" s="40" t="s">
        <v>72</v>
      </c>
      <c r="I11" s="40">
        <f>'MERCADO TUSD'!$U$8</f>
        <v>12039.891</v>
      </c>
      <c r="J11" s="15"/>
      <c r="L11" s="30">
        <f>('TUSD BE'!$L$11+'TUSD BF'!$L$11+'TUSD CVA'!$L$11)*1</f>
        <v>11.86075285871822</v>
      </c>
      <c r="M11" s="30">
        <f>('TUSD BE'!$M$11+'TUSD BF'!$M$11+'TUSD CVA'!$M$11)*1</f>
        <v>0.66016908154819398</v>
      </c>
      <c r="N11" s="30">
        <f ca="1">('TUSD BE'!$N$11+'TUSD BF'!$N$11+'TUSD CVA'!$N$11)*1</f>
        <v>12.499407188057337</v>
      </c>
      <c r="O11" s="30">
        <f>('TUSD BE'!$O$11+'TUSD BF'!$O$11+'TUSD CVA'!$O$11)*1</f>
        <v>0</v>
      </c>
      <c r="P11" s="30">
        <f>('TUSD BE'!$P$11+'TUSD BF'!$P$11+'TUSD CVA'!$P$11)*1</f>
        <v>0</v>
      </c>
      <c r="Q11" s="30">
        <f>('TUSD BE'!$Q$11+'TUSD BF'!$Q$11+'TUSD CVA'!$Q$11)*1</f>
        <v>37.780556773362214</v>
      </c>
      <c r="R11" s="30">
        <f>('TUSD BE'!$R$11+'TUSD BF'!$R$11+'TUSD CVA'!$R$11)*1</f>
        <v>0</v>
      </c>
      <c r="S11" s="30">
        <f>('TUSD BE'!$S$11+'TUSD BF'!$S$11+'TUSD CVA'!$S$11)*1</f>
        <v>0</v>
      </c>
      <c r="T11" s="30">
        <f>('TUSD BE'!$U$11+'TUSD BF'!$U$11+'TUSD CVA'!$U$11)*1</f>
        <v>0</v>
      </c>
      <c r="U11" s="30">
        <f>('TUSD BE'!$V$11+'TUSD BF'!$V$11+'TUSD CVA'!$V$11)*1</f>
        <v>0</v>
      </c>
      <c r="V11" s="30">
        <f>('TUSD BE'!$W$11+'TUSD BF'!$W$11+'TUSD CVA'!$W$11)*1</f>
        <v>8.8178498221582515</v>
      </c>
      <c r="W11" s="30">
        <f>('TUSD BE'!$X$11+'TUSD BF'!$X$11+'TUSD CVA'!$X$11)*1</f>
        <v>0</v>
      </c>
      <c r="X11" s="30">
        <f>('TUSD BE'!$Y$11+'TUSD BF'!$Y$11+'TUSD CVA'!$Y$11)*1</f>
        <v>0</v>
      </c>
      <c r="Y11" s="30">
        <f>('TUSD BE'!$Z$11+'TUSD BF'!$Z$11+'TUSD CVA'!$Z$11)*1</f>
        <v>0</v>
      </c>
      <c r="Z11" s="30">
        <f>('TUSD BE'!$AA$11+'TUSD BF'!$AA$11+'TUSD CVA'!$AA$11)*1</f>
        <v>0</v>
      </c>
      <c r="AA11" s="30">
        <f>('TUSD BE'!$AC$11+'TUSD BF'!$AC$11+'TUSD CVA'!$AC$11)*1</f>
        <v>1364.0811474232958</v>
      </c>
      <c r="AB11" s="30">
        <f ca="1">('TUSD BE'!$AE$11+'TUSD BF'!$AE$11+'TUSD CVA'!$AE$11)*1</f>
        <v>0</v>
      </c>
      <c r="AC11" s="30">
        <f ca="1">('TUSD BE'!$AF$11+'TUSD BF'!$AF$11+'TUSD CVA'!$AF$11)*1</f>
        <v>0</v>
      </c>
      <c r="AD11" s="30">
        <f>('TUSD BE'!$AH$11+'TUSD BF'!$AH$11+'TUSD CVA'!$AH$11)*1</f>
        <v>16.672973956676671</v>
      </c>
      <c r="AE11" s="30">
        <f>('TUSD BE'!$AI$11+'TUSD BF'!$AI$11+'TUSD CVA'!$AI$11)*1</f>
        <v>0</v>
      </c>
      <c r="AF11" s="30">
        <f ca="1">('TUSD BE'!$AJ$11+'TUSD BF'!$AJ$11+'TUSD CVA'!$AJ$11)*1</f>
        <v>37.601808915221106</v>
      </c>
      <c r="AG11" s="30">
        <f ca="1">('TUSD BE'!$AK$11+'TUSD BF'!$AK$11+'TUSD CVA'!$AK$11)*1</f>
        <v>3.8071164184279493</v>
      </c>
      <c r="AI11" s="30">
        <v>20.855027372619698</v>
      </c>
      <c r="AJ11" s="30">
        <v>1.63313096668278</v>
      </c>
      <c r="AK11" s="30">
        <v>10.822149913285401</v>
      </c>
      <c r="AL11" s="30">
        <v>0</v>
      </c>
      <c r="AM11" s="30">
        <v>0</v>
      </c>
      <c r="AN11" s="30">
        <v>15.625448974377599</v>
      </c>
      <c r="AO11" s="30">
        <v>0</v>
      </c>
      <c r="AP11" s="30">
        <v>0</v>
      </c>
      <c r="AQ11" s="30">
        <v>0</v>
      </c>
      <c r="AR11" s="30">
        <v>0</v>
      </c>
      <c r="AS11" s="30">
        <v>24.6616265815159</v>
      </c>
      <c r="AT11" s="30">
        <v>0</v>
      </c>
      <c r="AU11" s="30">
        <v>0</v>
      </c>
      <c r="AV11" s="30">
        <v>0</v>
      </c>
      <c r="AW11" s="30">
        <v>0</v>
      </c>
      <c r="AX11" s="30">
        <v>1033.1477092221</v>
      </c>
      <c r="AY11" s="30">
        <v>0</v>
      </c>
      <c r="AZ11" s="30">
        <v>0</v>
      </c>
      <c r="BA11" s="30">
        <v>13.390841881758799</v>
      </c>
      <c r="BB11" s="30">
        <v>0</v>
      </c>
      <c r="BC11" s="30">
        <v>32.930110009278401</v>
      </c>
      <c r="BD11" s="30">
        <v>2.4407482226641402</v>
      </c>
    </row>
    <row r="12" spans="1:56" ht="11.25" customHeight="1" x14ac:dyDescent="0.25">
      <c r="A12" s="107"/>
      <c r="B12" s="107"/>
      <c r="C12" s="107"/>
      <c r="D12" s="107"/>
      <c r="E12" s="107"/>
      <c r="F12" s="107"/>
      <c r="G12" s="40" t="s">
        <v>74</v>
      </c>
      <c r="H12" s="40" t="s">
        <v>72</v>
      </c>
      <c r="I12" s="40">
        <f>'MERCADO TUSD'!$U$9</f>
        <v>177060.01800000001</v>
      </c>
      <c r="J12" s="15"/>
      <c r="L12" s="30">
        <f>('TUSD BE'!$L$12+'TUSD BF'!$L$12+'TUSD CVA'!$L$12)*1</f>
        <v>11.86075285871822</v>
      </c>
      <c r="M12" s="30">
        <f>('TUSD BE'!$M$12+'TUSD BF'!$M$12+'TUSD CVA'!$M$12)*1</f>
        <v>0.66016908154819398</v>
      </c>
      <c r="N12" s="30">
        <f ca="1">('TUSD BE'!$N$12+'TUSD BF'!$N$12+'TUSD CVA'!$N$12)*1</f>
        <v>1.0585867592881828</v>
      </c>
      <c r="O12" s="30">
        <f>('TUSD BE'!$O$12+'TUSD BF'!$O$12+'TUSD CVA'!$O$12)*1</f>
        <v>0</v>
      </c>
      <c r="P12" s="30">
        <f>('TUSD BE'!$P$12+'TUSD BF'!$P$12+'TUSD CVA'!$P$12)*1</f>
        <v>0</v>
      </c>
      <c r="Q12" s="30">
        <f>('TUSD BE'!$Q$12+'TUSD BF'!$Q$12+'TUSD CVA'!$Q$12)*1</f>
        <v>37.780556773362214</v>
      </c>
      <c r="R12" s="30">
        <f>('TUSD BE'!$R$12+'TUSD BF'!$R$12+'TUSD CVA'!$R$12)*1</f>
        <v>0</v>
      </c>
      <c r="S12" s="30">
        <f>('TUSD BE'!$S$12+'TUSD BF'!$S$12+'TUSD CVA'!$S$12)*1</f>
        <v>0</v>
      </c>
      <c r="T12" s="30">
        <f>('TUSD BE'!$U$12+'TUSD BF'!$U$12+'TUSD CVA'!$U$12)*1</f>
        <v>0</v>
      </c>
      <c r="U12" s="30">
        <f>('TUSD BE'!$V$12+'TUSD BF'!$V$12+'TUSD CVA'!$V$12)*1</f>
        <v>0</v>
      </c>
      <c r="V12" s="30">
        <f>('TUSD BE'!$W$12+'TUSD BF'!$W$12+'TUSD CVA'!$W$12)*1</f>
        <v>0</v>
      </c>
      <c r="W12" s="30">
        <f>('TUSD BE'!$X$12+'TUSD BF'!$X$12+'TUSD CVA'!$X$12)*1</f>
        <v>0</v>
      </c>
      <c r="X12" s="30">
        <f>('TUSD BE'!$Y$12+'TUSD BF'!$Y$12+'TUSD CVA'!$Y$12)*1</f>
        <v>0</v>
      </c>
      <c r="Y12" s="30">
        <f>('TUSD BE'!$Z$12+'TUSD BF'!$Z$12+'TUSD CVA'!$Z$12)*1</f>
        <v>0</v>
      </c>
      <c r="Z12" s="30">
        <f>('TUSD BE'!$AA$12+'TUSD BF'!$AA$12+'TUSD CVA'!$AA$12)*1</f>
        <v>0</v>
      </c>
      <c r="AA12" s="30">
        <f>('TUSD BE'!$AC$12+'TUSD BF'!$AC$12+'TUSD CVA'!$AC$12)*1</f>
        <v>0</v>
      </c>
      <c r="AB12" s="30">
        <f ca="1">('TUSD BE'!$AE$12+'TUSD BF'!$AE$12+'TUSD CVA'!$AE$12)*1</f>
        <v>0</v>
      </c>
      <c r="AC12" s="30">
        <f ca="1">('TUSD BE'!$AF$12+'TUSD BF'!$AF$12+'TUSD CVA'!$AF$12)*1</f>
        <v>0</v>
      </c>
      <c r="AD12" s="30">
        <f>('TUSD BE'!$AH$12+'TUSD BF'!$AH$12+'TUSD CVA'!$AH$12)*1</f>
        <v>16.672973956676671</v>
      </c>
      <c r="AE12" s="30">
        <f>('TUSD BE'!$AI$12+'TUSD BF'!$AI$12+'TUSD CVA'!$AI$12)*1</f>
        <v>0</v>
      </c>
      <c r="AF12" s="30">
        <f ca="1">('TUSD BE'!$AJ$12+'TUSD BF'!$AJ$12+'TUSD CVA'!$AJ$12)*1</f>
        <v>37.601808915221106</v>
      </c>
      <c r="AG12" s="30">
        <f ca="1">('TUSD BE'!$AK$12+'TUSD BF'!$AK$12+'TUSD CVA'!$AK$12)*1</f>
        <v>3.8071164184279493</v>
      </c>
      <c r="AI12" s="30">
        <v>20.855027372619698</v>
      </c>
      <c r="AJ12" s="30">
        <v>1.63313096668278</v>
      </c>
      <c r="AK12" s="30">
        <v>0.852184090892115</v>
      </c>
      <c r="AL12" s="30">
        <v>0</v>
      </c>
      <c r="AM12" s="30">
        <v>0</v>
      </c>
      <c r="AN12" s="30">
        <v>15.625448974377599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0</v>
      </c>
      <c r="AV12" s="30">
        <v>0</v>
      </c>
      <c r="AW12" s="30">
        <v>0</v>
      </c>
      <c r="AX12" s="30">
        <v>0</v>
      </c>
      <c r="AY12" s="30">
        <v>0</v>
      </c>
      <c r="AZ12" s="30">
        <v>0</v>
      </c>
      <c r="BA12" s="30">
        <v>13.390841881758799</v>
      </c>
      <c r="BB12" s="30">
        <v>0</v>
      </c>
      <c r="BC12" s="30">
        <v>32.930110009278401</v>
      </c>
      <c r="BD12" s="30">
        <v>2.4407482226641402</v>
      </c>
    </row>
    <row r="13" spans="1:56" ht="11.25" customHeight="1" x14ac:dyDescent="0.25">
      <c r="A13" s="107"/>
      <c r="B13" s="107"/>
      <c r="C13" s="107"/>
      <c r="D13" s="107"/>
      <c r="E13" s="107" t="s">
        <v>80</v>
      </c>
      <c r="F13" s="107" t="s">
        <v>25</v>
      </c>
      <c r="G13" s="40" t="s">
        <v>73</v>
      </c>
      <c r="H13" s="40" t="s">
        <v>72</v>
      </c>
      <c r="I13" s="40">
        <f>'MERCADO TUSD'!$U$10</f>
        <v>0</v>
      </c>
      <c r="J13" s="15"/>
      <c r="L13" s="30">
        <f>('TUSD BE'!$L$13+'TUSD BF'!$L$13+'TUSD CVA'!$L$13)*1</f>
        <v>0</v>
      </c>
      <c r="M13" s="30">
        <f>('TUSD BE'!$M$13+'TUSD BF'!$M$13+'TUSD CVA'!$M$13)*1</f>
        <v>0.66016908154819398</v>
      </c>
      <c r="N13" s="30">
        <f ca="1">('TUSD BE'!$N$13+'TUSD BF'!$N$13+'TUSD CVA'!$N$13)*1</f>
        <v>12.489290923527175</v>
      </c>
      <c r="O13" s="30">
        <f>('TUSD BE'!$O$13+'TUSD BF'!$O$13+'TUSD CVA'!$O$13)*1</f>
        <v>0</v>
      </c>
      <c r="P13" s="30">
        <f>('TUSD BE'!$P$13+'TUSD BF'!$P$13+'TUSD CVA'!$P$13)*1</f>
        <v>0</v>
      </c>
      <c r="Q13" s="30">
        <f>('TUSD BE'!$Q$13+'TUSD BF'!$Q$13+'TUSD CVA'!$Q$13)*1</f>
        <v>0</v>
      </c>
      <c r="R13" s="30">
        <f>('TUSD BE'!$R$13+'TUSD BF'!$R$13+'TUSD CVA'!$R$13)*1</f>
        <v>0</v>
      </c>
      <c r="S13" s="30">
        <f>('TUSD BE'!$S$13+'TUSD BF'!$S$13+'TUSD CVA'!$S$13)*1</f>
        <v>0</v>
      </c>
      <c r="T13" s="30">
        <f>('TUSD BE'!$U$13+'TUSD BF'!$U$13+'TUSD CVA'!$U$13)*1</f>
        <v>0</v>
      </c>
      <c r="U13" s="30">
        <f>('TUSD BE'!$V$13+'TUSD BF'!$V$13+'TUSD CVA'!$V$13)*1</f>
        <v>0</v>
      </c>
      <c r="V13" s="30">
        <f>('TUSD BE'!$W$13+'TUSD BF'!$W$13+'TUSD CVA'!$W$13)*1</f>
        <v>8.8178498221582515</v>
      </c>
      <c r="W13" s="30">
        <f>('TUSD BE'!$X$13+'TUSD BF'!$X$13+'TUSD CVA'!$X$13)*1</f>
        <v>0</v>
      </c>
      <c r="X13" s="30">
        <f>('TUSD BE'!$Y$13+'TUSD BF'!$Y$13+'TUSD CVA'!$Y$13)*1</f>
        <v>0</v>
      </c>
      <c r="Y13" s="30">
        <f>('TUSD BE'!$Z$13+'TUSD BF'!$Z$13+'TUSD CVA'!$Z$13)*1</f>
        <v>0</v>
      </c>
      <c r="Z13" s="30">
        <f>('TUSD BE'!$AA$13+'TUSD BF'!$AA$13+'TUSD CVA'!$AA$13)*1</f>
        <v>0</v>
      </c>
      <c r="AA13" s="30">
        <f>('TUSD BE'!$AC$13+'TUSD BF'!$AC$13+'TUSD CVA'!$AC$13)*1</f>
        <v>1364.0811474232958</v>
      </c>
      <c r="AB13" s="30">
        <f ca="1">('TUSD BE'!$AE$13+'TUSD BF'!$AE$13+'TUSD CVA'!$AE$13)*1</f>
        <v>0</v>
      </c>
      <c r="AC13" s="30">
        <f ca="1">('TUSD BE'!$AF$13+'TUSD BF'!$AF$13+'TUSD CVA'!$AF$13)*1</f>
        <v>0</v>
      </c>
      <c r="AD13" s="30">
        <f>('TUSD BE'!$AH$13+'TUSD BF'!$AH$13+'TUSD CVA'!$AH$13)*1</f>
        <v>16.672973956676671</v>
      </c>
      <c r="AE13" s="30">
        <f>('TUSD BE'!$AI$13+'TUSD BF'!$AI$13+'TUSD CVA'!$AI$13)*1</f>
        <v>0</v>
      </c>
      <c r="AF13" s="30">
        <f ca="1">('TUSD BE'!$AJ$13+'TUSD BF'!$AJ$13+'TUSD CVA'!$AJ$13)*1</f>
        <v>37.601808915221106</v>
      </c>
      <c r="AG13" s="30">
        <f ca="1">('TUSD BE'!$AK$13+'TUSD BF'!$AK$13+'TUSD CVA'!$AK$13)*1</f>
        <v>3.8071164184279493</v>
      </c>
      <c r="AI13" s="30">
        <v>0</v>
      </c>
      <c r="AJ13" s="30">
        <v>1.63313096668278</v>
      </c>
      <c r="AK13" s="30">
        <v>10.813334215823501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  <c r="AQ13" s="30">
        <v>0</v>
      </c>
      <c r="AR13" s="30">
        <v>0</v>
      </c>
      <c r="AS13" s="30">
        <v>24.6616265815159</v>
      </c>
      <c r="AT13" s="30">
        <v>0</v>
      </c>
      <c r="AU13" s="30">
        <v>0</v>
      </c>
      <c r="AV13" s="30">
        <v>0</v>
      </c>
      <c r="AW13" s="30">
        <v>0</v>
      </c>
      <c r="AX13" s="30">
        <v>1033.1477092221</v>
      </c>
      <c r="AY13" s="30">
        <v>0</v>
      </c>
      <c r="AZ13" s="30">
        <v>0</v>
      </c>
      <c r="BA13" s="30">
        <v>13.390841881758799</v>
      </c>
      <c r="BB13" s="30">
        <v>0</v>
      </c>
      <c r="BC13" s="30">
        <v>32.930110009278401</v>
      </c>
      <c r="BD13" s="30">
        <v>2.4407482226641402</v>
      </c>
    </row>
    <row r="14" spans="1:56" ht="11.25" customHeight="1" x14ac:dyDescent="0.25">
      <c r="A14" s="107"/>
      <c r="B14" s="107"/>
      <c r="C14" s="107"/>
      <c r="D14" s="107"/>
      <c r="E14" s="107"/>
      <c r="F14" s="107"/>
      <c r="G14" s="40" t="s">
        <v>74</v>
      </c>
      <c r="H14" s="40" t="s">
        <v>72</v>
      </c>
      <c r="I14" s="40">
        <f>'MERCADO TUSD'!$U$11</f>
        <v>0</v>
      </c>
      <c r="J14" s="15"/>
      <c r="L14" s="30">
        <f>('TUSD BE'!$L$14+'TUSD BF'!$L$14+'TUSD CVA'!$L$14)*1</f>
        <v>0</v>
      </c>
      <c r="M14" s="30">
        <f>('TUSD BE'!$M$14+'TUSD BF'!$M$14+'TUSD CVA'!$M$14)*1</f>
        <v>0.66016908154819398</v>
      </c>
      <c r="N14" s="30">
        <f ca="1">('TUSD BE'!$N$14+'TUSD BF'!$N$14+'TUSD CVA'!$N$14)*1</f>
        <v>1.0484704947580208</v>
      </c>
      <c r="O14" s="30">
        <f>('TUSD BE'!$O$14+'TUSD BF'!$O$14+'TUSD CVA'!$O$14)*1</f>
        <v>0</v>
      </c>
      <c r="P14" s="30">
        <f>('TUSD BE'!$P$14+'TUSD BF'!$P$14+'TUSD CVA'!$P$14)*1</f>
        <v>0</v>
      </c>
      <c r="Q14" s="30">
        <f>('TUSD BE'!$Q$14+'TUSD BF'!$Q$14+'TUSD CVA'!$Q$14)*1</f>
        <v>0</v>
      </c>
      <c r="R14" s="30">
        <f>('TUSD BE'!$R$14+'TUSD BF'!$R$14+'TUSD CVA'!$R$14)*1</f>
        <v>0</v>
      </c>
      <c r="S14" s="30">
        <f>('TUSD BE'!$S$14+'TUSD BF'!$S$14+'TUSD CVA'!$S$14)*1</f>
        <v>0</v>
      </c>
      <c r="T14" s="30">
        <f>('TUSD BE'!$U$14+'TUSD BF'!$U$14+'TUSD CVA'!$U$14)*1</f>
        <v>0</v>
      </c>
      <c r="U14" s="30">
        <f>('TUSD BE'!$V$14+'TUSD BF'!$V$14+'TUSD CVA'!$V$14)*1</f>
        <v>0</v>
      </c>
      <c r="V14" s="30">
        <f>('TUSD BE'!$W$14+'TUSD BF'!$W$14+'TUSD CVA'!$W$14)*1</f>
        <v>0</v>
      </c>
      <c r="W14" s="30">
        <f>('TUSD BE'!$X$14+'TUSD BF'!$X$14+'TUSD CVA'!$X$14)*1</f>
        <v>0</v>
      </c>
      <c r="X14" s="30">
        <f>('TUSD BE'!$Y$14+'TUSD BF'!$Y$14+'TUSD CVA'!$Y$14)*1</f>
        <v>0</v>
      </c>
      <c r="Y14" s="30">
        <f>('TUSD BE'!$Z$14+'TUSD BF'!$Z$14+'TUSD CVA'!$Z$14)*1</f>
        <v>0</v>
      </c>
      <c r="Z14" s="30">
        <f>('TUSD BE'!$AA$14+'TUSD BF'!$AA$14+'TUSD CVA'!$AA$14)*1</f>
        <v>0</v>
      </c>
      <c r="AA14" s="30">
        <f>('TUSD BE'!$AC$14+'TUSD BF'!$AC$14+'TUSD CVA'!$AC$14)*1</f>
        <v>0</v>
      </c>
      <c r="AB14" s="30">
        <f ca="1">('TUSD BE'!$AE$14+'TUSD BF'!$AE$14+'TUSD CVA'!$AE$14)*1</f>
        <v>0</v>
      </c>
      <c r="AC14" s="30">
        <f ca="1">('TUSD BE'!$AF$14+'TUSD BF'!$AF$14+'TUSD CVA'!$AF$14)*1</f>
        <v>0</v>
      </c>
      <c r="AD14" s="30">
        <f>('TUSD BE'!$AH$14+'TUSD BF'!$AH$14+'TUSD CVA'!$AH$14)*1</f>
        <v>16.672973956676671</v>
      </c>
      <c r="AE14" s="30">
        <f>('TUSD BE'!$AI$14+'TUSD BF'!$AI$14+'TUSD CVA'!$AI$14)*1</f>
        <v>0</v>
      </c>
      <c r="AF14" s="30">
        <f ca="1">('TUSD BE'!$AJ$14+'TUSD BF'!$AJ$14+'TUSD CVA'!$AJ$14)*1</f>
        <v>37.601808915221106</v>
      </c>
      <c r="AG14" s="30">
        <f ca="1">('TUSD BE'!$AK$14+'TUSD BF'!$AK$14+'TUSD CVA'!$AK$14)*1</f>
        <v>3.8071164184279493</v>
      </c>
      <c r="AI14" s="30">
        <v>0</v>
      </c>
      <c r="AJ14" s="30">
        <v>1.63313096668278</v>
      </c>
      <c r="AK14" s="30">
        <v>0.84336839343021097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13.390841881758799</v>
      </c>
      <c r="BB14" s="30">
        <v>0</v>
      </c>
      <c r="BC14" s="30">
        <v>32.930110009278401</v>
      </c>
      <c r="BD14" s="30">
        <v>2.4407482226641402</v>
      </c>
    </row>
    <row r="15" spans="1:56" ht="11.25" customHeight="1" x14ac:dyDescent="0.25">
      <c r="A15" s="107" t="s">
        <v>82</v>
      </c>
      <c r="B15" s="107" t="s">
        <v>81</v>
      </c>
      <c r="C15" s="107" t="s">
        <v>25</v>
      </c>
      <c r="D15" s="107" t="s">
        <v>25</v>
      </c>
      <c r="E15" s="39" t="s">
        <v>83</v>
      </c>
      <c r="F15" s="39" t="s">
        <v>25</v>
      </c>
      <c r="G15" s="40" t="s">
        <v>9</v>
      </c>
      <c r="H15" s="40" t="s">
        <v>77</v>
      </c>
      <c r="I15" s="40">
        <f>'MERCADO TUSD'!$U$12+0.00000001</f>
        <v>1E-8</v>
      </c>
      <c r="J15" s="15"/>
      <c r="L15" s="30">
        <f>('TUSD BE'!$L$15+'TUSD BF'!$L$15+'TUSD CVA'!$L$15)*1</f>
        <v>0</v>
      </c>
      <c r="M15" s="30">
        <f>('TUSD BE'!$M$15+'TUSD BF'!$M$15+'TUSD CVA'!$M$15)*1</f>
        <v>1.1819025148941136E-2</v>
      </c>
      <c r="N15" s="30">
        <f ca="1">('TUSD BE'!$N$15+'TUSD BF'!$N$15+'TUSD CVA'!$N$15)*1</f>
        <v>3.6216227017980253E-2</v>
      </c>
      <c r="O15" s="30">
        <f>('TUSD BE'!$O$15+'TUSD BF'!$O$15+'TUSD CVA'!$O$15)*1</f>
        <v>0</v>
      </c>
      <c r="P15" s="30">
        <f>('TUSD BE'!$P$15+'TUSD BF'!$P$15+'TUSD CVA'!$P$15)*1</f>
        <v>0</v>
      </c>
      <c r="Q15" s="30">
        <f>('TUSD BE'!$Q$15+'TUSD BF'!$Q$15+'TUSD CVA'!$Q$15)*1</f>
        <v>0</v>
      </c>
      <c r="R15" s="30">
        <f>('TUSD BE'!$R$15+'TUSD BF'!$R$15+'TUSD CVA'!$R$15)*1</f>
        <v>0</v>
      </c>
      <c r="S15" s="30">
        <f>('TUSD BE'!$S$15+'TUSD BF'!$S$15+'TUSD CVA'!$S$15)*1</f>
        <v>0</v>
      </c>
      <c r="T15" s="30">
        <f>('TUSD BE'!$U$15+'TUSD BF'!$U$15+'TUSD CVA'!$U$15)*1</f>
        <v>0</v>
      </c>
      <c r="U15" s="30">
        <f>('TUSD BE'!$V$15+'TUSD BF'!$V$15+'TUSD CVA'!$V$15)*1</f>
        <v>0</v>
      </c>
      <c r="V15" s="30">
        <f>('TUSD BE'!$W$15+'TUSD BF'!$W$15+'TUSD CVA'!$W$15)*1</f>
        <v>0</v>
      </c>
      <c r="W15" s="30">
        <f>('TUSD BE'!$X$15+'TUSD BF'!$X$15+'TUSD CVA'!$X$15)*1</f>
        <v>0</v>
      </c>
      <c r="X15" s="30">
        <f>('TUSD BE'!$Y$15+'TUSD BF'!$Y$15+'TUSD CVA'!$Y$15)*1</f>
        <v>0</v>
      </c>
      <c r="Y15" s="30">
        <f>('TUSD BE'!$Z$15+'TUSD BF'!$Z$15+'TUSD CVA'!$Z$15)*1</f>
        <v>0</v>
      </c>
      <c r="Z15" s="30">
        <f>('TUSD BE'!$AA$15+'TUSD BF'!$AA$15+'TUSD CVA'!$AA$15)*1</f>
        <v>0</v>
      </c>
      <c r="AA15" s="30">
        <f>('TUSD BE'!$AC$15+'TUSD BF'!$AC$15+'TUSD CVA'!$AC$15)*1</f>
        <v>4.3040102262371365</v>
      </c>
      <c r="AB15" s="30">
        <f ca="1">('TUSD BE'!$AE$15+'TUSD BF'!$AE$15+'TUSD CVA'!$AE$15)*1</f>
        <v>0</v>
      </c>
      <c r="AC15" s="30">
        <f ca="1">('TUSD BE'!$AF$15+'TUSD BF'!$AF$15+'TUSD CVA'!$AF$15)*1</f>
        <v>0</v>
      </c>
      <c r="AD15" s="30">
        <f>('TUSD BE'!$AH$15+'TUSD BF'!$AH$15+'TUSD CVA'!$AH$15)*1</f>
        <v>0</v>
      </c>
      <c r="AE15" s="30">
        <f>('TUSD BE'!$AI$15+'TUSD BF'!$AI$15+'TUSD CVA'!$AI$15)*1</f>
        <v>0</v>
      </c>
      <c r="AF15" s="30">
        <f ca="1">('TUSD BE'!$AJ$15+'TUSD BF'!$AJ$15+'TUSD CVA'!$AJ$15)*1</f>
        <v>0</v>
      </c>
      <c r="AG15" s="30">
        <f ca="1">('TUSD BE'!$AK$15+'TUSD BF'!$AK$15+'TUSD CVA'!$AK$15)*1</f>
        <v>0</v>
      </c>
      <c r="AI15" s="30">
        <v>0</v>
      </c>
      <c r="AJ15" s="30">
        <v>1.34617267628525E-2</v>
      </c>
      <c r="AK15" s="30">
        <v>3.1560196913618201E-2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3.25983414850722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</row>
    <row r="16" spans="1:56" ht="11.25" customHeight="1" x14ac:dyDescent="0.25">
      <c r="A16" s="107"/>
      <c r="B16" s="107"/>
      <c r="C16" s="107"/>
      <c r="D16" s="107"/>
      <c r="E16" s="39" t="s">
        <v>84</v>
      </c>
      <c r="F16" s="39" t="s">
        <v>25</v>
      </c>
      <c r="G16" s="40" t="s">
        <v>9</v>
      </c>
      <c r="H16" s="40" t="s">
        <v>77</v>
      </c>
      <c r="I16" s="40">
        <f>'MERCADO TUSD'!$U$13+0.00000001</f>
        <v>1E-8</v>
      </c>
      <c r="J16" s="15"/>
      <c r="L16" s="30">
        <f>('TUSD BE'!$L$16+'TUSD BF'!$L$16+'TUSD CVA'!$L$16)*1</f>
        <v>0</v>
      </c>
      <c r="M16" s="30">
        <f>('TUSD BE'!$M$16+'TUSD BF'!$M$16+'TUSD CVA'!$M$16)*1</f>
        <v>1.1819025148941136E-2</v>
      </c>
      <c r="N16" s="30">
        <f ca="1">('TUSD BE'!$N$16+'TUSD BF'!$N$16+'TUSD CVA'!$N$16)*1</f>
        <v>3.6216227017980253E-2</v>
      </c>
      <c r="O16" s="30">
        <f>('TUSD BE'!$O$16+'TUSD BF'!$O$16+'TUSD CVA'!$O$16)*1</f>
        <v>0</v>
      </c>
      <c r="P16" s="30">
        <f>('TUSD BE'!$P$16+'TUSD BF'!$P$16+'TUSD CVA'!$P$16)*1</f>
        <v>0</v>
      </c>
      <c r="Q16" s="30">
        <f>('TUSD BE'!$Q$16+'TUSD BF'!$Q$16+'TUSD CVA'!$Q$16)*1</f>
        <v>0</v>
      </c>
      <c r="R16" s="30">
        <f>('TUSD BE'!$R$16+'TUSD BF'!$R$16+'TUSD CVA'!$R$16)*1</f>
        <v>0</v>
      </c>
      <c r="S16" s="30">
        <f>('TUSD BE'!$S$16+'TUSD BF'!$S$16+'TUSD CVA'!$S$16)*1</f>
        <v>0</v>
      </c>
      <c r="T16" s="30">
        <f>('TUSD BE'!$U$16+'TUSD BF'!$U$16+'TUSD CVA'!$U$16)*1</f>
        <v>0</v>
      </c>
      <c r="U16" s="30">
        <f>('TUSD BE'!$V$16+'TUSD BF'!$V$16+'TUSD CVA'!$V$16)*1</f>
        <v>0</v>
      </c>
      <c r="V16" s="30">
        <f>('TUSD BE'!$W$16+'TUSD BF'!$W$16+'TUSD CVA'!$W$16)*1</f>
        <v>0</v>
      </c>
      <c r="W16" s="30">
        <f>('TUSD BE'!$X$16+'TUSD BF'!$X$16+'TUSD CVA'!$X$16)*1</f>
        <v>0</v>
      </c>
      <c r="X16" s="30">
        <f>('TUSD BE'!$Y$16+'TUSD BF'!$Y$16+'TUSD CVA'!$Y$16)*1</f>
        <v>0</v>
      </c>
      <c r="Y16" s="30">
        <f>('TUSD BE'!$Z$16+'TUSD BF'!$Z$16+'TUSD CVA'!$Z$16)*1</f>
        <v>0</v>
      </c>
      <c r="Z16" s="30">
        <f>('TUSD BE'!$AA$16+'TUSD BF'!$AA$16+'TUSD CVA'!$AA$16)*1</f>
        <v>0</v>
      </c>
      <c r="AA16" s="30">
        <f>('TUSD BE'!$AC$16+'TUSD BF'!$AC$16+'TUSD CVA'!$AC$16)*1</f>
        <v>21.397620483250289</v>
      </c>
      <c r="AB16" s="30">
        <f ca="1">('TUSD BE'!$AE$16+'TUSD BF'!$AE$16+'TUSD CVA'!$AE$16)*1</f>
        <v>0</v>
      </c>
      <c r="AC16" s="30">
        <f ca="1">('TUSD BE'!$AF$16+'TUSD BF'!$AF$16+'TUSD CVA'!$AF$16)*1</f>
        <v>0</v>
      </c>
      <c r="AD16" s="30">
        <f>('TUSD BE'!$AH$16+'TUSD BF'!$AH$16+'TUSD CVA'!$AH$16)*1</f>
        <v>0</v>
      </c>
      <c r="AE16" s="30">
        <f>('TUSD BE'!$AI$16+'TUSD BF'!$AI$16+'TUSD CVA'!$AI$16)*1</f>
        <v>0</v>
      </c>
      <c r="AF16" s="30">
        <f ca="1">('TUSD BE'!$AJ$16+'TUSD BF'!$AJ$16+'TUSD CVA'!$AJ$16)*1</f>
        <v>0</v>
      </c>
      <c r="AG16" s="30">
        <f ca="1">('TUSD BE'!$AK$16+'TUSD BF'!$AK$16+'TUSD CVA'!$AK$16)*1</f>
        <v>0</v>
      </c>
      <c r="AI16" s="30">
        <v>0</v>
      </c>
      <c r="AJ16" s="30">
        <v>1.34617267628525E-2</v>
      </c>
      <c r="AK16" s="30">
        <v>3.1560196913618201E-2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16.206442429640699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</row>
    <row r="17" spans="1:56" ht="11.25" customHeight="1" x14ac:dyDescent="0.25">
      <c r="A17" s="107" t="s">
        <v>22</v>
      </c>
      <c r="B17" s="107" t="s">
        <v>33</v>
      </c>
      <c r="C17" s="107" t="s">
        <v>24</v>
      </c>
      <c r="D17" s="107" t="s">
        <v>24</v>
      </c>
      <c r="E17" s="107" t="s">
        <v>25</v>
      </c>
      <c r="F17" s="107" t="s">
        <v>25</v>
      </c>
      <c r="G17" s="40" t="s">
        <v>73</v>
      </c>
      <c r="H17" s="40" t="s">
        <v>72</v>
      </c>
      <c r="I17" s="40">
        <f>'MERCADO TUSD'!$U$14</f>
        <v>67.227000000000004</v>
      </c>
      <c r="J17" s="15"/>
      <c r="L17" s="30">
        <f>('TUSD BE'!$L$17+'TUSD BF'!$L$17+'TUSD CVA'!$L$17)*1</f>
        <v>14.119943879426453</v>
      </c>
      <c r="M17" s="30">
        <f>('TUSD BE'!$M$17+'TUSD BF'!$M$17+'TUSD CVA'!$M$17)*1</f>
        <v>0.80497480165789337</v>
      </c>
      <c r="N17" s="30">
        <f ca="1">('TUSD BE'!$N$17+'TUSD BF'!$N$17+'TUSD CVA'!$N$17)*1</f>
        <v>7.8592056452164956</v>
      </c>
      <c r="O17" s="30">
        <f>('TUSD BE'!$O$17+'TUSD BF'!$O$17+'TUSD CVA'!$O$17)*1</f>
        <v>0</v>
      </c>
      <c r="P17" s="30">
        <f>('TUSD BE'!$P$17+'TUSD BF'!$P$17+'TUSD CVA'!$P$17)*1</f>
        <v>0</v>
      </c>
      <c r="Q17" s="30">
        <f>('TUSD BE'!$Q$17+'TUSD BF'!$Q$17+'TUSD CVA'!$Q$17)*1</f>
        <v>44.976853301621688</v>
      </c>
      <c r="R17" s="30">
        <f>('TUSD BE'!$R$17+'TUSD BF'!$R$17+'TUSD CVA'!$R$17)*1</f>
        <v>0</v>
      </c>
      <c r="S17" s="30">
        <f>('TUSD BE'!$S$17+'TUSD BF'!$S$17+'TUSD CVA'!$S$17)*1</f>
        <v>0</v>
      </c>
      <c r="T17" s="30">
        <f>('TUSD BE'!$U$17+'TUSD BF'!$U$17+'TUSD CVA'!$U$17)*1</f>
        <v>0</v>
      </c>
      <c r="U17" s="30">
        <f>('TUSD BE'!$V$17+'TUSD BF'!$V$17+'TUSD CVA'!$V$17)*1</f>
        <v>0</v>
      </c>
      <c r="V17" s="30">
        <f>('TUSD BE'!$W$17+'TUSD BF'!$W$17+'TUSD CVA'!$W$17)*1</f>
        <v>5.4949468560875872</v>
      </c>
      <c r="W17" s="30">
        <f>('TUSD BE'!$X$17+'TUSD BF'!$X$17+'TUSD CVA'!$X$17)*1</f>
        <v>0</v>
      </c>
      <c r="X17" s="30">
        <f>('TUSD BE'!$Y$17+'TUSD BF'!$Y$17+'TUSD CVA'!$Y$17)*1</f>
        <v>0</v>
      </c>
      <c r="Y17" s="30">
        <f>('TUSD BE'!$Z$17+'TUSD BF'!$Z$17+'TUSD CVA'!$Z$17)*1</f>
        <v>0</v>
      </c>
      <c r="Z17" s="30">
        <f>('TUSD BE'!$AA$17+'TUSD BF'!$AA$17+'TUSD CVA'!$AA$17)*1</f>
        <v>0</v>
      </c>
      <c r="AA17" s="30">
        <f>('TUSD BE'!$AC$17+'TUSD BF'!$AC$17+'TUSD CVA'!$AC$17)*1</f>
        <v>755.5984147578323</v>
      </c>
      <c r="AB17" s="30">
        <f ca="1">('TUSD BE'!$AE$17+'TUSD BF'!$AE$17+'TUSD CVA'!$AE$17)*1</f>
        <v>0</v>
      </c>
      <c r="AC17" s="30">
        <f ca="1">('TUSD BE'!$AF$17+'TUSD BF'!$AF$17+'TUSD CVA'!$AF$17)*1</f>
        <v>0</v>
      </c>
      <c r="AD17" s="30">
        <f>('TUSD BE'!$AH$17+'TUSD BF'!$AH$17+'TUSD CVA'!$AH$17)*1</f>
        <v>34.947002428972354</v>
      </c>
      <c r="AE17" s="30">
        <f>('TUSD BE'!$AI$17+'TUSD BF'!$AI$17+'TUSD CVA'!$AI$17)*1</f>
        <v>0</v>
      </c>
      <c r="AF17" s="30">
        <f ca="1">('TUSD BE'!$AJ$17+'TUSD BF'!$AJ$17+'TUSD CVA'!$AJ$17)*1</f>
        <v>46.283095957294385</v>
      </c>
      <c r="AG17" s="30">
        <f ca="1">('TUSD BE'!$AK$17+'TUSD BF'!$AK$17+'TUSD CVA'!$AK$17)*1</f>
        <v>4.6860813242249195</v>
      </c>
      <c r="AI17" s="30">
        <v>23.971295830597299</v>
      </c>
      <c r="AJ17" s="30">
        <v>2.0124411594804599</v>
      </c>
      <c r="AK17" s="30">
        <v>6.7626793989343899</v>
      </c>
      <c r="AL17" s="30">
        <v>0</v>
      </c>
      <c r="AM17" s="30">
        <v>0</v>
      </c>
      <c r="AN17" s="30">
        <v>17.9602861774455</v>
      </c>
      <c r="AO17" s="30">
        <v>0</v>
      </c>
      <c r="AP17" s="30">
        <v>0</v>
      </c>
      <c r="AQ17" s="30">
        <v>0</v>
      </c>
      <c r="AR17" s="30">
        <v>0</v>
      </c>
      <c r="AS17" s="30">
        <v>15.368182741055</v>
      </c>
      <c r="AT17" s="30">
        <v>0</v>
      </c>
      <c r="AU17" s="30">
        <v>0</v>
      </c>
      <c r="AV17" s="30">
        <v>0</v>
      </c>
      <c r="AW17" s="30">
        <v>0</v>
      </c>
      <c r="AX17" s="30">
        <v>572.28616697292102</v>
      </c>
      <c r="AY17" s="30">
        <v>0</v>
      </c>
      <c r="AZ17" s="30">
        <v>0</v>
      </c>
      <c r="BA17" s="30">
        <v>28.067565209649398</v>
      </c>
      <c r="BB17" s="30">
        <v>0</v>
      </c>
      <c r="BC17" s="30">
        <v>40.549873312079399</v>
      </c>
      <c r="BD17" s="30">
        <v>3.0055177825955499</v>
      </c>
    </row>
    <row r="18" spans="1:56" ht="11.25" customHeight="1" x14ac:dyDescent="0.25">
      <c r="A18" s="107"/>
      <c r="B18" s="107"/>
      <c r="C18" s="107"/>
      <c r="D18" s="107"/>
      <c r="E18" s="107"/>
      <c r="F18" s="107"/>
      <c r="G18" s="40" t="s">
        <v>85</v>
      </c>
      <c r="H18" s="40" t="s">
        <v>72</v>
      </c>
      <c r="I18" s="40">
        <f>'MERCADO TUSD'!$U$15</f>
        <v>42.061</v>
      </c>
      <c r="J18" s="15"/>
      <c r="L18" s="30">
        <f>('TUSD BE'!$L$18+'TUSD BF'!$L$18+'TUSD CVA'!$L$18)*1</f>
        <v>14.119943879426453</v>
      </c>
      <c r="M18" s="30">
        <f>('TUSD BE'!$M$18+'TUSD BF'!$M$18+'TUSD CVA'!$M$18)*1</f>
        <v>0.80497480165789337</v>
      </c>
      <c r="N18" s="30">
        <f ca="1">('TUSD BE'!$N$18+'TUSD BF'!$N$18+'TUSD CVA'!$N$18)*1</f>
        <v>5.3242478002136071</v>
      </c>
      <c r="O18" s="30">
        <f>('TUSD BE'!$O$18+'TUSD BF'!$O$18+'TUSD CVA'!$O$18)*1</f>
        <v>0</v>
      </c>
      <c r="P18" s="30">
        <f>('TUSD BE'!$P$18+'TUSD BF'!$P$18+'TUSD CVA'!$P$18)*1</f>
        <v>0</v>
      </c>
      <c r="Q18" s="30">
        <f>('TUSD BE'!$Q$18+'TUSD BF'!$Q$18+'TUSD CVA'!$Q$18)*1</f>
        <v>44.976853301621688</v>
      </c>
      <c r="R18" s="30">
        <f>('TUSD BE'!$R$18+'TUSD BF'!$R$18+'TUSD CVA'!$R$18)*1</f>
        <v>0</v>
      </c>
      <c r="S18" s="30">
        <f>('TUSD BE'!$S$18+'TUSD BF'!$S$18+'TUSD CVA'!$S$18)*1</f>
        <v>0</v>
      </c>
      <c r="T18" s="30">
        <f>('TUSD BE'!$U$18+'TUSD BF'!$U$18+'TUSD CVA'!$U$18)*1</f>
        <v>0</v>
      </c>
      <c r="U18" s="30">
        <f>('TUSD BE'!$V$18+'TUSD BF'!$V$18+'TUSD CVA'!$V$18)*1</f>
        <v>0</v>
      </c>
      <c r="V18" s="30">
        <f>('TUSD BE'!$W$18+'TUSD BF'!$W$18+'TUSD CVA'!$W$18)*1</f>
        <v>3.2904844005480243</v>
      </c>
      <c r="W18" s="30">
        <f>('TUSD BE'!$X$18+'TUSD BF'!$X$18+'TUSD CVA'!$X$18)*1</f>
        <v>0</v>
      </c>
      <c r="X18" s="30">
        <f>('TUSD BE'!$Y$18+'TUSD BF'!$Y$18+'TUSD CVA'!$Y$18)*1</f>
        <v>0</v>
      </c>
      <c r="Y18" s="30">
        <f>('TUSD BE'!$Z$18+'TUSD BF'!$Z$18+'TUSD CVA'!$Z$18)*1</f>
        <v>0</v>
      </c>
      <c r="Z18" s="30">
        <f>('TUSD BE'!$AA$18+'TUSD BF'!$AA$18+'TUSD CVA'!$AA$18)*1</f>
        <v>0</v>
      </c>
      <c r="AA18" s="30">
        <f>('TUSD BE'!$AC$18+'TUSD BF'!$AC$18+'TUSD CVA'!$AC$18)*1</f>
        <v>453.35900060616808</v>
      </c>
      <c r="AB18" s="30">
        <f ca="1">('TUSD BE'!$AE$18+'TUSD BF'!$AE$18+'TUSD CVA'!$AE$18)*1</f>
        <v>0</v>
      </c>
      <c r="AC18" s="30">
        <f ca="1">('TUSD BE'!$AF$18+'TUSD BF'!$AF$18+'TUSD CVA'!$AF$18)*1</f>
        <v>0</v>
      </c>
      <c r="AD18" s="30">
        <f>('TUSD BE'!$AH$18+'TUSD BF'!$AH$18+'TUSD CVA'!$AH$18)*1</f>
        <v>34.947002428972354</v>
      </c>
      <c r="AE18" s="30">
        <f>('TUSD BE'!$AI$18+'TUSD BF'!$AI$18+'TUSD CVA'!$AI$18)*1</f>
        <v>0</v>
      </c>
      <c r="AF18" s="30">
        <f ca="1">('TUSD BE'!$AJ$18+'TUSD BF'!$AJ$18+'TUSD CVA'!$AJ$18)*1</f>
        <v>46.283095957294385</v>
      </c>
      <c r="AG18" s="30">
        <f ca="1">('TUSD BE'!$AK$18+'TUSD BF'!$AK$18+'TUSD CVA'!$AK$18)*1</f>
        <v>4.6860813242249195</v>
      </c>
      <c r="AI18" s="30">
        <v>23.971295830597299</v>
      </c>
      <c r="AJ18" s="30">
        <v>2.0124411594804599</v>
      </c>
      <c r="AK18" s="30">
        <v>4.5536207712564396</v>
      </c>
      <c r="AL18" s="30">
        <v>0</v>
      </c>
      <c r="AM18" s="30">
        <v>0</v>
      </c>
      <c r="AN18" s="30">
        <v>17.9602861774455</v>
      </c>
      <c r="AO18" s="30">
        <v>0</v>
      </c>
      <c r="AP18" s="30">
        <v>0</v>
      </c>
      <c r="AQ18" s="30">
        <v>0</v>
      </c>
      <c r="AR18" s="30">
        <v>0</v>
      </c>
      <c r="AS18" s="30">
        <v>9.2027760956759899</v>
      </c>
      <c r="AT18" s="30">
        <v>0</v>
      </c>
      <c r="AU18" s="30">
        <v>0</v>
      </c>
      <c r="AV18" s="30">
        <v>0</v>
      </c>
      <c r="AW18" s="30">
        <v>0</v>
      </c>
      <c r="AX18" s="30">
        <v>343.37166364057498</v>
      </c>
      <c r="AY18" s="30">
        <v>0</v>
      </c>
      <c r="AZ18" s="30">
        <v>0</v>
      </c>
      <c r="BA18" s="30">
        <v>28.067565209649398</v>
      </c>
      <c r="BB18" s="30">
        <v>0</v>
      </c>
      <c r="BC18" s="30">
        <v>40.549873312079399</v>
      </c>
      <c r="BD18" s="30">
        <v>3.0055177825955499</v>
      </c>
    </row>
    <row r="19" spans="1:56" ht="11.25" customHeight="1" x14ac:dyDescent="0.25">
      <c r="A19" s="107"/>
      <c r="B19" s="107"/>
      <c r="C19" s="107"/>
      <c r="D19" s="107"/>
      <c r="E19" s="107"/>
      <c r="F19" s="107"/>
      <c r="G19" s="40" t="s">
        <v>74</v>
      </c>
      <c r="H19" s="40" t="s">
        <v>72</v>
      </c>
      <c r="I19" s="40">
        <f>'MERCADO TUSD'!$U$16</f>
        <v>583.55899999999997</v>
      </c>
      <c r="J19" s="15"/>
      <c r="L19" s="30">
        <f>('TUSD BE'!$L$19+'TUSD BF'!$L$19+'TUSD CVA'!$L$19)*1</f>
        <v>14.119943879426453</v>
      </c>
      <c r="M19" s="30">
        <f>('TUSD BE'!$M$19+'TUSD BF'!$M$19+'TUSD CVA'!$M$19)*1</f>
        <v>0.80497480165789337</v>
      </c>
      <c r="N19" s="30">
        <f ca="1">('TUSD BE'!$N$19+'TUSD BF'!$N$19+'TUSD CVA'!$N$19)*1</f>
        <v>2.789291978463627</v>
      </c>
      <c r="O19" s="30">
        <f>('TUSD BE'!$O$19+'TUSD BF'!$O$19+'TUSD CVA'!$O$19)*1</f>
        <v>0</v>
      </c>
      <c r="P19" s="30">
        <f>('TUSD BE'!$P$19+'TUSD BF'!$P$19+'TUSD CVA'!$P$19)*1</f>
        <v>0</v>
      </c>
      <c r="Q19" s="30">
        <f>('TUSD BE'!$Q$19+'TUSD BF'!$Q$19+'TUSD CVA'!$Q$19)*1</f>
        <v>44.976853301621688</v>
      </c>
      <c r="R19" s="30">
        <f>('TUSD BE'!$R$19+'TUSD BF'!$R$19+'TUSD CVA'!$R$19)*1</f>
        <v>0</v>
      </c>
      <c r="S19" s="30">
        <f>('TUSD BE'!$S$19+'TUSD BF'!$S$19+'TUSD CVA'!$S$19)*1</f>
        <v>0</v>
      </c>
      <c r="T19" s="30">
        <f>('TUSD BE'!$U$19+'TUSD BF'!$U$19+'TUSD CVA'!$U$19)*1</f>
        <v>0</v>
      </c>
      <c r="U19" s="30">
        <f>('TUSD BE'!$V$19+'TUSD BF'!$V$19+'TUSD CVA'!$V$19)*1</f>
        <v>0</v>
      </c>
      <c r="V19" s="30">
        <f>('TUSD BE'!$W$19+'TUSD BF'!$W$19+'TUSD CVA'!$W$19)*1</f>
        <v>1.1022312277697814</v>
      </c>
      <c r="W19" s="30">
        <f>('TUSD BE'!$X$19+'TUSD BF'!$X$19+'TUSD CVA'!$X$19)*1</f>
        <v>0</v>
      </c>
      <c r="X19" s="30">
        <f>('TUSD BE'!$Y$19+'TUSD BF'!$Y$19+'TUSD CVA'!$Y$19)*1</f>
        <v>0</v>
      </c>
      <c r="Y19" s="30">
        <f>('TUSD BE'!$Z$19+'TUSD BF'!$Z$19+'TUSD CVA'!$Z$19)*1</f>
        <v>0</v>
      </c>
      <c r="Z19" s="30">
        <f>('TUSD BE'!$AA$19+'TUSD BF'!$AA$19+'TUSD CVA'!$AA$19)*1</f>
        <v>0</v>
      </c>
      <c r="AA19" s="30">
        <f>('TUSD BE'!$AC$19+'TUSD BF'!$AC$19+'TUSD CVA'!$AC$19)*1</f>
        <v>151.11970707583205</v>
      </c>
      <c r="AB19" s="30">
        <f ca="1">('TUSD BE'!$AE$19+'TUSD BF'!$AE$19+'TUSD CVA'!$AE$19)*1</f>
        <v>0</v>
      </c>
      <c r="AC19" s="30">
        <f ca="1">('TUSD BE'!$AF$19+'TUSD BF'!$AF$19+'TUSD CVA'!$AF$19)*1</f>
        <v>0</v>
      </c>
      <c r="AD19" s="30">
        <f>('TUSD BE'!$AH$19+'TUSD BF'!$AH$19+'TUSD CVA'!$AH$19)*1</f>
        <v>34.947002428972354</v>
      </c>
      <c r="AE19" s="30">
        <f>('TUSD BE'!$AI$19+'TUSD BF'!$AI$19+'TUSD CVA'!$AI$19)*1</f>
        <v>0</v>
      </c>
      <c r="AF19" s="30">
        <f ca="1">('TUSD BE'!$AJ$19+'TUSD BF'!$AJ$19+'TUSD CVA'!$AJ$19)*1</f>
        <v>46.283095957294385</v>
      </c>
      <c r="AG19" s="30">
        <f ca="1">('TUSD BE'!$AK$19+'TUSD BF'!$AK$19+'TUSD CVA'!$AK$19)*1</f>
        <v>4.6860813242249195</v>
      </c>
      <c r="AI19" s="30">
        <v>23.971295830597299</v>
      </c>
      <c r="AJ19" s="30">
        <v>2.0124411594804599</v>
      </c>
      <c r="AK19" s="30">
        <v>2.34456390671799</v>
      </c>
      <c r="AL19" s="30">
        <v>0</v>
      </c>
      <c r="AM19" s="30">
        <v>0</v>
      </c>
      <c r="AN19" s="30">
        <v>17.9602861774455</v>
      </c>
      <c r="AO19" s="30">
        <v>0</v>
      </c>
      <c r="AP19" s="30">
        <v>0</v>
      </c>
      <c r="AQ19" s="30">
        <v>0</v>
      </c>
      <c r="AR19" s="30">
        <v>0</v>
      </c>
      <c r="AS19" s="30">
        <v>3.0827033226894902</v>
      </c>
      <c r="AT19" s="30">
        <v>0</v>
      </c>
      <c r="AU19" s="30">
        <v>0</v>
      </c>
      <c r="AV19" s="30">
        <v>0</v>
      </c>
      <c r="AW19" s="30">
        <v>0</v>
      </c>
      <c r="AX19" s="30">
        <v>114.45725166617299</v>
      </c>
      <c r="AY19" s="30">
        <v>0</v>
      </c>
      <c r="AZ19" s="30">
        <v>0</v>
      </c>
      <c r="BA19" s="30">
        <v>28.067565209649398</v>
      </c>
      <c r="BB19" s="30">
        <v>0</v>
      </c>
      <c r="BC19" s="30">
        <v>40.549873312079399</v>
      </c>
      <c r="BD19" s="30">
        <v>3.0055177825955499</v>
      </c>
    </row>
    <row r="20" spans="1:56" ht="11.25" customHeight="1" x14ac:dyDescent="0.25">
      <c r="A20" s="107"/>
      <c r="B20" s="107" t="s">
        <v>23</v>
      </c>
      <c r="C20" s="107" t="s">
        <v>24</v>
      </c>
      <c r="D20" s="39" t="s">
        <v>24</v>
      </c>
      <c r="E20" s="39" t="s">
        <v>25</v>
      </c>
      <c r="F20" s="39" t="s">
        <v>25</v>
      </c>
      <c r="G20" s="40" t="s">
        <v>76</v>
      </c>
      <c r="H20" s="40" t="s">
        <v>72</v>
      </c>
      <c r="I20" s="40">
        <f>'MERCADO TUSD'!$U$17</f>
        <v>526822.44299999997</v>
      </c>
      <c r="J20" s="15"/>
      <c r="L20" s="30">
        <f>('TUSD BE'!$L$20+'TUSD BF'!$L$20+'TUSD CVA'!$L$20)*1</f>
        <v>14.119943879426453</v>
      </c>
      <c r="M20" s="30">
        <f>('TUSD BE'!$M$20+'TUSD BF'!$M$20+'TUSD CVA'!$M$20)*1</f>
        <v>0.80497480165789337</v>
      </c>
      <c r="N20" s="30">
        <f ca="1">('TUSD BE'!$N$20+'TUSD BF'!$N$20+'TUSD CVA'!$N$20)*1</f>
        <v>3.5996462440141839</v>
      </c>
      <c r="O20" s="30">
        <f>('TUSD BE'!$O$20+'TUSD BF'!$O$20+'TUSD CVA'!$O$20)*1</f>
        <v>0</v>
      </c>
      <c r="P20" s="30">
        <f>('TUSD BE'!$P$20+'TUSD BF'!$P$20+'TUSD CVA'!$P$20)*1</f>
        <v>0</v>
      </c>
      <c r="Q20" s="30">
        <f>('TUSD BE'!$Q$20+'TUSD BF'!$Q$20+'TUSD CVA'!$Q$20)*1</f>
        <v>44.976853301621688</v>
      </c>
      <c r="R20" s="30">
        <f>('TUSD BE'!$R$20+'TUSD BF'!$R$20+'TUSD CVA'!$R$20)*1</f>
        <v>0</v>
      </c>
      <c r="S20" s="30">
        <f>('TUSD BE'!$S$20+'TUSD BF'!$S$20+'TUSD CVA'!$S$20)*1</f>
        <v>0</v>
      </c>
      <c r="T20" s="30">
        <f>('TUSD BE'!$U$20+'TUSD BF'!$U$20+'TUSD CVA'!$U$20)*1</f>
        <v>0</v>
      </c>
      <c r="U20" s="30">
        <f>('TUSD BE'!$V$20+'TUSD BF'!$V$20+'TUSD CVA'!$V$20)*1</f>
        <v>0</v>
      </c>
      <c r="V20" s="30">
        <f>('TUSD BE'!$W$20+'TUSD BF'!$W$20+'TUSD CVA'!$W$20)*1</f>
        <v>1.7992303865065553</v>
      </c>
      <c r="W20" s="30">
        <f>('TUSD BE'!$X$20+'TUSD BF'!$X$20+'TUSD CVA'!$X$20)*1</f>
        <v>0</v>
      </c>
      <c r="X20" s="30">
        <f>('TUSD BE'!$Y$20+'TUSD BF'!$Y$20+'TUSD CVA'!$Y$20)*1</f>
        <v>0</v>
      </c>
      <c r="Y20" s="30">
        <f>('TUSD BE'!$Z$20+'TUSD BF'!$Z$20+'TUSD CVA'!$Z$20)*1</f>
        <v>0</v>
      </c>
      <c r="Z20" s="30">
        <f>('TUSD BE'!$AA$20+'TUSD BF'!$AA$20+'TUSD CVA'!$AA$20)*1</f>
        <v>0</v>
      </c>
      <c r="AA20" s="30">
        <f>('TUSD BE'!$AC$20+'TUSD BF'!$AC$20+'TUSD CVA'!$AC$20)*1</f>
        <v>247.73714957332359</v>
      </c>
      <c r="AB20" s="30">
        <f ca="1">('TUSD BE'!$AE$20+'TUSD BF'!$AE$20+'TUSD CVA'!$AE$20)*1</f>
        <v>0</v>
      </c>
      <c r="AC20" s="30">
        <f ca="1">('TUSD BE'!$AF$20+'TUSD BF'!$AF$20+'TUSD CVA'!$AF$20)*1</f>
        <v>0</v>
      </c>
      <c r="AD20" s="30">
        <f>('TUSD BE'!$AH$20+'TUSD BF'!$AH$20+'TUSD CVA'!$AH$20)*1</f>
        <v>34.947002428972354</v>
      </c>
      <c r="AE20" s="30">
        <f>('TUSD BE'!$AI$20+'TUSD BF'!$AI$20+'TUSD CVA'!$AI$20)*1</f>
        <v>0</v>
      </c>
      <c r="AF20" s="30">
        <f ca="1">('TUSD BE'!$AJ$20+'TUSD BF'!$AJ$20+'TUSD CVA'!$AJ$20)*1</f>
        <v>46.283095957294385</v>
      </c>
      <c r="AG20" s="30">
        <f ca="1">('TUSD BE'!$AK$20+'TUSD BF'!$AK$20+'TUSD CVA'!$AK$20)*1</f>
        <v>4.6860813242249195</v>
      </c>
      <c r="AI20" s="30">
        <v>23.971295830597299</v>
      </c>
      <c r="AJ20" s="30">
        <v>2.0124411594804599</v>
      </c>
      <c r="AK20" s="30">
        <v>3.0507374177761402</v>
      </c>
      <c r="AL20" s="30">
        <v>0</v>
      </c>
      <c r="AM20" s="30">
        <v>0</v>
      </c>
      <c r="AN20" s="30">
        <v>17.9602861774455</v>
      </c>
      <c r="AO20" s="30">
        <v>0</v>
      </c>
      <c r="AP20" s="30">
        <v>0</v>
      </c>
      <c r="AQ20" s="30">
        <v>0</v>
      </c>
      <c r="AR20" s="30">
        <v>0</v>
      </c>
      <c r="AS20" s="30">
        <v>5.0320598355666704</v>
      </c>
      <c r="AT20" s="30">
        <v>0</v>
      </c>
      <c r="AU20" s="30">
        <v>0</v>
      </c>
      <c r="AV20" s="30">
        <v>0</v>
      </c>
      <c r="AW20" s="30">
        <v>0</v>
      </c>
      <c r="AX20" s="30">
        <v>187.634781885499</v>
      </c>
      <c r="AY20" s="30">
        <v>0</v>
      </c>
      <c r="AZ20" s="30">
        <v>0</v>
      </c>
      <c r="BA20" s="30">
        <v>28.067565209649398</v>
      </c>
      <c r="BB20" s="30">
        <v>0</v>
      </c>
      <c r="BC20" s="30">
        <v>40.549873312079399</v>
      </c>
      <c r="BD20" s="30">
        <v>3.0055177825955499</v>
      </c>
    </row>
    <row r="21" spans="1:56" ht="11.25" customHeight="1" x14ac:dyDescent="0.25">
      <c r="A21" s="107"/>
      <c r="B21" s="107"/>
      <c r="C21" s="107"/>
      <c r="D21" s="39" t="s">
        <v>29</v>
      </c>
      <c r="E21" s="39" t="s">
        <v>25</v>
      </c>
      <c r="F21" s="39" t="s">
        <v>25</v>
      </c>
      <c r="G21" s="40" t="s">
        <v>76</v>
      </c>
      <c r="H21" s="40" t="s">
        <v>72</v>
      </c>
      <c r="I21" s="40">
        <f>'MERCADO TUSD'!$U$18</f>
        <v>10401.067000000001</v>
      </c>
      <c r="J21" s="15"/>
      <c r="L21" s="30">
        <f>('TUSD BE'!$L$21+'TUSD BF'!$L$21+'TUSD CVA'!$L$21)*(1 - 0.65)</f>
        <v>0</v>
      </c>
      <c r="M21" s="30">
        <f>('TUSD BE'!$M$21+'TUSD BF'!$M$21+'TUSD CVA'!$M$21)*(1 - 0.65)</f>
        <v>0.28174118058026265</v>
      </c>
      <c r="N21" s="30">
        <f ca="1">('TUSD BE'!$N$21+'TUSD BF'!$N$21+'TUSD CVA'!$N$21)*(1 - 0.65)</f>
        <v>1.2563354928194075</v>
      </c>
      <c r="O21" s="30">
        <f>('TUSD BE'!$O$21+'TUSD BF'!$O$21+'TUSD CVA'!$O$21)*(1 - 0.65)</f>
        <v>0</v>
      </c>
      <c r="P21" s="30">
        <v>0</v>
      </c>
      <c r="Q21" s="30">
        <f>('TUSD BE'!$Q$21+'TUSD BF'!$Q$21+'TUSD CVA'!$Q$21)*(1 - 0.65)</f>
        <v>0</v>
      </c>
      <c r="R21" s="30">
        <v>0</v>
      </c>
      <c r="S21" s="30">
        <f>('TUSD BE'!$S$21+'TUSD BF'!$S$21+'TUSD CVA'!$S$21)*(1 - 0.65)</f>
        <v>0</v>
      </c>
      <c r="T21" s="30">
        <f>('TUSD BE'!$U$21+'TUSD BF'!$U$21+'TUSD CVA'!$U$21)*(1 - 0.65)</f>
        <v>0</v>
      </c>
      <c r="U21" s="30">
        <f>('TUSD BE'!$V$21+'TUSD BF'!$V$21+'TUSD CVA'!$V$21)*(1 - 0.65)</f>
        <v>0</v>
      </c>
      <c r="V21" s="30">
        <f>('TUSD BE'!$W$21+'TUSD BF'!$W$21+'TUSD CVA'!$W$21)*(1 - 0.65)</f>
        <v>0.62973063527729434</v>
      </c>
      <c r="W21" s="30">
        <f>('TUSD BE'!$X$21+'TUSD BF'!$X$21+'TUSD CVA'!$X$21)*(1 - 0.65)</f>
        <v>0</v>
      </c>
      <c r="X21" s="30">
        <f>('TUSD BE'!$Y$21+'TUSD BF'!$Y$21+'TUSD CVA'!$Y$21)*(1 - 0.65)</f>
        <v>0</v>
      </c>
      <c r="Y21" s="30">
        <f>('TUSD BE'!$Z$21+'TUSD BF'!$Z$21+'TUSD CVA'!$Z$21)*(1 - 0.65)</f>
        <v>0</v>
      </c>
      <c r="Z21" s="30">
        <f>('TUSD BE'!$AA$21+'TUSD BF'!$AA$21+'TUSD CVA'!$AA$21)*(1 - 0.65)</f>
        <v>0</v>
      </c>
      <c r="AA21" s="30">
        <f>('TUSD BE'!$AC$21+'TUSD BF'!$AC$21+'TUSD CVA'!$AC$21)*(1 - 0.65)</f>
        <v>86.70800235066325</v>
      </c>
      <c r="AB21" s="30">
        <f ca="1">('TUSD BE'!$AE$21+'TUSD BF'!$AE$21+'TUSD CVA'!$AE$21)*(1 - 0.65)</f>
        <v>0</v>
      </c>
      <c r="AC21" s="30">
        <f ca="1">('TUSD BE'!$AF$21+'TUSD BF'!$AF$21+'TUSD CVA'!$AF$21)*(1 - 0.65)</f>
        <v>0</v>
      </c>
      <c r="AD21" s="30">
        <f>('TUSD BE'!$AH$21+'TUSD BF'!$AH$21+'TUSD CVA'!$AH$21)*(1 - 0.65)</f>
        <v>12.231450850140323</v>
      </c>
      <c r="AE21" s="30">
        <f>('TUSD BE'!$AI$21+'TUSD BF'!$AI$21+'TUSD CVA'!$AI$21)*(1 - 0.65)</f>
        <v>0</v>
      </c>
      <c r="AF21" s="30">
        <f ca="1">('TUSD BE'!$AJ$21+'TUSD BF'!$AJ$21+'TUSD CVA'!$AJ$21)*(1 - 0.65)</f>
        <v>16.199083585053035</v>
      </c>
      <c r="AG21" s="30">
        <f ca="1">('TUSD BE'!$AK$21+'TUSD BF'!$AK$21+'TUSD CVA'!$AK$21)*(1 - 0.65)</f>
        <v>1.6401284634787217</v>
      </c>
      <c r="AI21" s="30">
        <v>0</v>
      </c>
      <c r="AJ21" s="30">
        <v>0.704354405818162</v>
      </c>
      <c r="AK21" s="30">
        <v>1.0646726021099799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1.76122094244834</v>
      </c>
      <c r="AT21" s="30">
        <v>0</v>
      </c>
      <c r="AU21" s="30">
        <v>0</v>
      </c>
      <c r="AV21" s="30">
        <v>0</v>
      </c>
      <c r="AW21" s="30">
        <v>0</v>
      </c>
      <c r="AX21" s="30">
        <v>65.672173659924596</v>
      </c>
      <c r="AY21" s="30">
        <v>0</v>
      </c>
      <c r="AZ21" s="30">
        <v>0</v>
      </c>
      <c r="BA21" s="30">
        <v>9.8236478233772893</v>
      </c>
      <c r="BB21" s="30">
        <v>0</v>
      </c>
      <c r="BC21" s="30">
        <v>14.1924556592278</v>
      </c>
      <c r="BD21" s="30">
        <v>1.05193122390844</v>
      </c>
    </row>
    <row r="22" spans="1:56" ht="11.25" customHeight="1" x14ac:dyDescent="0.25">
      <c r="A22" s="107"/>
      <c r="B22" s="107"/>
      <c r="C22" s="107"/>
      <c r="D22" s="39" t="s">
        <v>30</v>
      </c>
      <c r="E22" s="39" t="s">
        <v>25</v>
      </c>
      <c r="F22" s="39" t="s">
        <v>25</v>
      </c>
      <c r="G22" s="40" t="s">
        <v>76</v>
      </c>
      <c r="H22" s="40" t="s">
        <v>72</v>
      </c>
      <c r="I22" s="40">
        <f>'MERCADO TUSD'!$U$19</f>
        <v>21577.302999999996</v>
      </c>
      <c r="J22" s="15"/>
      <c r="L22" s="30">
        <f>('TUSD BE'!$L$22+'TUSD BF'!$L$22+'TUSD CVA'!$L$22)*(1 - 0.4)</f>
        <v>0</v>
      </c>
      <c r="M22" s="30">
        <f>('TUSD BE'!$M$22+'TUSD BF'!$M$22+'TUSD CVA'!$M$22)*(1 - 0.4)</f>
        <v>0.48298488099473602</v>
      </c>
      <c r="N22" s="30">
        <f ca="1">('TUSD BE'!$N$22+'TUSD BF'!$N$22+'TUSD CVA'!$N$22)*(1 - 0.4)</f>
        <v>2.1537179876904129</v>
      </c>
      <c r="O22" s="30">
        <f>('TUSD BE'!$O$22+'TUSD BF'!$O$22+'TUSD CVA'!$O$22)*(1 - 0.4)</f>
        <v>0</v>
      </c>
      <c r="P22" s="30">
        <v>0</v>
      </c>
      <c r="Q22" s="30">
        <f>('TUSD BE'!$Q$22+'TUSD BF'!$Q$22+'TUSD CVA'!$Q$22)*(1 - 0.4)</f>
        <v>0</v>
      </c>
      <c r="R22" s="30">
        <v>0</v>
      </c>
      <c r="S22" s="30">
        <f>('TUSD BE'!$S$22+'TUSD BF'!$S$22+'TUSD CVA'!$S$22)*(1 - 0.4)</f>
        <v>0</v>
      </c>
      <c r="T22" s="30">
        <f>('TUSD BE'!$U$22+'TUSD BF'!$U$22+'TUSD CVA'!$U$22)*(1 - 0.4)</f>
        <v>0</v>
      </c>
      <c r="U22" s="30">
        <f>('TUSD BE'!$V$22+'TUSD BF'!$V$22+'TUSD CVA'!$V$22)*(1 - 0.4)</f>
        <v>0</v>
      </c>
      <c r="V22" s="30">
        <f>('TUSD BE'!$W$22+'TUSD BF'!$W$22+'TUSD CVA'!$W$22)*(1 - 0.4)</f>
        <v>1.0795382319039331</v>
      </c>
      <c r="W22" s="30">
        <f>('TUSD BE'!$X$22+'TUSD BF'!$X$22+'TUSD CVA'!$X$22)*(1 - 0.4)</f>
        <v>0</v>
      </c>
      <c r="X22" s="30">
        <f>('TUSD BE'!$Y$22+'TUSD BF'!$Y$22+'TUSD CVA'!$Y$22)*(1 - 0.4)</f>
        <v>0</v>
      </c>
      <c r="Y22" s="30">
        <f>('TUSD BE'!$Z$22+'TUSD BF'!$Z$22+'TUSD CVA'!$Z$22)*(1 - 0.4)</f>
        <v>0</v>
      </c>
      <c r="Z22" s="30">
        <f>('TUSD BE'!$AA$22+'TUSD BF'!$AA$22+'TUSD CVA'!$AA$22)*(1 - 0.4)</f>
        <v>0</v>
      </c>
      <c r="AA22" s="30">
        <f>('TUSD BE'!$AC$22+'TUSD BF'!$AC$22+'TUSD CVA'!$AC$22)*(1 - 0.4)</f>
        <v>148.64228974399416</v>
      </c>
      <c r="AB22" s="30">
        <f ca="1">('TUSD BE'!$AE$22+'TUSD BF'!$AE$22+'TUSD CVA'!$AE$22)*(1 - 0.4)</f>
        <v>0</v>
      </c>
      <c r="AC22" s="30">
        <f ca="1">('TUSD BE'!$AF$22+'TUSD BF'!$AF$22+'TUSD CVA'!$AF$22)*(1 - 0.4)</f>
        <v>0</v>
      </c>
      <c r="AD22" s="30">
        <f>('TUSD BE'!$AH$22+'TUSD BF'!$AH$22+'TUSD CVA'!$AH$22)*(1 - 0.4)</f>
        <v>20.968201457383412</v>
      </c>
      <c r="AE22" s="30">
        <f>('TUSD BE'!$AI$22+'TUSD BF'!$AI$22+'TUSD CVA'!$AI$22)*(1 - 0.4)</f>
        <v>0</v>
      </c>
      <c r="AF22" s="30">
        <f ca="1">('TUSD BE'!$AJ$22+'TUSD BF'!$AJ$22+'TUSD CVA'!$AJ$22)*(1 - 0.4)</f>
        <v>27.76985757437663</v>
      </c>
      <c r="AG22" s="30">
        <f ca="1">('TUSD BE'!$AK$22+'TUSD BF'!$AK$22+'TUSD CVA'!$AK$22)*(1 - 0.4)</f>
        <v>2.8116487945349515</v>
      </c>
      <c r="AI22" s="30">
        <v>0</v>
      </c>
      <c r="AJ22" s="30">
        <v>1.20746469568828</v>
      </c>
      <c r="AK22" s="30">
        <v>1.8251530321885401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3.0192359013400001</v>
      </c>
      <c r="AT22" s="30">
        <v>0</v>
      </c>
      <c r="AU22" s="30">
        <v>0</v>
      </c>
      <c r="AV22" s="30">
        <v>0</v>
      </c>
      <c r="AW22" s="30">
        <v>0</v>
      </c>
      <c r="AX22" s="30">
        <v>112.580869131299</v>
      </c>
      <c r="AY22" s="30">
        <v>0</v>
      </c>
      <c r="AZ22" s="30">
        <v>0</v>
      </c>
      <c r="BA22" s="30">
        <v>16.840539125789601</v>
      </c>
      <c r="BB22" s="30">
        <v>0</v>
      </c>
      <c r="BC22" s="30">
        <v>24.3299239872476</v>
      </c>
      <c r="BD22" s="30">
        <v>1.80331066955733</v>
      </c>
    </row>
    <row r="23" spans="1:56" ht="11.25" customHeight="1" x14ac:dyDescent="0.25">
      <c r="A23" s="107"/>
      <c r="B23" s="107"/>
      <c r="C23" s="107"/>
      <c r="D23" s="39" t="s">
        <v>31</v>
      </c>
      <c r="E23" s="39" t="s">
        <v>25</v>
      </c>
      <c r="F23" s="39" t="s">
        <v>25</v>
      </c>
      <c r="G23" s="40" t="s">
        <v>76</v>
      </c>
      <c r="H23" s="40" t="s">
        <v>72</v>
      </c>
      <c r="I23" s="40">
        <f>'MERCADO TUSD'!$U$20</f>
        <v>25545.413</v>
      </c>
      <c r="J23" s="15"/>
      <c r="L23" s="30">
        <f>('TUSD BE'!$L$23+'TUSD BF'!$L$23+'TUSD CVA'!$L$23)*(1 - 0.1)</f>
        <v>0</v>
      </c>
      <c r="M23" s="30">
        <f>('TUSD BE'!$M$23+'TUSD BF'!$M$23+'TUSD CVA'!$M$23)*(1 - 0.1)</f>
        <v>0.72447732149210409</v>
      </c>
      <c r="N23" s="30">
        <f ca="1">('TUSD BE'!$N$23+'TUSD BF'!$N$23+'TUSD CVA'!$N$23)*(1 - 0.1)</f>
        <v>3.2305769815356196</v>
      </c>
      <c r="O23" s="30">
        <f>('TUSD BE'!$O$23+'TUSD BF'!$O$23+'TUSD CVA'!$O$23)*(1 - 0.1)</f>
        <v>0</v>
      </c>
      <c r="P23" s="30">
        <v>0</v>
      </c>
      <c r="Q23" s="30">
        <f>('TUSD BE'!$Q$23+'TUSD BF'!$Q$23+'TUSD CVA'!$Q$23)*(1 - 0.1)</f>
        <v>0</v>
      </c>
      <c r="R23" s="30">
        <v>0</v>
      </c>
      <c r="S23" s="30">
        <f>('TUSD BE'!$S$23+'TUSD BF'!$S$23+'TUSD CVA'!$S$23)*(1 - 0.1)</f>
        <v>0</v>
      </c>
      <c r="T23" s="30">
        <f>('TUSD BE'!$U$23+'TUSD BF'!$U$23+'TUSD CVA'!$U$23)*(1 - 0.1)</f>
        <v>0</v>
      </c>
      <c r="U23" s="30">
        <f>('TUSD BE'!$V$23+'TUSD BF'!$V$23+'TUSD CVA'!$V$23)*(1 - 0.1)</f>
        <v>0</v>
      </c>
      <c r="V23" s="30">
        <f>('TUSD BE'!$W$23+'TUSD BF'!$W$23+'TUSD CVA'!$W$23)*(1 - 0.1)</f>
        <v>1.6193073478558999</v>
      </c>
      <c r="W23" s="30">
        <f>('TUSD BE'!$X$23+'TUSD BF'!$X$23+'TUSD CVA'!$X$23)*(1 - 0.1)</f>
        <v>0</v>
      </c>
      <c r="X23" s="30">
        <f>('TUSD BE'!$Y$23+'TUSD BF'!$Y$23+'TUSD CVA'!$Y$23)*(1 - 0.1)</f>
        <v>0</v>
      </c>
      <c r="Y23" s="30">
        <f>('TUSD BE'!$Z$23+'TUSD BF'!$Z$23+'TUSD CVA'!$Z$23)*(1 - 0.1)</f>
        <v>0</v>
      </c>
      <c r="Z23" s="30">
        <f>('TUSD BE'!$AA$23+'TUSD BF'!$AA$23+'TUSD CVA'!$AA$23)*(1 - 0.1)</f>
        <v>0</v>
      </c>
      <c r="AA23" s="30">
        <f>('TUSD BE'!$AC$23+'TUSD BF'!$AC$23+'TUSD CVA'!$AC$23)*(1 - 0.1)</f>
        <v>222.96343461599125</v>
      </c>
      <c r="AB23" s="30">
        <f ca="1">('TUSD BE'!$AE$23+'TUSD BF'!$AE$23+'TUSD CVA'!$AE$23)*(1 - 0.1)</f>
        <v>0</v>
      </c>
      <c r="AC23" s="30">
        <f ca="1">('TUSD BE'!$AF$23+'TUSD BF'!$AF$23+'TUSD CVA'!$AF$23)*(1 - 0.1)</f>
        <v>0</v>
      </c>
      <c r="AD23" s="30">
        <f>('TUSD BE'!$AH$23+'TUSD BF'!$AH$23+'TUSD CVA'!$AH$23)*(1 - 0.1)</f>
        <v>31.452302186075119</v>
      </c>
      <c r="AE23" s="30">
        <f>('TUSD BE'!$AI$23+'TUSD BF'!$AI$23+'TUSD CVA'!$AI$23)*(1 - 0.1)</f>
        <v>0</v>
      </c>
      <c r="AF23" s="30">
        <f ca="1">('TUSD BE'!$AJ$23+'TUSD BF'!$AJ$23+'TUSD CVA'!$AJ$23)*(1 - 0.1)</f>
        <v>41.654786361564945</v>
      </c>
      <c r="AG23" s="30">
        <f ca="1">('TUSD BE'!$AK$23+'TUSD BF'!$AK$23+'TUSD CVA'!$AK$23)*(1 - 0.1)</f>
        <v>4.2174731918024273</v>
      </c>
      <c r="AI23" s="30">
        <v>0</v>
      </c>
      <c r="AJ23" s="30">
        <v>1.8111970435324201</v>
      </c>
      <c r="AK23" s="30">
        <v>2.7377295482828101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0</v>
      </c>
      <c r="AR23" s="30">
        <v>0</v>
      </c>
      <c r="AS23" s="30">
        <v>4.5288538520100099</v>
      </c>
      <c r="AT23" s="30">
        <v>0</v>
      </c>
      <c r="AU23" s="30">
        <v>0</v>
      </c>
      <c r="AV23" s="30">
        <v>0</v>
      </c>
      <c r="AW23" s="30">
        <v>0</v>
      </c>
      <c r="AX23" s="30">
        <v>168.87130369694901</v>
      </c>
      <c r="AY23" s="30">
        <v>0</v>
      </c>
      <c r="AZ23" s="30">
        <v>0</v>
      </c>
      <c r="BA23" s="30">
        <v>25.260808688684399</v>
      </c>
      <c r="BB23" s="30">
        <v>0</v>
      </c>
      <c r="BC23" s="30">
        <v>36.494885980871402</v>
      </c>
      <c r="BD23" s="30">
        <v>2.70496600433599</v>
      </c>
    </row>
    <row r="24" spans="1:56" ht="11.25" customHeight="1" x14ac:dyDescent="0.25">
      <c r="A24" s="107"/>
      <c r="B24" s="107"/>
      <c r="C24" s="107"/>
      <c r="D24" s="39" t="s">
        <v>32</v>
      </c>
      <c r="E24" s="39" t="s">
        <v>25</v>
      </c>
      <c r="F24" s="39" t="s">
        <v>25</v>
      </c>
      <c r="G24" s="40" t="s">
        <v>76</v>
      </c>
      <c r="H24" s="40" t="s">
        <v>72</v>
      </c>
      <c r="I24" s="40">
        <f>'MERCADO TUSD'!$U$21</f>
        <v>28095.264000000006</v>
      </c>
      <c r="J24" s="15"/>
      <c r="L24" s="30">
        <f>('TUSD BE'!$L$24+'TUSD BF'!$L$24+'TUSD CVA'!$L$24)*1</f>
        <v>0</v>
      </c>
      <c r="M24" s="30">
        <f>('TUSD BE'!$M$24+'TUSD BF'!$M$24+'TUSD CVA'!$M$24)*1</f>
        <v>0.80497480165789337</v>
      </c>
      <c r="N24" s="30">
        <f ca="1">('TUSD BE'!$N$24+'TUSD BF'!$N$24+'TUSD CVA'!$N$24)*1</f>
        <v>3.5895299794840216</v>
      </c>
      <c r="O24" s="30">
        <f>('TUSD BE'!$O$24+'TUSD BF'!$O$24+'TUSD CVA'!$O$24)*1</f>
        <v>0</v>
      </c>
      <c r="P24" s="30">
        <v>0</v>
      </c>
      <c r="Q24" s="30">
        <f>('TUSD BE'!$Q$24+'TUSD BF'!$Q$24+'TUSD CVA'!$Q$24)*1</f>
        <v>0</v>
      </c>
      <c r="R24" s="30">
        <v>0</v>
      </c>
      <c r="S24" s="30">
        <f>('TUSD BE'!$S$24+'TUSD BF'!$S$24+'TUSD CVA'!$S$24)*1</f>
        <v>0</v>
      </c>
      <c r="T24" s="30">
        <f>('TUSD BE'!$U$24+'TUSD BF'!$U$24+'TUSD CVA'!$U$24)*1</f>
        <v>0</v>
      </c>
      <c r="U24" s="30">
        <f>('TUSD BE'!$V$24+'TUSD BF'!$V$24+'TUSD CVA'!$V$24)*1</f>
        <v>0</v>
      </c>
      <c r="V24" s="30">
        <f>('TUSD BE'!$W$24+'TUSD BF'!$W$24+'TUSD CVA'!$W$24)*1</f>
        <v>1.7992303865065553</v>
      </c>
      <c r="W24" s="30">
        <f>('TUSD BE'!$X$24+'TUSD BF'!$X$24+'TUSD CVA'!$X$24)*1</f>
        <v>0</v>
      </c>
      <c r="X24" s="30">
        <f>('TUSD BE'!$Y$24+'TUSD BF'!$Y$24+'TUSD CVA'!$Y$24)*1</f>
        <v>0</v>
      </c>
      <c r="Y24" s="30">
        <f>('TUSD BE'!$Z$24+'TUSD BF'!$Z$24+'TUSD CVA'!$Z$24)*1</f>
        <v>0</v>
      </c>
      <c r="Z24" s="30">
        <f>('TUSD BE'!$AA$24+'TUSD BF'!$AA$24+'TUSD CVA'!$AA$24)*1</f>
        <v>0</v>
      </c>
      <c r="AA24" s="30">
        <f>('TUSD BE'!$AC$24+'TUSD BF'!$AC$24+'TUSD CVA'!$AC$24)*1</f>
        <v>247.73714957332359</v>
      </c>
      <c r="AB24" s="30">
        <f ca="1">('TUSD BE'!$AE$24+'TUSD BF'!$AE$24+'TUSD CVA'!$AE$24)*1</f>
        <v>0</v>
      </c>
      <c r="AC24" s="30">
        <f ca="1">('TUSD BE'!$AF$24+'TUSD BF'!$AF$24+'TUSD CVA'!$AF$24)*1</f>
        <v>0</v>
      </c>
      <c r="AD24" s="30">
        <f>('TUSD BE'!$AH$24+'TUSD BF'!$AH$24+'TUSD CVA'!$AH$24)*1</f>
        <v>34.947002428972354</v>
      </c>
      <c r="AE24" s="30">
        <f>('TUSD BE'!$AI$24+'TUSD BF'!$AI$24+'TUSD CVA'!$AI$24)*1</f>
        <v>0</v>
      </c>
      <c r="AF24" s="30">
        <f ca="1">('TUSD BE'!$AJ$24+'TUSD BF'!$AJ$24+'TUSD CVA'!$AJ$24)*1</f>
        <v>46.283095957294385</v>
      </c>
      <c r="AG24" s="30">
        <f ca="1">('TUSD BE'!$AK$24+'TUSD BF'!$AK$24+'TUSD CVA'!$AK$24)*1</f>
        <v>4.6860813242249195</v>
      </c>
      <c r="AI24" s="30">
        <v>0</v>
      </c>
      <c r="AJ24" s="30">
        <v>2.0124411594804599</v>
      </c>
      <c r="AK24" s="30">
        <v>3.0419217203142299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5.0320598355666704</v>
      </c>
      <c r="AT24" s="30">
        <v>0</v>
      </c>
      <c r="AU24" s="30">
        <v>0</v>
      </c>
      <c r="AV24" s="30">
        <v>0</v>
      </c>
      <c r="AW24" s="30">
        <v>0</v>
      </c>
      <c r="AX24" s="30">
        <v>187.634781885499</v>
      </c>
      <c r="AY24" s="30">
        <v>0</v>
      </c>
      <c r="AZ24" s="30">
        <v>0</v>
      </c>
      <c r="BA24" s="30">
        <v>28.067565209649398</v>
      </c>
      <c r="BB24" s="30">
        <v>0</v>
      </c>
      <c r="BC24" s="30">
        <v>40.549873312079399</v>
      </c>
      <c r="BD24" s="30">
        <v>3.0055177825955499</v>
      </c>
    </row>
    <row r="25" spans="1:56" ht="11.25" customHeight="1" x14ac:dyDescent="0.25">
      <c r="A25" s="107"/>
      <c r="B25" s="107" t="s">
        <v>87</v>
      </c>
      <c r="C25" s="107" t="s">
        <v>24</v>
      </c>
      <c r="D25" s="39" t="s">
        <v>24</v>
      </c>
      <c r="E25" s="39" t="s">
        <v>25</v>
      </c>
      <c r="F25" s="39" t="s">
        <v>25</v>
      </c>
      <c r="G25" s="40" t="s">
        <v>76</v>
      </c>
      <c r="H25" s="40" t="s">
        <v>72</v>
      </c>
      <c r="I25" s="40">
        <f>'MERCADO TUSD'!$U$22</f>
        <v>0</v>
      </c>
      <c r="J25" s="15"/>
      <c r="L25" s="30">
        <f>('TUSD BE'!$L$25+'TUSD BF'!$L$25+'TUSD CVA'!$L$25)*1</f>
        <v>14.119943879426453</v>
      </c>
      <c r="M25" s="30">
        <f>('TUSD BE'!$M$25+'TUSD BF'!$M$25+'TUSD CVA'!$M$25)*1</f>
        <v>0.80497480165789337</v>
      </c>
      <c r="N25" s="30">
        <f ca="1">('TUSD BE'!$N$25+'TUSD BF'!$N$25+'TUSD CVA'!$N$25)*1</f>
        <v>3.5996462440141839</v>
      </c>
      <c r="O25" s="30">
        <f>('TUSD BE'!$O$25+'TUSD BF'!$O$25+'TUSD CVA'!$O$25)*1</f>
        <v>0</v>
      </c>
      <c r="P25" s="30">
        <f>('TUSD BE'!$P$25+'TUSD BF'!$P$25+'TUSD CVA'!$P$25)*1</f>
        <v>0</v>
      </c>
      <c r="Q25" s="30">
        <f>('TUSD BE'!$Q$25+'TUSD BF'!$Q$25+'TUSD CVA'!$Q$25)*1</f>
        <v>44.976853301621688</v>
      </c>
      <c r="R25" s="30">
        <f>('TUSD BE'!$R$25+'TUSD BF'!$R$25+'TUSD CVA'!$R$25)*1</f>
        <v>0</v>
      </c>
      <c r="S25" s="30">
        <f>('TUSD BE'!$S$25+'TUSD BF'!$S$25+'TUSD CVA'!$S$25)*1</f>
        <v>0</v>
      </c>
      <c r="T25" s="30">
        <f>('TUSD BE'!$U$25+'TUSD BF'!$U$25+'TUSD CVA'!$U$25)*1</f>
        <v>0</v>
      </c>
      <c r="U25" s="30">
        <f>('TUSD BE'!$V$25+'TUSD BF'!$V$25+'TUSD CVA'!$V$25)*1</f>
        <v>0</v>
      </c>
      <c r="V25" s="30">
        <f>('TUSD BE'!$W$25+'TUSD BF'!$W$25+'TUSD CVA'!$W$25)*1</f>
        <v>1.7992303865065553</v>
      </c>
      <c r="W25" s="30">
        <f>('TUSD BE'!$X$25+'TUSD BF'!$X$25+'TUSD CVA'!$X$25)*1</f>
        <v>0</v>
      </c>
      <c r="X25" s="30">
        <f>('TUSD BE'!$Y$25+'TUSD BF'!$Y$25+'TUSD CVA'!$Y$25)*1</f>
        <v>0</v>
      </c>
      <c r="Y25" s="30">
        <f>('TUSD BE'!$Z$25+'TUSD BF'!$Z$25+'TUSD CVA'!$Z$25)*1</f>
        <v>0</v>
      </c>
      <c r="Z25" s="30">
        <f>('TUSD BE'!$AA$25+'TUSD BF'!$AA$25+'TUSD CVA'!$AA$25)*1</f>
        <v>0</v>
      </c>
      <c r="AA25" s="30">
        <f>('TUSD BE'!$AC$25+'TUSD BF'!$AC$25+'TUSD CVA'!$AC$25)*1</f>
        <v>247.73714957332359</v>
      </c>
      <c r="AB25" s="30">
        <f ca="1">('TUSD BE'!$AE$25+'TUSD BF'!$AE$25+'TUSD CVA'!$AE$25)*1</f>
        <v>0</v>
      </c>
      <c r="AC25" s="30">
        <f ca="1">('TUSD BE'!$AF$25+'TUSD BF'!$AF$25+'TUSD CVA'!$AF$25)*1</f>
        <v>0</v>
      </c>
      <c r="AD25" s="30">
        <f>('TUSD BE'!$AH$25+'TUSD BF'!$AH$25+'TUSD CVA'!$AH$25)*1</f>
        <v>34.947002428972354</v>
      </c>
      <c r="AE25" s="30">
        <f>('TUSD BE'!$AI$25+'TUSD BF'!$AI$25+'TUSD CVA'!$AI$25)*1</f>
        <v>0</v>
      </c>
      <c r="AF25" s="30">
        <f ca="1">('TUSD BE'!$AJ$25+'TUSD BF'!$AJ$25+'TUSD CVA'!$AJ$25)*1</f>
        <v>46.283095957294385</v>
      </c>
      <c r="AG25" s="30">
        <f ca="1">('TUSD BE'!$AK$25+'TUSD BF'!$AK$25+'TUSD CVA'!$AK$25)*1</f>
        <v>4.6860813242249195</v>
      </c>
      <c r="AI25" s="30">
        <v>23.971295830597299</v>
      </c>
      <c r="AJ25" s="30">
        <v>2.0124411594804599</v>
      </c>
      <c r="AK25" s="30">
        <v>3.0507374177761402</v>
      </c>
      <c r="AL25" s="30">
        <v>0</v>
      </c>
      <c r="AM25" s="30">
        <v>0</v>
      </c>
      <c r="AN25" s="30">
        <v>17.9602861774455</v>
      </c>
      <c r="AO25" s="30">
        <v>0</v>
      </c>
      <c r="AP25" s="30">
        <v>0</v>
      </c>
      <c r="AQ25" s="30">
        <v>0</v>
      </c>
      <c r="AR25" s="30">
        <v>0</v>
      </c>
      <c r="AS25" s="30">
        <v>5.0320598355666704</v>
      </c>
      <c r="AT25" s="30">
        <v>0</v>
      </c>
      <c r="AU25" s="30">
        <v>0</v>
      </c>
      <c r="AV25" s="30">
        <v>0</v>
      </c>
      <c r="AW25" s="30">
        <v>0</v>
      </c>
      <c r="AX25" s="30">
        <v>187.634781885499</v>
      </c>
      <c r="AY25" s="30">
        <v>0</v>
      </c>
      <c r="AZ25" s="30">
        <v>0</v>
      </c>
      <c r="BA25" s="30">
        <v>28.067565209649398</v>
      </c>
      <c r="BB25" s="30">
        <v>0</v>
      </c>
      <c r="BC25" s="30">
        <v>40.549873312079399</v>
      </c>
      <c r="BD25" s="30">
        <v>3.0055177825955499</v>
      </c>
    </row>
    <row r="26" spans="1:56" ht="11.25" customHeight="1" x14ac:dyDescent="0.25">
      <c r="A26" s="107"/>
      <c r="B26" s="107"/>
      <c r="C26" s="107"/>
      <c r="D26" s="39" t="s">
        <v>29</v>
      </c>
      <c r="E26" s="39" t="s">
        <v>25</v>
      </c>
      <c r="F26" s="39" t="s">
        <v>25</v>
      </c>
      <c r="G26" s="40" t="s">
        <v>76</v>
      </c>
      <c r="H26" s="40" t="s">
        <v>72</v>
      </c>
      <c r="I26" s="40">
        <f>'MERCADO TUSD'!$U$23</f>
        <v>0</v>
      </c>
      <c r="J26" s="15"/>
      <c r="L26" s="30">
        <f>('TUSD BE'!$L$26+'TUSD BF'!$L$26+'TUSD CVA'!$L$26)*(1 - 0.65)</f>
        <v>0</v>
      </c>
      <c r="M26" s="30">
        <f>('TUSD BE'!$M$26+'TUSD BF'!$M$26+'TUSD CVA'!$M$26)*(1 - 0.65)</f>
        <v>0.28174118058026265</v>
      </c>
      <c r="N26" s="30">
        <f ca="1">('TUSD BE'!$N$26+'TUSD BF'!$N$26+'TUSD CVA'!$N$26)*(1 - 0.65)</f>
        <v>1.2563354928194075</v>
      </c>
      <c r="O26" s="30">
        <f>('TUSD BE'!$O$26+'TUSD BF'!$O$26+'TUSD CVA'!$O$26)*(1 - 0.65)</f>
        <v>0</v>
      </c>
      <c r="P26" s="30">
        <v>0</v>
      </c>
      <c r="Q26" s="30">
        <f>('TUSD BE'!$Q$26+'TUSD BF'!$Q$26+'TUSD CVA'!$Q$26)*(1 - 0.65)</f>
        <v>0</v>
      </c>
      <c r="R26" s="30">
        <v>0</v>
      </c>
      <c r="S26" s="30">
        <f>('TUSD BE'!$S$26+'TUSD BF'!$S$26+'TUSD CVA'!$S$26)*(1 - 0.65)</f>
        <v>0</v>
      </c>
      <c r="T26" s="30">
        <f>('TUSD BE'!$U$26+'TUSD BF'!$U$26+'TUSD CVA'!$U$26)*(1 - 0.65)</f>
        <v>0</v>
      </c>
      <c r="U26" s="30">
        <f>('TUSD BE'!$V$26+'TUSD BF'!$V$26+'TUSD CVA'!$V$26)*(1 - 0.65)</f>
        <v>0</v>
      </c>
      <c r="V26" s="30">
        <f>('TUSD BE'!$W$26+'TUSD BF'!$W$26+'TUSD CVA'!$W$26)*(1 - 0.65)</f>
        <v>0.62973063527729434</v>
      </c>
      <c r="W26" s="30">
        <f>('TUSD BE'!$X$26+'TUSD BF'!$X$26+'TUSD CVA'!$X$26)*(1 - 0.65)</f>
        <v>0</v>
      </c>
      <c r="X26" s="30">
        <f>('TUSD BE'!$Y$26+'TUSD BF'!$Y$26+'TUSD CVA'!$Y$26)*(1 - 0.65)</f>
        <v>0</v>
      </c>
      <c r="Y26" s="30">
        <f>('TUSD BE'!$Z$26+'TUSD BF'!$Z$26+'TUSD CVA'!$Z$26)*(1 - 0.65)</f>
        <v>0</v>
      </c>
      <c r="Z26" s="30">
        <f>('TUSD BE'!$AA$26+'TUSD BF'!$AA$26+'TUSD CVA'!$AA$26)*(1 - 0.65)</f>
        <v>0</v>
      </c>
      <c r="AA26" s="30">
        <f>('TUSD BE'!$AC$26+'TUSD BF'!$AC$26+'TUSD CVA'!$AC$26)*(1 - 0.65)</f>
        <v>86.70800235066325</v>
      </c>
      <c r="AB26" s="30">
        <f ca="1">('TUSD BE'!$AE$26+'TUSD BF'!$AE$26+'TUSD CVA'!$AE$26)*(1 - 0.65)</f>
        <v>0</v>
      </c>
      <c r="AC26" s="30">
        <f ca="1">('TUSD BE'!$AF$26+'TUSD BF'!$AF$26+'TUSD CVA'!$AF$26)*(1 - 0.65)</f>
        <v>0</v>
      </c>
      <c r="AD26" s="30">
        <f>('TUSD BE'!$AH$26+'TUSD BF'!$AH$26+'TUSD CVA'!$AH$26)*(1 - 0.65)</f>
        <v>12.231450850140323</v>
      </c>
      <c r="AE26" s="30">
        <f>('TUSD BE'!$AI$26+'TUSD BF'!$AI$26+'TUSD CVA'!$AI$26)*(1 - 0.65)</f>
        <v>0</v>
      </c>
      <c r="AF26" s="30">
        <f ca="1">('TUSD BE'!$AJ$26+'TUSD BF'!$AJ$26+'TUSD CVA'!$AJ$26)*(1 - 0.65)</f>
        <v>16.199083585053035</v>
      </c>
      <c r="AG26" s="30">
        <f ca="1">('TUSD BE'!$AK$26+'TUSD BF'!$AK$26+'TUSD CVA'!$AK$26)*(1 - 0.65)</f>
        <v>1.6401284634787217</v>
      </c>
      <c r="AI26" s="30">
        <v>0</v>
      </c>
      <c r="AJ26" s="30">
        <v>0.704354405818162</v>
      </c>
      <c r="AK26" s="30">
        <v>1.0646726021099799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1.76122094244834</v>
      </c>
      <c r="AT26" s="30">
        <v>0</v>
      </c>
      <c r="AU26" s="30">
        <v>0</v>
      </c>
      <c r="AV26" s="30">
        <v>0</v>
      </c>
      <c r="AW26" s="30">
        <v>0</v>
      </c>
      <c r="AX26" s="30">
        <v>65.672173659924596</v>
      </c>
      <c r="AY26" s="30">
        <v>0</v>
      </c>
      <c r="AZ26" s="30">
        <v>0</v>
      </c>
      <c r="BA26" s="30">
        <v>9.8236478233772893</v>
      </c>
      <c r="BB26" s="30">
        <v>0</v>
      </c>
      <c r="BC26" s="30">
        <v>14.1924556592278</v>
      </c>
      <c r="BD26" s="30">
        <v>1.05193122390844</v>
      </c>
    </row>
    <row r="27" spans="1:56" ht="11.25" customHeight="1" x14ac:dyDescent="0.25">
      <c r="A27" s="107"/>
      <c r="B27" s="107"/>
      <c r="C27" s="107"/>
      <c r="D27" s="39" t="s">
        <v>30</v>
      </c>
      <c r="E27" s="39" t="s">
        <v>25</v>
      </c>
      <c r="F27" s="39" t="s">
        <v>25</v>
      </c>
      <c r="G27" s="40" t="s">
        <v>76</v>
      </c>
      <c r="H27" s="40" t="s">
        <v>72</v>
      </c>
      <c r="I27" s="40">
        <f>'MERCADO TUSD'!$U$24</f>
        <v>0</v>
      </c>
      <c r="J27" s="15"/>
      <c r="L27" s="30">
        <f>('TUSD BE'!$L$27+'TUSD BF'!$L$27+'TUSD CVA'!$L$27)*(1 - 0.4)</f>
        <v>0</v>
      </c>
      <c r="M27" s="30">
        <f>('TUSD BE'!$M$27+'TUSD BF'!$M$27+'TUSD CVA'!$M$27)*(1 - 0.4)</f>
        <v>0.48298488099473602</v>
      </c>
      <c r="N27" s="30">
        <f ca="1">('TUSD BE'!$N$27+'TUSD BF'!$N$27+'TUSD CVA'!$N$27)*(1 - 0.4)</f>
        <v>2.1537179876904129</v>
      </c>
      <c r="O27" s="30">
        <f>('TUSD BE'!$O$27+'TUSD BF'!$O$27+'TUSD CVA'!$O$27)*(1 - 0.4)</f>
        <v>0</v>
      </c>
      <c r="P27" s="30">
        <v>0</v>
      </c>
      <c r="Q27" s="30">
        <f>('TUSD BE'!$Q$27+'TUSD BF'!$Q$27+'TUSD CVA'!$Q$27)*(1 - 0.4)</f>
        <v>0</v>
      </c>
      <c r="R27" s="30">
        <v>0</v>
      </c>
      <c r="S27" s="30">
        <f>('TUSD BE'!$S$27+'TUSD BF'!$S$27+'TUSD CVA'!$S$27)*(1 - 0.4)</f>
        <v>0</v>
      </c>
      <c r="T27" s="30">
        <f>('TUSD BE'!$U$27+'TUSD BF'!$U$27+'TUSD CVA'!$U$27)*(1 - 0.4)</f>
        <v>0</v>
      </c>
      <c r="U27" s="30">
        <f>('TUSD BE'!$V$27+'TUSD BF'!$V$27+'TUSD CVA'!$V$27)*(1 - 0.4)</f>
        <v>0</v>
      </c>
      <c r="V27" s="30">
        <f>('TUSD BE'!$W$27+'TUSD BF'!$W$27+'TUSD CVA'!$W$27)*(1 - 0.4)</f>
        <v>1.0795382319039331</v>
      </c>
      <c r="W27" s="30">
        <f>('TUSD BE'!$X$27+'TUSD BF'!$X$27+'TUSD CVA'!$X$27)*(1 - 0.4)</f>
        <v>0</v>
      </c>
      <c r="X27" s="30">
        <f>('TUSD BE'!$Y$27+'TUSD BF'!$Y$27+'TUSD CVA'!$Y$27)*(1 - 0.4)</f>
        <v>0</v>
      </c>
      <c r="Y27" s="30">
        <f>('TUSD BE'!$Z$27+'TUSD BF'!$Z$27+'TUSD CVA'!$Z$27)*(1 - 0.4)</f>
        <v>0</v>
      </c>
      <c r="Z27" s="30">
        <f>('TUSD BE'!$AA$27+'TUSD BF'!$AA$27+'TUSD CVA'!$AA$27)*(1 - 0.4)</f>
        <v>0</v>
      </c>
      <c r="AA27" s="30">
        <f>('TUSD BE'!$AC$27+'TUSD BF'!$AC$27+'TUSD CVA'!$AC$27)*(1 - 0.4)</f>
        <v>148.64228974399416</v>
      </c>
      <c r="AB27" s="30">
        <f ca="1">('TUSD BE'!$AE$27+'TUSD BF'!$AE$27+'TUSD CVA'!$AE$27)*(1 - 0.4)</f>
        <v>0</v>
      </c>
      <c r="AC27" s="30">
        <f ca="1">('TUSD BE'!$AF$27+'TUSD BF'!$AF$27+'TUSD CVA'!$AF$27)*(1 - 0.4)</f>
        <v>0</v>
      </c>
      <c r="AD27" s="30">
        <f>('TUSD BE'!$AH$27+'TUSD BF'!$AH$27+'TUSD CVA'!$AH$27)*(1 - 0.4)</f>
        <v>20.968201457383412</v>
      </c>
      <c r="AE27" s="30">
        <f>('TUSD BE'!$AI$27+'TUSD BF'!$AI$27+'TUSD CVA'!$AI$27)*(1 - 0.4)</f>
        <v>0</v>
      </c>
      <c r="AF27" s="30">
        <f ca="1">('TUSD BE'!$AJ$27+'TUSD BF'!$AJ$27+'TUSD CVA'!$AJ$27)*(1 - 0.4)</f>
        <v>27.76985757437663</v>
      </c>
      <c r="AG27" s="30">
        <f ca="1">('TUSD BE'!$AK$27+'TUSD BF'!$AK$27+'TUSD CVA'!$AK$27)*(1 - 0.4)</f>
        <v>2.8116487945349515</v>
      </c>
      <c r="AI27" s="30">
        <v>0</v>
      </c>
      <c r="AJ27" s="30">
        <v>1.20746469568828</v>
      </c>
      <c r="AK27" s="30">
        <v>1.8251530321885401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3.0192359013400001</v>
      </c>
      <c r="AT27" s="30">
        <v>0</v>
      </c>
      <c r="AU27" s="30">
        <v>0</v>
      </c>
      <c r="AV27" s="30">
        <v>0</v>
      </c>
      <c r="AW27" s="30">
        <v>0</v>
      </c>
      <c r="AX27" s="30">
        <v>112.580869131299</v>
      </c>
      <c r="AY27" s="30">
        <v>0</v>
      </c>
      <c r="AZ27" s="30">
        <v>0</v>
      </c>
      <c r="BA27" s="30">
        <v>16.840539125789601</v>
      </c>
      <c r="BB27" s="30">
        <v>0</v>
      </c>
      <c r="BC27" s="30">
        <v>24.3299239872476</v>
      </c>
      <c r="BD27" s="30">
        <v>1.80331066955733</v>
      </c>
    </row>
    <row r="28" spans="1:56" ht="11.25" customHeight="1" x14ac:dyDescent="0.25">
      <c r="A28" s="107"/>
      <c r="B28" s="107"/>
      <c r="C28" s="107"/>
      <c r="D28" s="39" t="s">
        <v>31</v>
      </c>
      <c r="E28" s="39" t="s">
        <v>25</v>
      </c>
      <c r="F28" s="39" t="s">
        <v>25</v>
      </c>
      <c r="G28" s="40" t="s">
        <v>76</v>
      </c>
      <c r="H28" s="40" t="s">
        <v>72</v>
      </c>
      <c r="I28" s="40">
        <f>'MERCADO TUSD'!$U$25</f>
        <v>0</v>
      </c>
      <c r="J28" s="15"/>
      <c r="L28" s="30">
        <f>('TUSD BE'!$L$28+'TUSD BF'!$L$28+'TUSD CVA'!$L$28)*(1 - 0.1)</f>
        <v>0</v>
      </c>
      <c r="M28" s="30">
        <f>('TUSD BE'!$M$28+'TUSD BF'!$M$28+'TUSD CVA'!$M$28)*(1 - 0.1)</f>
        <v>0.72447732149210409</v>
      </c>
      <c r="N28" s="30">
        <f ca="1">('TUSD BE'!$N$28+'TUSD BF'!$N$28+'TUSD CVA'!$N$28)*(1 - 0.1)</f>
        <v>3.2305769815356196</v>
      </c>
      <c r="O28" s="30">
        <f>('TUSD BE'!$O$28+'TUSD BF'!$O$28+'TUSD CVA'!$O$28)*(1 - 0.1)</f>
        <v>0</v>
      </c>
      <c r="P28" s="30">
        <v>0</v>
      </c>
      <c r="Q28" s="30">
        <f>('TUSD BE'!$Q$28+'TUSD BF'!$Q$28+'TUSD CVA'!$Q$28)*(1 - 0.1)</f>
        <v>0</v>
      </c>
      <c r="R28" s="30">
        <v>0</v>
      </c>
      <c r="S28" s="30">
        <f>('TUSD BE'!$S$28+'TUSD BF'!$S$28+'TUSD CVA'!$S$28)*(1 - 0.1)</f>
        <v>0</v>
      </c>
      <c r="T28" s="30">
        <f>('TUSD BE'!$U$28+'TUSD BF'!$U$28+'TUSD CVA'!$U$28)*(1 - 0.1)</f>
        <v>0</v>
      </c>
      <c r="U28" s="30">
        <f>('TUSD BE'!$V$28+'TUSD BF'!$V$28+'TUSD CVA'!$V$28)*(1 - 0.1)</f>
        <v>0</v>
      </c>
      <c r="V28" s="30">
        <f>('TUSD BE'!$W$28+'TUSD BF'!$W$28+'TUSD CVA'!$W$28)*(1 - 0.1)</f>
        <v>1.6193073478558999</v>
      </c>
      <c r="W28" s="30">
        <f>('TUSD BE'!$X$28+'TUSD BF'!$X$28+'TUSD CVA'!$X$28)*(1 - 0.1)</f>
        <v>0</v>
      </c>
      <c r="X28" s="30">
        <f>('TUSD BE'!$Y$28+'TUSD BF'!$Y$28+'TUSD CVA'!$Y$28)*(1 - 0.1)</f>
        <v>0</v>
      </c>
      <c r="Y28" s="30">
        <f>('TUSD BE'!$Z$28+'TUSD BF'!$Z$28+'TUSD CVA'!$Z$28)*(1 - 0.1)</f>
        <v>0</v>
      </c>
      <c r="Z28" s="30">
        <f>('TUSD BE'!$AA$28+'TUSD BF'!$AA$28+'TUSD CVA'!$AA$28)*(1 - 0.1)</f>
        <v>0</v>
      </c>
      <c r="AA28" s="30">
        <f>('TUSD BE'!$AC$28+'TUSD BF'!$AC$28+'TUSD CVA'!$AC$28)*(1 - 0.1)</f>
        <v>222.96343461599125</v>
      </c>
      <c r="AB28" s="30">
        <f ca="1">('TUSD BE'!$AE$28+'TUSD BF'!$AE$28+'TUSD CVA'!$AE$28)*(1 - 0.1)</f>
        <v>0</v>
      </c>
      <c r="AC28" s="30">
        <f ca="1">('TUSD BE'!$AF$28+'TUSD BF'!$AF$28+'TUSD CVA'!$AF$28)*(1 - 0.1)</f>
        <v>0</v>
      </c>
      <c r="AD28" s="30">
        <f>('TUSD BE'!$AH$28+'TUSD BF'!$AH$28+'TUSD CVA'!$AH$28)*(1 - 0.1)</f>
        <v>31.452302186075119</v>
      </c>
      <c r="AE28" s="30">
        <f>('TUSD BE'!$AI$28+'TUSD BF'!$AI$28+'TUSD CVA'!$AI$28)*(1 - 0.1)</f>
        <v>0</v>
      </c>
      <c r="AF28" s="30">
        <f ca="1">('TUSD BE'!$AJ$28+'TUSD BF'!$AJ$28+'TUSD CVA'!$AJ$28)*(1 - 0.1)</f>
        <v>41.654786361564945</v>
      </c>
      <c r="AG28" s="30">
        <f ca="1">('TUSD BE'!$AK$28+'TUSD BF'!$AK$28+'TUSD CVA'!$AK$28)*(1 - 0.1)</f>
        <v>4.2174731918024273</v>
      </c>
      <c r="AI28" s="30">
        <v>0</v>
      </c>
      <c r="AJ28" s="30">
        <v>1.8111970435324201</v>
      </c>
      <c r="AK28" s="30">
        <v>2.7377295482828101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4.5288538520100099</v>
      </c>
      <c r="AT28" s="30">
        <v>0</v>
      </c>
      <c r="AU28" s="30">
        <v>0</v>
      </c>
      <c r="AV28" s="30">
        <v>0</v>
      </c>
      <c r="AW28" s="30">
        <v>0</v>
      </c>
      <c r="AX28" s="30">
        <v>168.87130369694901</v>
      </c>
      <c r="AY28" s="30">
        <v>0</v>
      </c>
      <c r="AZ28" s="30">
        <v>0</v>
      </c>
      <c r="BA28" s="30">
        <v>25.260808688684399</v>
      </c>
      <c r="BB28" s="30">
        <v>0</v>
      </c>
      <c r="BC28" s="30">
        <v>36.494885980871402</v>
      </c>
      <c r="BD28" s="30">
        <v>2.70496600433599</v>
      </c>
    </row>
    <row r="29" spans="1:56" ht="11.25" customHeight="1" x14ac:dyDescent="0.25">
      <c r="A29" s="107"/>
      <c r="B29" s="107"/>
      <c r="C29" s="107"/>
      <c r="D29" s="39" t="s">
        <v>32</v>
      </c>
      <c r="E29" s="39" t="s">
        <v>25</v>
      </c>
      <c r="F29" s="39" t="s">
        <v>25</v>
      </c>
      <c r="G29" s="40" t="s">
        <v>76</v>
      </c>
      <c r="H29" s="40" t="s">
        <v>72</v>
      </c>
      <c r="I29" s="40">
        <f>'MERCADO TUSD'!$U$26</f>
        <v>0</v>
      </c>
      <c r="J29" s="15"/>
      <c r="L29" s="30">
        <f>('TUSD BE'!$L$29+'TUSD BF'!$L$29+'TUSD CVA'!$L$29)*1</f>
        <v>0</v>
      </c>
      <c r="M29" s="30">
        <f>('TUSD BE'!$M$29+'TUSD BF'!$M$29+'TUSD CVA'!$M$29)*1</f>
        <v>0.80497480165789337</v>
      </c>
      <c r="N29" s="30">
        <f ca="1">('TUSD BE'!$N$29+'TUSD BF'!$N$29+'TUSD CVA'!$N$29)*1</f>
        <v>3.5895299794840216</v>
      </c>
      <c r="O29" s="30">
        <f>('TUSD BE'!$O$29+'TUSD BF'!$O$29+'TUSD CVA'!$O$29)*1</f>
        <v>0</v>
      </c>
      <c r="P29" s="30">
        <v>0</v>
      </c>
      <c r="Q29" s="30">
        <f>('TUSD BE'!$Q$29+'TUSD BF'!$Q$29+'TUSD CVA'!$Q$29)*1</f>
        <v>0</v>
      </c>
      <c r="R29" s="30">
        <v>0</v>
      </c>
      <c r="S29" s="30">
        <f>('TUSD BE'!$S$29+'TUSD BF'!$S$29+'TUSD CVA'!$S$29)*1</f>
        <v>0</v>
      </c>
      <c r="T29" s="30">
        <f>('TUSD BE'!$U$29+'TUSD BF'!$U$29+'TUSD CVA'!$U$29)*1</f>
        <v>0</v>
      </c>
      <c r="U29" s="30">
        <f>('TUSD BE'!$V$29+'TUSD BF'!$V$29+'TUSD CVA'!$V$29)*1</f>
        <v>0</v>
      </c>
      <c r="V29" s="30">
        <f>('TUSD BE'!$W$29+'TUSD BF'!$W$29+'TUSD CVA'!$W$29)*1</f>
        <v>1.7992303865065553</v>
      </c>
      <c r="W29" s="30">
        <f>('TUSD BE'!$X$29+'TUSD BF'!$X$29+'TUSD CVA'!$X$29)*1</f>
        <v>0</v>
      </c>
      <c r="X29" s="30">
        <f>('TUSD BE'!$Y$29+'TUSD BF'!$Y$29+'TUSD CVA'!$Y$29)*1</f>
        <v>0</v>
      </c>
      <c r="Y29" s="30">
        <f>('TUSD BE'!$Z$29+'TUSD BF'!$Z$29+'TUSD CVA'!$Z$29)*1</f>
        <v>0</v>
      </c>
      <c r="Z29" s="30">
        <f>('TUSD BE'!$AA$29+'TUSD BF'!$AA$29+'TUSD CVA'!$AA$29)*1</f>
        <v>0</v>
      </c>
      <c r="AA29" s="30">
        <f>('TUSD BE'!$AC$29+'TUSD BF'!$AC$29+'TUSD CVA'!$AC$29)*1</f>
        <v>247.73714957332359</v>
      </c>
      <c r="AB29" s="30">
        <f ca="1">('TUSD BE'!$AE$29+'TUSD BF'!$AE$29+'TUSD CVA'!$AE$29)*1</f>
        <v>0</v>
      </c>
      <c r="AC29" s="30">
        <f ca="1">('TUSD BE'!$AF$29+'TUSD BF'!$AF$29+'TUSD CVA'!$AF$29)*1</f>
        <v>0</v>
      </c>
      <c r="AD29" s="30">
        <f>('TUSD BE'!$AH$29+'TUSD BF'!$AH$29+'TUSD CVA'!$AH$29)*1</f>
        <v>34.947002428972354</v>
      </c>
      <c r="AE29" s="30">
        <f>('TUSD BE'!$AI$29+'TUSD BF'!$AI$29+'TUSD CVA'!$AI$29)*1</f>
        <v>0</v>
      </c>
      <c r="AF29" s="30">
        <f ca="1">('TUSD BE'!$AJ$29+'TUSD BF'!$AJ$29+'TUSD CVA'!$AJ$29)*1</f>
        <v>46.283095957294385</v>
      </c>
      <c r="AG29" s="30">
        <f ca="1">('TUSD BE'!$AK$29+'TUSD BF'!$AK$29+'TUSD CVA'!$AK$29)*1</f>
        <v>4.6860813242249195</v>
      </c>
      <c r="AI29" s="30">
        <v>0</v>
      </c>
      <c r="AJ29" s="30">
        <v>2.0124411594804599</v>
      </c>
      <c r="AK29" s="30">
        <v>3.0419217203142299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5.0320598355666704</v>
      </c>
      <c r="AT29" s="30">
        <v>0</v>
      </c>
      <c r="AU29" s="30">
        <v>0</v>
      </c>
      <c r="AV29" s="30">
        <v>0</v>
      </c>
      <c r="AW29" s="30">
        <v>0</v>
      </c>
      <c r="AX29" s="30">
        <v>187.634781885499</v>
      </c>
      <c r="AY29" s="30">
        <v>0</v>
      </c>
      <c r="AZ29" s="30">
        <v>0</v>
      </c>
      <c r="BA29" s="30">
        <v>28.067565209649398</v>
      </c>
      <c r="BB29" s="30">
        <v>0</v>
      </c>
      <c r="BC29" s="30">
        <v>40.549873312079399</v>
      </c>
      <c r="BD29" s="30">
        <v>3.0055177825955499</v>
      </c>
    </row>
    <row r="30" spans="1:56" ht="11.25" customHeight="1" x14ac:dyDescent="0.25">
      <c r="A30" s="107" t="s">
        <v>43</v>
      </c>
      <c r="B30" s="107" t="s">
        <v>33</v>
      </c>
      <c r="C30" s="107" t="s">
        <v>44</v>
      </c>
      <c r="D30" s="107" t="s">
        <v>25</v>
      </c>
      <c r="E30" s="107" t="s">
        <v>25</v>
      </c>
      <c r="F30" s="107" t="s">
        <v>25</v>
      </c>
      <c r="G30" s="40" t="s">
        <v>73</v>
      </c>
      <c r="H30" s="40" t="s">
        <v>72</v>
      </c>
      <c r="I30" s="40">
        <f>'MERCADO TUSD'!$U$27</f>
        <v>0.112</v>
      </c>
      <c r="J30" s="15"/>
      <c r="L30" s="30">
        <f>('TUSD BE'!$L$30+'TUSD BF'!$L$30+'TUSD CVA'!$L$30)*(1 - CUSTOS!$M$38)</f>
        <v>13.272747246660865</v>
      </c>
      <c r="M30" s="30">
        <f>('TUSD BE'!$M$30+'TUSD BF'!$M$30+'TUSD CVA'!$M$30)*(1 - CUSTOS!$M$38)</f>
        <v>0.75667631355841969</v>
      </c>
      <c r="N30" s="30">
        <f ca="1">('TUSD BE'!$N$30+'TUSD BF'!$N$30+'TUSD CVA'!$N$30)*(1 - CUSTOS!$M$38)</f>
        <v>7.6806268826364139</v>
      </c>
      <c r="O30" s="30">
        <f>('TUSD BE'!$O$30+'TUSD BF'!$O$30+'TUSD CVA'!$O$30)*(1 - CUSTOS!$M$38)</f>
        <v>0</v>
      </c>
      <c r="P30" s="30">
        <f>('TUSD BE'!$P$30+'TUSD BF'!$P$30+'TUSD CVA'!$P$30)*(1 - CUSTOS!$M$38)</f>
        <v>0</v>
      </c>
      <c r="Q30" s="30">
        <f>('TUSD BE'!$Q$30+'TUSD BF'!$Q$30+'TUSD CVA'!$Q$30)*(1 - CUSTOS!$M$38)</f>
        <v>42.278242103524384</v>
      </c>
      <c r="R30" s="30">
        <f>('TUSD BE'!$R$30+'TUSD BF'!$R$30+'TUSD CVA'!$R$30)*(1 - CUSTOS!$M$38)</f>
        <v>0</v>
      </c>
      <c r="S30" s="30">
        <f>('TUSD BE'!$S$30+'TUSD BF'!$S$30+'TUSD CVA'!$S$30)*(1 - CUSTOS!$M$38)</f>
        <v>0</v>
      </c>
      <c r="T30" s="30">
        <f>('TUSD BE'!$U$30+'TUSD BF'!$U$30+'TUSD CVA'!$U$30)*(1 - CUSTOS!$M$38)</f>
        <v>0</v>
      </c>
      <c r="U30" s="30">
        <f>('TUSD BE'!$V$30+'TUSD BF'!$V$30+'TUSD CVA'!$V$30)*(1 - CUSTOS!$M$38)</f>
        <v>0</v>
      </c>
      <c r="V30" s="30">
        <f>('TUSD BE'!$W$30+'TUSD BF'!$W$30+'TUSD CVA'!$W$30)*(1 - CUSTOS!$M$38)</f>
        <v>5.4090376574525898</v>
      </c>
      <c r="W30" s="30">
        <f>('TUSD BE'!$X$30+'TUSD BF'!$X$30+'TUSD CVA'!$X$30)*(1 - CUSTOS!$M$38)</f>
        <v>0</v>
      </c>
      <c r="X30" s="30">
        <f>('TUSD BE'!$Y$30+'TUSD BF'!$Y$30+'TUSD CVA'!$Y$30)*(1 - CUSTOS!$M$38)</f>
        <v>0</v>
      </c>
      <c r="Y30" s="30">
        <f>('TUSD BE'!$Z$30+'TUSD BF'!$Z$30+'TUSD CVA'!$Z$30)*(1 - CUSTOS!$M$38)</f>
        <v>0</v>
      </c>
      <c r="Z30" s="30">
        <f>('TUSD BE'!$AA$30+'TUSD BF'!$AA$30+'TUSD CVA'!$AA$30)*(1 - CUSTOS!$M$38)</f>
        <v>0</v>
      </c>
      <c r="AA30" s="30">
        <f>('TUSD BE'!$AC$30+'TUSD BF'!$AC$30+'TUSD CVA'!$AC$30)*(1 - CUSTOS!$M$38)</f>
        <v>745.19341394698642</v>
      </c>
      <c r="AB30" s="30">
        <f ca="1">('TUSD BE'!$AE$30+'TUSD BF'!$AE$30+'TUSD CVA'!$AE$30)*(1 - CUSTOS!$M$38)</f>
        <v>0</v>
      </c>
      <c r="AC30" s="30">
        <f ca="1">('TUSD BE'!$AF$30+'TUSD BF'!$AF$30+'TUSD CVA'!$AF$30)*(1 - CUSTOS!$M$38)</f>
        <v>0</v>
      </c>
      <c r="AD30" s="30">
        <f>('TUSD BE'!$AH$30+'TUSD BF'!$AH$30+'TUSD CVA'!$AH$30)*(1 - CUSTOS!$M$38)</f>
        <v>32.850182283234012</v>
      </c>
      <c r="AE30" s="30">
        <f>('TUSD BE'!$AI$30+'TUSD BF'!$AI$30+'TUSD CVA'!$AI$30)*(1 - CUSTOS!$M$38)</f>
        <v>0</v>
      </c>
      <c r="AF30" s="30">
        <f ca="1">('TUSD BE'!$AJ$30+'TUSD BF'!$AJ$30+'TUSD CVA'!$AJ$30)*(1 - CUSTOS!$M$38)</f>
        <v>43.506110199856721</v>
      </c>
      <c r="AG30" s="30">
        <f ca="1">('TUSD BE'!$AK$30+'TUSD BF'!$AK$30+'TUSD CVA'!$AK$30)*(1 - CUSTOS!$M$38)</f>
        <v>4.4049164447714242</v>
      </c>
      <c r="AI30" s="30">
        <v>21.094740330925699</v>
      </c>
      <c r="AJ30" s="30">
        <v>1.77094822034281</v>
      </c>
      <c r="AK30" s="30">
        <v>6.1901699069563696</v>
      </c>
      <c r="AL30" s="30">
        <v>0</v>
      </c>
      <c r="AM30" s="30">
        <v>0</v>
      </c>
      <c r="AN30" s="30">
        <v>15.805051836152</v>
      </c>
      <c r="AO30" s="30">
        <v>0</v>
      </c>
      <c r="AP30" s="30">
        <v>0</v>
      </c>
      <c r="AQ30" s="30">
        <v>0</v>
      </c>
      <c r="AR30" s="30">
        <v>0</v>
      </c>
      <c r="AS30" s="30">
        <v>14.162301735414699</v>
      </c>
      <c r="AT30" s="30">
        <v>0</v>
      </c>
      <c r="AU30" s="30">
        <v>0</v>
      </c>
      <c r="AV30" s="30">
        <v>0</v>
      </c>
      <c r="AW30" s="30">
        <v>0</v>
      </c>
      <c r="AX30" s="30">
        <v>528.37959402655895</v>
      </c>
      <c r="AY30" s="30">
        <v>0</v>
      </c>
      <c r="AZ30" s="30">
        <v>0</v>
      </c>
      <c r="BA30" s="30">
        <v>24.699457384491499</v>
      </c>
      <c r="BB30" s="30">
        <v>0</v>
      </c>
      <c r="BC30" s="30">
        <v>35.6838885146298</v>
      </c>
      <c r="BD30" s="30">
        <v>2.64485564868408</v>
      </c>
    </row>
    <row r="31" spans="1:56" ht="11.25" customHeight="1" x14ac:dyDescent="0.25">
      <c r="A31" s="107"/>
      <c r="B31" s="107"/>
      <c r="C31" s="107"/>
      <c r="D31" s="107"/>
      <c r="E31" s="107"/>
      <c r="F31" s="107"/>
      <c r="G31" s="40" t="s">
        <v>85</v>
      </c>
      <c r="H31" s="40" t="s">
        <v>72</v>
      </c>
      <c r="I31" s="40">
        <f>'MERCADO TUSD'!$U$28</f>
        <v>7.4999999999999997E-2</v>
      </c>
      <c r="J31" s="15"/>
      <c r="L31" s="30">
        <f>('TUSD BE'!$L$31+'TUSD BF'!$L$31+'TUSD CVA'!$L$31)*(1 - CUSTOS!$M$38)</f>
        <v>13.272747246660865</v>
      </c>
      <c r="M31" s="30">
        <f>('TUSD BE'!$M$31+'TUSD BF'!$M$31+'TUSD CVA'!$M$31)*(1 - CUSTOS!$M$38)</f>
        <v>0.75667631355841969</v>
      </c>
      <c r="N31" s="30">
        <f ca="1">('TUSD BE'!$N$31+'TUSD BF'!$N$31+'TUSD CVA'!$N$31)*(1 - CUSTOS!$M$38)</f>
        <v>5.1805778386236296</v>
      </c>
      <c r="O31" s="30">
        <f>('TUSD BE'!$O$31+'TUSD BF'!$O$31+'TUSD CVA'!$O$31)*(1 - CUSTOS!$M$38)</f>
        <v>0</v>
      </c>
      <c r="P31" s="30">
        <f>('TUSD BE'!$P$31+'TUSD BF'!$P$31+'TUSD CVA'!$P$31)*(1 - CUSTOS!$M$38)</f>
        <v>0</v>
      </c>
      <c r="Q31" s="30">
        <f>('TUSD BE'!$Q$31+'TUSD BF'!$Q$31+'TUSD CVA'!$Q$31)*(1 - CUSTOS!$M$38)</f>
        <v>42.278242103524384</v>
      </c>
      <c r="R31" s="30">
        <f>('TUSD BE'!$R$31+'TUSD BF'!$R$31+'TUSD CVA'!$R$31)*(1 - CUSTOS!$M$38)</f>
        <v>0</v>
      </c>
      <c r="S31" s="30">
        <f>('TUSD BE'!$S$31+'TUSD BF'!$S$31+'TUSD CVA'!$S$31)*(1 - CUSTOS!$M$38)</f>
        <v>0</v>
      </c>
      <c r="T31" s="30">
        <f>('TUSD BE'!$U$31+'TUSD BF'!$U$31+'TUSD CVA'!$U$31)*(1 - CUSTOS!$M$38)</f>
        <v>0</v>
      </c>
      <c r="U31" s="30">
        <f>('TUSD BE'!$V$31+'TUSD BF'!$V$31+'TUSD CVA'!$V$31)*(1 - CUSTOS!$M$38)</f>
        <v>0</v>
      </c>
      <c r="V31" s="30">
        <f>('TUSD BE'!$W$31+'TUSD BF'!$W$31+'TUSD CVA'!$W$31)*(1 - CUSTOS!$M$38)</f>
        <v>3.2454225944715538</v>
      </c>
      <c r="W31" s="30">
        <f>('TUSD BE'!$X$31+'TUSD BF'!$X$31+'TUSD CVA'!$X$31)*(1 - CUSTOS!$M$38)</f>
        <v>0</v>
      </c>
      <c r="X31" s="30">
        <f>('TUSD BE'!$Y$31+'TUSD BF'!$Y$31+'TUSD CVA'!$Y$31)*(1 - CUSTOS!$M$38)</f>
        <v>0</v>
      </c>
      <c r="Y31" s="30">
        <f>('TUSD BE'!$Z$31+'TUSD BF'!$Z$31+'TUSD CVA'!$Z$31)*(1 - CUSTOS!$M$38)</f>
        <v>0</v>
      </c>
      <c r="Z31" s="30">
        <f>('TUSD BE'!$AA$31+'TUSD BF'!$AA$31+'TUSD CVA'!$AA$31)*(1 - CUSTOS!$M$38)</f>
        <v>0</v>
      </c>
      <c r="AA31" s="30">
        <f>('TUSD BE'!$AC$31+'TUSD BF'!$AC$31+'TUSD CVA'!$AC$31)*(1 - CUSTOS!$M$38)</f>
        <v>447.1160483681918</v>
      </c>
      <c r="AB31" s="30">
        <f ca="1">('TUSD BE'!$AE$31+'TUSD BF'!$AE$31+'TUSD CVA'!$AE$31)*(1 - CUSTOS!$M$38)</f>
        <v>0</v>
      </c>
      <c r="AC31" s="30">
        <f ca="1">('TUSD BE'!$AF$31+'TUSD BF'!$AF$31+'TUSD CVA'!$AF$31)*(1 - CUSTOS!$M$38)</f>
        <v>0</v>
      </c>
      <c r="AD31" s="30">
        <f>('TUSD BE'!$AH$31+'TUSD BF'!$AH$31+'TUSD CVA'!$AH$31)*(1 - CUSTOS!$M$38)</f>
        <v>32.850182283234012</v>
      </c>
      <c r="AE31" s="30">
        <f>('TUSD BE'!$AI$31+'TUSD BF'!$AI$31+'TUSD CVA'!$AI$31)*(1 - CUSTOS!$M$38)</f>
        <v>0</v>
      </c>
      <c r="AF31" s="30">
        <f ca="1">('TUSD BE'!$AJ$31+'TUSD BF'!$AJ$31+'TUSD CVA'!$AJ$31)*(1 - CUSTOS!$M$38)</f>
        <v>43.506110199856721</v>
      </c>
      <c r="AG31" s="30">
        <f ca="1">('TUSD BE'!$AK$31+'TUSD BF'!$AK$31+'TUSD CVA'!$AK$31)*(1 - CUSTOS!$M$38)</f>
        <v>4.4049164447714242</v>
      </c>
      <c r="AI31" s="30">
        <v>21.094740330925699</v>
      </c>
      <c r="AJ31" s="30">
        <v>1.77094822034281</v>
      </c>
      <c r="AK31" s="30">
        <v>4.1505941208672397</v>
      </c>
      <c r="AL31" s="30">
        <v>0</v>
      </c>
      <c r="AM31" s="30">
        <v>0</v>
      </c>
      <c r="AN31" s="30">
        <v>15.805051836152</v>
      </c>
      <c r="AO31" s="30">
        <v>0</v>
      </c>
      <c r="AP31" s="30">
        <v>0</v>
      </c>
      <c r="AQ31" s="30">
        <v>0</v>
      </c>
      <c r="AR31" s="30">
        <v>0</v>
      </c>
      <c r="AS31" s="30">
        <v>8.4973810412488007</v>
      </c>
      <c r="AT31" s="30">
        <v>0</v>
      </c>
      <c r="AU31" s="30">
        <v>0</v>
      </c>
      <c r="AV31" s="30">
        <v>0</v>
      </c>
      <c r="AW31" s="30">
        <v>0</v>
      </c>
      <c r="AX31" s="30">
        <v>317.02775641593598</v>
      </c>
      <c r="AY31" s="30">
        <v>0</v>
      </c>
      <c r="AZ31" s="30">
        <v>0</v>
      </c>
      <c r="BA31" s="30">
        <v>24.699457384491499</v>
      </c>
      <c r="BB31" s="30">
        <v>0</v>
      </c>
      <c r="BC31" s="30">
        <v>35.6838885146298</v>
      </c>
      <c r="BD31" s="30">
        <v>2.64485564868408</v>
      </c>
    </row>
    <row r="32" spans="1:56" ht="11.25" customHeight="1" x14ac:dyDescent="0.25">
      <c r="A32" s="107"/>
      <c r="B32" s="107"/>
      <c r="C32" s="107"/>
      <c r="D32" s="107"/>
      <c r="E32" s="107"/>
      <c r="F32" s="107"/>
      <c r="G32" s="40" t="s">
        <v>74</v>
      </c>
      <c r="H32" s="40" t="s">
        <v>72</v>
      </c>
      <c r="I32" s="40">
        <f>'MERCADO TUSD'!$U$29</f>
        <v>0.91599999999999993</v>
      </c>
      <c r="J32" s="15"/>
      <c r="L32" s="30">
        <f>('TUSD BE'!$L$32+'TUSD BF'!$L$32+'TUSD CVA'!$L$32)*(1 - CUSTOS!$M$38)</f>
        <v>13.272747246660865</v>
      </c>
      <c r="M32" s="30">
        <f>('TUSD BE'!$M$32+'TUSD BF'!$M$32+'TUSD CVA'!$M$32)*(1 - CUSTOS!$M$38)</f>
        <v>0.75667631355841969</v>
      </c>
      <c r="N32" s="30">
        <f ca="1">('TUSD BE'!$N$32+'TUSD BF'!$N$32+'TUSD CVA'!$N$32)*(1 - CUSTOS!$M$38)</f>
        <v>2.6805287946108445</v>
      </c>
      <c r="O32" s="30">
        <f>('TUSD BE'!$O$32+'TUSD BF'!$O$32+'TUSD CVA'!$O$32)*(1 - CUSTOS!$M$38)</f>
        <v>0</v>
      </c>
      <c r="P32" s="30">
        <f>('TUSD BE'!$P$32+'TUSD BF'!$P$32+'TUSD CVA'!$P$32)*(1 - CUSTOS!$M$38)</f>
        <v>0</v>
      </c>
      <c r="Q32" s="30">
        <f>('TUSD BE'!$Q$32+'TUSD BF'!$Q$32+'TUSD CVA'!$Q$32)*(1 - CUSTOS!$M$38)</f>
        <v>42.278242103524384</v>
      </c>
      <c r="R32" s="30">
        <f>('TUSD BE'!$R$32+'TUSD BF'!$R$32+'TUSD CVA'!$R$32)*(1 - CUSTOS!$M$38)</f>
        <v>0</v>
      </c>
      <c r="S32" s="30">
        <f>('TUSD BE'!$S$32+'TUSD BF'!$S$32+'TUSD CVA'!$S$32)*(1 - CUSTOS!$M$38)</f>
        <v>0</v>
      </c>
      <c r="T32" s="30">
        <f>('TUSD BE'!$U$32+'TUSD BF'!$U$32+'TUSD CVA'!$U$32)*(1 - CUSTOS!$M$38)</f>
        <v>0</v>
      </c>
      <c r="U32" s="30">
        <f>('TUSD BE'!$V$32+'TUSD BF'!$V$32+'TUSD CVA'!$V$32)*(1 - CUSTOS!$M$38)</f>
        <v>0</v>
      </c>
      <c r="V32" s="30">
        <f>('TUSD BE'!$W$32+'TUSD BF'!$W$32+'TUSD CVA'!$W$32)*(1 - CUSTOS!$M$38)</f>
        <v>1.0818075314905178</v>
      </c>
      <c r="W32" s="30">
        <f>('TUSD BE'!$X$32+'TUSD BF'!$X$32+'TUSD CVA'!$X$32)*(1 - CUSTOS!$M$38)</f>
        <v>0</v>
      </c>
      <c r="X32" s="30">
        <f>('TUSD BE'!$Y$32+'TUSD BF'!$Y$32+'TUSD CVA'!$Y$32)*(1 - CUSTOS!$M$38)</f>
        <v>0</v>
      </c>
      <c r="Y32" s="30">
        <f>('TUSD BE'!$Z$32+'TUSD BF'!$Z$32+'TUSD CVA'!$Z$32)*(1 - CUSTOS!$M$38)</f>
        <v>0</v>
      </c>
      <c r="Z32" s="30">
        <f>('TUSD BE'!$AA$32+'TUSD BF'!$AA$32+'TUSD CVA'!$AA$32)*(1 - CUSTOS!$M$38)</f>
        <v>0</v>
      </c>
      <c r="AA32" s="30">
        <f>('TUSD BE'!$AC$32+'TUSD BF'!$AC$32+'TUSD CVA'!$AC$32)*(1 - CUSTOS!$M$38)</f>
        <v>149.03868278939728</v>
      </c>
      <c r="AB32" s="30">
        <f ca="1">('TUSD BE'!$AE$32+'TUSD BF'!$AE$32+'TUSD CVA'!$AE$32)*(1 - CUSTOS!$M$38)</f>
        <v>0</v>
      </c>
      <c r="AC32" s="30">
        <f ca="1">('TUSD BE'!$AF$32+'TUSD BF'!$AF$32+'TUSD CVA'!$AF$32)*(1 - CUSTOS!$M$38)</f>
        <v>0</v>
      </c>
      <c r="AD32" s="30">
        <f>('TUSD BE'!$AH$32+'TUSD BF'!$AH$32+'TUSD CVA'!$AH$32)*(1 - CUSTOS!$M$38)</f>
        <v>32.850182283234012</v>
      </c>
      <c r="AE32" s="30">
        <f>('TUSD BE'!$AI$32+'TUSD BF'!$AI$32+'TUSD CVA'!$AI$32)*(1 - CUSTOS!$M$38)</f>
        <v>0</v>
      </c>
      <c r="AF32" s="30">
        <f ca="1">('TUSD BE'!$AJ$32+'TUSD BF'!$AJ$32+'TUSD CVA'!$AJ$32)*(1 - CUSTOS!$M$38)</f>
        <v>43.506110199856721</v>
      </c>
      <c r="AG32" s="30">
        <f ca="1">('TUSD BE'!$AK$32+'TUSD BF'!$AK$32+'TUSD CVA'!$AK$32)*(1 - CUSTOS!$M$38)</f>
        <v>4.4049164447714242</v>
      </c>
      <c r="AI32" s="30">
        <v>21.094740330925699</v>
      </c>
      <c r="AJ32" s="30">
        <v>1.77094822034281</v>
      </c>
      <c r="AK32" s="30">
        <v>2.1110183347781</v>
      </c>
      <c r="AL32" s="30">
        <v>0</v>
      </c>
      <c r="AM32" s="30">
        <v>0</v>
      </c>
      <c r="AN32" s="30">
        <v>15.805051836152</v>
      </c>
      <c r="AO32" s="30">
        <v>0</v>
      </c>
      <c r="AP32" s="30">
        <v>0</v>
      </c>
      <c r="AQ32" s="30">
        <v>0</v>
      </c>
      <c r="AR32" s="30">
        <v>0</v>
      </c>
      <c r="AS32" s="30">
        <v>2.8324603470829399</v>
      </c>
      <c r="AT32" s="30">
        <v>0</v>
      </c>
      <c r="AU32" s="30">
        <v>0</v>
      </c>
      <c r="AV32" s="30">
        <v>0</v>
      </c>
      <c r="AW32" s="30">
        <v>0</v>
      </c>
      <c r="AX32" s="30">
        <v>105.67591880531199</v>
      </c>
      <c r="AY32" s="30">
        <v>0</v>
      </c>
      <c r="AZ32" s="30">
        <v>0</v>
      </c>
      <c r="BA32" s="30">
        <v>24.699457384491499</v>
      </c>
      <c r="BB32" s="30">
        <v>0</v>
      </c>
      <c r="BC32" s="30">
        <v>35.6838885146298</v>
      </c>
      <c r="BD32" s="30">
        <v>2.64485564868408</v>
      </c>
    </row>
    <row r="33" spans="1:56" ht="11.25" customHeight="1" x14ac:dyDescent="0.25">
      <c r="A33" s="107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40" t="s">
        <v>76</v>
      </c>
      <c r="H33" s="40" t="s">
        <v>72</v>
      </c>
      <c r="I33" s="40">
        <f>'MERCADO TUSD'!$U$30</f>
        <v>54817.448999999993</v>
      </c>
      <c r="J33" s="15"/>
      <c r="L33" s="30">
        <f>('TUSD BE'!$L$33+'TUSD BF'!$L$33+'TUSD CVA'!$L$33)*(1 - CUSTOS!$M$38)</f>
        <v>13.272747246660865</v>
      </c>
      <c r="M33" s="30">
        <f>('TUSD BE'!$M$33+'TUSD BF'!$M$33+'TUSD CVA'!$M$33)*(1 - CUSTOS!$M$38)</f>
        <v>0.75667631355841969</v>
      </c>
      <c r="N33" s="30">
        <f ca="1">('TUSD BE'!$N$33+'TUSD BF'!$N$33+'TUSD CVA'!$N$33)*(1 - CUSTOS!$M$38)</f>
        <v>3.3836674693733326</v>
      </c>
      <c r="O33" s="30">
        <f>('TUSD BE'!$O$33+'TUSD BF'!$O$33+'TUSD CVA'!$O$33)*(1 - CUSTOS!$M$38)</f>
        <v>0</v>
      </c>
      <c r="P33" s="30">
        <f>('TUSD BE'!$P$33+'TUSD BF'!$P$33+'TUSD CVA'!$P$33)*(1 - CUSTOS!$M$38)</f>
        <v>0</v>
      </c>
      <c r="Q33" s="30">
        <f>('TUSD BE'!$Q$33+'TUSD BF'!$Q$33+'TUSD CVA'!$Q$33)*(1 - CUSTOS!$M$38)</f>
        <v>42.278242103524384</v>
      </c>
      <c r="R33" s="30">
        <f>('TUSD BE'!$R$33+'TUSD BF'!$R$33+'TUSD CVA'!$R$33)*(1 - CUSTOS!$M$38)</f>
        <v>0</v>
      </c>
      <c r="S33" s="30">
        <f>('TUSD BE'!$S$33+'TUSD BF'!$S$33+'TUSD CVA'!$S$33)*(1 - CUSTOS!$M$38)</f>
        <v>0</v>
      </c>
      <c r="T33" s="30">
        <f>('TUSD BE'!$U$33+'TUSD BF'!$U$33+'TUSD CVA'!$U$33)*(1 - CUSTOS!$M$38)</f>
        <v>0</v>
      </c>
      <c r="U33" s="30">
        <f>('TUSD BE'!$V$33+'TUSD BF'!$V$33+'TUSD CVA'!$V$33)*(1 - CUSTOS!$M$38)</f>
        <v>0</v>
      </c>
      <c r="V33" s="30">
        <f>('TUSD BE'!$W$33+'TUSD BF'!$W$33+'TUSD CVA'!$W$33)*(1 - CUSTOS!$M$38)</f>
        <v>1.6912765633161619</v>
      </c>
      <c r="W33" s="30">
        <f>('TUSD BE'!$X$33+'TUSD BF'!$X$33+'TUSD CVA'!$X$33)*(1 - CUSTOS!$M$38)</f>
        <v>0</v>
      </c>
      <c r="X33" s="30">
        <f>('TUSD BE'!$Y$33+'TUSD BF'!$Y$33+'TUSD CVA'!$Y$33)*(1 - CUSTOS!$M$38)</f>
        <v>0</v>
      </c>
      <c r="Y33" s="30">
        <f>('TUSD BE'!$Z$33+'TUSD BF'!$Z$33+'TUSD CVA'!$Z$33)*(1 - CUSTOS!$M$38)</f>
        <v>0</v>
      </c>
      <c r="Z33" s="30">
        <f>('TUSD BE'!$AA$33+'TUSD BF'!$AA$33+'TUSD CVA'!$AA$33)*(1 - CUSTOS!$M$38)</f>
        <v>0</v>
      </c>
      <c r="AA33" s="30">
        <f>('TUSD BE'!$AC$33+'TUSD BF'!$AC$33+'TUSD CVA'!$AC$33)*(1 - CUSTOS!$M$38)</f>
        <v>232.87292059892417</v>
      </c>
      <c r="AB33" s="30">
        <f ca="1">('TUSD BE'!$AE$33+'TUSD BF'!$AE$33+'TUSD CVA'!$AE$33)*(1 - CUSTOS!$M$38)</f>
        <v>0</v>
      </c>
      <c r="AC33" s="30">
        <f ca="1">('TUSD BE'!$AF$33+'TUSD BF'!$AF$33+'TUSD CVA'!$AF$33)*(1 - CUSTOS!$M$38)</f>
        <v>0</v>
      </c>
      <c r="AD33" s="30">
        <f>('TUSD BE'!$AH$33+'TUSD BF'!$AH$33+'TUSD CVA'!$AH$33)*(1 - CUSTOS!$M$38)</f>
        <v>32.850182283234012</v>
      </c>
      <c r="AE33" s="30">
        <f>('TUSD BE'!$AI$33+'TUSD BF'!$AI$33+'TUSD CVA'!$AI$33)*(1 - CUSTOS!$M$38)</f>
        <v>0</v>
      </c>
      <c r="AF33" s="30">
        <f ca="1">('TUSD BE'!$AJ$33+'TUSD BF'!$AJ$33+'TUSD CVA'!$AJ$33)*(1 - CUSTOS!$M$38)</f>
        <v>43.506110199856721</v>
      </c>
      <c r="AG33" s="30">
        <f ca="1">('TUSD BE'!$AK$33+'TUSD BF'!$AK$33+'TUSD CVA'!$AK$33)*(1 - CUSTOS!$M$38)</f>
        <v>4.4049164447714242</v>
      </c>
      <c r="AI33" s="30">
        <v>21.094740330925699</v>
      </c>
      <c r="AJ33" s="30">
        <v>1.77094822034281</v>
      </c>
      <c r="AK33" s="30">
        <v>2.6846489276429999</v>
      </c>
      <c r="AL33" s="30">
        <v>0</v>
      </c>
      <c r="AM33" s="30">
        <v>0</v>
      </c>
      <c r="AN33" s="30">
        <v>15.805051836152</v>
      </c>
      <c r="AO33" s="30">
        <v>0</v>
      </c>
      <c r="AP33" s="30">
        <v>0</v>
      </c>
      <c r="AQ33" s="30">
        <v>0</v>
      </c>
      <c r="AR33" s="30">
        <v>0</v>
      </c>
      <c r="AS33" s="30">
        <v>4.4282126552986698</v>
      </c>
      <c r="AT33" s="30">
        <v>0</v>
      </c>
      <c r="AU33" s="30">
        <v>0</v>
      </c>
      <c r="AV33" s="30">
        <v>0</v>
      </c>
      <c r="AW33" s="30">
        <v>0</v>
      </c>
      <c r="AX33" s="30">
        <v>165.11860805923899</v>
      </c>
      <c r="AY33" s="30">
        <v>0</v>
      </c>
      <c r="AZ33" s="30">
        <v>0</v>
      </c>
      <c r="BA33" s="30">
        <v>24.699457384491499</v>
      </c>
      <c r="BB33" s="30">
        <v>0</v>
      </c>
      <c r="BC33" s="30">
        <v>35.6838885146298</v>
      </c>
      <c r="BD33" s="30">
        <v>2.64485564868408</v>
      </c>
    </row>
    <row r="34" spans="1:56" ht="11.25" customHeight="1" x14ac:dyDescent="0.25">
      <c r="A34" s="107"/>
      <c r="B34" s="107" t="s">
        <v>33</v>
      </c>
      <c r="C34" s="107" t="s">
        <v>44</v>
      </c>
      <c r="D34" s="107" t="s">
        <v>88</v>
      </c>
      <c r="E34" s="107" t="s">
        <v>25</v>
      </c>
      <c r="F34" s="107" t="s">
        <v>25</v>
      </c>
      <c r="G34" s="40" t="s">
        <v>73</v>
      </c>
      <c r="H34" s="40" t="s">
        <v>72</v>
      </c>
      <c r="I34" s="40">
        <f>'MERCADO TUSD'!$U$31</f>
        <v>0</v>
      </c>
      <c r="J34" s="15"/>
      <c r="L34" s="30">
        <f>('TUSD BE'!$L$34+'TUSD BF'!$L$34+'TUSD CVA'!$L$34)*(1 - CUSTOS!$M$39)</f>
        <v>13.272747246660865</v>
      </c>
      <c r="M34" s="30">
        <f>('TUSD BE'!$M$34+'TUSD BF'!$M$34+'TUSD CVA'!$M$34)*(1 - CUSTOS!$M$39)</f>
        <v>0.75667631355841969</v>
      </c>
      <c r="N34" s="30">
        <f ca="1">('TUSD BE'!$N$34+'TUSD BF'!$N$34+'TUSD CVA'!$N$34)*(1 - CUSTOS!$M$39)</f>
        <v>7.6806268826364139</v>
      </c>
      <c r="O34" s="30">
        <f>('TUSD BE'!$O$34+'TUSD BF'!$O$34+'TUSD CVA'!$O$34)*(1 - CUSTOS!$M$39)</f>
        <v>0</v>
      </c>
      <c r="P34" s="30">
        <f>('TUSD BE'!$P$34+'TUSD BF'!$P$34+'TUSD CVA'!$P$34)*(1 - CUSTOS!$M$39)</f>
        <v>0</v>
      </c>
      <c r="Q34" s="30">
        <f>('TUSD BE'!$Q$34+'TUSD BF'!$Q$34+'TUSD CVA'!$Q$34)*(1 - CUSTOS!$M$39)</f>
        <v>42.278242103524384</v>
      </c>
      <c r="R34" s="30">
        <f>('TUSD BE'!$R$34+'TUSD BF'!$R$34+'TUSD CVA'!$R$34)*(1 - CUSTOS!$M$39)</f>
        <v>0</v>
      </c>
      <c r="S34" s="30">
        <f>('TUSD BE'!$S$34+'TUSD BF'!$S$34+'TUSD CVA'!$S$34)*(1 - CUSTOS!$M$39)</f>
        <v>0</v>
      </c>
      <c r="T34" s="30">
        <f>('TUSD BE'!$U$34+'TUSD BF'!$U$34+'TUSD CVA'!$U$34)*(1 - CUSTOS!$M$39)</f>
        <v>0</v>
      </c>
      <c r="U34" s="30">
        <f>('TUSD BE'!$V$34+'TUSD BF'!$V$34+'TUSD CVA'!$V$34)*(1 - CUSTOS!$M$39)</f>
        <v>0</v>
      </c>
      <c r="V34" s="30">
        <f>('TUSD BE'!$W$34+'TUSD BF'!$W$34+'TUSD CVA'!$W$34)*(1 - CUSTOS!$M$39)</f>
        <v>5.4090376574525898</v>
      </c>
      <c r="W34" s="30">
        <f>('TUSD BE'!$X$34+'TUSD BF'!$X$34+'TUSD CVA'!$X$34)*(1 - CUSTOS!$M$39)</f>
        <v>0</v>
      </c>
      <c r="X34" s="30">
        <f>('TUSD BE'!$Y$34+'TUSD BF'!$Y$34+'TUSD CVA'!$Y$34)*(1 - CUSTOS!$M$39)</f>
        <v>0</v>
      </c>
      <c r="Y34" s="30">
        <f>('TUSD BE'!$Z$34+'TUSD BF'!$Z$34+'TUSD CVA'!$Z$34)*(1 - CUSTOS!$M$39)</f>
        <v>0</v>
      </c>
      <c r="Z34" s="30">
        <f>('TUSD BE'!$AA$34+'TUSD BF'!$AA$34+'TUSD CVA'!$AA$34)*(1 - CUSTOS!$M$39)</f>
        <v>0</v>
      </c>
      <c r="AA34" s="30">
        <f>('TUSD BE'!$AC$34+'TUSD BF'!$AC$34+'TUSD CVA'!$AC$34)*(1 - CUSTOS!$M$39)</f>
        <v>745.19341394698642</v>
      </c>
      <c r="AB34" s="30">
        <f ca="1">('TUSD BE'!$AE$34+'TUSD BF'!$AE$34+'TUSD CVA'!$AE$34)*(1 - CUSTOS!$M$39)</f>
        <v>0</v>
      </c>
      <c r="AC34" s="30">
        <f ca="1">('TUSD BE'!$AF$34+'TUSD BF'!$AF$34+'TUSD CVA'!$AF$34)*(1 - CUSTOS!$M$39)</f>
        <v>0</v>
      </c>
      <c r="AD34" s="30">
        <f>('TUSD BE'!$AH$34+'TUSD BF'!$AH$34+'TUSD CVA'!$AH$34)*(1 - CUSTOS!$M$39)</f>
        <v>32.850182283234012</v>
      </c>
      <c r="AE34" s="30">
        <f>('TUSD BE'!$AI$34+'TUSD BF'!$AI$34+'TUSD CVA'!$AI$34)*(1 - CUSTOS!$M$39)</f>
        <v>0</v>
      </c>
      <c r="AF34" s="30">
        <f ca="1">('TUSD BE'!$AJ$34+'TUSD BF'!$AJ$34+'TUSD CVA'!$AJ$34)*(1 - CUSTOS!$M$39)</f>
        <v>43.506110199856721</v>
      </c>
      <c r="AG34" s="30">
        <f ca="1">('TUSD BE'!$AK$34+'TUSD BF'!$AK$34+'TUSD CVA'!$AK$34)*(1 - CUSTOS!$M$39)</f>
        <v>4.4049164447714242</v>
      </c>
      <c r="AI34" s="30">
        <v>21.094740330925699</v>
      </c>
      <c r="AJ34" s="30">
        <v>1.77094822034281</v>
      </c>
      <c r="AK34" s="30">
        <v>6.1901699069563696</v>
      </c>
      <c r="AL34" s="30">
        <v>0</v>
      </c>
      <c r="AM34" s="30">
        <v>0</v>
      </c>
      <c r="AN34" s="30">
        <v>15.805051836152</v>
      </c>
      <c r="AO34" s="30">
        <v>0</v>
      </c>
      <c r="AP34" s="30">
        <v>0</v>
      </c>
      <c r="AQ34" s="30">
        <v>0</v>
      </c>
      <c r="AR34" s="30">
        <v>0</v>
      </c>
      <c r="AS34" s="30">
        <v>14.162301735414699</v>
      </c>
      <c r="AT34" s="30">
        <v>0</v>
      </c>
      <c r="AU34" s="30">
        <v>0</v>
      </c>
      <c r="AV34" s="30">
        <v>0</v>
      </c>
      <c r="AW34" s="30">
        <v>0</v>
      </c>
      <c r="AX34" s="30">
        <v>528.37959402655895</v>
      </c>
      <c r="AY34" s="30">
        <v>0</v>
      </c>
      <c r="AZ34" s="30">
        <v>0</v>
      </c>
      <c r="BA34" s="30">
        <v>24.699457384491499</v>
      </c>
      <c r="BB34" s="30">
        <v>0</v>
      </c>
      <c r="BC34" s="30">
        <v>35.6838885146298</v>
      </c>
      <c r="BD34" s="30">
        <v>2.64485564868408</v>
      </c>
    </row>
    <row r="35" spans="1:56" ht="11.25" customHeight="1" x14ac:dyDescent="0.25">
      <c r="A35" s="107"/>
      <c r="B35" s="107"/>
      <c r="C35" s="107"/>
      <c r="D35" s="107"/>
      <c r="E35" s="107"/>
      <c r="F35" s="107"/>
      <c r="G35" s="40" t="s">
        <v>85</v>
      </c>
      <c r="H35" s="40" t="s">
        <v>72</v>
      </c>
      <c r="I35" s="40">
        <f>'MERCADO TUSD'!$U$32</f>
        <v>0</v>
      </c>
      <c r="J35" s="15"/>
      <c r="L35" s="30">
        <f>('TUSD BE'!$L$35+'TUSD BF'!$L$35+'TUSD CVA'!$L$35)*(1 - CUSTOS!$M$39)</f>
        <v>13.272747246660865</v>
      </c>
      <c r="M35" s="30">
        <f>('TUSD BE'!$M$35+'TUSD BF'!$M$35+'TUSD CVA'!$M$35)*(1 - CUSTOS!$M$39)</f>
        <v>0.75667631355841969</v>
      </c>
      <c r="N35" s="30">
        <f ca="1">('TUSD BE'!$N$35+'TUSD BF'!$N$35+'TUSD CVA'!$N$35)*(1 - CUSTOS!$M$39)</f>
        <v>5.1805778386236296</v>
      </c>
      <c r="O35" s="30">
        <f>('TUSD BE'!$O$35+'TUSD BF'!$O$35+'TUSD CVA'!$O$35)*(1 - CUSTOS!$M$39)</f>
        <v>0</v>
      </c>
      <c r="P35" s="30">
        <f>('TUSD BE'!$P$35+'TUSD BF'!$P$35+'TUSD CVA'!$P$35)*(1 - CUSTOS!$M$39)</f>
        <v>0</v>
      </c>
      <c r="Q35" s="30">
        <f>('TUSD BE'!$Q$35+'TUSD BF'!$Q$35+'TUSD CVA'!$Q$35)*(1 - CUSTOS!$M$39)</f>
        <v>42.278242103524384</v>
      </c>
      <c r="R35" s="30">
        <f>('TUSD BE'!$R$35+'TUSD BF'!$R$35+'TUSD CVA'!$R$35)*(1 - CUSTOS!$M$39)</f>
        <v>0</v>
      </c>
      <c r="S35" s="30">
        <f>('TUSD BE'!$S$35+'TUSD BF'!$S$35+'TUSD CVA'!$S$35)*(1 - CUSTOS!$M$39)</f>
        <v>0</v>
      </c>
      <c r="T35" s="30">
        <f>('TUSD BE'!$U$35+'TUSD BF'!$U$35+'TUSD CVA'!$U$35)*(1 - CUSTOS!$M$39)</f>
        <v>0</v>
      </c>
      <c r="U35" s="30">
        <f>('TUSD BE'!$V$35+'TUSD BF'!$V$35+'TUSD CVA'!$V$35)*(1 - CUSTOS!$M$39)</f>
        <v>0</v>
      </c>
      <c r="V35" s="30">
        <f>('TUSD BE'!$W$35+'TUSD BF'!$W$35+'TUSD CVA'!$W$35)*(1 - CUSTOS!$M$39)</f>
        <v>3.2454225944715538</v>
      </c>
      <c r="W35" s="30">
        <f>('TUSD BE'!$X$35+'TUSD BF'!$X$35+'TUSD CVA'!$X$35)*(1 - CUSTOS!$M$39)</f>
        <v>0</v>
      </c>
      <c r="X35" s="30">
        <f>('TUSD BE'!$Y$35+'TUSD BF'!$Y$35+'TUSD CVA'!$Y$35)*(1 - CUSTOS!$M$39)</f>
        <v>0</v>
      </c>
      <c r="Y35" s="30">
        <f>('TUSD BE'!$Z$35+'TUSD BF'!$Z$35+'TUSD CVA'!$Z$35)*(1 - CUSTOS!$M$39)</f>
        <v>0</v>
      </c>
      <c r="Z35" s="30">
        <f>('TUSD BE'!$AA$35+'TUSD BF'!$AA$35+'TUSD CVA'!$AA$35)*(1 - CUSTOS!$M$39)</f>
        <v>0</v>
      </c>
      <c r="AA35" s="30">
        <f>('TUSD BE'!$AC$35+'TUSD BF'!$AC$35+'TUSD CVA'!$AC$35)*(1 - CUSTOS!$M$39)</f>
        <v>447.1160483681918</v>
      </c>
      <c r="AB35" s="30">
        <f ca="1">('TUSD BE'!$AE$35+'TUSD BF'!$AE$35+'TUSD CVA'!$AE$35)*(1 - CUSTOS!$M$39)</f>
        <v>0</v>
      </c>
      <c r="AC35" s="30">
        <f ca="1">('TUSD BE'!$AF$35+'TUSD BF'!$AF$35+'TUSD CVA'!$AF$35)*(1 - CUSTOS!$M$39)</f>
        <v>0</v>
      </c>
      <c r="AD35" s="30">
        <f>('TUSD BE'!$AH$35+'TUSD BF'!$AH$35+'TUSD CVA'!$AH$35)*(1 - CUSTOS!$M$39)</f>
        <v>32.850182283234012</v>
      </c>
      <c r="AE35" s="30">
        <f>('TUSD BE'!$AI$35+'TUSD BF'!$AI$35+'TUSD CVA'!$AI$35)*(1 - CUSTOS!$M$39)</f>
        <v>0</v>
      </c>
      <c r="AF35" s="30">
        <f ca="1">('TUSD BE'!$AJ$35+'TUSD BF'!$AJ$35+'TUSD CVA'!$AJ$35)*(1 - CUSTOS!$M$39)</f>
        <v>43.506110199856721</v>
      </c>
      <c r="AG35" s="30">
        <f ca="1">('TUSD BE'!$AK$35+'TUSD BF'!$AK$35+'TUSD CVA'!$AK$35)*(1 - CUSTOS!$M$39)</f>
        <v>4.4049164447714242</v>
      </c>
      <c r="AI35" s="30">
        <v>21.094740330925699</v>
      </c>
      <c r="AJ35" s="30">
        <v>1.77094822034281</v>
      </c>
      <c r="AK35" s="30">
        <v>4.1505941208672397</v>
      </c>
      <c r="AL35" s="30">
        <v>0</v>
      </c>
      <c r="AM35" s="30">
        <v>0</v>
      </c>
      <c r="AN35" s="30">
        <v>15.805051836152</v>
      </c>
      <c r="AO35" s="30">
        <v>0</v>
      </c>
      <c r="AP35" s="30">
        <v>0</v>
      </c>
      <c r="AQ35" s="30">
        <v>0</v>
      </c>
      <c r="AR35" s="30">
        <v>0</v>
      </c>
      <c r="AS35" s="30">
        <v>8.4973810412488007</v>
      </c>
      <c r="AT35" s="30">
        <v>0</v>
      </c>
      <c r="AU35" s="30">
        <v>0</v>
      </c>
      <c r="AV35" s="30">
        <v>0</v>
      </c>
      <c r="AW35" s="30">
        <v>0</v>
      </c>
      <c r="AX35" s="30">
        <v>317.02775641593598</v>
      </c>
      <c r="AY35" s="30">
        <v>0</v>
      </c>
      <c r="AZ35" s="30">
        <v>0</v>
      </c>
      <c r="BA35" s="30">
        <v>24.699457384491499</v>
      </c>
      <c r="BB35" s="30">
        <v>0</v>
      </c>
      <c r="BC35" s="30">
        <v>35.6838885146298</v>
      </c>
      <c r="BD35" s="30">
        <v>2.64485564868408</v>
      </c>
    </row>
    <row r="36" spans="1:56" ht="11.25" customHeight="1" x14ac:dyDescent="0.25">
      <c r="A36" s="107"/>
      <c r="B36" s="107"/>
      <c r="C36" s="107"/>
      <c r="D36" s="107"/>
      <c r="E36" s="107"/>
      <c r="F36" s="107"/>
      <c r="G36" s="40" t="s">
        <v>74</v>
      </c>
      <c r="H36" s="40" t="s">
        <v>72</v>
      </c>
      <c r="I36" s="40">
        <f>'MERCADO TUSD'!$U$33</f>
        <v>0</v>
      </c>
      <c r="J36" s="15"/>
      <c r="L36" s="30">
        <f>('TUSD BE'!$L$36+'TUSD BF'!$L$36+'TUSD CVA'!$L$36)*(1 - CUSTOS!$M$39)</f>
        <v>13.272747246660865</v>
      </c>
      <c r="M36" s="30">
        <f>('TUSD BE'!$M$36+'TUSD BF'!$M$36+'TUSD CVA'!$M$36)*(1 - CUSTOS!$M$39)</f>
        <v>0.75667631355841969</v>
      </c>
      <c r="N36" s="30">
        <f ca="1">('TUSD BE'!$N$36+'TUSD BF'!$N$36+'TUSD CVA'!$N$36)*(1 - CUSTOS!$M$39)</f>
        <v>2.6805287946108445</v>
      </c>
      <c r="O36" s="30">
        <f>('TUSD BE'!$O$36+'TUSD BF'!$O$36+'TUSD CVA'!$O$36)*(1 - CUSTOS!$M$39)</f>
        <v>0</v>
      </c>
      <c r="P36" s="30">
        <f>('TUSD BE'!$P$36+'TUSD BF'!$P$36+'TUSD CVA'!$P$36)*(1 - CUSTOS!$M$39)</f>
        <v>0</v>
      </c>
      <c r="Q36" s="30">
        <f>('TUSD BE'!$Q$36+'TUSD BF'!$Q$36+'TUSD CVA'!$Q$36)*(1 - CUSTOS!$M$39)</f>
        <v>42.278242103524384</v>
      </c>
      <c r="R36" s="30">
        <f>('TUSD BE'!$R$36+'TUSD BF'!$R$36+'TUSD CVA'!$R$36)*(1 - CUSTOS!$M$39)</f>
        <v>0</v>
      </c>
      <c r="S36" s="30">
        <f>('TUSD BE'!$S$36+'TUSD BF'!$S$36+'TUSD CVA'!$S$36)*(1 - CUSTOS!$M$39)</f>
        <v>0</v>
      </c>
      <c r="T36" s="30">
        <f>('TUSD BE'!$U$36+'TUSD BF'!$U$36+'TUSD CVA'!$U$36)*(1 - CUSTOS!$M$39)</f>
        <v>0</v>
      </c>
      <c r="U36" s="30">
        <f>('TUSD BE'!$V$36+'TUSD BF'!$V$36+'TUSD CVA'!$V$36)*(1 - CUSTOS!$M$39)</f>
        <v>0</v>
      </c>
      <c r="V36" s="30">
        <f>('TUSD BE'!$W$36+'TUSD BF'!$W$36+'TUSD CVA'!$W$36)*(1 - CUSTOS!$M$39)</f>
        <v>1.0818075314905178</v>
      </c>
      <c r="W36" s="30">
        <f>('TUSD BE'!$X$36+'TUSD BF'!$X$36+'TUSD CVA'!$X$36)*(1 - CUSTOS!$M$39)</f>
        <v>0</v>
      </c>
      <c r="X36" s="30">
        <f>('TUSD BE'!$Y$36+'TUSD BF'!$Y$36+'TUSD CVA'!$Y$36)*(1 - CUSTOS!$M$39)</f>
        <v>0</v>
      </c>
      <c r="Y36" s="30">
        <f>('TUSD BE'!$Z$36+'TUSD BF'!$Z$36+'TUSD CVA'!$Z$36)*(1 - CUSTOS!$M$39)</f>
        <v>0</v>
      </c>
      <c r="Z36" s="30">
        <f>('TUSD BE'!$AA$36+'TUSD BF'!$AA$36+'TUSD CVA'!$AA$36)*(1 - CUSTOS!$M$39)</f>
        <v>0</v>
      </c>
      <c r="AA36" s="30">
        <f>('TUSD BE'!$AC$36+'TUSD BF'!$AC$36+'TUSD CVA'!$AC$36)*(1 - CUSTOS!$M$39)</f>
        <v>149.03868278939728</v>
      </c>
      <c r="AB36" s="30">
        <f ca="1">('TUSD BE'!$AE$36+'TUSD BF'!$AE$36+'TUSD CVA'!$AE$36)*(1 - CUSTOS!$M$39)</f>
        <v>0</v>
      </c>
      <c r="AC36" s="30">
        <f ca="1">('TUSD BE'!$AF$36+'TUSD BF'!$AF$36+'TUSD CVA'!$AF$36)*(1 - CUSTOS!$M$39)</f>
        <v>0</v>
      </c>
      <c r="AD36" s="30">
        <f>('TUSD BE'!$AH$36+'TUSD BF'!$AH$36+'TUSD CVA'!$AH$36)*(1 - CUSTOS!$M$39)</f>
        <v>32.850182283234012</v>
      </c>
      <c r="AE36" s="30">
        <f>('TUSD BE'!$AI$36+'TUSD BF'!$AI$36+'TUSD CVA'!$AI$36)*(1 - CUSTOS!$M$39)</f>
        <v>0</v>
      </c>
      <c r="AF36" s="30">
        <f ca="1">('TUSD BE'!$AJ$36+'TUSD BF'!$AJ$36+'TUSD CVA'!$AJ$36)*(1 - CUSTOS!$M$39)</f>
        <v>43.506110199856721</v>
      </c>
      <c r="AG36" s="30">
        <f ca="1">('TUSD BE'!$AK$36+'TUSD BF'!$AK$36+'TUSD CVA'!$AK$36)*(1 - CUSTOS!$M$39)</f>
        <v>4.4049164447714242</v>
      </c>
      <c r="AI36" s="30">
        <v>21.094740330925699</v>
      </c>
      <c r="AJ36" s="30">
        <v>1.77094822034281</v>
      </c>
      <c r="AK36" s="30">
        <v>2.1110183347781</v>
      </c>
      <c r="AL36" s="30">
        <v>0</v>
      </c>
      <c r="AM36" s="30">
        <v>0</v>
      </c>
      <c r="AN36" s="30">
        <v>15.805051836152</v>
      </c>
      <c r="AO36" s="30">
        <v>0</v>
      </c>
      <c r="AP36" s="30">
        <v>0</v>
      </c>
      <c r="AQ36" s="30">
        <v>0</v>
      </c>
      <c r="AR36" s="30">
        <v>0</v>
      </c>
      <c r="AS36" s="30">
        <v>2.8324603470829399</v>
      </c>
      <c r="AT36" s="30">
        <v>0</v>
      </c>
      <c r="AU36" s="30">
        <v>0</v>
      </c>
      <c r="AV36" s="30">
        <v>0</v>
      </c>
      <c r="AW36" s="30">
        <v>0</v>
      </c>
      <c r="AX36" s="30">
        <v>105.67591880531199</v>
      </c>
      <c r="AY36" s="30">
        <v>0</v>
      </c>
      <c r="AZ36" s="30">
        <v>0</v>
      </c>
      <c r="BA36" s="30">
        <v>24.699457384491499</v>
      </c>
      <c r="BB36" s="30">
        <v>0</v>
      </c>
      <c r="BC36" s="30">
        <v>35.6838885146298</v>
      </c>
      <c r="BD36" s="30">
        <v>2.64485564868408</v>
      </c>
    </row>
    <row r="37" spans="1:56" ht="11.25" customHeight="1" x14ac:dyDescent="0.25">
      <c r="A37" s="107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40" t="s">
        <v>76</v>
      </c>
      <c r="H37" s="40" t="s">
        <v>72</v>
      </c>
      <c r="I37" s="40">
        <f>'MERCADO TUSD'!$U$34</f>
        <v>0</v>
      </c>
      <c r="J37" s="15"/>
      <c r="L37" s="30">
        <f>('TUSD BE'!$L$37+'TUSD BF'!$L$37+'TUSD CVA'!$L$37)*(1 - CUSTOS!$M$39)</f>
        <v>13.272747246660865</v>
      </c>
      <c r="M37" s="30">
        <f>('TUSD BE'!$M$37+'TUSD BF'!$M$37+'TUSD CVA'!$M$37)*(1 - CUSTOS!$M$39)</f>
        <v>0.75667631355841969</v>
      </c>
      <c r="N37" s="30">
        <f ca="1">('TUSD BE'!$N$37+'TUSD BF'!$N$37+'TUSD CVA'!$N$37)*(1 - CUSTOS!$M$39)</f>
        <v>3.3836674693733326</v>
      </c>
      <c r="O37" s="30">
        <f>('TUSD BE'!$O$37+'TUSD BF'!$O$37+'TUSD CVA'!$O$37)*(1 - CUSTOS!$M$39)</f>
        <v>0</v>
      </c>
      <c r="P37" s="30">
        <f>('TUSD BE'!$P$37+'TUSD BF'!$P$37+'TUSD CVA'!$P$37)*(1 - CUSTOS!$M$39)</f>
        <v>0</v>
      </c>
      <c r="Q37" s="30">
        <f>('TUSD BE'!$Q$37+'TUSD BF'!$Q$37+'TUSD CVA'!$Q$37)*(1 - CUSTOS!$M$39)</f>
        <v>42.278242103524384</v>
      </c>
      <c r="R37" s="30">
        <f>('TUSD BE'!$R$37+'TUSD BF'!$R$37+'TUSD CVA'!$R$37)*(1 - CUSTOS!$M$39)</f>
        <v>0</v>
      </c>
      <c r="S37" s="30">
        <f>('TUSD BE'!$S$37+'TUSD BF'!$S$37+'TUSD CVA'!$S$37)*(1 - CUSTOS!$M$39)</f>
        <v>0</v>
      </c>
      <c r="T37" s="30">
        <f>('TUSD BE'!$U$37+'TUSD BF'!$U$37+'TUSD CVA'!$U$37)*(1 - CUSTOS!$M$39)</f>
        <v>0</v>
      </c>
      <c r="U37" s="30">
        <f>('TUSD BE'!$V$37+'TUSD BF'!$V$37+'TUSD CVA'!$V$37)*(1 - CUSTOS!$M$39)</f>
        <v>0</v>
      </c>
      <c r="V37" s="30">
        <f>('TUSD BE'!$W$37+'TUSD BF'!$W$37+'TUSD CVA'!$W$37)*(1 - CUSTOS!$M$39)</f>
        <v>1.6912765633161619</v>
      </c>
      <c r="W37" s="30">
        <f>('TUSD BE'!$X$37+'TUSD BF'!$X$37+'TUSD CVA'!$X$37)*(1 - CUSTOS!$M$39)</f>
        <v>0</v>
      </c>
      <c r="X37" s="30">
        <f>('TUSD BE'!$Y$37+'TUSD BF'!$Y$37+'TUSD CVA'!$Y$37)*(1 - CUSTOS!$M$39)</f>
        <v>0</v>
      </c>
      <c r="Y37" s="30">
        <f>('TUSD BE'!$Z$37+'TUSD BF'!$Z$37+'TUSD CVA'!$Z$37)*(1 - CUSTOS!$M$39)</f>
        <v>0</v>
      </c>
      <c r="Z37" s="30">
        <f>('TUSD BE'!$AA$37+'TUSD BF'!$AA$37+'TUSD CVA'!$AA$37)*(1 - CUSTOS!$M$39)</f>
        <v>0</v>
      </c>
      <c r="AA37" s="30">
        <f>('TUSD BE'!$AC$37+'TUSD BF'!$AC$37+'TUSD CVA'!$AC$37)*(1 - CUSTOS!$M$39)</f>
        <v>232.87292059892417</v>
      </c>
      <c r="AB37" s="30">
        <f ca="1">('TUSD BE'!$AE$37+'TUSD BF'!$AE$37+'TUSD CVA'!$AE$37)*(1 - CUSTOS!$M$39)</f>
        <v>0</v>
      </c>
      <c r="AC37" s="30">
        <f ca="1">('TUSD BE'!$AF$37+'TUSD BF'!$AF$37+'TUSD CVA'!$AF$37)*(1 - CUSTOS!$M$39)</f>
        <v>0</v>
      </c>
      <c r="AD37" s="30">
        <f>('TUSD BE'!$AH$37+'TUSD BF'!$AH$37+'TUSD CVA'!$AH$37)*(1 - CUSTOS!$M$39)</f>
        <v>32.850182283234012</v>
      </c>
      <c r="AE37" s="30">
        <f>('TUSD BE'!$AI$37+'TUSD BF'!$AI$37+'TUSD CVA'!$AI$37)*(1 - CUSTOS!$M$39)</f>
        <v>0</v>
      </c>
      <c r="AF37" s="30">
        <f ca="1">('TUSD BE'!$AJ$37+'TUSD BF'!$AJ$37+'TUSD CVA'!$AJ$37)*(1 - CUSTOS!$M$39)</f>
        <v>43.506110199856721</v>
      </c>
      <c r="AG37" s="30">
        <f ca="1">('TUSD BE'!$AK$37+'TUSD BF'!$AK$37+'TUSD CVA'!$AK$37)*(1 - CUSTOS!$M$39)</f>
        <v>4.4049164447714242</v>
      </c>
      <c r="AI37" s="30">
        <v>21.094740330925699</v>
      </c>
      <c r="AJ37" s="30">
        <v>1.77094822034281</v>
      </c>
      <c r="AK37" s="30">
        <v>2.6846489276429999</v>
      </c>
      <c r="AL37" s="30">
        <v>0</v>
      </c>
      <c r="AM37" s="30">
        <v>0</v>
      </c>
      <c r="AN37" s="30">
        <v>15.805051836152</v>
      </c>
      <c r="AO37" s="30">
        <v>0</v>
      </c>
      <c r="AP37" s="30">
        <v>0</v>
      </c>
      <c r="AQ37" s="30">
        <v>0</v>
      </c>
      <c r="AR37" s="30">
        <v>0</v>
      </c>
      <c r="AS37" s="30">
        <v>4.4282126552986698</v>
      </c>
      <c r="AT37" s="30">
        <v>0</v>
      </c>
      <c r="AU37" s="30">
        <v>0</v>
      </c>
      <c r="AV37" s="30">
        <v>0</v>
      </c>
      <c r="AW37" s="30">
        <v>0</v>
      </c>
      <c r="AX37" s="30">
        <v>165.11860805923899</v>
      </c>
      <c r="AY37" s="30">
        <v>0</v>
      </c>
      <c r="AZ37" s="30">
        <v>0</v>
      </c>
      <c r="BA37" s="30">
        <v>24.699457384491499</v>
      </c>
      <c r="BB37" s="30">
        <v>0</v>
      </c>
      <c r="BC37" s="30">
        <v>35.6838885146298</v>
      </c>
      <c r="BD37" s="30">
        <v>2.64485564868408</v>
      </c>
    </row>
    <row r="38" spans="1:56" ht="11.25" customHeight="1" x14ac:dyDescent="0.25">
      <c r="A38" s="107"/>
      <c r="B38" s="107" t="s">
        <v>33</v>
      </c>
      <c r="C38" s="107" t="s">
        <v>44</v>
      </c>
      <c r="D38" s="107" t="s">
        <v>89</v>
      </c>
      <c r="E38" s="107" t="s">
        <v>25</v>
      </c>
      <c r="F38" s="107" t="s">
        <v>25</v>
      </c>
      <c r="G38" s="40" t="s">
        <v>73</v>
      </c>
      <c r="H38" s="40" t="s">
        <v>72</v>
      </c>
      <c r="I38" s="40">
        <f>'MERCADO TUSD'!$U$35</f>
        <v>0</v>
      </c>
      <c r="J38" s="15"/>
      <c r="L38" s="30">
        <f>('TUSD BE'!$L$38+'TUSD BF'!$L$38+'TUSD CVA'!$L$38)*(1 - CUSTOS!$M$40)</f>
        <v>12.990348369072336</v>
      </c>
      <c r="M38" s="30">
        <f>('TUSD BE'!$M$38+'TUSD BF'!$M$38+'TUSD CVA'!$M$38)*(1 - CUSTOS!$M$40)</f>
        <v>0.74057681752526194</v>
      </c>
      <c r="N38" s="30">
        <f ca="1">('TUSD BE'!$N$38+'TUSD BF'!$N$38+'TUSD CVA'!$N$38)*(1 - CUSTOS!$M$40)</f>
        <v>7.5172092893888314</v>
      </c>
      <c r="O38" s="30">
        <f>('TUSD BE'!$O$38+'TUSD BF'!$O$38+'TUSD CVA'!$O$38)*(1 - CUSTOS!$M$40)</f>
        <v>0</v>
      </c>
      <c r="P38" s="30">
        <f>('TUSD BE'!$P$38+'TUSD BF'!$P$38+'TUSD CVA'!$P$38)*(1 - CUSTOS!$M$40)</f>
        <v>0</v>
      </c>
      <c r="Q38" s="30">
        <f>('TUSD BE'!$Q$38+'TUSD BF'!$Q$38+'TUSD CVA'!$Q$38)*(1 - CUSTOS!$M$40)</f>
        <v>41.378705037491954</v>
      </c>
      <c r="R38" s="30">
        <f>('TUSD BE'!$R$38+'TUSD BF'!$R$38+'TUSD CVA'!$R$38)*(1 - CUSTOS!$M$40)</f>
        <v>0</v>
      </c>
      <c r="S38" s="30">
        <f>('TUSD BE'!$S$38+'TUSD BF'!$S$38+'TUSD CVA'!$S$38)*(1 - CUSTOS!$M$40)</f>
        <v>0</v>
      </c>
      <c r="T38" s="30">
        <f>('TUSD BE'!$U$38+'TUSD BF'!$U$38+'TUSD CVA'!$U$38)*(1 - CUSTOS!$M$40)</f>
        <v>0</v>
      </c>
      <c r="U38" s="30">
        <f>('TUSD BE'!$V$38+'TUSD BF'!$V$38+'TUSD CVA'!$V$38)*(1 - CUSTOS!$M$40)</f>
        <v>0</v>
      </c>
      <c r="V38" s="30">
        <f>('TUSD BE'!$W$38+'TUSD BF'!$W$38+'TUSD CVA'!$W$38)*(1 - CUSTOS!$M$40)</f>
        <v>5.2939517498472153</v>
      </c>
      <c r="W38" s="30">
        <f>('TUSD BE'!$X$38+'TUSD BF'!$X$38+'TUSD CVA'!$X$38)*(1 - CUSTOS!$M$40)</f>
        <v>0</v>
      </c>
      <c r="X38" s="30">
        <f>('TUSD BE'!$Y$38+'TUSD BF'!$Y$38+'TUSD CVA'!$Y$38)*(1 - CUSTOS!$M$40)</f>
        <v>0</v>
      </c>
      <c r="Y38" s="30">
        <f>('TUSD BE'!$Z$38+'TUSD BF'!$Z$38+'TUSD CVA'!$Z$38)*(1 - CUSTOS!$M$40)</f>
        <v>0</v>
      </c>
      <c r="Z38" s="30">
        <f>('TUSD BE'!$AA$38+'TUSD BF'!$AA$38+'TUSD CVA'!$AA$38)*(1 - CUSTOS!$M$40)</f>
        <v>0</v>
      </c>
      <c r="AA38" s="30">
        <f>('TUSD BE'!$AC$38+'TUSD BF'!$AC$38+'TUSD CVA'!$AC$38)*(1 - CUSTOS!$M$40)</f>
        <v>729.3382349268378</v>
      </c>
      <c r="AB38" s="30">
        <f ca="1">('TUSD BE'!$AE$38+'TUSD BF'!$AE$38+'TUSD CVA'!$AE$38)*(1 - CUSTOS!$M$40)</f>
        <v>0</v>
      </c>
      <c r="AC38" s="30">
        <f ca="1">('TUSD BE'!$AF$38+'TUSD BF'!$AF$38+'TUSD CVA'!$AF$38)*(1 - CUSTOS!$M$40)</f>
        <v>0</v>
      </c>
      <c r="AD38" s="30">
        <f>('TUSD BE'!$AH$38+'TUSD BF'!$AH$38+'TUSD CVA'!$AH$38)*(1 - CUSTOS!$M$40)</f>
        <v>32.151242234654568</v>
      </c>
      <c r="AE38" s="30">
        <f>('TUSD BE'!$AI$38+'TUSD BF'!$AI$38+'TUSD CVA'!$AI$38)*(1 - CUSTOS!$M$40)</f>
        <v>0</v>
      </c>
      <c r="AF38" s="30">
        <f ca="1">('TUSD BE'!$AJ$38+'TUSD BF'!$AJ$38+'TUSD CVA'!$AJ$38)*(1 - CUSTOS!$M$40)</f>
        <v>42.58044828071084</v>
      </c>
      <c r="AG38" s="30">
        <f ca="1">('TUSD BE'!$AK$38+'TUSD BF'!$AK$38+'TUSD CVA'!$AK$38)*(1 - CUSTOS!$M$40)</f>
        <v>4.3111948182869257</v>
      </c>
      <c r="AI38" s="30">
        <v>20.135888497701799</v>
      </c>
      <c r="AJ38" s="30">
        <v>1.69045057396359</v>
      </c>
      <c r="AK38" s="30">
        <v>5.9087985475492601</v>
      </c>
      <c r="AL38" s="30">
        <v>0</v>
      </c>
      <c r="AM38" s="30">
        <v>0</v>
      </c>
      <c r="AN38" s="30">
        <v>15.0866403890542</v>
      </c>
      <c r="AO38" s="30">
        <v>0</v>
      </c>
      <c r="AP38" s="30">
        <v>0</v>
      </c>
      <c r="AQ38" s="30">
        <v>0</v>
      </c>
      <c r="AR38" s="30">
        <v>0</v>
      </c>
      <c r="AS38" s="30">
        <v>13.518560747441301</v>
      </c>
      <c r="AT38" s="30">
        <v>0</v>
      </c>
      <c r="AU38" s="30">
        <v>0</v>
      </c>
      <c r="AV38" s="30">
        <v>0</v>
      </c>
      <c r="AW38" s="30">
        <v>0</v>
      </c>
      <c r="AX38" s="30">
        <v>504.36233975262502</v>
      </c>
      <c r="AY38" s="30">
        <v>0</v>
      </c>
      <c r="AZ38" s="30">
        <v>0</v>
      </c>
      <c r="BA38" s="30">
        <v>23.576754776105499</v>
      </c>
      <c r="BB38" s="30">
        <v>0</v>
      </c>
      <c r="BC38" s="30">
        <v>34.061893582146702</v>
      </c>
      <c r="BD38" s="30">
        <v>2.5246349373802599</v>
      </c>
    </row>
    <row r="39" spans="1:56" ht="11.25" customHeight="1" x14ac:dyDescent="0.25">
      <c r="A39" s="107"/>
      <c r="B39" s="107"/>
      <c r="C39" s="107"/>
      <c r="D39" s="107"/>
      <c r="E39" s="107"/>
      <c r="F39" s="107"/>
      <c r="G39" s="40" t="s">
        <v>85</v>
      </c>
      <c r="H39" s="40" t="s">
        <v>72</v>
      </c>
      <c r="I39" s="40">
        <f>'MERCADO TUSD'!$U$36</f>
        <v>0</v>
      </c>
      <c r="J39" s="15"/>
      <c r="L39" s="30">
        <f>('TUSD BE'!$L$39+'TUSD BF'!$L$39+'TUSD CVA'!$L$39)*(1 - CUSTOS!$M$40)</f>
        <v>12.990348369072336</v>
      </c>
      <c r="M39" s="30">
        <f>('TUSD BE'!$M$39+'TUSD BF'!$M$39+'TUSD CVA'!$M$39)*(1 - CUSTOS!$M$40)</f>
        <v>0.74057681752526194</v>
      </c>
      <c r="N39" s="30">
        <f ca="1">('TUSD BE'!$N$39+'TUSD BF'!$N$39+'TUSD CVA'!$N$39)*(1 - CUSTOS!$M$40)</f>
        <v>5.0703527782273827</v>
      </c>
      <c r="O39" s="30">
        <f>('TUSD BE'!$O$39+'TUSD BF'!$O$39+'TUSD CVA'!$O$39)*(1 - CUSTOS!$M$40)</f>
        <v>0</v>
      </c>
      <c r="P39" s="30">
        <f>('TUSD BE'!$P$39+'TUSD BF'!$P$39+'TUSD CVA'!$P$39)*(1 - CUSTOS!$M$40)</f>
        <v>0</v>
      </c>
      <c r="Q39" s="30">
        <f>('TUSD BE'!$Q$39+'TUSD BF'!$Q$39+'TUSD CVA'!$Q$39)*(1 - CUSTOS!$M$40)</f>
        <v>41.378705037491954</v>
      </c>
      <c r="R39" s="30">
        <f>('TUSD BE'!$R$39+'TUSD BF'!$R$39+'TUSD CVA'!$R$39)*(1 - CUSTOS!$M$40)</f>
        <v>0</v>
      </c>
      <c r="S39" s="30">
        <f>('TUSD BE'!$S$39+'TUSD BF'!$S$39+'TUSD CVA'!$S$39)*(1 - CUSTOS!$M$40)</f>
        <v>0</v>
      </c>
      <c r="T39" s="30">
        <f>('TUSD BE'!$U$39+'TUSD BF'!$U$39+'TUSD CVA'!$U$39)*(1 - CUSTOS!$M$40)</f>
        <v>0</v>
      </c>
      <c r="U39" s="30">
        <f>('TUSD BE'!$V$39+'TUSD BF'!$V$39+'TUSD CVA'!$V$39)*(1 - CUSTOS!$M$40)</f>
        <v>0</v>
      </c>
      <c r="V39" s="30">
        <f>('TUSD BE'!$W$39+'TUSD BF'!$W$39+'TUSD CVA'!$W$39)*(1 - CUSTOS!$M$40)</f>
        <v>3.1763710499083295</v>
      </c>
      <c r="W39" s="30">
        <f>('TUSD BE'!$X$39+'TUSD BF'!$X$39+'TUSD CVA'!$X$39)*(1 - CUSTOS!$M$40)</f>
        <v>0</v>
      </c>
      <c r="X39" s="30">
        <f>('TUSD BE'!$Y$39+'TUSD BF'!$Y$39+'TUSD CVA'!$Y$39)*(1 - CUSTOS!$M$40)</f>
        <v>0</v>
      </c>
      <c r="Y39" s="30">
        <f>('TUSD BE'!$Z$39+'TUSD BF'!$Z$39+'TUSD CVA'!$Z$39)*(1 - CUSTOS!$M$40)</f>
        <v>0</v>
      </c>
      <c r="Z39" s="30">
        <f>('TUSD BE'!$AA$39+'TUSD BF'!$AA$39+'TUSD CVA'!$AA$39)*(1 - CUSTOS!$M$40)</f>
        <v>0</v>
      </c>
      <c r="AA39" s="30">
        <f>('TUSD BE'!$AC$39+'TUSD BF'!$AC$39+'TUSD CVA'!$AC$39)*(1 - CUSTOS!$M$40)</f>
        <v>437.60294095610266</v>
      </c>
      <c r="AB39" s="30">
        <f ca="1">('TUSD BE'!$AE$39+'TUSD BF'!$AE$39+'TUSD CVA'!$AE$39)*(1 - CUSTOS!$M$40)</f>
        <v>0</v>
      </c>
      <c r="AC39" s="30">
        <f ca="1">('TUSD BE'!$AF$39+'TUSD BF'!$AF$39+'TUSD CVA'!$AF$39)*(1 - CUSTOS!$M$40)</f>
        <v>0</v>
      </c>
      <c r="AD39" s="30">
        <f>('TUSD BE'!$AH$39+'TUSD BF'!$AH$39+'TUSD CVA'!$AH$39)*(1 - CUSTOS!$M$40)</f>
        <v>32.151242234654568</v>
      </c>
      <c r="AE39" s="30">
        <f>('TUSD BE'!$AI$39+'TUSD BF'!$AI$39+'TUSD CVA'!$AI$39)*(1 - CUSTOS!$M$40)</f>
        <v>0</v>
      </c>
      <c r="AF39" s="30">
        <f ca="1">('TUSD BE'!$AJ$39+'TUSD BF'!$AJ$39+'TUSD CVA'!$AJ$39)*(1 - CUSTOS!$M$40)</f>
        <v>42.58044828071084</v>
      </c>
      <c r="AG39" s="30">
        <f ca="1">('TUSD BE'!$AK$39+'TUSD BF'!$AK$39+'TUSD CVA'!$AK$39)*(1 - CUSTOS!$M$40)</f>
        <v>4.3111948182869257</v>
      </c>
      <c r="AI39" s="30">
        <v>20.135888497701799</v>
      </c>
      <c r="AJ39" s="30">
        <v>1.69045057396359</v>
      </c>
      <c r="AK39" s="30">
        <v>3.9619307517369098</v>
      </c>
      <c r="AL39" s="30">
        <v>0</v>
      </c>
      <c r="AM39" s="30">
        <v>0</v>
      </c>
      <c r="AN39" s="30">
        <v>15.0866403890542</v>
      </c>
      <c r="AO39" s="30">
        <v>0</v>
      </c>
      <c r="AP39" s="30">
        <v>0</v>
      </c>
      <c r="AQ39" s="30">
        <v>0</v>
      </c>
      <c r="AR39" s="30">
        <v>0</v>
      </c>
      <c r="AS39" s="30">
        <v>8.1111364484647694</v>
      </c>
      <c r="AT39" s="30">
        <v>0</v>
      </c>
      <c r="AU39" s="30">
        <v>0</v>
      </c>
      <c r="AV39" s="30">
        <v>0</v>
      </c>
      <c r="AW39" s="30">
        <v>0</v>
      </c>
      <c r="AX39" s="30">
        <v>302.61740385157498</v>
      </c>
      <c r="AY39" s="30">
        <v>0</v>
      </c>
      <c r="AZ39" s="30">
        <v>0</v>
      </c>
      <c r="BA39" s="30">
        <v>23.576754776105499</v>
      </c>
      <c r="BB39" s="30">
        <v>0</v>
      </c>
      <c r="BC39" s="30">
        <v>34.061893582146702</v>
      </c>
      <c r="BD39" s="30">
        <v>2.5246349373802599</v>
      </c>
    </row>
    <row r="40" spans="1:56" ht="11.25" customHeight="1" x14ac:dyDescent="0.25">
      <c r="A40" s="107"/>
      <c r="B40" s="107"/>
      <c r="C40" s="107"/>
      <c r="D40" s="107"/>
      <c r="E40" s="107"/>
      <c r="F40" s="107"/>
      <c r="G40" s="40" t="s">
        <v>74</v>
      </c>
      <c r="H40" s="40" t="s">
        <v>72</v>
      </c>
      <c r="I40" s="40">
        <f>'MERCADO TUSD'!$U$37</f>
        <v>0</v>
      </c>
      <c r="J40" s="15"/>
      <c r="L40" s="30">
        <f>('TUSD BE'!$L$40+'TUSD BF'!$L$40+'TUSD CVA'!$L$40)*(1 - CUSTOS!$M$40)</f>
        <v>12.990348369072336</v>
      </c>
      <c r="M40" s="30">
        <f>('TUSD BE'!$M$40+'TUSD BF'!$M$40+'TUSD CVA'!$M$40)*(1 - CUSTOS!$M$40)</f>
        <v>0.74057681752526194</v>
      </c>
      <c r="N40" s="30">
        <f ca="1">('TUSD BE'!$N$40+'TUSD BF'!$N$40+'TUSD CVA'!$N$40)*(1 - CUSTOS!$M$40)</f>
        <v>2.6234962670659332</v>
      </c>
      <c r="O40" s="30">
        <f>('TUSD BE'!$O$40+'TUSD BF'!$O$40+'TUSD CVA'!$O$40)*(1 - CUSTOS!$M$40)</f>
        <v>0</v>
      </c>
      <c r="P40" s="30">
        <f>('TUSD BE'!$P$40+'TUSD BF'!$P$40+'TUSD CVA'!$P$40)*(1 - CUSTOS!$M$40)</f>
        <v>0</v>
      </c>
      <c r="Q40" s="30">
        <f>('TUSD BE'!$Q$40+'TUSD BF'!$Q$40+'TUSD CVA'!$Q$40)*(1 - CUSTOS!$M$40)</f>
        <v>41.378705037491954</v>
      </c>
      <c r="R40" s="30">
        <f>('TUSD BE'!$R$40+'TUSD BF'!$R$40+'TUSD CVA'!$R$40)*(1 - CUSTOS!$M$40)</f>
        <v>0</v>
      </c>
      <c r="S40" s="30">
        <f>('TUSD BE'!$S$40+'TUSD BF'!$S$40+'TUSD CVA'!$S$40)*(1 - CUSTOS!$M$40)</f>
        <v>0</v>
      </c>
      <c r="T40" s="30">
        <f>('TUSD BE'!$U$40+'TUSD BF'!$U$40+'TUSD CVA'!$U$40)*(1 - CUSTOS!$M$40)</f>
        <v>0</v>
      </c>
      <c r="U40" s="30">
        <f>('TUSD BE'!$V$40+'TUSD BF'!$V$40+'TUSD CVA'!$V$40)*(1 - CUSTOS!$M$40)</f>
        <v>0</v>
      </c>
      <c r="V40" s="30">
        <f>('TUSD BE'!$W$40+'TUSD BF'!$W$40+'TUSD CVA'!$W$40)*(1 - CUSTOS!$M$40)</f>
        <v>1.0587903499694431</v>
      </c>
      <c r="W40" s="30">
        <f>('TUSD BE'!$X$40+'TUSD BF'!$X$40+'TUSD CVA'!$X$40)*(1 - CUSTOS!$M$40)</f>
        <v>0</v>
      </c>
      <c r="X40" s="30">
        <f>('TUSD BE'!$Y$40+'TUSD BF'!$Y$40+'TUSD CVA'!$Y$40)*(1 - CUSTOS!$M$40)</f>
        <v>0</v>
      </c>
      <c r="Y40" s="30">
        <f>('TUSD BE'!$Z$40+'TUSD BF'!$Z$40+'TUSD CVA'!$Z$40)*(1 - CUSTOS!$M$40)</f>
        <v>0</v>
      </c>
      <c r="Z40" s="30">
        <f>('TUSD BE'!$AA$40+'TUSD BF'!$AA$40+'TUSD CVA'!$AA$40)*(1 - CUSTOS!$M$40)</f>
        <v>0</v>
      </c>
      <c r="AA40" s="30">
        <f>('TUSD BE'!$AC$40+'TUSD BF'!$AC$40+'TUSD CVA'!$AC$40)*(1 - CUSTOS!$M$40)</f>
        <v>145.86764698536757</v>
      </c>
      <c r="AB40" s="30">
        <f ca="1">('TUSD BE'!$AE$40+'TUSD BF'!$AE$40+'TUSD CVA'!$AE$40)*(1 - CUSTOS!$M$40)</f>
        <v>0</v>
      </c>
      <c r="AC40" s="30">
        <f ca="1">('TUSD BE'!$AF$40+'TUSD BF'!$AF$40+'TUSD CVA'!$AF$40)*(1 - CUSTOS!$M$40)</f>
        <v>0</v>
      </c>
      <c r="AD40" s="30">
        <f>('TUSD BE'!$AH$40+'TUSD BF'!$AH$40+'TUSD CVA'!$AH$40)*(1 - CUSTOS!$M$40)</f>
        <v>32.151242234654568</v>
      </c>
      <c r="AE40" s="30">
        <f>('TUSD BE'!$AI$40+'TUSD BF'!$AI$40+'TUSD CVA'!$AI$40)*(1 - CUSTOS!$M$40)</f>
        <v>0</v>
      </c>
      <c r="AF40" s="30">
        <f ca="1">('TUSD BE'!$AJ$40+'TUSD BF'!$AJ$40+'TUSD CVA'!$AJ$40)*(1 - CUSTOS!$M$40)</f>
        <v>42.58044828071084</v>
      </c>
      <c r="AG40" s="30">
        <f ca="1">('TUSD BE'!$AK$40+'TUSD BF'!$AK$40+'TUSD CVA'!$AK$40)*(1 - CUSTOS!$M$40)</f>
        <v>4.3111948182869257</v>
      </c>
      <c r="AI40" s="30">
        <v>20.135888497701799</v>
      </c>
      <c r="AJ40" s="30">
        <v>1.69045057396359</v>
      </c>
      <c r="AK40" s="30">
        <v>2.0150629559245501</v>
      </c>
      <c r="AL40" s="30">
        <v>0</v>
      </c>
      <c r="AM40" s="30">
        <v>0</v>
      </c>
      <c r="AN40" s="30">
        <v>15.0866403890542</v>
      </c>
      <c r="AO40" s="30">
        <v>0</v>
      </c>
      <c r="AP40" s="30">
        <v>0</v>
      </c>
      <c r="AQ40" s="30">
        <v>0</v>
      </c>
      <c r="AR40" s="30">
        <v>0</v>
      </c>
      <c r="AS40" s="30">
        <v>2.7037121494882599</v>
      </c>
      <c r="AT40" s="30">
        <v>0</v>
      </c>
      <c r="AU40" s="30">
        <v>0</v>
      </c>
      <c r="AV40" s="30">
        <v>0</v>
      </c>
      <c r="AW40" s="30">
        <v>0</v>
      </c>
      <c r="AX40" s="30">
        <v>100.87246795052501</v>
      </c>
      <c r="AY40" s="30">
        <v>0</v>
      </c>
      <c r="AZ40" s="30">
        <v>0</v>
      </c>
      <c r="BA40" s="30">
        <v>23.576754776105499</v>
      </c>
      <c r="BB40" s="30">
        <v>0</v>
      </c>
      <c r="BC40" s="30">
        <v>34.061893582146702</v>
      </c>
      <c r="BD40" s="30">
        <v>2.5246349373802599</v>
      </c>
    </row>
    <row r="41" spans="1:56" ht="11.25" customHeight="1" x14ac:dyDescent="0.25">
      <c r="A41" s="107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40" t="s">
        <v>76</v>
      </c>
      <c r="H41" s="40" t="s">
        <v>72</v>
      </c>
      <c r="I41" s="40">
        <f>'MERCADO TUSD'!$U$38</f>
        <v>0</v>
      </c>
      <c r="J41" s="15"/>
      <c r="L41" s="30">
        <f>('TUSD BE'!$L$41+'TUSD BF'!$L$41+'TUSD CVA'!$L$41)*(1 - CUSTOS!$M$40)</f>
        <v>12.990348369072336</v>
      </c>
      <c r="M41" s="30">
        <f>('TUSD BE'!$M$41+'TUSD BF'!$M$41+'TUSD CVA'!$M$41)*(1 - CUSTOS!$M$40)</f>
        <v>0.74057681752526194</v>
      </c>
      <c r="N41" s="30">
        <f ca="1">('TUSD BE'!$N$41+'TUSD BF'!$N$41+'TUSD CVA'!$N$41)*(1 - CUSTOS!$M$40)</f>
        <v>3.3116745444930493</v>
      </c>
      <c r="O41" s="30">
        <f>('TUSD BE'!$O$41+'TUSD BF'!$O$41+'TUSD CVA'!$O$41)*(1 - CUSTOS!$M$40)</f>
        <v>0</v>
      </c>
      <c r="P41" s="30">
        <f>('TUSD BE'!$P$41+'TUSD BF'!$P$41+'TUSD CVA'!$P$41)*(1 - CUSTOS!$M$40)</f>
        <v>0</v>
      </c>
      <c r="Q41" s="30">
        <f>('TUSD BE'!$Q$41+'TUSD BF'!$Q$41+'TUSD CVA'!$Q$41)*(1 - CUSTOS!$M$40)</f>
        <v>41.378705037491954</v>
      </c>
      <c r="R41" s="30">
        <f>('TUSD BE'!$R$41+'TUSD BF'!$R$41+'TUSD CVA'!$R$41)*(1 - CUSTOS!$M$40)</f>
        <v>0</v>
      </c>
      <c r="S41" s="30">
        <f>('TUSD BE'!$S$41+'TUSD BF'!$S$41+'TUSD CVA'!$S$41)*(1 - CUSTOS!$M$40)</f>
        <v>0</v>
      </c>
      <c r="T41" s="30">
        <f>('TUSD BE'!$U$41+'TUSD BF'!$U$41+'TUSD CVA'!$U$41)*(1 - CUSTOS!$M$40)</f>
        <v>0</v>
      </c>
      <c r="U41" s="30">
        <f>('TUSD BE'!$V$41+'TUSD BF'!$V$41+'TUSD CVA'!$V$41)*(1 - CUSTOS!$M$40)</f>
        <v>0</v>
      </c>
      <c r="V41" s="30">
        <f>('TUSD BE'!$W$41+'TUSD BF'!$W$41+'TUSD CVA'!$W$41)*(1 - CUSTOS!$M$40)</f>
        <v>1.655291955586031</v>
      </c>
      <c r="W41" s="30">
        <f>('TUSD BE'!$X$41+'TUSD BF'!$X$41+'TUSD CVA'!$X$41)*(1 - CUSTOS!$M$40)</f>
        <v>0</v>
      </c>
      <c r="X41" s="30">
        <f>('TUSD BE'!$Y$41+'TUSD BF'!$Y$41+'TUSD CVA'!$Y$41)*(1 - CUSTOS!$M$40)</f>
        <v>0</v>
      </c>
      <c r="Y41" s="30">
        <f>('TUSD BE'!$Z$41+'TUSD BF'!$Z$41+'TUSD CVA'!$Z$41)*(1 - CUSTOS!$M$40)</f>
        <v>0</v>
      </c>
      <c r="Z41" s="30">
        <f>('TUSD BE'!$AA$41+'TUSD BF'!$AA$41+'TUSD CVA'!$AA$41)*(1 - CUSTOS!$M$40)</f>
        <v>0</v>
      </c>
      <c r="AA41" s="30">
        <f>('TUSD BE'!$AC$41+'TUSD BF'!$AC$41+'TUSD CVA'!$AC$41)*(1 - CUSTOS!$M$40)</f>
        <v>227.91817760745772</v>
      </c>
      <c r="AB41" s="30">
        <f ca="1">('TUSD BE'!$AE$41+'TUSD BF'!$AE$41+'TUSD CVA'!$AE$41)*(1 - CUSTOS!$M$40)</f>
        <v>0</v>
      </c>
      <c r="AC41" s="30">
        <f ca="1">('TUSD BE'!$AF$41+'TUSD BF'!$AF$41+'TUSD CVA'!$AF$41)*(1 - CUSTOS!$M$40)</f>
        <v>0</v>
      </c>
      <c r="AD41" s="30">
        <f>('TUSD BE'!$AH$41+'TUSD BF'!$AH$41+'TUSD CVA'!$AH$41)*(1 - CUSTOS!$M$40)</f>
        <v>32.151242234654568</v>
      </c>
      <c r="AE41" s="30">
        <f>('TUSD BE'!$AI$41+'TUSD BF'!$AI$41+'TUSD CVA'!$AI$41)*(1 - CUSTOS!$M$40)</f>
        <v>0</v>
      </c>
      <c r="AF41" s="30">
        <f ca="1">('TUSD BE'!$AJ$41+'TUSD BF'!$AJ$41+'TUSD CVA'!$AJ$41)*(1 - CUSTOS!$M$40)</f>
        <v>42.58044828071084</v>
      </c>
      <c r="AG41" s="30">
        <f ca="1">('TUSD BE'!$AK$41+'TUSD BF'!$AK$41+'TUSD CVA'!$AK$41)*(1 - CUSTOS!$M$40)</f>
        <v>4.3111948182869257</v>
      </c>
      <c r="AI41" s="30">
        <v>20.135888497701799</v>
      </c>
      <c r="AJ41" s="30">
        <v>1.69045057396359</v>
      </c>
      <c r="AK41" s="30">
        <v>2.5626194309319601</v>
      </c>
      <c r="AL41" s="30">
        <v>0</v>
      </c>
      <c r="AM41" s="30">
        <v>0</v>
      </c>
      <c r="AN41" s="30">
        <v>15.0866403890542</v>
      </c>
      <c r="AO41" s="30">
        <v>0</v>
      </c>
      <c r="AP41" s="30">
        <v>0</v>
      </c>
      <c r="AQ41" s="30">
        <v>0</v>
      </c>
      <c r="AR41" s="30">
        <v>0</v>
      </c>
      <c r="AS41" s="30">
        <v>4.2269302618760101</v>
      </c>
      <c r="AT41" s="30">
        <v>0</v>
      </c>
      <c r="AU41" s="30">
        <v>0</v>
      </c>
      <c r="AV41" s="30">
        <v>0</v>
      </c>
      <c r="AW41" s="30">
        <v>0</v>
      </c>
      <c r="AX41" s="30">
        <v>157.61321678381901</v>
      </c>
      <c r="AY41" s="30">
        <v>0</v>
      </c>
      <c r="AZ41" s="30">
        <v>0</v>
      </c>
      <c r="BA41" s="30">
        <v>23.576754776105499</v>
      </c>
      <c r="BB41" s="30">
        <v>0</v>
      </c>
      <c r="BC41" s="30">
        <v>34.061893582146702</v>
      </c>
      <c r="BD41" s="30">
        <v>2.5246349373802599</v>
      </c>
    </row>
    <row r="42" spans="1:56" ht="11.25" customHeight="1" x14ac:dyDescent="0.25">
      <c r="A42" s="107"/>
      <c r="B42" s="107" t="s">
        <v>87</v>
      </c>
      <c r="C42" s="107" t="s">
        <v>44</v>
      </c>
      <c r="D42" s="39" t="s">
        <v>25</v>
      </c>
      <c r="E42" s="39" t="s">
        <v>25</v>
      </c>
      <c r="F42" s="39" t="s">
        <v>25</v>
      </c>
      <c r="G42" s="40" t="s">
        <v>76</v>
      </c>
      <c r="H42" s="40" t="s">
        <v>72</v>
      </c>
      <c r="I42" s="40">
        <f>'MERCADO TUSD'!$U$39</f>
        <v>0</v>
      </c>
      <c r="J42" s="15"/>
      <c r="L42" s="30">
        <f>('TUSD BE'!$L$42+'TUSD BF'!$L$42+'TUSD CVA'!$L$42)*(1 - CUSTOS!$M$38)</f>
        <v>13.272747246660865</v>
      </c>
      <c r="M42" s="30">
        <f>('TUSD BE'!$M$42+'TUSD BF'!$M$42+'TUSD CVA'!$M$42)*(1 - CUSTOS!$M$38)</f>
        <v>0.75667631355841969</v>
      </c>
      <c r="N42" s="30">
        <f ca="1">('TUSD BE'!$N$42+'TUSD BF'!$N$42+'TUSD CVA'!$N$42)*(1 - CUSTOS!$M$38)</f>
        <v>3.3836674693733326</v>
      </c>
      <c r="O42" s="30">
        <f>('TUSD BE'!$O$42+'TUSD BF'!$O$42+'TUSD CVA'!$O$42)*(1 - CUSTOS!$M$38)</f>
        <v>0</v>
      </c>
      <c r="P42" s="30">
        <f>('TUSD BE'!$P$42+'TUSD BF'!$P$42+'TUSD CVA'!$P$42)*(1 - CUSTOS!$M$38)</f>
        <v>0</v>
      </c>
      <c r="Q42" s="30">
        <f>('TUSD BE'!$Q$42+'TUSD BF'!$Q$42+'TUSD CVA'!$Q$42)*(1 - CUSTOS!$M$38)</f>
        <v>42.278242103524384</v>
      </c>
      <c r="R42" s="30">
        <f>('TUSD BE'!$R$42+'TUSD BF'!$R$42+'TUSD CVA'!$R$42)*(1 - CUSTOS!$M$38)</f>
        <v>0</v>
      </c>
      <c r="S42" s="30">
        <f>('TUSD BE'!$S$42+'TUSD BF'!$S$42+'TUSD CVA'!$S$42)*(1 - CUSTOS!$M$38)</f>
        <v>0</v>
      </c>
      <c r="T42" s="30">
        <f>('TUSD BE'!$U$42+'TUSD BF'!$U$42+'TUSD CVA'!$U$42)*(1 - CUSTOS!$M$38)</f>
        <v>0</v>
      </c>
      <c r="U42" s="30">
        <f>('TUSD BE'!$V$42+'TUSD BF'!$V$42+'TUSD CVA'!$V$42)*(1 - CUSTOS!$M$38)</f>
        <v>0</v>
      </c>
      <c r="V42" s="30">
        <f>('TUSD BE'!$W$42+'TUSD BF'!$W$42+'TUSD CVA'!$W$42)*(1 - CUSTOS!$M$38)</f>
        <v>1.6912765633161619</v>
      </c>
      <c r="W42" s="30">
        <f>('TUSD BE'!$X$42+'TUSD BF'!$X$42+'TUSD CVA'!$X$42)*(1 - CUSTOS!$M$38)</f>
        <v>0</v>
      </c>
      <c r="X42" s="30">
        <f>('TUSD BE'!$Y$42+'TUSD BF'!$Y$42+'TUSD CVA'!$Y$42)*(1 - CUSTOS!$M$38)</f>
        <v>0</v>
      </c>
      <c r="Y42" s="30">
        <f>('TUSD BE'!$Z$42+'TUSD BF'!$Z$42+'TUSD CVA'!$Z$42)*(1 - CUSTOS!$M$38)</f>
        <v>0</v>
      </c>
      <c r="Z42" s="30">
        <f>('TUSD BE'!$AA$42+'TUSD BF'!$AA$42+'TUSD CVA'!$AA$42)*(1 - CUSTOS!$M$38)</f>
        <v>0</v>
      </c>
      <c r="AA42" s="30">
        <f>('TUSD BE'!$AC$42+'TUSD BF'!$AC$42+'TUSD CVA'!$AC$42)*(1 - CUSTOS!$M$38)</f>
        <v>232.87292059892417</v>
      </c>
      <c r="AB42" s="30">
        <f ca="1">('TUSD BE'!$AE$42+'TUSD BF'!$AE$42+'TUSD CVA'!$AE$42)*(1 - CUSTOS!$M$38)</f>
        <v>0</v>
      </c>
      <c r="AC42" s="30">
        <f ca="1">('TUSD BE'!$AF$42+'TUSD BF'!$AF$42+'TUSD CVA'!$AF$42)*(1 - CUSTOS!$M$38)</f>
        <v>0</v>
      </c>
      <c r="AD42" s="30">
        <f>('TUSD BE'!$AH$42+'TUSD BF'!$AH$42+'TUSD CVA'!$AH$42)*(1 - CUSTOS!$M$38)</f>
        <v>32.850182283234012</v>
      </c>
      <c r="AE42" s="30">
        <f>('TUSD BE'!$AI$42+'TUSD BF'!$AI$42+'TUSD CVA'!$AI$42)*(1 - CUSTOS!$M$38)</f>
        <v>0</v>
      </c>
      <c r="AF42" s="30">
        <f ca="1">('TUSD BE'!$AJ$42+'TUSD BF'!$AJ$42+'TUSD CVA'!$AJ$42)*(1 - CUSTOS!$M$38)</f>
        <v>43.506110199856721</v>
      </c>
      <c r="AG42" s="30">
        <f ca="1">('TUSD BE'!$AK$42+'TUSD BF'!$AK$42+'TUSD CVA'!$AK$42)*(1 - CUSTOS!$M$38)</f>
        <v>4.4049164447714242</v>
      </c>
      <c r="AI42" s="30">
        <v>21.094740330925699</v>
      </c>
      <c r="AJ42" s="30">
        <v>1.77094822034281</v>
      </c>
      <c r="AK42" s="30">
        <v>2.6846489276429999</v>
      </c>
      <c r="AL42" s="30">
        <v>0</v>
      </c>
      <c r="AM42" s="30">
        <v>0</v>
      </c>
      <c r="AN42" s="30">
        <v>15.805051836152</v>
      </c>
      <c r="AO42" s="30">
        <v>0</v>
      </c>
      <c r="AP42" s="30">
        <v>0</v>
      </c>
      <c r="AQ42" s="30">
        <v>0</v>
      </c>
      <c r="AR42" s="30">
        <v>0</v>
      </c>
      <c r="AS42" s="30">
        <v>4.4282126552986698</v>
      </c>
      <c r="AT42" s="30">
        <v>0</v>
      </c>
      <c r="AU42" s="30">
        <v>0</v>
      </c>
      <c r="AV42" s="30">
        <v>0</v>
      </c>
      <c r="AW42" s="30">
        <v>0</v>
      </c>
      <c r="AX42" s="30">
        <v>165.11860805923899</v>
      </c>
      <c r="AY42" s="30">
        <v>0</v>
      </c>
      <c r="AZ42" s="30">
        <v>0</v>
      </c>
      <c r="BA42" s="30">
        <v>24.699457384491499</v>
      </c>
      <c r="BB42" s="30">
        <v>0</v>
      </c>
      <c r="BC42" s="30">
        <v>35.6838885146298</v>
      </c>
      <c r="BD42" s="30">
        <v>2.64485564868408</v>
      </c>
    </row>
    <row r="43" spans="1:56" ht="11.25" customHeight="1" x14ac:dyDescent="0.25">
      <c r="A43" s="107"/>
      <c r="B43" s="107"/>
      <c r="C43" s="107"/>
      <c r="D43" s="39" t="s">
        <v>88</v>
      </c>
      <c r="E43" s="39" t="s">
        <v>25</v>
      </c>
      <c r="F43" s="39" t="s">
        <v>25</v>
      </c>
      <c r="G43" s="40" t="s">
        <v>76</v>
      </c>
      <c r="H43" s="40" t="s">
        <v>72</v>
      </c>
      <c r="I43" s="40">
        <f>'MERCADO TUSD'!$U$40</f>
        <v>0</v>
      </c>
      <c r="J43" s="15"/>
      <c r="L43" s="30">
        <f>('TUSD BE'!$L$43+'TUSD BF'!$L$43+'TUSD CVA'!$L$43)*(1 - CUSTOS!$M$39)</f>
        <v>13.272747246660865</v>
      </c>
      <c r="M43" s="30">
        <f>('TUSD BE'!$M$43+'TUSD BF'!$M$43+'TUSD CVA'!$M$43)*(1 - CUSTOS!$M$39)</f>
        <v>0.75667631355841969</v>
      </c>
      <c r="N43" s="30">
        <f ca="1">('TUSD BE'!$N$43+'TUSD BF'!$N$43+'TUSD CVA'!$N$43)*(1 - CUSTOS!$M$39)</f>
        <v>3.3836674693733326</v>
      </c>
      <c r="O43" s="30">
        <f>('TUSD BE'!$O$43+'TUSD BF'!$O$43+'TUSD CVA'!$O$43)*(1 - CUSTOS!$M$39)</f>
        <v>0</v>
      </c>
      <c r="P43" s="30">
        <f>('TUSD BE'!$P$43+'TUSD BF'!$P$43+'TUSD CVA'!$P$43)*(1 - CUSTOS!$M$39)</f>
        <v>0</v>
      </c>
      <c r="Q43" s="30">
        <f>('TUSD BE'!$Q$43+'TUSD BF'!$Q$43+'TUSD CVA'!$Q$43)*(1 - CUSTOS!$M$39)</f>
        <v>42.278242103524384</v>
      </c>
      <c r="R43" s="30">
        <f>('TUSD BE'!$R$43+'TUSD BF'!$R$43+'TUSD CVA'!$R$43)*(1 - CUSTOS!$M$39)</f>
        <v>0</v>
      </c>
      <c r="S43" s="30">
        <f>('TUSD BE'!$S$43+'TUSD BF'!$S$43+'TUSD CVA'!$S$43)*(1 - CUSTOS!$M$39)</f>
        <v>0</v>
      </c>
      <c r="T43" s="30">
        <f>('TUSD BE'!$U$43+'TUSD BF'!$U$43+'TUSD CVA'!$U$43)*(1 - CUSTOS!$M$39)</f>
        <v>0</v>
      </c>
      <c r="U43" s="30">
        <f>('TUSD BE'!$V$43+'TUSD BF'!$V$43+'TUSD CVA'!$V$43)*(1 - CUSTOS!$M$39)</f>
        <v>0</v>
      </c>
      <c r="V43" s="30">
        <f>('TUSD BE'!$W$43+'TUSD BF'!$W$43+'TUSD CVA'!$W$43)*(1 - CUSTOS!$M$39)</f>
        <v>1.6912765633161619</v>
      </c>
      <c r="W43" s="30">
        <f>('TUSD BE'!$X$43+'TUSD BF'!$X$43+'TUSD CVA'!$X$43)*(1 - CUSTOS!$M$39)</f>
        <v>0</v>
      </c>
      <c r="X43" s="30">
        <f>('TUSD BE'!$Y$43+'TUSD BF'!$Y$43+'TUSD CVA'!$Y$43)*(1 - CUSTOS!$M$39)</f>
        <v>0</v>
      </c>
      <c r="Y43" s="30">
        <f>('TUSD BE'!$Z$43+'TUSD BF'!$Z$43+'TUSD CVA'!$Z$43)*(1 - CUSTOS!$M$39)</f>
        <v>0</v>
      </c>
      <c r="Z43" s="30">
        <f>('TUSD BE'!$AA$43+'TUSD BF'!$AA$43+'TUSD CVA'!$AA$43)*(1 - CUSTOS!$M$39)</f>
        <v>0</v>
      </c>
      <c r="AA43" s="30">
        <f>('TUSD BE'!$AC$43+'TUSD BF'!$AC$43+'TUSD CVA'!$AC$43)*(1 - CUSTOS!$M$39)</f>
        <v>232.87292059892417</v>
      </c>
      <c r="AB43" s="30">
        <f ca="1">('TUSD BE'!$AE$43+'TUSD BF'!$AE$43+'TUSD CVA'!$AE$43)*(1 - CUSTOS!$M$39)</f>
        <v>0</v>
      </c>
      <c r="AC43" s="30">
        <f ca="1">('TUSD BE'!$AF$43+'TUSD BF'!$AF$43+'TUSD CVA'!$AF$43)*(1 - CUSTOS!$M$39)</f>
        <v>0</v>
      </c>
      <c r="AD43" s="30">
        <f>('TUSD BE'!$AH$43+'TUSD BF'!$AH$43+'TUSD CVA'!$AH$43)*(1 - CUSTOS!$M$39)</f>
        <v>32.850182283234012</v>
      </c>
      <c r="AE43" s="30">
        <f>('TUSD BE'!$AI$43+'TUSD BF'!$AI$43+'TUSD CVA'!$AI$43)*(1 - CUSTOS!$M$39)</f>
        <v>0</v>
      </c>
      <c r="AF43" s="30">
        <f ca="1">('TUSD BE'!$AJ$43+'TUSD BF'!$AJ$43+'TUSD CVA'!$AJ$43)*(1 - CUSTOS!$M$39)</f>
        <v>43.506110199856721</v>
      </c>
      <c r="AG43" s="30">
        <f ca="1">('TUSD BE'!$AK$43+'TUSD BF'!$AK$43+'TUSD CVA'!$AK$43)*(1 - CUSTOS!$M$39)</f>
        <v>4.4049164447714242</v>
      </c>
      <c r="AI43" s="30">
        <v>21.094740330925699</v>
      </c>
      <c r="AJ43" s="30">
        <v>1.77094822034281</v>
      </c>
      <c r="AK43" s="30">
        <v>2.6846489276429999</v>
      </c>
      <c r="AL43" s="30">
        <v>0</v>
      </c>
      <c r="AM43" s="30">
        <v>0</v>
      </c>
      <c r="AN43" s="30">
        <v>15.805051836152</v>
      </c>
      <c r="AO43" s="30">
        <v>0</v>
      </c>
      <c r="AP43" s="30">
        <v>0</v>
      </c>
      <c r="AQ43" s="30">
        <v>0</v>
      </c>
      <c r="AR43" s="30">
        <v>0</v>
      </c>
      <c r="AS43" s="30">
        <v>4.4282126552986698</v>
      </c>
      <c r="AT43" s="30">
        <v>0</v>
      </c>
      <c r="AU43" s="30">
        <v>0</v>
      </c>
      <c r="AV43" s="30">
        <v>0</v>
      </c>
      <c r="AW43" s="30">
        <v>0</v>
      </c>
      <c r="AX43" s="30">
        <v>165.11860805923899</v>
      </c>
      <c r="AY43" s="30">
        <v>0</v>
      </c>
      <c r="AZ43" s="30">
        <v>0</v>
      </c>
      <c r="BA43" s="30">
        <v>24.699457384491499</v>
      </c>
      <c r="BB43" s="30">
        <v>0</v>
      </c>
      <c r="BC43" s="30">
        <v>35.6838885146298</v>
      </c>
      <c r="BD43" s="30">
        <v>2.64485564868408</v>
      </c>
    </row>
    <row r="44" spans="1:56" ht="11.25" customHeight="1" x14ac:dyDescent="0.25">
      <c r="A44" s="107"/>
      <c r="B44" s="107"/>
      <c r="C44" s="107"/>
      <c r="D44" s="39" t="s">
        <v>89</v>
      </c>
      <c r="E44" s="39" t="s">
        <v>25</v>
      </c>
      <c r="F44" s="39" t="s">
        <v>25</v>
      </c>
      <c r="G44" s="40" t="s">
        <v>76</v>
      </c>
      <c r="H44" s="40" t="s">
        <v>72</v>
      </c>
      <c r="I44" s="40">
        <f>'MERCADO TUSD'!$U$41</f>
        <v>0</v>
      </c>
      <c r="J44" s="15"/>
      <c r="L44" s="30">
        <f>('TUSD BE'!$L$44+'TUSD BF'!$L$44+'TUSD CVA'!$L$44)*(1 - CUSTOS!$M$40)</f>
        <v>12.990348369072336</v>
      </c>
      <c r="M44" s="30">
        <f>('TUSD BE'!$M$44+'TUSD BF'!$M$44+'TUSD CVA'!$M$44)*(1 - CUSTOS!$M$40)</f>
        <v>0.74057681752526194</v>
      </c>
      <c r="N44" s="30">
        <f ca="1">('TUSD BE'!$N$44+'TUSD BF'!$N$44+'TUSD CVA'!$N$44)*(1 - CUSTOS!$M$40)</f>
        <v>3.3116745444930493</v>
      </c>
      <c r="O44" s="30">
        <f>('TUSD BE'!$O$44+'TUSD BF'!$O$44+'TUSD CVA'!$O$44)*(1 - CUSTOS!$M$40)</f>
        <v>0</v>
      </c>
      <c r="P44" s="30">
        <f>('TUSD BE'!$P$44+'TUSD BF'!$P$44+'TUSD CVA'!$P$44)*(1 - CUSTOS!$M$40)</f>
        <v>0</v>
      </c>
      <c r="Q44" s="30">
        <f>('TUSD BE'!$Q$44+'TUSD BF'!$Q$44+'TUSD CVA'!$Q$44)*(1 - CUSTOS!$M$40)</f>
        <v>41.378705037491954</v>
      </c>
      <c r="R44" s="30">
        <f>('TUSD BE'!$R$44+'TUSD BF'!$R$44+'TUSD CVA'!$R$44)*(1 - CUSTOS!$M$40)</f>
        <v>0</v>
      </c>
      <c r="S44" s="30">
        <f>('TUSD BE'!$S$44+'TUSD BF'!$S$44+'TUSD CVA'!$S$44)*(1 - CUSTOS!$M$40)</f>
        <v>0</v>
      </c>
      <c r="T44" s="30">
        <f>('TUSD BE'!$U$44+'TUSD BF'!$U$44+'TUSD CVA'!$U$44)*(1 - CUSTOS!$M$40)</f>
        <v>0</v>
      </c>
      <c r="U44" s="30">
        <f>('TUSD BE'!$V$44+'TUSD BF'!$V$44+'TUSD CVA'!$V$44)*(1 - CUSTOS!$M$40)</f>
        <v>0</v>
      </c>
      <c r="V44" s="30">
        <f>('TUSD BE'!$W$44+'TUSD BF'!$W$44+'TUSD CVA'!$W$44)*(1 - CUSTOS!$M$40)</f>
        <v>1.655291955586031</v>
      </c>
      <c r="W44" s="30">
        <f>('TUSD BE'!$X$44+'TUSD BF'!$X$44+'TUSD CVA'!$X$44)*(1 - CUSTOS!$M$40)</f>
        <v>0</v>
      </c>
      <c r="X44" s="30">
        <f>('TUSD BE'!$Y$44+'TUSD BF'!$Y$44+'TUSD CVA'!$Y$44)*(1 - CUSTOS!$M$40)</f>
        <v>0</v>
      </c>
      <c r="Y44" s="30">
        <f>('TUSD BE'!$Z$44+'TUSD BF'!$Z$44+'TUSD CVA'!$Z$44)*(1 - CUSTOS!$M$40)</f>
        <v>0</v>
      </c>
      <c r="Z44" s="30">
        <f>('TUSD BE'!$AA$44+'TUSD BF'!$AA$44+'TUSD CVA'!$AA$44)*(1 - CUSTOS!$M$40)</f>
        <v>0</v>
      </c>
      <c r="AA44" s="30">
        <f>('TUSD BE'!$AC$44+'TUSD BF'!$AC$44+'TUSD CVA'!$AC$44)*(1 - CUSTOS!$M$40)</f>
        <v>227.91817760745772</v>
      </c>
      <c r="AB44" s="30">
        <f ca="1">('TUSD BE'!$AE$44+'TUSD BF'!$AE$44+'TUSD CVA'!$AE$44)*(1 - CUSTOS!$M$40)</f>
        <v>0</v>
      </c>
      <c r="AC44" s="30">
        <f ca="1">('TUSD BE'!$AF$44+'TUSD BF'!$AF$44+'TUSD CVA'!$AF$44)*(1 - CUSTOS!$M$40)</f>
        <v>0</v>
      </c>
      <c r="AD44" s="30">
        <f>('TUSD BE'!$AH$44+'TUSD BF'!$AH$44+'TUSD CVA'!$AH$44)*(1 - CUSTOS!$M$40)</f>
        <v>32.151242234654568</v>
      </c>
      <c r="AE44" s="30">
        <f>('TUSD BE'!$AI$44+'TUSD BF'!$AI$44+'TUSD CVA'!$AI$44)*(1 - CUSTOS!$M$40)</f>
        <v>0</v>
      </c>
      <c r="AF44" s="30">
        <f ca="1">('TUSD BE'!$AJ$44+'TUSD BF'!$AJ$44+'TUSD CVA'!$AJ$44)*(1 - CUSTOS!$M$40)</f>
        <v>42.58044828071084</v>
      </c>
      <c r="AG44" s="30">
        <f ca="1">('TUSD BE'!$AK$44+'TUSD BF'!$AK$44+'TUSD CVA'!$AK$44)*(1 - CUSTOS!$M$40)</f>
        <v>4.3111948182869257</v>
      </c>
      <c r="AI44" s="30">
        <v>20.135888497701799</v>
      </c>
      <c r="AJ44" s="30">
        <v>1.69045057396359</v>
      </c>
      <c r="AK44" s="30">
        <v>2.5626194309319601</v>
      </c>
      <c r="AL44" s="30">
        <v>0</v>
      </c>
      <c r="AM44" s="30">
        <v>0</v>
      </c>
      <c r="AN44" s="30">
        <v>15.0866403890542</v>
      </c>
      <c r="AO44" s="30">
        <v>0</v>
      </c>
      <c r="AP44" s="30">
        <v>0</v>
      </c>
      <c r="AQ44" s="30">
        <v>0</v>
      </c>
      <c r="AR44" s="30">
        <v>0</v>
      </c>
      <c r="AS44" s="30">
        <v>4.2269302618760101</v>
      </c>
      <c r="AT44" s="30">
        <v>0</v>
      </c>
      <c r="AU44" s="30">
        <v>0</v>
      </c>
      <c r="AV44" s="30">
        <v>0</v>
      </c>
      <c r="AW44" s="30">
        <v>0</v>
      </c>
      <c r="AX44" s="30">
        <v>157.61321678381901</v>
      </c>
      <c r="AY44" s="30">
        <v>0</v>
      </c>
      <c r="AZ44" s="30">
        <v>0</v>
      </c>
      <c r="BA44" s="30">
        <v>23.576754776105499</v>
      </c>
      <c r="BB44" s="30">
        <v>0</v>
      </c>
      <c r="BC44" s="30">
        <v>34.061893582146702</v>
      </c>
      <c r="BD44" s="30">
        <v>2.5246349373802599</v>
      </c>
    </row>
    <row r="45" spans="1:56" ht="11.25" customHeight="1" x14ac:dyDescent="0.25">
      <c r="A45" s="107" t="s">
        <v>37</v>
      </c>
      <c r="B45" s="107" t="s">
        <v>33</v>
      </c>
      <c r="C45" s="107" t="s">
        <v>25</v>
      </c>
      <c r="D45" s="107" t="s">
        <v>25</v>
      </c>
      <c r="E45" s="107" t="s">
        <v>25</v>
      </c>
      <c r="F45" s="107" t="s">
        <v>25</v>
      </c>
      <c r="G45" s="40" t="s">
        <v>73</v>
      </c>
      <c r="H45" s="40" t="s">
        <v>72</v>
      </c>
      <c r="I45" s="40">
        <f>'MERCADO TUSD'!$U$42</f>
        <v>38.241999999999997</v>
      </c>
      <c r="J45" s="15"/>
      <c r="L45" s="30">
        <f>('TUSD BE'!$L$45+'TUSD BF'!$L$45+'TUSD CVA'!$L$45)*1</f>
        <v>14.119943879426453</v>
      </c>
      <c r="M45" s="30">
        <f>('TUSD BE'!$M$45+'TUSD BF'!$M$45+'TUSD CVA'!$M$45)*1</f>
        <v>0.80497480165789337</v>
      </c>
      <c r="N45" s="30">
        <f ca="1">('TUSD BE'!$N$45+'TUSD BF'!$N$45+'TUSD CVA'!$N$45)*1</f>
        <v>9.3136877640637969</v>
      </c>
      <c r="O45" s="30">
        <f>('TUSD BE'!$O$45+'TUSD BF'!$O$45+'TUSD CVA'!$O$45)*1</f>
        <v>0</v>
      </c>
      <c r="P45" s="30">
        <f>('TUSD BE'!$P$45+'TUSD BF'!$P$45+'TUSD CVA'!$P$45)*1</f>
        <v>0</v>
      </c>
      <c r="Q45" s="30">
        <f>('TUSD BE'!$Q$45+'TUSD BF'!$Q$45+'TUSD CVA'!$Q$45)*1</f>
        <v>44.976853301621688</v>
      </c>
      <c r="R45" s="30">
        <f>('TUSD BE'!$R$45+'TUSD BF'!$R$45+'TUSD CVA'!$R$45)*1</f>
        <v>0</v>
      </c>
      <c r="S45" s="30">
        <f>('TUSD BE'!$S$45+'TUSD BF'!$S$45+'TUSD CVA'!$S$45)*1</f>
        <v>0</v>
      </c>
      <c r="T45" s="30">
        <f>('TUSD BE'!$U$45+'TUSD BF'!$U$45+'TUSD CVA'!$U$45)*1</f>
        <v>0</v>
      </c>
      <c r="U45" s="30">
        <f>('TUSD BE'!$V$45+'TUSD BF'!$V$45+'TUSD CVA'!$V$45)*1</f>
        <v>0</v>
      </c>
      <c r="V45" s="30">
        <f>('TUSD BE'!$W$45+'TUSD BF'!$W$45+'TUSD CVA'!$W$45)*1</f>
        <v>6.7430616287092517</v>
      </c>
      <c r="W45" s="30">
        <f>('TUSD BE'!$X$45+'TUSD BF'!$X$45+'TUSD CVA'!$X$45)*1</f>
        <v>0</v>
      </c>
      <c r="X45" s="30">
        <f>('TUSD BE'!$Y$45+'TUSD BF'!$Y$45+'TUSD CVA'!$Y$45)*1</f>
        <v>0</v>
      </c>
      <c r="Y45" s="30">
        <f>('TUSD BE'!$Z$45+'TUSD BF'!$Z$45+'TUSD CVA'!$Z$45)*1</f>
        <v>0</v>
      </c>
      <c r="Z45" s="30">
        <f>('TUSD BE'!$AA$45+'TUSD BF'!$AA$45+'TUSD CVA'!$AA$45)*1</f>
        <v>0</v>
      </c>
      <c r="AA45" s="30">
        <f>('TUSD BE'!$AC$45+'TUSD BF'!$AC$45+'TUSD CVA'!$AC$45)*1</f>
        <v>929.01437121062747</v>
      </c>
      <c r="AB45" s="30">
        <f ca="1">('TUSD BE'!$AE$45+'TUSD BF'!$AE$45+'TUSD CVA'!$AE$45)*1</f>
        <v>0</v>
      </c>
      <c r="AC45" s="30">
        <f ca="1">('TUSD BE'!$AF$45+'TUSD BF'!$AF$45+'TUSD CVA'!$AF$45)*1</f>
        <v>0</v>
      </c>
      <c r="AD45" s="30">
        <f>('TUSD BE'!$AH$45+'TUSD BF'!$AH$45+'TUSD CVA'!$AH$45)*1</f>
        <v>34.947002428972354</v>
      </c>
      <c r="AE45" s="30">
        <f>('TUSD BE'!$AI$45+'TUSD BF'!$AI$45+'TUSD CVA'!$AI$45)*1</f>
        <v>0</v>
      </c>
      <c r="AF45" s="30">
        <f ca="1">('TUSD BE'!$AJ$45+'TUSD BF'!$AJ$45+'TUSD CVA'!$AJ$45)*1</f>
        <v>46.283095957294385</v>
      </c>
      <c r="AG45" s="30">
        <f ca="1">('TUSD BE'!$AK$45+'TUSD BF'!$AK$45+'TUSD CVA'!$AK$45)*1</f>
        <v>4.6860813242249195</v>
      </c>
      <c r="AI45" s="30">
        <v>23.971295830597299</v>
      </c>
      <c r="AJ45" s="30">
        <v>2.0124411594804599</v>
      </c>
      <c r="AK45" s="30">
        <v>8.0301704066356496</v>
      </c>
      <c r="AL45" s="30">
        <v>0</v>
      </c>
      <c r="AM45" s="30">
        <v>0</v>
      </c>
      <c r="AN45" s="30">
        <v>17.9602861774455</v>
      </c>
      <c r="AO45" s="30">
        <v>0</v>
      </c>
      <c r="AP45" s="30">
        <v>0</v>
      </c>
      <c r="AQ45" s="30">
        <v>0</v>
      </c>
      <c r="AR45" s="30">
        <v>0</v>
      </c>
      <c r="AS45" s="30">
        <v>18.858890915276898</v>
      </c>
      <c r="AT45" s="30">
        <v>0</v>
      </c>
      <c r="AU45" s="30">
        <v>0</v>
      </c>
      <c r="AV45" s="30">
        <v>0</v>
      </c>
      <c r="AW45" s="30">
        <v>0</v>
      </c>
      <c r="AX45" s="30">
        <v>703.63047774959296</v>
      </c>
      <c r="AY45" s="30">
        <v>0</v>
      </c>
      <c r="AZ45" s="30">
        <v>0</v>
      </c>
      <c r="BA45" s="30">
        <v>28.067565209649398</v>
      </c>
      <c r="BB45" s="30">
        <v>0</v>
      </c>
      <c r="BC45" s="30">
        <v>40.549873312079399</v>
      </c>
      <c r="BD45" s="30">
        <v>3.0055177825955499</v>
      </c>
    </row>
    <row r="46" spans="1:56" ht="11.25" customHeight="1" x14ac:dyDescent="0.25">
      <c r="A46" s="107"/>
      <c r="B46" s="107"/>
      <c r="C46" s="107"/>
      <c r="D46" s="107"/>
      <c r="E46" s="107"/>
      <c r="F46" s="107"/>
      <c r="G46" s="40" t="s">
        <v>85</v>
      </c>
      <c r="H46" s="40" t="s">
        <v>72</v>
      </c>
      <c r="I46" s="40">
        <f>'MERCADO TUSD'!$U$43</f>
        <v>26.390000000000004</v>
      </c>
      <c r="J46" s="15"/>
      <c r="L46" s="30">
        <f>('TUSD BE'!$L$46+'TUSD BF'!$L$46+'TUSD CVA'!$L$46)*1</f>
        <v>14.119943879426453</v>
      </c>
      <c r="M46" s="30">
        <f>('TUSD BE'!$M$46+'TUSD BF'!$M$46+'TUSD CVA'!$M$46)*1</f>
        <v>0.80497480165789337</v>
      </c>
      <c r="N46" s="30">
        <f ca="1">('TUSD BE'!$N$46+'TUSD BF'!$N$46+'TUSD CVA'!$N$46)*1</f>
        <v>6.1969384877990246</v>
      </c>
      <c r="O46" s="30">
        <f>('TUSD BE'!$O$46+'TUSD BF'!$O$46+'TUSD CVA'!$O$46)*1</f>
        <v>0</v>
      </c>
      <c r="P46" s="30">
        <f>('TUSD BE'!$P$46+'TUSD BF'!$P$46+'TUSD CVA'!$P$46)*1</f>
        <v>0</v>
      </c>
      <c r="Q46" s="30">
        <f>('TUSD BE'!$Q$46+'TUSD BF'!$Q$46+'TUSD CVA'!$Q$46)*1</f>
        <v>44.976853301621688</v>
      </c>
      <c r="R46" s="30">
        <f>('TUSD BE'!$R$46+'TUSD BF'!$R$46+'TUSD CVA'!$R$46)*1</f>
        <v>0</v>
      </c>
      <c r="S46" s="30">
        <f>('TUSD BE'!$S$46+'TUSD BF'!$S$46+'TUSD CVA'!$S$46)*1</f>
        <v>0</v>
      </c>
      <c r="T46" s="30">
        <f>('TUSD BE'!$U$46+'TUSD BF'!$U$46+'TUSD CVA'!$U$46)*1</f>
        <v>0</v>
      </c>
      <c r="U46" s="30">
        <f>('TUSD BE'!$V$46+'TUSD BF'!$V$46+'TUSD CVA'!$V$46)*1</f>
        <v>0</v>
      </c>
      <c r="V46" s="30">
        <f>('TUSD BE'!$W$46+'TUSD BF'!$W$46+'TUSD CVA'!$W$46)*1</f>
        <v>4.0523206903300792</v>
      </c>
      <c r="W46" s="30">
        <f>('TUSD BE'!$X$46+'TUSD BF'!$X$46+'TUSD CVA'!$X$46)*1</f>
        <v>0</v>
      </c>
      <c r="X46" s="30">
        <f>('TUSD BE'!$Y$46+'TUSD BF'!$Y$46+'TUSD CVA'!$Y$46)*1</f>
        <v>0</v>
      </c>
      <c r="Y46" s="30">
        <f>('TUSD BE'!$Z$46+'TUSD BF'!$Z$46+'TUSD CVA'!$Z$46)*1</f>
        <v>0</v>
      </c>
      <c r="Z46" s="30">
        <f>('TUSD BE'!$AA$46+'TUSD BF'!$AA$46+'TUSD CVA'!$AA$46)*1</f>
        <v>0</v>
      </c>
      <c r="AA46" s="30">
        <f>('TUSD BE'!$AC$46+'TUSD BF'!$AC$46+'TUSD CVA'!$AC$46)*1</f>
        <v>557.40864685064219</v>
      </c>
      <c r="AB46" s="30">
        <f ca="1">('TUSD BE'!$AE$46+'TUSD BF'!$AE$46+'TUSD CVA'!$AE$46)*1</f>
        <v>0</v>
      </c>
      <c r="AC46" s="30">
        <f ca="1">('TUSD BE'!$AF$46+'TUSD BF'!$AF$46+'TUSD CVA'!$AF$46)*1</f>
        <v>0</v>
      </c>
      <c r="AD46" s="30">
        <f>('TUSD BE'!$AH$46+'TUSD BF'!$AH$46+'TUSD CVA'!$AH$46)*1</f>
        <v>34.947002428972354</v>
      </c>
      <c r="AE46" s="30">
        <f>('TUSD BE'!$AI$46+'TUSD BF'!$AI$46+'TUSD CVA'!$AI$46)*1</f>
        <v>0</v>
      </c>
      <c r="AF46" s="30">
        <f ca="1">('TUSD BE'!$AJ$46+'TUSD BF'!$AJ$46+'TUSD CVA'!$AJ$46)*1</f>
        <v>46.283095957294385</v>
      </c>
      <c r="AG46" s="30">
        <f ca="1">('TUSD BE'!$AK$46+'TUSD BF'!$AK$46+'TUSD CVA'!$AK$46)*1</f>
        <v>4.6860813242249195</v>
      </c>
      <c r="AI46" s="30">
        <v>23.971295830597299</v>
      </c>
      <c r="AJ46" s="30">
        <v>2.0124411594804599</v>
      </c>
      <c r="AK46" s="30">
        <v>5.3141166100748496</v>
      </c>
      <c r="AL46" s="30">
        <v>0</v>
      </c>
      <c r="AM46" s="30">
        <v>0</v>
      </c>
      <c r="AN46" s="30">
        <v>17.9602861774455</v>
      </c>
      <c r="AO46" s="30">
        <v>0</v>
      </c>
      <c r="AP46" s="30">
        <v>0</v>
      </c>
      <c r="AQ46" s="30">
        <v>0</v>
      </c>
      <c r="AR46" s="30">
        <v>0</v>
      </c>
      <c r="AS46" s="30">
        <v>11.333468098123101</v>
      </c>
      <c r="AT46" s="30">
        <v>0</v>
      </c>
      <c r="AU46" s="30">
        <v>0</v>
      </c>
      <c r="AV46" s="30">
        <v>0</v>
      </c>
      <c r="AW46" s="30">
        <v>0</v>
      </c>
      <c r="AX46" s="30">
        <v>422.17830492134402</v>
      </c>
      <c r="AY46" s="30">
        <v>0</v>
      </c>
      <c r="AZ46" s="30">
        <v>0</v>
      </c>
      <c r="BA46" s="30">
        <v>28.067565209649398</v>
      </c>
      <c r="BB46" s="30">
        <v>0</v>
      </c>
      <c r="BC46" s="30">
        <v>40.549873312079399</v>
      </c>
      <c r="BD46" s="30">
        <v>3.0055177825955499</v>
      </c>
    </row>
    <row r="47" spans="1:56" ht="11.25" customHeight="1" x14ac:dyDescent="0.25">
      <c r="A47" s="107"/>
      <c r="B47" s="107"/>
      <c r="C47" s="107"/>
      <c r="D47" s="107"/>
      <c r="E47" s="107"/>
      <c r="F47" s="107"/>
      <c r="G47" s="40" t="s">
        <v>74</v>
      </c>
      <c r="H47" s="40" t="s">
        <v>72</v>
      </c>
      <c r="I47" s="40">
        <f>'MERCADO TUSD'!$U$44</f>
        <v>1181.6300000000001</v>
      </c>
      <c r="J47" s="15"/>
      <c r="L47" s="30">
        <f>('TUSD BE'!$L$47+'TUSD BF'!$L$47+'TUSD CVA'!$L$47)*1</f>
        <v>14.119943879426453</v>
      </c>
      <c r="M47" s="30">
        <f>('TUSD BE'!$M$47+'TUSD BF'!$M$47+'TUSD CVA'!$M$47)*1</f>
        <v>0.80497480165789337</v>
      </c>
      <c r="N47" s="30">
        <f ca="1">('TUSD BE'!$N$47+'TUSD BF'!$N$47+'TUSD CVA'!$N$47)*1</f>
        <v>3.0801881999077962</v>
      </c>
      <c r="O47" s="30">
        <f>('TUSD BE'!$O$47+'TUSD BF'!$O$47+'TUSD CVA'!$O$47)*1</f>
        <v>0</v>
      </c>
      <c r="P47" s="30">
        <f>('TUSD BE'!$P$47+'TUSD BF'!$P$47+'TUSD CVA'!$P$47)*1</f>
        <v>0</v>
      </c>
      <c r="Q47" s="30">
        <f>('TUSD BE'!$Q$47+'TUSD BF'!$Q$47+'TUSD CVA'!$Q$47)*1</f>
        <v>44.976853301621688</v>
      </c>
      <c r="R47" s="30">
        <f>('TUSD BE'!$R$47+'TUSD BF'!$R$47+'TUSD CVA'!$R$47)*1</f>
        <v>0</v>
      </c>
      <c r="S47" s="30">
        <f>('TUSD BE'!$S$47+'TUSD BF'!$S$47+'TUSD CVA'!$S$47)*1</f>
        <v>0</v>
      </c>
      <c r="T47" s="30">
        <f>('TUSD BE'!$U$47+'TUSD BF'!$U$47+'TUSD CVA'!$U$47)*1</f>
        <v>0</v>
      </c>
      <c r="U47" s="30">
        <f>('TUSD BE'!$V$47+'TUSD BF'!$V$47+'TUSD CVA'!$V$47)*1</f>
        <v>0</v>
      </c>
      <c r="V47" s="30">
        <f>('TUSD BE'!$W$47+'TUSD BF'!$W$47+'TUSD CVA'!$W$47)*1</f>
        <v>1.3453704691895862</v>
      </c>
      <c r="W47" s="30">
        <f>('TUSD BE'!$X$47+'TUSD BF'!$X$47+'TUSD CVA'!$X$47)*1</f>
        <v>0</v>
      </c>
      <c r="X47" s="30">
        <f>('TUSD BE'!$Y$47+'TUSD BF'!$Y$47+'TUSD CVA'!$Y$47)*1</f>
        <v>0</v>
      </c>
      <c r="Y47" s="30">
        <f>('TUSD BE'!$Z$47+'TUSD BF'!$Z$47+'TUSD CVA'!$Z$47)*1</f>
        <v>0</v>
      </c>
      <c r="Z47" s="30">
        <f>('TUSD BE'!$AA$47+'TUSD BF'!$AA$47+'TUSD CVA'!$AA$47)*1</f>
        <v>0</v>
      </c>
      <c r="AA47" s="30">
        <f>('TUSD BE'!$AC$47+'TUSD BF'!$AC$47+'TUSD CVA'!$AC$47)*1</f>
        <v>185.80292249065673</v>
      </c>
      <c r="AB47" s="30">
        <f ca="1">('TUSD BE'!$AE$47+'TUSD BF'!$AE$47+'TUSD CVA'!$AE$47)*1</f>
        <v>0</v>
      </c>
      <c r="AC47" s="30">
        <f ca="1">('TUSD BE'!$AF$47+'TUSD BF'!$AF$47+'TUSD CVA'!$AF$47)*1</f>
        <v>0</v>
      </c>
      <c r="AD47" s="30">
        <f>('TUSD BE'!$AH$47+'TUSD BF'!$AH$47+'TUSD CVA'!$AH$47)*1</f>
        <v>34.947002428972354</v>
      </c>
      <c r="AE47" s="30">
        <f>('TUSD BE'!$AI$47+'TUSD BF'!$AI$47+'TUSD CVA'!$AI$47)*1</f>
        <v>0</v>
      </c>
      <c r="AF47" s="30">
        <f ca="1">('TUSD BE'!$AJ$47+'TUSD BF'!$AJ$47+'TUSD CVA'!$AJ$47)*1</f>
        <v>46.283095957294385</v>
      </c>
      <c r="AG47" s="30">
        <f ca="1">('TUSD BE'!$AK$47+'TUSD BF'!$AK$47+'TUSD CVA'!$AK$47)*1</f>
        <v>4.6860813242249195</v>
      </c>
      <c r="AI47" s="30">
        <v>23.971295830597299</v>
      </c>
      <c r="AJ47" s="30">
        <v>2.0124411594804599</v>
      </c>
      <c r="AK47" s="30">
        <v>2.5980619319442901</v>
      </c>
      <c r="AL47" s="30">
        <v>0</v>
      </c>
      <c r="AM47" s="30">
        <v>0</v>
      </c>
      <c r="AN47" s="30">
        <v>17.9602861774455</v>
      </c>
      <c r="AO47" s="30">
        <v>0</v>
      </c>
      <c r="AP47" s="30">
        <v>0</v>
      </c>
      <c r="AQ47" s="30">
        <v>0</v>
      </c>
      <c r="AR47" s="30">
        <v>0</v>
      </c>
      <c r="AS47" s="30">
        <v>3.7627114085768798</v>
      </c>
      <c r="AT47" s="30">
        <v>0</v>
      </c>
      <c r="AU47" s="30">
        <v>0</v>
      </c>
      <c r="AV47" s="30">
        <v>0</v>
      </c>
      <c r="AW47" s="30">
        <v>0</v>
      </c>
      <c r="AX47" s="30">
        <v>140.726132093096</v>
      </c>
      <c r="AY47" s="30">
        <v>0</v>
      </c>
      <c r="AZ47" s="30">
        <v>0</v>
      </c>
      <c r="BA47" s="30">
        <v>28.067565209649398</v>
      </c>
      <c r="BB47" s="30">
        <v>0</v>
      </c>
      <c r="BC47" s="30">
        <v>40.549873312079399</v>
      </c>
      <c r="BD47" s="30">
        <v>3.0055177825955499</v>
      </c>
    </row>
    <row r="48" spans="1:56" ht="11.25" customHeight="1" x14ac:dyDescent="0.25">
      <c r="A48" s="107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40" t="s">
        <v>76</v>
      </c>
      <c r="H48" s="40" t="s">
        <v>72</v>
      </c>
      <c r="I48" s="40">
        <f>'MERCADO TUSD'!$U$45</f>
        <v>197307.342</v>
      </c>
      <c r="J48" s="15"/>
      <c r="L48" s="30">
        <f>('TUSD BE'!$L$48+'TUSD BF'!$L$48+'TUSD CVA'!$L$48)*1</f>
        <v>14.119943879426453</v>
      </c>
      <c r="M48" s="30">
        <f>('TUSD BE'!$M$48+'TUSD BF'!$M$48+'TUSD CVA'!$M$48)*1</f>
        <v>0.80497480165789337</v>
      </c>
      <c r="N48" s="30">
        <f ca="1">('TUSD BE'!$N$48+'TUSD BF'!$N$48+'TUSD CVA'!$N$48)*1</f>
        <v>3.5996462440141839</v>
      </c>
      <c r="O48" s="30">
        <f>('TUSD BE'!$O$48+'TUSD BF'!$O$48+'TUSD CVA'!$O$48)*1</f>
        <v>0</v>
      </c>
      <c r="P48" s="30">
        <f>('TUSD BE'!$P$48+'TUSD BF'!$P$48+'TUSD CVA'!$P$48)*1</f>
        <v>0</v>
      </c>
      <c r="Q48" s="30">
        <f>('TUSD BE'!$Q$48+'TUSD BF'!$Q$48+'TUSD CVA'!$Q$48)*1</f>
        <v>44.976853301621688</v>
      </c>
      <c r="R48" s="30">
        <f>('TUSD BE'!$R$48+'TUSD BF'!$R$48+'TUSD CVA'!$R$48)*1</f>
        <v>0</v>
      </c>
      <c r="S48" s="30">
        <f>('TUSD BE'!$S$48+'TUSD BF'!$S$48+'TUSD CVA'!$S$48)*1</f>
        <v>0</v>
      </c>
      <c r="T48" s="30">
        <f>('TUSD BE'!$U$48+'TUSD BF'!$U$48+'TUSD CVA'!$U$48)*1</f>
        <v>0</v>
      </c>
      <c r="U48" s="30">
        <f>('TUSD BE'!$V$48+'TUSD BF'!$V$48+'TUSD CVA'!$V$48)*1</f>
        <v>0</v>
      </c>
      <c r="V48" s="30">
        <f>('TUSD BE'!$W$48+'TUSD BF'!$W$48+'TUSD CVA'!$W$48)*1</f>
        <v>1.7992303865065553</v>
      </c>
      <c r="W48" s="30">
        <f>('TUSD BE'!$X$48+'TUSD BF'!$X$48+'TUSD CVA'!$X$48)*1</f>
        <v>0</v>
      </c>
      <c r="X48" s="30">
        <f>('TUSD BE'!$Y$48+'TUSD BF'!$Y$48+'TUSD CVA'!$Y$48)*1</f>
        <v>0</v>
      </c>
      <c r="Y48" s="30">
        <f>('TUSD BE'!$Z$48+'TUSD BF'!$Z$48+'TUSD CVA'!$Z$48)*1</f>
        <v>0</v>
      </c>
      <c r="Z48" s="30">
        <f>('TUSD BE'!$AA$48+'TUSD BF'!$AA$48+'TUSD CVA'!$AA$48)*1</f>
        <v>0</v>
      </c>
      <c r="AA48" s="30">
        <f>('TUSD BE'!$AC$48+'TUSD BF'!$AC$48+'TUSD CVA'!$AC$48)*1</f>
        <v>247.73714957332359</v>
      </c>
      <c r="AB48" s="30">
        <f ca="1">('TUSD BE'!$AE$48+'TUSD BF'!$AE$48+'TUSD CVA'!$AE$48)*1</f>
        <v>0</v>
      </c>
      <c r="AC48" s="30">
        <f ca="1">('TUSD BE'!$AF$48+'TUSD BF'!$AF$48+'TUSD CVA'!$AF$48)*1</f>
        <v>0</v>
      </c>
      <c r="AD48" s="30">
        <f>('TUSD BE'!$AH$48+'TUSD BF'!$AH$48+'TUSD CVA'!$AH$48)*1</f>
        <v>34.947002428972354</v>
      </c>
      <c r="AE48" s="30">
        <f>('TUSD BE'!$AI$48+'TUSD BF'!$AI$48+'TUSD CVA'!$AI$48)*1</f>
        <v>0</v>
      </c>
      <c r="AF48" s="30">
        <f ca="1">('TUSD BE'!$AJ$48+'TUSD BF'!$AJ$48+'TUSD CVA'!$AJ$48)*1</f>
        <v>46.283095957294385</v>
      </c>
      <c r="AG48" s="30">
        <f ca="1">('TUSD BE'!$AK$48+'TUSD BF'!$AK$48+'TUSD CVA'!$AK$48)*1</f>
        <v>4.6860813242249195</v>
      </c>
      <c r="AI48" s="30">
        <v>23.971295830597299</v>
      </c>
      <c r="AJ48" s="30">
        <v>2.0124411594804599</v>
      </c>
      <c r="AK48" s="30">
        <v>3.0507374177761402</v>
      </c>
      <c r="AL48" s="30">
        <v>0</v>
      </c>
      <c r="AM48" s="30">
        <v>0</v>
      </c>
      <c r="AN48" s="30">
        <v>17.9602861774455</v>
      </c>
      <c r="AO48" s="30">
        <v>0</v>
      </c>
      <c r="AP48" s="30">
        <v>0</v>
      </c>
      <c r="AQ48" s="30">
        <v>0</v>
      </c>
      <c r="AR48" s="30">
        <v>0</v>
      </c>
      <c r="AS48" s="30">
        <v>5.0320598355666704</v>
      </c>
      <c r="AT48" s="30">
        <v>0</v>
      </c>
      <c r="AU48" s="30">
        <v>0</v>
      </c>
      <c r="AV48" s="30">
        <v>0</v>
      </c>
      <c r="AW48" s="30">
        <v>0</v>
      </c>
      <c r="AX48" s="30">
        <v>187.634781885499</v>
      </c>
      <c r="AY48" s="30">
        <v>0</v>
      </c>
      <c r="AZ48" s="30">
        <v>0</v>
      </c>
      <c r="BA48" s="30">
        <v>28.067565209649398</v>
      </c>
      <c r="BB48" s="30">
        <v>0</v>
      </c>
      <c r="BC48" s="30">
        <v>40.549873312079399</v>
      </c>
      <c r="BD48" s="30">
        <v>3.0055177825955499</v>
      </c>
    </row>
    <row r="49" spans="1:56" ht="11.25" customHeight="1" x14ac:dyDescent="0.25">
      <c r="A49" s="107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40" t="s">
        <v>76</v>
      </c>
      <c r="H49" s="40" t="s">
        <v>72</v>
      </c>
      <c r="I49" s="40">
        <f>'MERCADO TUSD'!$U$46</f>
        <v>0</v>
      </c>
      <c r="J49" s="15"/>
      <c r="L49" s="30">
        <f>('TUSD BE'!$L$49+'TUSD BF'!$L$49+'TUSD CVA'!$L$49)*1</f>
        <v>14.119943879426453</v>
      </c>
      <c r="M49" s="30">
        <f>('TUSD BE'!$M$49+'TUSD BF'!$M$49+'TUSD CVA'!$M$49)*1</f>
        <v>0.80497480165789337</v>
      </c>
      <c r="N49" s="30">
        <f ca="1">('TUSD BE'!$N$49+'TUSD BF'!$N$49+'TUSD CVA'!$N$49)*1</f>
        <v>3.5996462440141839</v>
      </c>
      <c r="O49" s="30">
        <f>('TUSD BE'!$O$49+'TUSD BF'!$O$49+'TUSD CVA'!$O$49)*1</f>
        <v>0</v>
      </c>
      <c r="P49" s="30">
        <f>('TUSD BE'!$P$49+'TUSD BF'!$P$49+'TUSD CVA'!$P$49)*1</f>
        <v>0</v>
      </c>
      <c r="Q49" s="30">
        <f>('TUSD BE'!$Q$49+'TUSD BF'!$Q$49+'TUSD CVA'!$Q$49)*1</f>
        <v>44.976853301621688</v>
      </c>
      <c r="R49" s="30">
        <f>('TUSD BE'!$R$49+'TUSD BF'!$R$49+'TUSD CVA'!$R$49)*1</f>
        <v>0</v>
      </c>
      <c r="S49" s="30">
        <f>('TUSD BE'!$S$49+'TUSD BF'!$S$49+'TUSD CVA'!$S$49)*1</f>
        <v>0</v>
      </c>
      <c r="T49" s="30">
        <f>('TUSD BE'!$U$49+'TUSD BF'!$U$49+'TUSD CVA'!$U$49)*1</f>
        <v>0</v>
      </c>
      <c r="U49" s="30">
        <f>('TUSD BE'!$V$49+'TUSD BF'!$V$49+'TUSD CVA'!$V$49)*1</f>
        <v>0</v>
      </c>
      <c r="V49" s="30">
        <f>('TUSD BE'!$W$49+'TUSD BF'!$W$49+'TUSD CVA'!$W$49)*1</f>
        <v>1.7992303865065553</v>
      </c>
      <c r="W49" s="30">
        <f>('TUSD BE'!$X$49+'TUSD BF'!$X$49+'TUSD CVA'!$X$49)*1</f>
        <v>0</v>
      </c>
      <c r="X49" s="30">
        <f>('TUSD BE'!$Y$49+'TUSD BF'!$Y$49+'TUSD CVA'!$Y$49)*1</f>
        <v>0</v>
      </c>
      <c r="Y49" s="30">
        <f>('TUSD BE'!$Z$49+'TUSD BF'!$Z$49+'TUSD CVA'!$Z$49)*1</f>
        <v>0</v>
      </c>
      <c r="Z49" s="30">
        <f>('TUSD BE'!$AA$49+'TUSD BF'!$AA$49+'TUSD CVA'!$AA$49)*1</f>
        <v>0</v>
      </c>
      <c r="AA49" s="30">
        <f>('TUSD BE'!$AC$49+'TUSD BF'!$AC$49+'TUSD CVA'!$AC$49)*1</f>
        <v>247.73714957332359</v>
      </c>
      <c r="AB49" s="30">
        <f ca="1">('TUSD BE'!$AE$49+'TUSD BF'!$AE$49+'TUSD CVA'!$AE$49)*1</f>
        <v>0</v>
      </c>
      <c r="AC49" s="30">
        <f ca="1">('TUSD BE'!$AF$49+'TUSD BF'!$AF$49+'TUSD CVA'!$AF$49)*1</f>
        <v>0</v>
      </c>
      <c r="AD49" s="30">
        <f>('TUSD BE'!$AH$49+'TUSD BF'!$AH$49+'TUSD CVA'!$AH$49)*1</f>
        <v>34.947002428972354</v>
      </c>
      <c r="AE49" s="30">
        <f>('TUSD BE'!$AI$49+'TUSD BF'!$AI$49+'TUSD CVA'!$AI$49)*1</f>
        <v>0</v>
      </c>
      <c r="AF49" s="30">
        <f ca="1">('TUSD BE'!$AJ$49+'TUSD BF'!$AJ$49+'TUSD CVA'!$AJ$49)*1</f>
        <v>46.283095957294385</v>
      </c>
      <c r="AG49" s="30">
        <f ca="1">('TUSD BE'!$AK$49+'TUSD BF'!$AK$49+'TUSD CVA'!$AK$49)*1</f>
        <v>4.6860813242249195</v>
      </c>
      <c r="AI49" s="30">
        <v>23.971295830597299</v>
      </c>
      <c r="AJ49" s="30">
        <v>2.0124411594804599</v>
      </c>
      <c r="AK49" s="30">
        <v>3.0507374177761402</v>
      </c>
      <c r="AL49" s="30">
        <v>0</v>
      </c>
      <c r="AM49" s="30">
        <v>0</v>
      </c>
      <c r="AN49" s="30">
        <v>17.9602861774455</v>
      </c>
      <c r="AO49" s="30">
        <v>0</v>
      </c>
      <c r="AP49" s="30">
        <v>0</v>
      </c>
      <c r="AQ49" s="30">
        <v>0</v>
      </c>
      <c r="AR49" s="30">
        <v>0</v>
      </c>
      <c r="AS49" s="30">
        <v>5.0320598355666704</v>
      </c>
      <c r="AT49" s="30">
        <v>0</v>
      </c>
      <c r="AU49" s="30">
        <v>0</v>
      </c>
      <c r="AV49" s="30">
        <v>0</v>
      </c>
      <c r="AW49" s="30">
        <v>0</v>
      </c>
      <c r="AX49" s="30">
        <v>187.634781885499</v>
      </c>
      <c r="AY49" s="30">
        <v>0</v>
      </c>
      <c r="AZ49" s="30">
        <v>0</v>
      </c>
      <c r="BA49" s="30">
        <v>28.067565209649398</v>
      </c>
      <c r="BB49" s="30">
        <v>0</v>
      </c>
      <c r="BC49" s="30">
        <v>40.549873312079399</v>
      </c>
      <c r="BD49" s="30">
        <v>3.0055177825955499</v>
      </c>
    </row>
    <row r="50" spans="1:56" ht="11.25" customHeight="1" x14ac:dyDescent="0.25">
      <c r="A50" s="107" t="s">
        <v>46</v>
      </c>
      <c r="B50" s="107" t="s">
        <v>23</v>
      </c>
      <c r="C50" s="107" t="s">
        <v>47</v>
      </c>
      <c r="D50" s="39" t="s">
        <v>48</v>
      </c>
      <c r="E50" s="39" t="s">
        <v>25</v>
      </c>
      <c r="F50" s="39" t="s">
        <v>25</v>
      </c>
      <c r="G50" s="40" t="s">
        <v>76</v>
      </c>
      <c r="H50" s="40" t="s">
        <v>72</v>
      </c>
      <c r="I50" s="40">
        <f>'MERCADO TUSD'!$U$47</f>
        <v>42496.07</v>
      </c>
      <c r="J50" s="15"/>
      <c r="L50" s="30">
        <f>('TUSD BE'!$L$50+'TUSD BF'!$L$50+'TUSD CVA'!$L$50)*1</f>
        <v>7.7659691336845507</v>
      </c>
      <c r="M50" s="30">
        <f>('TUSD BE'!$M$50+'TUSD BF'!$M$50+'TUSD CVA'!$M$50)*1</f>
        <v>0.44273614091184138</v>
      </c>
      <c r="N50" s="30">
        <f ca="1">('TUSD BE'!$N$50+'TUSD BF'!$N$50+'TUSD CVA'!$N$50)*1</f>
        <v>1.9798054342078015</v>
      </c>
      <c r="O50" s="30">
        <f>('TUSD BE'!$O$50+'TUSD BF'!$O$50+'TUSD CVA'!$O$50)*1</f>
        <v>0</v>
      </c>
      <c r="P50" s="30">
        <f>('TUSD BE'!$P$50+'TUSD BF'!$P$50+'TUSD CVA'!$P$50)*1</f>
        <v>0</v>
      </c>
      <c r="Q50" s="30">
        <f>('TUSD BE'!$Q$50+'TUSD BF'!$Q$50+'TUSD CVA'!$Q$50)*1</f>
        <v>24.737269315891936</v>
      </c>
      <c r="R50" s="30">
        <f>('TUSD BE'!$R$50+'TUSD BF'!$R$50+'TUSD CVA'!$R$50)*1</f>
        <v>0</v>
      </c>
      <c r="S50" s="30">
        <f>('TUSD BE'!$S$50+'TUSD BF'!$S$50+'TUSD CVA'!$S$50)*1</f>
        <v>0</v>
      </c>
      <c r="T50" s="30">
        <f>('TUSD BE'!$U$50+'TUSD BF'!$U$50+'TUSD CVA'!$U$50)*1</f>
        <v>0</v>
      </c>
      <c r="U50" s="30">
        <f>('TUSD BE'!$V$50+'TUSD BF'!$V$50+'TUSD CVA'!$V$50)*1</f>
        <v>0</v>
      </c>
      <c r="V50" s="30">
        <f>('TUSD BE'!$W$50+'TUSD BF'!$W$50+'TUSD CVA'!$W$50)*1</f>
        <v>0.98957671257860547</v>
      </c>
      <c r="W50" s="30">
        <f>('TUSD BE'!$X$50+'TUSD BF'!$X$50+'TUSD CVA'!$X$50)*1</f>
        <v>0</v>
      </c>
      <c r="X50" s="30">
        <f>('TUSD BE'!$Y$50+'TUSD BF'!$Y$50+'TUSD CVA'!$Y$50)*1</f>
        <v>0</v>
      </c>
      <c r="Y50" s="30">
        <f>('TUSD BE'!$Z$50+'TUSD BF'!$Z$50+'TUSD CVA'!$Z$50)*1</f>
        <v>0</v>
      </c>
      <c r="Z50" s="30">
        <f>('TUSD BE'!$AA$50+'TUSD BF'!$AA$50+'TUSD CVA'!$AA$50)*1</f>
        <v>0</v>
      </c>
      <c r="AA50" s="30">
        <f>('TUSD BE'!$AC$50+'TUSD BF'!$AC$50+'TUSD CVA'!$AC$50)*1</f>
        <v>136.25543226532801</v>
      </c>
      <c r="AB50" s="30">
        <f ca="1">('TUSD BE'!$AE$50+'TUSD BF'!$AE$50+'TUSD CVA'!$AE$50)*1</f>
        <v>0</v>
      </c>
      <c r="AC50" s="30">
        <f ca="1">('TUSD BE'!$AF$50+'TUSD BF'!$AF$50+'TUSD CVA'!$AF$50)*1</f>
        <v>0</v>
      </c>
      <c r="AD50" s="30">
        <f>('TUSD BE'!$AH$50+'TUSD BF'!$AH$50+'TUSD CVA'!$AH$50)*1</f>
        <v>19.220851335934803</v>
      </c>
      <c r="AE50" s="30">
        <f>('TUSD BE'!$AI$50+'TUSD BF'!$AI$50+'TUSD CVA'!$AI$50)*1</f>
        <v>0</v>
      </c>
      <c r="AF50" s="30">
        <f ca="1">('TUSD BE'!$AJ$50+'TUSD BF'!$AJ$50+'TUSD CVA'!$AJ$50)*1</f>
        <v>25.455702776511909</v>
      </c>
      <c r="AG50" s="30">
        <f ca="1">('TUSD BE'!$AK$50+'TUSD BF'!$AK$50+'TUSD CVA'!$AK$50)*1</f>
        <v>2.5773447283237059</v>
      </c>
      <c r="AI50" s="30">
        <v>13.1842127068285</v>
      </c>
      <c r="AJ50" s="30">
        <v>1.10684263771425</v>
      </c>
      <c r="AK50" s="30">
        <v>1.67790557977688</v>
      </c>
      <c r="AL50" s="30">
        <v>0</v>
      </c>
      <c r="AM50" s="30">
        <v>0</v>
      </c>
      <c r="AN50" s="30">
        <v>9.8781573975950092</v>
      </c>
      <c r="AO50" s="30">
        <v>0</v>
      </c>
      <c r="AP50" s="30">
        <v>0</v>
      </c>
      <c r="AQ50" s="30">
        <v>0</v>
      </c>
      <c r="AR50" s="30">
        <v>0</v>
      </c>
      <c r="AS50" s="30">
        <v>2.7676329095616699</v>
      </c>
      <c r="AT50" s="30">
        <v>0</v>
      </c>
      <c r="AU50" s="30">
        <v>0</v>
      </c>
      <c r="AV50" s="30">
        <v>0</v>
      </c>
      <c r="AW50" s="30">
        <v>0</v>
      </c>
      <c r="AX50" s="30">
        <v>103.19913003702401</v>
      </c>
      <c r="AY50" s="30">
        <v>0</v>
      </c>
      <c r="AZ50" s="30">
        <v>0</v>
      </c>
      <c r="BA50" s="30">
        <v>15.437160865307201</v>
      </c>
      <c r="BB50" s="30">
        <v>0</v>
      </c>
      <c r="BC50" s="30">
        <v>22.302430321643701</v>
      </c>
      <c r="BD50" s="30">
        <v>1.65303478042755</v>
      </c>
    </row>
    <row r="51" spans="1:56" ht="11.25" customHeight="1" x14ac:dyDescent="0.25">
      <c r="A51" s="107"/>
      <c r="B51" s="107"/>
      <c r="C51" s="107"/>
      <c r="D51" s="40" t="s">
        <v>90</v>
      </c>
      <c r="E51" s="40" t="s">
        <v>25</v>
      </c>
      <c r="F51" s="40" t="s">
        <v>25</v>
      </c>
      <c r="G51" s="40" t="s">
        <v>76</v>
      </c>
      <c r="H51" s="40" t="s">
        <v>72</v>
      </c>
      <c r="I51" s="40">
        <f>'MERCADO TUSD'!$U$48</f>
        <v>0</v>
      </c>
      <c r="J51" s="15"/>
      <c r="L51" s="30">
        <f>('TUSD BE'!$L$51+'TUSD BF'!$L$51+'TUSD CVA'!$L$51)*1</f>
        <v>8.4719663276558705</v>
      </c>
      <c r="M51" s="30">
        <f>('TUSD BE'!$M$51+'TUSD BF'!$M$51+'TUSD CVA'!$M$51)*1</f>
        <v>0.48298488099473597</v>
      </c>
      <c r="N51" s="30">
        <f ca="1">('TUSD BE'!$N$51+'TUSD BF'!$N$51+'TUSD CVA'!$N$51)*1</f>
        <v>2.1597877464085093</v>
      </c>
      <c r="O51" s="30">
        <f>('TUSD BE'!$O$51+'TUSD BF'!$O$51+'TUSD CVA'!$O$51)*1</f>
        <v>0</v>
      </c>
      <c r="P51" s="30">
        <f>('TUSD BE'!$P$51+'TUSD BF'!$P$51+'TUSD CVA'!$P$51)*1</f>
        <v>0</v>
      </c>
      <c r="Q51" s="30">
        <f>('TUSD BE'!$Q$51+'TUSD BF'!$Q$51+'TUSD CVA'!$Q$51)*1</f>
        <v>26.986111980973011</v>
      </c>
      <c r="R51" s="30">
        <f>('TUSD BE'!$R$51+'TUSD BF'!$R$51+'TUSD CVA'!$R$51)*1</f>
        <v>0</v>
      </c>
      <c r="S51" s="30">
        <f>('TUSD BE'!$S$51+'TUSD BF'!$S$51+'TUSD CVA'!$S$51)*1</f>
        <v>0</v>
      </c>
      <c r="T51" s="30">
        <f>('TUSD BE'!$U$51+'TUSD BF'!$U$51+'TUSD CVA'!$U$51)*1</f>
        <v>0</v>
      </c>
      <c r="U51" s="30">
        <f>('TUSD BE'!$V$51+'TUSD BF'!$V$51+'TUSD CVA'!$V$51)*1</f>
        <v>0</v>
      </c>
      <c r="V51" s="30">
        <f>('TUSD BE'!$W$51+'TUSD BF'!$W$51+'TUSD CVA'!$W$51)*1</f>
        <v>1.0795382319039333</v>
      </c>
      <c r="W51" s="30">
        <f>('TUSD BE'!$X$51+'TUSD BF'!$X$51+'TUSD CVA'!$X$51)*1</f>
        <v>0</v>
      </c>
      <c r="X51" s="30">
        <f>('TUSD BE'!$Y$51+'TUSD BF'!$Y$51+'TUSD CVA'!$Y$51)*1</f>
        <v>0</v>
      </c>
      <c r="Y51" s="30">
        <f>('TUSD BE'!$Z$51+'TUSD BF'!$Z$51+'TUSD CVA'!$Z$51)*1</f>
        <v>0</v>
      </c>
      <c r="Z51" s="30">
        <f>('TUSD BE'!$AA$51+'TUSD BF'!$AA$51+'TUSD CVA'!$AA$51)*1</f>
        <v>0</v>
      </c>
      <c r="AA51" s="30">
        <f>('TUSD BE'!$AC$51+'TUSD BF'!$AC$51+'TUSD CVA'!$AC$51)*1</f>
        <v>148.64228974399416</v>
      </c>
      <c r="AB51" s="30">
        <f ca="1">('TUSD BE'!$AE$51+'TUSD BF'!$AE$51+'TUSD CVA'!$AE$51)*1</f>
        <v>0</v>
      </c>
      <c r="AC51" s="30">
        <f ca="1">('TUSD BE'!$AF$51+'TUSD BF'!$AF$51+'TUSD CVA'!$AF$51)*1</f>
        <v>0</v>
      </c>
      <c r="AD51" s="30">
        <f>('TUSD BE'!$AH$51+'TUSD BF'!$AH$51+'TUSD CVA'!$AH$51)*1</f>
        <v>20.968201457383415</v>
      </c>
      <c r="AE51" s="30">
        <f>('TUSD BE'!$AI$51+'TUSD BF'!$AI$51+'TUSD CVA'!$AI$51)*1</f>
        <v>0</v>
      </c>
      <c r="AF51" s="30">
        <f ca="1">('TUSD BE'!$AJ$51+'TUSD BF'!$AJ$51+'TUSD CVA'!$AJ$51)*1</f>
        <v>27.769857574376626</v>
      </c>
      <c r="AG51" s="30">
        <f ca="1">('TUSD BE'!$AK$51+'TUSD BF'!$AK$51+'TUSD CVA'!$AK$51)*1</f>
        <v>2.8116487945349511</v>
      </c>
      <c r="AI51" s="30">
        <v>14.382777498358401</v>
      </c>
      <c r="AJ51" s="30">
        <v>1.20746469568828</v>
      </c>
      <c r="AK51" s="30">
        <v>1.83044245066568</v>
      </c>
      <c r="AL51" s="30">
        <v>0</v>
      </c>
      <c r="AM51" s="30">
        <v>0</v>
      </c>
      <c r="AN51" s="30">
        <v>10.7761717064673</v>
      </c>
      <c r="AO51" s="30">
        <v>0</v>
      </c>
      <c r="AP51" s="30">
        <v>0</v>
      </c>
      <c r="AQ51" s="30">
        <v>0</v>
      </c>
      <c r="AR51" s="30">
        <v>0</v>
      </c>
      <c r="AS51" s="30">
        <v>3.0192359013400001</v>
      </c>
      <c r="AT51" s="30">
        <v>0</v>
      </c>
      <c r="AU51" s="30">
        <v>0</v>
      </c>
      <c r="AV51" s="30">
        <v>0</v>
      </c>
      <c r="AW51" s="30">
        <v>0</v>
      </c>
      <c r="AX51" s="30">
        <v>112.580869131299</v>
      </c>
      <c r="AY51" s="30">
        <v>0</v>
      </c>
      <c r="AZ51" s="30">
        <v>0</v>
      </c>
      <c r="BA51" s="30">
        <v>16.840539125789601</v>
      </c>
      <c r="BB51" s="30">
        <v>0</v>
      </c>
      <c r="BC51" s="30">
        <v>24.3299239872476</v>
      </c>
      <c r="BD51" s="30">
        <v>1.80331066955733</v>
      </c>
    </row>
    <row r="53" spans="1:56" ht="11.25" customHeight="1" x14ac:dyDescent="0.25">
      <c r="L53" s="109" t="s">
        <v>856</v>
      </c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I53" s="109" t="s">
        <v>857</v>
      </c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</row>
    <row r="54" spans="1:56" ht="11.25" customHeight="1" x14ac:dyDescent="0.25">
      <c r="L54" s="109" t="s">
        <v>560</v>
      </c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I54" s="109" t="s">
        <v>560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  <c r="BB54" s="109"/>
      <c r="BC54" s="109"/>
      <c r="BD54" s="109"/>
    </row>
    <row r="55" spans="1:56" ht="11.25" customHeight="1" x14ac:dyDescent="0.25">
      <c r="L55" s="109" t="s">
        <v>561</v>
      </c>
      <c r="M55" s="109"/>
      <c r="N55" s="109"/>
      <c r="O55" s="109"/>
      <c r="P55" s="109"/>
      <c r="Q55" s="109"/>
      <c r="R55" s="109"/>
      <c r="S55" s="109"/>
      <c r="T55" s="109" t="s">
        <v>570</v>
      </c>
      <c r="U55" s="109"/>
      <c r="V55" s="109"/>
      <c r="W55" s="109"/>
      <c r="X55" s="109"/>
      <c r="Y55" s="109"/>
      <c r="Z55" s="109"/>
      <c r="AA55" s="32" t="s">
        <v>578</v>
      </c>
      <c r="AB55" s="109" t="s">
        <v>580</v>
      </c>
      <c r="AC55" s="109"/>
      <c r="AD55" s="109" t="s">
        <v>583</v>
      </c>
      <c r="AE55" s="109"/>
      <c r="AF55" s="109"/>
      <c r="AG55" s="109"/>
      <c r="AI55" s="109" t="s">
        <v>561</v>
      </c>
      <c r="AJ55" s="109"/>
      <c r="AK55" s="109"/>
      <c r="AL55" s="109"/>
      <c r="AM55" s="109"/>
      <c r="AN55" s="109"/>
      <c r="AO55" s="109"/>
      <c r="AP55" s="109"/>
      <c r="AQ55" s="109" t="s">
        <v>570</v>
      </c>
      <c r="AR55" s="109"/>
      <c r="AS55" s="109"/>
      <c r="AT55" s="109"/>
      <c r="AU55" s="109"/>
      <c r="AV55" s="109"/>
      <c r="AW55" s="109"/>
      <c r="AX55" s="32" t="s">
        <v>578</v>
      </c>
      <c r="AY55" s="109" t="s">
        <v>580</v>
      </c>
      <c r="AZ55" s="109"/>
      <c r="BA55" s="109" t="s">
        <v>583</v>
      </c>
      <c r="BB55" s="109"/>
      <c r="BC55" s="109"/>
      <c r="BD55" s="109"/>
    </row>
    <row r="56" spans="1:56" ht="11.25" customHeight="1" x14ac:dyDescent="0.25">
      <c r="L56" s="32" t="s">
        <v>646</v>
      </c>
      <c r="M56" s="32" t="s">
        <v>562</v>
      </c>
      <c r="N56" s="32" t="s">
        <v>563</v>
      </c>
      <c r="O56" s="32" t="s">
        <v>564</v>
      </c>
      <c r="P56" s="32" t="s">
        <v>565</v>
      </c>
      <c r="Q56" s="32" t="s">
        <v>566</v>
      </c>
      <c r="R56" s="32" t="s">
        <v>567</v>
      </c>
      <c r="S56" s="32" t="s">
        <v>568</v>
      </c>
      <c r="T56" s="32" t="s">
        <v>571</v>
      </c>
      <c r="U56" s="32" t="s">
        <v>572</v>
      </c>
      <c r="V56" s="32" t="s">
        <v>573</v>
      </c>
      <c r="W56" s="32" t="s">
        <v>574</v>
      </c>
      <c r="X56" s="32" t="s">
        <v>575</v>
      </c>
      <c r="Y56" s="32" t="s">
        <v>576</v>
      </c>
      <c r="Z56" s="32" t="s">
        <v>577</v>
      </c>
      <c r="AA56" s="32" t="s">
        <v>579</v>
      </c>
      <c r="AB56" s="32" t="s">
        <v>581</v>
      </c>
      <c r="AC56" s="32" t="s">
        <v>582</v>
      </c>
      <c r="AD56" s="32" t="s">
        <v>584</v>
      </c>
      <c r="AE56" s="32" t="s">
        <v>585</v>
      </c>
      <c r="AF56" s="32" t="s">
        <v>586</v>
      </c>
      <c r="AG56" s="32" t="s">
        <v>587</v>
      </c>
      <c r="AI56" s="32" t="s">
        <v>646</v>
      </c>
      <c r="AJ56" s="32" t="s">
        <v>562</v>
      </c>
      <c r="AK56" s="32" t="s">
        <v>563</v>
      </c>
      <c r="AL56" s="32" t="s">
        <v>564</v>
      </c>
      <c r="AM56" s="32" t="s">
        <v>565</v>
      </c>
      <c r="AN56" s="32" t="s">
        <v>566</v>
      </c>
      <c r="AO56" s="32" t="s">
        <v>567</v>
      </c>
      <c r="AP56" s="32" t="s">
        <v>568</v>
      </c>
      <c r="AQ56" s="32" t="s">
        <v>571</v>
      </c>
      <c r="AR56" s="32" t="s">
        <v>572</v>
      </c>
      <c r="AS56" s="32" t="s">
        <v>573</v>
      </c>
      <c r="AT56" s="32" t="s">
        <v>574</v>
      </c>
      <c r="AU56" s="32" t="s">
        <v>575</v>
      </c>
      <c r="AV56" s="32" t="s">
        <v>576</v>
      </c>
      <c r="AW56" s="32" t="s">
        <v>577</v>
      </c>
      <c r="AX56" s="32" t="s">
        <v>579</v>
      </c>
      <c r="AY56" s="32" t="s">
        <v>581</v>
      </c>
      <c r="AZ56" s="32" t="s">
        <v>582</v>
      </c>
      <c r="BA56" s="32" t="s">
        <v>584</v>
      </c>
      <c r="BB56" s="32" t="s">
        <v>585</v>
      </c>
      <c r="BC56" s="32" t="s">
        <v>586</v>
      </c>
      <c r="BD56" s="32" t="s">
        <v>587</v>
      </c>
    </row>
    <row r="57" spans="1:56" ht="11.25" customHeight="1" x14ac:dyDescent="0.25">
      <c r="A57" s="9" t="s">
        <v>39</v>
      </c>
      <c r="B57" s="9" t="s">
        <v>858</v>
      </c>
      <c r="C57" s="9" t="s">
        <v>859</v>
      </c>
      <c r="D57" s="9" t="s">
        <v>860</v>
      </c>
      <c r="E57" s="9" t="s">
        <v>861</v>
      </c>
      <c r="F57" s="9" t="s">
        <v>862</v>
      </c>
      <c r="G57" s="9" t="s">
        <v>863</v>
      </c>
      <c r="L57" s="30">
        <f>$I$5*$L$5</f>
        <v>0</v>
      </c>
      <c r="M57" s="30">
        <f>$I$5*$M$5</f>
        <v>0</v>
      </c>
      <c r="N57" s="30">
        <f ca="1">$I$5*$N$5</f>
        <v>0</v>
      </c>
      <c r="O57" s="30">
        <f>$I$5*$O$5</f>
        <v>0</v>
      </c>
      <c r="P57" s="30">
        <f>$I$5*$P$5</f>
        <v>0</v>
      </c>
      <c r="Q57" s="30">
        <f>$I$5*$Q$5</f>
        <v>0</v>
      </c>
      <c r="R57" s="30">
        <f>$I$5*$R$5</f>
        <v>0</v>
      </c>
      <c r="S57" s="30">
        <f>$I$5*$S$5</f>
        <v>0</v>
      </c>
      <c r="T57" s="30">
        <f>$I$5*$T$5</f>
        <v>0</v>
      </c>
      <c r="U57" s="30">
        <f>$I$5*$U$5</f>
        <v>0</v>
      </c>
      <c r="V57" s="30">
        <f>$I$5*$V$5</f>
        <v>50260.852475750158</v>
      </c>
      <c r="W57" s="30">
        <f>$I$5*$W$5</f>
        <v>0</v>
      </c>
      <c r="X57" s="30">
        <f>$I$5*$X$5</f>
        <v>0</v>
      </c>
      <c r="Y57" s="30">
        <f>$I$5*$Y$5</f>
        <v>0</v>
      </c>
      <c r="Z57" s="30">
        <f>$I$5*$Z$5</f>
        <v>0</v>
      </c>
      <c r="AA57" s="30">
        <f>$I$5*$AA$5</f>
        <v>7646496.5206809994</v>
      </c>
      <c r="AB57" s="30">
        <f ca="1">$I$5*$AB$5</f>
        <v>0</v>
      </c>
      <c r="AC57" s="30">
        <f ca="1">$I$5*$AC$5</f>
        <v>0</v>
      </c>
      <c r="AD57" s="30">
        <f>$I$5*$AD$5</f>
        <v>0</v>
      </c>
      <c r="AE57" s="30">
        <f>$I$5*$AE$5</f>
        <v>0</v>
      </c>
      <c r="AF57" s="30">
        <f ca="1">$I$5*$AF$5</f>
        <v>0</v>
      </c>
      <c r="AG57" s="30">
        <f ca="1">$I$5*$AG$5</f>
        <v>0</v>
      </c>
      <c r="AI57" s="30">
        <f>$I$5*$AI$5</f>
        <v>0</v>
      </c>
      <c r="AJ57" s="30">
        <f>$I$5*$AJ$5</f>
        <v>0</v>
      </c>
      <c r="AK57" s="30">
        <f>$I$5*$AK$5</f>
        <v>0</v>
      </c>
      <c r="AL57" s="30">
        <f>$I$5*$AL$5</f>
        <v>0</v>
      </c>
      <c r="AM57" s="30">
        <f>$I$5*$AM$5</f>
        <v>0</v>
      </c>
      <c r="AN57" s="30">
        <f>$I$5*$AN$5</f>
        <v>0</v>
      </c>
      <c r="AO57" s="30">
        <f>$I$5*$AO$5</f>
        <v>0</v>
      </c>
      <c r="AP57" s="30">
        <f>$I$5*$AP$5</f>
        <v>0</v>
      </c>
      <c r="AQ57" s="30">
        <f>$I$5*$AQ$5</f>
        <v>0</v>
      </c>
      <c r="AR57" s="30">
        <f>$I$5*$AR$5</f>
        <v>0</v>
      </c>
      <c r="AS57" s="30">
        <f>$I$5*$AS$5</f>
        <v>140568.7781516595</v>
      </c>
      <c r="AT57" s="30">
        <f>$I$5*$AT$5</f>
        <v>0</v>
      </c>
      <c r="AU57" s="30">
        <f>$I$5*$AU$5</f>
        <v>0</v>
      </c>
      <c r="AV57" s="30">
        <f>$I$5*$AV$5</f>
        <v>0</v>
      </c>
      <c r="AW57" s="30">
        <f>$I$5*$AW$5</f>
        <v>0</v>
      </c>
      <c r="AX57" s="30">
        <f>$I$5*$AX$5</f>
        <v>5791415.2532926966</v>
      </c>
      <c r="AY57" s="30">
        <f>$I$5*$AY$5</f>
        <v>0</v>
      </c>
      <c r="AZ57" s="30">
        <f>$I$5*$AZ$5</f>
        <v>0</v>
      </c>
      <c r="BA57" s="30">
        <f>$I$5*$BA$5</f>
        <v>0</v>
      </c>
      <c r="BB57" s="30">
        <f>$I$5*$BB$5</f>
        <v>0</v>
      </c>
      <c r="BC57" s="30">
        <f>$I$5*$BC$5</f>
        <v>0</v>
      </c>
      <c r="BD57" s="30">
        <f>$I$5*$BD$5</f>
        <v>0</v>
      </c>
    </row>
    <row r="58" spans="1:56" ht="11.25" customHeight="1" x14ac:dyDescent="0.25">
      <c r="A58" s="9" t="s">
        <v>39</v>
      </c>
      <c r="B58" s="9" t="s">
        <v>858</v>
      </c>
      <c r="C58" s="9" t="s">
        <v>859</v>
      </c>
      <c r="D58" s="9" t="s">
        <v>860</v>
      </c>
      <c r="E58" s="9" t="s">
        <v>861</v>
      </c>
      <c r="F58" s="9" t="s">
        <v>862</v>
      </c>
      <c r="G58" s="9" t="s">
        <v>864</v>
      </c>
      <c r="L58" s="30">
        <f>$I$6*$L$6</f>
        <v>0</v>
      </c>
      <c r="M58" s="30">
        <f>$I$6*$M$6</f>
        <v>0</v>
      </c>
      <c r="N58" s="30">
        <f ca="1">$I$6*$N$6</f>
        <v>0</v>
      </c>
      <c r="O58" s="30">
        <f>$I$6*$O$6</f>
        <v>0</v>
      </c>
      <c r="P58" s="30">
        <f>$I$6*$P$6</f>
        <v>0</v>
      </c>
      <c r="Q58" s="30">
        <f>$I$6*$Q$6</f>
        <v>0</v>
      </c>
      <c r="R58" s="30">
        <f>$I$6*$R$6</f>
        <v>0</v>
      </c>
      <c r="S58" s="30">
        <f>$I$6*$S$6</f>
        <v>0</v>
      </c>
      <c r="T58" s="30">
        <f>$I$6*$T$6</f>
        <v>0</v>
      </c>
      <c r="U58" s="30">
        <f>$I$6*$U$6</f>
        <v>0</v>
      </c>
      <c r="V58" s="30">
        <f>$I$6*$V$6</f>
        <v>19463.669089158881</v>
      </c>
      <c r="W58" s="30">
        <f>$I$6*$W$6</f>
        <v>0</v>
      </c>
      <c r="X58" s="30">
        <f>$I$6*$X$6</f>
        <v>0</v>
      </c>
      <c r="Y58" s="30">
        <f>$I$6*$Y$6</f>
        <v>0</v>
      </c>
      <c r="Z58" s="30">
        <f>$I$6*$Z$6</f>
        <v>0</v>
      </c>
      <c r="AA58" s="30">
        <f>$I$6*$AA$6</f>
        <v>3243976.0542267696</v>
      </c>
      <c r="AB58" s="30">
        <f ca="1">$I$6*$AB$6</f>
        <v>0</v>
      </c>
      <c r="AC58" s="30">
        <f ca="1">$I$6*$AC$6</f>
        <v>0</v>
      </c>
      <c r="AD58" s="30">
        <f>$I$6*$AD$6</f>
        <v>0</v>
      </c>
      <c r="AE58" s="30">
        <f>$I$6*$AE$6</f>
        <v>0</v>
      </c>
      <c r="AF58" s="30">
        <f ca="1">$I$6*$AF$6</f>
        <v>0</v>
      </c>
      <c r="AG58" s="30">
        <f ca="1">$I$6*$AG$6</f>
        <v>0</v>
      </c>
      <c r="AI58" s="30">
        <f>$I$6*$AI$6</f>
        <v>0</v>
      </c>
      <c r="AJ58" s="30">
        <f>$I$6*$AJ$6</f>
        <v>0</v>
      </c>
      <c r="AK58" s="30">
        <f>$I$6*$AK$6</f>
        <v>0</v>
      </c>
      <c r="AL58" s="30">
        <f>$I$6*$AL$6</f>
        <v>0</v>
      </c>
      <c r="AM58" s="30">
        <f>$I$6*$AM$6</f>
        <v>0</v>
      </c>
      <c r="AN58" s="30">
        <f>$I$6*$AN$6</f>
        <v>0</v>
      </c>
      <c r="AO58" s="30">
        <f>$I$6*$AO$6</f>
        <v>0</v>
      </c>
      <c r="AP58" s="30">
        <f>$I$6*$AP$6</f>
        <v>0</v>
      </c>
      <c r="AQ58" s="30">
        <f>$I$6*$AQ$6</f>
        <v>0</v>
      </c>
      <c r="AR58" s="30">
        <f>$I$6*$AR$6</f>
        <v>0</v>
      </c>
      <c r="AS58" s="30">
        <f>$I$6*$AS$6</f>
        <v>54435.68995435031</v>
      </c>
      <c r="AT58" s="30">
        <f>$I$6*$AT$6</f>
        <v>0</v>
      </c>
      <c r="AU58" s="30">
        <f>$I$6*$AU$6</f>
        <v>0</v>
      </c>
      <c r="AV58" s="30">
        <f>$I$6*$AV$6</f>
        <v>0</v>
      </c>
      <c r="AW58" s="30">
        <f>$I$6*$AW$6</f>
        <v>0</v>
      </c>
      <c r="AX58" s="30">
        <f>$I$6*$AX$6</f>
        <v>2456969.9797747368</v>
      </c>
      <c r="AY58" s="30">
        <f>$I$6*$AY$6</f>
        <v>0</v>
      </c>
      <c r="AZ58" s="30">
        <f>$I$6*$AZ$6</f>
        <v>0</v>
      </c>
      <c r="BA58" s="30">
        <f>$I$6*$BA$6</f>
        <v>0</v>
      </c>
      <c r="BB58" s="30">
        <f>$I$6*$BB$6</f>
        <v>0</v>
      </c>
      <c r="BC58" s="30">
        <f>$I$6*$BC$6</f>
        <v>0</v>
      </c>
      <c r="BD58" s="30">
        <f>$I$6*$BD$6</f>
        <v>0</v>
      </c>
    </row>
    <row r="59" spans="1:56" ht="11.25" customHeight="1" x14ac:dyDescent="0.25">
      <c r="A59" s="9" t="s">
        <v>39</v>
      </c>
      <c r="B59" s="9" t="s">
        <v>858</v>
      </c>
      <c r="C59" s="9" t="s">
        <v>859</v>
      </c>
      <c r="D59" s="9" t="s">
        <v>860</v>
      </c>
      <c r="E59" s="9" t="s">
        <v>861</v>
      </c>
      <c r="F59" s="9" t="s">
        <v>862</v>
      </c>
      <c r="G59" s="9" t="s">
        <v>865</v>
      </c>
      <c r="L59" s="30">
        <f>$I$7*$L$7</f>
        <v>680713.73949714634</v>
      </c>
      <c r="M59" s="30">
        <f>$I$7*$M$7</f>
        <v>37888.502488334656</v>
      </c>
      <c r="N59" s="30">
        <f ca="1">$I$7*$N$7</f>
        <v>60754.537260891746</v>
      </c>
      <c r="O59" s="30">
        <f>$I$7*$O$7</f>
        <v>0</v>
      </c>
      <c r="P59" s="30">
        <f>$I$7*$P$7</f>
        <v>0</v>
      </c>
      <c r="Q59" s="30">
        <f>$I$7*$Q$7</f>
        <v>2168306.2102230606</v>
      </c>
      <c r="R59" s="30">
        <f>$I$7*$R$7</f>
        <v>0</v>
      </c>
      <c r="S59" s="30">
        <f>$I$7*$S$7</f>
        <v>0</v>
      </c>
      <c r="T59" s="30">
        <f>$I$7*$T$7</f>
        <v>0</v>
      </c>
      <c r="U59" s="30">
        <f>$I$7*$U$7</f>
        <v>0</v>
      </c>
      <c r="V59" s="30">
        <f>$I$7*$V$7</f>
        <v>0</v>
      </c>
      <c r="W59" s="30">
        <f>$I$7*$W$7</f>
        <v>0</v>
      </c>
      <c r="X59" s="30">
        <f>$I$7*$X$7</f>
        <v>0</v>
      </c>
      <c r="Y59" s="30">
        <f>$I$7*$Y$7</f>
        <v>0</v>
      </c>
      <c r="Z59" s="30">
        <f>$I$7*$Z$7</f>
        <v>0</v>
      </c>
      <c r="AA59" s="30">
        <f>$I$7*$AA$7</f>
        <v>0</v>
      </c>
      <c r="AB59" s="30">
        <f ca="1">$I$7*$AB$7</f>
        <v>0</v>
      </c>
      <c r="AC59" s="30">
        <f ca="1">$I$7*$AC$7</f>
        <v>0</v>
      </c>
      <c r="AD59" s="30">
        <f>$I$7*$AD$7</f>
        <v>956897.30540548847</v>
      </c>
      <c r="AE59" s="30">
        <f>$I$7*$AE$7</f>
        <v>0</v>
      </c>
      <c r="AF59" s="30">
        <f ca="1">$I$7*$AF$7</f>
        <v>2158047.4918776308</v>
      </c>
      <c r="AG59" s="30">
        <f ca="1">$I$7*$AG$7</f>
        <v>218498.47853327068</v>
      </c>
      <c r="AI59" s="30">
        <f>$I$7*$AI$7</f>
        <v>1196914.2127176358</v>
      </c>
      <c r="AJ59" s="30">
        <f>$I$7*$AJ$7</f>
        <v>93728.846782442575</v>
      </c>
      <c r="AK59" s="30">
        <f>$I$7*$AK$7</f>
        <v>48908.650774572925</v>
      </c>
      <c r="AL59" s="30">
        <f>$I$7*$AL$7</f>
        <v>0</v>
      </c>
      <c r="AM59" s="30">
        <f>$I$7*$AM$7</f>
        <v>0</v>
      </c>
      <c r="AN59" s="30">
        <f>$I$7*$AN$7</f>
        <v>896777.62696589576</v>
      </c>
      <c r="AO59" s="30">
        <f>$I$7*$AO$7</f>
        <v>0</v>
      </c>
      <c r="AP59" s="30">
        <f>$I$7*$AP$7</f>
        <v>0</v>
      </c>
      <c r="AQ59" s="30">
        <f>$I$7*$AQ$7</f>
        <v>0</v>
      </c>
      <c r="AR59" s="30">
        <f>$I$7*$AR$7</f>
        <v>0</v>
      </c>
      <c r="AS59" s="30">
        <f>$I$7*$AS$7</f>
        <v>0</v>
      </c>
      <c r="AT59" s="30">
        <f>$I$7*$AT$7</f>
        <v>0</v>
      </c>
      <c r="AU59" s="30">
        <f>$I$7*$AU$7</f>
        <v>0</v>
      </c>
      <c r="AV59" s="30">
        <f>$I$7*$AV$7</f>
        <v>0</v>
      </c>
      <c r="AW59" s="30">
        <f>$I$7*$AW$7</f>
        <v>0</v>
      </c>
      <c r="AX59" s="30">
        <f>$I$7*$AX$7</f>
        <v>0</v>
      </c>
      <c r="AY59" s="30">
        <f>$I$7*$AY$7</f>
        <v>0</v>
      </c>
      <c r="AZ59" s="30">
        <f>$I$7*$AZ$7</f>
        <v>0</v>
      </c>
      <c r="BA59" s="30">
        <f>$I$7*$BA$7</f>
        <v>768528.79078807926</v>
      </c>
      <c r="BB59" s="30">
        <f>$I$7*$BB$7</f>
        <v>0</v>
      </c>
      <c r="BC59" s="30">
        <f>$I$7*$BC$7</f>
        <v>1889928.7923326816</v>
      </c>
      <c r="BD59" s="30">
        <f>$I$7*$BD$7</f>
        <v>140079.72042079322</v>
      </c>
    </row>
    <row r="60" spans="1:56" ht="11.25" customHeight="1" x14ac:dyDescent="0.25">
      <c r="A60" s="9" t="s">
        <v>39</v>
      </c>
      <c r="B60" s="9" t="s">
        <v>858</v>
      </c>
      <c r="C60" s="9" t="s">
        <v>859</v>
      </c>
      <c r="D60" s="9" t="s">
        <v>860</v>
      </c>
      <c r="E60" s="9" t="s">
        <v>866</v>
      </c>
      <c r="F60" s="9" t="s">
        <v>867</v>
      </c>
      <c r="G60" s="9" t="s">
        <v>868</v>
      </c>
      <c r="L60" s="30">
        <f>$I$8*$L$8</f>
        <v>0</v>
      </c>
      <c r="M60" s="30">
        <f>$I$8*$M$8</f>
        <v>0</v>
      </c>
      <c r="N60" s="30">
        <f ca="1">$I$8*$N$8</f>
        <v>0</v>
      </c>
      <c r="O60" s="30">
        <f>$I$8*$O$8</f>
        <v>0</v>
      </c>
      <c r="P60" s="30">
        <f>$I$8*$P$8</f>
        <v>0</v>
      </c>
      <c r="Q60" s="30">
        <f>$I$8*$Q$8</f>
        <v>0</v>
      </c>
      <c r="R60" s="30">
        <f>$I$8*$R$8</f>
        <v>0</v>
      </c>
      <c r="S60" s="30">
        <f>$I$8*$S$8</f>
        <v>0</v>
      </c>
      <c r="T60" s="30">
        <f>$I$8*$T$8</f>
        <v>0</v>
      </c>
      <c r="U60" s="30">
        <f>$I$8*$U$8</f>
        <v>0</v>
      </c>
      <c r="V60" s="30">
        <f>$I$8*$V$8</f>
        <v>0</v>
      </c>
      <c r="W60" s="30">
        <f>$I$8*$W$8</f>
        <v>0</v>
      </c>
      <c r="X60" s="30">
        <f>$I$8*$X$8</f>
        <v>0</v>
      </c>
      <c r="Y60" s="30">
        <f>$I$8*$Y$8</f>
        <v>0</v>
      </c>
      <c r="Z60" s="30">
        <f>$I$8*$Z$8</f>
        <v>0</v>
      </c>
      <c r="AA60" s="30">
        <f>$I$8*$AA$8</f>
        <v>0</v>
      </c>
      <c r="AB60" s="30">
        <f ca="1">$I$8*$AB$8</f>
        <v>0</v>
      </c>
      <c r="AC60" s="30">
        <f ca="1">$I$8*$AC$8</f>
        <v>0</v>
      </c>
      <c r="AD60" s="30">
        <f>$I$8*$AD$8</f>
        <v>0</v>
      </c>
      <c r="AE60" s="30">
        <f>$I$8*$AE$8</f>
        <v>0</v>
      </c>
      <c r="AF60" s="30">
        <f ca="1">$I$8*$AF$8</f>
        <v>0</v>
      </c>
      <c r="AG60" s="30">
        <f ca="1">$I$8*$AG$8</f>
        <v>0</v>
      </c>
      <c r="AI60" s="30">
        <f>$I$8*$AI$8</f>
        <v>0</v>
      </c>
      <c r="AJ60" s="30">
        <f>$I$8*$AJ$8</f>
        <v>0</v>
      </c>
      <c r="AK60" s="30">
        <f>$I$8*$AK$8</f>
        <v>0</v>
      </c>
      <c r="AL60" s="30">
        <f>$I$8*$AL$8</f>
        <v>0</v>
      </c>
      <c r="AM60" s="30">
        <f>$I$8*$AM$8</f>
        <v>0</v>
      </c>
      <c r="AN60" s="30">
        <f>$I$8*$AN$8</f>
        <v>0</v>
      </c>
      <c r="AO60" s="30">
        <f>$I$8*$AO$8</f>
        <v>0</v>
      </c>
      <c r="AP60" s="30">
        <f>$I$8*$AP$8</f>
        <v>0</v>
      </c>
      <c r="AQ60" s="30">
        <f>$I$8*$AQ$8</f>
        <v>0</v>
      </c>
      <c r="AR60" s="30">
        <f>$I$8*$AR$8</f>
        <v>0</v>
      </c>
      <c r="AS60" s="30">
        <f>$I$8*$AS$8</f>
        <v>0</v>
      </c>
      <c r="AT60" s="30">
        <f>$I$8*$AT$8</f>
        <v>0</v>
      </c>
      <c r="AU60" s="30">
        <f>$I$8*$AU$8</f>
        <v>0</v>
      </c>
      <c r="AV60" s="30">
        <f>$I$8*$AV$8</f>
        <v>0</v>
      </c>
      <c r="AW60" s="30">
        <f>$I$8*$AW$8</f>
        <v>0</v>
      </c>
      <c r="AX60" s="30">
        <f>$I$8*$AX$8</f>
        <v>0</v>
      </c>
      <c r="AY60" s="30">
        <f>$I$8*$AY$8</f>
        <v>0</v>
      </c>
      <c r="AZ60" s="30">
        <f>$I$8*$AZ$8</f>
        <v>0</v>
      </c>
      <c r="BA60" s="30">
        <f>$I$8*$BA$8</f>
        <v>0</v>
      </c>
      <c r="BB60" s="30">
        <f>$I$8*$BB$8</f>
        <v>0</v>
      </c>
      <c r="BC60" s="30">
        <f>$I$8*$BC$8</f>
        <v>0</v>
      </c>
      <c r="BD60" s="30">
        <f>$I$8*$BD$8</f>
        <v>0</v>
      </c>
    </row>
    <row r="61" spans="1:56" ht="11.25" customHeight="1" x14ac:dyDescent="0.25">
      <c r="A61" s="9" t="s">
        <v>39</v>
      </c>
      <c r="B61" s="9" t="s">
        <v>869</v>
      </c>
      <c r="C61" s="9" t="s">
        <v>870</v>
      </c>
      <c r="D61" s="9" t="s">
        <v>871</v>
      </c>
      <c r="E61" s="9" t="s">
        <v>872</v>
      </c>
      <c r="F61" s="9" t="s">
        <v>873</v>
      </c>
      <c r="G61" s="9" t="s">
        <v>874</v>
      </c>
      <c r="L61" s="30">
        <f>$I$9*$L$9</f>
        <v>0</v>
      </c>
      <c r="M61" s="30">
        <f>$I$9*$M$9</f>
        <v>0</v>
      </c>
      <c r="N61" s="30">
        <f ca="1">$I$9*$N$9</f>
        <v>0</v>
      </c>
      <c r="O61" s="30">
        <f>$I$9*$O$9</f>
        <v>0</v>
      </c>
      <c r="P61" s="30">
        <f>$I$9*$P$9</f>
        <v>0</v>
      </c>
      <c r="Q61" s="30">
        <f>$I$9*$Q$9</f>
        <v>0</v>
      </c>
      <c r="R61" s="30">
        <f>$I$9*$R$9</f>
        <v>0</v>
      </c>
      <c r="S61" s="30">
        <f>$I$9*$S$9</f>
        <v>0</v>
      </c>
      <c r="T61" s="30">
        <f>$I$9*$T$9</f>
        <v>0</v>
      </c>
      <c r="U61" s="30">
        <f>$I$9*$U$9</f>
        <v>0</v>
      </c>
      <c r="V61" s="30">
        <f>$I$9*$V$9</f>
        <v>0</v>
      </c>
      <c r="W61" s="30">
        <f>$I$9*$W$9</f>
        <v>0</v>
      </c>
      <c r="X61" s="30">
        <f>$I$9*$X$9</f>
        <v>0</v>
      </c>
      <c r="Y61" s="30">
        <f>$I$9*$Y$9</f>
        <v>0</v>
      </c>
      <c r="Z61" s="30">
        <f>$I$9*$Z$9</f>
        <v>0</v>
      </c>
      <c r="AA61" s="30">
        <f>$I$9*$AA$9</f>
        <v>0</v>
      </c>
      <c r="AB61" s="30">
        <f ca="1">$I$9*$AB$9</f>
        <v>0</v>
      </c>
      <c r="AC61" s="30">
        <f ca="1">$I$9*$AC$9</f>
        <v>0</v>
      </c>
      <c r="AD61" s="30">
        <f>$I$9*$AD$9</f>
        <v>0</v>
      </c>
      <c r="AE61" s="30">
        <f>$I$9*$AE$9</f>
        <v>0</v>
      </c>
      <c r="AF61" s="30">
        <f ca="1">$I$9*$AF$9</f>
        <v>0</v>
      </c>
      <c r="AG61" s="30">
        <f ca="1">$I$9*$AG$9</f>
        <v>0</v>
      </c>
      <c r="AI61" s="30">
        <f>$I$9*$AI$9</f>
        <v>0</v>
      </c>
      <c r="AJ61" s="30">
        <f>$I$9*$AJ$9</f>
        <v>0</v>
      </c>
      <c r="AK61" s="30">
        <f>$I$9*$AK$9</f>
        <v>0</v>
      </c>
      <c r="AL61" s="30">
        <f>$I$9*$AL$9</f>
        <v>0</v>
      </c>
      <c r="AM61" s="30">
        <f>$I$9*$AM$9</f>
        <v>0</v>
      </c>
      <c r="AN61" s="30">
        <f>$I$9*$AN$9</f>
        <v>0</v>
      </c>
      <c r="AO61" s="30">
        <f>$I$9*$AO$9</f>
        <v>0</v>
      </c>
      <c r="AP61" s="30">
        <f>$I$9*$AP$9</f>
        <v>0</v>
      </c>
      <c r="AQ61" s="30">
        <f>$I$9*$AQ$9</f>
        <v>0</v>
      </c>
      <c r="AR61" s="30">
        <f>$I$9*$AR$9</f>
        <v>0</v>
      </c>
      <c r="AS61" s="30">
        <f>$I$9*$AS$9</f>
        <v>0</v>
      </c>
      <c r="AT61" s="30">
        <f>$I$9*$AT$9</f>
        <v>0</v>
      </c>
      <c r="AU61" s="30">
        <f>$I$9*$AU$9</f>
        <v>0</v>
      </c>
      <c r="AV61" s="30">
        <f>$I$9*$AV$9</f>
        <v>0</v>
      </c>
      <c r="AW61" s="30">
        <f>$I$9*$AW$9</f>
        <v>0</v>
      </c>
      <c r="AX61" s="30">
        <f>$I$9*$AX$9</f>
        <v>0</v>
      </c>
      <c r="AY61" s="30">
        <f>$I$9*$AY$9</f>
        <v>0</v>
      </c>
      <c r="AZ61" s="30">
        <f>$I$9*$AZ$9</f>
        <v>0</v>
      </c>
      <c r="BA61" s="30">
        <f>$I$9*$BA$9</f>
        <v>0</v>
      </c>
      <c r="BB61" s="30">
        <f>$I$9*$BB$9</f>
        <v>0</v>
      </c>
      <c r="BC61" s="30">
        <f>$I$9*$BC$9</f>
        <v>0</v>
      </c>
      <c r="BD61" s="30">
        <f>$I$9*$BD$9</f>
        <v>0</v>
      </c>
    </row>
    <row r="62" spans="1:56" ht="11.25" customHeight="1" x14ac:dyDescent="0.25">
      <c r="A62" s="9" t="s">
        <v>39</v>
      </c>
      <c r="B62" s="9" t="s">
        <v>875</v>
      </c>
      <c r="C62" s="9" t="s">
        <v>876</v>
      </c>
      <c r="D62" s="9" t="s">
        <v>877</v>
      </c>
      <c r="E62" s="9" t="s">
        <v>878</v>
      </c>
      <c r="F62" s="9" t="s">
        <v>879</v>
      </c>
      <c r="G62" s="9" t="s">
        <v>880</v>
      </c>
      <c r="L62" s="30">
        <f>$I$10*$L$10</f>
        <v>0</v>
      </c>
      <c r="M62" s="30">
        <f>$I$10*$M$10</f>
        <v>0</v>
      </c>
      <c r="N62" s="30">
        <f ca="1">$I$10*$N$10</f>
        <v>0</v>
      </c>
      <c r="O62" s="30">
        <f>$I$10*$O$10</f>
        <v>0</v>
      </c>
      <c r="P62" s="30">
        <f>$I$10*$P$10</f>
        <v>0</v>
      </c>
      <c r="Q62" s="30">
        <f>$I$10*$Q$10</f>
        <v>0</v>
      </c>
      <c r="R62" s="30">
        <f>$I$10*$R$10</f>
        <v>0</v>
      </c>
      <c r="S62" s="30">
        <f>$I$10*$S$10</f>
        <v>0</v>
      </c>
      <c r="T62" s="30">
        <f>$I$10*$T$10</f>
        <v>0</v>
      </c>
      <c r="U62" s="30">
        <f>$I$10*$U$10</f>
        <v>0</v>
      </c>
      <c r="V62" s="30">
        <f>$I$10*$V$10</f>
        <v>136527.19023782801</v>
      </c>
      <c r="W62" s="30">
        <f>$I$10*$W$10</f>
        <v>0</v>
      </c>
      <c r="X62" s="30">
        <f>$I$10*$X$10</f>
        <v>0</v>
      </c>
      <c r="Y62" s="30">
        <f>$I$10*$Y$10</f>
        <v>0</v>
      </c>
      <c r="Z62" s="30">
        <f>$I$10*$Z$10</f>
        <v>0</v>
      </c>
      <c r="AA62" s="30">
        <f>$I$10*$AA$10</f>
        <v>22754750.599878613</v>
      </c>
      <c r="AB62" s="30">
        <f ca="1">$I$10*$AB$10</f>
        <v>0</v>
      </c>
      <c r="AC62" s="30">
        <f ca="1">$I$10*$AC$10</f>
        <v>0</v>
      </c>
      <c r="AD62" s="30">
        <f>$I$10*$AD$10</f>
        <v>0</v>
      </c>
      <c r="AE62" s="30">
        <f>$I$10*$AE$10</f>
        <v>0</v>
      </c>
      <c r="AF62" s="30">
        <f ca="1">$I$10*$AF$10</f>
        <v>0</v>
      </c>
      <c r="AG62" s="30">
        <f ca="1">$I$10*$AG$10</f>
        <v>0</v>
      </c>
      <c r="AI62" s="30">
        <f>$I$10*$AI$10</f>
        <v>0</v>
      </c>
      <c r="AJ62" s="30">
        <f>$I$10*$AJ$10</f>
        <v>0</v>
      </c>
      <c r="AK62" s="30">
        <f>$I$10*$AK$10</f>
        <v>0</v>
      </c>
      <c r="AL62" s="30">
        <f>$I$10*$AL$10</f>
        <v>0</v>
      </c>
      <c r="AM62" s="30">
        <f>$I$10*$AM$10</f>
        <v>0</v>
      </c>
      <c r="AN62" s="30">
        <f>$I$10*$AN$10</f>
        <v>0</v>
      </c>
      <c r="AO62" s="30">
        <f>$I$10*$AO$10</f>
        <v>0</v>
      </c>
      <c r="AP62" s="30">
        <f>$I$10*$AP$10</f>
        <v>0</v>
      </c>
      <c r="AQ62" s="30">
        <f>$I$10*$AQ$10</f>
        <v>0</v>
      </c>
      <c r="AR62" s="30">
        <f>$I$10*$AR$10</f>
        <v>0</v>
      </c>
      <c r="AS62" s="30">
        <f>$I$10*$AS$10</f>
        <v>381837.14304229378</v>
      </c>
      <c r="AT62" s="30">
        <f>$I$10*$AT$10</f>
        <v>0</v>
      </c>
      <c r="AU62" s="30">
        <f>$I$10*$AU$10</f>
        <v>0</v>
      </c>
      <c r="AV62" s="30">
        <f>$I$10*$AV$10</f>
        <v>0</v>
      </c>
      <c r="AW62" s="30">
        <f>$I$10*$AW$10</f>
        <v>0</v>
      </c>
      <c r="AX62" s="30">
        <f>$I$10*$AX$10</f>
        <v>17234325.465601824</v>
      </c>
      <c r="AY62" s="30">
        <f>$I$10*$AY$10</f>
        <v>0</v>
      </c>
      <c r="AZ62" s="30">
        <f>$I$10*$AZ$10</f>
        <v>0</v>
      </c>
      <c r="BA62" s="30">
        <f>$I$10*$BA$10</f>
        <v>0</v>
      </c>
      <c r="BB62" s="30">
        <f>$I$10*$BB$10</f>
        <v>0</v>
      </c>
      <c r="BC62" s="30">
        <f>$I$10*$BC$10</f>
        <v>0</v>
      </c>
      <c r="BD62" s="30">
        <f>$I$10*$BD$10</f>
        <v>0</v>
      </c>
    </row>
    <row r="63" spans="1:56" ht="11.25" customHeight="1" x14ac:dyDescent="0.25">
      <c r="A63" s="9" t="s">
        <v>39</v>
      </c>
      <c r="B63" s="9" t="s">
        <v>875</v>
      </c>
      <c r="C63" s="9" t="s">
        <v>876</v>
      </c>
      <c r="D63" s="9" t="s">
        <v>877</v>
      </c>
      <c r="E63" s="9" t="s">
        <v>878</v>
      </c>
      <c r="F63" s="9" t="s">
        <v>879</v>
      </c>
      <c r="G63" s="9" t="s">
        <v>881</v>
      </c>
      <c r="L63" s="30">
        <f>$I$11*$L$11</f>
        <v>142802.17159690577</v>
      </c>
      <c r="M63" s="30">
        <f>$I$11*$M$11</f>
        <v>7948.3637834103665</v>
      </c>
      <c r="N63" s="30">
        <f ca="1">$I$11*$N$11</f>
        <v>150491.50010882682</v>
      </c>
      <c r="O63" s="30">
        <f>$I$11*$O$11</f>
        <v>0</v>
      </c>
      <c r="P63" s="30">
        <f>$I$11*$P$11</f>
        <v>0</v>
      </c>
      <c r="Q63" s="30">
        <f>$I$11*$Q$11</f>
        <v>454873.78547059273</v>
      </c>
      <c r="R63" s="30">
        <f>$I$11*$R$11</f>
        <v>0</v>
      </c>
      <c r="S63" s="30">
        <f>$I$11*$S$11</f>
        <v>0</v>
      </c>
      <c r="T63" s="30">
        <f>$I$11*$T$11</f>
        <v>0</v>
      </c>
      <c r="U63" s="30">
        <f>$I$11*$U$11</f>
        <v>0</v>
      </c>
      <c r="V63" s="30">
        <f>$I$11*$V$11</f>
        <v>106165.95071315473</v>
      </c>
      <c r="W63" s="30">
        <f>$I$11*$W$11</f>
        <v>0</v>
      </c>
      <c r="X63" s="30">
        <f>$I$11*$X$11</f>
        <v>0</v>
      </c>
      <c r="Y63" s="30">
        <f>$I$11*$Y$11</f>
        <v>0</v>
      </c>
      <c r="Z63" s="30">
        <f>$I$11*$Z$11</f>
        <v>0</v>
      </c>
      <c r="AA63" s="30">
        <f>$I$11*$AA$11</f>
        <v>16423388.330131412</v>
      </c>
      <c r="AB63" s="30">
        <f ca="1">$I$11*$AB$11</f>
        <v>0</v>
      </c>
      <c r="AC63" s="30">
        <f ca="1">$I$11*$AC$11</f>
        <v>0</v>
      </c>
      <c r="AD63" s="30">
        <f>$I$11*$AD$11</f>
        <v>200740.78908422583</v>
      </c>
      <c r="AE63" s="30">
        <f>$I$11*$AE$11</f>
        <v>0</v>
      </c>
      <c r="AF63" s="30">
        <f ca="1">$I$11*$AF$11</f>
        <v>452721.68074209034</v>
      </c>
      <c r="AG63" s="30">
        <f ca="1">$I$11*$AG$11</f>
        <v>45837.266702182897</v>
      </c>
      <c r="AI63" s="30">
        <f>$I$11*$AI$11</f>
        <v>251092.25636835754</v>
      </c>
      <c r="AJ63" s="30">
        <f>$I$11*$AJ$11</f>
        <v>19662.718827585304</v>
      </c>
      <c r="AK63" s="30">
        <f>$I$11*$AK$11</f>
        <v>130297.50534161567</v>
      </c>
      <c r="AL63" s="30">
        <f>$I$11*$AL$11</f>
        <v>0</v>
      </c>
      <c r="AM63" s="30">
        <f>$I$11*$AM$11</f>
        <v>0</v>
      </c>
      <c r="AN63" s="30">
        <f>$I$11*$AN$11</f>
        <v>188128.70247756809</v>
      </c>
      <c r="AO63" s="30">
        <f>$I$11*$AO$11</f>
        <v>0</v>
      </c>
      <c r="AP63" s="30">
        <f>$I$11*$AP$11</f>
        <v>0</v>
      </c>
      <c r="AQ63" s="30">
        <f>$I$11*$AQ$11</f>
        <v>0</v>
      </c>
      <c r="AR63" s="30">
        <f>$I$11*$AR$11</f>
        <v>0</v>
      </c>
      <c r="AS63" s="30">
        <f>$I$11*$AS$11</f>
        <v>296923.29592415405</v>
      </c>
      <c r="AT63" s="30">
        <f>$I$11*$AT$11</f>
        <v>0</v>
      </c>
      <c r="AU63" s="30">
        <f>$I$11*$AU$11</f>
        <v>0</v>
      </c>
      <c r="AV63" s="30">
        <f>$I$11*$AV$11</f>
        <v>0</v>
      </c>
      <c r="AW63" s="30">
        <f>$I$11*$AW$11</f>
        <v>0</v>
      </c>
      <c r="AX63" s="30">
        <f>$I$11*$AX$11</f>
        <v>12438985.805933779</v>
      </c>
      <c r="AY63" s="30">
        <f>$I$11*$AY$11</f>
        <v>0</v>
      </c>
      <c r="AZ63" s="30">
        <f>$I$11*$AZ$11</f>
        <v>0</v>
      </c>
      <c r="BA63" s="30">
        <f>$I$11*$BA$11</f>
        <v>161224.27665461082</v>
      </c>
      <c r="BB63" s="30">
        <f>$I$11*$BB$11</f>
        <v>0</v>
      </c>
      <c r="BC63" s="30">
        <f>$I$11*$BC$11</f>
        <v>396474.93512972095</v>
      </c>
      <c r="BD63" s="30">
        <f>$I$11*$BD$11</f>
        <v>29386.342559319975</v>
      </c>
    </row>
    <row r="64" spans="1:56" ht="11.25" customHeight="1" x14ac:dyDescent="0.25">
      <c r="A64" s="9" t="s">
        <v>39</v>
      </c>
      <c r="B64" s="9" t="s">
        <v>875</v>
      </c>
      <c r="C64" s="9" t="s">
        <v>876</v>
      </c>
      <c r="D64" s="9" t="s">
        <v>877</v>
      </c>
      <c r="E64" s="9" t="s">
        <v>878</v>
      </c>
      <c r="F64" s="9" t="s">
        <v>879</v>
      </c>
      <c r="G64" s="9" t="s">
        <v>882</v>
      </c>
      <c r="L64" s="30">
        <f>$I$12*$L$12</f>
        <v>2100065.1146581997</v>
      </c>
      <c r="M64" s="30">
        <f>$I$12*$M$12</f>
        <v>116889.5494619667</v>
      </c>
      <c r="N64" s="30">
        <f ca="1">$I$12*$N$12</f>
        <v>187433.39065412732</v>
      </c>
      <c r="O64" s="30">
        <f>$I$12*$O$12</f>
        <v>0</v>
      </c>
      <c r="P64" s="30">
        <f>$I$12*$P$12</f>
        <v>0</v>
      </c>
      <c r="Q64" s="30">
        <f>$I$12*$Q$12</f>
        <v>6689426.0623415364</v>
      </c>
      <c r="R64" s="30">
        <f>$I$12*$R$12</f>
        <v>0</v>
      </c>
      <c r="S64" s="30">
        <f>$I$12*$S$12</f>
        <v>0</v>
      </c>
      <c r="T64" s="30">
        <f>$I$12*$T$12</f>
        <v>0</v>
      </c>
      <c r="U64" s="30">
        <f>$I$12*$U$12</f>
        <v>0</v>
      </c>
      <c r="V64" s="30">
        <f>$I$12*$V$12</f>
        <v>0</v>
      </c>
      <c r="W64" s="30">
        <f>$I$12*$W$12</f>
        <v>0</v>
      </c>
      <c r="X64" s="30">
        <f>$I$12*$X$12</f>
        <v>0</v>
      </c>
      <c r="Y64" s="30">
        <f>$I$12*$Y$12</f>
        <v>0</v>
      </c>
      <c r="Z64" s="30">
        <f>$I$12*$Z$12</f>
        <v>0</v>
      </c>
      <c r="AA64" s="30">
        <f>$I$12*$AA$12</f>
        <v>0</v>
      </c>
      <c r="AB64" s="30">
        <f ca="1">$I$12*$AB$12</f>
        <v>0</v>
      </c>
      <c r="AC64" s="30">
        <f ca="1">$I$12*$AC$12</f>
        <v>0</v>
      </c>
      <c r="AD64" s="30">
        <f>$I$12*$AD$12</f>
        <v>2952117.0688827028</v>
      </c>
      <c r="AE64" s="30">
        <f>$I$12*$AE$12</f>
        <v>0</v>
      </c>
      <c r="AF64" s="30">
        <f ca="1">$I$12*$AF$12</f>
        <v>6657776.9633616097</v>
      </c>
      <c r="AG64" s="30">
        <f ca="1">$I$12*$AG$12</f>
        <v>674088.10157494829</v>
      </c>
      <c r="AI64" s="30">
        <f>$I$12*$AI$12</f>
        <v>3692591.5219865367</v>
      </c>
      <c r="AJ64" s="30">
        <f>$I$12*$AJ$12</f>
        <v>289162.19835721044</v>
      </c>
      <c r="AK64" s="30">
        <f>$I$12*$AK$12</f>
        <v>150887.73047267154</v>
      </c>
      <c r="AL64" s="30">
        <f>$I$12*$AL$12</f>
        <v>0</v>
      </c>
      <c r="AM64" s="30">
        <f>$I$12*$AM$12</f>
        <v>0</v>
      </c>
      <c r="AN64" s="30">
        <f>$I$12*$AN$12</f>
        <v>2766642.2766613793</v>
      </c>
      <c r="AO64" s="30">
        <f>$I$12*$AO$12</f>
        <v>0</v>
      </c>
      <c r="AP64" s="30">
        <f>$I$12*$AP$12</f>
        <v>0</v>
      </c>
      <c r="AQ64" s="30">
        <f>$I$12*$AQ$12</f>
        <v>0</v>
      </c>
      <c r="AR64" s="30">
        <f>$I$12*$AR$12</f>
        <v>0</v>
      </c>
      <c r="AS64" s="30">
        <f>$I$12*$AS$12</f>
        <v>0</v>
      </c>
      <c r="AT64" s="30">
        <f>$I$12*$AT$12</f>
        <v>0</v>
      </c>
      <c r="AU64" s="30">
        <f>$I$12*$AU$12</f>
        <v>0</v>
      </c>
      <c r="AV64" s="30">
        <f>$I$12*$AV$12</f>
        <v>0</v>
      </c>
      <c r="AW64" s="30">
        <f>$I$12*$AW$12</f>
        <v>0</v>
      </c>
      <c r="AX64" s="30">
        <f>$I$12*$AX$12</f>
        <v>0</v>
      </c>
      <c r="AY64" s="30">
        <f>$I$12*$AY$12</f>
        <v>0</v>
      </c>
      <c r="AZ64" s="30">
        <f>$I$12*$AZ$12</f>
        <v>0</v>
      </c>
      <c r="BA64" s="30">
        <f>$I$12*$BA$12</f>
        <v>2370982.7046193671</v>
      </c>
      <c r="BB64" s="30">
        <f>$I$12*$BB$12</f>
        <v>0</v>
      </c>
      <c r="BC64" s="30">
        <f>$I$12*$BC$12</f>
        <v>5830605.8709848141</v>
      </c>
      <c r="BD64" s="30">
        <f>$I$12*$BD$12</f>
        <v>432158.92423838068</v>
      </c>
    </row>
    <row r="65" spans="1:56" ht="11.25" customHeight="1" x14ac:dyDescent="0.25">
      <c r="A65" s="9" t="s">
        <v>39</v>
      </c>
      <c r="B65" s="9" t="s">
        <v>875</v>
      </c>
      <c r="C65" s="9" t="s">
        <v>876</v>
      </c>
      <c r="D65" s="9" t="s">
        <v>877</v>
      </c>
      <c r="E65" s="9" t="s">
        <v>883</v>
      </c>
      <c r="F65" s="9" t="s">
        <v>884</v>
      </c>
      <c r="G65" s="9" t="s">
        <v>885</v>
      </c>
      <c r="L65" s="30">
        <f>$I$13*$L$13</f>
        <v>0</v>
      </c>
      <c r="M65" s="30">
        <f>$I$13*$M$13</f>
        <v>0</v>
      </c>
      <c r="N65" s="30">
        <f ca="1">$I$13*$N$13</f>
        <v>0</v>
      </c>
      <c r="O65" s="30">
        <f>$I$13*$O$13</f>
        <v>0</v>
      </c>
      <c r="P65" s="30">
        <f>$I$13*$P$13</f>
        <v>0</v>
      </c>
      <c r="Q65" s="30">
        <f>$I$13*$Q$13</f>
        <v>0</v>
      </c>
      <c r="R65" s="30">
        <f>$I$13*$R$13</f>
        <v>0</v>
      </c>
      <c r="S65" s="30">
        <f>$I$13*$S$13</f>
        <v>0</v>
      </c>
      <c r="T65" s="30">
        <f>$I$13*$T$13</f>
        <v>0</v>
      </c>
      <c r="U65" s="30">
        <f>$I$13*$U$13</f>
        <v>0</v>
      </c>
      <c r="V65" s="30">
        <f>$I$13*$V$13</f>
        <v>0</v>
      </c>
      <c r="W65" s="30">
        <f>$I$13*$W$13</f>
        <v>0</v>
      </c>
      <c r="X65" s="30">
        <f>$I$13*$X$13</f>
        <v>0</v>
      </c>
      <c r="Y65" s="30">
        <f>$I$13*$Y$13</f>
        <v>0</v>
      </c>
      <c r="Z65" s="30">
        <f>$I$13*$Z$13</f>
        <v>0</v>
      </c>
      <c r="AA65" s="30">
        <f>$I$13*$AA$13</f>
        <v>0</v>
      </c>
      <c r="AB65" s="30">
        <f ca="1">$I$13*$AB$13</f>
        <v>0</v>
      </c>
      <c r="AC65" s="30">
        <f ca="1">$I$13*$AC$13</f>
        <v>0</v>
      </c>
      <c r="AD65" s="30">
        <f>$I$13*$AD$13</f>
        <v>0</v>
      </c>
      <c r="AE65" s="30">
        <f>$I$13*$AE$13</f>
        <v>0</v>
      </c>
      <c r="AF65" s="30">
        <f ca="1">$I$13*$AF$13</f>
        <v>0</v>
      </c>
      <c r="AG65" s="30">
        <f ca="1">$I$13*$AG$13</f>
        <v>0</v>
      </c>
      <c r="AI65" s="30">
        <f>$I$13*$AI$13</f>
        <v>0</v>
      </c>
      <c r="AJ65" s="30">
        <f>$I$13*$AJ$13</f>
        <v>0</v>
      </c>
      <c r="AK65" s="30">
        <f>$I$13*$AK$13</f>
        <v>0</v>
      </c>
      <c r="AL65" s="30">
        <f>$I$13*$AL$13</f>
        <v>0</v>
      </c>
      <c r="AM65" s="30">
        <f>$I$13*$AM$13</f>
        <v>0</v>
      </c>
      <c r="AN65" s="30">
        <f>$I$13*$AN$13</f>
        <v>0</v>
      </c>
      <c r="AO65" s="30">
        <f>$I$13*$AO$13</f>
        <v>0</v>
      </c>
      <c r="AP65" s="30">
        <f>$I$13*$AP$13</f>
        <v>0</v>
      </c>
      <c r="AQ65" s="30">
        <f>$I$13*$AQ$13</f>
        <v>0</v>
      </c>
      <c r="AR65" s="30">
        <f>$I$13*$AR$13</f>
        <v>0</v>
      </c>
      <c r="AS65" s="30">
        <f>$I$13*$AS$13</f>
        <v>0</v>
      </c>
      <c r="AT65" s="30">
        <f>$I$13*$AT$13</f>
        <v>0</v>
      </c>
      <c r="AU65" s="30">
        <f>$I$13*$AU$13</f>
        <v>0</v>
      </c>
      <c r="AV65" s="30">
        <f>$I$13*$AV$13</f>
        <v>0</v>
      </c>
      <c r="AW65" s="30">
        <f>$I$13*$AW$13</f>
        <v>0</v>
      </c>
      <c r="AX65" s="30">
        <f>$I$13*$AX$13</f>
        <v>0</v>
      </c>
      <c r="AY65" s="30">
        <f>$I$13*$AY$13</f>
        <v>0</v>
      </c>
      <c r="AZ65" s="30">
        <f>$I$13*$AZ$13</f>
        <v>0</v>
      </c>
      <c r="BA65" s="30">
        <f>$I$13*$BA$13</f>
        <v>0</v>
      </c>
      <c r="BB65" s="30">
        <f>$I$13*$BB$13</f>
        <v>0</v>
      </c>
      <c r="BC65" s="30">
        <f>$I$13*$BC$13</f>
        <v>0</v>
      </c>
      <c r="BD65" s="30">
        <f>$I$13*$BD$13</f>
        <v>0</v>
      </c>
    </row>
    <row r="66" spans="1:56" ht="11.25" customHeight="1" x14ac:dyDescent="0.25">
      <c r="A66" s="9" t="s">
        <v>39</v>
      </c>
      <c r="B66" s="9" t="s">
        <v>875</v>
      </c>
      <c r="C66" s="9" t="s">
        <v>876</v>
      </c>
      <c r="D66" s="9" t="s">
        <v>877</v>
      </c>
      <c r="E66" s="9" t="s">
        <v>883</v>
      </c>
      <c r="F66" s="9" t="s">
        <v>884</v>
      </c>
      <c r="G66" s="9" t="s">
        <v>886</v>
      </c>
      <c r="L66" s="30">
        <f>$I$14*$L$14</f>
        <v>0</v>
      </c>
      <c r="M66" s="30">
        <f>$I$14*$M$14</f>
        <v>0</v>
      </c>
      <c r="N66" s="30">
        <f ca="1">$I$14*$N$14</f>
        <v>0</v>
      </c>
      <c r="O66" s="30">
        <f>$I$14*$O$14</f>
        <v>0</v>
      </c>
      <c r="P66" s="30">
        <f>$I$14*$P$14</f>
        <v>0</v>
      </c>
      <c r="Q66" s="30">
        <f>$I$14*$Q$14</f>
        <v>0</v>
      </c>
      <c r="R66" s="30">
        <f>$I$14*$R$14</f>
        <v>0</v>
      </c>
      <c r="S66" s="30">
        <f>$I$14*$S$14</f>
        <v>0</v>
      </c>
      <c r="T66" s="30">
        <f>$I$14*$T$14</f>
        <v>0</v>
      </c>
      <c r="U66" s="30">
        <f>$I$14*$U$14</f>
        <v>0</v>
      </c>
      <c r="V66" s="30">
        <f>$I$14*$V$14</f>
        <v>0</v>
      </c>
      <c r="W66" s="30">
        <f>$I$14*$W$14</f>
        <v>0</v>
      </c>
      <c r="X66" s="30">
        <f>$I$14*$X$14</f>
        <v>0</v>
      </c>
      <c r="Y66" s="30">
        <f>$I$14*$Y$14</f>
        <v>0</v>
      </c>
      <c r="Z66" s="30">
        <f>$I$14*$Z$14</f>
        <v>0</v>
      </c>
      <c r="AA66" s="30">
        <f>$I$14*$AA$14</f>
        <v>0</v>
      </c>
      <c r="AB66" s="30">
        <f ca="1">$I$14*$AB$14</f>
        <v>0</v>
      </c>
      <c r="AC66" s="30">
        <f ca="1">$I$14*$AC$14</f>
        <v>0</v>
      </c>
      <c r="AD66" s="30">
        <f>$I$14*$AD$14</f>
        <v>0</v>
      </c>
      <c r="AE66" s="30">
        <f>$I$14*$AE$14</f>
        <v>0</v>
      </c>
      <c r="AF66" s="30">
        <f ca="1">$I$14*$AF$14</f>
        <v>0</v>
      </c>
      <c r="AG66" s="30">
        <f ca="1">$I$14*$AG$14</f>
        <v>0</v>
      </c>
      <c r="AI66" s="30">
        <f>$I$14*$AI$14</f>
        <v>0</v>
      </c>
      <c r="AJ66" s="30">
        <f>$I$14*$AJ$14</f>
        <v>0</v>
      </c>
      <c r="AK66" s="30">
        <f>$I$14*$AK$14</f>
        <v>0</v>
      </c>
      <c r="AL66" s="30">
        <f>$I$14*$AL$14</f>
        <v>0</v>
      </c>
      <c r="AM66" s="30">
        <f>$I$14*$AM$14</f>
        <v>0</v>
      </c>
      <c r="AN66" s="30">
        <f>$I$14*$AN$14</f>
        <v>0</v>
      </c>
      <c r="AO66" s="30">
        <f>$I$14*$AO$14</f>
        <v>0</v>
      </c>
      <c r="AP66" s="30">
        <f>$I$14*$AP$14</f>
        <v>0</v>
      </c>
      <c r="AQ66" s="30">
        <f>$I$14*$AQ$14</f>
        <v>0</v>
      </c>
      <c r="AR66" s="30">
        <f>$I$14*$AR$14</f>
        <v>0</v>
      </c>
      <c r="AS66" s="30">
        <f>$I$14*$AS$14</f>
        <v>0</v>
      </c>
      <c r="AT66" s="30">
        <f>$I$14*$AT$14</f>
        <v>0</v>
      </c>
      <c r="AU66" s="30">
        <f>$I$14*$AU$14</f>
        <v>0</v>
      </c>
      <c r="AV66" s="30">
        <f>$I$14*$AV$14</f>
        <v>0</v>
      </c>
      <c r="AW66" s="30">
        <f>$I$14*$AW$14</f>
        <v>0</v>
      </c>
      <c r="AX66" s="30">
        <f>$I$14*$AX$14</f>
        <v>0</v>
      </c>
      <c r="AY66" s="30">
        <f>$I$14*$AY$14</f>
        <v>0</v>
      </c>
      <c r="AZ66" s="30">
        <f>$I$14*$AZ$14</f>
        <v>0</v>
      </c>
      <c r="BA66" s="30">
        <f>$I$14*$BA$14</f>
        <v>0</v>
      </c>
      <c r="BB66" s="30">
        <f>$I$14*$BB$14</f>
        <v>0</v>
      </c>
      <c r="BC66" s="30">
        <f>$I$14*$BC$14</f>
        <v>0</v>
      </c>
      <c r="BD66" s="30">
        <f>$I$14*$BD$14</f>
        <v>0</v>
      </c>
    </row>
    <row r="67" spans="1:56" ht="11.25" customHeight="1" x14ac:dyDescent="0.25">
      <c r="A67" s="9" t="s">
        <v>82</v>
      </c>
      <c r="B67" s="9" t="s">
        <v>887</v>
      </c>
      <c r="C67" s="9" t="s">
        <v>888</v>
      </c>
      <c r="D67" s="9" t="s">
        <v>889</v>
      </c>
      <c r="E67" s="9" t="s">
        <v>890</v>
      </c>
      <c r="F67" s="9" t="s">
        <v>891</v>
      </c>
      <c r="G67" s="9" t="s">
        <v>892</v>
      </c>
      <c r="L67" s="30">
        <f>$I$15*$L$15</f>
        <v>0</v>
      </c>
      <c r="M67" s="30">
        <f>$I$15*$M$15</f>
        <v>1.1819025148941137E-10</v>
      </c>
      <c r="N67" s="30">
        <f ca="1">$I$15*$N$15</f>
        <v>3.6216227017980254E-10</v>
      </c>
      <c r="O67" s="30">
        <f>$I$15*$O$15</f>
        <v>0</v>
      </c>
      <c r="P67" s="30">
        <f>$I$15*$P$15</f>
        <v>0</v>
      </c>
      <c r="Q67" s="30">
        <f>$I$15*$Q$15</f>
        <v>0</v>
      </c>
      <c r="R67" s="30">
        <f>$I$15*$R$15</f>
        <v>0</v>
      </c>
      <c r="S67" s="30">
        <f>$I$15*$S$15</f>
        <v>0</v>
      </c>
      <c r="T67" s="30">
        <f>$I$15*$T$15</f>
        <v>0</v>
      </c>
      <c r="U67" s="30">
        <f>$I$15*$U$15</f>
        <v>0</v>
      </c>
      <c r="V67" s="30">
        <f>$I$15*$V$15</f>
        <v>0</v>
      </c>
      <c r="W67" s="30">
        <f>$I$15*$W$15</f>
        <v>0</v>
      </c>
      <c r="X67" s="30">
        <f>$I$15*$X$15</f>
        <v>0</v>
      </c>
      <c r="Y67" s="30">
        <f>$I$15*$Y$15</f>
        <v>0</v>
      </c>
      <c r="Z67" s="30">
        <f>$I$15*$Z$15</f>
        <v>0</v>
      </c>
      <c r="AA67" s="30">
        <f>$I$15*$AA$15</f>
        <v>4.3040102262371367E-8</v>
      </c>
      <c r="AB67" s="30">
        <f ca="1">$I$15*$AB$15</f>
        <v>0</v>
      </c>
      <c r="AC67" s="30">
        <f ca="1">$I$15*$AC$15</f>
        <v>0</v>
      </c>
      <c r="AD67" s="30">
        <f>$I$15*$AD$15</f>
        <v>0</v>
      </c>
      <c r="AE67" s="30">
        <f>$I$15*$AE$15</f>
        <v>0</v>
      </c>
      <c r="AF67" s="30">
        <f ca="1">$I$15*$AF$15</f>
        <v>0</v>
      </c>
      <c r="AG67" s="30">
        <f ca="1">$I$15*$AG$15</f>
        <v>0</v>
      </c>
      <c r="AI67" s="30">
        <f>$I$15*$AI$15</f>
        <v>0</v>
      </c>
      <c r="AJ67" s="30">
        <f>$I$15*$AJ$15</f>
        <v>1.34617267628525E-10</v>
      </c>
      <c r="AK67" s="30">
        <f>$I$15*$AK$15</f>
        <v>3.1560196913618202E-10</v>
      </c>
      <c r="AL67" s="30">
        <f>$I$15*$AL$15</f>
        <v>0</v>
      </c>
      <c r="AM67" s="30">
        <f>$I$15*$AM$15</f>
        <v>0</v>
      </c>
      <c r="AN67" s="30">
        <f>$I$15*$AN$15</f>
        <v>0</v>
      </c>
      <c r="AO67" s="30">
        <f>$I$15*$AO$15</f>
        <v>0</v>
      </c>
      <c r="AP67" s="30">
        <f>$I$15*$AP$15</f>
        <v>0</v>
      </c>
      <c r="AQ67" s="30">
        <f>$I$15*$AQ$15</f>
        <v>0</v>
      </c>
      <c r="AR67" s="30">
        <f>$I$15*$AR$15</f>
        <v>0</v>
      </c>
      <c r="AS67" s="30">
        <f>$I$15*$AS$15</f>
        <v>0</v>
      </c>
      <c r="AT67" s="30">
        <f>$I$15*$AT$15</f>
        <v>0</v>
      </c>
      <c r="AU67" s="30">
        <f>$I$15*$AU$15</f>
        <v>0</v>
      </c>
      <c r="AV67" s="30">
        <f>$I$15*$AV$15</f>
        <v>0</v>
      </c>
      <c r="AW67" s="30">
        <f>$I$15*$AW$15</f>
        <v>0</v>
      </c>
      <c r="AX67" s="30">
        <f>$I$15*$AX$15</f>
        <v>3.2598341485072202E-8</v>
      </c>
      <c r="AY67" s="30">
        <f>$I$15*$AY$15</f>
        <v>0</v>
      </c>
      <c r="AZ67" s="30">
        <f>$I$15*$AZ$15</f>
        <v>0</v>
      </c>
      <c r="BA67" s="30">
        <f>$I$15*$BA$15</f>
        <v>0</v>
      </c>
      <c r="BB67" s="30">
        <f>$I$15*$BB$15</f>
        <v>0</v>
      </c>
      <c r="BC67" s="30">
        <f>$I$15*$BC$15</f>
        <v>0</v>
      </c>
      <c r="BD67" s="30">
        <f>$I$15*$BD$15</f>
        <v>0</v>
      </c>
    </row>
    <row r="68" spans="1:56" ht="11.25" customHeight="1" x14ac:dyDescent="0.25">
      <c r="A68" s="9" t="s">
        <v>82</v>
      </c>
      <c r="B68" s="9" t="s">
        <v>887</v>
      </c>
      <c r="C68" s="9" t="s">
        <v>888</v>
      </c>
      <c r="D68" s="9" t="s">
        <v>889</v>
      </c>
      <c r="E68" s="9" t="s">
        <v>893</v>
      </c>
      <c r="F68" s="9" t="s">
        <v>894</v>
      </c>
      <c r="G68" s="9" t="s">
        <v>895</v>
      </c>
      <c r="L68" s="30">
        <f>$I$16*$L$16</f>
        <v>0</v>
      </c>
      <c r="M68" s="30">
        <f>$I$16*$M$16</f>
        <v>1.1819025148941137E-10</v>
      </c>
      <c r="N68" s="30">
        <f ca="1">$I$16*$N$16</f>
        <v>3.6216227017980254E-10</v>
      </c>
      <c r="O68" s="30">
        <f>$I$16*$O$16</f>
        <v>0</v>
      </c>
      <c r="P68" s="30">
        <f>$I$16*$P$16</f>
        <v>0</v>
      </c>
      <c r="Q68" s="30">
        <f>$I$16*$Q$16</f>
        <v>0</v>
      </c>
      <c r="R68" s="30">
        <f>$I$16*$R$16</f>
        <v>0</v>
      </c>
      <c r="S68" s="30">
        <f>$I$16*$S$16</f>
        <v>0</v>
      </c>
      <c r="T68" s="30">
        <f>$I$16*$T$16</f>
        <v>0</v>
      </c>
      <c r="U68" s="30">
        <f>$I$16*$U$16</f>
        <v>0</v>
      </c>
      <c r="V68" s="30">
        <f>$I$16*$V$16</f>
        <v>0</v>
      </c>
      <c r="W68" s="30">
        <f>$I$16*$W$16</f>
        <v>0</v>
      </c>
      <c r="X68" s="30">
        <f>$I$16*$X$16</f>
        <v>0</v>
      </c>
      <c r="Y68" s="30">
        <f>$I$16*$Y$16</f>
        <v>0</v>
      </c>
      <c r="Z68" s="30">
        <f>$I$16*$Z$16</f>
        <v>0</v>
      </c>
      <c r="AA68" s="30">
        <f>$I$16*$AA$16</f>
        <v>2.139762048325029E-7</v>
      </c>
      <c r="AB68" s="30">
        <f ca="1">$I$16*$AB$16</f>
        <v>0</v>
      </c>
      <c r="AC68" s="30">
        <f ca="1">$I$16*$AC$16</f>
        <v>0</v>
      </c>
      <c r="AD68" s="30">
        <f>$I$16*$AD$16</f>
        <v>0</v>
      </c>
      <c r="AE68" s="30">
        <f>$I$16*$AE$16</f>
        <v>0</v>
      </c>
      <c r="AF68" s="30">
        <f ca="1">$I$16*$AF$16</f>
        <v>0</v>
      </c>
      <c r="AG68" s="30">
        <f ca="1">$I$16*$AG$16</f>
        <v>0</v>
      </c>
      <c r="AI68" s="30">
        <f>$I$16*$AI$16</f>
        <v>0</v>
      </c>
      <c r="AJ68" s="30">
        <f>$I$16*$AJ$16</f>
        <v>1.34617267628525E-10</v>
      </c>
      <c r="AK68" s="30">
        <f>$I$16*$AK$16</f>
        <v>3.1560196913618202E-10</v>
      </c>
      <c r="AL68" s="30">
        <f>$I$16*$AL$16</f>
        <v>0</v>
      </c>
      <c r="AM68" s="30">
        <f>$I$16*$AM$16</f>
        <v>0</v>
      </c>
      <c r="AN68" s="30">
        <f>$I$16*$AN$16</f>
        <v>0</v>
      </c>
      <c r="AO68" s="30">
        <f>$I$16*$AO$16</f>
        <v>0</v>
      </c>
      <c r="AP68" s="30">
        <f>$I$16*$AP$16</f>
        <v>0</v>
      </c>
      <c r="AQ68" s="30">
        <f>$I$16*$AQ$16</f>
        <v>0</v>
      </c>
      <c r="AR68" s="30">
        <f>$I$16*$AR$16</f>
        <v>0</v>
      </c>
      <c r="AS68" s="30">
        <f>$I$16*$AS$16</f>
        <v>0</v>
      </c>
      <c r="AT68" s="30">
        <f>$I$16*$AT$16</f>
        <v>0</v>
      </c>
      <c r="AU68" s="30">
        <f>$I$16*$AU$16</f>
        <v>0</v>
      </c>
      <c r="AV68" s="30">
        <f>$I$16*$AV$16</f>
        <v>0</v>
      </c>
      <c r="AW68" s="30">
        <f>$I$16*$AW$16</f>
        <v>0</v>
      </c>
      <c r="AX68" s="30">
        <f>$I$16*$AX$16</f>
        <v>1.6206442429640699E-7</v>
      </c>
      <c r="AY68" s="30">
        <f>$I$16*$AY$16</f>
        <v>0</v>
      </c>
      <c r="AZ68" s="30">
        <f>$I$16*$AZ$16</f>
        <v>0</v>
      </c>
      <c r="BA68" s="30">
        <f>$I$16*$BA$16</f>
        <v>0</v>
      </c>
      <c r="BB68" s="30">
        <f>$I$16*$BB$16</f>
        <v>0</v>
      </c>
      <c r="BC68" s="30">
        <f>$I$16*$BC$16</f>
        <v>0</v>
      </c>
      <c r="BD68" s="30">
        <f>$I$16*$BD$16</f>
        <v>0</v>
      </c>
    </row>
    <row r="69" spans="1:56" ht="11.25" customHeight="1" x14ac:dyDescent="0.25">
      <c r="A69" s="9" t="s">
        <v>22</v>
      </c>
      <c r="B69" s="9" t="s">
        <v>896</v>
      </c>
      <c r="C69" s="9" t="s">
        <v>897</v>
      </c>
      <c r="D69" s="9" t="s">
        <v>898</v>
      </c>
      <c r="E69" s="9" t="s">
        <v>899</v>
      </c>
      <c r="F69" s="9" t="s">
        <v>900</v>
      </c>
      <c r="G69" s="9" t="s">
        <v>901</v>
      </c>
      <c r="L69" s="30">
        <f>$I$17*$L$17</f>
        <v>949.2414671822022</v>
      </c>
      <c r="M69" s="30">
        <f>$I$17*$M$17</f>
        <v>54.1160409910552</v>
      </c>
      <c r="N69" s="30">
        <f ca="1">$I$17*$N$17</f>
        <v>528.35081791096934</v>
      </c>
      <c r="O69" s="30">
        <f>$I$17*$O$17</f>
        <v>0</v>
      </c>
      <c r="P69" s="30">
        <f>$I$17*$P$17</f>
        <v>0</v>
      </c>
      <c r="Q69" s="30">
        <f>$I$17*$Q$17</f>
        <v>3023.6589169081212</v>
      </c>
      <c r="R69" s="30">
        <f>$I$17*$R$17</f>
        <v>0</v>
      </c>
      <c r="S69" s="30">
        <f>$I$17*$S$17</f>
        <v>0</v>
      </c>
      <c r="T69" s="30">
        <f>$I$17*$T$17</f>
        <v>0</v>
      </c>
      <c r="U69" s="30">
        <f>$I$17*$U$17</f>
        <v>0</v>
      </c>
      <c r="V69" s="30">
        <f>$I$17*$V$17</f>
        <v>369.40879229420023</v>
      </c>
      <c r="W69" s="30">
        <f>$I$17*$W$17</f>
        <v>0</v>
      </c>
      <c r="X69" s="30">
        <f>$I$17*$X$17</f>
        <v>0</v>
      </c>
      <c r="Y69" s="30">
        <f>$I$17*$Y$17</f>
        <v>0</v>
      </c>
      <c r="Z69" s="30">
        <f>$I$17*$Z$17</f>
        <v>0</v>
      </c>
      <c r="AA69" s="30">
        <f>$I$17*$AA$17</f>
        <v>50796.614628924792</v>
      </c>
      <c r="AB69" s="30">
        <f ca="1">$I$17*$AB$17</f>
        <v>0</v>
      </c>
      <c r="AC69" s="30">
        <f ca="1">$I$17*$AC$17</f>
        <v>0</v>
      </c>
      <c r="AD69" s="30">
        <f>$I$17*$AD$17</f>
        <v>2349.3821322925246</v>
      </c>
      <c r="AE69" s="30">
        <f>$I$17*$AE$17</f>
        <v>0</v>
      </c>
      <c r="AF69" s="30">
        <f ca="1">$I$17*$AF$17</f>
        <v>3111.47369192103</v>
      </c>
      <c r="AG69" s="30">
        <f ca="1">$I$17*$AG$17</f>
        <v>315.03118918366869</v>
      </c>
      <c r="AI69" s="30">
        <f>$I$17*$AI$17</f>
        <v>1611.5183048035647</v>
      </c>
      <c r="AJ69" s="30">
        <f>$I$17*$AJ$17</f>
        <v>135.2903818283929</v>
      </c>
      <c r="AK69" s="30">
        <f>$I$17*$AK$17</f>
        <v>454.63464795216225</v>
      </c>
      <c r="AL69" s="30">
        <f>$I$17*$AL$17</f>
        <v>0</v>
      </c>
      <c r="AM69" s="30">
        <f>$I$17*$AM$17</f>
        <v>0</v>
      </c>
      <c r="AN69" s="30">
        <f>$I$17*$AN$17</f>
        <v>1207.4161588511288</v>
      </c>
      <c r="AO69" s="30">
        <f>$I$17*$AO$17</f>
        <v>0</v>
      </c>
      <c r="AP69" s="30">
        <f>$I$17*$AP$17</f>
        <v>0</v>
      </c>
      <c r="AQ69" s="30">
        <f>$I$17*$AQ$17</f>
        <v>0</v>
      </c>
      <c r="AR69" s="30">
        <f>$I$17*$AR$17</f>
        <v>0</v>
      </c>
      <c r="AS69" s="30">
        <f>$I$17*$AS$17</f>
        <v>1033.1568211329045</v>
      </c>
      <c r="AT69" s="30">
        <f>$I$17*$AT$17</f>
        <v>0</v>
      </c>
      <c r="AU69" s="30">
        <f>$I$17*$AU$17</f>
        <v>0</v>
      </c>
      <c r="AV69" s="30">
        <f>$I$17*$AV$17</f>
        <v>0</v>
      </c>
      <c r="AW69" s="30">
        <f>$I$17*$AW$17</f>
        <v>0</v>
      </c>
      <c r="AX69" s="30">
        <f>$I$17*$AX$17</f>
        <v>38473.082147088564</v>
      </c>
      <c r="AY69" s="30">
        <f>$I$17*$AY$17</f>
        <v>0</v>
      </c>
      <c r="AZ69" s="30">
        <f>$I$17*$AZ$17</f>
        <v>0</v>
      </c>
      <c r="BA69" s="30">
        <f>$I$17*$BA$17</f>
        <v>1886.8982063491003</v>
      </c>
      <c r="BB69" s="30">
        <f>$I$17*$BB$17</f>
        <v>0</v>
      </c>
      <c r="BC69" s="30">
        <f>$I$17*$BC$17</f>
        <v>2726.0463331511619</v>
      </c>
      <c r="BD69" s="30">
        <f>$I$17*$BD$17</f>
        <v>202.05194397055104</v>
      </c>
    </row>
    <row r="70" spans="1:56" ht="11.25" customHeight="1" x14ac:dyDescent="0.25">
      <c r="A70" s="9" t="s">
        <v>22</v>
      </c>
      <c r="B70" s="9" t="s">
        <v>896</v>
      </c>
      <c r="C70" s="9" t="s">
        <v>897</v>
      </c>
      <c r="D70" s="9" t="s">
        <v>898</v>
      </c>
      <c r="E70" s="9" t="s">
        <v>899</v>
      </c>
      <c r="F70" s="9" t="s">
        <v>900</v>
      </c>
      <c r="G70" s="9" t="s">
        <v>902</v>
      </c>
      <c r="L70" s="30">
        <f>$I$18*$L$18</f>
        <v>593.89895951255608</v>
      </c>
      <c r="M70" s="30">
        <f>$I$18*$M$18</f>
        <v>33.858045132532652</v>
      </c>
      <c r="N70" s="30">
        <f ca="1">$I$18*$N$18</f>
        <v>223.94318672478454</v>
      </c>
      <c r="O70" s="30">
        <f>$I$18*$O$18</f>
        <v>0</v>
      </c>
      <c r="P70" s="30">
        <f>$I$18*$P$18</f>
        <v>0</v>
      </c>
      <c r="Q70" s="30">
        <f>$I$18*$Q$18</f>
        <v>1891.7714267195099</v>
      </c>
      <c r="R70" s="30">
        <f>$I$18*$R$18</f>
        <v>0</v>
      </c>
      <c r="S70" s="30">
        <f>$I$18*$S$18</f>
        <v>0</v>
      </c>
      <c r="T70" s="30">
        <f>$I$18*$T$18</f>
        <v>0</v>
      </c>
      <c r="U70" s="30">
        <f>$I$18*$U$18</f>
        <v>0</v>
      </c>
      <c r="V70" s="30">
        <f>$I$18*$V$18</f>
        <v>138.40106437145045</v>
      </c>
      <c r="W70" s="30">
        <f>$I$18*$W$18</f>
        <v>0</v>
      </c>
      <c r="X70" s="30">
        <f>$I$18*$X$18</f>
        <v>0</v>
      </c>
      <c r="Y70" s="30">
        <f>$I$18*$Y$18</f>
        <v>0</v>
      </c>
      <c r="Z70" s="30">
        <f>$I$18*$Z$18</f>
        <v>0</v>
      </c>
      <c r="AA70" s="30">
        <f>$I$18*$AA$18</f>
        <v>19068.732924496035</v>
      </c>
      <c r="AB70" s="30">
        <f ca="1">$I$18*$AB$18</f>
        <v>0</v>
      </c>
      <c r="AC70" s="30">
        <f ca="1">$I$18*$AC$18</f>
        <v>0</v>
      </c>
      <c r="AD70" s="30">
        <f>$I$18*$AD$18</f>
        <v>1469.9058691650062</v>
      </c>
      <c r="AE70" s="30">
        <f>$I$18*$AE$18</f>
        <v>0</v>
      </c>
      <c r="AF70" s="30">
        <f ca="1">$I$18*$AF$18</f>
        <v>1946.713299059759</v>
      </c>
      <c r="AG70" s="30">
        <f ca="1">$I$18*$AG$18</f>
        <v>197.10126657822434</v>
      </c>
      <c r="AI70" s="30">
        <f>$I$18*$AI$18</f>
        <v>1008.256673930753</v>
      </c>
      <c r="AJ70" s="30">
        <f>$I$18*$AJ$18</f>
        <v>84.645287608907623</v>
      </c>
      <c r="AK70" s="30">
        <f>$I$18*$AK$18</f>
        <v>191.52984325981711</v>
      </c>
      <c r="AL70" s="30">
        <f>$I$18*$AL$18</f>
        <v>0</v>
      </c>
      <c r="AM70" s="30">
        <f>$I$18*$AM$18</f>
        <v>0</v>
      </c>
      <c r="AN70" s="30">
        <f>$I$18*$AN$18</f>
        <v>755.42759690953517</v>
      </c>
      <c r="AO70" s="30">
        <f>$I$18*$AO$18</f>
        <v>0</v>
      </c>
      <c r="AP70" s="30">
        <f>$I$18*$AP$18</f>
        <v>0</v>
      </c>
      <c r="AQ70" s="30">
        <f>$I$18*$AQ$18</f>
        <v>0</v>
      </c>
      <c r="AR70" s="30">
        <f>$I$18*$AR$18</f>
        <v>0</v>
      </c>
      <c r="AS70" s="30">
        <f>$I$18*$AS$18</f>
        <v>387.07796536022784</v>
      </c>
      <c r="AT70" s="30">
        <f>$I$18*$AT$18</f>
        <v>0</v>
      </c>
      <c r="AU70" s="30">
        <f>$I$18*$AU$18</f>
        <v>0</v>
      </c>
      <c r="AV70" s="30">
        <f>$I$18*$AV$18</f>
        <v>0</v>
      </c>
      <c r="AW70" s="30">
        <f>$I$18*$AW$18</f>
        <v>0</v>
      </c>
      <c r="AX70" s="30">
        <f>$I$18*$AX$18</f>
        <v>14442.555544386225</v>
      </c>
      <c r="AY70" s="30">
        <f>$I$18*$AY$18</f>
        <v>0</v>
      </c>
      <c r="AZ70" s="30">
        <f>$I$18*$AZ$18</f>
        <v>0</v>
      </c>
      <c r="BA70" s="30">
        <f>$I$18*$BA$18</f>
        <v>1180.5498602830633</v>
      </c>
      <c r="BB70" s="30">
        <f>$I$18*$BB$18</f>
        <v>0</v>
      </c>
      <c r="BC70" s="30">
        <f>$I$18*$BC$18</f>
        <v>1705.5682213793716</v>
      </c>
      <c r="BD70" s="30">
        <f>$I$18*$BD$18</f>
        <v>126.41508345375142</v>
      </c>
    </row>
    <row r="71" spans="1:56" ht="11.25" customHeight="1" x14ac:dyDescent="0.25">
      <c r="A71" s="9" t="s">
        <v>22</v>
      </c>
      <c r="B71" s="9" t="s">
        <v>896</v>
      </c>
      <c r="C71" s="9" t="s">
        <v>897</v>
      </c>
      <c r="D71" s="9" t="s">
        <v>898</v>
      </c>
      <c r="E71" s="9" t="s">
        <v>899</v>
      </c>
      <c r="F71" s="9" t="s">
        <v>900</v>
      </c>
      <c r="G71" s="9" t="s">
        <v>903</v>
      </c>
      <c r="L71" s="30">
        <f>$I$19*$L$19</f>
        <v>8239.8203303342216</v>
      </c>
      <c r="M71" s="30">
        <f>$I$19*$M$19</f>
        <v>469.7502902806786</v>
      </c>
      <c r="N71" s="30">
        <f ca="1">$I$19*$N$19</f>
        <v>1627.7164376602557</v>
      </c>
      <c r="O71" s="30">
        <f>$I$19*$O$19</f>
        <v>0</v>
      </c>
      <c r="P71" s="30">
        <f>$I$19*$P$19</f>
        <v>0</v>
      </c>
      <c r="Q71" s="30">
        <f>$I$19*$Q$19</f>
        <v>26246.64753584105</v>
      </c>
      <c r="R71" s="30">
        <f>$I$19*$R$19</f>
        <v>0</v>
      </c>
      <c r="S71" s="30">
        <f>$I$19*$S$19</f>
        <v>0</v>
      </c>
      <c r="T71" s="30">
        <f>$I$19*$T$19</f>
        <v>0</v>
      </c>
      <c r="U71" s="30">
        <f>$I$19*$U$19</f>
        <v>0</v>
      </c>
      <c r="V71" s="30">
        <f>$I$19*$V$19</f>
        <v>643.2169530461058</v>
      </c>
      <c r="W71" s="30">
        <f>$I$19*$W$19</f>
        <v>0</v>
      </c>
      <c r="X71" s="30">
        <f>$I$19*$X$19</f>
        <v>0</v>
      </c>
      <c r="Y71" s="30">
        <f>$I$19*$Y$19</f>
        <v>0</v>
      </c>
      <c r="Z71" s="30">
        <f>$I$19*$Z$19</f>
        <v>0</v>
      </c>
      <c r="AA71" s="30">
        <f>$I$19*$AA$19</f>
        <v>88187.265141465468</v>
      </c>
      <c r="AB71" s="30">
        <f ca="1">$I$19*$AB$19</f>
        <v>0</v>
      </c>
      <c r="AC71" s="30">
        <f ca="1">$I$19*$AC$19</f>
        <v>0</v>
      </c>
      <c r="AD71" s="30">
        <f>$I$19*$AD$19</f>
        <v>20393.637790448676</v>
      </c>
      <c r="AE71" s="30">
        <f>$I$19*$AE$19</f>
        <v>0</v>
      </c>
      <c r="AF71" s="30">
        <f ca="1">$I$19*$AF$19</f>
        <v>27008.917193742753</v>
      </c>
      <c r="AG71" s="30">
        <f ca="1">$I$19*$AG$19</f>
        <v>2734.6049314833695</v>
      </c>
      <c r="AI71" s="30">
        <f>$I$19*$AI$19</f>
        <v>13988.665423607528</v>
      </c>
      <c r="AJ71" s="30">
        <f>$I$19*$AJ$19</f>
        <v>1174.3781505852576</v>
      </c>
      <c r="AK71" s="30">
        <f>$I$19*$AK$19</f>
        <v>1368.1913688404434</v>
      </c>
      <c r="AL71" s="30">
        <f>$I$19*$AL$19</f>
        <v>0</v>
      </c>
      <c r="AM71" s="30">
        <f>$I$19*$AM$19</f>
        <v>0</v>
      </c>
      <c r="AN71" s="30">
        <f>$I$19*$AN$19</f>
        <v>10480.886641423918</v>
      </c>
      <c r="AO71" s="30">
        <f>$I$19*$AO$19</f>
        <v>0</v>
      </c>
      <c r="AP71" s="30">
        <f>$I$19*$AP$19</f>
        <v>0</v>
      </c>
      <c r="AQ71" s="30">
        <f>$I$19*$AQ$19</f>
        <v>0</v>
      </c>
      <c r="AR71" s="30">
        <f>$I$19*$AR$19</f>
        <v>0</v>
      </c>
      <c r="AS71" s="30">
        <f>$I$19*$AS$19</f>
        <v>1798.9392682853561</v>
      </c>
      <c r="AT71" s="30">
        <f>$I$19*$AT$19</f>
        <v>0</v>
      </c>
      <c r="AU71" s="30">
        <f>$I$19*$AU$19</f>
        <v>0</v>
      </c>
      <c r="AV71" s="30">
        <f>$I$19*$AV$19</f>
        <v>0</v>
      </c>
      <c r="AW71" s="30">
        <f>$I$19*$AW$19</f>
        <v>0</v>
      </c>
      <c r="AX71" s="30">
        <f>$I$19*$AX$19</f>
        <v>66792.55932506024</v>
      </c>
      <c r="AY71" s="30">
        <f>$I$19*$AY$19</f>
        <v>0</v>
      </c>
      <c r="AZ71" s="30">
        <f>$I$19*$AZ$19</f>
        <v>0</v>
      </c>
      <c r="BA71" s="30">
        <f>$I$19*$BA$19</f>
        <v>16379.080286177792</v>
      </c>
      <c r="BB71" s="30">
        <f>$I$19*$BB$19</f>
        <v>0</v>
      </c>
      <c r="BC71" s="30">
        <f>$I$19*$BC$19</f>
        <v>23663.243520123742</v>
      </c>
      <c r="BD71" s="30">
        <f>$I$19*$BD$19</f>
        <v>1753.8969516936763</v>
      </c>
    </row>
    <row r="72" spans="1:56" ht="11.25" customHeight="1" x14ac:dyDescent="0.25">
      <c r="A72" s="9" t="s">
        <v>22</v>
      </c>
      <c r="B72" s="9" t="s">
        <v>904</v>
      </c>
      <c r="C72" s="9" t="s">
        <v>905</v>
      </c>
      <c r="D72" s="9" t="s">
        <v>906</v>
      </c>
      <c r="E72" s="9" t="s">
        <v>907</v>
      </c>
      <c r="F72" s="9" t="s">
        <v>908</v>
      </c>
      <c r="G72" s="9" t="s">
        <v>909</v>
      </c>
      <c r="L72" s="30">
        <f>$I$20*$L$20</f>
        <v>7438703.329582341</v>
      </c>
      <c r="M72" s="30">
        <f>$I$20*$M$20</f>
        <v>424078.79156285181</v>
      </c>
      <c r="N72" s="30">
        <f ca="1">$I$20*$N$20</f>
        <v>1896374.4282073264</v>
      </c>
      <c r="O72" s="30">
        <f>$I$20*$O$20</f>
        <v>0</v>
      </c>
      <c r="P72" s="30">
        <f>$I$20*$P$20</f>
        <v>0</v>
      </c>
      <c r="Q72" s="30">
        <f>$I$20*$Q$20</f>
        <v>23694815.734812953</v>
      </c>
      <c r="R72" s="30">
        <f>$I$20*$R$20</f>
        <v>0</v>
      </c>
      <c r="S72" s="30">
        <f>$I$20*$S$20</f>
        <v>0</v>
      </c>
      <c r="T72" s="30">
        <f>$I$20*$T$20</f>
        <v>0</v>
      </c>
      <c r="U72" s="30">
        <f>$I$20*$U$20</f>
        <v>0</v>
      </c>
      <c r="V72" s="30">
        <f>$I$20*$V$20</f>
        <v>947874.94773921766</v>
      </c>
      <c r="W72" s="30">
        <f>$I$20*$W$20</f>
        <v>0</v>
      </c>
      <c r="X72" s="30">
        <f>$I$20*$X$20</f>
        <v>0</v>
      </c>
      <c r="Y72" s="30">
        <f>$I$20*$Y$20</f>
        <v>0</v>
      </c>
      <c r="Z72" s="30">
        <f>$I$20*$Z$20</f>
        <v>0</v>
      </c>
      <c r="AA72" s="30">
        <f>$I$20*$AA$20</f>
        <v>130513490.36007473</v>
      </c>
      <c r="AB72" s="30">
        <f ca="1">$I$20*$AB$20</f>
        <v>0</v>
      </c>
      <c r="AC72" s="30">
        <f ca="1">$I$20*$AC$20</f>
        <v>0</v>
      </c>
      <c r="AD72" s="30">
        <f>$I$20*$AD$20</f>
        <v>18410865.19515815</v>
      </c>
      <c r="AE72" s="30">
        <f>$I$20*$AE$20</f>
        <v>0</v>
      </c>
      <c r="AF72" s="30">
        <f ca="1">$I$20*$AF$20</f>
        <v>24382973.68182525</v>
      </c>
      <c r="AG72" s="30">
        <f ca="1">$I$20*$AG$20</f>
        <v>2468732.8113248469</v>
      </c>
      <c r="AI72" s="30">
        <f>$I$20*$AI$20</f>
        <v>12628616.631350983</v>
      </c>
      <c r="AJ72" s="30">
        <f>$I$20*$AJ$20</f>
        <v>1060199.1680312485</v>
      </c>
      <c r="AK72" s="30">
        <f>$I$20*$AK$20</f>
        <v>1607196.9393843377</v>
      </c>
      <c r="AL72" s="30">
        <f>$I$20*$AL$20</f>
        <v>0</v>
      </c>
      <c r="AM72" s="30">
        <f>$I$20*$AM$20</f>
        <v>0</v>
      </c>
      <c r="AN72" s="30">
        <f>$I$20*$AN$20</f>
        <v>9461881.8409809694</v>
      </c>
      <c r="AO72" s="30">
        <f>$I$20*$AO$20</f>
        <v>0</v>
      </c>
      <c r="AP72" s="30">
        <f>$I$20*$AP$20</f>
        <v>0</v>
      </c>
      <c r="AQ72" s="30">
        <f>$I$20*$AQ$20</f>
        <v>0</v>
      </c>
      <c r="AR72" s="30">
        <f>$I$20*$AR$20</f>
        <v>0</v>
      </c>
      <c r="AS72" s="30">
        <f>$I$20*$AS$20</f>
        <v>2651002.0558954114</v>
      </c>
      <c r="AT72" s="30">
        <f>$I$20*$AT$20</f>
        <v>0</v>
      </c>
      <c r="AU72" s="30">
        <f>$I$20*$AU$20</f>
        <v>0</v>
      </c>
      <c r="AV72" s="30">
        <f>$I$20*$AV$20</f>
        <v>0</v>
      </c>
      <c r="AW72" s="30">
        <f>$I$20*$AW$20</f>
        <v>0</v>
      </c>
      <c r="AX72" s="30">
        <f>$I$20*$AX$20</f>
        <v>98850214.184690729</v>
      </c>
      <c r="AY72" s="30">
        <f>$I$20*$AY$20</f>
        <v>0</v>
      </c>
      <c r="AZ72" s="30">
        <f>$I$20*$AZ$20</f>
        <v>0</v>
      </c>
      <c r="BA72" s="30">
        <f>$I$20*$BA$20</f>
        <v>14786623.272809302</v>
      </c>
      <c r="BB72" s="30">
        <f>$I$20*$BB$20</f>
        <v>0</v>
      </c>
      <c r="BC72" s="30">
        <f>$I$20*$BC$20</f>
        <v>21362583.321610168</v>
      </c>
      <c r="BD72" s="30">
        <f>$I$20*$BD$20</f>
        <v>1583374.2207069304</v>
      </c>
    </row>
    <row r="73" spans="1:56" ht="11.25" customHeight="1" x14ac:dyDescent="0.25">
      <c r="A73" s="9" t="s">
        <v>22</v>
      </c>
      <c r="B73" s="9" t="s">
        <v>904</v>
      </c>
      <c r="C73" s="9" t="s">
        <v>905</v>
      </c>
      <c r="D73" s="9" t="s">
        <v>910</v>
      </c>
      <c r="E73" s="9" t="s">
        <v>911</v>
      </c>
      <c r="F73" s="9" t="s">
        <v>912</v>
      </c>
      <c r="G73" s="9" t="s">
        <v>913</v>
      </c>
      <c r="L73" s="30">
        <f>$I$21*$L$21</f>
        <v>0</v>
      </c>
      <c r="M73" s="30">
        <f>$I$21*$M$21</f>
        <v>2930.408895874411</v>
      </c>
      <c r="N73" s="30">
        <f ca="1">$I$21*$N$21</f>
        <v>13067.229635292677</v>
      </c>
      <c r="O73" s="30">
        <f>$I$21*$O$21</f>
        <v>0</v>
      </c>
      <c r="P73" s="30">
        <f>$I$21*$P$21</f>
        <v>0</v>
      </c>
      <c r="Q73" s="30">
        <f>$I$21*$Q$21</f>
        <v>0</v>
      </c>
      <c r="R73" s="30">
        <f>$I$21*$R$21</f>
        <v>0</v>
      </c>
      <c r="S73" s="30">
        <f>$I$21*$S$21</f>
        <v>0</v>
      </c>
      <c r="T73" s="30">
        <f>$I$21*$T$21</f>
        <v>0</v>
      </c>
      <c r="U73" s="30">
        <f>$I$21*$U$21</f>
        <v>0</v>
      </c>
      <c r="V73" s="30">
        <f>$I$21*$V$21</f>
        <v>6549.8705294717029</v>
      </c>
      <c r="W73" s="30">
        <f>$I$21*$W$21</f>
        <v>0</v>
      </c>
      <c r="X73" s="30">
        <f>$I$21*$X$21</f>
        <v>0</v>
      </c>
      <c r="Y73" s="30">
        <f>$I$21*$Y$21</f>
        <v>0</v>
      </c>
      <c r="Z73" s="30">
        <f>$I$21*$Z$21</f>
        <v>0</v>
      </c>
      <c r="AA73" s="30">
        <f>$I$21*$AA$21</f>
        <v>901855.74188540608</v>
      </c>
      <c r="AB73" s="30">
        <f ca="1">$I$21*$AB$21</f>
        <v>0</v>
      </c>
      <c r="AC73" s="30">
        <f ca="1">$I$21*$AC$21</f>
        <v>0</v>
      </c>
      <c r="AD73" s="30">
        <f>$I$21*$AD$21</f>
        <v>127220.13979951647</v>
      </c>
      <c r="AE73" s="30">
        <f>$I$21*$AE$21</f>
        <v>0</v>
      </c>
      <c r="AF73" s="30">
        <f ca="1">$I$21*$AF$21</f>
        <v>168487.75370673684</v>
      </c>
      <c r="AG73" s="30">
        <f ca="1">$I$21*$AG$21</f>
        <v>17059.086037249239</v>
      </c>
      <c r="AI73" s="30">
        <f>$I$21*$AI$21</f>
        <v>0</v>
      </c>
      <c r="AJ73" s="30">
        <f>$I$21*$AJ$21</f>
        <v>7326.0373666598935</v>
      </c>
      <c r="AK73" s="30">
        <f>$I$21*$AK$21</f>
        <v>11073.731067610244</v>
      </c>
      <c r="AL73" s="30">
        <f>$I$21*$AL$21</f>
        <v>0</v>
      </c>
      <c r="AM73" s="30">
        <f>$I$21*$AM$21</f>
        <v>0</v>
      </c>
      <c r="AN73" s="30">
        <f>$I$21*$AN$21</f>
        <v>0</v>
      </c>
      <c r="AO73" s="30">
        <f>$I$21*$AO$21</f>
        <v>0</v>
      </c>
      <c r="AP73" s="30">
        <f>$I$21*$AP$21</f>
        <v>0</v>
      </c>
      <c r="AQ73" s="30">
        <f>$I$21*$AQ$21</f>
        <v>0</v>
      </c>
      <c r="AR73" s="30">
        <f>$I$21*$AR$21</f>
        <v>0</v>
      </c>
      <c r="AS73" s="30">
        <f>$I$21*$AS$21</f>
        <v>18318.577024208331</v>
      </c>
      <c r="AT73" s="30">
        <f>$I$21*$AT$21</f>
        <v>0</v>
      </c>
      <c r="AU73" s="30">
        <f>$I$21*$AU$21</f>
        <v>0</v>
      </c>
      <c r="AV73" s="30">
        <f>$I$21*$AV$21</f>
        <v>0</v>
      </c>
      <c r="AW73" s="30">
        <f>$I$21*$AW$21</f>
        <v>0</v>
      </c>
      <c r="AX73" s="30">
        <f>$I$21*$AX$21</f>
        <v>683060.678272511</v>
      </c>
      <c r="AY73" s="30">
        <f>$I$21*$AY$21</f>
        <v>0</v>
      </c>
      <c r="AZ73" s="30">
        <f>$I$21*$AZ$21</f>
        <v>0</v>
      </c>
      <c r="BA73" s="30">
        <f>$I$21*$BA$21</f>
        <v>102176.41919535137</v>
      </c>
      <c r="BB73" s="30">
        <f>$I$21*$BB$21</f>
        <v>0</v>
      </c>
      <c r="BC73" s="30">
        <f>$I$21*$BC$21</f>
        <v>147616.68220615754</v>
      </c>
      <c r="BD73" s="30">
        <f>$I$21*$BD$21</f>
        <v>10941.207139263686</v>
      </c>
    </row>
    <row r="74" spans="1:56" ht="11.25" customHeight="1" x14ac:dyDescent="0.25">
      <c r="A74" s="9" t="s">
        <v>22</v>
      </c>
      <c r="B74" s="9" t="s">
        <v>904</v>
      </c>
      <c r="C74" s="9" t="s">
        <v>905</v>
      </c>
      <c r="D74" s="9" t="s">
        <v>914</v>
      </c>
      <c r="E74" s="9" t="s">
        <v>915</v>
      </c>
      <c r="F74" s="9" t="s">
        <v>916</v>
      </c>
      <c r="G74" s="9" t="s">
        <v>917</v>
      </c>
      <c r="L74" s="30">
        <f>$I$22*$L$22</f>
        <v>0</v>
      </c>
      <c r="M74" s="30">
        <f>$I$22*$M$22</f>
        <v>10421.511121642359</v>
      </c>
      <c r="N74" s="30">
        <f ca="1">$I$22*$N$22</f>
        <v>46471.425596946305</v>
      </c>
      <c r="O74" s="30">
        <f>$I$22*$O$22</f>
        <v>0</v>
      </c>
      <c r="P74" s="30">
        <f>$I$22*$P$22</f>
        <v>0</v>
      </c>
      <c r="Q74" s="30">
        <f>$I$22*$Q$22</f>
        <v>0</v>
      </c>
      <c r="R74" s="30">
        <f>$I$22*$R$22</f>
        <v>0</v>
      </c>
      <c r="S74" s="30">
        <f>$I$22*$S$22</f>
        <v>0</v>
      </c>
      <c r="T74" s="30">
        <f>$I$22*$T$22</f>
        <v>0</v>
      </c>
      <c r="U74" s="30">
        <f>$I$22*$U$22</f>
        <v>0</v>
      </c>
      <c r="V74" s="30">
        <f>$I$22*$V$22</f>
        <v>23293.523529875427</v>
      </c>
      <c r="W74" s="30">
        <f>$I$22*$W$22</f>
        <v>0</v>
      </c>
      <c r="X74" s="30">
        <f>$I$22*$X$22</f>
        <v>0</v>
      </c>
      <c r="Y74" s="30">
        <f>$I$22*$Y$22</f>
        <v>0</v>
      </c>
      <c r="Z74" s="30">
        <f>$I$22*$Z$22</f>
        <v>0</v>
      </c>
      <c r="AA74" s="30">
        <f>$I$22*$AA$22</f>
        <v>3207299.7244199538</v>
      </c>
      <c r="AB74" s="30">
        <f ca="1">$I$22*$AB$22</f>
        <v>0</v>
      </c>
      <c r="AC74" s="30">
        <f ca="1">$I$22*$AC$22</f>
        <v>0</v>
      </c>
      <c r="AD74" s="30">
        <f>$I$22*$AD$22</f>
        <v>452437.23621100339</v>
      </c>
      <c r="AE74" s="30">
        <f>$I$22*$AE$22</f>
        <v>0</v>
      </c>
      <c r="AF74" s="30">
        <f ca="1">$I$22*$AF$22</f>
        <v>599198.63114916952</v>
      </c>
      <c r="AG74" s="30">
        <f ca="1">$I$22*$AG$22</f>
        <v>60667.797969265383</v>
      </c>
      <c r="AI74" s="30">
        <f>$I$22*$AI$22</f>
        <v>0</v>
      </c>
      <c r="AJ74" s="30">
        <f>$I$22*$AJ$22</f>
        <v>26053.831600668807</v>
      </c>
      <c r="AK74" s="30">
        <f>$I$22*$AK$22</f>
        <v>39381.879996900876</v>
      </c>
      <c r="AL74" s="30">
        <f>$I$22*$AL$22</f>
        <v>0</v>
      </c>
      <c r="AM74" s="30">
        <f>$I$22*$AM$22</f>
        <v>0</v>
      </c>
      <c r="AN74" s="30">
        <f>$I$22*$AN$22</f>
        <v>0</v>
      </c>
      <c r="AO74" s="30">
        <f>$I$22*$AO$22</f>
        <v>0</v>
      </c>
      <c r="AP74" s="30">
        <f>$I$22*$AP$22</f>
        <v>0</v>
      </c>
      <c r="AQ74" s="30">
        <f>$I$22*$AQ$22</f>
        <v>0</v>
      </c>
      <c r="AR74" s="30">
        <f>$I$22*$AR$22</f>
        <v>0</v>
      </c>
      <c r="AS74" s="30">
        <f>$I$22*$AS$22</f>
        <v>65146.967871691275</v>
      </c>
      <c r="AT74" s="30">
        <f>$I$22*$AT$22</f>
        <v>0</v>
      </c>
      <c r="AU74" s="30">
        <f>$I$22*$AU$22</f>
        <v>0</v>
      </c>
      <c r="AV74" s="30">
        <f>$I$22*$AV$22</f>
        <v>0</v>
      </c>
      <c r="AW74" s="30">
        <f>$I$22*$AW$22</f>
        <v>0</v>
      </c>
      <c r="AX74" s="30">
        <f>$I$22*$AX$22</f>
        <v>2429191.5252493848</v>
      </c>
      <c r="AY74" s="30">
        <f>$I$22*$AY$22</f>
        <v>0</v>
      </c>
      <c r="AZ74" s="30">
        <f>$I$22*$AZ$22</f>
        <v>0</v>
      </c>
      <c r="BA74" s="30">
        <f>$I$22*$BA$22</f>
        <v>363373.41540051729</v>
      </c>
      <c r="BB74" s="30">
        <f>$I$22*$BB$22</f>
        <v>0</v>
      </c>
      <c r="BC74" s="30">
        <f>$I$22*$BC$22</f>
        <v>524974.14183980948</v>
      </c>
      <c r="BD74" s="30">
        <f>$I$22*$BD$22</f>
        <v>38910.580720171376</v>
      </c>
    </row>
    <row r="75" spans="1:56" ht="11.25" customHeight="1" x14ac:dyDescent="0.25">
      <c r="A75" s="9" t="s">
        <v>22</v>
      </c>
      <c r="B75" s="9" t="s">
        <v>904</v>
      </c>
      <c r="C75" s="9" t="s">
        <v>905</v>
      </c>
      <c r="D75" s="9" t="s">
        <v>918</v>
      </c>
      <c r="E75" s="9" t="s">
        <v>919</v>
      </c>
      <c r="F75" s="9" t="s">
        <v>920</v>
      </c>
      <c r="G75" s="9" t="s">
        <v>921</v>
      </c>
      <c r="L75" s="30">
        <f>$I$23*$L$23</f>
        <v>0</v>
      </c>
      <c r="M75" s="30">
        <f>$I$23*$M$23</f>
        <v>18507.072386649575</v>
      </c>
      <c r="N75" s="30">
        <f ca="1">$I$23*$N$23</f>
        <v>82526.423221620775</v>
      </c>
      <c r="O75" s="30">
        <f>$I$23*$O$23</f>
        <v>0</v>
      </c>
      <c r="P75" s="30">
        <f>$I$23*$P$23</f>
        <v>0</v>
      </c>
      <c r="Q75" s="30">
        <f>$I$23*$Q$23</f>
        <v>0</v>
      </c>
      <c r="R75" s="30">
        <f>$I$23*$R$23</f>
        <v>0</v>
      </c>
      <c r="S75" s="30">
        <f>$I$23*$S$23</f>
        <v>0</v>
      </c>
      <c r="T75" s="30">
        <f>$I$23*$T$23</f>
        <v>0</v>
      </c>
      <c r="U75" s="30">
        <f>$I$23*$U$23</f>
        <v>0</v>
      </c>
      <c r="V75" s="30">
        <f>$I$23*$V$23</f>
        <v>41365.874974913626</v>
      </c>
      <c r="W75" s="30">
        <f>$I$23*$W$23</f>
        <v>0</v>
      </c>
      <c r="X75" s="30">
        <f>$I$23*$X$23</f>
        <v>0</v>
      </c>
      <c r="Y75" s="30">
        <f>$I$23*$Y$23</f>
        <v>0</v>
      </c>
      <c r="Z75" s="30">
        <f>$I$23*$Z$23</f>
        <v>0</v>
      </c>
      <c r="AA75" s="30">
        <f>$I$23*$AA$23</f>
        <v>5695693.0211639926</v>
      </c>
      <c r="AB75" s="30">
        <f ca="1">$I$23*$AB$23</f>
        <v>0</v>
      </c>
      <c r="AC75" s="30">
        <f ca="1">$I$23*$AC$23</f>
        <v>0</v>
      </c>
      <c r="AD75" s="30">
        <f>$I$23*$AD$23</f>
        <v>803462.04914409178</v>
      </c>
      <c r="AE75" s="30">
        <f>$I$23*$AE$23</f>
        <v>0</v>
      </c>
      <c r="AF75" s="30">
        <f ca="1">$I$23*$AF$23</f>
        <v>1064088.7210329438</v>
      </c>
      <c r="AG75" s="30">
        <f ca="1">$I$23*$AG$23</f>
        <v>107737.09450102122</v>
      </c>
      <c r="AI75" s="30">
        <f>$I$23*$AI$23</f>
        <v>0</v>
      </c>
      <c r="AJ75" s="30">
        <f>$I$23*$AJ$23</f>
        <v>46267.77650141465</v>
      </c>
      <c r="AK75" s="30">
        <f>$I$23*$AK$23</f>
        <v>69936.431993187827</v>
      </c>
      <c r="AL75" s="30">
        <f>$I$23*$AL$23</f>
        <v>0</v>
      </c>
      <c r="AM75" s="30">
        <f>$I$23*$AM$23</f>
        <v>0</v>
      </c>
      <c r="AN75" s="30">
        <f>$I$23*$AN$23</f>
        <v>0</v>
      </c>
      <c r="AO75" s="30">
        <f>$I$23*$AO$23</f>
        <v>0</v>
      </c>
      <c r="AP75" s="30">
        <f>$I$23*$AP$23</f>
        <v>0</v>
      </c>
      <c r="AQ75" s="30">
        <f>$I$23*$AQ$23</f>
        <v>0</v>
      </c>
      <c r="AR75" s="30">
        <f>$I$23*$AR$23</f>
        <v>0</v>
      </c>
      <c r="AS75" s="30">
        <f>$I$23*$AS$23</f>
        <v>115691.44206623659</v>
      </c>
      <c r="AT75" s="30">
        <f>$I$23*$AT$23</f>
        <v>0</v>
      </c>
      <c r="AU75" s="30">
        <f>$I$23*$AU$23</f>
        <v>0</v>
      </c>
      <c r="AV75" s="30">
        <f>$I$23*$AV$23</f>
        <v>0</v>
      </c>
      <c r="AW75" s="30">
        <f>$I$23*$AW$23</f>
        <v>0</v>
      </c>
      <c r="AX75" s="30">
        <f>$I$23*$AX$23</f>
        <v>4313887.1967869895</v>
      </c>
      <c r="AY75" s="30">
        <f>$I$23*$AY$23</f>
        <v>0</v>
      </c>
      <c r="AZ75" s="30">
        <f>$I$23*$AZ$23</f>
        <v>0</v>
      </c>
      <c r="BA75" s="30">
        <f>$I$23*$BA$23</f>
        <v>645297.79066643142</v>
      </c>
      <c r="BB75" s="30">
        <f>$I$23*$BB$23</f>
        <v>0</v>
      </c>
      <c r="BC75" s="30">
        <f>$I$23*$BC$23</f>
        <v>932276.93476927013</v>
      </c>
      <c r="BD75" s="30">
        <f>$I$23*$BD$23</f>
        <v>69099.473731722654</v>
      </c>
    </row>
    <row r="76" spans="1:56" ht="11.25" customHeight="1" x14ac:dyDescent="0.25">
      <c r="A76" s="9" t="s">
        <v>22</v>
      </c>
      <c r="B76" s="9" t="s">
        <v>904</v>
      </c>
      <c r="C76" s="9" t="s">
        <v>905</v>
      </c>
      <c r="D76" s="9" t="s">
        <v>922</v>
      </c>
      <c r="E76" s="9" t="s">
        <v>923</v>
      </c>
      <c r="F76" s="9" t="s">
        <v>924</v>
      </c>
      <c r="G76" s="9" t="s">
        <v>925</v>
      </c>
      <c r="L76" s="30">
        <f>$I$24*$L$24</f>
        <v>0</v>
      </c>
      <c r="M76" s="30">
        <f>$I$24*$M$24</f>
        <v>22615.979565926158</v>
      </c>
      <c r="N76" s="30">
        <f ca="1">$I$24*$N$24</f>
        <v>100848.7924095182</v>
      </c>
      <c r="O76" s="30">
        <f>$I$24*$O$24</f>
        <v>0</v>
      </c>
      <c r="P76" s="30">
        <f>$I$24*$P$24</f>
        <v>0</v>
      </c>
      <c r="Q76" s="30">
        <f>$I$24*$Q$24</f>
        <v>0</v>
      </c>
      <c r="R76" s="30">
        <f>$I$24*$R$24</f>
        <v>0</v>
      </c>
      <c r="S76" s="30">
        <f>$I$24*$S$24</f>
        <v>0</v>
      </c>
      <c r="T76" s="30">
        <f>$I$24*$T$24</f>
        <v>0</v>
      </c>
      <c r="U76" s="30">
        <f>$I$24*$U$24</f>
        <v>0</v>
      </c>
      <c r="V76" s="30">
        <f>$I$24*$V$24</f>
        <v>50549.852705723722</v>
      </c>
      <c r="W76" s="30">
        <f>$I$24*$W$24</f>
        <v>0</v>
      </c>
      <c r="X76" s="30">
        <f>$I$24*$X$24</f>
        <v>0</v>
      </c>
      <c r="Y76" s="30">
        <f>$I$24*$Y$24</f>
        <v>0</v>
      </c>
      <c r="Z76" s="30">
        <f>$I$24*$Z$24</f>
        <v>0</v>
      </c>
      <c r="AA76" s="30">
        <f>$I$24*$AA$24</f>
        <v>6960240.6198700154</v>
      </c>
      <c r="AB76" s="30">
        <f ca="1">$I$24*$AB$24</f>
        <v>0</v>
      </c>
      <c r="AC76" s="30">
        <f ca="1">$I$24*$AC$24</f>
        <v>0</v>
      </c>
      <c r="AD76" s="30">
        <f>$I$24*$AD$24</f>
        <v>981845.2592506198</v>
      </c>
      <c r="AE76" s="30">
        <f>$I$24*$AE$24</f>
        <v>0</v>
      </c>
      <c r="AF76" s="30">
        <f ca="1">$I$24*$AF$24</f>
        <v>1300335.7996575187</v>
      </c>
      <c r="AG76" s="30">
        <f ca="1">$I$24*$AG$24</f>
        <v>131656.69192956874</v>
      </c>
      <c r="AI76" s="30">
        <f>$I$24*$AI$24</f>
        <v>0</v>
      </c>
      <c r="AJ76" s="30">
        <f>$I$24*$AJ$24</f>
        <v>56540.065660069638</v>
      </c>
      <c r="AK76" s="30">
        <f>$I$24*$AK$24</f>
        <v>85463.59379956247</v>
      </c>
      <c r="AL76" s="30">
        <f>$I$24*$AL$24</f>
        <v>0</v>
      </c>
      <c r="AM76" s="30">
        <f>$I$24*$AM$24</f>
        <v>0</v>
      </c>
      <c r="AN76" s="30">
        <f>$I$24*$AN$24</f>
        <v>0</v>
      </c>
      <c r="AO76" s="30">
        <f>$I$24*$AO$24</f>
        <v>0</v>
      </c>
      <c r="AP76" s="30">
        <f>$I$24*$AP$24</f>
        <v>0</v>
      </c>
      <c r="AQ76" s="30">
        <f>$I$24*$AQ$24</f>
        <v>0</v>
      </c>
      <c r="AR76" s="30">
        <f>$I$24*$AR$24</f>
        <v>0</v>
      </c>
      <c r="AS76" s="30">
        <f>$I$24*$AS$24</f>
        <v>141377.04954404224</v>
      </c>
      <c r="AT76" s="30">
        <f>$I$24*$AT$24</f>
        <v>0</v>
      </c>
      <c r="AU76" s="30">
        <f>$I$24*$AU$24</f>
        <v>0</v>
      </c>
      <c r="AV76" s="30">
        <f>$I$24*$AV$24</f>
        <v>0</v>
      </c>
      <c r="AW76" s="30">
        <f>$I$24*$AW$24</f>
        <v>0</v>
      </c>
      <c r="AX76" s="30">
        <f>$I$24*$AX$24</f>
        <v>5271648.7326555131</v>
      </c>
      <c r="AY76" s="30">
        <f>$I$24*$AY$24</f>
        <v>0</v>
      </c>
      <c r="AZ76" s="30">
        <f>$I$24*$AZ$24</f>
        <v>0</v>
      </c>
      <c r="BA76" s="30">
        <f>$I$24*$BA$24</f>
        <v>788565.65440231538</v>
      </c>
      <c r="BB76" s="30">
        <f>$I$24*$BB$24</f>
        <v>0</v>
      </c>
      <c r="BC76" s="30">
        <f>$I$24*$BC$24</f>
        <v>1139259.3958694253</v>
      </c>
      <c r="BD76" s="30">
        <f>$I$24*$BD$24</f>
        <v>84440.815558716597</v>
      </c>
    </row>
    <row r="77" spans="1:56" ht="11.25" customHeight="1" x14ac:dyDescent="0.25">
      <c r="A77" s="9" t="s">
        <v>22</v>
      </c>
      <c r="B77" s="9" t="s">
        <v>926</v>
      </c>
      <c r="C77" s="9" t="s">
        <v>927</v>
      </c>
      <c r="D77" s="9" t="s">
        <v>928</v>
      </c>
      <c r="E77" s="9" t="s">
        <v>929</v>
      </c>
      <c r="F77" s="9" t="s">
        <v>930</v>
      </c>
      <c r="G77" s="9" t="s">
        <v>931</v>
      </c>
      <c r="L77" s="30">
        <f>$I$25*$L$25</f>
        <v>0</v>
      </c>
      <c r="M77" s="30">
        <f>$I$25*$M$25</f>
        <v>0</v>
      </c>
      <c r="N77" s="30">
        <f ca="1">$I$25*$N$25</f>
        <v>0</v>
      </c>
      <c r="O77" s="30">
        <f>$I$25*$O$25</f>
        <v>0</v>
      </c>
      <c r="P77" s="30">
        <f>$I$25*$P$25</f>
        <v>0</v>
      </c>
      <c r="Q77" s="30">
        <f>$I$25*$Q$25</f>
        <v>0</v>
      </c>
      <c r="R77" s="30">
        <f>$I$25*$R$25</f>
        <v>0</v>
      </c>
      <c r="S77" s="30">
        <f>$I$25*$S$25</f>
        <v>0</v>
      </c>
      <c r="T77" s="30">
        <f>$I$25*$T$25</f>
        <v>0</v>
      </c>
      <c r="U77" s="30">
        <f>$I$25*$U$25</f>
        <v>0</v>
      </c>
      <c r="V77" s="30">
        <f>$I$25*$V$25</f>
        <v>0</v>
      </c>
      <c r="W77" s="30">
        <f>$I$25*$W$25</f>
        <v>0</v>
      </c>
      <c r="X77" s="30">
        <f>$I$25*$X$25</f>
        <v>0</v>
      </c>
      <c r="Y77" s="30">
        <f>$I$25*$Y$25</f>
        <v>0</v>
      </c>
      <c r="Z77" s="30">
        <f>$I$25*$Z$25</f>
        <v>0</v>
      </c>
      <c r="AA77" s="30">
        <f>$I$25*$AA$25</f>
        <v>0</v>
      </c>
      <c r="AB77" s="30">
        <f ca="1">$I$25*$AB$25</f>
        <v>0</v>
      </c>
      <c r="AC77" s="30">
        <f ca="1">$I$25*$AC$25</f>
        <v>0</v>
      </c>
      <c r="AD77" s="30">
        <f>$I$25*$AD$25</f>
        <v>0</v>
      </c>
      <c r="AE77" s="30">
        <f>$I$25*$AE$25</f>
        <v>0</v>
      </c>
      <c r="AF77" s="30">
        <f ca="1">$I$25*$AF$25</f>
        <v>0</v>
      </c>
      <c r="AG77" s="30">
        <f ca="1">$I$25*$AG$25</f>
        <v>0</v>
      </c>
      <c r="AI77" s="30">
        <f>$I$25*$AI$25</f>
        <v>0</v>
      </c>
      <c r="AJ77" s="30">
        <f>$I$25*$AJ$25</f>
        <v>0</v>
      </c>
      <c r="AK77" s="30">
        <f>$I$25*$AK$25</f>
        <v>0</v>
      </c>
      <c r="AL77" s="30">
        <f>$I$25*$AL$25</f>
        <v>0</v>
      </c>
      <c r="AM77" s="30">
        <f>$I$25*$AM$25</f>
        <v>0</v>
      </c>
      <c r="AN77" s="30">
        <f>$I$25*$AN$25</f>
        <v>0</v>
      </c>
      <c r="AO77" s="30">
        <f>$I$25*$AO$25</f>
        <v>0</v>
      </c>
      <c r="AP77" s="30">
        <f>$I$25*$AP$25</f>
        <v>0</v>
      </c>
      <c r="AQ77" s="30">
        <f>$I$25*$AQ$25</f>
        <v>0</v>
      </c>
      <c r="AR77" s="30">
        <f>$I$25*$AR$25</f>
        <v>0</v>
      </c>
      <c r="AS77" s="30">
        <f>$I$25*$AS$25</f>
        <v>0</v>
      </c>
      <c r="AT77" s="30">
        <f>$I$25*$AT$25</f>
        <v>0</v>
      </c>
      <c r="AU77" s="30">
        <f>$I$25*$AU$25</f>
        <v>0</v>
      </c>
      <c r="AV77" s="30">
        <f>$I$25*$AV$25</f>
        <v>0</v>
      </c>
      <c r="AW77" s="30">
        <f>$I$25*$AW$25</f>
        <v>0</v>
      </c>
      <c r="AX77" s="30">
        <f>$I$25*$AX$25</f>
        <v>0</v>
      </c>
      <c r="AY77" s="30">
        <f>$I$25*$AY$25</f>
        <v>0</v>
      </c>
      <c r="AZ77" s="30">
        <f>$I$25*$AZ$25</f>
        <v>0</v>
      </c>
      <c r="BA77" s="30">
        <f>$I$25*$BA$25</f>
        <v>0</v>
      </c>
      <c r="BB77" s="30">
        <f>$I$25*$BB$25</f>
        <v>0</v>
      </c>
      <c r="BC77" s="30">
        <f>$I$25*$BC$25</f>
        <v>0</v>
      </c>
      <c r="BD77" s="30">
        <f>$I$25*$BD$25</f>
        <v>0</v>
      </c>
    </row>
    <row r="78" spans="1:56" ht="11.25" customHeight="1" x14ac:dyDescent="0.25">
      <c r="A78" s="9" t="s">
        <v>22</v>
      </c>
      <c r="B78" s="9" t="s">
        <v>926</v>
      </c>
      <c r="C78" s="9" t="s">
        <v>927</v>
      </c>
      <c r="D78" s="9" t="s">
        <v>932</v>
      </c>
      <c r="E78" s="9" t="s">
        <v>933</v>
      </c>
      <c r="F78" s="9" t="s">
        <v>934</v>
      </c>
      <c r="G78" s="9" t="s">
        <v>935</v>
      </c>
      <c r="L78" s="30">
        <f>$I$26*$L$26</f>
        <v>0</v>
      </c>
      <c r="M78" s="30">
        <f>$I$26*$M$26</f>
        <v>0</v>
      </c>
      <c r="N78" s="30">
        <f ca="1">$I$26*$N$26</f>
        <v>0</v>
      </c>
      <c r="O78" s="30">
        <f>$I$26*$O$26</f>
        <v>0</v>
      </c>
      <c r="P78" s="30">
        <f>$I$26*$P$26</f>
        <v>0</v>
      </c>
      <c r="Q78" s="30">
        <f>$I$26*$Q$26</f>
        <v>0</v>
      </c>
      <c r="R78" s="30">
        <f>$I$26*$R$26</f>
        <v>0</v>
      </c>
      <c r="S78" s="30">
        <f>$I$26*$S$26</f>
        <v>0</v>
      </c>
      <c r="T78" s="30">
        <f>$I$26*$T$26</f>
        <v>0</v>
      </c>
      <c r="U78" s="30">
        <f>$I$26*$U$26</f>
        <v>0</v>
      </c>
      <c r="V78" s="30">
        <f>$I$26*$V$26</f>
        <v>0</v>
      </c>
      <c r="W78" s="30">
        <f>$I$26*$W$26</f>
        <v>0</v>
      </c>
      <c r="X78" s="30">
        <f>$I$26*$X$26</f>
        <v>0</v>
      </c>
      <c r="Y78" s="30">
        <f>$I$26*$Y$26</f>
        <v>0</v>
      </c>
      <c r="Z78" s="30">
        <f>$I$26*$Z$26</f>
        <v>0</v>
      </c>
      <c r="AA78" s="30">
        <f>$I$26*$AA$26</f>
        <v>0</v>
      </c>
      <c r="AB78" s="30">
        <f ca="1">$I$26*$AB$26</f>
        <v>0</v>
      </c>
      <c r="AC78" s="30">
        <f ca="1">$I$26*$AC$26</f>
        <v>0</v>
      </c>
      <c r="AD78" s="30">
        <f>$I$26*$AD$26</f>
        <v>0</v>
      </c>
      <c r="AE78" s="30">
        <f>$I$26*$AE$26</f>
        <v>0</v>
      </c>
      <c r="AF78" s="30">
        <f ca="1">$I$26*$AF$26</f>
        <v>0</v>
      </c>
      <c r="AG78" s="30">
        <f ca="1">$I$26*$AG$26</f>
        <v>0</v>
      </c>
      <c r="AI78" s="30">
        <f>$I$26*$AI$26</f>
        <v>0</v>
      </c>
      <c r="AJ78" s="30">
        <f>$I$26*$AJ$26</f>
        <v>0</v>
      </c>
      <c r="AK78" s="30">
        <f>$I$26*$AK$26</f>
        <v>0</v>
      </c>
      <c r="AL78" s="30">
        <f>$I$26*$AL$26</f>
        <v>0</v>
      </c>
      <c r="AM78" s="30">
        <f>$I$26*$AM$26</f>
        <v>0</v>
      </c>
      <c r="AN78" s="30">
        <f>$I$26*$AN$26</f>
        <v>0</v>
      </c>
      <c r="AO78" s="30">
        <f>$I$26*$AO$26</f>
        <v>0</v>
      </c>
      <c r="AP78" s="30">
        <f>$I$26*$AP$26</f>
        <v>0</v>
      </c>
      <c r="AQ78" s="30">
        <f>$I$26*$AQ$26</f>
        <v>0</v>
      </c>
      <c r="AR78" s="30">
        <f>$I$26*$AR$26</f>
        <v>0</v>
      </c>
      <c r="AS78" s="30">
        <f>$I$26*$AS$26</f>
        <v>0</v>
      </c>
      <c r="AT78" s="30">
        <f>$I$26*$AT$26</f>
        <v>0</v>
      </c>
      <c r="AU78" s="30">
        <f>$I$26*$AU$26</f>
        <v>0</v>
      </c>
      <c r="AV78" s="30">
        <f>$I$26*$AV$26</f>
        <v>0</v>
      </c>
      <c r="AW78" s="30">
        <f>$I$26*$AW$26</f>
        <v>0</v>
      </c>
      <c r="AX78" s="30">
        <f>$I$26*$AX$26</f>
        <v>0</v>
      </c>
      <c r="AY78" s="30">
        <f>$I$26*$AY$26</f>
        <v>0</v>
      </c>
      <c r="AZ78" s="30">
        <f>$I$26*$AZ$26</f>
        <v>0</v>
      </c>
      <c r="BA78" s="30">
        <f>$I$26*$BA$26</f>
        <v>0</v>
      </c>
      <c r="BB78" s="30">
        <f>$I$26*$BB$26</f>
        <v>0</v>
      </c>
      <c r="BC78" s="30">
        <f>$I$26*$BC$26</f>
        <v>0</v>
      </c>
      <c r="BD78" s="30">
        <f>$I$26*$BD$26</f>
        <v>0</v>
      </c>
    </row>
    <row r="79" spans="1:56" ht="11.25" customHeight="1" x14ac:dyDescent="0.25">
      <c r="A79" s="9" t="s">
        <v>22</v>
      </c>
      <c r="B79" s="9" t="s">
        <v>926</v>
      </c>
      <c r="C79" s="9" t="s">
        <v>927</v>
      </c>
      <c r="D79" s="9" t="s">
        <v>936</v>
      </c>
      <c r="E79" s="9" t="s">
        <v>937</v>
      </c>
      <c r="F79" s="9" t="s">
        <v>938</v>
      </c>
      <c r="G79" s="9" t="s">
        <v>939</v>
      </c>
      <c r="L79" s="30">
        <f>$I$27*$L$27</f>
        <v>0</v>
      </c>
      <c r="M79" s="30">
        <f>$I$27*$M$27</f>
        <v>0</v>
      </c>
      <c r="N79" s="30">
        <f ca="1">$I$27*$N$27</f>
        <v>0</v>
      </c>
      <c r="O79" s="30">
        <f>$I$27*$O$27</f>
        <v>0</v>
      </c>
      <c r="P79" s="30">
        <f>$I$27*$P$27</f>
        <v>0</v>
      </c>
      <c r="Q79" s="30">
        <f>$I$27*$Q$27</f>
        <v>0</v>
      </c>
      <c r="R79" s="30">
        <f>$I$27*$R$27</f>
        <v>0</v>
      </c>
      <c r="S79" s="30">
        <f>$I$27*$S$27</f>
        <v>0</v>
      </c>
      <c r="T79" s="30">
        <f>$I$27*$T$27</f>
        <v>0</v>
      </c>
      <c r="U79" s="30">
        <f>$I$27*$U$27</f>
        <v>0</v>
      </c>
      <c r="V79" s="30">
        <f>$I$27*$V$27</f>
        <v>0</v>
      </c>
      <c r="W79" s="30">
        <f>$I$27*$W$27</f>
        <v>0</v>
      </c>
      <c r="X79" s="30">
        <f>$I$27*$X$27</f>
        <v>0</v>
      </c>
      <c r="Y79" s="30">
        <f>$I$27*$Y$27</f>
        <v>0</v>
      </c>
      <c r="Z79" s="30">
        <f>$I$27*$Z$27</f>
        <v>0</v>
      </c>
      <c r="AA79" s="30">
        <f>$I$27*$AA$27</f>
        <v>0</v>
      </c>
      <c r="AB79" s="30">
        <f ca="1">$I$27*$AB$27</f>
        <v>0</v>
      </c>
      <c r="AC79" s="30">
        <f ca="1">$I$27*$AC$27</f>
        <v>0</v>
      </c>
      <c r="AD79" s="30">
        <f>$I$27*$AD$27</f>
        <v>0</v>
      </c>
      <c r="AE79" s="30">
        <f>$I$27*$AE$27</f>
        <v>0</v>
      </c>
      <c r="AF79" s="30">
        <f ca="1">$I$27*$AF$27</f>
        <v>0</v>
      </c>
      <c r="AG79" s="30">
        <f ca="1">$I$27*$AG$27</f>
        <v>0</v>
      </c>
      <c r="AI79" s="30">
        <f>$I$27*$AI$27</f>
        <v>0</v>
      </c>
      <c r="AJ79" s="30">
        <f>$I$27*$AJ$27</f>
        <v>0</v>
      </c>
      <c r="AK79" s="30">
        <f>$I$27*$AK$27</f>
        <v>0</v>
      </c>
      <c r="AL79" s="30">
        <f>$I$27*$AL$27</f>
        <v>0</v>
      </c>
      <c r="AM79" s="30">
        <f>$I$27*$AM$27</f>
        <v>0</v>
      </c>
      <c r="AN79" s="30">
        <f>$I$27*$AN$27</f>
        <v>0</v>
      </c>
      <c r="AO79" s="30">
        <f>$I$27*$AO$27</f>
        <v>0</v>
      </c>
      <c r="AP79" s="30">
        <f>$I$27*$AP$27</f>
        <v>0</v>
      </c>
      <c r="AQ79" s="30">
        <f>$I$27*$AQ$27</f>
        <v>0</v>
      </c>
      <c r="AR79" s="30">
        <f>$I$27*$AR$27</f>
        <v>0</v>
      </c>
      <c r="AS79" s="30">
        <f>$I$27*$AS$27</f>
        <v>0</v>
      </c>
      <c r="AT79" s="30">
        <f>$I$27*$AT$27</f>
        <v>0</v>
      </c>
      <c r="AU79" s="30">
        <f>$I$27*$AU$27</f>
        <v>0</v>
      </c>
      <c r="AV79" s="30">
        <f>$I$27*$AV$27</f>
        <v>0</v>
      </c>
      <c r="AW79" s="30">
        <f>$I$27*$AW$27</f>
        <v>0</v>
      </c>
      <c r="AX79" s="30">
        <f>$I$27*$AX$27</f>
        <v>0</v>
      </c>
      <c r="AY79" s="30">
        <f>$I$27*$AY$27</f>
        <v>0</v>
      </c>
      <c r="AZ79" s="30">
        <f>$I$27*$AZ$27</f>
        <v>0</v>
      </c>
      <c r="BA79" s="30">
        <f>$I$27*$BA$27</f>
        <v>0</v>
      </c>
      <c r="BB79" s="30">
        <f>$I$27*$BB$27</f>
        <v>0</v>
      </c>
      <c r="BC79" s="30">
        <f>$I$27*$BC$27</f>
        <v>0</v>
      </c>
      <c r="BD79" s="30">
        <f>$I$27*$BD$27</f>
        <v>0</v>
      </c>
    </row>
    <row r="80" spans="1:56" ht="11.25" customHeight="1" x14ac:dyDescent="0.25">
      <c r="A80" s="9" t="s">
        <v>22</v>
      </c>
      <c r="B80" s="9" t="s">
        <v>926</v>
      </c>
      <c r="C80" s="9" t="s">
        <v>927</v>
      </c>
      <c r="D80" s="9" t="s">
        <v>940</v>
      </c>
      <c r="E80" s="9" t="s">
        <v>941</v>
      </c>
      <c r="F80" s="9" t="s">
        <v>942</v>
      </c>
      <c r="G80" s="9" t="s">
        <v>943</v>
      </c>
      <c r="L80" s="30">
        <f>$I$28*$L$28</f>
        <v>0</v>
      </c>
      <c r="M80" s="30">
        <f>$I$28*$M$28</f>
        <v>0</v>
      </c>
      <c r="N80" s="30">
        <f ca="1">$I$28*$N$28</f>
        <v>0</v>
      </c>
      <c r="O80" s="30">
        <f>$I$28*$O$28</f>
        <v>0</v>
      </c>
      <c r="P80" s="30">
        <f>$I$28*$P$28</f>
        <v>0</v>
      </c>
      <c r="Q80" s="30">
        <f>$I$28*$Q$28</f>
        <v>0</v>
      </c>
      <c r="R80" s="30">
        <f>$I$28*$R$28</f>
        <v>0</v>
      </c>
      <c r="S80" s="30">
        <f>$I$28*$S$28</f>
        <v>0</v>
      </c>
      <c r="T80" s="30">
        <f>$I$28*$T$28</f>
        <v>0</v>
      </c>
      <c r="U80" s="30">
        <f>$I$28*$U$28</f>
        <v>0</v>
      </c>
      <c r="V80" s="30">
        <f>$I$28*$V$28</f>
        <v>0</v>
      </c>
      <c r="W80" s="30">
        <f>$I$28*$W$28</f>
        <v>0</v>
      </c>
      <c r="X80" s="30">
        <f>$I$28*$X$28</f>
        <v>0</v>
      </c>
      <c r="Y80" s="30">
        <f>$I$28*$Y$28</f>
        <v>0</v>
      </c>
      <c r="Z80" s="30">
        <f>$I$28*$Z$28</f>
        <v>0</v>
      </c>
      <c r="AA80" s="30">
        <f>$I$28*$AA$28</f>
        <v>0</v>
      </c>
      <c r="AB80" s="30">
        <f ca="1">$I$28*$AB$28</f>
        <v>0</v>
      </c>
      <c r="AC80" s="30">
        <f ca="1">$I$28*$AC$28</f>
        <v>0</v>
      </c>
      <c r="AD80" s="30">
        <f>$I$28*$AD$28</f>
        <v>0</v>
      </c>
      <c r="AE80" s="30">
        <f>$I$28*$AE$28</f>
        <v>0</v>
      </c>
      <c r="AF80" s="30">
        <f ca="1">$I$28*$AF$28</f>
        <v>0</v>
      </c>
      <c r="AG80" s="30">
        <f ca="1">$I$28*$AG$28</f>
        <v>0</v>
      </c>
      <c r="AI80" s="30">
        <f>$I$28*$AI$28</f>
        <v>0</v>
      </c>
      <c r="AJ80" s="30">
        <f>$I$28*$AJ$28</f>
        <v>0</v>
      </c>
      <c r="AK80" s="30">
        <f>$I$28*$AK$28</f>
        <v>0</v>
      </c>
      <c r="AL80" s="30">
        <f>$I$28*$AL$28</f>
        <v>0</v>
      </c>
      <c r="AM80" s="30">
        <f>$I$28*$AM$28</f>
        <v>0</v>
      </c>
      <c r="AN80" s="30">
        <f>$I$28*$AN$28</f>
        <v>0</v>
      </c>
      <c r="AO80" s="30">
        <f>$I$28*$AO$28</f>
        <v>0</v>
      </c>
      <c r="AP80" s="30">
        <f>$I$28*$AP$28</f>
        <v>0</v>
      </c>
      <c r="AQ80" s="30">
        <f>$I$28*$AQ$28</f>
        <v>0</v>
      </c>
      <c r="AR80" s="30">
        <f>$I$28*$AR$28</f>
        <v>0</v>
      </c>
      <c r="AS80" s="30">
        <f>$I$28*$AS$28</f>
        <v>0</v>
      </c>
      <c r="AT80" s="30">
        <f>$I$28*$AT$28</f>
        <v>0</v>
      </c>
      <c r="AU80" s="30">
        <f>$I$28*$AU$28</f>
        <v>0</v>
      </c>
      <c r="AV80" s="30">
        <f>$I$28*$AV$28</f>
        <v>0</v>
      </c>
      <c r="AW80" s="30">
        <f>$I$28*$AW$28</f>
        <v>0</v>
      </c>
      <c r="AX80" s="30">
        <f>$I$28*$AX$28</f>
        <v>0</v>
      </c>
      <c r="AY80" s="30">
        <f>$I$28*$AY$28</f>
        <v>0</v>
      </c>
      <c r="AZ80" s="30">
        <f>$I$28*$AZ$28</f>
        <v>0</v>
      </c>
      <c r="BA80" s="30">
        <f>$I$28*$BA$28</f>
        <v>0</v>
      </c>
      <c r="BB80" s="30">
        <f>$I$28*$BB$28</f>
        <v>0</v>
      </c>
      <c r="BC80" s="30">
        <f>$I$28*$BC$28</f>
        <v>0</v>
      </c>
      <c r="BD80" s="30">
        <f>$I$28*$BD$28</f>
        <v>0</v>
      </c>
    </row>
    <row r="81" spans="1:56" ht="11.25" customHeight="1" x14ac:dyDescent="0.25">
      <c r="A81" s="9" t="s">
        <v>22</v>
      </c>
      <c r="B81" s="9" t="s">
        <v>926</v>
      </c>
      <c r="C81" s="9" t="s">
        <v>927</v>
      </c>
      <c r="D81" s="9" t="s">
        <v>944</v>
      </c>
      <c r="E81" s="9" t="s">
        <v>945</v>
      </c>
      <c r="F81" s="9" t="s">
        <v>946</v>
      </c>
      <c r="G81" s="9" t="s">
        <v>947</v>
      </c>
      <c r="L81" s="30">
        <f>$I$29*$L$29</f>
        <v>0</v>
      </c>
      <c r="M81" s="30">
        <f>$I$29*$M$29</f>
        <v>0</v>
      </c>
      <c r="N81" s="30">
        <f ca="1">$I$29*$N$29</f>
        <v>0</v>
      </c>
      <c r="O81" s="30">
        <f>$I$29*$O$29</f>
        <v>0</v>
      </c>
      <c r="P81" s="30">
        <f>$I$29*$P$29</f>
        <v>0</v>
      </c>
      <c r="Q81" s="30">
        <f>$I$29*$Q$29</f>
        <v>0</v>
      </c>
      <c r="R81" s="30">
        <f>$I$29*$R$29</f>
        <v>0</v>
      </c>
      <c r="S81" s="30">
        <f>$I$29*$S$29</f>
        <v>0</v>
      </c>
      <c r="T81" s="30">
        <f>$I$29*$T$29</f>
        <v>0</v>
      </c>
      <c r="U81" s="30">
        <f>$I$29*$U$29</f>
        <v>0</v>
      </c>
      <c r="V81" s="30">
        <f>$I$29*$V$29</f>
        <v>0</v>
      </c>
      <c r="W81" s="30">
        <f>$I$29*$W$29</f>
        <v>0</v>
      </c>
      <c r="X81" s="30">
        <f>$I$29*$X$29</f>
        <v>0</v>
      </c>
      <c r="Y81" s="30">
        <f>$I$29*$Y$29</f>
        <v>0</v>
      </c>
      <c r="Z81" s="30">
        <f>$I$29*$Z$29</f>
        <v>0</v>
      </c>
      <c r="AA81" s="30">
        <f>$I$29*$AA$29</f>
        <v>0</v>
      </c>
      <c r="AB81" s="30">
        <f ca="1">$I$29*$AB$29</f>
        <v>0</v>
      </c>
      <c r="AC81" s="30">
        <f ca="1">$I$29*$AC$29</f>
        <v>0</v>
      </c>
      <c r="AD81" s="30">
        <f>$I$29*$AD$29</f>
        <v>0</v>
      </c>
      <c r="AE81" s="30">
        <f>$I$29*$AE$29</f>
        <v>0</v>
      </c>
      <c r="AF81" s="30">
        <f ca="1">$I$29*$AF$29</f>
        <v>0</v>
      </c>
      <c r="AG81" s="30">
        <f ca="1">$I$29*$AG$29</f>
        <v>0</v>
      </c>
      <c r="AI81" s="30">
        <f>$I$29*$AI$29</f>
        <v>0</v>
      </c>
      <c r="AJ81" s="30">
        <f>$I$29*$AJ$29</f>
        <v>0</v>
      </c>
      <c r="AK81" s="30">
        <f>$I$29*$AK$29</f>
        <v>0</v>
      </c>
      <c r="AL81" s="30">
        <f>$I$29*$AL$29</f>
        <v>0</v>
      </c>
      <c r="AM81" s="30">
        <f>$I$29*$AM$29</f>
        <v>0</v>
      </c>
      <c r="AN81" s="30">
        <f>$I$29*$AN$29</f>
        <v>0</v>
      </c>
      <c r="AO81" s="30">
        <f>$I$29*$AO$29</f>
        <v>0</v>
      </c>
      <c r="AP81" s="30">
        <f>$I$29*$AP$29</f>
        <v>0</v>
      </c>
      <c r="AQ81" s="30">
        <f>$I$29*$AQ$29</f>
        <v>0</v>
      </c>
      <c r="AR81" s="30">
        <f>$I$29*$AR$29</f>
        <v>0</v>
      </c>
      <c r="AS81" s="30">
        <f>$I$29*$AS$29</f>
        <v>0</v>
      </c>
      <c r="AT81" s="30">
        <f>$I$29*$AT$29</f>
        <v>0</v>
      </c>
      <c r="AU81" s="30">
        <f>$I$29*$AU$29</f>
        <v>0</v>
      </c>
      <c r="AV81" s="30">
        <f>$I$29*$AV$29</f>
        <v>0</v>
      </c>
      <c r="AW81" s="30">
        <f>$I$29*$AW$29</f>
        <v>0</v>
      </c>
      <c r="AX81" s="30">
        <f>$I$29*$AX$29</f>
        <v>0</v>
      </c>
      <c r="AY81" s="30">
        <f>$I$29*$AY$29</f>
        <v>0</v>
      </c>
      <c r="AZ81" s="30">
        <f>$I$29*$AZ$29</f>
        <v>0</v>
      </c>
      <c r="BA81" s="30">
        <f>$I$29*$BA$29</f>
        <v>0</v>
      </c>
      <c r="BB81" s="30">
        <f>$I$29*$BB$29</f>
        <v>0</v>
      </c>
      <c r="BC81" s="30">
        <f>$I$29*$BC$29</f>
        <v>0</v>
      </c>
      <c r="BD81" s="30">
        <f>$I$29*$BD$29</f>
        <v>0</v>
      </c>
    </row>
    <row r="82" spans="1:56" ht="11.25" customHeight="1" x14ac:dyDescent="0.25">
      <c r="A82" s="9" t="s">
        <v>43</v>
      </c>
      <c r="B82" s="9" t="s">
        <v>948</v>
      </c>
      <c r="C82" s="9" t="s">
        <v>949</v>
      </c>
      <c r="D82" s="9" t="s">
        <v>950</v>
      </c>
      <c r="E82" s="9" t="s">
        <v>951</v>
      </c>
      <c r="F82" s="9" t="s">
        <v>952</v>
      </c>
      <c r="G82" s="9" t="s">
        <v>953</v>
      </c>
      <c r="L82" s="30">
        <f>$I$30*$L$30</f>
        <v>1.486547691626017</v>
      </c>
      <c r="M82" s="30">
        <f>$I$30*$M$30</f>
        <v>8.4747747118543007E-2</v>
      </c>
      <c r="N82" s="30">
        <f ca="1">$I$30*$N$30</f>
        <v>0.8602302108552784</v>
      </c>
      <c r="O82" s="30">
        <f>$I$30*$O$30</f>
        <v>0</v>
      </c>
      <c r="P82" s="30">
        <f>$I$30*$P$30</f>
        <v>0</v>
      </c>
      <c r="Q82" s="30">
        <f>$I$30*$Q$30</f>
        <v>4.7351631155947311</v>
      </c>
      <c r="R82" s="30">
        <f>$I$30*$R$30</f>
        <v>0</v>
      </c>
      <c r="S82" s="30">
        <f>$I$30*$S$30</f>
        <v>0</v>
      </c>
      <c r="T82" s="30">
        <f>$I$30*$T$30</f>
        <v>0</v>
      </c>
      <c r="U82" s="30">
        <f>$I$30*$U$30</f>
        <v>0</v>
      </c>
      <c r="V82" s="30">
        <f>$I$30*$V$30</f>
        <v>0.60581221763469006</v>
      </c>
      <c r="W82" s="30">
        <f>$I$30*$W$30</f>
        <v>0</v>
      </c>
      <c r="X82" s="30">
        <f>$I$30*$X$30</f>
        <v>0</v>
      </c>
      <c r="Y82" s="30">
        <f>$I$30*$Y$30</f>
        <v>0</v>
      </c>
      <c r="Z82" s="30">
        <f>$I$30*$Z$30</f>
        <v>0</v>
      </c>
      <c r="AA82" s="30">
        <f>$I$30*$AA$30</f>
        <v>83.461662362062484</v>
      </c>
      <c r="AB82" s="30">
        <f ca="1">$I$30*$AB$30</f>
        <v>0</v>
      </c>
      <c r="AC82" s="30">
        <f ca="1">$I$30*$AC$30</f>
        <v>0</v>
      </c>
      <c r="AD82" s="30">
        <f>$I$30*$AD$30</f>
        <v>3.6792204157222095</v>
      </c>
      <c r="AE82" s="30">
        <f>$I$30*$AE$30</f>
        <v>0</v>
      </c>
      <c r="AF82" s="30">
        <f ca="1">$I$30*$AF$30</f>
        <v>4.8726843423839528</v>
      </c>
      <c r="AG82" s="30">
        <f ca="1">$I$30*$AG$30</f>
        <v>0.49335064181439953</v>
      </c>
      <c r="AI82" s="30">
        <f>$I$30*$AI$30</f>
        <v>2.3626109170636784</v>
      </c>
      <c r="AJ82" s="30">
        <f>$I$30*$AJ$30</f>
        <v>0.19834620067839473</v>
      </c>
      <c r="AK82" s="30">
        <f>$I$30*$AK$30</f>
        <v>0.69329902957911338</v>
      </c>
      <c r="AL82" s="30">
        <f>$I$30*$AL$30</f>
        <v>0</v>
      </c>
      <c r="AM82" s="30">
        <f>$I$30*$AM$30</f>
        <v>0</v>
      </c>
      <c r="AN82" s="30">
        <f>$I$30*$AN$30</f>
        <v>1.7701658056490239</v>
      </c>
      <c r="AO82" s="30">
        <f>$I$30*$AO$30</f>
        <v>0</v>
      </c>
      <c r="AP82" s="30">
        <f>$I$30*$AP$30</f>
        <v>0</v>
      </c>
      <c r="AQ82" s="30">
        <f>$I$30*$AQ$30</f>
        <v>0</v>
      </c>
      <c r="AR82" s="30">
        <f>$I$30*$AR$30</f>
        <v>0</v>
      </c>
      <c r="AS82" s="30">
        <f>$I$30*$AS$30</f>
        <v>1.5861777943664463</v>
      </c>
      <c r="AT82" s="30">
        <f>$I$30*$AT$30</f>
        <v>0</v>
      </c>
      <c r="AU82" s="30">
        <f>$I$30*$AU$30</f>
        <v>0</v>
      </c>
      <c r="AV82" s="30">
        <f>$I$30*$AV$30</f>
        <v>0</v>
      </c>
      <c r="AW82" s="30">
        <f>$I$30*$AW$30</f>
        <v>0</v>
      </c>
      <c r="AX82" s="30">
        <f>$I$30*$AX$30</f>
        <v>59.178514530974603</v>
      </c>
      <c r="AY82" s="30">
        <f>$I$30*$AY$30</f>
        <v>0</v>
      </c>
      <c r="AZ82" s="30">
        <f>$I$30*$AZ$30</f>
        <v>0</v>
      </c>
      <c r="BA82" s="30">
        <f>$I$30*$BA$30</f>
        <v>2.7663392270630478</v>
      </c>
      <c r="BB82" s="30">
        <f>$I$30*$BB$30</f>
        <v>0</v>
      </c>
      <c r="BC82" s="30">
        <f>$I$30*$BC$30</f>
        <v>3.9965955136385376</v>
      </c>
      <c r="BD82" s="30">
        <f>$I$30*$BD$30</f>
        <v>0.29622383265261698</v>
      </c>
    </row>
    <row r="83" spans="1:56" ht="11.25" customHeight="1" x14ac:dyDescent="0.25">
      <c r="A83" s="9" t="s">
        <v>43</v>
      </c>
      <c r="B83" s="9" t="s">
        <v>948</v>
      </c>
      <c r="C83" s="9" t="s">
        <v>949</v>
      </c>
      <c r="D83" s="9" t="s">
        <v>950</v>
      </c>
      <c r="E83" s="9" t="s">
        <v>951</v>
      </c>
      <c r="F83" s="9" t="s">
        <v>952</v>
      </c>
      <c r="G83" s="9" t="s">
        <v>954</v>
      </c>
      <c r="L83" s="30">
        <f>$I$31*$L$31</f>
        <v>0.99545604349956485</v>
      </c>
      <c r="M83" s="30">
        <f>$I$31*$M$31</f>
        <v>5.6750723516881471E-2</v>
      </c>
      <c r="N83" s="30">
        <f ca="1">$I$31*$N$31</f>
        <v>0.3885433378967722</v>
      </c>
      <c r="O83" s="30">
        <f>$I$31*$O$31</f>
        <v>0</v>
      </c>
      <c r="P83" s="30">
        <f>$I$31*$P$31</f>
        <v>0</v>
      </c>
      <c r="Q83" s="30">
        <f>$I$31*$Q$31</f>
        <v>3.1708681577643287</v>
      </c>
      <c r="R83" s="30">
        <f>$I$31*$R$31</f>
        <v>0</v>
      </c>
      <c r="S83" s="30">
        <f>$I$31*$S$31</f>
        <v>0</v>
      </c>
      <c r="T83" s="30">
        <f>$I$31*$T$31</f>
        <v>0</v>
      </c>
      <c r="U83" s="30">
        <f>$I$31*$U$31</f>
        <v>0</v>
      </c>
      <c r="V83" s="30">
        <f>$I$31*$V$31</f>
        <v>0.24340669458536651</v>
      </c>
      <c r="W83" s="30">
        <f>$I$31*$W$31</f>
        <v>0</v>
      </c>
      <c r="X83" s="30">
        <f>$I$31*$X$31</f>
        <v>0</v>
      </c>
      <c r="Y83" s="30">
        <f>$I$31*$Y$31</f>
        <v>0</v>
      </c>
      <c r="Z83" s="30">
        <f>$I$31*$Z$31</f>
        <v>0</v>
      </c>
      <c r="AA83" s="30">
        <f>$I$31*$AA$31</f>
        <v>33.533703627614386</v>
      </c>
      <c r="AB83" s="30">
        <f ca="1">$I$31*$AB$31</f>
        <v>0</v>
      </c>
      <c r="AC83" s="30">
        <f ca="1">$I$31*$AC$31</f>
        <v>0</v>
      </c>
      <c r="AD83" s="30">
        <f>$I$31*$AD$31</f>
        <v>2.463763671242551</v>
      </c>
      <c r="AE83" s="30">
        <f>$I$31*$AE$31</f>
        <v>0</v>
      </c>
      <c r="AF83" s="30">
        <f ca="1">$I$31*$AF$31</f>
        <v>3.2629582649892539</v>
      </c>
      <c r="AG83" s="30">
        <f ca="1">$I$31*$AG$31</f>
        <v>0.33036873335785683</v>
      </c>
      <c r="AI83" s="30">
        <f>$I$31*$AI$31</f>
        <v>1.5821055248194273</v>
      </c>
      <c r="AJ83" s="30">
        <f>$I$31*$AJ$31</f>
        <v>0.13282111652571074</v>
      </c>
      <c r="AK83" s="30">
        <f>$I$31*$AK$31</f>
        <v>0.31129455906504294</v>
      </c>
      <c r="AL83" s="30">
        <f>$I$31*$AL$31</f>
        <v>0</v>
      </c>
      <c r="AM83" s="30">
        <f>$I$31*$AM$31</f>
        <v>0</v>
      </c>
      <c r="AN83" s="30">
        <f>$I$31*$AN$31</f>
        <v>1.1853788877114</v>
      </c>
      <c r="AO83" s="30">
        <f>$I$31*$AO$31</f>
        <v>0</v>
      </c>
      <c r="AP83" s="30">
        <f>$I$31*$AP$31</f>
        <v>0</v>
      </c>
      <c r="AQ83" s="30">
        <f>$I$31*$AQ$31</f>
        <v>0</v>
      </c>
      <c r="AR83" s="30">
        <f>$I$31*$AR$31</f>
        <v>0</v>
      </c>
      <c r="AS83" s="30">
        <f>$I$31*$AS$31</f>
        <v>0.63730357809366001</v>
      </c>
      <c r="AT83" s="30">
        <f>$I$31*$AT$31</f>
        <v>0</v>
      </c>
      <c r="AU83" s="30">
        <f>$I$31*$AU$31</f>
        <v>0</v>
      </c>
      <c r="AV83" s="30">
        <f>$I$31*$AV$31</f>
        <v>0</v>
      </c>
      <c r="AW83" s="30">
        <f>$I$31*$AW$31</f>
        <v>0</v>
      </c>
      <c r="AX83" s="30">
        <f>$I$31*$AX$31</f>
        <v>23.777081731195199</v>
      </c>
      <c r="AY83" s="30">
        <f>$I$31*$AY$31</f>
        <v>0</v>
      </c>
      <c r="AZ83" s="30">
        <f>$I$31*$AZ$31</f>
        <v>0</v>
      </c>
      <c r="BA83" s="30">
        <f>$I$31*$BA$31</f>
        <v>1.8524593038368624</v>
      </c>
      <c r="BB83" s="30">
        <f>$I$31*$BB$31</f>
        <v>0</v>
      </c>
      <c r="BC83" s="30">
        <f>$I$31*$BC$31</f>
        <v>2.6762916385972351</v>
      </c>
      <c r="BD83" s="30">
        <f>$I$31*$BD$31</f>
        <v>0.19836417365130599</v>
      </c>
    </row>
    <row r="84" spans="1:56" ht="11.25" customHeight="1" x14ac:dyDescent="0.25">
      <c r="A84" s="9" t="s">
        <v>43</v>
      </c>
      <c r="B84" s="9" t="s">
        <v>948</v>
      </c>
      <c r="C84" s="9" t="s">
        <v>949</v>
      </c>
      <c r="D84" s="9" t="s">
        <v>950</v>
      </c>
      <c r="E84" s="9" t="s">
        <v>951</v>
      </c>
      <c r="F84" s="9" t="s">
        <v>952</v>
      </c>
      <c r="G84" s="9" t="s">
        <v>955</v>
      </c>
      <c r="L84" s="30">
        <f>$I$32*$L$32</f>
        <v>12.157836477941352</v>
      </c>
      <c r="M84" s="30">
        <f>$I$32*$M$32</f>
        <v>0.69311550321951243</v>
      </c>
      <c r="N84" s="30">
        <f ca="1">$I$32*$N$32</f>
        <v>2.4553643758635335</v>
      </c>
      <c r="O84" s="30">
        <f>$I$32*$O$32</f>
        <v>0</v>
      </c>
      <c r="P84" s="30">
        <f>$I$32*$P$32</f>
        <v>0</v>
      </c>
      <c r="Q84" s="30">
        <f>$I$32*$Q$32</f>
        <v>38.726869766828329</v>
      </c>
      <c r="R84" s="30">
        <f>$I$32*$R$32</f>
        <v>0</v>
      </c>
      <c r="S84" s="30">
        <f>$I$32*$S$32</f>
        <v>0</v>
      </c>
      <c r="T84" s="30">
        <f>$I$32*$T$32</f>
        <v>0</v>
      </c>
      <c r="U84" s="30">
        <f>$I$32*$U$32</f>
        <v>0</v>
      </c>
      <c r="V84" s="30">
        <f>$I$32*$V$32</f>
        <v>0.99093569884531418</v>
      </c>
      <c r="W84" s="30">
        <f>$I$32*$W$32</f>
        <v>0</v>
      </c>
      <c r="X84" s="30">
        <f>$I$32*$X$32</f>
        <v>0</v>
      </c>
      <c r="Y84" s="30">
        <f>$I$32*$Y$32</f>
        <v>0</v>
      </c>
      <c r="Z84" s="30">
        <f>$I$32*$Z$32</f>
        <v>0</v>
      </c>
      <c r="AA84" s="30">
        <f>$I$32*$AA$32</f>
        <v>136.5194334350879</v>
      </c>
      <c r="AB84" s="30">
        <f ca="1">$I$32*$AB$32</f>
        <v>0</v>
      </c>
      <c r="AC84" s="30">
        <f ca="1">$I$32*$AC$32</f>
        <v>0</v>
      </c>
      <c r="AD84" s="30">
        <f>$I$32*$AD$32</f>
        <v>30.090766971442353</v>
      </c>
      <c r="AE84" s="30">
        <f>$I$32*$AE$32</f>
        <v>0</v>
      </c>
      <c r="AF84" s="30">
        <f ca="1">$I$32*$AF$32</f>
        <v>39.851596943068756</v>
      </c>
      <c r="AG84" s="30">
        <f ca="1">$I$32*$AG$32</f>
        <v>4.0349034634106244</v>
      </c>
      <c r="AI84" s="30">
        <f>$I$32*$AI$32</f>
        <v>19.322782143127938</v>
      </c>
      <c r="AJ84" s="30">
        <f>$I$32*$AJ$32</f>
        <v>1.6221885698340137</v>
      </c>
      <c r="AK84" s="30">
        <f>$I$32*$AK$32</f>
        <v>1.9336927946567395</v>
      </c>
      <c r="AL84" s="30">
        <f>$I$32*$AL$32</f>
        <v>0</v>
      </c>
      <c r="AM84" s="30">
        <f>$I$32*$AM$32</f>
        <v>0</v>
      </c>
      <c r="AN84" s="30">
        <f>$I$32*$AN$32</f>
        <v>14.47742748191523</v>
      </c>
      <c r="AO84" s="30">
        <f>$I$32*$AO$32</f>
        <v>0</v>
      </c>
      <c r="AP84" s="30">
        <f>$I$32*$AP$32</f>
        <v>0</v>
      </c>
      <c r="AQ84" s="30">
        <f>$I$32*$AQ$32</f>
        <v>0</v>
      </c>
      <c r="AR84" s="30">
        <f>$I$32*$AR$32</f>
        <v>0</v>
      </c>
      <c r="AS84" s="30">
        <f>$I$32*$AS$32</f>
        <v>2.5945336779279726</v>
      </c>
      <c r="AT84" s="30">
        <f>$I$32*$AT$32</f>
        <v>0</v>
      </c>
      <c r="AU84" s="30">
        <f>$I$32*$AU$32</f>
        <v>0</v>
      </c>
      <c r="AV84" s="30">
        <f>$I$32*$AV$32</f>
        <v>0</v>
      </c>
      <c r="AW84" s="30">
        <f>$I$32*$AW$32</f>
        <v>0</v>
      </c>
      <c r="AX84" s="30">
        <f>$I$32*$AX$32</f>
        <v>96.799141625665783</v>
      </c>
      <c r="AY84" s="30">
        <f>$I$32*$AY$32</f>
        <v>0</v>
      </c>
      <c r="AZ84" s="30">
        <f>$I$32*$AZ$32</f>
        <v>0</v>
      </c>
      <c r="BA84" s="30">
        <f>$I$32*$BA$32</f>
        <v>22.62470296419421</v>
      </c>
      <c r="BB84" s="30">
        <f>$I$32*$BB$32</f>
        <v>0</v>
      </c>
      <c r="BC84" s="30">
        <f>$I$32*$BC$32</f>
        <v>32.686441879400896</v>
      </c>
      <c r="BD84" s="30">
        <f>$I$32*$BD$32</f>
        <v>2.4226877741946171</v>
      </c>
    </row>
    <row r="85" spans="1:56" ht="11.25" customHeight="1" x14ac:dyDescent="0.25">
      <c r="A85" s="9" t="s">
        <v>43</v>
      </c>
      <c r="B85" s="9" t="s">
        <v>956</v>
      </c>
      <c r="C85" s="9" t="s">
        <v>957</v>
      </c>
      <c r="D85" s="9" t="s">
        <v>958</v>
      </c>
      <c r="E85" s="9" t="s">
        <v>959</v>
      </c>
      <c r="F85" s="9" t="s">
        <v>960</v>
      </c>
      <c r="G85" s="9" t="s">
        <v>961</v>
      </c>
      <c r="L85" s="30">
        <f>$I$33*$L$33</f>
        <v>727578.14528372232</v>
      </c>
      <c r="M85" s="30">
        <f>$I$33*$M$33</f>
        <v>41479.065227996674</v>
      </c>
      <c r="N85" s="30">
        <f ca="1">$I$33*$N$33</f>
        <v>185484.0189353317</v>
      </c>
      <c r="O85" s="30">
        <f>$I$33*$O$33</f>
        <v>0</v>
      </c>
      <c r="P85" s="30">
        <f>$I$33*$P$33</f>
        <v>0</v>
      </c>
      <c r="Q85" s="30">
        <f>$I$33*$Q$33</f>
        <v>2317585.3803196005</v>
      </c>
      <c r="R85" s="30">
        <f>$I$33*$R$33</f>
        <v>0</v>
      </c>
      <c r="S85" s="30">
        <f>$I$33*$S$33</f>
        <v>0</v>
      </c>
      <c r="T85" s="30">
        <f>$I$33*$T$33</f>
        <v>0</v>
      </c>
      <c r="U85" s="30">
        <f>$I$33*$U$33</f>
        <v>0</v>
      </c>
      <c r="V85" s="30">
        <f>$I$33*$V$33</f>
        <v>92711.46675447897</v>
      </c>
      <c r="W85" s="30">
        <f>$I$33*$W$33</f>
        <v>0</v>
      </c>
      <c r="X85" s="30">
        <f>$I$33*$X$33</f>
        <v>0</v>
      </c>
      <c r="Y85" s="30">
        <f>$I$33*$Y$33</f>
        <v>0</v>
      </c>
      <c r="Z85" s="30">
        <f>$I$33*$Z$33</f>
        <v>0</v>
      </c>
      <c r="AA85" s="30">
        <f>$I$33*$AA$33</f>
        <v>12765499.448412573</v>
      </c>
      <c r="AB85" s="30">
        <f ca="1">$I$33*$AB$33</f>
        <v>0</v>
      </c>
      <c r="AC85" s="30">
        <f ca="1">$I$33*$AC$33</f>
        <v>0</v>
      </c>
      <c r="AD85" s="30">
        <f>$I$33*$AD$33</f>
        <v>1800763.1919518837</v>
      </c>
      <c r="AE85" s="30">
        <f>$I$33*$AE$33</f>
        <v>0</v>
      </c>
      <c r="AF85" s="30">
        <f ca="1">$I$33*$AF$33</f>
        <v>2384893.9770690254</v>
      </c>
      <c r="AG85" s="30">
        <f ca="1">$I$33*$AG$33</f>
        <v>241466.28256051883</v>
      </c>
      <c r="AI85" s="30">
        <f>$I$33*$AI$33</f>
        <v>1156359.8522587626</v>
      </c>
      <c r="AJ85" s="30">
        <f>$I$33*$AJ$33</f>
        <v>97078.863750282733</v>
      </c>
      <c r="AK85" s="30">
        <f>$I$33*$AK$33</f>
        <v>147165.60567397482</v>
      </c>
      <c r="AL85" s="30">
        <f>$I$33*$AL$33</f>
        <v>0</v>
      </c>
      <c r="AM85" s="30">
        <f>$I$33*$AM$33</f>
        <v>0</v>
      </c>
      <c r="AN85" s="30">
        <f>$I$33*$AN$33</f>
        <v>866392.62297061854</v>
      </c>
      <c r="AO85" s="30">
        <f>$I$33*$AO$33</f>
        <v>0</v>
      </c>
      <c r="AP85" s="30">
        <f>$I$33*$AP$33</f>
        <v>0</v>
      </c>
      <c r="AQ85" s="30">
        <f>$I$33*$AQ$33</f>
        <v>0</v>
      </c>
      <c r="AR85" s="30">
        <f>$I$33*$AR$33</f>
        <v>0</v>
      </c>
      <c r="AS85" s="30">
        <f>$I$33*$AS$33</f>
        <v>242743.32139298937</v>
      </c>
      <c r="AT85" s="30">
        <f>$I$33*$AT$33</f>
        <v>0</v>
      </c>
      <c r="AU85" s="30">
        <f>$I$33*$AU$33</f>
        <v>0</v>
      </c>
      <c r="AV85" s="30">
        <f>$I$33*$AV$33</f>
        <v>0</v>
      </c>
      <c r="AW85" s="30">
        <f>$I$33*$AW$33</f>
        <v>0</v>
      </c>
      <c r="AX85" s="30">
        <f>$I$33*$AX$33</f>
        <v>9051380.8762383219</v>
      </c>
      <c r="AY85" s="30">
        <f>$I$33*$AY$33</f>
        <v>0</v>
      </c>
      <c r="AZ85" s="30">
        <f>$I$33*$AZ$33</f>
        <v>0</v>
      </c>
      <c r="BA85" s="30">
        <f>$I$33*$BA$33</f>
        <v>1353961.2455020361</v>
      </c>
      <c r="BB85" s="30">
        <f>$I$33*$BB$33</f>
        <v>0</v>
      </c>
      <c r="BC85" s="30">
        <f>$I$33*$BC$33</f>
        <v>1956099.7387724046</v>
      </c>
      <c r="BD85" s="30">
        <f>$I$33*$BD$33</f>
        <v>144984.23963410145</v>
      </c>
    </row>
    <row r="86" spans="1:56" ht="11.25" customHeight="1" x14ac:dyDescent="0.25">
      <c r="A86" s="9" t="s">
        <v>43</v>
      </c>
      <c r="B86" s="9" t="s">
        <v>948</v>
      </c>
      <c r="C86" s="9" t="s">
        <v>949</v>
      </c>
      <c r="D86" s="9" t="s">
        <v>962</v>
      </c>
      <c r="E86" s="9" t="s">
        <v>963</v>
      </c>
      <c r="F86" s="9" t="s">
        <v>964</v>
      </c>
      <c r="G86" s="9" t="s">
        <v>965</v>
      </c>
      <c r="L86" s="30">
        <f>$I$34*$L$34</f>
        <v>0</v>
      </c>
      <c r="M86" s="30">
        <f>$I$34*$M$34</f>
        <v>0</v>
      </c>
      <c r="N86" s="30">
        <f ca="1">$I$34*$N$34</f>
        <v>0</v>
      </c>
      <c r="O86" s="30">
        <f>$I$34*$O$34</f>
        <v>0</v>
      </c>
      <c r="P86" s="30">
        <f>$I$34*$P$34</f>
        <v>0</v>
      </c>
      <c r="Q86" s="30">
        <f>$I$34*$Q$34</f>
        <v>0</v>
      </c>
      <c r="R86" s="30">
        <f>$I$34*$R$34</f>
        <v>0</v>
      </c>
      <c r="S86" s="30">
        <f>$I$34*$S$34</f>
        <v>0</v>
      </c>
      <c r="T86" s="30">
        <f>$I$34*$T$34</f>
        <v>0</v>
      </c>
      <c r="U86" s="30">
        <f>$I$34*$U$34</f>
        <v>0</v>
      </c>
      <c r="V86" s="30">
        <f>$I$34*$V$34</f>
        <v>0</v>
      </c>
      <c r="W86" s="30">
        <f>$I$34*$W$34</f>
        <v>0</v>
      </c>
      <c r="X86" s="30">
        <f>$I$34*$X$34</f>
        <v>0</v>
      </c>
      <c r="Y86" s="30">
        <f>$I$34*$Y$34</f>
        <v>0</v>
      </c>
      <c r="Z86" s="30">
        <f>$I$34*$Z$34</f>
        <v>0</v>
      </c>
      <c r="AA86" s="30">
        <f>$I$34*$AA$34</f>
        <v>0</v>
      </c>
      <c r="AB86" s="30">
        <f ca="1">$I$34*$AB$34</f>
        <v>0</v>
      </c>
      <c r="AC86" s="30">
        <f ca="1">$I$34*$AC$34</f>
        <v>0</v>
      </c>
      <c r="AD86" s="30">
        <f>$I$34*$AD$34</f>
        <v>0</v>
      </c>
      <c r="AE86" s="30">
        <f>$I$34*$AE$34</f>
        <v>0</v>
      </c>
      <c r="AF86" s="30">
        <f ca="1">$I$34*$AF$34</f>
        <v>0</v>
      </c>
      <c r="AG86" s="30">
        <f ca="1">$I$34*$AG$34</f>
        <v>0</v>
      </c>
      <c r="AI86" s="30">
        <f>$I$34*$AI$34</f>
        <v>0</v>
      </c>
      <c r="AJ86" s="30">
        <f>$I$34*$AJ$34</f>
        <v>0</v>
      </c>
      <c r="AK86" s="30">
        <f>$I$34*$AK$34</f>
        <v>0</v>
      </c>
      <c r="AL86" s="30">
        <f>$I$34*$AL$34</f>
        <v>0</v>
      </c>
      <c r="AM86" s="30">
        <f>$I$34*$AM$34</f>
        <v>0</v>
      </c>
      <c r="AN86" s="30">
        <f>$I$34*$AN$34</f>
        <v>0</v>
      </c>
      <c r="AO86" s="30">
        <f>$I$34*$AO$34</f>
        <v>0</v>
      </c>
      <c r="AP86" s="30">
        <f>$I$34*$AP$34</f>
        <v>0</v>
      </c>
      <c r="AQ86" s="30">
        <f>$I$34*$AQ$34</f>
        <v>0</v>
      </c>
      <c r="AR86" s="30">
        <f>$I$34*$AR$34</f>
        <v>0</v>
      </c>
      <c r="AS86" s="30">
        <f>$I$34*$AS$34</f>
        <v>0</v>
      </c>
      <c r="AT86" s="30">
        <f>$I$34*$AT$34</f>
        <v>0</v>
      </c>
      <c r="AU86" s="30">
        <f>$I$34*$AU$34</f>
        <v>0</v>
      </c>
      <c r="AV86" s="30">
        <f>$I$34*$AV$34</f>
        <v>0</v>
      </c>
      <c r="AW86" s="30">
        <f>$I$34*$AW$34</f>
        <v>0</v>
      </c>
      <c r="AX86" s="30">
        <f>$I$34*$AX$34</f>
        <v>0</v>
      </c>
      <c r="AY86" s="30">
        <f>$I$34*$AY$34</f>
        <v>0</v>
      </c>
      <c r="AZ86" s="30">
        <f>$I$34*$AZ$34</f>
        <v>0</v>
      </c>
      <c r="BA86" s="30">
        <f>$I$34*$BA$34</f>
        <v>0</v>
      </c>
      <c r="BB86" s="30">
        <f>$I$34*$BB$34</f>
        <v>0</v>
      </c>
      <c r="BC86" s="30">
        <f>$I$34*$BC$34</f>
        <v>0</v>
      </c>
      <c r="BD86" s="30">
        <f>$I$34*$BD$34</f>
        <v>0</v>
      </c>
    </row>
    <row r="87" spans="1:56" ht="11.25" customHeight="1" x14ac:dyDescent="0.25">
      <c r="A87" s="9" t="s">
        <v>43</v>
      </c>
      <c r="B87" s="9" t="s">
        <v>948</v>
      </c>
      <c r="C87" s="9" t="s">
        <v>949</v>
      </c>
      <c r="D87" s="9" t="s">
        <v>962</v>
      </c>
      <c r="E87" s="9" t="s">
        <v>963</v>
      </c>
      <c r="F87" s="9" t="s">
        <v>964</v>
      </c>
      <c r="G87" s="9" t="s">
        <v>966</v>
      </c>
      <c r="L87" s="30">
        <f>$I$35*$L$35</f>
        <v>0</v>
      </c>
      <c r="M87" s="30">
        <f>$I$35*$M$35</f>
        <v>0</v>
      </c>
      <c r="N87" s="30">
        <f ca="1">$I$35*$N$35</f>
        <v>0</v>
      </c>
      <c r="O87" s="30">
        <f>$I$35*$O$35</f>
        <v>0</v>
      </c>
      <c r="P87" s="30">
        <f>$I$35*$P$35</f>
        <v>0</v>
      </c>
      <c r="Q87" s="30">
        <f>$I$35*$Q$35</f>
        <v>0</v>
      </c>
      <c r="R87" s="30">
        <f>$I$35*$R$35</f>
        <v>0</v>
      </c>
      <c r="S87" s="30">
        <f>$I$35*$S$35</f>
        <v>0</v>
      </c>
      <c r="T87" s="30">
        <f>$I$35*$T$35</f>
        <v>0</v>
      </c>
      <c r="U87" s="30">
        <f>$I$35*$U$35</f>
        <v>0</v>
      </c>
      <c r="V87" s="30">
        <f>$I$35*$V$35</f>
        <v>0</v>
      </c>
      <c r="W87" s="30">
        <f>$I$35*$W$35</f>
        <v>0</v>
      </c>
      <c r="X87" s="30">
        <f>$I$35*$X$35</f>
        <v>0</v>
      </c>
      <c r="Y87" s="30">
        <f>$I$35*$Y$35</f>
        <v>0</v>
      </c>
      <c r="Z87" s="30">
        <f>$I$35*$Z$35</f>
        <v>0</v>
      </c>
      <c r="AA87" s="30">
        <f>$I$35*$AA$35</f>
        <v>0</v>
      </c>
      <c r="AB87" s="30">
        <f ca="1">$I$35*$AB$35</f>
        <v>0</v>
      </c>
      <c r="AC87" s="30">
        <f ca="1">$I$35*$AC$35</f>
        <v>0</v>
      </c>
      <c r="AD87" s="30">
        <f>$I$35*$AD$35</f>
        <v>0</v>
      </c>
      <c r="AE87" s="30">
        <f>$I$35*$AE$35</f>
        <v>0</v>
      </c>
      <c r="AF87" s="30">
        <f ca="1">$I$35*$AF$35</f>
        <v>0</v>
      </c>
      <c r="AG87" s="30">
        <f ca="1">$I$35*$AG$35</f>
        <v>0</v>
      </c>
      <c r="AI87" s="30">
        <f>$I$35*$AI$35</f>
        <v>0</v>
      </c>
      <c r="AJ87" s="30">
        <f>$I$35*$AJ$35</f>
        <v>0</v>
      </c>
      <c r="AK87" s="30">
        <f>$I$35*$AK$35</f>
        <v>0</v>
      </c>
      <c r="AL87" s="30">
        <f>$I$35*$AL$35</f>
        <v>0</v>
      </c>
      <c r="AM87" s="30">
        <f>$I$35*$AM$35</f>
        <v>0</v>
      </c>
      <c r="AN87" s="30">
        <f>$I$35*$AN$35</f>
        <v>0</v>
      </c>
      <c r="AO87" s="30">
        <f>$I$35*$AO$35</f>
        <v>0</v>
      </c>
      <c r="AP87" s="30">
        <f>$I$35*$AP$35</f>
        <v>0</v>
      </c>
      <c r="AQ87" s="30">
        <f>$I$35*$AQ$35</f>
        <v>0</v>
      </c>
      <c r="AR87" s="30">
        <f>$I$35*$AR$35</f>
        <v>0</v>
      </c>
      <c r="AS87" s="30">
        <f>$I$35*$AS$35</f>
        <v>0</v>
      </c>
      <c r="AT87" s="30">
        <f>$I$35*$AT$35</f>
        <v>0</v>
      </c>
      <c r="AU87" s="30">
        <f>$I$35*$AU$35</f>
        <v>0</v>
      </c>
      <c r="AV87" s="30">
        <f>$I$35*$AV$35</f>
        <v>0</v>
      </c>
      <c r="AW87" s="30">
        <f>$I$35*$AW$35</f>
        <v>0</v>
      </c>
      <c r="AX87" s="30">
        <f>$I$35*$AX$35</f>
        <v>0</v>
      </c>
      <c r="AY87" s="30">
        <f>$I$35*$AY$35</f>
        <v>0</v>
      </c>
      <c r="AZ87" s="30">
        <f>$I$35*$AZ$35</f>
        <v>0</v>
      </c>
      <c r="BA87" s="30">
        <f>$I$35*$BA$35</f>
        <v>0</v>
      </c>
      <c r="BB87" s="30">
        <f>$I$35*$BB$35</f>
        <v>0</v>
      </c>
      <c r="BC87" s="30">
        <f>$I$35*$BC$35</f>
        <v>0</v>
      </c>
      <c r="BD87" s="30">
        <f>$I$35*$BD$35</f>
        <v>0</v>
      </c>
    </row>
    <row r="88" spans="1:56" ht="11.25" customHeight="1" x14ac:dyDescent="0.25">
      <c r="A88" s="9" t="s">
        <v>43</v>
      </c>
      <c r="B88" s="9" t="s">
        <v>948</v>
      </c>
      <c r="C88" s="9" t="s">
        <v>949</v>
      </c>
      <c r="D88" s="9" t="s">
        <v>962</v>
      </c>
      <c r="E88" s="9" t="s">
        <v>963</v>
      </c>
      <c r="F88" s="9" t="s">
        <v>964</v>
      </c>
      <c r="G88" s="9" t="s">
        <v>967</v>
      </c>
      <c r="L88" s="30">
        <f>$I$36*$L$36</f>
        <v>0</v>
      </c>
      <c r="M88" s="30">
        <f>$I$36*$M$36</f>
        <v>0</v>
      </c>
      <c r="N88" s="30">
        <f ca="1">$I$36*$N$36</f>
        <v>0</v>
      </c>
      <c r="O88" s="30">
        <f>$I$36*$O$36</f>
        <v>0</v>
      </c>
      <c r="P88" s="30">
        <f>$I$36*$P$36</f>
        <v>0</v>
      </c>
      <c r="Q88" s="30">
        <f>$I$36*$Q$36</f>
        <v>0</v>
      </c>
      <c r="R88" s="30">
        <f>$I$36*$R$36</f>
        <v>0</v>
      </c>
      <c r="S88" s="30">
        <f>$I$36*$S$36</f>
        <v>0</v>
      </c>
      <c r="T88" s="30">
        <f>$I$36*$T$36</f>
        <v>0</v>
      </c>
      <c r="U88" s="30">
        <f>$I$36*$U$36</f>
        <v>0</v>
      </c>
      <c r="V88" s="30">
        <f>$I$36*$V$36</f>
        <v>0</v>
      </c>
      <c r="W88" s="30">
        <f>$I$36*$W$36</f>
        <v>0</v>
      </c>
      <c r="X88" s="30">
        <f>$I$36*$X$36</f>
        <v>0</v>
      </c>
      <c r="Y88" s="30">
        <f>$I$36*$Y$36</f>
        <v>0</v>
      </c>
      <c r="Z88" s="30">
        <f>$I$36*$Z$36</f>
        <v>0</v>
      </c>
      <c r="AA88" s="30">
        <f>$I$36*$AA$36</f>
        <v>0</v>
      </c>
      <c r="AB88" s="30">
        <f ca="1">$I$36*$AB$36</f>
        <v>0</v>
      </c>
      <c r="AC88" s="30">
        <f ca="1">$I$36*$AC$36</f>
        <v>0</v>
      </c>
      <c r="AD88" s="30">
        <f>$I$36*$AD$36</f>
        <v>0</v>
      </c>
      <c r="AE88" s="30">
        <f>$I$36*$AE$36</f>
        <v>0</v>
      </c>
      <c r="AF88" s="30">
        <f ca="1">$I$36*$AF$36</f>
        <v>0</v>
      </c>
      <c r="AG88" s="30">
        <f ca="1">$I$36*$AG$36</f>
        <v>0</v>
      </c>
      <c r="AI88" s="30">
        <f>$I$36*$AI$36</f>
        <v>0</v>
      </c>
      <c r="AJ88" s="30">
        <f>$I$36*$AJ$36</f>
        <v>0</v>
      </c>
      <c r="AK88" s="30">
        <f>$I$36*$AK$36</f>
        <v>0</v>
      </c>
      <c r="AL88" s="30">
        <f>$I$36*$AL$36</f>
        <v>0</v>
      </c>
      <c r="AM88" s="30">
        <f>$I$36*$AM$36</f>
        <v>0</v>
      </c>
      <c r="AN88" s="30">
        <f>$I$36*$AN$36</f>
        <v>0</v>
      </c>
      <c r="AO88" s="30">
        <f>$I$36*$AO$36</f>
        <v>0</v>
      </c>
      <c r="AP88" s="30">
        <f>$I$36*$AP$36</f>
        <v>0</v>
      </c>
      <c r="AQ88" s="30">
        <f>$I$36*$AQ$36</f>
        <v>0</v>
      </c>
      <c r="AR88" s="30">
        <f>$I$36*$AR$36</f>
        <v>0</v>
      </c>
      <c r="AS88" s="30">
        <f>$I$36*$AS$36</f>
        <v>0</v>
      </c>
      <c r="AT88" s="30">
        <f>$I$36*$AT$36</f>
        <v>0</v>
      </c>
      <c r="AU88" s="30">
        <f>$I$36*$AU$36</f>
        <v>0</v>
      </c>
      <c r="AV88" s="30">
        <f>$I$36*$AV$36</f>
        <v>0</v>
      </c>
      <c r="AW88" s="30">
        <f>$I$36*$AW$36</f>
        <v>0</v>
      </c>
      <c r="AX88" s="30">
        <f>$I$36*$AX$36</f>
        <v>0</v>
      </c>
      <c r="AY88" s="30">
        <f>$I$36*$AY$36</f>
        <v>0</v>
      </c>
      <c r="AZ88" s="30">
        <f>$I$36*$AZ$36</f>
        <v>0</v>
      </c>
      <c r="BA88" s="30">
        <f>$I$36*$BA$36</f>
        <v>0</v>
      </c>
      <c r="BB88" s="30">
        <f>$I$36*$BB$36</f>
        <v>0</v>
      </c>
      <c r="BC88" s="30">
        <f>$I$36*$BC$36</f>
        <v>0</v>
      </c>
      <c r="BD88" s="30">
        <f>$I$36*$BD$36</f>
        <v>0</v>
      </c>
    </row>
    <row r="89" spans="1:56" ht="11.25" customHeight="1" x14ac:dyDescent="0.25">
      <c r="A89" s="9" t="s">
        <v>43</v>
      </c>
      <c r="B89" s="9" t="s">
        <v>956</v>
      </c>
      <c r="C89" s="9" t="s">
        <v>957</v>
      </c>
      <c r="D89" s="9" t="s">
        <v>968</v>
      </c>
      <c r="E89" s="9" t="s">
        <v>969</v>
      </c>
      <c r="F89" s="9" t="s">
        <v>970</v>
      </c>
      <c r="G89" s="9" t="s">
        <v>971</v>
      </c>
      <c r="L89" s="30">
        <f>$I$37*$L$37</f>
        <v>0</v>
      </c>
      <c r="M89" s="30">
        <f>$I$37*$M$37</f>
        <v>0</v>
      </c>
      <c r="N89" s="30">
        <f ca="1">$I$37*$N$37</f>
        <v>0</v>
      </c>
      <c r="O89" s="30">
        <f>$I$37*$O$37</f>
        <v>0</v>
      </c>
      <c r="P89" s="30">
        <f>$I$37*$P$37</f>
        <v>0</v>
      </c>
      <c r="Q89" s="30">
        <f>$I$37*$Q$37</f>
        <v>0</v>
      </c>
      <c r="R89" s="30">
        <f>$I$37*$R$37</f>
        <v>0</v>
      </c>
      <c r="S89" s="30">
        <f>$I$37*$S$37</f>
        <v>0</v>
      </c>
      <c r="T89" s="30">
        <f>$I$37*$T$37</f>
        <v>0</v>
      </c>
      <c r="U89" s="30">
        <f>$I$37*$U$37</f>
        <v>0</v>
      </c>
      <c r="V89" s="30">
        <f>$I$37*$V$37</f>
        <v>0</v>
      </c>
      <c r="W89" s="30">
        <f>$I$37*$W$37</f>
        <v>0</v>
      </c>
      <c r="X89" s="30">
        <f>$I$37*$X$37</f>
        <v>0</v>
      </c>
      <c r="Y89" s="30">
        <f>$I$37*$Y$37</f>
        <v>0</v>
      </c>
      <c r="Z89" s="30">
        <f>$I$37*$Z$37</f>
        <v>0</v>
      </c>
      <c r="AA89" s="30">
        <f>$I$37*$AA$37</f>
        <v>0</v>
      </c>
      <c r="AB89" s="30">
        <f ca="1">$I$37*$AB$37</f>
        <v>0</v>
      </c>
      <c r="AC89" s="30">
        <f ca="1">$I$37*$AC$37</f>
        <v>0</v>
      </c>
      <c r="AD89" s="30">
        <f>$I$37*$AD$37</f>
        <v>0</v>
      </c>
      <c r="AE89" s="30">
        <f>$I$37*$AE$37</f>
        <v>0</v>
      </c>
      <c r="AF89" s="30">
        <f ca="1">$I$37*$AF$37</f>
        <v>0</v>
      </c>
      <c r="AG89" s="30">
        <f ca="1">$I$37*$AG$37</f>
        <v>0</v>
      </c>
      <c r="AI89" s="30">
        <f>$I$37*$AI$37</f>
        <v>0</v>
      </c>
      <c r="AJ89" s="30">
        <f>$I$37*$AJ$37</f>
        <v>0</v>
      </c>
      <c r="AK89" s="30">
        <f>$I$37*$AK$37</f>
        <v>0</v>
      </c>
      <c r="AL89" s="30">
        <f>$I$37*$AL$37</f>
        <v>0</v>
      </c>
      <c r="AM89" s="30">
        <f>$I$37*$AM$37</f>
        <v>0</v>
      </c>
      <c r="AN89" s="30">
        <f>$I$37*$AN$37</f>
        <v>0</v>
      </c>
      <c r="AO89" s="30">
        <f>$I$37*$AO$37</f>
        <v>0</v>
      </c>
      <c r="AP89" s="30">
        <f>$I$37*$AP$37</f>
        <v>0</v>
      </c>
      <c r="AQ89" s="30">
        <f>$I$37*$AQ$37</f>
        <v>0</v>
      </c>
      <c r="AR89" s="30">
        <f>$I$37*$AR$37</f>
        <v>0</v>
      </c>
      <c r="AS89" s="30">
        <f>$I$37*$AS$37</f>
        <v>0</v>
      </c>
      <c r="AT89" s="30">
        <f>$I$37*$AT$37</f>
        <v>0</v>
      </c>
      <c r="AU89" s="30">
        <f>$I$37*$AU$37</f>
        <v>0</v>
      </c>
      <c r="AV89" s="30">
        <f>$I$37*$AV$37</f>
        <v>0</v>
      </c>
      <c r="AW89" s="30">
        <f>$I$37*$AW$37</f>
        <v>0</v>
      </c>
      <c r="AX89" s="30">
        <f>$I$37*$AX$37</f>
        <v>0</v>
      </c>
      <c r="AY89" s="30">
        <f>$I$37*$AY$37</f>
        <v>0</v>
      </c>
      <c r="AZ89" s="30">
        <f>$I$37*$AZ$37</f>
        <v>0</v>
      </c>
      <c r="BA89" s="30">
        <f>$I$37*$BA$37</f>
        <v>0</v>
      </c>
      <c r="BB89" s="30">
        <f>$I$37*$BB$37</f>
        <v>0</v>
      </c>
      <c r="BC89" s="30">
        <f>$I$37*$BC$37</f>
        <v>0</v>
      </c>
      <c r="BD89" s="30">
        <f>$I$37*$BD$37</f>
        <v>0</v>
      </c>
    </row>
    <row r="90" spans="1:56" ht="11.25" customHeight="1" x14ac:dyDescent="0.25">
      <c r="A90" s="9" t="s">
        <v>43</v>
      </c>
      <c r="B90" s="9" t="s">
        <v>948</v>
      </c>
      <c r="C90" s="9" t="s">
        <v>949</v>
      </c>
      <c r="D90" s="9" t="s">
        <v>972</v>
      </c>
      <c r="E90" s="9" t="s">
        <v>973</v>
      </c>
      <c r="F90" s="9" t="s">
        <v>974</v>
      </c>
      <c r="G90" s="9" t="s">
        <v>975</v>
      </c>
      <c r="L90" s="30">
        <f>$I$38*$L$38</f>
        <v>0</v>
      </c>
      <c r="M90" s="30">
        <f>$I$38*$M$38</f>
        <v>0</v>
      </c>
      <c r="N90" s="30">
        <f ca="1">$I$38*$N$38</f>
        <v>0</v>
      </c>
      <c r="O90" s="30">
        <f>$I$38*$O$38</f>
        <v>0</v>
      </c>
      <c r="P90" s="30">
        <f>$I$38*$P$38</f>
        <v>0</v>
      </c>
      <c r="Q90" s="30">
        <f>$I$38*$Q$38</f>
        <v>0</v>
      </c>
      <c r="R90" s="30">
        <f>$I$38*$R$38</f>
        <v>0</v>
      </c>
      <c r="S90" s="30">
        <f>$I$38*$S$38</f>
        <v>0</v>
      </c>
      <c r="T90" s="30">
        <f>$I$38*$T$38</f>
        <v>0</v>
      </c>
      <c r="U90" s="30">
        <f>$I$38*$U$38</f>
        <v>0</v>
      </c>
      <c r="V90" s="30">
        <f>$I$38*$V$38</f>
        <v>0</v>
      </c>
      <c r="W90" s="30">
        <f>$I$38*$W$38</f>
        <v>0</v>
      </c>
      <c r="X90" s="30">
        <f>$I$38*$X$38</f>
        <v>0</v>
      </c>
      <c r="Y90" s="30">
        <f>$I$38*$Y$38</f>
        <v>0</v>
      </c>
      <c r="Z90" s="30">
        <f>$I$38*$Z$38</f>
        <v>0</v>
      </c>
      <c r="AA90" s="30">
        <f>$I$38*$AA$38</f>
        <v>0</v>
      </c>
      <c r="AB90" s="30">
        <f ca="1">$I$38*$AB$38</f>
        <v>0</v>
      </c>
      <c r="AC90" s="30">
        <f ca="1">$I$38*$AC$38</f>
        <v>0</v>
      </c>
      <c r="AD90" s="30">
        <f>$I$38*$AD$38</f>
        <v>0</v>
      </c>
      <c r="AE90" s="30">
        <f>$I$38*$AE$38</f>
        <v>0</v>
      </c>
      <c r="AF90" s="30">
        <f ca="1">$I$38*$AF$38</f>
        <v>0</v>
      </c>
      <c r="AG90" s="30">
        <f ca="1">$I$38*$AG$38</f>
        <v>0</v>
      </c>
      <c r="AI90" s="30">
        <f>$I$38*$AI$38</f>
        <v>0</v>
      </c>
      <c r="AJ90" s="30">
        <f>$I$38*$AJ$38</f>
        <v>0</v>
      </c>
      <c r="AK90" s="30">
        <f>$I$38*$AK$38</f>
        <v>0</v>
      </c>
      <c r="AL90" s="30">
        <f>$I$38*$AL$38</f>
        <v>0</v>
      </c>
      <c r="AM90" s="30">
        <f>$I$38*$AM$38</f>
        <v>0</v>
      </c>
      <c r="AN90" s="30">
        <f>$I$38*$AN$38</f>
        <v>0</v>
      </c>
      <c r="AO90" s="30">
        <f>$I$38*$AO$38</f>
        <v>0</v>
      </c>
      <c r="AP90" s="30">
        <f>$I$38*$AP$38</f>
        <v>0</v>
      </c>
      <c r="AQ90" s="30">
        <f>$I$38*$AQ$38</f>
        <v>0</v>
      </c>
      <c r="AR90" s="30">
        <f>$I$38*$AR$38</f>
        <v>0</v>
      </c>
      <c r="AS90" s="30">
        <f>$I$38*$AS$38</f>
        <v>0</v>
      </c>
      <c r="AT90" s="30">
        <f>$I$38*$AT$38</f>
        <v>0</v>
      </c>
      <c r="AU90" s="30">
        <f>$I$38*$AU$38</f>
        <v>0</v>
      </c>
      <c r="AV90" s="30">
        <f>$I$38*$AV$38</f>
        <v>0</v>
      </c>
      <c r="AW90" s="30">
        <f>$I$38*$AW$38</f>
        <v>0</v>
      </c>
      <c r="AX90" s="30">
        <f>$I$38*$AX$38</f>
        <v>0</v>
      </c>
      <c r="AY90" s="30">
        <f>$I$38*$AY$38</f>
        <v>0</v>
      </c>
      <c r="AZ90" s="30">
        <f>$I$38*$AZ$38</f>
        <v>0</v>
      </c>
      <c r="BA90" s="30">
        <f>$I$38*$BA$38</f>
        <v>0</v>
      </c>
      <c r="BB90" s="30">
        <f>$I$38*$BB$38</f>
        <v>0</v>
      </c>
      <c r="BC90" s="30">
        <f>$I$38*$BC$38</f>
        <v>0</v>
      </c>
      <c r="BD90" s="30">
        <f>$I$38*$BD$38</f>
        <v>0</v>
      </c>
    </row>
    <row r="91" spans="1:56" ht="11.25" customHeight="1" x14ac:dyDescent="0.25">
      <c r="A91" s="9" t="s">
        <v>43</v>
      </c>
      <c r="B91" s="9" t="s">
        <v>948</v>
      </c>
      <c r="C91" s="9" t="s">
        <v>949</v>
      </c>
      <c r="D91" s="9" t="s">
        <v>972</v>
      </c>
      <c r="E91" s="9" t="s">
        <v>973</v>
      </c>
      <c r="F91" s="9" t="s">
        <v>974</v>
      </c>
      <c r="G91" s="9" t="s">
        <v>976</v>
      </c>
      <c r="L91" s="30">
        <f>$I$39*$L$39</f>
        <v>0</v>
      </c>
      <c r="M91" s="30">
        <f>$I$39*$M$39</f>
        <v>0</v>
      </c>
      <c r="N91" s="30">
        <f ca="1">$I$39*$N$39</f>
        <v>0</v>
      </c>
      <c r="O91" s="30">
        <f>$I$39*$O$39</f>
        <v>0</v>
      </c>
      <c r="P91" s="30">
        <f>$I$39*$P$39</f>
        <v>0</v>
      </c>
      <c r="Q91" s="30">
        <f>$I$39*$Q$39</f>
        <v>0</v>
      </c>
      <c r="R91" s="30">
        <f>$I$39*$R$39</f>
        <v>0</v>
      </c>
      <c r="S91" s="30">
        <f>$I$39*$S$39</f>
        <v>0</v>
      </c>
      <c r="T91" s="30">
        <f>$I$39*$T$39</f>
        <v>0</v>
      </c>
      <c r="U91" s="30">
        <f>$I$39*$U$39</f>
        <v>0</v>
      </c>
      <c r="V91" s="30">
        <f>$I$39*$V$39</f>
        <v>0</v>
      </c>
      <c r="W91" s="30">
        <f>$I$39*$W$39</f>
        <v>0</v>
      </c>
      <c r="X91" s="30">
        <f>$I$39*$X$39</f>
        <v>0</v>
      </c>
      <c r="Y91" s="30">
        <f>$I$39*$Y$39</f>
        <v>0</v>
      </c>
      <c r="Z91" s="30">
        <f>$I$39*$Z$39</f>
        <v>0</v>
      </c>
      <c r="AA91" s="30">
        <f>$I$39*$AA$39</f>
        <v>0</v>
      </c>
      <c r="AB91" s="30">
        <f ca="1">$I$39*$AB$39</f>
        <v>0</v>
      </c>
      <c r="AC91" s="30">
        <f ca="1">$I$39*$AC$39</f>
        <v>0</v>
      </c>
      <c r="AD91" s="30">
        <f>$I$39*$AD$39</f>
        <v>0</v>
      </c>
      <c r="AE91" s="30">
        <f>$I$39*$AE$39</f>
        <v>0</v>
      </c>
      <c r="AF91" s="30">
        <f ca="1">$I$39*$AF$39</f>
        <v>0</v>
      </c>
      <c r="AG91" s="30">
        <f ca="1">$I$39*$AG$39</f>
        <v>0</v>
      </c>
      <c r="AI91" s="30">
        <f>$I$39*$AI$39</f>
        <v>0</v>
      </c>
      <c r="AJ91" s="30">
        <f>$I$39*$AJ$39</f>
        <v>0</v>
      </c>
      <c r="AK91" s="30">
        <f>$I$39*$AK$39</f>
        <v>0</v>
      </c>
      <c r="AL91" s="30">
        <f>$I$39*$AL$39</f>
        <v>0</v>
      </c>
      <c r="AM91" s="30">
        <f>$I$39*$AM$39</f>
        <v>0</v>
      </c>
      <c r="AN91" s="30">
        <f>$I$39*$AN$39</f>
        <v>0</v>
      </c>
      <c r="AO91" s="30">
        <f>$I$39*$AO$39</f>
        <v>0</v>
      </c>
      <c r="AP91" s="30">
        <f>$I$39*$AP$39</f>
        <v>0</v>
      </c>
      <c r="AQ91" s="30">
        <f>$I$39*$AQ$39</f>
        <v>0</v>
      </c>
      <c r="AR91" s="30">
        <f>$I$39*$AR$39</f>
        <v>0</v>
      </c>
      <c r="AS91" s="30">
        <f>$I$39*$AS$39</f>
        <v>0</v>
      </c>
      <c r="AT91" s="30">
        <f>$I$39*$AT$39</f>
        <v>0</v>
      </c>
      <c r="AU91" s="30">
        <f>$I$39*$AU$39</f>
        <v>0</v>
      </c>
      <c r="AV91" s="30">
        <f>$I$39*$AV$39</f>
        <v>0</v>
      </c>
      <c r="AW91" s="30">
        <f>$I$39*$AW$39</f>
        <v>0</v>
      </c>
      <c r="AX91" s="30">
        <f>$I$39*$AX$39</f>
        <v>0</v>
      </c>
      <c r="AY91" s="30">
        <f>$I$39*$AY$39</f>
        <v>0</v>
      </c>
      <c r="AZ91" s="30">
        <f>$I$39*$AZ$39</f>
        <v>0</v>
      </c>
      <c r="BA91" s="30">
        <f>$I$39*$BA$39</f>
        <v>0</v>
      </c>
      <c r="BB91" s="30">
        <f>$I$39*$BB$39</f>
        <v>0</v>
      </c>
      <c r="BC91" s="30">
        <f>$I$39*$BC$39</f>
        <v>0</v>
      </c>
      <c r="BD91" s="30">
        <f>$I$39*$BD$39</f>
        <v>0</v>
      </c>
    </row>
    <row r="92" spans="1:56" ht="11.25" customHeight="1" x14ac:dyDescent="0.25">
      <c r="A92" s="9" t="s">
        <v>43</v>
      </c>
      <c r="B92" s="9" t="s">
        <v>948</v>
      </c>
      <c r="C92" s="9" t="s">
        <v>949</v>
      </c>
      <c r="D92" s="9" t="s">
        <v>972</v>
      </c>
      <c r="E92" s="9" t="s">
        <v>973</v>
      </c>
      <c r="F92" s="9" t="s">
        <v>974</v>
      </c>
      <c r="G92" s="9" t="s">
        <v>977</v>
      </c>
      <c r="L92" s="30">
        <f>$I$40*$L$40</f>
        <v>0</v>
      </c>
      <c r="M92" s="30">
        <f>$I$40*$M$40</f>
        <v>0</v>
      </c>
      <c r="N92" s="30">
        <f ca="1">$I$40*$N$40</f>
        <v>0</v>
      </c>
      <c r="O92" s="30">
        <f>$I$40*$O$40</f>
        <v>0</v>
      </c>
      <c r="P92" s="30">
        <f>$I$40*$P$40</f>
        <v>0</v>
      </c>
      <c r="Q92" s="30">
        <f>$I$40*$Q$40</f>
        <v>0</v>
      </c>
      <c r="R92" s="30">
        <f>$I$40*$R$40</f>
        <v>0</v>
      </c>
      <c r="S92" s="30">
        <f>$I$40*$S$40</f>
        <v>0</v>
      </c>
      <c r="T92" s="30">
        <f>$I$40*$T$40</f>
        <v>0</v>
      </c>
      <c r="U92" s="30">
        <f>$I$40*$U$40</f>
        <v>0</v>
      </c>
      <c r="V92" s="30">
        <f>$I$40*$V$40</f>
        <v>0</v>
      </c>
      <c r="W92" s="30">
        <f>$I$40*$W$40</f>
        <v>0</v>
      </c>
      <c r="X92" s="30">
        <f>$I$40*$X$40</f>
        <v>0</v>
      </c>
      <c r="Y92" s="30">
        <f>$I$40*$Y$40</f>
        <v>0</v>
      </c>
      <c r="Z92" s="30">
        <f>$I$40*$Z$40</f>
        <v>0</v>
      </c>
      <c r="AA92" s="30">
        <f>$I$40*$AA$40</f>
        <v>0</v>
      </c>
      <c r="AB92" s="30">
        <f ca="1">$I$40*$AB$40</f>
        <v>0</v>
      </c>
      <c r="AC92" s="30">
        <f ca="1">$I$40*$AC$40</f>
        <v>0</v>
      </c>
      <c r="AD92" s="30">
        <f>$I$40*$AD$40</f>
        <v>0</v>
      </c>
      <c r="AE92" s="30">
        <f>$I$40*$AE$40</f>
        <v>0</v>
      </c>
      <c r="AF92" s="30">
        <f ca="1">$I$40*$AF$40</f>
        <v>0</v>
      </c>
      <c r="AG92" s="30">
        <f ca="1">$I$40*$AG$40</f>
        <v>0</v>
      </c>
      <c r="AI92" s="30">
        <f>$I$40*$AI$40</f>
        <v>0</v>
      </c>
      <c r="AJ92" s="30">
        <f>$I$40*$AJ$40</f>
        <v>0</v>
      </c>
      <c r="AK92" s="30">
        <f>$I$40*$AK$40</f>
        <v>0</v>
      </c>
      <c r="AL92" s="30">
        <f>$I$40*$AL$40</f>
        <v>0</v>
      </c>
      <c r="AM92" s="30">
        <f>$I$40*$AM$40</f>
        <v>0</v>
      </c>
      <c r="AN92" s="30">
        <f>$I$40*$AN$40</f>
        <v>0</v>
      </c>
      <c r="AO92" s="30">
        <f>$I$40*$AO$40</f>
        <v>0</v>
      </c>
      <c r="AP92" s="30">
        <f>$I$40*$AP$40</f>
        <v>0</v>
      </c>
      <c r="AQ92" s="30">
        <f>$I$40*$AQ$40</f>
        <v>0</v>
      </c>
      <c r="AR92" s="30">
        <f>$I$40*$AR$40</f>
        <v>0</v>
      </c>
      <c r="AS92" s="30">
        <f>$I$40*$AS$40</f>
        <v>0</v>
      </c>
      <c r="AT92" s="30">
        <f>$I$40*$AT$40</f>
        <v>0</v>
      </c>
      <c r="AU92" s="30">
        <f>$I$40*$AU$40</f>
        <v>0</v>
      </c>
      <c r="AV92" s="30">
        <f>$I$40*$AV$40</f>
        <v>0</v>
      </c>
      <c r="AW92" s="30">
        <f>$I$40*$AW$40</f>
        <v>0</v>
      </c>
      <c r="AX92" s="30">
        <f>$I$40*$AX$40</f>
        <v>0</v>
      </c>
      <c r="AY92" s="30">
        <f>$I$40*$AY$40</f>
        <v>0</v>
      </c>
      <c r="AZ92" s="30">
        <f>$I$40*$AZ$40</f>
        <v>0</v>
      </c>
      <c r="BA92" s="30">
        <f>$I$40*$BA$40</f>
        <v>0</v>
      </c>
      <c r="BB92" s="30">
        <f>$I$40*$BB$40</f>
        <v>0</v>
      </c>
      <c r="BC92" s="30">
        <f>$I$40*$BC$40</f>
        <v>0</v>
      </c>
      <c r="BD92" s="30">
        <f>$I$40*$BD$40</f>
        <v>0</v>
      </c>
    </row>
    <row r="93" spans="1:56" ht="11.25" customHeight="1" x14ac:dyDescent="0.25">
      <c r="A93" s="9" t="s">
        <v>43</v>
      </c>
      <c r="B93" s="9" t="s">
        <v>956</v>
      </c>
      <c r="C93" s="9" t="s">
        <v>957</v>
      </c>
      <c r="D93" s="9" t="s">
        <v>978</v>
      </c>
      <c r="E93" s="9" t="s">
        <v>979</v>
      </c>
      <c r="F93" s="9" t="s">
        <v>980</v>
      </c>
      <c r="G93" s="9" t="s">
        <v>981</v>
      </c>
      <c r="L93" s="30">
        <f>$I$41*$L$41</f>
        <v>0</v>
      </c>
      <c r="M93" s="30">
        <f>$I$41*$M$41</f>
        <v>0</v>
      </c>
      <c r="N93" s="30">
        <f ca="1">$I$41*$N$41</f>
        <v>0</v>
      </c>
      <c r="O93" s="30">
        <f>$I$41*$O$41</f>
        <v>0</v>
      </c>
      <c r="P93" s="30">
        <f>$I$41*$P$41</f>
        <v>0</v>
      </c>
      <c r="Q93" s="30">
        <f>$I$41*$Q$41</f>
        <v>0</v>
      </c>
      <c r="R93" s="30">
        <f>$I$41*$R$41</f>
        <v>0</v>
      </c>
      <c r="S93" s="30">
        <f>$I$41*$S$41</f>
        <v>0</v>
      </c>
      <c r="T93" s="30">
        <f>$I$41*$T$41</f>
        <v>0</v>
      </c>
      <c r="U93" s="30">
        <f>$I$41*$U$41</f>
        <v>0</v>
      </c>
      <c r="V93" s="30">
        <f>$I$41*$V$41</f>
        <v>0</v>
      </c>
      <c r="W93" s="30">
        <f>$I$41*$W$41</f>
        <v>0</v>
      </c>
      <c r="X93" s="30">
        <f>$I$41*$X$41</f>
        <v>0</v>
      </c>
      <c r="Y93" s="30">
        <f>$I$41*$Y$41</f>
        <v>0</v>
      </c>
      <c r="Z93" s="30">
        <f>$I$41*$Z$41</f>
        <v>0</v>
      </c>
      <c r="AA93" s="30">
        <f>$I$41*$AA$41</f>
        <v>0</v>
      </c>
      <c r="AB93" s="30">
        <f ca="1">$I$41*$AB$41</f>
        <v>0</v>
      </c>
      <c r="AC93" s="30">
        <f ca="1">$I$41*$AC$41</f>
        <v>0</v>
      </c>
      <c r="AD93" s="30">
        <f>$I$41*$AD$41</f>
        <v>0</v>
      </c>
      <c r="AE93" s="30">
        <f>$I$41*$AE$41</f>
        <v>0</v>
      </c>
      <c r="AF93" s="30">
        <f ca="1">$I$41*$AF$41</f>
        <v>0</v>
      </c>
      <c r="AG93" s="30">
        <f ca="1">$I$41*$AG$41</f>
        <v>0</v>
      </c>
      <c r="AI93" s="30">
        <f>$I$41*$AI$41</f>
        <v>0</v>
      </c>
      <c r="AJ93" s="30">
        <f>$I$41*$AJ$41</f>
        <v>0</v>
      </c>
      <c r="AK93" s="30">
        <f>$I$41*$AK$41</f>
        <v>0</v>
      </c>
      <c r="AL93" s="30">
        <f>$I$41*$AL$41</f>
        <v>0</v>
      </c>
      <c r="AM93" s="30">
        <f>$I$41*$AM$41</f>
        <v>0</v>
      </c>
      <c r="AN93" s="30">
        <f>$I$41*$AN$41</f>
        <v>0</v>
      </c>
      <c r="AO93" s="30">
        <f>$I$41*$AO$41</f>
        <v>0</v>
      </c>
      <c r="AP93" s="30">
        <f>$I$41*$AP$41</f>
        <v>0</v>
      </c>
      <c r="AQ93" s="30">
        <f>$I$41*$AQ$41</f>
        <v>0</v>
      </c>
      <c r="AR93" s="30">
        <f>$I$41*$AR$41</f>
        <v>0</v>
      </c>
      <c r="AS93" s="30">
        <f>$I$41*$AS$41</f>
        <v>0</v>
      </c>
      <c r="AT93" s="30">
        <f>$I$41*$AT$41</f>
        <v>0</v>
      </c>
      <c r="AU93" s="30">
        <f>$I$41*$AU$41</f>
        <v>0</v>
      </c>
      <c r="AV93" s="30">
        <f>$I$41*$AV$41</f>
        <v>0</v>
      </c>
      <c r="AW93" s="30">
        <f>$I$41*$AW$41</f>
        <v>0</v>
      </c>
      <c r="AX93" s="30">
        <f>$I$41*$AX$41</f>
        <v>0</v>
      </c>
      <c r="AY93" s="30">
        <f>$I$41*$AY$41</f>
        <v>0</v>
      </c>
      <c r="AZ93" s="30">
        <f>$I$41*$AZ$41</f>
        <v>0</v>
      </c>
      <c r="BA93" s="30">
        <f>$I$41*$BA$41</f>
        <v>0</v>
      </c>
      <c r="BB93" s="30">
        <f>$I$41*$BB$41</f>
        <v>0</v>
      </c>
      <c r="BC93" s="30">
        <f>$I$41*$BC$41</f>
        <v>0</v>
      </c>
      <c r="BD93" s="30">
        <f>$I$41*$BD$41</f>
        <v>0</v>
      </c>
    </row>
    <row r="94" spans="1:56" ht="11.25" customHeight="1" x14ac:dyDescent="0.25">
      <c r="A94" s="9" t="s">
        <v>43</v>
      </c>
      <c r="B94" s="9" t="s">
        <v>982</v>
      </c>
      <c r="C94" s="9" t="s">
        <v>983</v>
      </c>
      <c r="D94" s="9" t="s">
        <v>984</v>
      </c>
      <c r="E94" s="9" t="s">
        <v>985</v>
      </c>
      <c r="F94" s="9" t="s">
        <v>986</v>
      </c>
      <c r="G94" s="9" t="s">
        <v>987</v>
      </c>
      <c r="L94" s="30">
        <f>$I$42*$L$42</f>
        <v>0</v>
      </c>
      <c r="M94" s="30">
        <f>$I$42*$M$42</f>
        <v>0</v>
      </c>
      <c r="N94" s="30">
        <f ca="1">$I$42*$N$42</f>
        <v>0</v>
      </c>
      <c r="O94" s="30">
        <f>$I$42*$O$42</f>
        <v>0</v>
      </c>
      <c r="P94" s="30">
        <f>$I$42*$P$42</f>
        <v>0</v>
      </c>
      <c r="Q94" s="30">
        <f>$I$42*$Q$42</f>
        <v>0</v>
      </c>
      <c r="R94" s="30">
        <f>$I$42*$R$42</f>
        <v>0</v>
      </c>
      <c r="S94" s="30">
        <f>$I$42*$S$42</f>
        <v>0</v>
      </c>
      <c r="T94" s="30">
        <f>$I$42*$T$42</f>
        <v>0</v>
      </c>
      <c r="U94" s="30">
        <f>$I$42*$U$42</f>
        <v>0</v>
      </c>
      <c r="V94" s="30">
        <f>$I$42*$V$42</f>
        <v>0</v>
      </c>
      <c r="W94" s="30">
        <f>$I$42*$W$42</f>
        <v>0</v>
      </c>
      <c r="X94" s="30">
        <f>$I$42*$X$42</f>
        <v>0</v>
      </c>
      <c r="Y94" s="30">
        <f>$I$42*$Y$42</f>
        <v>0</v>
      </c>
      <c r="Z94" s="30">
        <f>$I$42*$Z$42</f>
        <v>0</v>
      </c>
      <c r="AA94" s="30">
        <f>$I$42*$AA$42</f>
        <v>0</v>
      </c>
      <c r="AB94" s="30">
        <f ca="1">$I$42*$AB$42</f>
        <v>0</v>
      </c>
      <c r="AC94" s="30">
        <f ca="1">$I$42*$AC$42</f>
        <v>0</v>
      </c>
      <c r="AD94" s="30">
        <f>$I$42*$AD$42</f>
        <v>0</v>
      </c>
      <c r="AE94" s="30">
        <f>$I$42*$AE$42</f>
        <v>0</v>
      </c>
      <c r="AF94" s="30">
        <f ca="1">$I$42*$AF$42</f>
        <v>0</v>
      </c>
      <c r="AG94" s="30">
        <f ca="1">$I$42*$AG$42</f>
        <v>0</v>
      </c>
      <c r="AI94" s="30">
        <f>$I$42*$AI$42</f>
        <v>0</v>
      </c>
      <c r="AJ94" s="30">
        <f>$I$42*$AJ$42</f>
        <v>0</v>
      </c>
      <c r="AK94" s="30">
        <f>$I$42*$AK$42</f>
        <v>0</v>
      </c>
      <c r="AL94" s="30">
        <f>$I$42*$AL$42</f>
        <v>0</v>
      </c>
      <c r="AM94" s="30">
        <f>$I$42*$AM$42</f>
        <v>0</v>
      </c>
      <c r="AN94" s="30">
        <f>$I$42*$AN$42</f>
        <v>0</v>
      </c>
      <c r="AO94" s="30">
        <f>$I$42*$AO$42</f>
        <v>0</v>
      </c>
      <c r="AP94" s="30">
        <f>$I$42*$AP$42</f>
        <v>0</v>
      </c>
      <c r="AQ94" s="30">
        <f>$I$42*$AQ$42</f>
        <v>0</v>
      </c>
      <c r="AR94" s="30">
        <f>$I$42*$AR$42</f>
        <v>0</v>
      </c>
      <c r="AS94" s="30">
        <f>$I$42*$AS$42</f>
        <v>0</v>
      </c>
      <c r="AT94" s="30">
        <f>$I$42*$AT$42</f>
        <v>0</v>
      </c>
      <c r="AU94" s="30">
        <f>$I$42*$AU$42</f>
        <v>0</v>
      </c>
      <c r="AV94" s="30">
        <f>$I$42*$AV$42</f>
        <v>0</v>
      </c>
      <c r="AW94" s="30">
        <f>$I$42*$AW$42</f>
        <v>0</v>
      </c>
      <c r="AX94" s="30">
        <f>$I$42*$AX$42</f>
        <v>0</v>
      </c>
      <c r="AY94" s="30">
        <f>$I$42*$AY$42</f>
        <v>0</v>
      </c>
      <c r="AZ94" s="30">
        <f>$I$42*$AZ$42</f>
        <v>0</v>
      </c>
      <c r="BA94" s="30">
        <f>$I$42*$BA$42</f>
        <v>0</v>
      </c>
      <c r="BB94" s="30">
        <f>$I$42*$BB$42</f>
        <v>0</v>
      </c>
      <c r="BC94" s="30">
        <f>$I$42*$BC$42</f>
        <v>0</v>
      </c>
      <c r="BD94" s="30">
        <f>$I$42*$BD$42</f>
        <v>0</v>
      </c>
    </row>
    <row r="95" spans="1:56" ht="11.25" customHeight="1" x14ac:dyDescent="0.25">
      <c r="A95" s="9" t="s">
        <v>43</v>
      </c>
      <c r="B95" s="9" t="s">
        <v>982</v>
      </c>
      <c r="C95" s="9" t="s">
        <v>983</v>
      </c>
      <c r="D95" s="9" t="s">
        <v>988</v>
      </c>
      <c r="E95" s="9" t="s">
        <v>989</v>
      </c>
      <c r="F95" s="9" t="s">
        <v>990</v>
      </c>
      <c r="G95" s="9" t="s">
        <v>991</v>
      </c>
      <c r="L95" s="30">
        <f>$I$43*$L$43</f>
        <v>0</v>
      </c>
      <c r="M95" s="30">
        <f>$I$43*$M$43</f>
        <v>0</v>
      </c>
      <c r="N95" s="30">
        <f ca="1">$I$43*$N$43</f>
        <v>0</v>
      </c>
      <c r="O95" s="30">
        <f>$I$43*$O$43</f>
        <v>0</v>
      </c>
      <c r="P95" s="30">
        <f>$I$43*$P$43</f>
        <v>0</v>
      </c>
      <c r="Q95" s="30">
        <f>$I$43*$Q$43</f>
        <v>0</v>
      </c>
      <c r="R95" s="30">
        <f>$I$43*$R$43</f>
        <v>0</v>
      </c>
      <c r="S95" s="30">
        <f>$I$43*$S$43</f>
        <v>0</v>
      </c>
      <c r="T95" s="30">
        <f>$I$43*$T$43</f>
        <v>0</v>
      </c>
      <c r="U95" s="30">
        <f>$I$43*$U$43</f>
        <v>0</v>
      </c>
      <c r="V95" s="30">
        <f>$I$43*$V$43</f>
        <v>0</v>
      </c>
      <c r="W95" s="30">
        <f>$I$43*$W$43</f>
        <v>0</v>
      </c>
      <c r="X95" s="30">
        <f>$I$43*$X$43</f>
        <v>0</v>
      </c>
      <c r="Y95" s="30">
        <f>$I$43*$Y$43</f>
        <v>0</v>
      </c>
      <c r="Z95" s="30">
        <f>$I$43*$Z$43</f>
        <v>0</v>
      </c>
      <c r="AA95" s="30">
        <f>$I$43*$AA$43</f>
        <v>0</v>
      </c>
      <c r="AB95" s="30">
        <f ca="1">$I$43*$AB$43</f>
        <v>0</v>
      </c>
      <c r="AC95" s="30">
        <f ca="1">$I$43*$AC$43</f>
        <v>0</v>
      </c>
      <c r="AD95" s="30">
        <f>$I$43*$AD$43</f>
        <v>0</v>
      </c>
      <c r="AE95" s="30">
        <f>$I$43*$AE$43</f>
        <v>0</v>
      </c>
      <c r="AF95" s="30">
        <f ca="1">$I$43*$AF$43</f>
        <v>0</v>
      </c>
      <c r="AG95" s="30">
        <f ca="1">$I$43*$AG$43</f>
        <v>0</v>
      </c>
      <c r="AI95" s="30">
        <f>$I$43*$AI$43</f>
        <v>0</v>
      </c>
      <c r="AJ95" s="30">
        <f>$I$43*$AJ$43</f>
        <v>0</v>
      </c>
      <c r="AK95" s="30">
        <f>$I$43*$AK$43</f>
        <v>0</v>
      </c>
      <c r="AL95" s="30">
        <f>$I$43*$AL$43</f>
        <v>0</v>
      </c>
      <c r="AM95" s="30">
        <f>$I$43*$AM$43</f>
        <v>0</v>
      </c>
      <c r="AN95" s="30">
        <f>$I$43*$AN$43</f>
        <v>0</v>
      </c>
      <c r="AO95" s="30">
        <f>$I$43*$AO$43</f>
        <v>0</v>
      </c>
      <c r="AP95" s="30">
        <f>$I$43*$AP$43</f>
        <v>0</v>
      </c>
      <c r="AQ95" s="30">
        <f>$I$43*$AQ$43</f>
        <v>0</v>
      </c>
      <c r="AR95" s="30">
        <f>$I$43*$AR$43</f>
        <v>0</v>
      </c>
      <c r="AS95" s="30">
        <f>$I$43*$AS$43</f>
        <v>0</v>
      </c>
      <c r="AT95" s="30">
        <f>$I$43*$AT$43</f>
        <v>0</v>
      </c>
      <c r="AU95" s="30">
        <f>$I$43*$AU$43</f>
        <v>0</v>
      </c>
      <c r="AV95" s="30">
        <f>$I$43*$AV$43</f>
        <v>0</v>
      </c>
      <c r="AW95" s="30">
        <f>$I$43*$AW$43</f>
        <v>0</v>
      </c>
      <c r="AX95" s="30">
        <f>$I$43*$AX$43</f>
        <v>0</v>
      </c>
      <c r="AY95" s="30">
        <f>$I$43*$AY$43</f>
        <v>0</v>
      </c>
      <c r="AZ95" s="30">
        <f>$I$43*$AZ$43</f>
        <v>0</v>
      </c>
      <c r="BA95" s="30">
        <f>$I$43*$BA$43</f>
        <v>0</v>
      </c>
      <c r="BB95" s="30">
        <f>$I$43*$BB$43</f>
        <v>0</v>
      </c>
      <c r="BC95" s="30">
        <f>$I$43*$BC$43</f>
        <v>0</v>
      </c>
      <c r="BD95" s="30">
        <f>$I$43*$BD$43</f>
        <v>0</v>
      </c>
    </row>
    <row r="96" spans="1:56" ht="11.25" customHeight="1" x14ac:dyDescent="0.25">
      <c r="A96" s="9" t="s">
        <v>43</v>
      </c>
      <c r="B96" s="9" t="s">
        <v>982</v>
      </c>
      <c r="C96" s="9" t="s">
        <v>983</v>
      </c>
      <c r="D96" s="9" t="s">
        <v>992</v>
      </c>
      <c r="E96" s="9" t="s">
        <v>993</v>
      </c>
      <c r="F96" s="9" t="s">
        <v>994</v>
      </c>
      <c r="G96" s="9" t="s">
        <v>995</v>
      </c>
      <c r="L96" s="30">
        <f>$I$44*$L$44</f>
        <v>0</v>
      </c>
      <c r="M96" s="30">
        <f>$I$44*$M$44</f>
        <v>0</v>
      </c>
      <c r="N96" s="30">
        <f ca="1">$I$44*$N$44</f>
        <v>0</v>
      </c>
      <c r="O96" s="30">
        <f>$I$44*$O$44</f>
        <v>0</v>
      </c>
      <c r="P96" s="30">
        <f>$I$44*$P$44</f>
        <v>0</v>
      </c>
      <c r="Q96" s="30">
        <f>$I$44*$Q$44</f>
        <v>0</v>
      </c>
      <c r="R96" s="30">
        <f>$I$44*$R$44</f>
        <v>0</v>
      </c>
      <c r="S96" s="30">
        <f>$I$44*$S$44</f>
        <v>0</v>
      </c>
      <c r="T96" s="30">
        <f>$I$44*$T$44</f>
        <v>0</v>
      </c>
      <c r="U96" s="30">
        <f>$I$44*$U$44</f>
        <v>0</v>
      </c>
      <c r="V96" s="30">
        <f>$I$44*$V$44</f>
        <v>0</v>
      </c>
      <c r="W96" s="30">
        <f>$I$44*$W$44</f>
        <v>0</v>
      </c>
      <c r="X96" s="30">
        <f>$I$44*$X$44</f>
        <v>0</v>
      </c>
      <c r="Y96" s="30">
        <f>$I$44*$Y$44</f>
        <v>0</v>
      </c>
      <c r="Z96" s="30">
        <f>$I$44*$Z$44</f>
        <v>0</v>
      </c>
      <c r="AA96" s="30">
        <f>$I$44*$AA$44</f>
        <v>0</v>
      </c>
      <c r="AB96" s="30">
        <f ca="1">$I$44*$AB$44</f>
        <v>0</v>
      </c>
      <c r="AC96" s="30">
        <f ca="1">$I$44*$AC$44</f>
        <v>0</v>
      </c>
      <c r="AD96" s="30">
        <f>$I$44*$AD$44</f>
        <v>0</v>
      </c>
      <c r="AE96" s="30">
        <f>$I$44*$AE$44</f>
        <v>0</v>
      </c>
      <c r="AF96" s="30">
        <f ca="1">$I$44*$AF$44</f>
        <v>0</v>
      </c>
      <c r="AG96" s="30">
        <f ca="1">$I$44*$AG$44</f>
        <v>0</v>
      </c>
      <c r="AI96" s="30">
        <f>$I$44*$AI$44</f>
        <v>0</v>
      </c>
      <c r="AJ96" s="30">
        <f>$I$44*$AJ$44</f>
        <v>0</v>
      </c>
      <c r="AK96" s="30">
        <f>$I$44*$AK$44</f>
        <v>0</v>
      </c>
      <c r="AL96" s="30">
        <f>$I$44*$AL$44</f>
        <v>0</v>
      </c>
      <c r="AM96" s="30">
        <f>$I$44*$AM$44</f>
        <v>0</v>
      </c>
      <c r="AN96" s="30">
        <f>$I$44*$AN$44</f>
        <v>0</v>
      </c>
      <c r="AO96" s="30">
        <f>$I$44*$AO$44</f>
        <v>0</v>
      </c>
      <c r="AP96" s="30">
        <f>$I$44*$AP$44</f>
        <v>0</v>
      </c>
      <c r="AQ96" s="30">
        <f>$I$44*$AQ$44</f>
        <v>0</v>
      </c>
      <c r="AR96" s="30">
        <f>$I$44*$AR$44</f>
        <v>0</v>
      </c>
      <c r="AS96" s="30">
        <f>$I$44*$AS$44</f>
        <v>0</v>
      </c>
      <c r="AT96" s="30">
        <f>$I$44*$AT$44</f>
        <v>0</v>
      </c>
      <c r="AU96" s="30">
        <f>$I$44*$AU$44</f>
        <v>0</v>
      </c>
      <c r="AV96" s="30">
        <f>$I$44*$AV$44</f>
        <v>0</v>
      </c>
      <c r="AW96" s="30">
        <f>$I$44*$AW$44</f>
        <v>0</v>
      </c>
      <c r="AX96" s="30">
        <f>$I$44*$AX$44</f>
        <v>0</v>
      </c>
      <c r="AY96" s="30">
        <f>$I$44*$AY$44</f>
        <v>0</v>
      </c>
      <c r="AZ96" s="30">
        <f>$I$44*$AZ$44</f>
        <v>0</v>
      </c>
      <c r="BA96" s="30">
        <f>$I$44*$BA$44</f>
        <v>0</v>
      </c>
      <c r="BB96" s="30">
        <f>$I$44*$BB$44</f>
        <v>0</v>
      </c>
      <c r="BC96" s="30">
        <f>$I$44*$BC$44</f>
        <v>0</v>
      </c>
      <c r="BD96" s="30">
        <f>$I$44*$BD$44</f>
        <v>0</v>
      </c>
    </row>
    <row r="97" spans="1:56" ht="11.25" customHeight="1" x14ac:dyDescent="0.25">
      <c r="A97" s="9" t="s">
        <v>37</v>
      </c>
      <c r="B97" s="9" t="s">
        <v>996</v>
      </c>
      <c r="C97" s="9" t="s">
        <v>997</v>
      </c>
      <c r="D97" s="9" t="s">
        <v>998</v>
      </c>
      <c r="E97" s="9" t="s">
        <v>999</v>
      </c>
      <c r="F97" s="9" t="s">
        <v>1000</v>
      </c>
      <c r="G97" s="9" t="s">
        <v>1001</v>
      </c>
      <c r="L97" s="30">
        <f>$I$45*$L$45</f>
        <v>539.97489383702634</v>
      </c>
      <c r="M97" s="30">
        <f>$I$45*$M$45</f>
        <v>30.783846365001157</v>
      </c>
      <c r="N97" s="30">
        <f ca="1">$I$45*$N$45</f>
        <v>356.17404747332768</v>
      </c>
      <c r="O97" s="30">
        <f>$I$45*$O$45</f>
        <v>0</v>
      </c>
      <c r="P97" s="30">
        <f>$I$45*$P$45</f>
        <v>0</v>
      </c>
      <c r="Q97" s="30">
        <f>$I$45*$Q$45</f>
        <v>1720.0048239606165</v>
      </c>
      <c r="R97" s="30">
        <f>$I$45*$R$45</f>
        <v>0</v>
      </c>
      <c r="S97" s="30">
        <f>$I$45*$S$45</f>
        <v>0</v>
      </c>
      <c r="T97" s="30">
        <f>$I$45*$T$45</f>
        <v>0</v>
      </c>
      <c r="U97" s="30">
        <f>$I$45*$U$45</f>
        <v>0</v>
      </c>
      <c r="V97" s="30">
        <f>$I$45*$V$45</f>
        <v>257.86816280509919</v>
      </c>
      <c r="W97" s="30">
        <f>$I$45*$W$45</f>
        <v>0</v>
      </c>
      <c r="X97" s="30">
        <f>$I$45*$X$45</f>
        <v>0</v>
      </c>
      <c r="Y97" s="30">
        <f>$I$45*$Y$45</f>
        <v>0</v>
      </c>
      <c r="Z97" s="30">
        <f>$I$45*$Z$45</f>
        <v>0</v>
      </c>
      <c r="AA97" s="30">
        <f>$I$45*$AA$45</f>
        <v>35527.367583836814</v>
      </c>
      <c r="AB97" s="30">
        <f ca="1">$I$45*$AB$45</f>
        <v>0</v>
      </c>
      <c r="AC97" s="30">
        <f ca="1">$I$45*$AC$45</f>
        <v>0</v>
      </c>
      <c r="AD97" s="30">
        <f>$I$45*$AD$45</f>
        <v>1336.4432668887607</v>
      </c>
      <c r="AE97" s="30">
        <f>$I$45*$AE$45</f>
        <v>0</v>
      </c>
      <c r="AF97" s="30">
        <f ca="1">$I$45*$AF$45</f>
        <v>1769.9581555988518</v>
      </c>
      <c r="AG97" s="30">
        <f ca="1">$I$45*$AG$45</f>
        <v>179.20512200100936</v>
      </c>
      <c r="AI97" s="30">
        <f>$I$45*$AI$45</f>
        <v>916.71029515370185</v>
      </c>
      <c r="AJ97" s="30">
        <f>$I$45*$AJ$45</f>
        <v>76.959774820851734</v>
      </c>
      <c r="AK97" s="30">
        <f>$I$45*$AK$45</f>
        <v>307.08977669056048</v>
      </c>
      <c r="AL97" s="30">
        <f>$I$45*$AL$45</f>
        <v>0</v>
      </c>
      <c r="AM97" s="30">
        <f>$I$45*$AM$45</f>
        <v>0</v>
      </c>
      <c r="AN97" s="30">
        <f>$I$45*$AN$45</f>
        <v>686.83726399787076</v>
      </c>
      <c r="AO97" s="30">
        <f>$I$45*$AO$45</f>
        <v>0</v>
      </c>
      <c r="AP97" s="30">
        <f>$I$45*$AP$45</f>
        <v>0</v>
      </c>
      <c r="AQ97" s="30">
        <f>$I$45*$AQ$45</f>
        <v>0</v>
      </c>
      <c r="AR97" s="30">
        <f>$I$45*$AR$45</f>
        <v>0</v>
      </c>
      <c r="AS97" s="30">
        <f>$I$45*$AS$45</f>
        <v>721.2017063820191</v>
      </c>
      <c r="AT97" s="30">
        <f>$I$45*$AT$45</f>
        <v>0</v>
      </c>
      <c r="AU97" s="30">
        <f>$I$45*$AU$45</f>
        <v>0</v>
      </c>
      <c r="AV97" s="30">
        <f>$I$45*$AV$45</f>
        <v>0</v>
      </c>
      <c r="AW97" s="30">
        <f>$I$45*$AW$45</f>
        <v>0</v>
      </c>
      <c r="AX97" s="30">
        <f>$I$45*$AX$45</f>
        <v>26908.236730099932</v>
      </c>
      <c r="AY97" s="30">
        <f>$I$45*$AY$45</f>
        <v>0</v>
      </c>
      <c r="AZ97" s="30">
        <f>$I$45*$AZ$45</f>
        <v>0</v>
      </c>
      <c r="BA97" s="30">
        <f>$I$45*$BA$45</f>
        <v>1073.3598287474122</v>
      </c>
      <c r="BB97" s="30">
        <f>$I$45*$BB$45</f>
        <v>0</v>
      </c>
      <c r="BC97" s="30">
        <f>$I$45*$BC$45</f>
        <v>1550.7082552005402</v>
      </c>
      <c r="BD97" s="30">
        <f>$I$45*$BD$45</f>
        <v>114.93701104201901</v>
      </c>
    </row>
    <row r="98" spans="1:56" ht="11.25" customHeight="1" x14ac:dyDescent="0.25">
      <c r="A98" s="9" t="s">
        <v>37</v>
      </c>
      <c r="B98" s="9" t="s">
        <v>996</v>
      </c>
      <c r="C98" s="9" t="s">
        <v>997</v>
      </c>
      <c r="D98" s="9" t="s">
        <v>998</v>
      </c>
      <c r="E98" s="9" t="s">
        <v>999</v>
      </c>
      <c r="F98" s="9" t="s">
        <v>1000</v>
      </c>
      <c r="G98" s="9" t="s">
        <v>1002</v>
      </c>
      <c r="L98" s="30">
        <f>$I$46*$L$46</f>
        <v>372.62531897806417</v>
      </c>
      <c r="M98" s="30">
        <f>$I$46*$M$46</f>
        <v>21.243285015751809</v>
      </c>
      <c r="N98" s="30">
        <f ca="1">$I$46*$N$46</f>
        <v>163.53720669301629</v>
      </c>
      <c r="O98" s="30">
        <f>$I$46*$O$46</f>
        <v>0</v>
      </c>
      <c r="P98" s="30">
        <f>$I$46*$P$46</f>
        <v>0</v>
      </c>
      <c r="Q98" s="30">
        <f>$I$46*$Q$46</f>
        <v>1186.9391586297966</v>
      </c>
      <c r="R98" s="30">
        <f>$I$46*$R$46</f>
        <v>0</v>
      </c>
      <c r="S98" s="30">
        <f>$I$46*$S$46</f>
        <v>0</v>
      </c>
      <c r="T98" s="30">
        <f>$I$46*$T$46</f>
        <v>0</v>
      </c>
      <c r="U98" s="30">
        <f>$I$46*$U$46</f>
        <v>0</v>
      </c>
      <c r="V98" s="30">
        <f>$I$46*$V$46</f>
        <v>106.9407430178108</v>
      </c>
      <c r="W98" s="30">
        <f>$I$46*$W$46</f>
        <v>0</v>
      </c>
      <c r="X98" s="30">
        <f>$I$46*$X$46</f>
        <v>0</v>
      </c>
      <c r="Y98" s="30">
        <f>$I$46*$Y$46</f>
        <v>0</v>
      </c>
      <c r="Z98" s="30">
        <f>$I$46*$Z$46</f>
        <v>0</v>
      </c>
      <c r="AA98" s="30">
        <f>$I$46*$AA$46</f>
        <v>14710.014190388449</v>
      </c>
      <c r="AB98" s="30">
        <f ca="1">$I$46*$AB$46</f>
        <v>0</v>
      </c>
      <c r="AC98" s="30">
        <f ca="1">$I$46*$AC$46</f>
        <v>0</v>
      </c>
      <c r="AD98" s="30">
        <f>$I$46*$AD$46</f>
        <v>922.25139410058057</v>
      </c>
      <c r="AE98" s="30">
        <f>$I$46*$AE$46</f>
        <v>0</v>
      </c>
      <c r="AF98" s="30">
        <f ca="1">$I$46*$AF$46</f>
        <v>1221.410902312999</v>
      </c>
      <c r="AG98" s="30">
        <f ca="1">$I$46*$AG$46</f>
        <v>123.66568614629564</v>
      </c>
      <c r="AI98" s="30">
        <f>$I$46*$AI$46</f>
        <v>632.60249696946278</v>
      </c>
      <c r="AJ98" s="30">
        <f>$I$46*$AJ$46</f>
        <v>53.108322198689343</v>
      </c>
      <c r="AK98" s="30">
        <f>$I$46*$AK$46</f>
        <v>140.23953733987531</v>
      </c>
      <c r="AL98" s="30">
        <f>$I$46*$AL$46</f>
        <v>0</v>
      </c>
      <c r="AM98" s="30">
        <f>$I$46*$AM$46</f>
        <v>0</v>
      </c>
      <c r="AN98" s="30">
        <f>$I$46*$AN$46</f>
        <v>473.9719522227868</v>
      </c>
      <c r="AO98" s="30">
        <f>$I$46*$AO$46</f>
        <v>0</v>
      </c>
      <c r="AP98" s="30">
        <f>$I$46*$AP$46</f>
        <v>0</v>
      </c>
      <c r="AQ98" s="30">
        <f>$I$46*$AQ$46</f>
        <v>0</v>
      </c>
      <c r="AR98" s="30">
        <f>$I$46*$AR$46</f>
        <v>0</v>
      </c>
      <c r="AS98" s="30">
        <f>$I$46*$AS$46</f>
        <v>299.0902231094687</v>
      </c>
      <c r="AT98" s="30">
        <f>$I$46*$AT$46</f>
        <v>0</v>
      </c>
      <c r="AU98" s="30">
        <f>$I$46*$AU$46</f>
        <v>0</v>
      </c>
      <c r="AV98" s="30">
        <f>$I$46*$AV$46</f>
        <v>0</v>
      </c>
      <c r="AW98" s="30">
        <f>$I$46*$AW$46</f>
        <v>0</v>
      </c>
      <c r="AX98" s="30">
        <f>$I$46*$AX$46</f>
        <v>11141.285466874271</v>
      </c>
      <c r="AY98" s="30">
        <f>$I$46*$AY$46</f>
        <v>0</v>
      </c>
      <c r="AZ98" s="30">
        <f>$I$46*$AZ$46</f>
        <v>0</v>
      </c>
      <c r="BA98" s="30">
        <f>$I$46*$BA$46</f>
        <v>740.70304588264776</v>
      </c>
      <c r="BB98" s="30">
        <f>$I$46*$BB$46</f>
        <v>0</v>
      </c>
      <c r="BC98" s="30">
        <f>$I$46*$BC$46</f>
        <v>1070.1111567057756</v>
      </c>
      <c r="BD98" s="30">
        <f>$I$46*$BD$46</f>
        <v>79.315614282696572</v>
      </c>
    </row>
    <row r="99" spans="1:56" ht="11.25" customHeight="1" x14ac:dyDescent="0.25">
      <c r="A99" s="9" t="s">
        <v>37</v>
      </c>
      <c r="B99" s="9" t="s">
        <v>996</v>
      </c>
      <c r="C99" s="9" t="s">
        <v>997</v>
      </c>
      <c r="D99" s="9" t="s">
        <v>998</v>
      </c>
      <c r="E99" s="9" t="s">
        <v>999</v>
      </c>
      <c r="F99" s="9" t="s">
        <v>1000</v>
      </c>
      <c r="G99" s="9" t="s">
        <v>1003</v>
      </c>
      <c r="L99" s="30">
        <f>$I$47*$L$47</f>
        <v>16684.549286246682</v>
      </c>
      <c r="M99" s="30">
        <f>$I$47*$M$47</f>
        <v>951.18237488301668</v>
      </c>
      <c r="N99" s="30">
        <f ca="1">$I$47*$N$47</f>
        <v>3639.6427826570498</v>
      </c>
      <c r="O99" s="30">
        <f>$I$47*$O$47</f>
        <v>0</v>
      </c>
      <c r="P99" s="30">
        <f>$I$47*$P$47</f>
        <v>0</v>
      </c>
      <c r="Q99" s="30">
        <f>$I$47*$Q$47</f>
        <v>53145.999166795242</v>
      </c>
      <c r="R99" s="30">
        <f>$I$47*$R$47</f>
        <v>0</v>
      </c>
      <c r="S99" s="30">
        <f>$I$47*$S$47</f>
        <v>0</v>
      </c>
      <c r="T99" s="30">
        <f>$I$47*$T$47</f>
        <v>0</v>
      </c>
      <c r="U99" s="30">
        <f>$I$47*$U$47</f>
        <v>0</v>
      </c>
      <c r="V99" s="30">
        <f>$I$47*$V$47</f>
        <v>1589.7301075084908</v>
      </c>
      <c r="W99" s="30">
        <f>$I$47*$W$47</f>
        <v>0</v>
      </c>
      <c r="X99" s="30">
        <f>$I$47*$X$47</f>
        <v>0</v>
      </c>
      <c r="Y99" s="30">
        <f>$I$47*$Y$47</f>
        <v>0</v>
      </c>
      <c r="Z99" s="30">
        <f>$I$47*$Z$47</f>
        <v>0</v>
      </c>
      <c r="AA99" s="30">
        <f>$I$47*$AA$47</f>
        <v>219550.30730263473</v>
      </c>
      <c r="AB99" s="30">
        <f ca="1">$I$47*$AB$47</f>
        <v>0</v>
      </c>
      <c r="AC99" s="30">
        <f ca="1">$I$47*$AC$47</f>
        <v>0</v>
      </c>
      <c r="AD99" s="30">
        <f>$I$47*$AD$47</f>
        <v>41294.426480146605</v>
      </c>
      <c r="AE99" s="30">
        <f>$I$47*$AE$47</f>
        <v>0</v>
      </c>
      <c r="AF99" s="30">
        <f ca="1">$I$47*$AF$47</f>
        <v>54689.49467601777</v>
      </c>
      <c r="AG99" s="30">
        <f ca="1">$I$47*$AG$47</f>
        <v>5537.2142751438923</v>
      </c>
      <c r="AI99" s="30">
        <f>$I$47*$AI$47</f>
        <v>28325.202292308688</v>
      </c>
      <c r="AJ99" s="30">
        <f>$I$47*$AJ$47</f>
        <v>2377.9608472768959</v>
      </c>
      <c r="AK99" s="30">
        <f>$I$47*$AK$47</f>
        <v>3069.9479206433321</v>
      </c>
      <c r="AL99" s="30">
        <f>$I$47*$AL$47</f>
        <v>0</v>
      </c>
      <c r="AM99" s="30">
        <f>$I$47*$AM$47</f>
        <v>0</v>
      </c>
      <c r="AN99" s="30">
        <f>$I$47*$AN$47</f>
        <v>21222.412955854928</v>
      </c>
      <c r="AO99" s="30">
        <f>$I$47*$AO$47</f>
        <v>0</v>
      </c>
      <c r="AP99" s="30">
        <f>$I$47*$AP$47</f>
        <v>0</v>
      </c>
      <c r="AQ99" s="30">
        <f>$I$47*$AQ$47</f>
        <v>0</v>
      </c>
      <c r="AR99" s="30">
        <f>$I$47*$AR$47</f>
        <v>0</v>
      </c>
      <c r="AS99" s="30">
        <f>$I$47*$AS$47</f>
        <v>4446.1326817166992</v>
      </c>
      <c r="AT99" s="30">
        <f>$I$47*$AT$47</f>
        <v>0</v>
      </c>
      <c r="AU99" s="30">
        <f>$I$47*$AU$47</f>
        <v>0</v>
      </c>
      <c r="AV99" s="30">
        <f>$I$47*$AV$47</f>
        <v>0</v>
      </c>
      <c r="AW99" s="30">
        <f>$I$47*$AW$47</f>
        <v>0</v>
      </c>
      <c r="AX99" s="30">
        <f>$I$47*$AX$47</f>
        <v>166286.21946516505</v>
      </c>
      <c r="AY99" s="30">
        <f>$I$47*$AY$47</f>
        <v>0</v>
      </c>
      <c r="AZ99" s="30">
        <f>$I$47*$AZ$47</f>
        <v>0</v>
      </c>
      <c r="BA99" s="30">
        <f>$I$47*$BA$47</f>
        <v>33165.477078678021</v>
      </c>
      <c r="BB99" s="30">
        <f>$I$47*$BB$47</f>
        <v>0</v>
      </c>
      <c r="BC99" s="30">
        <f>$I$47*$BC$47</f>
        <v>47914.946801752383</v>
      </c>
      <c r="BD99" s="30">
        <f>$I$47*$BD$47</f>
        <v>3551.4099774483798</v>
      </c>
    </row>
    <row r="100" spans="1:56" ht="11.25" customHeight="1" x14ac:dyDescent="0.25">
      <c r="A100" s="9" t="s">
        <v>37</v>
      </c>
      <c r="B100" s="9" t="s">
        <v>1004</v>
      </c>
      <c r="C100" s="9" t="s">
        <v>1005</v>
      </c>
      <c r="D100" s="9" t="s">
        <v>1006</v>
      </c>
      <c r="E100" s="9" t="s">
        <v>1007</v>
      </c>
      <c r="F100" s="9" t="s">
        <v>1008</v>
      </c>
      <c r="G100" s="9" t="s">
        <v>1009</v>
      </c>
      <c r="L100" s="30">
        <f>$I$48*$L$48</f>
        <v>2785968.5960388021</v>
      </c>
      <c r="M100" s="30">
        <f>$I$48*$M$48</f>
        <v>158827.43849209615</v>
      </c>
      <c r="N100" s="30">
        <f ca="1">$I$48*$N$48</f>
        <v>710236.63254672207</v>
      </c>
      <c r="O100" s="30">
        <f>$I$48*$O$48</f>
        <v>0</v>
      </c>
      <c r="P100" s="30">
        <f>$I$48*$P$48</f>
        <v>0</v>
      </c>
      <c r="Q100" s="30">
        <f>$I$48*$Q$48</f>
        <v>8874263.3764669001</v>
      </c>
      <c r="R100" s="30">
        <f>$I$48*$R$48</f>
        <v>0</v>
      </c>
      <c r="S100" s="30">
        <f>$I$48*$S$48</f>
        <v>0</v>
      </c>
      <c r="T100" s="30">
        <f>$I$48*$T$48</f>
        <v>0</v>
      </c>
      <c r="U100" s="30">
        <f>$I$48*$U$48</f>
        <v>0</v>
      </c>
      <c r="V100" s="30">
        <f>$I$48*$V$48</f>
        <v>355001.36520724109</v>
      </c>
      <c r="W100" s="30">
        <f>$I$48*$W$48</f>
        <v>0</v>
      </c>
      <c r="X100" s="30">
        <f>$I$48*$X$48</f>
        <v>0</v>
      </c>
      <c r="Y100" s="30">
        <f>$I$48*$Y$48</f>
        <v>0</v>
      </c>
      <c r="Z100" s="30">
        <f>$I$48*$Z$48</f>
        <v>0</v>
      </c>
      <c r="AA100" s="30">
        <f>$I$48*$AA$48</f>
        <v>48880358.49696891</v>
      </c>
      <c r="AB100" s="30">
        <f ca="1">$I$48*$AB$48</f>
        <v>0</v>
      </c>
      <c r="AC100" s="30">
        <f ca="1">$I$48*$AC$48</f>
        <v>0</v>
      </c>
      <c r="AD100" s="30">
        <f>$I$48*$AD$48</f>
        <v>6895300.1601280794</v>
      </c>
      <c r="AE100" s="30">
        <f>$I$48*$AE$48</f>
        <v>0</v>
      </c>
      <c r="AF100" s="30">
        <f ca="1">$I$48*$AF$48</f>
        <v>9131994.6428647004</v>
      </c>
      <c r="AG100" s="30">
        <f ca="1">$I$48*$AG$48</f>
        <v>924598.25047865906</v>
      </c>
      <c r="AI100" s="30">
        <f>$I$48*$AI$48</f>
        <v>4729712.6646308359</v>
      </c>
      <c r="AJ100" s="30">
        <f>$I$48*$AJ$48</f>
        <v>397069.41610848764</v>
      </c>
      <c r="AK100" s="30">
        <f>$I$48*$AK$48</f>
        <v>601932.89104135381</v>
      </c>
      <c r="AL100" s="30">
        <f>$I$48*$AL$48</f>
        <v>0</v>
      </c>
      <c r="AM100" s="30">
        <f>$I$48*$AM$48</f>
        <v>0</v>
      </c>
      <c r="AN100" s="30">
        <f>$I$48*$AN$48</f>
        <v>3543696.3272311119</v>
      </c>
      <c r="AO100" s="30">
        <f>$I$48*$AO$48</f>
        <v>0</v>
      </c>
      <c r="AP100" s="30">
        <f>$I$48*$AP$48</f>
        <v>0</v>
      </c>
      <c r="AQ100" s="30">
        <f>$I$48*$AQ$48</f>
        <v>0</v>
      </c>
      <c r="AR100" s="30">
        <f>$I$48*$AR$48</f>
        <v>0</v>
      </c>
      <c r="AS100" s="30">
        <f>$I$48*$AS$48</f>
        <v>992862.3509406168</v>
      </c>
      <c r="AT100" s="30">
        <f>$I$48*$AT$48</f>
        <v>0</v>
      </c>
      <c r="AU100" s="30">
        <f>$I$48*$AU$48</f>
        <v>0</v>
      </c>
      <c r="AV100" s="30">
        <f>$I$48*$AV$48</f>
        <v>0</v>
      </c>
      <c r="AW100" s="30">
        <f>$I$48*$AW$48</f>
        <v>0</v>
      </c>
      <c r="AX100" s="30">
        <f>$I$48*$AX$48</f>
        <v>37021720.080577552</v>
      </c>
      <c r="AY100" s="30">
        <f>$I$48*$AY$48</f>
        <v>0</v>
      </c>
      <c r="AZ100" s="30">
        <f>$I$48*$AZ$48</f>
        <v>0</v>
      </c>
      <c r="BA100" s="30">
        <f>$I$48*$BA$48</f>
        <v>5537936.6879275953</v>
      </c>
      <c r="BB100" s="30">
        <f>$I$48*$BB$48</f>
        <v>0</v>
      </c>
      <c r="BC100" s="30">
        <f>$I$48*$BC$48</f>
        <v>8000787.7216431228</v>
      </c>
      <c r="BD100" s="30">
        <f>$I$48*$BD$48</f>
        <v>593010.72501766181</v>
      </c>
    </row>
    <row r="101" spans="1:56" ht="11.25" customHeight="1" x14ac:dyDescent="0.25">
      <c r="A101" s="9" t="s">
        <v>37</v>
      </c>
      <c r="B101" s="9" t="s">
        <v>1010</v>
      </c>
      <c r="C101" s="9" t="s">
        <v>1011</v>
      </c>
      <c r="D101" s="9" t="s">
        <v>1012</v>
      </c>
      <c r="E101" s="9" t="s">
        <v>1013</v>
      </c>
      <c r="F101" s="9" t="s">
        <v>1014</v>
      </c>
      <c r="G101" s="9" t="s">
        <v>1015</v>
      </c>
      <c r="L101" s="30">
        <f>$I$49*$L$49</f>
        <v>0</v>
      </c>
      <c r="M101" s="30">
        <f>$I$49*$M$49</f>
        <v>0</v>
      </c>
      <c r="N101" s="30">
        <f ca="1">$I$49*$N$49</f>
        <v>0</v>
      </c>
      <c r="O101" s="30">
        <f>$I$49*$O$49</f>
        <v>0</v>
      </c>
      <c r="P101" s="30">
        <f>$I$49*$P$49</f>
        <v>0</v>
      </c>
      <c r="Q101" s="30">
        <f>$I$49*$Q$49</f>
        <v>0</v>
      </c>
      <c r="R101" s="30">
        <f>$I$49*$R$49</f>
        <v>0</v>
      </c>
      <c r="S101" s="30">
        <f>$I$49*$S$49</f>
        <v>0</v>
      </c>
      <c r="T101" s="30">
        <f>$I$49*$T$49</f>
        <v>0</v>
      </c>
      <c r="U101" s="30">
        <f>$I$49*$U$49</f>
        <v>0</v>
      </c>
      <c r="V101" s="30">
        <f>$I$49*$V$49</f>
        <v>0</v>
      </c>
      <c r="W101" s="30">
        <f>$I$49*$W$49</f>
        <v>0</v>
      </c>
      <c r="X101" s="30">
        <f>$I$49*$X$49</f>
        <v>0</v>
      </c>
      <c r="Y101" s="30">
        <f>$I$49*$Y$49</f>
        <v>0</v>
      </c>
      <c r="Z101" s="30">
        <f>$I$49*$Z$49</f>
        <v>0</v>
      </c>
      <c r="AA101" s="30">
        <f>$I$49*$AA$49</f>
        <v>0</v>
      </c>
      <c r="AB101" s="30">
        <f ca="1">$I$49*$AB$49</f>
        <v>0</v>
      </c>
      <c r="AC101" s="30">
        <f ca="1">$I$49*$AC$49</f>
        <v>0</v>
      </c>
      <c r="AD101" s="30">
        <f>$I$49*$AD$49</f>
        <v>0</v>
      </c>
      <c r="AE101" s="30">
        <f>$I$49*$AE$49</f>
        <v>0</v>
      </c>
      <c r="AF101" s="30">
        <f ca="1">$I$49*$AF$49</f>
        <v>0</v>
      </c>
      <c r="AG101" s="30">
        <f ca="1">$I$49*$AG$49</f>
        <v>0</v>
      </c>
      <c r="AI101" s="30">
        <f>$I$49*$AI$49</f>
        <v>0</v>
      </c>
      <c r="AJ101" s="30">
        <f>$I$49*$AJ$49</f>
        <v>0</v>
      </c>
      <c r="AK101" s="30">
        <f>$I$49*$AK$49</f>
        <v>0</v>
      </c>
      <c r="AL101" s="30">
        <f>$I$49*$AL$49</f>
        <v>0</v>
      </c>
      <c r="AM101" s="30">
        <f>$I$49*$AM$49</f>
        <v>0</v>
      </c>
      <c r="AN101" s="30">
        <f>$I$49*$AN$49</f>
        <v>0</v>
      </c>
      <c r="AO101" s="30">
        <f>$I$49*$AO$49</f>
        <v>0</v>
      </c>
      <c r="AP101" s="30">
        <f>$I$49*$AP$49</f>
        <v>0</v>
      </c>
      <c r="AQ101" s="30">
        <f>$I$49*$AQ$49</f>
        <v>0</v>
      </c>
      <c r="AR101" s="30">
        <f>$I$49*$AR$49</f>
        <v>0</v>
      </c>
      <c r="AS101" s="30">
        <f>$I$49*$AS$49</f>
        <v>0</v>
      </c>
      <c r="AT101" s="30">
        <f>$I$49*$AT$49</f>
        <v>0</v>
      </c>
      <c r="AU101" s="30">
        <f>$I$49*$AU$49</f>
        <v>0</v>
      </c>
      <c r="AV101" s="30">
        <f>$I$49*$AV$49</f>
        <v>0</v>
      </c>
      <c r="AW101" s="30">
        <f>$I$49*$AW$49</f>
        <v>0</v>
      </c>
      <c r="AX101" s="30">
        <f>$I$49*$AX$49</f>
        <v>0</v>
      </c>
      <c r="AY101" s="30">
        <f>$I$49*$AY$49</f>
        <v>0</v>
      </c>
      <c r="AZ101" s="30">
        <f>$I$49*$AZ$49</f>
        <v>0</v>
      </c>
      <c r="BA101" s="30">
        <f>$I$49*$BA$49</f>
        <v>0</v>
      </c>
      <c r="BB101" s="30">
        <f>$I$49*$BB$49</f>
        <v>0</v>
      </c>
      <c r="BC101" s="30">
        <f>$I$49*$BC$49</f>
        <v>0</v>
      </c>
      <c r="BD101" s="30">
        <f>$I$49*$BD$49</f>
        <v>0</v>
      </c>
    </row>
    <row r="102" spans="1:56" ht="11.25" customHeight="1" x14ac:dyDescent="0.25">
      <c r="A102" s="9" t="s">
        <v>46</v>
      </c>
      <c r="B102" s="9" t="s">
        <v>1016</v>
      </c>
      <c r="C102" s="9" t="s">
        <v>1017</v>
      </c>
      <c r="D102" s="9" t="s">
        <v>1018</v>
      </c>
      <c r="E102" s="9" t="s">
        <v>1019</v>
      </c>
      <c r="F102" s="9" t="s">
        <v>1020</v>
      </c>
      <c r="G102" s="9" t="s">
        <v>1021</v>
      </c>
      <c r="L102" s="30">
        <f>$I$50*$L$50</f>
        <v>330023.16792289802</v>
      </c>
      <c r="M102" s="30">
        <f>$I$50*$M$50</f>
        <v>18814.546035719475</v>
      </c>
      <c r="N102" s="30">
        <f ca="1">$I$50*$N$50</f>
        <v>84133.950318475123</v>
      </c>
      <c r="O102" s="30">
        <f>$I$50*$O$50</f>
        <v>0</v>
      </c>
      <c r="P102" s="30">
        <f>$I$50*$P$50</f>
        <v>0</v>
      </c>
      <c r="Q102" s="30">
        <f>$I$50*$Q$50</f>
        <v>1051236.7284569959</v>
      </c>
      <c r="R102" s="30">
        <f>$I$50*$R$50</f>
        <v>0</v>
      </c>
      <c r="S102" s="30">
        <f>$I$50*$S$50</f>
        <v>0</v>
      </c>
      <c r="T102" s="30">
        <f>$I$50*$T$50</f>
        <v>0</v>
      </c>
      <c r="U102" s="30">
        <f>$I$50*$U$50</f>
        <v>0</v>
      </c>
      <c r="V102" s="30">
        <f>$I$50*$V$50</f>
        <v>42053.121248110299</v>
      </c>
      <c r="W102" s="30">
        <f>$I$50*$W$50</f>
        <v>0</v>
      </c>
      <c r="X102" s="30">
        <f>$I$50*$X$50</f>
        <v>0</v>
      </c>
      <c r="Y102" s="30">
        <f>$I$50*$Y$50</f>
        <v>0</v>
      </c>
      <c r="Z102" s="30">
        <f>$I$50*$Z$50</f>
        <v>0</v>
      </c>
      <c r="AA102" s="30">
        <f>$I$50*$AA$50</f>
        <v>5790320.3874276374</v>
      </c>
      <c r="AB102" s="30">
        <f ca="1">$I$50*$AB$50</f>
        <v>0</v>
      </c>
      <c r="AC102" s="30">
        <f ca="1">$I$50*$AC$50</f>
        <v>0</v>
      </c>
      <c r="AD102" s="30">
        <f>$I$50*$AD$50</f>
        <v>816810.6438314789</v>
      </c>
      <c r="AE102" s="30">
        <f>$I$50*$AE$50</f>
        <v>0</v>
      </c>
      <c r="AF102" s="30">
        <f ca="1">$I$50*$AF$50</f>
        <v>1081767.3270898445</v>
      </c>
      <c r="AG102" s="30">
        <f ca="1">$I$50*$AG$50</f>
        <v>109527.02198897519</v>
      </c>
      <c r="AI102" s="30">
        <f>$I$50*$AI$50</f>
        <v>560277.22608427342</v>
      </c>
      <c r="AJ102" s="30">
        <f>$I$50*$AJ$50</f>
        <v>47036.462211289407</v>
      </c>
      <c r="AK102" s="30">
        <f>$I$50*$AK$50</f>
        <v>71304.392971588881</v>
      </c>
      <c r="AL102" s="30">
        <f>$I$50*$AL$50</f>
        <v>0</v>
      </c>
      <c r="AM102" s="30">
        <f>$I$50*$AM$50</f>
        <v>0</v>
      </c>
      <c r="AN102" s="30">
        <f>$I$50*$AN$50</f>
        <v>419782.86823921534</v>
      </c>
      <c r="AO102" s="30">
        <f>$I$50*$AO$50</f>
        <v>0</v>
      </c>
      <c r="AP102" s="30">
        <f>$I$50*$AP$50</f>
        <v>0</v>
      </c>
      <c r="AQ102" s="30">
        <f>$I$50*$AQ$50</f>
        <v>0</v>
      </c>
      <c r="AR102" s="30">
        <f>$I$50*$AR$50</f>
        <v>0</v>
      </c>
      <c r="AS102" s="30">
        <f>$I$50*$AS$50</f>
        <v>117613.52185903639</v>
      </c>
      <c r="AT102" s="30">
        <f>$I$50*$AT$50</f>
        <v>0</v>
      </c>
      <c r="AU102" s="30">
        <f>$I$50*$AU$50</f>
        <v>0</v>
      </c>
      <c r="AV102" s="30">
        <f>$I$50*$AV$50</f>
        <v>0</v>
      </c>
      <c r="AW102" s="30">
        <f>$I$50*$AW$50</f>
        <v>0</v>
      </c>
      <c r="AX102" s="30">
        <f>$I$50*$AX$50</f>
        <v>4385557.4539924748</v>
      </c>
      <c r="AY102" s="30">
        <f>$I$50*$AY$50</f>
        <v>0</v>
      </c>
      <c r="AZ102" s="30">
        <f>$I$50*$AZ$50</f>
        <v>0</v>
      </c>
      <c r="BA102" s="30">
        <f>$I$50*$BA$50</f>
        <v>656018.66873335536</v>
      </c>
      <c r="BB102" s="30">
        <f>$I$50*$BB$50</f>
        <v>0</v>
      </c>
      <c r="BC102" s="30">
        <f>$I$50*$BC$50</f>
        <v>947765.64011869323</v>
      </c>
      <c r="BD102" s="30">
        <f>$I$50*$BD$50</f>
        <v>70247.481741483789</v>
      </c>
    </row>
    <row r="103" spans="1:56" ht="11.25" customHeight="1" x14ac:dyDescent="0.25">
      <c r="A103" s="9" t="s">
        <v>46</v>
      </c>
      <c r="B103" s="9" t="s">
        <v>1016</v>
      </c>
      <c r="C103" s="9" t="s">
        <v>1017</v>
      </c>
      <c r="D103" s="9" t="s">
        <v>1022</v>
      </c>
      <c r="E103" s="9" t="s">
        <v>1023</v>
      </c>
      <c r="F103" s="9" t="s">
        <v>1024</v>
      </c>
      <c r="G103" s="9" t="s">
        <v>1025</v>
      </c>
      <c r="L103" s="30">
        <f>$I$51*$L$51</f>
        <v>0</v>
      </c>
      <c r="M103" s="30">
        <f>$I$51*$M$51</f>
        <v>0</v>
      </c>
      <c r="N103" s="30">
        <f ca="1">$I$51*$N$51</f>
        <v>0</v>
      </c>
      <c r="O103" s="30">
        <f>$I$51*$O$51</f>
        <v>0</v>
      </c>
      <c r="P103" s="30">
        <f>$I$51*$P$51</f>
        <v>0</v>
      </c>
      <c r="Q103" s="30">
        <f>$I$51*$Q$51</f>
        <v>0</v>
      </c>
      <c r="R103" s="30">
        <f>$I$51*$R$51</f>
        <v>0</v>
      </c>
      <c r="S103" s="30">
        <f>$I$51*$S$51</f>
        <v>0</v>
      </c>
      <c r="T103" s="30">
        <f>$I$51*$T$51</f>
        <v>0</v>
      </c>
      <c r="U103" s="30">
        <f>$I$51*$U$51</f>
        <v>0</v>
      </c>
      <c r="V103" s="30">
        <f>$I$51*$V$51</f>
        <v>0</v>
      </c>
      <c r="W103" s="30">
        <f>$I$51*$W$51</f>
        <v>0</v>
      </c>
      <c r="X103" s="30">
        <f>$I$51*$X$51</f>
        <v>0</v>
      </c>
      <c r="Y103" s="30">
        <f>$I$51*$Y$51</f>
        <v>0</v>
      </c>
      <c r="Z103" s="30">
        <f>$I$51*$Z$51</f>
        <v>0</v>
      </c>
      <c r="AA103" s="30">
        <f>$I$51*$AA$51</f>
        <v>0</v>
      </c>
      <c r="AB103" s="30">
        <f ca="1">$I$51*$AB$51</f>
        <v>0</v>
      </c>
      <c r="AC103" s="30">
        <f ca="1">$I$51*$AC$51</f>
        <v>0</v>
      </c>
      <c r="AD103" s="30">
        <f>$I$51*$AD$51</f>
        <v>0</v>
      </c>
      <c r="AE103" s="30">
        <f>$I$51*$AE$51</f>
        <v>0</v>
      </c>
      <c r="AF103" s="30">
        <f ca="1">$I$51*$AF$51</f>
        <v>0</v>
      </c>
      <c r="AG103" s="30">
        <f ca="1">$I$51*$AG$51</f>
        <v>0</v>
      </c>
      <c r="AI103" s="30">
        <f>$I$51*$AI$51</f>
        <v>0</v>
      </c>
      <c r="AJ103" s="30">
        <f>$I$51*$AJ$51</f>
        <v>0</v>
      </c>
      <c r="AK103" s="30">
        <f>$I$51*$AK$51</f>
        <v>0</v>
      </c>
      <c r="AL103" s="30">
        <f>$I$51*$AL$51</f>
        <v>0</v>
      </c>
      <c r="AM103" s="30">
        <f>$I$51*$AM$51</f>
        <v>0</v>
      </c>
      <c r="AN103" s="30">
        <f>$I$51*$AN$51</f>
        <v>0</v>
      </c>
      <c r="AO103" s="30">
        <f>$I$51*$AO$51</f>
        <v>0</v>
      </c>
      <c r="AP103" s="30">
        <f>$I$51*$AP$51</f>
        <v>0</v>
      </c>
      <c r="AQ103" s="30">
        <f>$I$51*$AQ$51</f>
        <v>0</v>
      </c>
      <c r="AR103" s="30">
        <f>$I$51*$AR$51</f>
        <v>0</v>
      </c>
      <c r="AS103" s="30">
        <f>$I$51*$AS$51</f>
        <v>0</v>
      </c>
      <c r="AT103" s="30">
        <f>$I$51*$AT$51</f>
        <v>0</v>
      </c>
      <c r="AU103" s="30">
        <f>$I$51*$AU$51</f>
        <v>0</v>
      </c>
      <c r="AV103" s="30">
        <f>$I$51*$AV$51</f>
        <v>0</v>
      </c>
      <c r="AW103" s="30">
        <f>$I$51*$AW$51</f>
        <v>0</v>
      </c>
      <c r="AX103" s="30">
        <f>$I$51*$AX$51</f>
        <v>0</v>
      </c>
      <c r="AY103" s="30">
        <f>$I$51*$AY$51</f>
        <v>0</v>
      </c>
      <c r="AZ103" s="30">
        <f>$I$51*$AZ$51</f>
        <v>0</v>
      </c>
      <c r="BA103" s="30">
        <f>$I$51*$BA$51</f>
        <v>0</v>
      </c>
      <c r="BB103" s="30">
        <f>$I$51*$BB$51</f>
        <v>0</v>
      </c>
      <c r="BC103" s="30">
        <f>$I$51*$BC$51</f>
        <v>0</v>
      </c>
      <c r="BD103" s="30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88F22-98A5-42A6-8A15-6D2D2BFD7DBB}">
  <dimension ref="A1:AH85"/>
  <sheetViews>
    <sheetView showGridLines="0" topLeftCell="L16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7.140625" style="9" bestFit="1" customWidth="1"/>
    <col min="14" max="14" width="6" style="9" bestFit="1" customWidth="1"/>
    <col min="15" max="15" width="11.140625" style="9" bestFit="1" customWidth="1"/>
    <col min="16" max="16" width="8.1406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10" style="9" bestFit="1" customWidth="1"/>
    <col min="25" max="25" width="7.140625" style="9" bestFit="1" customWidth="1"/>
    <col min="26" max="26" width="6" style="9" bestFit="1" customWidth="1"/>
    <col min="27" max="27" width="11.140625" style="9" bestFit="1" customWidth="1"/>
    <col min="28" max="28" width="8.1406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17" t="s">
        <v>62</v>
      </c>
      <c r="B1" s="117" t="s">
        <v>63</v>
      </c>
      <c r="C1" s="117" t="s">
        <v>64</v>
      </c>
      <c r="D1" s="117" t="s">
        <v>65</v>
      </c>
      <c r="E1" s="117" t="s">
        <v>66</v>
      </c>
      <c r="F1" s="117" t="s">
        <v>15</v>
      </c>
      <c r="G1" s="117" t="s">
        <v>68</v>
      </c>
      <c r="H1" s="117" t="s">
        <v>69</v>
      </c>
      <c r="I1" s="117" t="s">
        <v>661</v>
      </c>
      <c r="J1" s="103"/>
      <c r="L1" s="115" t="s">
        <v>1026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X1" s="115" t="s">
        <v>1027</v>
      </c>
      <c r="Y1" s="115"/>
      <c r="Z1" s="115"/>
      <c r="AA1" s="115"/>
      <c r="AB1" s="115"/>
      <c r="AC1" s="115"/>
      <c r="AD1" s="115"/>
      <c r="AE1" s="115"/>
      <c r="AF1" s="115"/>
      <c r="AG1" s="115"/>
      <c r="AH1" s="115"/>
    </row>
    <row r="2" spans="1:34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3"/>
      <c r="L2" s="115" t="s">
        <v>588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X2" s="115" t="s">
        <v>588</v>
      </c>
      <c r="Y2" s="115"/>
      <c r="Z2" s="115"/>
      <c r="AA2" s="115"/>
      <c r="AB2" s="115"/>
      <c r="AC2" s="115"/>
      <c r="AD2" s="115"/>
      <c r="AE2" s="115"/>
      <c r="AF2" s="115"/>
      <c r="AG2" s="115"/>
      <c r="AH2" s="115"/>
    </row>
    <row r="3" spans="1:34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3"/>
      <c r="L3" s="115" t="s">
        <v>561</v>
      </c>
      <c r="M3" s="115"/>
      <c r="N3" s="115"/>
      <c r="O3" s="115"/>
      <c r="P3" s="115"/>
      <c r="Q3" s="46" t="s">
        <v>592</v>
      </c>
      <c r="R3" s="115" t="s">
        <v>570</v>
      </c>
      <c r="S3" s="115"/>
      <c r="T3" s="115"/>
      <c r="U3" s="46" t="s">
        <v>580</v>
      </c>
      <c r="V3" s="46" t="s">
        <v>583</v>
      </c>
      <c r="X3" s="115" t="s">
        <v>561</v>
      </c>
      <c r="Y3" s="115"/>
      <c r="Z3" s="115"/>
      <c r="AA3" s="115"/>
      <c r="AB3" s="115"/>
      <c r="AC3" s="46" t="s">
        <v>592</v>
      </c>
      <c r="AD3" s="115" t="s">
        <v>570</v>
      </c>
      <c r="AE3" s="115"/>
      <c r="AF3" s="115"/>
      <c r="AG3" s="46" t="s">
        <v>580</v>
      </c>
      <c r="AH3" s="46" t="s">
        <v>583</v>
      </c>
    </row>
    <row r="4" spans="1:34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3"/>
      <c r="L4" s="46" t="s">
        <v>563</v>
      </c>
      <c r="M4" s="46" t="s">
        <v>589</v>
      </c>
      <c r="N4" s="46" t="s">
        <v>590</v>
      </c>
      <c r="O4" s="46" t="s">
        <v>649</v>
      </c>
      <c r="P4" s="46" t="s">
        <v>591</v>
      </c>
      <c r="Q4" s="46" t="s">
        <v>593</v>
      </c>
      <c r="R4" s="46" t="s">
        <v>594</v>
      </c>
      <c r="S4" s="46" t="s">
        <v>595</v>
      </c>
      <c r="T4" s="46" t="s">
        <v>596</v>
      </c>
      <c r="U4" s="46" t="s">
        <v>581</v>
      </c>
      <c r="V4" s="46" t="s">
        <v>597</v>
      </c>
      <c r="X4" s="46" t="s">
        <v>563</v>
      </c>
      <c r="Y4" s="46" t="s">
        <v>589</v>
      </c>
      <c r="Z4" s="46" t="s">
        <v>590</v>
      </c>
      <c r="AA4" s="46" t="s">
        <v>649</v>
      </c>
      <c r="AB4" s="46" t="s">
        <v>591</v>
      </c>
      <c r="AC4" s="46" t="s">
        <v>593</v>
      </c>
      <c r="AD4" s="46" t="s">
        <v>594</v>
      </c>
      <c r="AE4" s="46" t="s">
        <v>595</v>
      </c>
      <c r="AF4" s="46" t="s">
        <v>596</v>
      </c>
      <c r="AG4" s="46" t="s">
        <v>581</v>
      </c>
      <c r="AH4" s="46" t="s">
        <v>597</v>
      </c>
    </row>
    <row r="5" spans="1:34" ht="11.25" customHeight="1" x14ac:dyDescent="0.25">
      <c r="A5" s="118" t="s">
        <v>39</v>
      </c>
      <c r="B5" s="118" t="s">
        <v>71</v>
      </c>
      <c r="C5" s="118" t="s">
        <v>25</v>
      </c>
      <c r="D5" s="118" t="s">
        <v>25</v>
      </c>
      <c r="E5" s="118" t="s">
        <v>25</v>
      </c>
      <c r="F5" s="118" t="s">
        <v>25</v>
      </c>
      <c r="G5" s="45" t="s">
        <v>73</v>
      </c>
      <c r="H5" s="45" t="s">
        <v>72</v>
      </c>
      <c r="I5" s="45">
        <f>'MERCADO TE'!$U$2</f>
        <v>17056.542000000001</v>
      </c>
      <c r="J5" s="15"/>
      <c r="L5" s="42">
        <f>('TE BE'!$L$5+'TE BF'!$L$5+'TE CVA'!$L$5)*1</f>
        <v>3.3471837672554758</v>
      </c>
      <c r="M5" s="42">
        <f>('TE BE'!$M$5+'TE BF'!$M$5+'TE CVA'!$M$5)*1</f>
        <v>0</v>
      </c>
      <c r="N5" s="42">
        <f>('TE BE'!$N$5+'TE BF'!$N$5+'TE CVA'!$N$5)*1</f>
        <v>0</v>
      </c>
      <c r="O5" s="42">
        <f>('TE BE'!$O$5+'TE BF'!$O$5+'TE CVA'!$O$5)*1</f>
        <v>0.9059678520360227</v>
      </c>
      <c r="P5" s="42">
        <f>('TE BE'!$P$5+'TE BF'!$P$5+'TE CVA'!$P$5)*1</f>
        <v>0</v>
      </c>
      <c r="Q5" s="42">
        <f>('TE BE'!$R$5+'TE BF'!$R$5+'TE CVA'!$R$5)*1</f>
        <v>538.59099543054901</v>
      </c>
      <c r="R5" s="42">
        <f>('TE BE'!$T$5+'TE BF'!$T$5+'TE CVA'!$T$5)*1</f>
        <v>0</v>
      </c>
      <c r="S5" s="42">
        <f>('TE BE'!$U$5+'TE BF'!$U$5+'TE CVA'!$U$5)*1</f>
        <v>0</v>
      </c>
      <c r="T5" s="42">
        <f>('TE BE'!$V$5+'TE BF'!$V$5+'TE CVA'!$V$5)*1</f>
        <v>0</v>
      </c>
      <c r="U5" s="42">
        <f>('TE BE'!$X$5+'TE BF'!$X$5+'TE CVA'!$X$5)*1</f>
        <v>0</v>
      </c>
      <c r="V5" s="42">
        <f>('TE BE'!$Z$5+'TE BF'!$Z$5+'TE CVA'!$Z$5)*1</f>
        <v>0</v>
      </c>
      <c r="X5" s="42">
        <v>2.4910257983778199</v>
      </c>
      <c r="Y5" s="42">
        <v>0</v>
      </c>
      <c r="Z5" s="42">
        <v>0</v>
      </c>
      <c r="AA5" s="42">
        <v>0</v>
      </c>
      <c r="AB5" s="42">
        <v>0</v>
      </c>
      <c r="AC5" s="42">
        <v>429.68486254117403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</row>
    <row r="6" spans="1:34" ht="11.25" customHeight="1" x14ac:dyDescent="0.25">
      <c r="A6" s="118"/>
      <c r="B6" s="118"/>
      <c r="C6" s="118"/>
      <c r="D6" s="118"/>
      <c r="E6" s="118"/>
      <c r="F6" s="118"/>
      <c r="G6" s="45" t="s">
        <v>74</v>
      </c>
      <c r="H6" s="45" t="s">
        <v>72</v>
      </c>
      <c r="I6" s="45">
        <f>'MERCADO TE'!$U$3</f>
        <v>229435.486</v>
      </c>
      <c r="J6" s="15"/>
      <c r="L6" s="42">
        <f>('TE BE'!$L$6+'TE BF'!$L$6+'TE CVA'!$L$6)*1</f>
        <v>3.3471837672554758</v>
      </c>
      <c r="M6" s="42">
        <f>('TE BE'!$M$6+'TE BF'!$M$6+'TE CVA'!$M$6)*1</f>
        <v>0</v>
      </c>
      <c r="N6" s="42">
        <f>('TE BE'!$N$6+'TE BF'!$N$6+'TE CVA'!$N$6)*1</f>
        <v>0</v>
      </c>
      <c r="O6" s="42">
        <f>('TE BE'!$O$6+'TE BF'!$O$6+'TE CVA'!$O$6)*1</f>
        <v>0.9059678520360227</v>
      </c>
      <c r="P6" s="42">
        <f>('TE BE'!$P$6+'TE BF'!$P$6+'TE CVA'!$P$6)*1</f>
        <v>0</v>
      </c>
      <c r="Q6" s="42">
        <f>('TE BE'!$R$6+'TE BF'!$R$6+'TE CVA'!$R$6)*1</f>
        <v>313.13429966892386</v>
      </c>
      <c r="R6" s="42">
        <f>('TE BE'!$T$6+'TE BF'!$T$6+'TE CVA'!$T$6)*1</f>
        <v>0</v>
      </c>
      <c r="S6" s="42">
        <f>('TE BE'!$U$6+'TE BF'!$U$6+'TE CVA'!$U$6)*1</f>
        <v>0</v>
      </c>
      <c r="T6" s="42">
        <f>('TE BE'!$V$6+'TE BF'!$V$6+'TE CVA'!$V$6)*1</f>
        <v>0</v>
      </c>
      <c r="U6" s="42">
        <f>('TE BE'!$X$6+'TE BF'!$X$6+'TE CVA'!$X$6)*1</f>
        <v>0</v>
      </c>
      <c r="V6" s="42">
        <f>('TE BE'!$Z$6+'TE BF'!$Z$6+'TE CVA'!$Z$6)*1</f>
        <v>0</v>
      </c>
      <c r="X6" s="42">
        <v>2.4910257983778199</v>
      </c>
      <c r="Y6" s="42">
        <v>0</v>
      </c>
      <c r="Z6" s="42">
        <v>0</v>
      </c>
      <c r="AA6" s="42">
        <v>0</v>
      </c>
      <c r="AB6" s="42">
        <v>0</v>
      </c>
      <c r="AC6" s="42">
        <v>249.81678054719401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</row>
    <row r="7" spans="1:34" ht="11.25" customHeight="1" x14ac:dyDescent="0.25">
      <c r="A7" s="118"/>
      <c r="B7" s="44" t="s">
        <v>75</v>
      </c>
      <c r="C7" s="44" t="s">
        <v>25</v>
      </c>
      <c r="D7" s="44" t="s">
        <v>25</v>
      </c>
      <c r="E7" s="44" t="s">
        <v>25</v>
      </c>
      <c r="F7" s="44" t="s">
        <v>25</v>
      </c>
      <c r="G7" s="45" t="s">
        <v>76</v>
      </c>
      <c r="H7" s="45" t="s">
        <v>72</v>
      </c>
      <c r="I7" s="45">
        <f>'MERCADO TE'!$U$4</f>
        <v>0</v>
      </c>
      <c r="J7" s="15"/>
      <c r="L7" s="42">
        <f>('TE BE'!$L$7+'TE BF'!$L$7+'TE CVA'!$L$7)*1</f>
        <v>3.3471837672554758</v>
      </c>
      <c r="M7" s="42">
        <f>('TE BE'!$M$7+'TE BF'!$M$7+'TE CVA'!$M$7)*1</f>
        <v>0</v>
      </c>
      <c r="N7" s="42">
        <f>('TE BE'!$N$7+'TE BF'!$N$7+'TE CVA'!$N$7)*1</f>
        <v>0</v>
      </c>
      <c r="O7" s="42">
        <f>('TE BE'!$O$7+'TE BF'!$O$7+'TE CVA'!$O$7)*1</f>
        <v>0.9059678520360227</v>
      </c>
      <c r="P7" s="42">
        <f>('TE BE'!$P$7+'TE BF'!$P$7+'TE CVA'!$P$7)*1</f>
        <v>0</v>
      </c>
      <c r="Q7" s="42">
        <f>('TE BE'!$R$7+'TE BF'!$R$7+'TE CVA'!$R$7)*1</f>
        <v>331.92235764905928</v>
      </c>
      <c r="R7" s="42">
        <f>('TE BE'!$T$7+'TE BF'!$T$7+'TE CVA'!$T$7)*1</f>
        <v>0</v>
      </c>
      <c r="S7" s="42">
        <f>('TE BE'!$U$7+'TE BF'!$U$7+'TE CVA'!$U$7)*1</f>
        <v>0</v>
      </c>
      <c r="T7" s="42">
        <f>('TE BE'!$V$7+'TE BF'!$V$7+'TE CVA'!$V$7)*1</f>
        <v>0</v>
      </c>
      <c r="U7" s="42">
        <f>('TE BE'!$X$7+'TE BF'!$X$7+'TE CVA'!$X$7)*1</f>
        <v>0</v>
      </c>
      <c r="V7" s="42">
        <f>('TE BE'!$Z$7+'TE BF'!$Z$7+'TE CVA'!$Z$7)*1</f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</row>
    <row r="8" spans="1:34" ht="11.25" customHeight="1" x14ac:dyDescent="0.25">
      <c r="A8" s="118" t="s">
        <v>22</v>
      </c>
      <c r="B8" s="118" t="s">
        <v>71</v>
      </c>
      <c r="C8" s="118" t="s">
        <v>24</v>
      </c>
      <c r="D8" s="118" t="s">
        <v>24</v>
      </c>
      <c r="E8" s="118" t="s">
        <v>25</v>
      </c>
      <c r="F8" s="118" t="s">
        <v>25</v>
      </c>
      <c r="G8" s="45" t="s">
        <v>73</v>
      </c>
      <c r="H8" s="45" t="s">
        <v>72</v>
      </c>
      <c r="I8" s="45">
        <f>'MERCADO TE'!$U$5</f>
        <v>67.227000000000004</v>
      </c>
      <c r="J8" s="15"/>
      <c r="L8" s="42">
        <f>('TE BE'!$L$8+'TE BF'!$L$8+'TE CVA'!$L$8)*1</f>
        <v>3.3471837672554758</v>
      </c>
      <c r="M8" s="42">
        <f>('TE BE'!$M$8+'TE BF'!$M$8+'TE CVA'!$M$8)*1</f>
        <v>0</v>
      </c>
      <c r="N8" s="42">
        <f>('TE BE'!$N$8+'TE BF'!$N$8+'TE CVA'!$N$8)*1</f>
        <v>0</v>
      </c>
      <c r="O8" s="42">
        <f>('TE BE'!$O$8+'TE BF'!$O$8+'TE CVA'!$O$8)*1</f>
        <v>0.9059678520360227</v>
      </c>
      <c r="P8" s="42">
        <f>('TE BE'!$P$8+'TE BF'!$P$8+'TE CVA'!$P$8)*1</f>
        <v>0</v>
      </c>
      <c r="Q8" s="42">
        <f>('TE BE'!$R$8+'TE BF'!$R$8+'TE CVA'!$R$8)*1</f>
        <v>538.59099543054901</v>
      </c>
      <c r="R8" s="42">
        <f>('TE BE'!$T$8+'TE BF'!$T$8+'TE CVA'!$T$8)*1</f>
        <v>0</v>
      </c>
      <c r="S8" s="42">
        <f>('TE BE'!$U$8+'TE BF'!$U$8+'TE CVA'!$U$8)*1</f>
        <v>0</v>
      </c>
      <c r="T8" s="42">
        <f>('TE BE'!$V$8+'TE BF'!$V$8+'TE CVA'!$V$8)*1</f>
        <v>0</v>
      </c>
      <c r="U8" s="42">
        <f>('TE BE'!$X$8+'TE BF'!$X$8+'TE CVA'!$X$8)*1</f>
        <v>0</v>
      </c>
      <c r="V8" s="42">
        <f>('TE BE'!$Z$8+'TE BF'!$Z$8+'TE CVA'!$Z$8)*1</f>
        <v>0</v>
      </c>
      <c r="X8" s="42">
        <v>2.4910257983778199</v>
      </c>
      <c r="Y8" s="42">
        <v>0</v>
      </c>
      <c r="Z8" s="42">
        <v>0</v>
      </c>
      <c r="AA8" s="42">
        <v>0</v>
      </c>
      <c r="AB8" s="42">
        <v>0</v>
      </c>
      <c r="AC8" s="42">
        <v>429.68486254117403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</row>
    <row r="9" spans="1:34" ht="11.25" customHeight="1" x14ac:dyDescent="0.25">
      <c r="A9" s="118"/>
      <c r="B9" s="118"/>
      <c r="C9" s="118"/>
      <c r="D9" s="118"/>
      <c r="E9" s="118"/>
      <c r="F9" s="118"/>
      <c r="G9" s="45" t="s">
        <v>85</v>
      </c>
      <c r="H9" s="45" t="s">
        <v>72</v>
      </c>
      <c r="I9" s="45">
        <f>'MERCADO TE'!$U$6</f>
        <v>42.061</v>
      </c>
      <c r="J9" s="15"/>
      <c r="L9" s="42">
        <f>('TE BE'!$L$9+'TE BF'!$L$9+'TE CVA'!$L$9)*1</f>
        <v>3.3471837672554758</v>
      </c>
      <c r="M9" s="42">
        <f>('TE BE'!$M$9+'TE BF'!$M$9+'TE CVA'!$M$9)*1</f>
        <v>0</v>
      </c>
      <c r="N9" s="42">
        <f>('TE BE'!$N$9+'TE BF'!$N$9+'TE CVA'!$N$9)*1</f>
        <v>0</v>
      </c>
      <c r="O9" s="42">
        <f>('TE BE'!$O$9+'TE BF'!$O$9+'TE CVA'!$O$9)*1</f>
        <v>0.9059678520360227</v>
      </c>
      <c r="P9" s="42">
        <f>('TE BE'!$P$9+'TE BF'!$P$9+'TE CVA'!$P$9)*1</f>
        <v>0</v>
      </c>
      <c r="Q9" s="42">
        <f>('TE BE'!$R$9+'TE BF'!$R$9+'TE CVA'!$R$9)*1</f>
        <v>313.13429966892386</v>
      </c>
      <c r="R9" s="42">
        <f>('TE BE'!$T$9+'TE BF'!$T$9+'TE CVA'!$T$9)*1</f>
        <v>0</v>
      </c>
      <c r="S9" s="42">
        <f>('TE BE'!$U$9+'TE BF'!$U$9+'TE CVA'!$U$9)*1</f>
        <v>0</v>
      </c>
      <c r="T9" s="42">
        <f>('TE BE'!$V$9+'TE BF'!$V$9+'TE CVA'!$V$9)*1</f>
        <v>0</v>
      </c>
      <c r="U9" s="42">
        <f>('TE BE'!$X$9+'TE BF'!$X$9+'TE CVA'!$X$9)*1</f>
        <v>0</v>
      </c>
      <c r="V9" s="42">
        <f>('TE BE'!$Z$9+'TE BF'!$Z$9+'TE CVA'!$Z$9)*1</f>
        <v>0</v>
      </c>
      <c r="X9" s="42">
        <v>2.4910257983778199</v>
      </c>
      <c r="Y9" s="42">
        <v>0</v>
      </c>
      <c r="Z9" s="42">
        <v>0</v>
      </c>
      <c r="AA9" s="42">
        <v>0</v>
      </c>
      <c r="AB9" s="42">
        <v>0</v>
      </c>
      <c r="AC9" s="42">
        <v>249.81678054719401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</row>
    <row r="10" spans="1:34" ht="11.25" customHeight="1" x14ac:dyDescent="0.25">
      <c r="A10" s="118"/>
      <c r="B10" s="118"/>
      <c r="C10" s="118"/>
      <c r="D10" s="118"/>
      <c r="E10" s="118"/>
      <c r="F10" s="118"/>
      <c r="G10" s="45" t="s">
        <v>74</v>
      </c>
      <c r="H10" s="45" t="s">
        <v>72</v>
      </c>
      <c r="I10" s="45">
        <f>'MERCADO TE'!$U$7</f>
        <v>583.55899999999997</v>
      </c>
      <c r="J10" s="15"/>
      <c r="L10" s="42">
        <f>('TE BE'!$L$10+'TE BF'!$L$10+'TE CVA'!$L$10)*1</f>
        <v>3.3471837672554758</v>
      </c>
      <c r="M10" s="42">
        <f>('TE BE'!$M$10+'TE BF'!$M$10+'TE CVA'!$M$10)*1</f>
        <v>0</v>
      </c>
      <c r="N10" s="42">
        <f>('TE BE'!$N$10+'TE BF'!$N$10+'TE CVA'!$N$10)*1</f>
        <v>0</v>
      </c>
      <c r="O10" s="42">
        <f>('TE BE'!$O$10+'TE BF'!$O$10+'TE CVA'!$O$10)*1</f>
        <v>0.9059678520360227</v>
      </c>
      <c r="P10" s="42">
        <f>('TE BE'!$P$10+'TE BF'!$P$10+'TE CVA'!$P$10)*1</f>
        <v>0</v>
      </c>
      <c r="Q10" s="42">
        <f>('TE BE'!$R$10+'TE BF'!$R$10+'TE CVA'!$R$10)*1</f>
        <v>313.13429966892386</v>
      </c>
      <c r="R10" s="42">
        <f>('TE BE'!$T$10+'TE BF'!$T$10+'TE CVA'!$T$10)*1</f>
        <v>0</v>
      </c>
      <c r="S10" s="42">
        <f>('TE BE'!$U$10+'TE BF'!$U$10+'TE CVA'!$U$10)*1</f>
        <v>0</v>
      </c>
      <c r="T10" s="42">
        <f>('TE BE'!$V$10+'TE BF'!$V$10+'TE CVA'!$V$10)*1</f>
        <v>0</v>
      </c>
      <c r="U10" s="42">
        <f>('TE BE'!$X$10+'TE BF'!$X$10+'TE CVA'!$X$10)*1</f>
        <v>0</v>
      </c>
      <c r="V10" s="42">
        <f>('TE BE'!$Z$10+'TE BF'!$Z$10+'TE CVA'!$Z$10)*1</f>
        <v>0</v>
      </c>
      <c r="X10" s="42">
        <v>2.4910257983778199</v>
      </c>
      <c r="Y10" s="42">
        <v>0</v>
      </c>
      <c r="Z10" s="42">
        <v>0</v>
      </c>
      <c r="AA10" s="42">
        <v>0</v>
      </c>
      <c r="AB10" s="42">
        <v>0</v>
      </c>
      <c r="AC10" s="42">
        <v>249.81678054719401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</row>
    <row r="11" spans="1:34" ht="11.25" customHeight="1" x14ac:dyDescent="0.25">
      <c r="A11" s="118"/>
      <c r="B11" s="118" t="s">
        <v>75</v>
      </c>
      <c r="C11" s="118" t="s">
        <v>24</v>
      </c>
      <c r="D11" s="44" t="s">
        <v>24</v>
      </c>
      <c r="E11" s="44" t="s">
        <v>25</v>
      </c>
      <c r="F11" s="44" t="s">
        <v>25</v>
      </c>
      <c r="G11" s="45" t="s">
        <v>76</v>
      </c>
      <c r="H11" s="45" t="s">
        <v>72</v>
      </c>
      <c r="I11" s="45">
        <f>'MERCADO TE'!$U$8</f>
        <v>526822.44299999997</v>
      </c>
      <c r="J11" s="15"/>
      <c r="L11" s="42">
        <f>('TE BE'!$L$11+'TE BF'!$L$11+'TE CVA'!$L$11)*1</f>
        <v>3.3471837672554758</v>
      </c>
      <c r="M11" s="42">
        <f>('TE BE'!$M$11+'TE BF'!$M$11+'TE CVA'!$M$11)*1</f>
        <v>0</v>
      </c>
      <c r="N11" s="42">
        <f>('TE BE'!$N$11+'TE BF'!$N$11+'TE CVA'!$N$11)*1</f>
        <v>0</v>
      </c>
      <c r="O11" s="42">
        <f>('TE BE'!$O$11+'TE BF'!$O$11+'TE CVA'!$O$11)*1</f>
        <v>0.9059678520360227</v>
      </c>
      <c r="P11" s="42">
        <f>('TE BE'!$P$11+'TE BF'!$P$11+'TE CVA'!$P$11)*1</f>
        <v>0</v>
      </c>
      <c r="Q11" s="42">
        <f>('TE BE'!$R$11+'TE BF'!$R$11+'TE CVA'!$R$11)*1</f>
        <v>331.92235764905928</v>
      </c>
      <c r="R11" s="42">
        <f>('TE BE'!$T$11+'TE BF'!$T$11+'TE CVA'!$T$11)*1</f>
        <v>0</v>
      </c>
      <c r="S11" s="42">
        <f>('TE BE'!$U$11+'TE BF'!$U$11+'TE CVA'!$U$11)*1</f>
        <v>0</v>
      </c>
      <c r="T11" s="42">
        <f>('TE BE'!$V$11+'TE BF'!$V$11+'TE CVA'!$V$11)*1</f>
        <v>0</v>
      </c>
      <c r="U11" s="42">
        <f>('TE BE'!$X$11+'TE BF'!$X$11+'TE CVA'!$X$11)*1</f>
        <v>0</v>
      </c>
      <c r="V11" s="42">
        <f>('TE BE'!$Z$11+'TE BF'!$Z$11+'TE CVA'!$Z$11)*1</f>
        <v>0</v>
      </c>
      <c r="X11" s="42">
        <v>2.4910257983778199</v>
      </c>
      <c r="Y11" s="42">
        <v>0</v>
      </c>
      <c r="Z11" s="42">
        <v>0</v>
      </c>
      <c r="AA11" s="42">
        <v>0</v>
      </c>
      <c r="AB11" s="42">
        <v>0</v>
      </c>
      <c r="AC11" s="42">
        <v>264.805787380026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</row>
    <row r="12" spans="1:34" ht="11.25" customHeight="1" x14ac:dyDescent="0.25">
      <c r="A12" s="118"/>
      <c r="B12" s="118"/>
      <c r="C12" s="118"/>
      <c r="D12" s="44" t="s">
        <v>29</v>
      </c>
      <c r="E12" s="44" t="s">
        <v>25</v>
      </c>
      <c r="F12" s="44" t="s">
        <v>25</v>
      </c>
      <c r="G12" s="45" t="s">
        <v>76</v>
      </c>
      <c r="H12" s="45" t="s">
        <v>72</v>
      </c>
      <c r="I12" s="45">
        <f>'MERCADO TE'!$U$9</f>
        <v>10401.067000000001</v>
      </c>
      <c r="J12" s="15"/>
      <c r="L12" s="42">
        <f>('TE BE'!$L$12+'TE BF'!$L$12+'TE CVA'!$L$12)*(1 - 0.65)</f>
        <v>1.1715143185394166</v>
      </c>
      <c r="M12" s="42">
        <f>('TE BE'!$M$12+'TE BF'!$M$12+'TE CVA'!$M$12)*(1 - 0.65)</f>
        <v>0</v>
      </c>
      <c r="N12" s="42">
        <f>('TE BE'!$N$12+'TE BF'!$N$12+'TE CVA'!$N$12)*(1 - 0.65)</f>
        <v>0</v>
      </c>
      <c r="O12" s="42">
        <f>('TE BE'!$O$12+'TE BF'!$O$12+'TE CVA'!$O$12)*(1 - 0.65)</f>
        <v>0.31708874821260791</v>
      </c>
      <c r="P12" s="42">
        <f>('TE BE'!$P$12+'TE BF'!$P$12+'TE CVA'!$P$12)*(1 - 0.65)</f>
        <v>0</v>
      </c>
      <c r="Q12" s="42">
        <f>('TE BE'!$R$12+'TE BF'!$R$12+'TE CVA'!$R$12)*(1 - 0.65)</f>
        <v>116.17282517717074</v>
      </c>
      <c r="R12" s="42">
        <f>('TE BE'!$T$12+'TE BF'!$T$12+'TE CVA'!$T$12)*(1 - 0.65)</f>
        <v>0</v>
      </c>
      <c r="S12" s="42">
        <f>('TE BE'!$U$12+'TE BF'!$U$12+'TE CVA'!$U$12)*(1 - 0.65)</f>
        <v>0</v>
      </c>
      <c r="T12" s="42">
        <f>('TE BE'!$V$12+'TE BF'!$V$12+'TE CVA'!$V$12)*(1 - 0.65)</f>
        <v>0</v>
      </c>
      <c r="U12" s="42">
        <f>('TE BE'!$X$12+'TE BF'!$X$12+'TE CVA'!$X$12)*(1 - 0.65)</f>
        <v>0</v>
      </c>
      <c r="V12" s="42">
        <f>('TE BE'!$Z$12+'TE BF'!$Z$12+'TE CVA'!$Z$12)*(1 - 0.65)</f>
        <v>0</v>
      </c>
      <c r="X12" s="42">
        <v>0.87185902943223903</v>
      </c>
      <c r="Y12" s="42">
        <v>0</v>
      </c>
      <c r="Z12" s="42">
        <v>0</v>
      </c>
      <c r="AA12" s="42">
        <v>0</v>
      </c>
      <c r="AB12" s="42">
        <v>0</v>
      </c>
      <c r="AC12" s="42">
        <v>92.682025583009107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</row>
    <row r="13" spans="1:34" ht="11.25" customHeight="1" x14ac:dyDescent="0.25">
      <c r="A13" s="118"/>
      <c r="B13" s="118"/>
      <c r="C13" s="118"/>
      <c r="D13" s="44" t="s">
        <v>30</v>
      </c>
      <c r="E13" s="44" t="s">
        <v>25</v>
      </c>
      <c r="F13" s="44" t="s">
        <v>25</v>
      </c>
      <c r="G13" s="45" t="s">
        <v>76</v>
      </c>
      <c r="H13" s="45" t="s">
        <v>72</v>
      </c>
      <c r="I13" s="45">
        <f>'MERCADO TE'!$U$10</f>
        <v>21577.302999999996</v>
      </c>
      <c r="J13" s="15"/>
      <c r="L13" s="42">
        <f>('TE BE'!$L$13+'TE BF'!$L$13+'TE CVA'!$L$13)*(1 - 0.4)</f>
        <v>2.0083102603532854</v>
      </c>
      <c r="M13" s="42">
        <f>('TE BE'!$M$13+'TE BF'!$M$13+'TE CVA'!$M$13)*(1 - 0.4)</f>
        <v>0</v>
      </c>
      <c r="N13" s="42">
        <f>('TE BE'!$N$13+'TE BF'!$N$13+'TE CVA'!$N$13)*(1 - 0.4)</f>
        <v>0</v>
      </c>
      <c r="O13" s="42">
        <f>('TE BE'!$O$13+'TE BF'!$O$13+'TE CVA'!$O$13)*(1 - 0.4)</f>
        <v>0.54358071122161356</v>
      </c>
      <c r="P13" s="42">
        <f>('TE BE'!$P$13+'TE BF'!$P$13+'TE CVA'!$P$13)*(1 - 0.4)</f>
        <v>0</v>
      </c>
      <c r="Q13" s="42">
        <f>('TE BE'!$R$13+'TE BF'!$R$13+'TE CVA'!$R$13)*(1 - 0.4)</f>
        <v>199.15341458943556</v>
      </c>
      <c r="R13" s="42">
        <f>('TE BE'!$T$13+'TE BF'!$T$13+'TE CVA'!$T$13)*(1 - 0.4)</f>
        <v>0</v>
      </c>
      <c r="S13" s="42">
        <f>('TE BE'!$U$13+'TE BF'!$U$13+'TE CVA'!$U$13)*(1 - 0.4)</f>
        <v>0</v>
      </c>
      <c r="T13" s="42">
        <f>('TE BE'!$V$13+'TE BF'!$V$13+'TE CVA'!$V$13)*(1 - 0.4)</f>
        <v>0</v>
      </c>
      <c r="U13" s="42">
        <f>('TE BE'!$X$13+'TE BF'!$X$13+'TE CVA'!$X$13)*(1 - 0.4)</f>
        <v>0</v>
      </c>
      <c r="V13" s="42">
        <f>('TE BE'!$Z$13+'TE BF'!$Z$13+'TE CVA'!$Z$13)*(1 - 0.4)</f>
        <v>0</v>
      </c>
      <c r="X13" s="42">
        <v>1.4946154790266899</v>
      </c>
      <c r="Y13" s="42">
        <v>0</v>
      </c>
      <c r="Z13" s="42">
        <v>0</v>
      </c>
      <c r="AA13" s="42">
        <v>0</v>
      </c>
      <c r="AB13" s="42">
        <v>0</v>
      </c>
      <c r="AC13" s="42">
        <v>158.88347242801601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</row>
    <row r="14" spans="1:34" ht="11.25" customHeight="1" x14ac:dyDescent="0.25">
      <c r="A14" s="118"/>
      <c r="B14" s="118"/>
      <c r="C14" s="118"/>
      <c r="D14" s="44" t="s">
        <v>31</v>
      </c>
      <c r="E14" s="44" t="s">
        <v>25</v>
      </c>
      <c r="F14" s="44" t="s">
        <v>25</v>
      </c>
      <c r="G14" s="45" t="s">
        <v>76</v>
      </c>
      <c r="H14" s="45" t="s">
        <v>72</v>
      </c>
      <c r="I14" s="45">
        <f>'MERCADO TE'!$U$11</f>
        <v>25545.413</v>
      </c>
      <c r="J14" s="15"/>
      <c r="L14" s="42">
        <f>('TE BE'!$L$14+'TE BF'!$L$14+'TE CVA'!$L$14)*(1 - 0.1)</f>
        <v>3.0124653905299281</v>
      </c>
      <c r="M14" s="42">
        <f>('TE BE'!$M$14+'TE BF'!$M$14+'TE CVA'!$M$14)*(1 - 0.1)</f>
        <v>0</v>
      </c>
      <c r="N14" s="42">
        <f>('TE BE'!$N$14+'TE BF'!$N$14+'TE CVA'!$N$14)*(1 - 0.1)</f>
        <v>0</v>
      </c>
      <c r="O14" s="42">
        <f>('TE BE'!$O$14+'TE BF'!$O$14+'TE CVA'!$O$14)*(1 - 0.1)</f>
        <v>0.81537106683242044</v>
      </c>
      <c r="P14" s="42">
        <f>('TE BE'!$P$14+'TE BF'!$P$14+'TE CVA'!$P$14)*(1 - 0.1)</f>
        <v>0</v>
      </c>
      <c r="Q14" s="42">
        <f>('TE BE'!$R$14+'TE BF'!$R$14+'TE CVA'!$R$14)*(1 - 0.1)</f>
        <v>298.73012188415333</v>
      </c>
      <c r="R14" s="42">
        <f>('TE BE'!$T$14+'TE BF'!$T$14+'TE CVA'!$T$14)*(1 - 0.1)</f>
        <v>0</v>
      </c>
      <c r="S14" s="42">
        <f>('TE BE'!$U$14+'TE BF'!$U$14+'TE CVA'!$U$14)*(1 - 0.1)</f>
        <v>0</v>
      </c>
      <c r="T14" s="42">
        <f>('TE BE'!$V$14+'TE BF'!$V$14+'TE CVA'!$V$14)*(1 - 0.1)</f>
        <v>0</v>
      </c>
      <c r="U14" s="42">
        <f>('TE BE'!$X$14+'TE BF'!$X$14+'TE CVA'!$X$14)*(1 - 0.1)</f>
        <v>0</v>
      </c>
      <c r="V14" s="42">
        <f>('TE BE'!$Z$14+'TE BF'!$Z$14+'TE CVA'!$Z$14)*(1 - 0.1)</f>
        <v>0</v>
      </c>
      <c r="X14" s="42">
        <v>2.2419232185400402</v>
      </c>
      <c r="Y14" s="42">
        <v>0</v>
      </c>
      <c r="Z14" s="42">
        <v>0</v>
      </c>
      <c r="AA14" s="42">
        <v>0</v>
      </c>
      <c r="AB14" s="42">
        <v>0</v>
      </c>
      <c r="AC14" s="42">
        <v>238.325208642023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</row>
    <row r="15" spans="1:34" ht="11.25" customHeight="1" x14ac:dyDescent="0.25">
      <c r="A15" s="118"/>
      <c r="B15" s="118"/>
      <c r="C15" s="118"/>
      <c r="D15" s="44" t="s">
        <v>32</v>
      </c>
      <c r="E15" s="44" t="s">
        <v>25</v>
      </c>
      <c r="F15" s="44" t="s">
        <v>25</v>
      </c>
      <c r="G15" s="45" t="s">
        <v>76</v>
      </c>
      <c r="H15" s="45" t="s">
        <v>72</v>
      </c>
      <c r="I15" s="45">
        <f>'MERCADO TE'!$U$12</f>
        <v>28095.264000000006</v>
      </c>
      <c r="J15" s="15"/>
      <c r="L15" s="42">
        <f>('TE BE'!$L$15+'TE BF'!$L$15+'TE CVA'!$L$15)*1</f>
        <v>3.3471837672554758</v>
      </c>
      <c r="M15" s="42">
        <f>('TE BE'!$M$15+'TE BF'!$M$15+'TE CVA'!$M$15)*1</f>
        <v>0</v>
      </c>
      <c r="N15" s="42">
        <f>('TE BE'!$N$15+'TE BF'!$N$15+'TE CVA'!$N$15)*1</f>
        <v>0</v>
      </c>
      <c r="O15" s="42">
        <f>('TE BE'!$O$15+'TE BF'!$O$15+'TE CVA'!$O$15)*1</f>
        <v>0.9059678520360227</v>
      </c>
      <c r="P15" s="42">
        <f>('TE BE'!$P$15+'TE BF'!$P$15+'TE CVA'!$P$15)*1</f>
        <v>0</v>
      </c>
      <c r="Q15" s="42">
        <f>('TE BE'!$R$15+'TE BF'!$R$15+'TE CVA'!$R$15)*1</f>
        <v>331.92235764905928</v>
      </c>
      <c r="R15" s="42">
        <f>('TE BE'!$T$15+'TE BF'!$T$15+'TE CVA'!$T$15)*1</f>
        <v>0</v>
      </c>
      <c r="S15" s="42">
        <f>('TE BE'!$U$15+'TE BF'!$U$15+'TE CVA'!$U$15)*1</f>
        <v>0</v>
      </c>
      <c r="T15" s="42">
        <f>('TE BE'!$V$15+'TE BF'!$V$15+'TE CVA'!$V$15)*1</f>
        <v>0</v>
      </c>
      <c r="U15" s="42">
        <f>('TE BE'!$X$15+'TE BF'!$X$15+'TE CVA'!$X$15)*1</f>
        <v>0</v>
      </c>
      <c r="V15" s="42">
        <f>('TE BE'!$Z$15+'TE BF'!$Z$15+'TE CVA'!$Z$15)*1</f>
        <v>0</v>
      </c>
      <c r="X15" s="42">
        <v>2.4910257983778199</v>
      </c>
      <c r="Y15" s="42">
        <v>0</v>
      </c>
      <c r="Z15" s="42">
        <v>0</v>
      </c>
      <c r="AA15" s="42">
        <v>0</v>
      </c>
      <c r="AB15" s="42">
        <v>0</v>
      </c>
      <c r="AC15" s="42">
        <v>264.805787380026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</row>
    <row r="16" spans="1:34" ht="11.25" customHeight="1" x14ac:dyDescent="0.25">
      <c r="A16" s="118"/>
      <c r="B16" s="118" t="s">
        <v>86</v>
      </c>
      <c r="C16" s="118" t="s">
        <v>24</v>
      </c>
      <c r="D16" s="44" t="s">
        <v>24</v>
      </c>
      <c r="E16" s="44" t="s">
        <v>25</v>
      </c>
      <c r="F16" s="44" t="s">
        <v>25</v>
      </c>
      <c r="G16" s="45" t="s">
        <v>76</v>
      </c>
      <c r="H16" s="45" t="s">
        <v>72</v>
      </c>
      <c r="I16" s="45">
        <f>'MERCADO TE'!$U$13</f>
        <v>0</v>
      </c>
      <c r="J16" s="15"/>
      <c r="L16" s="42">
        <f>('TE BE'!$L$16+'TE BF'!$L$16+'TE CVA'!$L$16)*1</f>
        <v>3.3471837672554758</v>
      </c>
      <c r="M16" s="42">
        <f>('TE BE'!$M$16+'TE BF'!$M$16+'TE CVA'!$M$16)*1</f>
        <v>0</v>
      </c>
      <c r="N16" s="42">
        <f>('TE BE'!$N$16+'TE BF'!$N$16+'TE CVA'!$N$16)*1</f>
        <v>0</v>
      </c>
      <c r="O16" s="42">
        <f>('TE BE'!$O$16+'TE BF'!$O$16+'TE CVA'!$O$16)*1</f>
        <v>0.9059678520360227</v>
      </c>
      <c r="P16" s="42">
        <f>('TE BE'!$P$16+'TE BF'!$P$16+'TE CVA'!$P$16)*1</f>
        <v>0</v>
      </c>
      <c r="Q16" s="42">
        <f>('TE BE'!$R$16+'TE BF'!$R$16+'TE CVA'!$R$16)*1</f>
        <v>331.92235764905928</v>
      </c>
      <c r="R16" s="42">
        <f>('TE BE'!$T$16+'TE BF'!$T$16+'TE CVA'!$T$16)*1</f>
        <v>0</v>
      </c>
      <c r="S16" s="42">
        <f>('TE BE'!$U$16+'TE BF'!$U$16+'TE CVA'!$U$16)*1</f>
        <v>0</v>
      </c>
      <c r="T16" s="42">
        <f>('TE BE'!$V$16+'TE BF'!$V$16+'TE CVA'!$V$16)*1</f>
        <v>0</v>
      </c>
      <c r="U16" s="42">
        <f>('TE BE'!$X$16+'TE BF'!$X$16+'TE CVA'!$X$16)*1</f>
        <v>0</v>
      </c>
      <c r="V16" s="42">
        <f>('TE BE'!$Z$16+'TE BF'!$Z$16+'TE CVA'!$Z$16)*1</f>
        <v>0</v>
      </c>
      <c r="X16" s="42">
        <v>2.4910257983778199</v>
      </c>
      <c r="Y16" s="42">
        <v>0</v>
      </c>
      <c r="Z16" s="42">
        <v>0</v>
      </c>
      <c r="AA16" s="42">
        <v>0</v>
      </c>
      <c r="AB16" s="42">
        <v>0</v>
      </c>
      <c r="AC16" s="42">
        <v>264.805787380026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</row>
    <row r="17" spans="1:34" ht="11.25" customHeight="1" x14ac:dyDescent="0.25">
      <c r="A17" s="118"/>
      <c r="B17" s="118"/>
      <c r="C17" s="118"/>
      <c r="D17" s="44" t="s">
        <v>29</v>
      </c>
      <c r="E17" s="44" t="s">
        <v>25</v>
      </c>
      <c r="F17" s="44" t="s">
        <v>25</v>
      </c>
      <c r="G17" s="45" t="s">
        <v>76</v>
      </c>
      <c r="H17" s="45" t="s">
        <v>72</v>
      </c>
      <c r="I17" s="45">
        <f>'MERCADO TE'!$U$14</f>
        <v>0</v>
      </c>
      <c r="J17" s="15"/>
      <c r="L17" s="42">
        <f>('TE BE'!$L$17+'TE BF'!$L$17+'TE CVA'!$L$17)*(1 - 0.65)</f>
        <v>1.1715143185394166</v>
      </c>
      <c r="M17" s="42">
        <f>('TE BE'!$M$17+'TE BF'!$M$17+'TE CVA'!$M$17)*(1 - 0.65)</f>
        <v>0</v>
      </c>
      <c r="N17" s="42">
        <f>('TE BE'!$N$17+'TE BF'!$N$17+'TE CVA'!$N$17)*(1 - 0.65)</f>
        <v>0</v>
      </c>
      <c r="O17" s="42">
        <f>('TE BE'!$O$17+'TE BF'!$O$17+'TE CVA'!$O$17)*(1 - 0.65)</f>
        <v>0.31708874821260791</v>
      </c>
      <c r="P17" s="42">
        <f>('TE BE'!$P$17+'TE BF'!$P$17+'TE CVA'!$P$17)*(1 - 0.65)</f>
        <v>0</v>
      </c>
      <c r="Q17" s="42">
        <f>('TE BE'!$R$17+'TE BF'!$R$17+'TE CVA'!$R$17)*(1 - 0.65)</f>
        <v>116.17282517717074</v>
      </c>
      <c r="R17" s="42">
        <f>('TE BE'!$T$17+'TE BF'!$T$17+'TE CVA'!$T$17)*(1 - 0.65)</f>
        <v>0</v>
      </c>
      <c r="S17" s="42">
        <f>('TE BE'!$U$17+'TE BF'!$U$17+'TE CVA'!$U$17)*(1 - 0.65)</f>
        <v>0</v>
      </c>
      <c r="T17" s="42">
        <f>('TE BE'!$V$17+'TE BF'!$V$17+'TE CVA'!$V$17)*(1 - 0.65)</f>
        <v>0</v>
      </c>
      <c r="U17" s="42">
        <f>('TE BE'!$X$17+'TE BF'!$X$17+'TE CVA'!$X$17)*(1 - 0.65)</f>
        <v>0</v>
      </c>
      <c r="V17" s="42">
        <f>('TE BE'!$Z$17+'TE BF'!$Z$17+'TE CVA'!$Z$17)*(1 - 0.65)</f>
        <v>0</v>
      </c>
      <c r="X17" s="42">
        <v>0.87185902943223903</v>
      </c>
      <c r="Y17" s="42">
        <v>0</v>
      </c>
      <c r="Z17" s="42">
        <v>0</v>
      </c>
      <c r="AA17" s="42">
        <v>0</v>
      </c>
      <c r="AB17" s="42">
        <v>0</v>
      </c>
      <c r="AC17" s="42">
        <v>92.682025583009107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</row>
    <row r="18" spans="1:34" ht="11.25" customHeight="1" x14ac:dyDescent="0.25">
      <c r="A18" s="118"/>
      <c r="B18" s="118"/>
      <c r="C18" s="118"/>
      <c r="D18" s="44" t="s">
        <v>30</v>
      </c>
      <c r="E18" s="44" t="s">
        <v>25</v>
      </c>
      <c r="F18" s="44" t="s">
        <v>25</v>
      </c>
      <c r="G18" s="45" t="s">
        <v>76</v>
      </c>
      <c r="H18" s="45" t="s">
        <v>72</v>
      </c>
      <c r="I18" s="45">
        <f>'MERCADO TE'!$U$15</f>
        <v>0</v>
      </c>
      <c r="J18" s="15"/>
      <c r="L18" s="42">
        <f>('TE BE'!$L$18+'TE BF'!$L$18+'TE CVA'!$L$18)*(1 - 0.4)</f>
        <v>2.0083102603532854</v>
      </c>
      <c r="M18" s="42">
        <f>('TE BE'!$M$18+'TE BF'!$M$18+'TE CVA'!$M$18)*(1 - 0.4)</f>
        <v>0</v>
      </c>
      <c r="N18" s="42">
        <f>('TE BE'!$N$18+'TE BF'!$N$18+'TE CVA'!$N$18)*(1 - 0.4)</f>
        <v>0</v>
      </c>
      <c r="O18" s="42">
        <f>('TE BE'!$O$18+'TE BF'!$O$18+'TE CVA'!$O$18)*(1 - 0.4)</f>
        <v>0.54358071122161356</v>
      </c>
      <c r="P18" s="42">
        <f>('TE BE'!$P$18+'TE BF'!$P$18+'TE CVA'!$P$18)*(1 - 0.4)</f>
        <v>0</v>
      </c>
      <c r="Q18" s="42">
        <f>('TE BE'!$R$18+'TE BF'!$R$18+'TE CVA'!$R$18)*(1 - 0.4)</f>
        <v>199.15341458943556</v>
      </c>
      <c r="R18" s="42">
        <f>('TE BE'!$T$18+'TE BF'!$T$18+'TE CVA'!$T$18)*(1 - 0.4)</f>
        <v>0</v>
      </c>
      <c r="S18" s="42">
        <f>('TE BE'!$U$18+'TE BF'!$U$18+'TE CVA'!$U$18)*(1 - 0.4)</f>
        <v>0</v>
      </c>
      <c r="T18" s="42">
        <f>('TE BE'!$V$18+'TE BF'!$V$18+'TE CVA'!$V$18)*(1 - 0.4)</f>
        <v>0</v>
      </c>
      <c r="U18" s="42">
        <f>('TE BE'!$X$18+'TE BF'!$X$18+'TE CVA'!$X$18)*(1 - 0.4)</f>
        <v>0</v>
      </c>
      <c r="V18" s="42">
        <f>('TE BE'!$Z$18+'TE BF'!$Z$18+'TE CVA'!$Z$18)*(1 - 0.4)</f>
        <v>0</v>
      </c>
      <c r="X18" s="42">
        <v>1.4946154790266899</v>
      </c>
      <c r="Y18" s="42">
        <v>0</v>
      </c>
      <c r="Z18" s="42">
        <v>0</v>
      </c>
      <c r="AA18" s="42">
        <v>0</v>
      </c>
      <c r="AB18" s="42">
        <v>0</v>
      </c>
      <c r="AC18" s="42">
        <v>158.88347242801601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</row>
    <row r="19" spans="1:34" ht="11.25" customHeight="1" x14ac:dyDescent="0.25">
      <c r="A19" s="118"/>
      <c r="B19" s="118"/>
      <c r="C19" s="118"/>
      <c r="D19" s="44" t="s">
        <v>31</v>
      </c>
      <c r="E19" s="44" t="s">
        <v>25</v>
      </c>
      <c r="F19" s="44" t="s">
        <v>25</v>
      </c>
      <c r="G19" s="45" t="s">
        <v>76</v>
      </c>
      <c r="H19" s="45" t="s">
        <v>72</v>
      </c>
      <c r="I19" s="45">
        <f>'MERCADO TE'!$U$16</f>
        <v>0</v>
      </c>
      <c r="J19" s="15"/>
      <c r="L19" s="42">
        <f>('TE BE'!$L$19+'TE BF'!$L$19+'TE CVA'!$L$19)*(1 - 0.1)</f>
        <v>3.0124653905299281</v>
      </c>
      <c r="M19" s="42">
        <f>('TE BE'!$M$19+'TE BF'!$M$19+'TE CVA'!$M$19)*(1 - 0.1)</f>
        <v>0</v>
      </c>
      <c r="N19" s="42">
        <f>('TE BE'!$N$19+'TE BF'!$N$19+'TE CVA'!$N$19)*(1 - 0.1)</f>
        <v>0</v>
      </c>
      <c r="O19" s="42">
        <f>('TE BE'!$O$19+'TE BF'!$O$19+'TE CVA'!$O$19)*(1 - 0.1)</f>
        <v>0.81537106683242044</v>
      </c>
      <c r="P19" s="42">
        <f>('TE BE'!$P$19+'TE BF'!$P$19+'TE CVA'!$P$19)*(1 - 0.1)</f>
        <v>0</v>
      </c>
      <c r="Q19" s="42">
        <f>('TE BE'!$R$19+'TE BF'!$R$19+'TE CVA'!$R$19)*(1 - 0.1)</f>
        <v>298.73012188415333</v>
      </c>
      <c r="R19" s="42">
        <f>('TE BE'!$T$19+'TE BF'!$T$19+'TE CVA'!$T$19)*(1 - 0.1)</f>
        <v>0</v>
      </c>
      <c r="S19" s="42">
        <f>('TE BE'!$U$19+'TE BF'!$U$19+'TE CVA'!$U$19)*(1 - 0.1)</f>
        <v>0</v>
      </c>
      <c r="T19" s="42">
        <f>('TE BE'!$V$19+'TE BF'!$V$19+'TE CVA'!$V$19)*(1 - 0.1)</f>
        <v>0</v>
      </c>
      <c r="U19" s="42">
        <f>('TE BE'!$X$19+'TE BF'!$X$19+'TE CVA'!$X$19)*(1 - 0.1)</f>
        <v>0</v>
      </c>
      <c r="V19" s="42">
        <f>('TE BE'!$Z$19+'TE BF'!$Z$19+'TE CVA'!$Z$19)*(1 - 0.1)</f>
        <v>0</v>
      </c>
      <c r="X19" s="42">
        <v>2.2419232185400402</v>
      </c>
      <c r="Y19" s="42">
        <v>0</v>
      </c>
      <c r="Z19" s="42">
        <v>0</v>
      </c>
      <c r="AA19" s="42">
        <v>0</v>
      </c>
      <c r="AB19" s="42">
        <v>0</v>
      </c>
      <c r="AC19" s="42">
        <v>238.325208642023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</row>
    <row r="20" spans="1:34" ht="11.25" customHeight="1" x14ac:dyDescent="0.25">
      <c r="A20" s="118"/>
      <c r="B20" s="118"/>
      <c r="C20" s="118"/>
      <c r="D20" s="44" t="s">
        <v>32</v>
      </c>
      <c r="E20" s="44" t="s">
        <v>25</v>
      </c>
      <c r="F20" s="44" t="s">
        <v>25</v>
      </c>
      <c r="G20" s="45" t="s">
        <v>76</v>
      </c>
      <c r="H20" s="45" t="s">
        <v>72</v>
      </c>
      <c r="I20" s="45">
        <f>'MERCADO TE'!$U$17</f>
        <v>0</v>
      </c>
      <c r="J20" s="15"/>
      <c r="L20" s="42">
        <f>('TE BE'!$L$20+'TE BF'!$L$20+'TE CVA'!$L$20)*1</f>
        <v>3.3471837672554758</v>
      </c>
      <c r="M20" s="42">
        <f>('TE BE'!$M$20+'TE BF'!$M$20+'TE CVA'!$M$20)*1</f>
        <v>0</v>
      </c>
      <c r="N20" s="42">
        <f>('TE BE'!$N$20+'TE BF'!$N$20+'TE CVA'!$N$20)*1</f>
        <v>0</v>
      </c>
      <c r="O20" s="42">
        <f>('TE BE'!$O$20+'TE BF'!$O$20+'TE CVA'!$O$20)*1</f>
        <v>0.9059678520360227</v>
      </c>
      <c r="P20" s="42">
        <f>('TE BE'!$P$20+'TE BF'!$P$20+'TE CVA'!$P$20)*1</f>
        <v>0</v>
      </c>
      <c r="Q20" s="42">
        <f>('TE BE'!$R$20+'TE BF'!$R$20+'TE CVA'!$R$20)*1</f>
        <v>331.92235764905928</v>
      </c>
      <c r="R20" s="42">
        <f>('TE BE'!$T$20+'TE BF'!$T$20+'TE CVA'!$T$20)*1</f>
        <v>0</v>
      </c>
      <c r="S20" s="42">
        <f>('TE BE'!$U$20+'TE BF'!$U$20+'TE CVA'!$U$20)*1</f>
        <v>0</v>
      </c>
      <c r="T20" s="42">
        <f>('TE BE'!$V$20+'TE BF'!$V$20+'TE CVA'!$V$20)*1</f>
        <v>0</v>
      </c>
      <c r="U20" s="42">
        <f>('TE BE'!$X$20+'TE BF'!$X$20+'TE CVA'!$X$20)*1</f>
        <v>0</v>
      </c>
      <c r="V20" s="42">
        <f>('TE BE'!$Z$20+'TE BF'!$Z$20+'TE CVA'!$Z$20)*1</f>
        <v>0</v>
      </c>
      <c r="X20" s="42">
        <v>2.4910257983778199</v>
      </c>
      <c r="Y20" s="42">
        <v>0</v>
      </c>
      <c r="Z20" s="42">
        <v>0</v>
      </c>
      <c r="AA20" s="42">
        <v>0</v>
      </c>
      <c r="AB20" s="42">
        <v>0</v>
      </c>
      <c r="AC20" s="42">
        <v>264.805787380026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</row>
    <row r="21" spans="1:34" ht="11.25" customHeight="1" x14ac:dyDescent="0.25">
      <c r="A21" s="118" t="s">
        <v>43</v>
      </c>
      <c r="B21" s="118" t="s">
        <v>71</v>
      </c>
      <c r="C21" s="118" t="s">
        <v>44</v>
      </c>
      <c r="D21" s="118" t="s">
        <v>25</v>
      </c>
      <c r="E21" s="118" t="s">
        <v>25</v>
      </c>
      <c r="F21" s="118" t="s">
        <v>25</v>
      </c>
      <c r="G21" s="45" t="s">
        <v>73</v>
      </c>
      <c r="H21" s="45" t="s">
        <v>72</v>
      </c>
      <c r="I21" s="45">
        <f>'MERCADO TE'!$U$18</f>
        <v>0.112</v>
      </c>
      <c r="J21" s="15"/>
      <c r="L21" s="42">
        <f>('TE BE'!$L$21+'TE BF'!$L$21+'TE CVA'!$L$21)*(1 - CUSTOS!$M$38)</f>
        <v>3.1463527412201473</v>
      </c>
      <c r="M21" s="42">
        <f>('TE BE'!$M$21+'TE BF'!$M$21+'TE CVA'!$M$21)*(1 - CUSTOS!$M$38)</f>
        <v>0</v>
      </c>
      <c r="N21" s="42">
        <f>('TE BE'!$N$21+'TE BF'!$N$21+'TE CVA'!$N$21)*(1 - CUSTOS!$M$38)</f>
        <v>0</v>
      </c>
      <c r="O21" s="42">
        <f>('TE BE'!$O$21+'TE BF'!$O$21+'TE CVA'!$O$21)*(1 - CUSTOS!$M$38)</f>
        <v>0.8516097809138613</v>
      </c>
      <c r="P21" s="42">
        <f>('TE BE'!$P$21+'TE BF'!$P$21+'TE CVA'!$P$21)*(1 - CUSTOS!$M$38)</f>
        <v>0</v>
      </c>
      <c r="Q21" s="42">
        <f>('TE BE'!$R$21+'TE BF'!$R$21+'TE CVA'!$R$21)*(1 - CUSTOS!$M$38)</f>
        <v>506.27553570471605</v>
      </c>
      <c r="R21" s="42">
        <f>('TE BE'!$T$21+'TE BF'!$T$21+'TE CVA'!$T$21)*(1 - CUSTOS!$M$38)</f>
        <v>0</v>
      </c>
      <c r="S21" s="42">
        <f>('TE BE'!$U$21+'TE BF'!$U$21+'TE CVA'!$U$21)*(1 - CUSTOS!$M$38)</f>
        <v>0</v>
      </c>
      <c r="T21" s="42">
        <f>('TE BE'!$V$21+'TE BF'!$V$21+'TE CVA'!$V$21)*(1 - CUSTOS!$M$38)</f>
        <v>0</v>
      </c>
      <c r="U21" s="42">
        <f>('TE BE'!$X$21+'TE BF'!$X$21+'TE CVA'!$X$21)*(1 - CUSTOS!$M$38)</f>
        <v>0</v>
      </c>
      <c r="V21" s="42">
        <f>('TE BE'!$Z$21+'TE BF'!$Z$21+'TE CVA'!$Z$21)*(1 - CUSTOS!$M$38)</f>
        <v>0</v>
      </c>
      <c r="X21" s="42">
        <v>2.1921027025724902</v>
      </c>
      <c r="Y21" s="42">
        <v>0</v>
      </c>
      <c r="Z21" s="42">
        <v>0</v>
      </c>
      <c r="AA21" s="42">
        <v>0</v>
      </c>
      <c r="AB21" s="42">
        <v>0</v>
      </c>
      <c r="AC21" s="42">
        <v>378.12267903623302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</row>
    <row r="22" spans="1:34" ht="11.25" customHeight="1" x14ac:dyDescent="0.25">
      <c r="A22" s="118"/>
      <c r="B22" s="118"/>
      <c r="C22" s="118"/>
      <c r="D22" s="118"/>
      <c r="E22" s="118"/>
      <c r="F22" s="118"/>
      <c r="G22" s="45" t="s">
        <v>85</v>
      </c>
      <c r="H22" s="45" t="s">
        <v>72</v>
      </c>
      <c r="I22" s="45">
        <f>'MERCADO TE'!$U$19</f>
        <v>7.4999999999999997E-2</v>
      </c>
      <c r="J22" s="15"/>
      <c r="L22" s="42">
        <f>('TE BE'!$L$22+'TE BF'!$L$22+'TE CVA'!$L$22)*(1 - CUSTOS!$M$38)</f>
        <v>3.1463527412201473</v>
      </c>
      <c r="M22" s="42">
        <f>('TE BE'!$M$22+'TE BF'!$M$22+'TE CVA'!$M$22)*(1 - CUSTOS!$M$38)</f>
        <v>0</v>
      </c>
      <c r="N22" s="42">
        <f>('TE BE'!$N$22+'TE BF'!$N$22+'TE CVA'!$N$22)*(1 - CUSTOS!$M$38)</f>
        <v>0</v>
      </c>
      <c r="O22" s="42">
        <f>('TE BE'!$O$22+'TE BF'!$O$22+'TE CVA'!$O$22)*(1 - CUSTOS!$M$38)</f>
        <v>0.8516097809138613</v>
      </c>
      <c r="P22" s="42">
        <f>('TE BE'!$P$22+'TE BF'!$P$22+'TE CVA'!$P$22)*(1 - CUSTOS!$M$38)</f>
        <v>0</v>
      </c>
      <c r="Q22" s="42">
        <f>('TE BE'!$R$22+'TE BF'!$R$22+'TE CVA'!$R$22)*(1 - CUSTOS!$M$38)</f>
        <v>294.34624168878844</v>
      </c>
      <c r="R22" s="42">
        <f>('TE BE'!$T$22+'TE BF'!$T$22+'TE CVA'!$T$22)*(1 - CUSTOS!$M$38)</f>
        <v>0</v>
      </c>
      <c r="S22" s="42">
        <f>('TE BE'!$U$22+'TE BF'!$U$22+'TE CVA'!$U$22)*(1 - CUSTOS!$M$38)</f>
        <v>0</v>
      </c>
      <c r="T22" s="42">
        <f>('TE BE'!$V$22+'TE BF'!$V$22+'TE CVA'!$V$22)*(1 - CUSTOS!$M$38)</f>
        <v>0</v>
      </c>
      <c r="U22" s="42">
        <f>('TE BE'!$X$22+'TE BF'!$X$22+'TE CVA'!$X$22)*(1 - CUSTOS!$M$38)</f>
        <v>0</v>
      </c>
      <c r="V22" s="42">
        <f>('TE BE'!$Z$22+'TE BF'!$Z$22+'TE CVA'!$Z$22)*(1 - CUSTOS!$M$38)</f>
        <v>0</v>
      </c>
      <c r="X22" s="42">
        <v>2.1921027025724902</v>
      </c>
      <c r="Y22" s="42">
        <v>0</v>
      </c>
      <c r="Z22" s="42">
        <v>0</v>
      </c>
      <c r="AA22" s="42">
        <v>0</v>
      </c>
      <c r="AB22" s="42">
        <v>0</v>
      </c>
      <c r="AC22" s="42">
        <v>219.838766881531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</row>
    <row r="23" spans="1:34" ht="11.25" customHeight="1" x14ac:dyDescent="0.25">
      <c r="A23" s="118"/>
      <c r="B23" s="118"/>
      <c r="C23" s="118"/>
      <c r="D23" s="118"/>
      <c r="E23" s="118"/>
      <c r="F23" s="118"/>
      <c r="G23" s="45" t="s">
        <v>74</v>
      </c>
      <c r="H23" s="45" t="s">
        <v>72</v>
      </c>
      <c r="I23" s="45">
        <f>'MERCADO TE'!$U$20</f>
        <v>0.91599999999999993</v>
      </c>
      <c r="J23" s="15"/>
      <c r="L23" s="42">
        <f>('TE BE'!$L$23+'TE BF'!$L$23+'TE CVA'!$L$23)*(1 - CUSTOS!$M$38)</f>
        <v>3.1463527412201473</v>
      </c>
      <c r="M23" s="42">
        <f>('TE BE'!$M$23+'TE BF'!$M$23+'TE CVA'!$M$23)*(1 - CUSTOS!$M$38)</f>
        <v>0</v>
      </c>
      <c r="N23" s="42">
        <f>('TE BE'!$N$23+'TE BF'!$N$23+'TE CVA'!$N$23)*(1 - CUSTOS!$M$38)</f>
        <v>0</v>
      </c>
      <c r="O23" s="42">
        <f>('TE BE'!$O$23+'TE BF'!$O$23+'TE CVA'!$O$23)*(1 - CUSTOS!$M$38)</f>
        <v>0.8516097809138613</v>
      </c>
      <c r="P23" s="42">
        <f>('TE BE'!$P$23+'TE BF'!$P$23+'TE CVA'!$P$23)*(1 - CUSTOS!$M$38)</f>
        <v>0</v>
      </c>
      <c r="Q23" s="42">
        <f>('TE BE'!$R$23+'TE BF'!$R$23+'TE CVA'!$R$23)*(1 - CUSTOS!$M$38)</f>
        <v>294.34624168878844</v>
      </c>
      <c r="R23" s="42">
        <f>('TE BE'!$T$23+'TE BF'!$T$23+'TE CVA'!$T$23)*(1 - CUSTOS!$M$38)</f>
        <v>0</v>
      </c>
      <c r="S23" s="42">
        <f>('TE BE'!$U$23+'TE BF'!$U$23+'TE CVA'!$U$23)*(1 - CUSTOS!$M$38)</f>
        <v>0</v>
      </c>
      <c r="T23" s="42">
        <f>('TE BE'!$V$23+'TE BF'!$V$23+'TE CVA'!$V$23)*(1 - CUSTOS!$M$38)</f>
        <v>0</v>
      </c>
      <c r="U23" s="42">
        <f>('TE BE'!$X$23+'TE BF'!$X$23+'TE CVA'!$X$23)*(1 - CUSTOS!$M$38)</f>
        <v>0</v>
      </c>
      <c r="V23" s="42">
        <f>('TE BE'!$Z$23+'TE BF'!$Z$23+'TE CVA'!$Z$23)*(1 - CUSTOS!$M$38)</f>
        <v>0</v>
      </c>
      <c r="X23" s="42">
        <v>2.1921027025724902</v>
      </c>
      <c r="Y23" s="42">
        <v>0</v>
      </c>
      <c r="Z23" s="42">
        <v>0</v>
      </c>
      <c r="AA23" s="42">
        <v>0</v>
      </c>
      <c r="AB23" s="42">
        <v>0</v>
      </c>
      <c r="AC23" s="42">
        <v>219.838766881531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</row>
    <row r="24" spans="1:34" ht="11.25" customHeight="1" x14ac:dyDescent="0.25">
      <c r="A24" s="118"/>
      <c r="B24" s="44" t="s">
        <v>75</v>
      </c>
      <c r="C24" s="44" t="s">
        <v>44</v>
      </c>
      <c r="D24" s="44" t="s">
        <v>25</v>
      </c>
      <c r="E24" s="44" t="s">
        <v>25</v>
      </c>
      <c r="F24" s="44" t="s">
        <v>25</v>
      </c>
      <c r="G24" s="45" t="s">
        <v>76</v>
      </c>
      <c r="H24" s="45" t="s">
        <v>72</v>
      </c>
      <c r="I24" s="45">
        <f>'MERCADO TE'!$U$21</f>
        <v>54817.448999999993</v>
      </c>
      <c r="J24" s="15"/>
      <c r="L24" s="42">
        <f>('TE BE'!$L$24+'TE BF'!$L$24+'TE CVA'!$L$24)*(1 - CUSTOS!$M$38)</f>
        <v>3.1463527412201473</v>
      </c>
      <c r="M24" s="42">
        <f>('TE BE'!$M$24+'TE BF'!$M$24+'TE CVA'!$M$24)*(1 - CUSTOS!$M$38)</f>
        <v>0</v>
      </c>
      <c r="N24" s="42">
        <f>('TE BE'!$N$24+'TE BF'!$N$24+'TE CVA'!$N$24)*(1 - CUSTOS!$M$38)</f>
        <v>0</v>
      </c>
      <c r="O24" s="42">
        <f>('TE BE'!$O$24+'TE BF'!$O$24+'TE CVA'!$O$24)*(1 - CUSTOS!$M$38)</f>
        <v>0.8516097809138613</v>
      </c>
      <c r="P24" s="42">
        <f>('TE BE'!$P$24+'TE BF'!$P$24+'TE CVA'!$P$24)*(1 - CUSTOS!$M$38)</f>
        <v>0</v>
      </c>
      <c r="Q24" s="42">
        <f>('TE BE'!$R$24+'TE BF'!$R$24+'TE CVA'!$R$24)*(1 - CUSTOS!$M$38)</f>
        <v>312.00701619011568</v>
      </c>
      <c r="R24" s="42">
        <f>('TE BE'!$T$24+'TE BF'!$T$24+'TE CVA'!$T$24)*(1 - CUSTOS!$M$38)</f>
        <v>0</v>
      </c>
      <c r="S24" s="42">
        <f>('TE BE'!$U$24+'TE BF'!$U$24+'TE CVA'!$U$24)*(1 - CUSTOS!$M$38)</f>
        <v>0</v>
      </c>
      <c r="T24" s="42">
        <f>('TE BE'!$V$24+'TE BF'!$V$24+'TE CVA'!$V$24)*(1 - CUSTOS!$M$38)</f>
        <v>0</v>
      </c>
      <c r="U24" s="42">
        <f>('TE BE'!$X$24+'TE BF'!$X$24+'TE CVA'!$X$24)*(1 - CUSTOS!$M$38)</f>
        <v>0</v>
      </c>
      <c r="V24" s="42">
        <f>('TE BE'!$Z$24+'TE BF'!$Z$24+'TE CVA'!$Z$24)*(1 - CUSTOS!$M$38)</f>
        <v>0</v>
      </c>
      <c r="X24" s="42">
        <v>2.1921027025724902</v>
      </c>
      <c r="Y24" s="42">
        <v>0</v>
      </c>
      <c r="Z24" s="42">
        <v>0</v>
      </c>
      <c r="AA24" s="42">
        <v>0</v>
      </c>
      <c r="AB24" s="42">
        <v>0</v>
      </c>
      <c r="AC24" s="42">
        <v>233.029092894423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</row>
    <row r="25" spans="1:34" ht="11.25" customHeight="1" x14ac:dyDescent="0.25">
      <c r="A25" s="118"/>
      <c r="B25" s="118" t="s">
        <v>71</v>
      </c>
      <c r="C25" s="118" t="s">
        <v>44</v>
      </c>
      <c r="D25" s="118" t="s">
        <v>88</v>
      </c>
      <c r="E25" s="118" t="s">
        <v>25</v>
      </c>
      <c r="F25" s="118" t="s">
        <v>25</v>
      </c>
      <c r="G25" s="45" t="s">
        <v>73</v>
      </c>
      <c r="H25" s="45" t="s">
        <v>72</v>
      </c>
      <c r="I25" s="45">
        <f>'MERCADO TE'!$U$22</f>
        <v>0</v>
      </c>
      <c r="J25" s="15"/>
      <c r="L25" s="42">
        <f>('TE BE'!$L$25+'TE BF'!$L$25+'TE CVA'!$L$25)*(1 - CUSTOS!$M$39)</f>
        <v>3.1463527412201473</v>
      </c>
      <c r="M25" s="42">
        <f>('TE BE'!$M$25+'TE BF'!$M$25+'TE CVA'!$M$25)*(1 - CUSTOS!$M$39)</f>
        <v>0</v>
      </c>
      <c r="N25" s="42">
        <f>('TE BE'!$N$25+'TE BF'!$N$25+'TE CVA'!$N$25)*(1 - CUSTOS!$M$39)</f>
        <v>0</v>
      </c>
      <c r="O25" s="42">
        <f>('TE BE'!$O$25+'TE BF'!$O$25+'TE CVA'!$O$25)*(1 - CUSTOS!$M$39)</f>
        <v>0.8516097809138613</v>
      </c>
      <c r="P25" s="42">
        <f>('TE BE'!$P$25+'TE BF'!$P$25+'TE CVA'!$P$25)*(1 - CUSTOS!$M$39)</f>
        <v>0</v>
      </c>
      <c r="Q25" s="42">
        <f>('TE BE'!$R$25+'TE BF'!$R$25+'TE CVA'!$R$25)*(1 - CUSTOS!$M$39)</f>
        <v>506.27553570471605</v>
      </c>
      <c r="R25" s="42">
        <f>('TE BE'!$T$25+'TE BF'!$T$25+'TE CVA'!$T$25)*(1 - CUSTOS!$M$39)</f>
        <v>0</v>
      </c>
      <c r="S25" s="42">
        <f>('TE BE'!$U$25+'TE BF'!$U$25+'TE CVA'!$U$25)*(1 - CUSTOS!$M$39)</f>
        <v>0</v>
      </c>
      <c r="T25" s="42">
        <f>('TE BE'!$V$25+'TE BF'!$V$25+'TE CVA'!$V$25)*(1 - CUSTOS!$M$39)</f>
        <v>0</v>
      </c>
      <c r="U25" s="42">
        <f>('TE BE'!$X$25+'TE BF'!$X$25+'TE CVA'!$X$25)*(1 - CUSTOS!$M$39)</f>
        <v>0</v>
      </c>
      <c r="V25" s="42">
        <f>('TE BE'!$Z$25+'TE BF'!$Z$25+'TE CVA'!$Z$25)*(1 - CUSTOS!$M$39)</f>
        <v>0</v>
      </c>
      <c r="X25" s="42">
        <v>2.1921027025724902</v>
      </c>
      <c r="Y25" s="42">
        <v>0</v>
      </c>
      <c r="Z25" s="42">
        <v>0</v>
      </c>
      <c r="AA25" s="42">
        <v>0</v>
      </c>
      <c r="AB25" s="42">
        <v>0</v>
      </c>
      <c r="AC25" s="42">
        <v>378.12267903623302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</row>
    <row r="26" spans="1:34" ht="11.25" customHeight="1" x14ac:dyDescent="0.25">
      <c r="A26" s="118"/>
      <c r="B26" s="118"/>
      <c r="C26" s="118"/>
      <c r="D26" s="118"/>
      <c r="E26" s="118"/>
      <c r="F26" s="118"/>
      <c r="G26" s="45" t="s">
        <v>85</v>
      </c>
      <c r="H26" s="45" t="s">
        <v>72</v>
      </c>
      <c r="I26" s="45">
        <f>'MERCADO TE'!$U$23</f>
        <v>0</v>
      </c>
      <c r="J26" s="15"/>
      <c r="L26" s="42">
        <f>('TE BE'!$L$26+'TE BF'!$L$26+'TE CVA'!$L$26)*(1 - CUSTOS!$M$39)</f>
        <v>3.1463527412201473</v>
      </c>
      <c r="M26" s="42">
        <f>('TE BE'!$M$26+'TE BF'!$M$26+'TE CVA'!$M$26)*(1 - CUSTOS!$M$39)</f>
        <v>0</v>
      </c>
      <c r="N26" s="42">
        <f>('TE BE'!$N$26+'TE BF'!$N$26+'TE CVA'!$N$26)*(1 - CUSTOS!$M$39)</f>
        <v>0</v>
      </c>
      <c r="O26" s="42">
        <f>('TE BE'!$O$26+'TE BF'!$O$26+'TE CVA'!$O$26)*(1 - CUSTOS!$M$39)</f>
        <v>0.8516097809138613</v>
      </c>
      <c r="P26" s="42">
        <f>('TE BE'!$P$26+'TE BF'!$P$26+'TE CVA'!$P$26)*(1 - CUSTOS!$M$39)</f>
        <v>0</v>
      </c>
      <c r="Q26" s="42">
        <f>('TE BE'!$R$26+'TE BF'!$R$26+'TE CVA'!$R$26)*(1 - CUSTOS!$M$39)</f>
        <v>294.34624168878844</v>
      </c>
      <c r="R26" s="42">
        <f>('TE BE'!$T$26+'TE BF'!$T$26+'TE CVA'!$T$26)*(1 - CUSTOS!$M$39)</f>
        <v>0</v>
      </c>
      <c r="S26" s="42">
        <f>('TE BE'!$U$26+'TE BF'!$U$26+'TE CVA'!$U$26)*(1 - CUSTOS!$M$39)</f>
        <v>0</v>
      </c>
      <c r="T26" s="42">
        <f>('TE BE'!$V$26+'TE BF'!$V$26+'TE CVA'!$V$26)*(1 - CUSTOS!$M$39)</f>
        <v>0</v>
      </c>
      <c r="U26" s="42">
        <f>('TE BE'!$X$26+'TE BF'!$X$26+'TE CVA'!$X$26)*(1 - CUSTOS!$M$39)</f>
        <v>0</v>
      </c>
      <c r="V26" s="42">
        <f>('TE BE'!$Z$26+'TE BF'!$Z$26+'TE CVA'!$Z$26)*(1 - CUSTOS!$M$39)</f>
        <v>0</v>
      </c>
      <c r="X26" s="42">
        <v>2.1921027025724902</v>
      </c>
      <c r="Y26" s="42">
        <v>0</v>
      </c>
      <c r="Z26" s="42">
        <v>0</v>
      </c>
      <c r="AA26" s="42">
        <v>0</v>
      </c>
      <c r="AB26" s="42">
        <v>0</v>
      </c>
      <c r="AC26" s="42">
        <v>219.838766881531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</row>
    <row r="27" spans="1:34" ht="11.25" customHeight="1" x14ac:dyDescent="0.25">
      <c r="A27" s="118"/>
      <c r="B27" s="118"/>
      <c r="C27" s="118"/>
      <c r="D27" s="118"/>
      <c r="E27" s="118"/>
      <c r="F27" s="118"/>
      <c r="G27" s="45" t="s">
        <v>74</v>
      </c>
      <c r="H27" s="45" t="s">
        <v>72</v>
      </c>
      <c r="I27" s="45">
        <f>'MERCADO TE'!$U$24</f>
        <v>0</v>
      </c>
      <c r="J27" s="15"/>
      <c r="L27" s="42">
        <f>('TE BE'!$L$27+'TE BF'!$L$27+'TE CVA'!$L$27)*(1 - CUSTOS!$M$39)</f>
        <v>3.1463527412201473</v>
      </c>
      <c r="M27" s="42">
        <f>('TE BE'!$M$27+'TE BF'!$M$27+'TE CVA'!$M$27)*(1 - CUSTOS!$M$39)</f>
        <v>0</v>
      </c>
      <c r="N27" s="42">
        <f>('TE BE'!$N$27+'TE BF'!$N$27+'TE CVA'!$N$27)*(1 - CUSTOS!$M$39)</f>
        <v>0</v>
      </c>
      <c r="O27" s="42">
        <f>('TE BE'!$O$27+'TE BF'!$O$27+'TE CVA'!$O$27)*(1 - CUSTOS!$M$39)</f>
        <v>0.8516097809138613</v>
      </c>
      <c r="P27" s="42">
        <f>('TE BE'!$P$27+'TE BF'!$P$27+'TE CVA'!$P$27)*(1 - CUSTOS!$M$39)</f>
        <v>0</v>
      </c>
      <c r="Q27" s="42">
        <f>('TE BE'!$R$27+'TE BF'!$R$27+'TE CVA'!$R$27)*(1 - CUSTOS!$M$39)</f>
        <v>294.34624168878844</v>
      </c>
      <c r="R27" s="42">
        <f>('TE BE'!$T$27+'TE BF'!$T$27+'TE CVA'!$T$27)*(1 - CUSTOS!$M$39)</f>
        <v>0</v>
      </c>
      <c r="S27" s="42">
        <f>('TE BE'!$U$27+'TE BF'!$U$27+'TE CVA'!$U$27)*(1 - CUSTOS!$M$39)</f>
        <v>0</v>
      </c>
      <c r="T27" s="42">
        <f>('TE BE'!$V$27+'TE BF'!$V$27+'TE CVA'!$V$27)*(1 - CUSTOS!$M$39)</f>
        <v>0</v>
      </c>
      <c r="U27" s="42">
        <f>('TE BE'!$X$27+'TE BF'!$X$27+'TE CVA'!$X$27)*(1 - CUSTOS!$M$39)</f>
        <v>0</v>
      </c>
      <c r="V27" s="42">
        <f>('TE BE'!$Z$27+'TE BF'!$Z$27+'TE CVA'!$Z$27)*(1 - CUSTOS!$M$39)</f>
        <v>0</v>
      </c>
      <c r="X27" s="42">
        <v>2.1921027025724902</v>
      </c>
      <c r="Y27" s="42">
        <v>0</v>
      </c>
      <c r="Z27" s="42">
        <v>0</v>
      </c>
      <c r="AA27" s="42">
        <v>0</v>
      </c>
      <c r="AB27" s="42">
        <v>0</v>
      </c>
      <c r="AC27" s="42">
        <v>219.838766881531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</row>
    <row r="28" spans="1:34" ht="11.25" customHeight="1" x14ac:dyDescent="0.25">
      <c r="A28" s="118"/>
      <c r="B28" s="44" t="s">
        <v>75</v>
      </c>
      <c r="C28" s="44" t="s">
        <v>44</v>
      </c>
      <c r="D28" s="44" t="s">
        <v>88</v>
      </c>
      <c r="E28" s="44" t="s">
        <v>25</v>
      </c>
      <c r="F28" s="44" t="s">
        <v>25</v>
      </c>
      <c r="G28" s="45" t="s">
        <v>76</v>
      </c>
      <c r="H28" s="45" t="s">
        <v>72</v>
      </c>
      <c r="I28" s="45">
        <f>'MERCADO TE'!$U$25</f>
        <v>0</v>
      </c>
      <c r="J28" s="15"/>
      <c r="L28" s="42">
        <f>('TE BE'!$L$28+'TE BF'!$L$28+'TE CVA'!$L$28)*(1 - CUSTOS!$M$39)</f>
        <v>3.1463527412201473</v>
      </c>
      <c r="M28" s="42">
        <f>('TE BE'!$M$28+'TE BF'!$M$28+'TE CVA'!$M$28)*(1 - CUSTOS!$M$39)</f>
        <v>0</v>
      </c>
      <c r="N28" s="42">
        <f>('TE BE'!$N$28+'TE BF'!$N$28+'TE CVA'!$N$28)*(1 - CUSTOS!$M$39)</f>
        <v>0</v>
      </c>
      <c r="O28" s="42">
        <f>('TE BE'!$O$28+'TE BF'!$O$28+'TE CVA'!$O$28)*(1 - CUSTOS!$M$39)</f>
        <v>0.8516097809138613</v>
      </c>
      <c r="P28" s="42">
        <f>('TE BE'!$P$28+'TE BF'!$P$28+'TE CVA'!$P$28)*(1 - CUSTOS!$M$39)</f>
        <v>0</v>
      </c>
      <c r="Q28" s="42">
        <f>('TE BE'!$R$28+'TE BF'!$R$28+'TE CVA'!$R$28)*(1 - CUSTOS!$M$39)</f>
        <v>312.00701619011568</v>
      </c>
      <c r="R28" s="42">
        <f>('TE BE'!$T$28+'TE BF'!$T$28+'TE CVA'!$T$28)*(1 - CUSTOS!$M$39)</f>
        <v>0</v>
      </c>
      <c r="S28" s="42">
        <f>('TE BE'!$U$28+'TE BF'!$U$28+'TE CVA'!$U$28)*(1 - CUSTOS!$M$39)</f>
        <v>0</v>
      </c>
      <c r="T28" s="42">
        <f>('TE BE'!$V$28+'TE BF'!$V$28+'TE CVA'!$V$28)*(1 - CUSTOS!$M$39)</f>
        <v>0</v>
      </c>
      <c r="U28" s="42">
        <f>('TE BE'!$X$28+'TE BF'!$X$28+'TE CVA'!$X$28)*(1 - CUSTOS!$M$39)</f>
        <v>0</v>
      </c>
      <c r="V28" s="42">
        <f>('TE BE'!$Z$28+'TE BF'!$Z$28+'TE CVA'!$Z$28)*(1 - CUSTOS!$M$39)</f>
        <v>0</v>
      </c>
      <c r="X28" s="42">
        <v>2.1921027025724902</v>
      </c>
      <c r="Y28" s="42">
        <v>0</v>
      </c>
      <c r="Z28" s="42">
        <v>0</v>
      </c>
      <c r="AA28" s="42">
        <v>0</v>
      </c>
      <c r="AB28" s="42">
        <v>0</v>
      </c>
      <c r="AC28" s="42">
        <v>233.029092894423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</row>
    <row r="29" spans="1:34" ht="11.25" customHeight="1" x14ac:dyDescent="0.25">
      <c r="A29" s="118"/>
      <c r="B29" s="118" t="s">
        <v>71</v>
      </c>
      <c r="C29" s="118" t="s">
        <v>44</v>
      </c>
      <c r="D29" s="118" t="s">
        <v>89</v>
      </c>
      <c r="E29" s="118" t="s">
        <v>25</v>
      </c>
      <c r="F29" s="118" t="s">
        <v>25</v>
      </c>
      <c r="G29" s="45" t="s">
        <v>73</v>
      </c>
      <c r="H29" s="45" t="s">
        <v>72</v>
      </c>
      <c r="I29" s="45">
        <f>'MERCADO TE'!$U$26</f>
        <v>0</v>
      </c>
      <c r="J29" s="15"/>
      <c r="L29" s="42">
        <f>('TE BE'!$L$29+'TE BF'!$L$29+'TE CVA'!$L$29)*(1 - CUSTOS!$M$40)</f>
        <v>3.0794090658750379</v>
      </c>
      <c r="M29" s="42">
        <f>('TE BE'!$M$29+'TE BF'!$M$29+'TE CVA'!$M$29)*(1 - CUSTOS!$M$40)</f>
        <v>0</v>
      </c>
      <c r="N29" s="42">
        <f>('TE BE'!$N$29+'TE BF'!$N$29+'TE CVA'!$N$29)*(1 - CUSTOS!$M$40)</f>
        <v>0</v>
      </c>
      <c r="O29" s="42">
        <f>('TE BE'!$O$29+'TE BF'!$O$29+'TE CVA'!$O$29)*(1 - CUSTOS!$M$40)</f>
        <v>0.83349042387314087</v>
      </c>
      <c r="P29" s="42">
        <f>('TE BE'!$P$29+'TE BF'!$P$29+'TE CVA'!$P$29)*(1 - CUSTOS!$M$40)</f>
        <v>0</v>
      </c>
      <c r="Q29" s="42">
        <f>('TE BE'!$R$29+'TE BF'!$R$29+'TE CVA'!$R$29)*(1 - CUSTOS!$M$40)</f>
        <v>495.5037157961051</v>
      </c>
      <c r="R29" s="42">
        <f>('TE BE'!$T$29+'TE BF'!$T$29+'TE CVA'!$T$29)*(1 - CUSTOS!$M$40)</f>
        <v>0</v>
      </c>
      <c r="S29" s="42">
        <f>('TE BE'!$U$29+'TE BF'!$U$29+'TE CVA'!$U$29)*(1 - CUSTOS!$M$40)</f>
        <v>0</v>
      </c>
      <c r="T29" s="42">
        <f>('TE BE'!$V$29+'TE BF'!$V$29+'TE CVA'!$V$29)*(1 - CUSTOS!$M$40)</f>
        <v>0</v>
      </c>
      <c r="U29" s="42">
        <f>('TE BE'!$X$29+'TE BF'!$X$29+'TE CVA'!$X$29)*(1 - CUSTOS!$M$40)</f>
        <v>0</v>
      </c>
      <c r="V29" s="42">
        <f>('TE BE'!$Z$29+'TE BF'!$Z$29+'TE CVA'!$Z$29)*(1 - CUSTOS!$M$40)</f>
        <v>0</v>
      </c>
      <c r="X29" s="42">
        <v>2.0924616706373702</v>
      </c>
      <c r="Y29" s="42">
        <v>0</v>
      </c>
      <c r="Z29" s="42">
        <v>0</v>
      </c>
      <c r="AA29" s="42">
        <v>0</v>
      </c>
      <c r="AB29" s="42">
        <v>0</v>
      </c>
      <c r="AC29" s="42">
        <v>360.93528453458703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</row>
    <row r="30" spans="1:34" ht="11.25" customHeight="1" x14ac:dyDescent="0.25">
      <c r="A30" s="118"/>
      <c r="B30" s="118"/>
      <c r="C30" s="118"/>
      <c r="D30" s="118"/>
      <c r="E30" s="118"/>
      <c r="F30" s="118"/>
      <c r="G30" s="45" t="s">
        <v>85</v>
      </c>
      <c r="H30" s="45" t="s">
        <v>72</v>
      </c>
      <c r="I30" s="45">
        <f>'MERCADO TE'!$U$27</f>
        <v>0</v>
      </c>
      <c r="J30" s="15"/>
      <c r="L30" s="42">
        <f>('TE BE'!$L$30+'TE BF'!$L$30+'TE CVA'!$L$30)*(1 - CUSTOS!$M$40)</f>
        <v>3.0794090658750379</v>
      </c>
      <c r="M30" s="42">
        <f>('TE BE'!$M$30+'TE BF'!$M$30+'TE CVA'!$M$30)*(1 - CUSTOS!$M$40)</f>
        <v>0</v>
      </c>
      <c r="N30" s="42">
        <f>('TE BE'!$N$30+'TE BF'!$N$30+'TE CVA'!$N$30)*(1 - CUSTOS!$M$40)</f>
        <v>0</v>
      </c>
      <c r="O30" s="42">
        <f>('TE BE'!$O$30+'TE BF'!$O$30+'TE CVA'!$O$30)*(1 - CUSTOS!$M$40)</f>
        <v>0.83349042387314087</v>
      </c>
      <c r="P30" s="42">
        <f>('TE BE'!$P$30+'TE BF'!$P$30+'TE CVA'!$P$30)*(1 - CUSTOS!$M$40)</f>
        <v>0</v>
      </c>
      <c r="Q30" s="42">
        <f>('TE BE'!$R$30+'TE BF'!$R$30+'TE CVA'!$R$30)*(1 - CUSTOS!$M$40)</f>
        <v>288.08355569540998</v>
      </c>
      <c r="R30" s="42">
        <f>('TE BE'!$T$30+'TE BF'!$T$30+'TE CVA'!$T$30)*(1 - CUSTOS!$M$40)</f>
        <v>0</v>
      </c>
      <c r="S30" s="42">
        <f>('TE BE'!$U$30+'TE BF'!$U$30+'TE CVA'!$U$30)*(1 - CUSTOS!$M$40)</f>
        <v>0</v>
      </c>
      <c r="T30" s="42">
        <f>('TE BE'!$V$30+'TE BF'!$V$30+'TE CVA'!$V$30)*(1 - CUSTOS!$M$40)</f>
        <v>0</v>
      </c>
      <c r="U30" s="42">
        <f>('TE BE'!$X$30+'TE BF'!$X$30+'TE CVA'!$X$30)*(1 - CUSTOS!$M$40)</f>
        <v>0</v>
      </c>
      <c r="V30" s="42">
        <f>('TE BE'!$Z$30+'TE BF'!$Z$30+'TE CVA'!$Z$30)*(1 - CUSTOS!$M$40)</f>
        <v>0</v>
      </c>
      <c r="X30" s="42">
        <v>2.0924616706373702</v>
      </c>
      <c r="Y30" s="42">
        <v>0</v>
      </c>
      <c r="Z30" s="42">
        <v>0</v>
      </c>
      <c r="AA30" s="42">
        <v>0</v>
      </c>
      <c r="AB30" s="42">
        <v>0</v>
      </c>
      <c r="AC30" s="42">
        <v>209.846095659643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</row>
    <row r="31" spans="1:34" ht="11.25" customHeight="1" x14ac:dyDescent="0.25">
      <c r="A31" s="118"/>
      <c r="B31" s="118"/>
      <c r="C31" s="118"/>
      <c r="D31" s="118"/>
      <c r="E31" s="118"/>
      <c r="F31" s="118"/>
      <c r="G31" s="45" t="s">
        <v>74</v>
      </c>
      <c r="H31" s="45" t="s">
        <v>72</v>
      </c>
      <c r="I31" s="45">
        <f>'MERCADO TE'!$U$28</f>
        <v>0</v>
      </c>
      <c r="J31" s="15"/>
      <c r="L31" s="42">
        <f>('TE BE'!$L$31+'TE BF'!$L$31+'TE CVA'!$L$31)*(1 - CUSTOS!$M$40)</f>
        <v>3.0794090658750379</v>
      </c>
      <c r="M31" s="42">
        <f>('TE BE'!$M$31+'TE BF'!$M$31+'TE CVA'!$M$31)*(1 - CUSTOS!$M$40)</f>
        <v>0</v>
      </c>
      <c r="N31" s="42">
        <f>('TE BE'!$N$31+'TE BF'!$N$31+'TE CVA'!$N$31)*(1 - CUSTOS!$M$40)</f>
        <v>0</v>
      </c>
      <c r="O31" s="42">
        <f>('TE BE'!$O$31+'TE BF'!$O$31+'TE CVA'!$O$31)*(1 - CUSTOS!$M$40)</f>
        <v>0.83349042387314087</v>
      </c>
      <c r="P31" s="42">
        <f>('TE BE'!$P$31+'TE BF'!$P$31+'TE CVA'!$P$31)*(1 - CUSTOS!$M$40)</f>
        <v>0</v>
      </c>
      <c r="Q31" s="42">
        <f>('TE BE'!$R$31+'TE BF'!$R$31+'TE CVA'!$R$31)*(1 - CUSTOS!$M$40)</f>
        <v>288.08355569540998</v>
      </c>
      <c r="R31" s="42">
        <f>('TE BE'!$T$31+'TE BF'!$T$31+'TE CVA'!$T$31)*(1 - CUSTOS!$M$40)</f>
        <v>0</v>
      </c>
      <c r="S31" s="42">
        <f>('TE BE'!$U$31+'TE BF'!$U$31+'TE CVA'!$U$31)*(1 - CUSTOS!$M$40)</f>
        <v>0</v>
      </c>
      <c r="T31" s="42">
        <f>('TE BE'!$V$31+'TE BF'!$V$31+'TE CVA'!$V$31)*(1 - CUSTOS!$M$40)</f>
        <v>0</v>
      </c>
      <c r="U31" s="42">
        <f>('TE BE'!$X$31+'TE BF'!$X$31+'TE CVA'!$X$31)*(1 - CUSTOS!$M$40)</f>
        <v>0</v>
      </c>
      <c r="V31" s="42">
        <f>('TE BE'!$Z$31+'TE BF'!$Z$31+'TE CVA'!$Z$31)*(1 - CUSTOS!$M$40)</f>
        <v>0</v>
      </c>
      <c r="X31" s="42">
        <v>2.0924616706373702</v>
      </c>
      <c r="Y31" s="42">
        <v>0</v>
      </c>
      <c r="Z31" s="42">
        <v>0</v>
      </c>
      <c r="AA31" s="42">
        <v>0</v>
      </c>
      <c r="AB31" s="42">
        <v>0</v>
      </c>
      <c r="AC31" s="42">
        <v>209.846095659643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</row>
    <row r="32" spans="1:34" ht="11.25" customHeight="1" x14ac:dyDescent="0.25">
      <c r="A32" s="118"/>
      <c r="B32" s="44" t="s">
        <v>75</v>
      </c>
      <c r="C32" s="44" t="s">
        <v>44</v>
      </c>
      <c r="D32" s="44" t="s">
        <v>89</v>
      </c>
      <c r="E32" s="44" t="s">
        <v>25</v>
      </c>
      <c r="F32" s="44" t="s">
        <v>25</v>
      </c>
      <c r="G32" s="45" t="s">
        <v>76</v>
      </c>
      <c r="H32" s="45" t="s">
        <v>72</v>
      </c>
      <c r="I32" s="45">
        <f>'MERCADO TE'!$U$29</f>
        <v>0</v>
      </c>
      <c r="J32" s="15"/>
      <c r="L32" s="42">
        <f>('TE BE'!$L$32+'TE BF'!$L$32+'TE CVA'!$L$32)*(1 - CUSTOS!$M$40)</f>
        <v>3.0794090658750379</v>
      </c>
      <c r="M32" s="42">
        <f>('TE BE'!$M$32+'TE BF'!$M$32+'TE CVA'!$M$32)*(1 - CUSTOS!$M$40)</f>
        <v>0</v>
      </c>
      <c r="N32" s="42">
        <f>('TE BE'!$N$32+'TE BF'!$N$32+'TE CVA'!$N$32)*(1 - CUSTOS!$M$40)</f>
        <v>0</v>
      </c>
      <c r="O32" s="42">
        <f>('TE BE'!$O$32+'TE BF'!$O$32+'TE CVA'!$O$32)*(1 - CUSTOS!$M$40)</f>
        <v>0.83349042387314087</v>
      </c>
      <c r="P32" s="42">
        <f>('TE BE'!$P$32+'TE BF'!$P$32+'TE CVA'!$P$32)*(1 - CUSTOS!$M$40)</f>
        <v>0</v>
      </c>
      <c r="Q32" s="42">
        <f>('TE BE'!$R$32+'TE BF'!$R$32+'TE CVA'!$R$32)*(1 - CUSTOS!$M$40)</f>
        <v>305.36856903713453</v>
      </c>
      <c r="R32" s="42">
        <f>('TE BE'!$T$32+'TE BF'!$T$32+'TE CVA'!$T$32)*(1 - CUSTOS!$M$40)</f>
        <v>0</v>
      </c>
      <c r="S32" s="42">
        <f>('TE BE'!$U$32+'TE BF'!$U$32+'TE CVA'!$U$32)*(1 - CUSTOS!$M$40)</f>
        <v>0</v>
      </c>
      <c r="T32" s="42">
        <f>('TE BE'!$V$32+'TE BF'!$V$32+'TE CVA'!$V$32)*(1 - CUSTOS!$M$40)</f>
        <v>0</v>
      </c>
      <c r="U32" s="42">
        <f>('TE BE'!$X$32+'TE BF'!$X$32+'TE CVA'!$X$32)*(1 - CUSTOS!$M$40)</f>
        <v>0</v>
      </c>
      <c r="V32" s="42">
        <f>('TE BE'!$Z$32+'TE BF'!$Z$32+'TE CVA'!$Z$32)*(1 - CUSTOS!$M$40)</f>
        <v>0</v>
      </c>
      <c r="X32" s="42">
        <v>2.0924616706373702</v>
      </c>
      <c r="Y32" s="42">
        <v>0</v>
      </c>
      <c r="Z32" s="42">
        <v>0</v>
      </c>
      <c r="AA32" s="42">
        <v>0</v>
      </c>
      <c r="AB32" s="42">
        <v>0</v>
      </c>
      <c r="AC32" s="42">
        <v>222.43686139922201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</row>
    <row r="33" spans="1:34" ht="11.25" customHeight="1" x14ac:dyDescent="0.25">
      <c r="A33" s="118"/>
      <c r="B33" s="118" t="s">
        <v>86</v>
      </c>
      <c r="C33" s="118" t="s">
        <v>44</v>
      </c>
      <c r="D33" s="44" t="s">
        <v>25</v>
      </c>
      <c r="E33" s="44" t="s">
        <v>25</v>
      </c>
      <c r="F33" s="44" t="s">
        <v>25</v>
      </c>
      <c r="G33" s="45" t="s">
        <v>76</v>
      </c>
      <c r="H33" s="45" t="s">
        <v>72</v>
      </c>
      <c r="I33" s="45">
        <f>'MERCADO TE'!$U$30</f>
        <v>0</v>
      </c>
      <c r="J33" s="15"/>
      <c r="L33" s="42">
        <f>('TE BE'!$L$33+'TE BF'!$L$33+'TE CVA'!$L$33)*(1 - CUSTOS!$M$38)</f>
        <v>3.1463527412201473</v>
      </c>
      <c r="M33" s="42">
        <f>('TE BE'!$M$33+'TE BF'!$M$33+'TE CVA'!$M$33)*(1 - CUSTOS!$M$38)</f>
        <v>0</v>
      </c>
      <c r="N33" s="42">
        <f>('TE BE'!$N$33+'TE BF'!$N$33+'TE CVA'!$N$33)*(1 - CUSTOS!$M$38)</f>
        <v>0</v>
      </c>
      <c r="O33" s="42">
        <f>('TE BE'!$O$33+'TE BF'!$O$33+'TE CVA'!$O$33)*(1 - CUSTOS!$M$38)</f>
        <v>0.8516097809138613</v>
      </c>
      <c r="P33" s="42">
        <f>('TE BE'!$P$33+'TE BF'!$P$33+'TE CVA'!$P$33)*(1 - CUSTOS!$M$38)</f>
        <v>0</v>
      </c>
      <c r="Q33" s="42">
        <f>('TE BE'!$R$33+'TE BF'!$R$33+'TE CVA'!$R$33)*(1 - CUSTOS!$M$38)</f>
        <v>312.00701619011568</v>
      </c>
      <c r="R33" s="42">
        <f>('TE BE'!$T$33+'TE BF'!$T$33+'TE CVA'!$T$33)*(1 - CUSTOS!$M$38)</f>
        <v>0</v>
      </c>
      <c r="S33" s="42">
        <f>('TE BE'!$U$33+'TE BF'!$U$33+'TE CVA'!$U$33)*(1 - CUSTOS!$M$38)</f>
        <v>0</v>
      </c>
      <c r="T33" s="42">
        <f>('TE BE'!$V$33+'TE BF'!$V$33+'TE CVA'!$V$33)*(1 - CUSTOS!$M$38)</f>
        <v>0</v>
      </c>
      <c r="U33" s="42">
        <f>('TE BE'!$X$33+'TE BF'!$X$33+'TE CVA'!$X$33)*(1 - CUSTOS!$M$38)</f>
        <v>0</v>
      </c>
      <c r="V33" s="42">
        <f>('TE BE'!$Z$33+'TE BF'!$Z$33+'TE CVA'!$Z$33)*(1 - CUSTOS!$M$38)</f>
        <v>0</v>
      </c>
      <c r="X33" s="42">
        <v>2.1921027025724902</v>
      </c>
      <c r="Y33" s="42">
        <v>0</v>
      </c>
      <c r="Z33" s="42">
        <v>0</v>
      </c>
      <c r="AA33" s="42">
        <v>0</v>
      </c>
      <c r="AB33" s="42">
        <v>0</v>
      </c>
      <c r="AC33" s="42">
        <v>233.029092894423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</row>
    <row r="34" spans="1:34" ht="11.25" customHeight="1" x14ac:dyDescent="0.25">
      <c r="A34" s="118"/>
      <c r="B34" s="118"/>
      <c r="C34" s="118"/>
      <c r="D34" s="44" t="s">
        <v>88</v>
      </c>
      <c r="E34" s="44" t="s">
        <v>25</v>
      </c>
      <c r="F34" s="44" t="s">
        <v>25</v>
      </c>
      <c r="G34" s="45" t="s">
        <v>76</v>
      </c>
      <c r="H34" s="45" t="s">
        <v>72</v>
      </c>
      <c r="I34" s="45">
        <f>'MERCADO TE'!$U$31</f>
        <v>0</v>
      </c>
      <c r="J34" s="15"/>
      <c r="L34" s="42">
        <f>('TE BE'!$L$34+'TE BF'!$L$34+'TE CVA'!$L$34)*(1 - CUSTOS!$M$39)</f>
        <v>3.1463527412201473</v>
      </c>
      <c r="M34" s="42">
        <f>('TE BE'!$M$34+'TE BF'!$M$34+'TE CVA'!$M$34)*(1 - CUSTOS!$M$39)</f>
        <v>0</v>
      </c>
      <c r="N34" s="42">
        <f>('TE BE'!$N$34+'TE BF'!$N$34+'TE CVA'!$N$34)*(1 - CUSTOS!$M$39)</f>
        <v>0</v>
      </c>
      <c r="O34" s="42">
        <f>('TE BE'!$O$34+'TE BF'!$O$34+'TE CVA'!$O$34)*(1 - CUSTOS!$M$39)</f>
        <v>0.8516097809138613</v>
      </c>
      <c r="P34" s="42">
        <f>('TE BE'!$P$34+'TE BF'!$P$34+'TE CVA'!$P$34)*(1 - CUSTOS!$M$39)</f>
        <v>0</v>
      </c>
      <c r="Q34" s="42">
        <f>('TE BE'!$R$34+'TE BF'!$R$34+'TE CVA'!$R$34)*(1 - CUSTOS!$M$39)</f>
        <v>312.00701619011568</v>
      </c>
      <c r="R34" s="42">
        <f>('TE BE'!$T$34+'TE BF'!$T$34+'TE CVA'!$T$34)*(1 - CUSTOS!$M$39)</f>
        <v>0</v>
      </c>
      <c r="S34" s="42">
        <f>('TE BE'!$U$34+'TE BF'!$U$34+'TE CVA'!$U$34)*(1 - CUSTOS!$M$39)</f>
        <v>0</v>
      </c>
      <c r="T34" s="42">
        <f>('TE BE'!$V$34+'TE BF'!$V$34+'TE CVA'!$V$34)*(1 - CUSTOS!$M$39)</f>
        <v>0</v>
      </c>
      <c r="U34" s="42">
        <f>('TE BE'!$X$34+'TE BF'!$X$34+'TE CVA'!$X$34)*(1 - CUSTOS!$M$39)</f>
        <v>0</v>
      </c>
      <c r="V34" s="42">
        <f>('TE BE'!$Z$34+'TE BF'!$Z$34+'TE CVA'!$Z$34)*(1 - CUSTOS!$M$39)</f>
        <v>0</v>
      </c>
      <c r="X34" s="42">
        <v>2.1921027025724902</v>
      </c>
      <c r="Y34" s="42">
        <v>0</v>
      </c>
      <c r="Z34" s="42">
        <v>0</v>
      </c>
      <c r="AA34" s="42">
        <v>0</v>
      </c>
      <c r="AB34" s="42">
        <v>0</v>
      </c>
      <c r="AC34" s="42">
        <v>233.029092894423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</row>
    <row r="35" spans="1:34" ht="11.25" customHeight="1" x14ac:dyDescent="0.25">
      <c r="A35" s="118"/>
      <c r="B35" s="118"/>
      <c r="C35" s="118"/>
      <c r="D35" s="44" t="s">
        <v>89</v>
      </c>
      <c r="E35" s="44" t="s">
        <v>25</v>
      </c>
      <c r="F35" s="44" t="s">
        <v>25</v>
      </c>
      <c r="G35" s="45" t="s">
        <v>76</v>
      </c>
      <c r="H35" s="45" t="s">
        <v>72</v>
      </c>
      <c r="I35" s="45">
        <f>'MERCADO TE'!$U$32</f>
        <v>0</v>
      </c>
      <c r="J35" s="15"/>
      <c r="L35" s="42">
        <f>('TE BE'!$L$35+'TE BF'!$L$35+'TE CVA'!$L$35)*(1 - CUSTOS!$M$40)</f>
        <v>3.0794090658750379</v>
      </c>
      <c r="M35" s="42">
        <f>('TE BE'!$M$35+'TE BF'!$M$35+'TE CVA'!$M$35)*(1 - CUSTOS!$M$40)</f>
        <v>0</v>
      </c>
      <c r="N35" s="42">
        <f>('TE BE'!$N$35+'TE BF'!$N$35+'TE CVA'!$N$35)*(1 - CUSTOS!$M$40)</f>
        <v>0</v>
      </c>
      <c r="O35" s="42">
        <f>('TE BE'!$O$35+'TE BF'!$O$35+'TE CVA'!$O$35)*(1 - CUSTOS!$M$40)</f>
        <v>0.83349042387314087</v>
      </c>
      <c r="P35" s="42">
        <f>('TE BE'!$P$35+'TE BF'!$P$35+'TE CVA'!$P$35)*(1 - CUSTOS!$M$40)</f>
        <v>0</v>
      </c>
      <c r="Q35" s="42">
        <f>('TE BE'!$R$35+'TE BF'!$R$35+'TE CVA'!$R$35)*(1 - CUSTOS!$M$40)</f>
        <v>305.36856903713453</v>
      </c>
      <c r="R35" s="42">
        <f>('TE BE'!$T$35+'TE BF'!$T$35+'TE CVA'!$T$35)*(1 - CUSTOS!$M$40)</f>
        <v>0</v>
      </c>
      <c r="S35" s="42">
        <f>('TE BE'!$U$35+'TE BF'!$U$35+'TE CVA'!$U$35)*(1 - CUSTOS!$M$40)</f>
        <v>0</v>
      </c>
      <c r="T35" s="42">
        <f>('TE BE'!$V$35+'TE BF'!$V$35+'TE CVA'!$V$35)*(1 - CUSTOS!$M$40)</f>
        <v>0</v>
      </c>
      <c r="U35" s="42">
        <f>('TE BE'!$X$35+'TE BF'!$X$35+'TE CVA'!$X$35)*(1 - CUSTOS!$M$40)</f>
        <v>0</v>
      </c>
      <c r="V35" s="42">
        <f>('TE BE'!$Z$35+'TE BF'!$Z$35+'TE CVA'!$Z$35)*(1 - CUSTOS!$M$40)</f>
        <v>0</v>
      </c>
      <c r="X35" s="42">
        <v>2.0924616706373702</v>
      </c>
      <c r="Y35" s="42">
        <v>0</v>
      </c>
      <c r="Z35" s="42">
        <v>0</v>
      </c>
      <c r="AA35" s="42">
        <v>0</v>
      </c>
      <c r="AB35" s="42">
        <v>0</v>
      </c>
      <c r="AC35" s="42">
        <v>222.43686139922201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</row>
    <row r="36" spans="1:34" ht="11.25" customHeight="1" x14ac:dyDescent="0.25">
      <c r="A36" s="118" t="s">
        <v>37</v>
      </c>
      <c r="B36" s="118" t="s">
        <v>71</v>
      </c>
      <c r="C36" s="118" t="s">
        <v>25</v>
      </c>
      <c r="D36" s="118" t="s">
        <v>25</v>
      </c>
      <c r="E36" s="118" t="s">
        <v>25</v>
      </c>
      <c r="F36" s="118" t="s">
        <v>25</v>
      </c>
      <c r="G36" s="45" t="s">
        <v>73</v>
      </c>
      <c r="H36" s="45" t="s">
        <v>72</v>
      </c>
      <c r="I36" s="45">
        <f>'MERCADO TE'!$U$33</f>
        <v>38.241999999999997</v>
      </c>
      <c r="J36" s="15"/>
      <c r="L36" s="42">
        <f>('TE BE'!$L$36+'TE BF'!$L$36+'TE CVA'!$L$36)*1</f>
        <v>3.3471837672554758</v>
      </c>
      <c r="M36" s="42">
        <f>('TE BE'!$M$36+'TE BF'!$M$36+'TE CVA'!$M$36)*1</f>
        <v>0</v>
      </c>
      <c r="N36" s="42">
        <f>('TE BE'!$N$36+'TE BF'!$N$36+'TE CVA'!$N$36)*1</f>
        <v>0</v>
      </c>
      <c r="O36" s="42">
        <f>('TE BE'!$O$36+'TE BF'!$O$36+'TE CVA'!$O$36)*1</f>
        <v>0.9059678520360227</v>
      </c>
      <c r="P36" s="42">
        <f>('TE BE'!$P$36+'TE BF'!$P$36+'TE CVA'!$P$36)*1</f>
        <v>0</v>
      </c>
      <c r="Q36" s="42">
        <f>('TE BE'!$R$36+'TE BF'!$R$36+'TE CVA'!$R$36)*1</f>
        <v>538.59099543054901</v>
      </c>
      <c r="R36" s="42">
        <f>('TE BE'!$T$36+'TE BF'!$T$36+'TE CVA'!$T$36)*1</f>
        <v>0</v>
      </c>
      <c r="S36" s="42">
        <f>('TE BE'!$U$36+'TE BF'!$U$36+'TE CVA'!$U$36)*1</f>
        <v>0</v>
      </c>
      <c r="T36" s="42">
        <f>('TE BE'!$V$36+'TE BF'!$V$36+'TE CVA'!$V$36)*1</f>
        <v>0</v>
      </c>
      <c r="U36" s="42">
        <f>('TE BE'!$X$36+'TE BF'!$X$36+'TE CVA'!$X$36)*1</f>
        <v>0</v>
      </c>
      <c r="V36" s="42">
        <f>('TE BE'!$Z$36+'TE BF'!$Z$36+'TE CVA'!$Z$36)*1</f>
        <v>0</v>
      </c>
      <c r="X36" s="42">
        <v>2.4910257983778199</v>
      </c>
      <c r="Y36" s="42">
        <v>0</v>
      </c>
      <c r="Z36" s="42">
        <v>0</v>
      </c>
      <c r="AA36" s="42">
        <v>0</v>
      </c>
      <c r="AB36" s="42">
        <v>0</v>
      </c>
      <c r="AC36" s="42">
        <v>429.68486254117403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</row>
    <row r="37" spans="1:34" ht="11.25" customHeight="1" x14ac:dyDescent="0.25">
      <c r="A37" s="118"/>
      <c r="B37" s="118"/>
      <c r="C37" s="118"/>
      <c r="D37" s="118"/>
      <c r="E37" s="118"/>
      <c r="F37" s="118"/>
      <c r="G37" s="45" t="s">
        <v>85</v>
      </c>
      <c r="H37" s="45" t="s">
        <v>72</v>
      </c>
      <c r="I37" s="45">
        <f>'MERCADO TE'!$U$34</f>
        <v>26.390000000000004</v>
      </c>
      <c r="J37" s="15"/>
      <c r="L37" s="42">
        <f>('TE BE'!$L$37+'TE BF'!$L$37+'TE CVA'!$L$37)*1</f>
        <v>3.3471837672554758</v>
      </c>
      <c r="M37" s="42">
        <f>('TE BE'!$M$37+'TE BF'!$M$37+'TE CVA'!$M$37)*1</f>
        <v>0</v>
      </c>
      <c r="N37" s="42">
        <f>('TE BE'!$N$37+'TE BF'!$N$37+'TE CVA'!$N$37)*1</f>
        <v>0</v>
      </c>
      <c r="O37" s="42">
        <f>('TE BE'!$O$37+'TE BF'!$O$37+'TE CVA'!$O$37)*1</f>
        <v>0.9059678520360227</v>
      </c>
      <c r="P37" s="42">
        <f>('TE BE'!$P$37+'TE BF'!$P$37+'TE CVA'!$P$37)*1</f>
        <v>0</v>
      </c>
      <c r="Q37" s="42">
        <f>('TE BE'!$R$37+'TE BF'!$R$37+'TE CVA'!$R$37)*1</f>
        <v>313.13429966892386</v>
      </c>
      <c r="R37" s="42">
        <f>('TE BE'!$T$37+'TE BF'!$T$37+'TE CVA'!$T$37)*1</f>
        <v>0</v>
      </c>
      <c r="S37" s="42">
        <f>('TE BE'!$U$37+'TE BF'!$U$37+'TE CVA'!$U$37)*1</f>
        <v>0</v>
      </c>
      <c r="T37" s="42">
        <f>('TE BE'!$V$37+'TE BF'!$V$37+'TE CVA'!$V$37)*1</f>
        <v>0</v>
      </c>
      <c r="U37" s="42">
        <f>('TE BE'!$X$37+'TE BF'!$X$37+'TE CVA'!$X$37)*1</f>
        <v>0</v>
      </c>
      <c r="V37" s="42">
        <f>('TE BE'!$Z$37+'TE BF'!$Z$37+'TE CVA'!$Z$37)*1</f>
        <v>0</v>
      </c>
      <c r="X37" s="42">
        <v>2.4910257983778199</v>
      </c>
      <c r="Y37" s="42">
        <v>0</v>
      </c>
      <c r="Z37" s="42">
        <v>0</v>
      </c>
      <c r="AA37" s="42">
        <v>0</v>
      </c>
      <c r="AB37" s="42">
        <v>0</v>
      </c>
      <c r="AC37" s="42">
        <v>249.81678054719401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</row>
    <row r="38" spans="1:34" ht="11.25" customHeight="1" x14ac:dyDescent="0.25">
      <c r="A38" s="118"/>
      <c r="B38" s="118"/>
      <c r="C38" s="118"/>
      <c r="D38" s="118"/>
      <c r="E38" s="118"/>
      <c r="F38" s="118"/>
      <c r="G38" s="45" t="s">
        <v>74</v>
      </c>
      <c r="H38" s="45" t="s">
        <v>72</v>
      </c>
      <c r="I38" s="45">
        <f>'MERCADO TE'!$U$35</f>
        <v>1181.6300000000001</v>
      </c>
      <c r="J38" s="15"/>
      <c r="L38" s="42">
        <f>('TE BE'!$L$38+'TE BF'!$L$38+'TE CVA'!$L$38)*1</f>
        <v>3.3471837672554758</v>
      </c>
      <c r="M38" s="42">
        <f>('TE BE'!$M$38+'TE BF'!$M$38+'TE CVA'!$M$38)*1</f>
        <v>0</v>
      </c>
      <c r="N38" s="42">
        <f>('TE BE'!$N$38+'TE BF'!$N$38+'TE CVA'!$N$38)*1</f>
        <v>0</v>
      </c>
      <c r="O38" s="42">
        <f>('TE BE'!$O$38+'TE BF'!$O$38+'TE CVA'!$O$38)*1</f>
        <v>0.9059678520360227</v>
      </c>
      <c r="P38" s="42">
        <f>('TE BE'!$P$38+'TE BF'!$P$38+'TE CVA'!$P$38)*1</f>
        <v>0</v>
      </c>
      <c r="Q38" s="42">
        <f>('TE BE'!$R$38+'TE BF'!$R$38+'TE CVA'!$R$38)*1</f>
        <v>313.13429966892386</v>
      </c>
      <c r="R38" s="42">
        <f>('TE BE'!$T$38+'TE BF'!$T$38+'TE CVA'!$T$38)*1</f>
        <v>0</v>
      </c>
      <c r="S38" s="42">
        <f>('TE BE'!$U$38+'TE BF'!$U$38+'TE CVA'!$U$38)*1</f>
        <v>0</v>
      </c>
      <c r="T38" s="42">
        <f>('TE BE'!$V$38+'TE BF'!$V$38+'TE CVA'!$V$38)*1</f>
        <v>0</v>
      </c>
      <c r="U38" s="42">
        <f>('TE BE'!$X$38+'TE BF'!$X$38+'TE CVA'!$X$38)*1</f>
        <v>0</v>
      </c>
      <c r="V38" s="42">
        <f>('TE BE'!$Z$38+'TE BF'!$Z$38+'TE CVA'!$Z$38)*1</f>
        <v>0</v>
      </c>
      <c r="X38" s="42">
        <v>2.4910257983778199</v>
      </c>
      <c r="Y38" s="42">
        <v>0</v>
      </c>
      <c r="Z38" s="42">
        <v>0</v>
      </c>
      <c r="AA38" s="42">
        <v>0</v>
      </c>
      <c r="AB38" s="42">
        <v>0</v>
      </c>
      <c r="AC38" s="42">
        <v>249.81678054719401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</row>
    <row r="39" spans="1:34" ht="11.25" customHeight="1" x14ac:dyDescent="0.25">
      <c r="A39" s="118"/>
      <c r="B39" s="44" t="s">
        <v>75</v>
      </c>
      <c r="C39" s="44" t="s">
        <v>25</v>
      </c>
      <c r="D39" s="44" t="s">
        <v>25</v>
      </c>
      <c r="E39" s="44" t="s">
        <v>25</v>
      </c>
      <c r="F39" s="44" t="s">
        <v>25</v>
      </c>
      <c r="G39" s="45" t="s">
        <v>76</v>
      </c>
      <c r="H39" s="45" t="s">
        <v>72</v>
      </c>
      <c r="I39" s="45">
        <f>'MERCADO TE'!$U$36</f>
        <v>197307.342</v>
      </c>
      <c r="J39" s="15"/>
      <c r="L39" s="42">
        <f>('TE BE'!$L$39+'TE BF'!$L$39+'TE CVA'!$L$39)*1</f>
        <v>3.3471837672554758</v>
      </c>
      <c r="M39" s="42">
        <f>('TE BE'!$M$39+'TE BF'!$M$39+'TE CVA'!$M$39)*1</f>
        <v>0</v>
      </c>
      <c r="N39" s="42">
        <f>('TE BE'!$N$39+'TE BF'!$N$39+'TE CVA'!$N$39)*1</f>
        <v>0</v>
      </c>
      <c r="O39" s="42">
        <f>('TE BE'!$O$39+'TE BF'!$O$39+'TE CVA'!$O$39)*1</f>
        <v>0.9059678520360227</v>
      </c>
      <c r="P39" s="42">
        <f>('TE BE'!$P$39+'TE BF'!$P$39+'TE CVA'!$P$39)*1</f>
        <v>0</v>
      </c>
      <c r="Q39" s="42">
        <f>('TE BE'!$R$39+'TE BF'!$R$39+'TE CVA'!$R$39)*1</f>
        <v>331.92235764905928</v>
      </c>
      <c r="R39" s="42">
        <f>('TE BE'!$T$39+'TE BF'!$T$39+'TE CVA'!$T$39)*1</f>
        <v>0</v>
      </c>
      <c r="S39" s="42">
        <f>('TE BE'!$U$39+'TE BF'!$U$39+'TE CVA'!$U$39)*1</f>
        <v>0</v>
      </c>
      <c r="T39" s="42">
        <f>('TE BE'!$V$39+'TE BF'!$V$39+'TE CVA'!$V$39)*1</f>
        <v>0</v>
      </c>
      <c r="U39" s="42">
        <f>('TE BE'!$X$39+'TE BF'!$X$39+'TE CVA'!$X$39)*1</f>
        <v>0</v>
      </c>
      <c r="V39" s="42">
        <f>('TE BE'!$Z$39+'TE BF'!$Z$39+'TE CVA'!$Z$39)*1</f>
        <v>0</v>
      </c>
      <c r="X39" s="42">
        <v>2.4910257983778199</v>
      </c>
      <c r="Y39" s="42">
        <v>0</v>
      </c>
      <c r="Z39" s="42">
        <v>0</v>
      </c>
      <c r="AA39" s="42">
        <v>0</v>
      </c>
      <c r="AB39" s="42">
        <v>0</v>
      </c>
      <c r="AC39" s="42">
        <v>264.805787380026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</row>
    <row r="40" spans="1:34" ht="11.25" customHeight="1" x14ac:dyDescent="0.25">
      <c r="A40" s="118"/>
      <c r="B40" s="44" t="s">
        <v>86</v>
      </c>
      <c r="C40" s="44" t="s">
        <v>25</v>
      </c>
      <c r="D40" s="44" t="s">
        <v>25</v>
      </c>
      <c r="E40" s="44" t="s">
        <v>25</v>
      </c>
      <c r="F40" s="44" t="s">
        <v>25</v>
      </c>
      <c r="G40" s="45" t="s">
        <v>76</v>
      </c>
      <c r="H40" s="45" t="s">
        <v>72</v>
      </c>
      <c r="I40" s="45">
        <f>'MERCADO TE'!$U$37</f>
        <v>0</v>
      </c>
      <c r="J40" s="15"/>
      <c r="L40" s="42">
        <f>('TE BE'!$L$40+'TE BF'!$L$40+'TE CVA'!$L$40)*1</f>
        <v>3.3471837672554758</v>
      </c>
      <c r="M40" s="42">
        <f>('TE BE'!$M$40+'TE BF'!$M$40+'TE CVA'!$M$40)*1</f>
        <v>0</v>
      </c>
      <c r="N40" s="42">
        <f>('TE BE'!$N$40+'TE BF'!$N$40+'TE CVA'!$N$40)*1</f>
        <v>0</v>
      </c>
      <c r="O40" s="42">
        <f>('TE BE'!$O$40+'TE BF'!$O$40+'TE CVA'!$O$40)*1</f>
        <v>0.9059678520360227</v>
      </c>
      <c r="P40" s="42">
        <f>('TE BE'!$P$40+'TE BF'!$P$40+'TE CVA'!$P$40)*1</f>
        <v>0</v>
      </c>
      <c r="Q40" s="42">
        <f>('TE BE'!$R$40+'TE BF'!$R$40+'TE CVA'!$R$40)*1</f>
        <v>331.92235764905928</v>
      </c>
      <c r="R40" s="42">
        <f>('TE BE'!$T$40+'TE BF'!$T$40+'TE CVA'!$T$40)*1</f>
        <v>0</v>
      </c>
      <c r="S40" s="42">
        <f>('TE BE'!$U$40+'TE BF'!$U$40+'TE CVA'!$U$40)*1</f>
        <v>0</v>
      </c>
      <c r="T40" s="42">
        <f>('TE BE'!$V$40+'TE BF'!$V$40+'TE CVA'!$V$40)*1</f>
        <v>0</v>
      </c>
      <c r="U40" s="42">
        <f>('TE BE'!$X$40+'TE BF'!$X$40+'TE CVA'!$X$40)*1</f>
        <v>0</v>
      </c>
      <c r="V40" s="42">
        <f>('TE BE'!$Z$40+'TE BF'!$Z$40+'TE CVA'!$Z$40)*1</f>
        <v>0</v>
      </c>
      <c r="X40" s="42">
        <v>2.4910257983778199</v>
      </c>
      <c r="Y40" s="42">
        <v>0</v>
      </c>
      <c r="Z40" s="42">
        <v>0</v>
      </c>
      <c r="AA40" s="42">
        <v>0</v>
      </c>
      <c r="AB40" s="42">
        <v>0</v>
      </c>
      <c r="AC40" s="42">
        <v>264.805787380026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</row>
    <row r="41" spans="1:34" ht="11.25" customHeight="1" x14ac:dyDescent="0.25">
      <c r="A41" s="118" t="s">
        <v>46</v>
      </c>
      <c r="B41" s="118" t="s">
        <v>75</v>
      </c>
      <c r="C41" s="118" t="s">
        <v>47</v>
      </c>
      <c r="D41" s="44" t="s">
        <v>48</v>
      </c>
      <c r="E41" s="44" t="s">
        <v>25</v>
      </c>
      <c r="F41" s="44" t="s">
        <v>25</v>
      </c>
      <c r="G41" s="45" t="s">
        <v>76</v>
      </c>
      <c r="H41" s="45" t="s">
        <v>72</v>
      </c>
      <c r="I41" s="45">
        <f>'MERCADO TE'!$U$38</f>
        <v>42496.07</v>
      </c>
      <c r="J41" s="15"/>
      <c r="L41" s="42">
        <f>('TE BE'!$L$41+'TE BF'!$L$41+'TE CVA'!$L$41)*1</f>
        <v>1.8409510719905118</v>
      </c>
      <c r="M41" s="42">
        <f>('TE BE'!$M$41+'TE BF'!$M$41+'TE CVA'!$M$41)*1</f>
        <v>0</v>
      </c>
      <c r="N41" s="42">
        <f>('TE BE'!$N$41+'TE BF'!$N$41+'TE CVA'!$N$41)*1</f>
        <v>0</v>
      </c>
      <c r="O41" s="42">
        <f>('TE BE'!$O$41+'TE BF'!$O$41+'TE CVA'!$O$41)*1</f>
        <v>0.49828231861981248</v>
      </c>
      <c r="P41" s="42">
        <f>('TE BE'!$P$41+'TE BF'!$P$41+'TE CVA'!$P$41)*1</f>
        <v>0</v>
      </c>
      <c r="Q41" s="42">
        <f>('TE BE'!$R$41+'TE BF'!$R$41+'TE CVA'!$R$41)*1</f>
        <v>182.55729670698264</v>
      </c>
      <c r="R41" s="42">
        <f>('TE BE'!$T$41+'TE BF'!$T$41+'TE CVA'!$T$41)*1</f>
        <v>0</v>
      </c>
      <c r="S41" s="42">
        <f>('TE BE'!$U$41+'TE BF'!$U$41+'TE CVA'!$U$41)*1</f>
        <v>0</v>
      </c>
      <c r="T41" s="42">
        <f>('TE BE'!$V$41+'TE BF'!$V$41+'TE CVA'!$V$41)*1</f>
        <v>0</v>
      </c>
      <c r="U41" s="42">
        <f>('TE BE'!$X$41+'TE BF'!$X$41+'TE CVA'!$X$41)*1</f>
        <v>0</v>
      </c>
      <c r="V41" s="42">
        <f>('TE BE'!$Z$41+'TE BF'!$Z$41+'TE CVA'!$Z$41)*1</f>
        <v>0</v>
      </c>
      <c r="X41" s="42">
        <v>1.3700641891078</v>
      </c>
      <c r="Y41" s="42">
        <v>0</v>
      </c>
      <c r="Z41" s="42">
        <v>0</v>
      </c>
      <c r="AA41" s="42">
        <v>0</v>
      </c>
      <c r="AB41" s="42">
        <v>0</v>
      </c>
      <c r="AC41" s="42">
        <v>145.64318305901401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</row>
    <row r="42" spans="1:34" ht="11.25" customHeight="1" x14ac:dyDescent="0.25">
      <c r="A42" s="118"/>
      <c r="B42" s="118"/>
      <c r="C42" s="118"/>
      <c r="D42" s="45" t="s">
        <v>90</v>
      </c>
      <c r="E42" s="45" t="s">
        <v>25</v>
      </c>
      <c r="F42" s="45" t="s">
        <v>25</v>
      </c>
      <c r="G42" s="45" t="s">
        <v>76</v>
      </c>
      <c r="H42" s="45" t="s">
        <v>72</v>
      </c>
      <c r="I42" s="45">
        <f>'MERCADO TE'!$U$39</f>
        <v>0</v>
      </c>
      <c r="J42" s="15"/>
      <c r="L42" s="42">
        <f>('TE BE'!$L$42+'TE BF'!$L$42+'TE CVA'!$L$42)*1</f>
        <v>2.0083102603532854</v>
      </c>
      <c r="M42" s="42">
        <f>('TE BE'!$M$42+'TE BF'!$M$42+'TE CVA'!$M$42)*1</f>
        <v>0</v>
      </c>
      <c r="N42" s="42">
        <f>('TE BE'!$N$42+'TE BF'!$N$42+'TE CVA'!$N$42)*1</f>
        <v>0</v>
      </c>
      <c r="O42" s="42">
        <f>('TE BE'!$O$42+'TE BF'!$O$42+'TE CVA'!$O$42)*1</f>
        <v>0.54358071122161356</v>
      </c>
      <c r="P42" s="42">
        <f>('TE BE'!$P$42+'TE BF'!$P$42+'TE CVA'!$P$42)*1</f>
        <v>0</v>
      </c>
      <c r="Q42" s="42">
        <f>('TE BE'!$R$42+'TE BF'!$R$42+'TE CVA'!$R$42)*1</f>
        <v>199.15341458943558</v>
      </c>
      <c r="R42" s="42">
        <f>('TE BE'!$T$42+'TE BF'!$T$42+'TE CVA'!$T$42)*1</f>
        <v>0</v>
      </c>
      <c r="S42" s="42">
        <f>('TE BE'!$U$42+'TE BF'!$U$42+'TE CVA'!$U$42)*1</f>
        <v>0</v>
      </c>
      <c r="T42" s="42">
        <f>('TE BE'!$V$42+'TE BF'!$V$42+'TE CVA'!$V$42)*1</f>
        <v>0</v>
      </c>
      <c r="U42" s="42">
        <f>('TE BE'!$X$42+'TE BF'!$X$42+'TE CVA'!$X$42)*1</f>
        <v>0</v>
      </c>
      <c r="V42" s="42">
        <f>('TE BE'!$Z$42+'TE BF'!$Z$42+'TE CVA'!$Z$42)*1</f>
        <v>0</v>
      </c>
      <c r="X42" s="42">
        <v>1.4946154790266899</v>
      </c>
      <c r="Y42" s="42">
        <v>0</v>
      </c>
      <c r="Z42" s="42">
        <v>0</v>
      </c>
      <c r="AA42" s="42">
        <v>0</v>
      </c>
      <c r="AB42" s="42">
        <v>0</v>
      </c>
      <c r="AC42" s="42">
        <v>158.88347242801601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</row>
    <row r="44" spans="1:34" ht="11.25" customHeight="1" x14ac:dyDescent="0.25">
      <c r="L44" s="115" t="s">
        <v>1026</v>
      </c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X44" s="115" t="s">
        <v>1027</v>
      </c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</row>
    <row r="45" spans="1:34" ht="11.25" customHeight="1" x14ac:dyDescent="0.25">
      <c r="L45" s="115" t="s">
        <v>588</v>
      </c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X45" s="115" t="s">
        <v>588</v>
      </c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</row>
    <row r="46" spans="1:34" ht="11.25" customHeight="1" x14ac:dyDescent="0.25">
      <c r="L46" s="115" t="s">
        <v>561</v>
      </c>
      <c r="M46" s="115"/>
      <c r="N46" s="115"/>
      <c r="O46" s="115"/>
      <c r="P46" s="115"/>
      <c r="Q46" s="46" t="s">
        <v>592</v>
      </c>
      <c r="R46" s="115" t="s">
        <v>570</v>
      </c>
      <c r="S46" s="115"/>
      <c r="T46" s="115"/>
      <c r="U46" s="46" t="s">
        <v>580</v>
      </c>
      <c r="V46" s="46" t="s">
        <v>583</v>
      </c>
      <c r="X46" s="115" t="s">
        <v>561</v>
      </c>
      <c r="Y46" s="115"/>
      <c r="Z46" s="115"/>
      <c r="AA46" s="115"/>
      <c r="AB46" s="115"/>
      <c r="AC46" s="46" t="s">
        <v>592</v>
      </c>
      <c r="AD46" s="115" t="s">
        <v>570</v>
      </c>
      <c r="AE46" s="115"/>
      <c r="AF46" s="115"/>
      <c r="AG46" s="46" t="s">
        <v>580</v>
      </c>
      <c r="AH46" s="46" t="s">
        <v>583</v>
      </c>
    </row>
    <row r="47" spans="1:34" ht="11.25" customHeight="1" x14ac:dyDescent="0.25">
      <c r="L47" s="46" t="s">
        <v>563</v>
      </c>
      <c r="M47" s="46" t="s">
        <v>589</v>
      </c>
      <c r="N47" s="46" t="s">
        <v>590</v>
      </c>
      <c r="O47" s="46" t="s">
        <v>649</v>
      </c>
      <c r="P47" s="46" t="s">
        <v>591</v>
      </c>
      <c r="Q47" s="46" t="s">
        <v>593</v>
      </c>
      <c r="R47" s="46" t="s">
        <v>594</v>
      </c>
      <c r="S47" s="46" t="s">
        <v>595</v>
      </c>
      <c r="T47" s="46" t="s">
        <v>596</v>
      </c>
      <c r="U47" s="46" t="s">
        <v>581</v>
      </c>
      <c r="V47" s="46" t="s">
        <v>597</v>
      </c>
      <c r="X47" s="46" t="s">
        <v>563</v>
      </c>
      <c r="Y47" s="46" t="s">
        <v>589</v>
      </c>
      <c r="Z47" s="46" t="s">
        <v>590</v>
      </c>
      <c r="AA47" s="46" t="s">
        <v>649</v>
      </c>
      <c r="AB47" s="46" t="s">
        <v>591</v>
      </c>
      <c r="AC47" s="46" t="s">
        <v>593</v>
      </c>
      <c r="AD47" s="46" t="s">
        <v>594</v>
      </c>
      <c r="AE47" s="46" t="s">
        <v>595</v>
      </c>
      <c r="AF47" s="46" t="s">
        <v>596</v>
      </c>
      <c r="AG47" s="46" t="s">
        <v>581</v>
      </c>
      <c r="AH47" s="46" t="s">
        <v>597</v>
      </c>
    </row>
    <row r="48" spans="1:34" ht="11.25" customHeight="1" x14ac:dyDescent="0.25">
      <c r="A48" s="9" t="s">
        <v>39</v>
      </c>
      <c r="B48" s="9" t="s">
        <v>1028</v>
      </c>
      <c r="C48" s="9" t="s">
        <v>1029</v>
      </c>
      <c r="D48" s="9" t="s">
        <v>1030</v>
      </c>
      <c r="E48" s="9" t="s">
        <v>1031</v>
      </c>
      <c r="F48" s="9" t="s">
        <v>1032</v>
      </c>
      <c r="G48" s="9" t="s">
        <v>1033</v>
      </c>
      <c r="L48" s="42">
        <f>$I$5*$L$5</f>
        <v>57091.38050791125</v>
      </c>
      <c r="M48" s="42">
        <f>$I$5*$M$5</f>
        <v>0</v>
      </c>
      <c r="N48" s="42">
        <f>$I$5*$N$5</f>
        <v>0</v>
      </c>
      <c r="O48" s="42">
        <f>$I$5*$O$5</f>
        <v>15452.678718902207</v>
      </c>
      <c r="P48" s="42">
        <f>$I$5*$P$5</f>
        <v>0</v>
      </c>
      <c r="Q48" s="42">
        <f>$I$5*$Q$5</f>
        <v>9186499.9343829677</v>
      </c>
      <c r="R48" s="42">
        <f>$I$5*$R$5</f>
        <v>0</v>
      </c>
      <c r="S48" s="42">
        <f>$I$5*$S$5</f>
        <v>0</v>
      </c>
      <c r="T48" s="42">
        <f>$I$5*$T$5</f>
        <v>0</v>
      </c>
      <c r="U48" s="42">
        <f>$I$5*$U$5</f>
        <v>0</v>
      </c>
      <c r="V48" s="42">
        <f>$I$5*$V$5</f>
        <v>0</v>
      </c>
      <c r="X48" s="42">
        <f>$I$5*$X$5</f>
        <v>42488.286153114823</v>
      </c>
      <c r="Y48" s="42">
        <f>$I$5*$Y$5</f>
        <v>0</v>
      </c>
      <c r="Z48" s="42">
        <f>$I$5*$Z$5</f>
        <v>0</v>
      </c>
      <c r="AA48" s="42">
        <f>$I$5*$AA$5</f>
        <v>0</v>
      </c>
      <c r="AB48" s="42">
        <f>$I$5*$AB$5</f>
        <v>0</v>
      </c>
      <c r="AC48" s="42">
        <f>$I$5*$AC$5</f>
        <v>7328937.9046977619</v>
      </c>
      <c r="AD48" s="42">
        <f>$I$5*$AD$5</f>
        <v>0</v>
      </c>
      <c r="AE48" s="42">
        <f>$I$5*$AE$5</f>
        <v>0</v>
      </c>
      <c r="AF48" s="42">
        <f>$I$5*$AF$5</f>
        <v>0</v>
      </c>
      <c r="AG48" s="42">
        <f>$I$5*$AG$5</f>
        <v>0</v>
      </c>
      <c r="AH48" s="42">
        <f>$I$5*$AH$5</f>
        <v>0</v>
      </c>
    </row>
    <row r="49" spans="1:34" ht="11.25" customHeight="1" x14ac:dyDescent="0.25">
      <c r="A49" s="9" t="s">
        <v>39</v>
      </c>
      <c r="B49" s="9" t="s">
        <v>1028</v>
      </c>
      <c r="C49" s="9" t="s">
        <v>1029</v>
      </c>
      <c r="D49" s="9" t="s">
        <v>1030</v>
      </c>
      <c r="E49" s="9" t="s">
        <v>1031</v>
      </c>
      <c r="F49" s="9" t="s">
        <v>1032</v>
      </c>
      <c r="G49" s="9" t="s">
        <v>1034</v>
      </c>
      <c r="L49" s="42">
        <f>$I$6*$L$6</f>
        <v>767962.73437157099</v>
      </c>
      <c r="M49" s="42">
        <f>$I$6*$M$6</f>
        <v>0</v>
      </c>
      <c r="N49" s="42">
        <f>$I$6*$N$6</f>
        <v>0</v>
      </c>
      <c r="O49" s="42">
        <f>$I$6*$O$6</f>
        <v>207861.17443226097</v>
      </c>
      <c r="P49" s="42">
        <f>$I$6*$P$6</f>
        <v>0</v>
      </c>
      <c r="Q49" s="42">
        <f>$I$6*$Q$6</f>
        <v>71844120.227809191</v>
      </c>
      <c r="R49" s="42">
        <f>$I$6*$R$6</f>
        <v>0</v>
      </c>
      <c r="S49" s="42">
        <f>$I$6*$S$6</f>
        <v>0</v>
      </c>
      <c r="T49" s="42">
        <f>$I$6*$T$6</f>
        <v>0</v>
      </c>
      <c r="U49" s="42">
        <f>$I$6*$U$6</f>
        <v>0</v>
      </c>
      <c r="V49" s="42">
        <f>$I$6*$V$6</f>
        <v>0</v>
      </c>
      <c r="X49" s="42">
        <f>$I$6*$X$6</f>
        <v>571529.71468935313</v>
      </c>
      <c r="Y49" s="42">
        <f>$I$6*$Y$6</f>
        <v>0</v>
      </c>
      <c r="Z49" s="42">
        <f>$I$6*$Z$6</f>
        <v>0</v>
      </c>
      <c r="AA49" s="42">
        <f>$I$6*$AA$6</f>
        <v>0</v>
      </c>
      <c r="AB49" s="42">
        <f>$I$6*$AB$6</f>
        <v>0</v>
      </c>
      <c r="AC49" s="42">
        <f>$I$6*$AC$6</f>
        <v>57316834.455800809</v>
      </c>
      <c r="AD49" s="42">
        <f>$I$6*$AD$6</f>
        <v>0</v>
      </c>
      <c r="AE49" s="42">
        <f>$I$6*$AE$6</f>
        <v>0</v>
      </c>
      <c r="AF49" s="42">
        <f>$I$6*$AF$6</f>
        <v>0</v>
      </c>
      <c r="AG49" s="42">
        <f>$I$6*$AG$6</f>
        <v>0</v>
      </c>
      <c r="AH49" s="42">
        <f>$I$6*$AH$6</f>
        <v>0</v>
      </c>
    </row>
    <row r="50" spans="1:34" ht="11.25" customHeight="1" x14ac:dyDescent="0.25">
      <c r="A50" s="9" t="s">
        <v>39</v>
      </c>
      <c r="B50" s="9" t="s">
        <v>1035</v>
      </c>
      <c r="C50" s="9" t="s">
        <v>1036</v>
      </c>
      <c r="D50" s="9" t="s">
        <v>1037</v>
      </c>
      <c r="E50" s="9" t="s">
        <v>1038</v>
      </c>
      <c r="F50" s="9" t="s">
        <v>1039</v>
      </c>
      <c r="G50" s="9" t="s">
        <v>1040</v>
      </c>
      <c r="L50" s="42">
        <f>$I$7*$L$7</f>
        <v>0</v>
      </c>
      <c r="M50" s="42">
        <f>$I$7*$M$7</f>
        <v>0</v>
      </c>
      <c r="N50" s="42">
        <f>$I$7*$N$7</f>
        <v>0</v>
      </c>
      <c r="O50" s="42">
        <f>$I$7*$O$7</f>
        <v>0</v>
      </c>
      <c r="P50" s="42">
        <f>$I$7*$P$7</f>
        <v>0</v>
      </c>
      <c r="Q50" s="42">
        <f>$I$7*$Q$7</f>
        <v>0</v>
      </c>
      <c r="R50" s="42">
        <f>$I$7*$R$7</f>
        <v>0</v>
      </c>
      <c r="S50" s="42">
        <f>$I$7*$S$7</f>
        <v>0</v>
      </c>
      <c r="T50" s="42">
        <f>$I$7*$T$7</f>
        <v>0</v>
      </c>
      <c r="U50" s="42">
        <f>$I$7*$U$7</f>
        <v>0</v>
      </c>
      <c r="V50" s="42">
        <f>$I$7*$V$7</f>
        <v>0</v>
      </c>
      <c r="X50" s="42">
        <f>$I$7*$X$7</f>
        <v>0</v>
      </c>
      <c r="Y50" s="42">
        <f>$I$7*$Y$7</f>
        <v>0</v>
      </c>
      <c r="Z50" s="42">
        <f>$I$7*$Z$7</f>
        <v>0</v>
      </c>
      <c r="AA50" s="42">
        <f>$I$7*$AA$7</f>
        <v>0</v>
      </c>
      <c r="AB50" s="42">
        <f>$I$7*$AB$7</f>
        <v>0</v>
      </c>
      <c r="AC50" s="42">
        <f>$I$7*$AC$7</f>
        <v>0</v>
      </c>
      <c r="AD50" s="42">
        <f>$I$7*$AD$7</f>
        <v>0</v>
      </c>
      <c r="AE50" s="42">
        <f>$I$7*$AE$7</f>
        <v>0</v>
      </c>
      <c r="AF50" s="42">
        <f>$I$7*$AF$7</f>
        <v>0</v>
      </c>
      <c r="AG50" s="42">
        <f>$I$7*$AG$7</f>
        <v>0</v>
      </c>
      <c r="AH50" s="42">
        <f>$I$7*$AH$7</f>
        <v>0</v>
      </c>
    </row>
    <row r="51" spans="1:34" ht="11.25" customHeight="1" x14ac:dyDescent="0.25">
      <c r="A51" s="9" t="s">
        <v>22</v>
      </c>
      <c r="B51" s="9" t="s">
        <v>1041</v>
      </c>
      <c r="C51" s="9" t="s">
        <v>1042</v>
      </c>
      <c r="D51" s="9" t="s">
        <v>1043</v>
      </c>
      <c r="E51" s="9" t="s">
        <v>1044</v>
      </c>
      <c r="F51" s="9" t="s">
        <v>1045</v>
      </c>
      <c r="G51" s="9" t="s">
        <v>1046</v>
      </c>
      <c r="L51" s="42">
        <f>$I$8*$L$8</f>
        <v>225.02112312128389</v>
      </c>
      <c r="M51" s="42">
        <f>$I$8*$M$8</f>
        <v>0</v>
      </c>
      <c r="N51" s="42">
        <f>$I$8*$N$8</f>
        <v>0</v>
      </c>
      <c r="O51" s="42">
        <f>$I$8*$O$8</f>
        <v>60.905500788825705</v>
      </c>
      <c r="P51" s="42">
        <f>$I$8*$P$8</f>
        <v>0</v>
      </c>
      <c r="Q51" s="42">
        <f>$I$8*$Q$8</f>
        <v>36207.856849809519</v>
      </c>
      <c r="R51" s="42">
        <f>$I$8*$R$8</f>
        <v>0</v>
      </c>
      <c r="S51" s="42">
        <f>$I$8*$S$8</f>
        <v>0</v>
      </c>
      <c r="T51" s="42">
        <f>$I$8*$T$8</f>
        <v>0</v>
      </c>
      <c r="U51" s="42">
        <f>$I$8*$U$8</f>
        <v>0</v>
      </c>
      <c r="V51" s="42">
        <f>$I$8*$V$8</f>
        <v>0</v>
      </c>
      <c r="X51" s="42">
        <f>$I$8*$X$8</f>
        <v>167.46419134754572</v>
      </c>
      <c r="Y51" s="42">
        <f>$I$8*$Y$8</f>
        <v>0</v>
      </c>
      <c r="Z51" s="42">
        <f>$I$8*$Z$8</f>
        <v>0</v>
      </c>
      <c r="AA51" s="42">
        <f>$I$8*$AA$8</f>
        <v>0</v>
      </c>
      <c r="AB51" s="42">
        <f>$I$8*$AB$8</f>
        <v>0</v>
      </c>
      <c r="AC51" s="42">
        <f>$I$8*$AC$8</f>
        <v>28886.42425405551</v>
      </c>
      <c r="AD51" s="42">
        <f>$I$8*$AD$8</f>
        <v>0</v>
      </c>
      <c r="AE51" s="42">
        <f>$I$8*$AE$8</f>
        <v>0</v>
      </c>
      <c r="AF51" s="42">
        <f>$I$8*$AF$8</f>
        <v>0</v>
      </c>
      <c r="AG51" s="42">
        <f>$I$8*$AG$8</f>
        <v>0</v>
      </c>
      <c r="AH51" s="42">
        <f>$I$8*$AH$8</f>
        <v>0</v>
      </c>
    </row>
    <row r="52" spans="1:34" ht="11.25" customHeight="1" x14ac:dyDescent="0.25">
      <c r="A52" s="9" t="s">
        <v>22</v>
      </c>
      <c r="B52" s="9" t="s">
        <v>1041</v>
      </c>
      <c r="C52" s="9" t="s">
        <v>1042</v>
      </c>
      <c r="D52" s="9" t="s">
        <v>1043</v>
      </c>
      <c r="E52" s="9" t="s">
        <v>1044</v>
      </c>
      <c r="F52" s="9" t="s">
        <v>1045</v>
      </c>
      <c r="G52" s="9" t="s">
        <v>1047</v>
      </c>
      <c r="L52" s="42">
        <f>$I$9*$L$9</f>
        <v>140.78589643453256</v>
      </c>
      <c r="M52" s="42">
        <f>$I$9*$M$9</f>
        <v>0</v>
      </c>
      <c r="N52" s="42">
        <f>$I$9*$N$9</f>
        <v>0</v>
      </c>
      <c r="O52" s="42">
        <f>$I$9*$O$9</f>
        <v>38.105913824487153</v>
      </c>
      <c r="P52" s="42">
        <f>$I$9*$P$9</f>
        <v>0</v>
      </c>
      <c r="Q52" s="42">
        <f>$I$9*$Q$9</f>
        <v>13170.741778374606</v>
      </c>
      <c r="R52" s="42">
        <f>$I$9*$R$9</f>
        <v>0</v>
      </c>
      <c r="S52" s="42">
        <f>$I$9*$S$9</f>
        <v>0</v>
      </c>
      <c r="T52" s="42">
        <f>$I$9*$T$9</f>
        <v>0</v>
      </c>
      <c r="U52" s="42">
        <f>$I$9*$U$9</f>
        <v>0</v>
      </c>
      <c r="V52" s="42">
        <f>$I$9*$V$9</f>
        <v>0</v>
      </c>
      <c r="X52" s="42">
        <f>$I$9*$X$9</f>
        <v>104.77503610556948</v>
      </c>
      <c r="Y52" s="42">
        <f>$I$9*$Y$9</f>
        <v>0</v>
      </c>
      <c r="Z52" s="42">
        <f>$I$9*$Z$9</f>
        <v>0</v>
      </c>
      <c r="AA52" s="42">
        <f>$I$9*$AA$9</f>
        <v>0</v>
      </c>
      <c r="AB52" s="42">
        <f>$I$9*$AB$9</f>
        <v>0</v>
      </c>
      <c r="AC52" s="42">
        <f>$I$9*$AC$9</f>
        <v>10507.543606595527</v>
      </c>
      <c r="AD52" s="42">
        <f>$I$9*$AD$9</f>
        <v>0</v>
      </c>
      <c r="AE52" s="42">
        <f>$I$9*$AE$9</f>
        <v>0</v>
      </c>
      <c r="AF52" s="42">
        <f>$I$9*$AF$9</f>
        <v>0</v>
      </c>
      <c r="AG52" s="42">
        <f>$I$9*$AG$9</f>
        <v>0</v>
      </c>
      <c r="AH52" s="42">
        <f>$I$9*$AH$9</f>
        <v>0</v>
      </c>
    </row>
    <row r="53" spans="1:34" ht="11.25" customHeight="1" x14ac:dyDescent="0.25">
      <c r="A53" s="9" t="s">
        <v>22</v>
      </c>
      <c r="B53" s="9" t="s">
        <v>1041</v>
      </c>
      <c r="C53" s="9" t="s">
        <v>1042</v>
      </c>
      <c r="D53" s="9" t="s">
        <v>1043</v>
      </c>
      <c r="E53" s="9" t="s">
        <v>1044</v>
      </c>
      <c r="F53" s="9" t="s">
        <v>1045</v>
      </c>
      <c r="G53" s="9" t="s">
        <v>1048</v>
      </c>
      <c r="L53" s="42">
        <f>$I$10*$L$10</f>
        <v>1953.2792120358381</v>
      </c>
      <c r="M53" s="42">
        <f>$I$10*$M$10</f>
        <v>0</v>
      </c>
      <c r="N53" s="42">
        <f>$I$10*$N$10</f>
        <v>0</v>
      </c>
      <c r="O53" s="42">
        <f>$I$10*$O$10</f>
        <v>528.68569376628932</v>
      </c>
      <c r="P53" s="42">
        <f>$I$10*$P$10</f>
        <v>0</v>
      </c>
      <c r="Q53" s="42">
        <f>$I$10*$Q$10</f>
        <v>182732.33878049752</v>
      </c>
      <c r="R53" s="42">
        <f>$I$10*$R$10</f>
        <v>0</v>
      </c>
      <c r="S53" s="42">
        <f>$I$10*$S$10</f>
        <v>0</v>
      </c>
      <c r="T53" s="42">
        <f>$I$10*$T$10</f>
        <v>0</v>
      </c>
      <c r="U53" s="42">
        <f>$I$10*$U$10</f>
        <v>0</v>
      </c>
      <c r="V53" s="42">
        <f>$I$10*$V$10</f>
        <v>0</v>
      </c>
      <c r="X53" s="42">
        <f>$I$10*$X$10</f>
        <v>1453.6605238755621</v>
      </c>
      <c r="Y53" s="42">
        <f>$I$10*$Y$10</f>
        <v>0</v>
      </c>
      <c r="Z53" s="42">
        <f>$I$10*$Z$10</f>
        <v>0</v>
      </c>
      <c r="AA53" s="42">
        <f>$I$10*$AA$10</f>
        <v>0</v>
      </c>
      <c r="AB53" s="42">
        <f>$I$10*$AB$10</f>
        <v>0</v>
      </c>
      <c r="AC53" s="42">
        <f>$I$10*$AC$10</f>
        <v>145782.83063933998</v>
      </c>
      <c r="AD53" s="42">
        <f>$I$10*$AD$10</f>
        <v>0</v>
      </c>
      <c r="AE53" s="42">
        <f>$I$10*$AE$10</f>
        <v>0</v>
      </c>
      <c r="AF53" s="42">
        <f>$I$10*$AF$10</f>
        <v>0</v>
      </c>
      <c r="AG53" s="42">
        <f>$I$10*$AG$10</f>
        <v>0</v>
      </c>
      <c r="AH53" s="42">
        <f>$I$10*$AH$10</f>
        <v>0</v>
      </c>
    </row>
    <row r="54" spans="1:34" ht="11.25" customHeight="1" x14ac:dyDescent="0.25">
      <c r="A54" s="9" t="s">
        <v>22</v>
      </c>
      <c r="B54" s="9" t="s">
        <v>1049</v>
      </c>
      <c r="C54" s="9" t="s">
        <v>1050</v>
      </c>
      <c r="D54" s="9" t="s">
        <v>1051</v>
      </c>
      <c r="E54" s="9" t="s">
        <v>1052</v>
      </c>
      <c r="F54" s="9" t="s">
        <v>1053</v>
      </c>
      <c r="G54" s="9" t="s">
        <v>1054</v>
      </c>
      <c r="L54" s="42">
        <f>$I$11*$L$11</f>
        <v>1763371.529435473</v>
      </c>
      <c r="M54" s="42">
        <f>$I$11*$M$11</f>
        <v>0</v>
      </c>
      <c r="N54" s="42">
        <f>$I$11*$N$11</f>
        <v>0</v>
      </c>
      <c r="O54" s="42">
        <f>$I$11*$O$11</f>
        <v>477284.19708908</v>
      </c>
      <c r="P54" s="42">
        <f>$I$11*$P$11</f>
        <v>0</v>
      </c>
      <c r="Q54" s="42">
        <f>$I$11*$Q$11</f>
        <v>174864147.34299713</v>
      </c>
      <c r="R54" s="42">
        <f>$I$11*$R$11</f>
        <v>0</v>
      </c>
      <c r="S54" s="42">
        <f>$I$11*$S$11</f>
        <v>0</v>
      </c>
      <c r="T54" s="42">
        <f>$I$11*$T$11</f>
        <v>0</v>
      </c>
      <c r="U54" s="42">
        <f>$I$11*$U$11</f>
        <v>0</v>
      </c>
      <c r="V54" s="42">
        <f>$I$11*$V$11</f>
        <v>0</v>
      </c>
      <c r="X54" s="42">
        <f>$I$11*$X$11</f>
        <v>1312328.2966774285</v>
      </c>
      <c r="Y54" s="42">
        <f>$I$11*$Y$11</f>
        <v>0</v>
      </c>
      <c r="Z54" s="42">
        <f>$I$11*$Z$11</f>
        <v>0</v>
      </c>
      <c r="AA54" s="42">
        <f>$I$11*$AA$11</f>
        <v>0</v>
      </c>
      <c r="AB54" s="42">
        <f>$I$11*$AB$11</f>
        <v>0</v>
      </c>
      <c r="AC54" s="42">
        <f>$I$11*$AC$11</f>
        <v>139505631.82808387</v>
      </c>
      <c r="AD54" s="42">
        <f>$I$11*$AD$11</f>
        <v>0</v>
      </c>
      <c r="AE54" s="42">
        <f>$I$11*$AE$11</f>
        <v>0</v>
      </c>
      <c r="AF54" s="42">
        <f>$I$11*$AF$11</f>
        <v>0</v>
      </c>
      <c r="AG54" s="42">
        <f>$I$11*$AG$11</f>
        <v>0</v>
      </c>
      <c r="AH54" s="42">
        <f>$I$11*$AH$11</f>
        <v>0</v>
      </c>
    </row>
    <row r="55" spans="1:34" ht="11.25" customHeight="1" x14ac:dyDescent="0.25">
      <c r="A55" s="9" t="s">
        <v>22</v>
      </c>
      <c r="B55" s="9" t="s">
        <v>1049</v>
      </c>
      <c r="C55" s="9" t="s">
        <v>1050</v>
      </c>
      <c r="D55" s="9" t="s">
        <v>1055</v>
      </c>
      <c r="E55" s="9" t="s">
        <v>1056</v>
      </c>
      <c r="F55" s="9" t="s">
        <v>1057</v>
      </c>
      <c r="G55" s="9" t="s">
        <v>1058</v>
      </c>
      <c r="L55" s="42">
        <f>$I$12*$L$12</f>
        <v>12184.998918587815</v>
      </c>
      <c r="M55" s="42">
        <f>$I$12*$M$12</f>
        <v>0</v>
      </c>
      <c r="N55" s="42">
        <f>$I$12*$N$12</f>
        <v>0</v>
      </c>
      <c r="O55" s="42">
        <f>$I$12*$O$12</f>
        <v>3298.0613151054654</v>
      </c>
      <c r="P55" s="42">
        <f>$I$12*$P$12</f>
        <v>0</v>
      </c>
      <c r="Q55" s="42">
        <f>$I$12*$Q$12</f>
        <v>1208321.3382470398</v>
      </c>
      <c r="R55" s="42">
        <f>$I$12*$R$12</f>
        <v>0</v>
      </c>
      <c r="S55" s="42">
        <f>$I$12*$S$12</f>
        <v>0</v>
      </c>
      <c r="T55" s="42">
        <f>$I$12*$T$12</f>
        <v>0</v>
      </c>
      <c r="U55" s="42">
        <f>$I$12*$U$12</f>
        <v>0</v>
      </c>
      <c r="V55" s="42">
        <f>$I$12*$V$12</f>
        <v>0</v>
      </c>
      <c r="X55" s="42">
        <f>$I$12*$X$12</f>
        <v>9068.2641796796906</v>
      </c>
      <c r="Y55" s="42">
        <f>$I$12*$Y$12</f>
        <v>0</v>
      </c>
      <c r="Z55" s="42">
        <f>$I$12*$Z$12</f>
        <v>0</v>
      </c>
      <c r="AA55" s="42">
        <f>$I$12*$AA$12</f>
        <v>0</v>
      </c>
      <c r="AB55" s="42">
        <f>$I$12*$AB$12</f>
        <v>0</v>
      </c>
      <c r="AC55" s="42">
        <f>$I$12*$AC$12</f>
        <v>963991.95778459182</v>
      </c>
      <c r="AD55" s="42">
        <f>$I$12*$AD$12</f>
        <v>0</v>
      </c>
      <c r="AE55" s="42">
        <f>$I$12*$AE$12</f>
        <v>0</v>
      </c>
      <c r="AF55" s="42">
        <f>$I$12*$AF$12</f>
        <v>0</v>
      </c>
      <c r="AG55" s="42">
        <f>$I$12*$AG$12</f>
        <v>0</v>
      </c>
      <c r="AH55" s="42">
        <f>$I$12*$AH$12</f>
        <v>0</v>
      </c>
    </row>
    <row r="56" spans="1:34" ht="11.25" customHeight="1" x14ac:dyDescent="0.25">
      <c r="A56" s="9" t="s">
        <v>22</v>
      </c>
      <c r="B56" s="9" t="s">
        <v>1049</v>
      </c>
      <c r="C56" s="9" t="s">
        <v>1050</v>
      </c>
      <c r="D56" s="9" t="s">
        <v>1059</v>
      </c>
      <c r="E56" s="9" t="s">
        <v>1060</v>
      </c>
      <c r="F56" s="9" t="s">
        <v>1061</v>
      </c>
      <c r="G56" s="9" t="s">
        <v>1062</v>
      </c>
      <c r="L56" s="42">
        <f>$I$13*$L$13</f>
        <v>43333.919005651718</v>
      </c>
      <c r="M56" s="42">
        <f>$I$13*$M$13</f>
        <v>0</v>
      </c>
      <c r="N56" s="42">
        <f>$I$13*$N$13</f>
        <v>0</v>
      </c>
      <c r="O56" s="42">
        <f>$I$13*$O$13</f>
        <v>11729.005710984255</v>
      </c>
      <c r="P56" s="42">
        <f>$I$13*$P$13</f>
        <v>0</v>
      </c>
      <c r="Q56" s="42">
        <f>$I$13*$Q$13</f>
        <v>4297193.5700808708</v>
      </c>
      <c r="R56" s="42">
        <f>$I$13*$R$13</f>
        <v>0</v>
      </c>
      <c r="S56" s="42">
        <f>$I$13*$S$13</f>
        <v>0</v>
      </c>
      <c r="T56" s="42">
        <f>$I$13*$T$13</f>
        <v>0</v>
      </c>
      <c r="U56" s="42">
        <f>$I$13*$U$13</f>
        <v>0</v>
      </c>
      <c r="V56" s="42">
        <f>$I$13*$V$13</f>
        <v>0</v>
      </c>
      <c r="X56" s="42">
        <f>$I$13*$X$13</f>
        <v>32249.771059449027</v>
      </c>
      <c r="Y56" s="42">
        <f>$I$13*$Y$13</f>
        <v>0</v>
      </c>
      <c r="Z56" s="42">
        <f>$I$13*$Z$13</f>
        <v>0</v>
      </c>
      <c r="AA56" s="42">
        <f>$I$13*$AA$13</f>
        <v>0</v>
      </c>
      <c r="AB56" s="42">
        <f>$I$13*$AB$13</f>
        <v>0</v>
      </c>
      <c r="AC56" s="42">
        <f>$I$13*$AC$13</f>
        <v>3428276.8262714464</v>
      </c>
      <c r="AD56" s="42">
        <f>$I$13*$AD$13</f>
        <v>0</v>
      </c>
      <c r="AE56" s="42">
        <f>$I$13*$AE$13</f>
        <v>0</v>
      </c>
      <c r="AF56" s="42">
        <f>$I$13*$AF$13</f>
        <v>0</v>
      </c>
      <c r="AG56" s="42">
        <f>$I$13*$AG$13</f>
        <v>0</v>
      </c>
      <c r="AH56" s="42">
        <f>$I$13*$AH$13</f>
        <v>0</v>
      </c>
    </row>
    <row r="57" spans="1:34" ht="11.25" customHeight="1" x14ac:dyDescent="0.25">
      <c r="A57" s="9" t="s">
        <v>22</v>
      </c>
      <c r="B57" s="9" t="s">
        <v>1049</v>
      </c>
      <c r="C57" s="9" t="s">
        <v>1050</v>
      </c>
      <c r="D57" s="9" t="s">
        <v>1063</v>
      </c>
      <c r="E57" s="9" t="s">
        <v>1064</v>
      </c>
      <c r="F57" s="9" t="s">
        <v>1065</v>
      </c>
      <c r="G57" s="9" t="s">
        <v>1066</v>
      </c>
      <c r="L57" s="42">
        <f>$I$14*$L$14</f>
        <v>76954.672549293304</v>
      </c>
      <c r="M57" s="42">
        <f>$I$14*$M$14</f>
        <v>0</v>
      </c>
      <c r="N57" s="42">
        <f>$I$14*$N$14</f>
        <v>0</v>
      </c>
      <c r="O57" s="42">
        <f>$I$14*$O$14</f>
        <v>20828.990650484782</v>
      </c>
      <c r="P57" s="42">
        <f>$I$14*$P$14</f>
        <v>0</v>
      </c>
      <c r="Q57" s="42">
        <f>$I$14*$Q$14</f>
        <v>7631184.3390710354</v>
      </c>
      <c r="R57" s="42">
        <f>$I$14*$R$14</f>
        <v>0</v>
      </c>
      <c r="S57" s="42">
        <f>$I$14*$S$14</f>
        <v>0</v>
      </c>
      <c r="T57" s="42">
        <f>$I$14*$T$14</f>
        <v>0</v>
      </c>
      <c r="U57" s="42">
        <f>$I$14*$U$14</f>
        <v>0</v>
      </c>
      <c r="V57" s="42">
        <f>$I$14*$V$14</f>
        <v>0</v>
      </c>
      <c r="X57" s="42">
        <f>$I$14*$X$14</f>
        <v>57270.854531894583</v>
      </c>
      <c r="Y57" s="42">
        <f>$I$14*$Y$14</f>
        <v>0</v>
      </c>
      <c r="Z57" s="42">
        <f>$I$14*$Z$14</f>
        <v>0</v>
      </c>
      <c r="AA57" s="42">
        <f>$I$14*$AA$14</f>
        <v>0</v>
      </c>
      <c r="AB57" s="42">
        <f>$I$14*$AB$14</f>
        <v>0</v>
      </c>
      <c r="AC57" s="42">
        <f>$I$14*$AC$14</f>
        <v>6088115.883071647</v>
      </c>
      <c r="AD57" s="42">
        <f>$I$14*$AD$14</f>
        <v>0</v>
      </c>
      <c r="AE57" s="42">
        <f>$I$14*$AE$14</f>
        <v>0</v>
      </c>
      <c r="AF57" s="42">
        <f>$I$14*$AF$14</f>
        <v>0</v>
      </c>
      <c r="AG57" s="42">
        <f>$I$14*$AG$14</f>
        <v>0</v>
      </c>
      <c r="AH57" s="42">
        <f>$I$14*$AH$14</f>
        <v>0</v>
      </c>
    </row>
    <row r="58" spans="1:34" ht="11.25" customHeight="1" x14ac:dyDescent="0.25">
      <c r="A58" s="9" t="s">
        <v>22</v>
      </c>
      <c r="B58" s="9" t="s">
        <v>1049</v>
      </c>
      <c r="C58" s="9" t="s">
        <v>1050</v>
      </c>
      <c r="D58" s="9" t="s">
        <v>1067</v>
      </c>
      <c r="E58" s="9" t="s">
        <v>1068</v>
      </c>
      <c r="F58" s="9" t="s">
        <v>1069</v>
      </c>
      <c r="G58" s="9" t="s">
        <v>1070</v>
      </c>
      <c r="L58" s="42">
        <f>$I$15*$L$15</f>
        <v>94040.011597557168</v>
      </c>
      <c r="M58" s="42">
        <f>$I$15*$M$15</f>
        <v>0</v>
      </c>
      <c r="N58" s="42">
        <f>$I$15*$N$15</f>
        <v>0</v>
      </c>
      <c r="O58" s="42">
        <f>$I$15*$O$15</f>
        <v>25453.405978465002</v>
      </c>
      <c r="P58" s="42">
        <f>$I$15*$P$15</f>
        <v>0</v>
      </c>
      <c r="Q58" s="42">
        <f>$I$15*$Q$15</f>
        <v>9325446.2656527422</v>
      </c>
      <c r="R58" s="42">
        <f>$I$15*$R$15</f>
        <v>0</v>
      </c>
      <c r="S58" s="42">
        <f>$I$15*$S$15</f>
        <v>0</v>
      </c>
      <c r="T58" s="42">
        <f>$I$15*$T$15</f>
        <v>0</v>
      </c>
      <c r="U58" s="42">
        <f>$I$15*$U$15</f>
        <v>0</v>
      </c>
      <c r="V58" s="42">
        <f>$I$15*$V$15</f>
        <v>0</v>
      </c>
      <c r="X58" s="42">
        <f>$I$15*$X$15</f>
        <v>69986.027436235643</v>
      </c>
      <c r="Y58" s="42">
        <f>$I$15*$Y$15</f>
        <v>0</v>
      </c>
      <c r="Z58" s="42">
        <f>$I$15*$Z$15</f>
        <v>0</v>
      </c>
      <c r="AA58" s="42">
        <f>$I$15*$AA$15</f>
        <v>0</v>
      </c>
      <c r="AB58" s="42">
        <f>$I$15*$AB$15</f>
        <v>0</v>
      </c>
      <c r="AC58" s="42">
        <f>$I$15*$AC$15</f>
        <v>7439788.5051697008</v>
      </c>
      <c r="AD58" s="42">
        <f>$I$15*$AD$15</f>
        <v>0</v>
      </c>
      <c r="AE58" s="42">
        <f>$I$15*$AE$15</f>
        <v>0</v>
      </c>
      <c r="AF58" s="42">
        <f>$I$15*$AF$15</f>
        <v>0</v>
      </c>
      <c r="AG58" s="42">
        <f>$I$15*$AG$15</f>
        <v>0</v>
      </c>
      <c r="AH58" s="42">
        <f>$I$15*$AH$15</f>
        <v>0</v>
      </c>
    </row>
    <row r="59" spans="1:34" ht="11.25" customHeight="1" x14ac:dyDescent="0.25">
      <c r="A59" s="9" t="s">
        <v>22</v>
      </c>
      <c r="B59" s="9" t="s">
        <v>1071</v>
      </c>
      <c r="C59" s="9" t="s">
        <v>1072</v>
      </c>
      <c r="D59" s="9" t="s">
        <v>1073</v>
      </c>
      <c r="E59" s="9" t="s">
        <v>1074</v>
      </c>
      <c r="F59" s="9" t="s">
        <v>1075</v>
      </c>
      <c r="G59" s="9" t="s">
        <v>1076</v>
      </c>
      <c r="L59" s="42">
        <f>$I$16*$L$16</f>
        <v>0</v>
      </c>
      <c r="M59" s="42">
        <f>$I$16*$M$16</f>
        <v>0</v>
      </c>
      <c r="N59" s="42">
        <f>$I$16*$N$16</f>
        <v>0</v>
      </c>
      <c r="O59" s="42">
        <f>$I$16*$O$16</f>
        <v>0</v>
      </c>
      <c r="P59" s="42">
        <f>$I$16*$P$16</f>
        <v>0</v>
      </c>
      <c r="Q59" s="42">
        <f>$I$16*$Q$16</f>
        <v>0</v>
      </c>
      <c r="R59" s="42">
        <f>$I$16*$R$16</f>
        <v>0</v>
      </c>
      <c r="S59" s="42">
        <f>$I$16*$S$16</f>
        <v>0</v>
      </c>
      <c r="T59" s="42">
        <f>$I$16*$T$16</f>
        <v>0</v>
      </c>
      <c r="U59" s="42">
        <f>$I$16*$U$16</f>
        <v>0</v>
      </c>
      <c r="V59" s="42">
        <f>$I$16*$V$16</f>
        <v>0</v>
      </c>
      <c r="X59" s="42">
        <f>$I$16*$X$16</f>
        <v>0</v>
      </c>
      <c r="Y59" s="42">
        <f>$I$16*$Y$16</f>
        <v>0</v>
      </c>
      <c r="Z59" s="42">
        <f>$I$16*$Z$16</f>
        <v>0</v>
      </c>
      <c r="AA59" s="42">
        <f>$I$16*$AA$16</f>
        <v>0</v>
      </c>
      <c r="AB59" s="42">
        <f>$I$16*$AB$16</f>
        <v>0</v>
      </c>
      <c r="AC59" s="42">
        <f>$I$16*$AC$16</f>
        <v>0</v>
      </c>
      <c r="AD59" s="42">
        <f>$I$16*$AD$16</f>
        <v>0</v>
      </c>
      <c r="AE59" s="42">
        <f>$I$16*$AE$16</f>
        <v>0</v>
      </c>
      <c r="AF59" s="42">
        <f>$I$16*$AF$16</f>
        <v>0</v>
      </c>
      <c r="AG59" s="42">
        <f>$I$16*$AG$16</f>
        <v>0</v>
      </c>
      <c r="AH59" s="42">
        <f>$I$16*$AH$16</f>
        <v>0</v>
      </c>
    </row>
    <row r="60" spans="1:34" ht="11.25" customHeight="1" x14ac:dyDescent="0.25">
      <c r="A60" s="9" t="s">
        <v>22</v>
      </c>
      <c r="B60" s="9" t="s">
        <v>1071</v>
      </c>
      <c r="C60" s="9" t="s">
        <v>1072</v>
      </c>
      <c r="D60" s="9" t="s">
        <v>1077</v>
      </c>
      <c r="E60" s="9" t="s">
        <v>1078</v>
      </c>
      <c r="F60" s="9" t="s">
        <v>1079</v>
      </c>
      <c r="G60" s="9" t="s">
        <v>1080</v>
      </c>
      <c r="L60" s="42">
        <f>$I$17*$L$17</f>
        <v>0</v>
      </c>
      <c r="M60" s="42">
        <f>$I$17*$M$17</f>
        <v>0</v>
      </c>
      <c r="N60" s="42">
        <f>$I$17*$N$17</f>
        <v>0</v>
      </c>
      <c r="O60" s="42">
        <f>$I$17*$O$17</f>
        <v>0</v>
      </c>
      <c r="P60" s="42">
        <f>$I$17*$P$17</f>
        <v>0</v>
      </c>
      <c r="Q60" s="42">
        <f>$I$17*$Q$17</f>
        <v>0</v>
      </c>
      <c r="R60" s="42">
        <f>$I$17*$R$17</f>
        <v>0</v>
      </c>
      <c r="S60" s="42">
        <f>$I$17*$S$17</f>
        <v>0</v>
      </c>
      <c r="T60" s="42">
        <f>$I$17*$T$17</f>
        <v>0</v>
      </c>
      <c r="U60" s="42">
        <f>$I$17*$U$17</f>
        <v>0</v>
      </c>
      <c r="V60" s="42">
        <f>$I$17*$V$17</f>
        <v>0</v>
      </c>
      <c r="X60" s="42">
        <f>$I$17*$X$17</f>
        <v>0</v>
      </c>
      <c r="Y60" s="42">
        <f>$I$17*$Y$17</f>
        <v>0</v>
      </c>
      <c r="Z60" s="42">
        <f>$I$17*$Z$17</f>
        <v>0</v>
      </c>
      <c r="AA60" s="42">
        <f>$I$17*$AA$17</f>
        <v>0</v>
      </c>
      <c r="AB60" s="42">
        <f>$I$17*$AB$17</f>
        <v>0</v>
      </c>
      <c r="AC60" s="42">
        <f>$I$17*$AC$17</f>
        <v>0</v>
      </c>
      <c r="AD60" s="42">
        <f>$I$17*$AD$17</f>
        <v>0</v>
      </c>
      <c r="AE60" s="42">
        <f>$I$17*$AE$17</f>
        <v>0</v>
      </c>
      <c r="AF60" s="42">
        <f>$I$17*$AF$17</f>
        <v>0</v>
      </c>
      <c r="AG60" s="42">
        <f>$I$17*$AG$17</f>
        <v>0</v>
      </c>
      <c r="AH60" s="42">
        <f>$I$17*$AH$17</f>
        <v>0</v>
      </c>
    </row>
    <row r="61" spans="1:34" ht="11.25" customHeight="1" x14ac:dyDescent="0.25">
      <c r="A61" s="9" t="s">
        <v>22</v>
      </c>
      <c r="B61" s="9" t="s">
        <v>1071</v>
      </c>
      <c r="C61" s="9" t="s">
        <v>1072</v>
      </c>
      <c r="D61" s="9" t="s">
        <v>1081</v>
      </c>
      <c r="E61" s="9" t="s">
        <v>1082</v>
      </c>
      <c r="F61" s="9" t="s">
        <v>1083</v>
      </c>
      <c r="G61" s="9" t="s">
        <v>1084</v>
      </c>
      <c r="L61" s="42">
        <f>$I$18*$L$18</f>
        <v>0</v>
      </c>
      <c r="M61" s="42">
        <f>$I$18*$M$18</f>
        <v>0</v>
      </c>
      <c r="N61" s="42">
        <f>$I$18*$N$18</f>
        <v>0</v>
      </c>
      <c r="O61" s="42">
        <f>$I$18*$O$18</f>
        <v>0</v>
      </c>
      <c r="P61" s="42">
        <f>$I$18*$P$18</f>
        <v>0</v>
      </c>
      <c r="Q61" s="42">
        <f>$I$18*$Q$18</f>
        <v>0</v>
      </c>
      <c r="R61" s="42">
        <f>$I$18*$R$18</f>
        <v>0</v>
      </c>
      <c r="S61" s="42">
        <f>$I$18*$S$18</f>
        <v>0</v>
      </c>
      <c r="T61" s="42">
        <f>$I$18*$T$18</f>
        <v>0</v>
      </c>
      <c r="U61" s="42">
        <f>$I$18*$U$18</f>
        <v>0</v>
      </c>
      <c r="V61" s="42">
        <f>$I$18*$V$18</f>
        <v>0</v>
      </c>
      <c r="X61" s="42">
        <f>$I$18*$X$18</f>
        <v>0</v>
      </c>
      <c r="Y61" s="42">
        <f>$I$18*$Y$18</f>
        <v>0</v>
      </c>
      <c r="Z61" s="42">
        <f>$I$18*$Z$18</f>
        <v>0</v>
      </c>
      <c r="AA61" s="42">
        <f>$I$18*$AA$18</f>
        <v>0</v>
      </c>
      <c r="AB61" s="42">
        <f>$I$18*$AB$18</f>
        <v>0</v>
      </c>
      <c r="AC61" s="42">
        <f>$I$18*$AC$18</f>
        <v>0</v>
      </c>
      <c r="AD61" s="42">
        <f>$I$18*$AD$18</f>
        <v>0</v>
      </c>
      <c r="AE61" s="42">
        <f>$I$18*$AE$18</f>
        <v>0</v>
      </c>
      <c r="AF61" s="42">
        <f>$I$18*$AF$18</f>
        <v>0</v>
      </c>
      <c r="AG61" s="42">
        <f>$I$18*$AG$18</f>
        <v>0</v>
      </c>
      <c r="AH61" s="42">
        <f>$I$18*$AH$18</f>
        <v>0</v>
      </c>
    </row>
    <row r="62" spans="1:34" ht="11.25" customHeight="1" x14ac:dyDescent="0.25">
      <c r="A62" s="9" t="s">
        <v>22</v>
      </c>
      <c r="B62" s="9" t="s">
        <v>1071</v>
      </c>
      <c r="C62" s="9" t="s">
        <v>1072</v>
      </c>
      <c r="D62" s="9" t="s">
        <v>1085</v>
      </c>
      <c r="E62" s="9" t="s">
        <v>1086</v>
      </c>
      <c r="F62" s="9" t="s">
        <v>1087</v>
      </c>
      <c r="G62" s="9" t="s">
        <v>1088</v>
      </c>
      <c r="L62" s="42">
        <f>$I$19*$L$19</f>
        <v>0</v>
      </c>
      <c r="M62" s="42">
        <f>$I$19*$M$19</f>
        <v>0</v>
      </c>
      <c r="N62" s="42">
        <f>$I$19*$N$19</f>
        <v>0</v>
      </c>
      <c r="O62" s="42">
        <f>$I$19*$O$19</f>
        <v>0</v>
      </c>
      <c r="P62" s="42">
        <f>$I$19*$P$19</f>
        <v>0</v>
      </c>
      <c r="Q62" s="42">
        <f>$I$19*$Q$19</f>
        <v>0</v>
      </c>
      <c r="R62" s="42">
        <f>$I$19*$R$19</f>
        <v>0</v>
      </c>
      <c r="S62" s="42">
        <f>$I$19*$S$19</f>
        <v>0</v>
      </c>
      <c r="T62" s="42">
        <f>$I$19*$T$19</f>
        <v>0</v>
      </c>
      <c r="U62" s="42">
        <f>$I$19*$U$19</f>
        <v>0</v>
      </c>
      <c r="V62" s="42">
        <f>$I$19*$V$19</f>
        <v>0</v>
      </c>
      <c r="X62" s="42">
        <f>$I$19*$X$19</f>
        <v>0</v>
      </c>
      <c r="Y62" s="42">
        <f>$I$19*$Y$19</f>
        <v>0</v>
      </c>
      <c r="Z62" s="42">
        <f>$I$19*$Z$19</f>
        <v>0</v>
      </c>
      <c r="AA62" s="42">
        <f>$I$19*$AA$19</f>
        <v>0</v>
      </c>
      <c r="AB62" s="42">
        <f>$I$19*$AB$19</f>
        <v>0</v>
      </c>
      <c r="AC62" s="42">
        <f>$I$19*$AC$19</f>
        <v>0</v>
      </c>
      <c r="AD62" s="42">
        <f>$I$19*$AD$19</f>
        <v>0</v>
      </c>
      <c r="AE62" s="42">
        <f>$I$19*$AE$19</f>
        <v>0</v>
      </c>
      <c r="AF62" s="42">
        <f>$I$19*$AF$19</f>
        <v>0</v>
      </c>
      <c r="AG62" s="42">
        <f>$I$19*$AG$19</f>
        <v>0</v>
      </c>
      <c r="AH62" s="42">
        <f>$I$19*$AH$19</f>
        <v>0</v>
      </c>
    </row>
    <row r="63" spans="1:34" ht="11.25" customHeight="1" x14ac:dyDescent="0.25">
      <c r="A63" s="9" t="s">
        <v>22</v>
      </c>
      <c r="B63" s="9" t="s">
        <v>1071</v>
      </c>
      <c r="C63" s="9" t="s">
        <v>1072</v>
      </c>
      <c r="D63" s="9" t="s">
        <v>1089</v>
      </c>
      <c r="E63" s="9" t="s">
        <v>1090</v>
      </c>
      <c r="F63" s="9" t="s">
        <v>1091</v>
      </c>
      <c r="G63" s="9" t="s">
        <v>1092</v>
      </c>
      <c r="L63" s="42">
        <f>$I$20*$L$20</f>
        <v>0</v>
      </c>
      <c r="M63" s="42">
        <f>$I$20*$M$20</f>
        <v>0</v>
      </c>
      <c r="N63" s="42">
        <f>$I$20*$N$20</f>
        <v>0</v>
      </c>
      <c r="O63" s="42">
        <f>$I$20*$O$20</f>
        <v>0</v>
      </c>
      <c r="P63" s="42">
        <f>$I$20*$P$20</f>
        <v>0</v>
      </c>
      <c r="Q63" s="42">
        <f>$I$20*$Q$20</f>
        <v>0</v>
      </c>
      <c r="R63" s="42">
        <f>$I$20*$R$20</f>
        <v>0</v>
      </c>
      <c r="S63" s="42">
        <f>$I$20*$S$20</f>
        <v>0</v>
      </c>
      <c r="T63" s="42">
        <f>$I$20*$T$20</f>
        <v>0</v>
      </c>
      <c r="U63" s="42">
        <f>$I$20*$U$20</f>
        <v>0</v>
      </c>
      <c r="V63" s="42">
        <f>$I$20*$V$20</f>
        <v>0</v>
      </c>
      <c r="X63" s="42">
        <f>$I$20*$X$20</f>
        <v>0</v>
      </c>
      <c r="Y63" s="42">
        <f>$I$20*$Y$20</f>
        <v>0</v>
      </c>
      <c r="Z63" s="42">
        <f>$I$20*$Z$20</f>
        <v>0</v>
      </c>
      <c r="AA63" s="42">
        <f>$I$20*$AA$20</f>
        <v>0</v>
      </c>
      <c r="AB63" s="42">
        <f>$I$20*$AB$20</f>
        <v>0</v>
      </c>
      <c r="AC63" s="42">
        <f>$I$20*$AC$20</f>
        <v>0</v>
      </c>
      <c r="AD63" s="42">
        <f>$I$20*$AD$20</f>
        <v>0</v>
      </c>
      <c r="AE63" s="42">
        <f>$I$20*$AE$20</f>
        <v>0</v>
      </c>
      <c r="AF63" s="42">
        <f>$I$20*$AF$20</f>
        <v>0</v>
      </c>
      <c r="AG63" s="42">
        <f>$I$20*$AG$20</f>
        <v>0</v>
      </c>
      <c r="AH63" s="42">
        <f>$I$20*$AH$20</f>
        <v>0</v>
      </c>
    </row>
    <row r="64" spans="1:34" ht="11.25" customHeight="1" x14ac:dyDescent="0.25">
      <c r="A64" s="9" t="s">
        <v>43</v>
      </c>
      <c r="B64" s="9" t="s">
        <v>1093</v>
      </c>
      <c r="C64" s="9" t="s">
        <v>1094</v>
      </c>
      <c r="D64" s="9" t="s">
        <v>1095</v>
      </c>
      <c r="E64" s="9" t="s">
        <v>1096</v>
      </c>
      <c r="F64" s="9" t="s">
        <v>1097</v>
      </c>
      <c r="G64" s="9" t="s">
        <v>1098</v>
      </c>
      <c r="L64" s="42">
        <f>$I$21*$L$21</f>
        <v>0.3523915070166565</v>
      </c>
      <c r="M64" s="42">
        <f>$I$21*$M$21</f>
        <v>0</v>
      </c>
      <c r="N64" s="42">
        <f>$I$21*$N$21</f>
        <v>0</v>
      </c>
      <c r="O64" s="42">
        <f>$I$21*$O$21</f>
        <v>9.5380295462352466E-2</v>
      </c>
      <c r="P64" s="42">
        <f>$I$21*$P$21</f>
        <v>0</v>
      </c>
      <c r="Q64" s="42">
        <f>$I$21*$Q$21</f>
        <v>56.702859998928197</v>
      </c>
      <c r="R64" s="42">
        <f>$I$21*$R$21</f>
        <v>0</v>
      </c>
      <c r="S64" s="42">
        <f>$I$21*$S$21</f>
        <v>0</v>
      </c>
      <c r="T64" s="42">
        <f>$I$21*$T$21</f>
        <v>0</v>
      </c>
      <c r="U64" s="42">
        <f>$I$21*$U$21</f>
        <v>0</v>
      </c>
      <c r="V64" s="42">
        <f>$I$21*$V$21</f>
        <v>0</v>
      </c>
      <c r="X64" s="42">
        <f>$I$21*$X$21</f>
        <v>0.24551550268811889</v>
      </c>
      <c r="Y64" s="42">
        <f>$I$21*$Y$21</f>
        <v>0</v>
      </c>
      <c r="Z64" s="42">
        <f>$I$21*$Z$21</f>
        <v>0</v>
      </c>
      <c r="AA64" s="42">
        <f>$I$21*$AA$21</f>
        <v>0</v>
      </c>
      <c r="AB64" s="42">
        <f>$I$21*$AB$21</f>
        <v>0</v>
      </c>
      <c r="AC64" s="42">
        <f>$I$21*$AC$21</f>
        <v>42.349740052058102</v>
      </c>
      <c r="AD64" s="42">
        <f>$I$21*$AD$21</f>
        <v>0</v>
      </c>
      <c r="AE64" s="42">
        <f>$I$21*$AE$21</f>
        <v>0</v>
      </c>
      <c r="AF64" s="42">
        <f>$I$21*$AF$21</f>
        <v>0</v>
      </c>
      <c r="AG64" s="42">
        <f>$I$21*$AG$21</f>
        <v>0</v>
      </c>
      <c r="AH64" s="42">
        <f>$I$21*$AH$21</f>
        <v>0</v>
      </c>
    </row>
    <row r="65" spans="1:34" ht="11.25" customHeight="1" x14ac:dyDescent="0.25">
      <c r="A65" s="9" t="s">
        <v>43</v>
      </c>
      <c r="B65" s="9" t="s">
        <v>1093</v>
      </c>
      <c r="C65" s="9" t="s">
        <v>1094</v>
      </c>
      <c r="D65" s="9" t="s">
        <v>1095</v>
      </c>
      <c r="E65" s="9" t="s">
        <v>1096</v>
      </c>
      <c r="F65" s="9" t="s">
        <v>1097</v>
      </c>
      <c r="G65" s="9" t="s">
        <v>1099</v>
      </c>
      <c r="L65" s="42">
        <f>$I$22*$L$22</f>
        <v>0.23597645559151104</v>
      </c>
      <c r="M65" s="42">
        <f>$I$22*$M$22</f>
        <v>0</v>
      </c>
      <c r="N65" s="42">
        <f>$I$22*$N$22</f>
        <v>0</v>
      </c>
      <c r="O65" s="42">
        <f>$I$22*$O$22</f>
        <v>6.3870733568539589E-2</v>
      </c>
      <c r="P65" s="42">
        <f>$I$22*$P$22</f>
        <v>0</v>
      </c>
      <c r="Q65" s="42">
        <f>$I$22*$Q$22</f>
        <v>22.075968126659131</v>
      </c>
      <c r="R65" s="42">
        <f>$I$22*$R$22</f>
        <v>0</v>
      </c>
      <c r="S65" s="42">
        <f>$I$22*$S$22</f>
        <v>0</v>
      </c>
      <c r="T65" s="42">
        <f>$I$22*$T$22</f>
        <v>0</v>
      </c>
      <c r="U65" s="42">
        <f>$I$22*$U$22</f>
        <v>0</v>
      </c>
      <c r="V65" s="42">
        <f>$I$22*$V$22</f>
        <v>0</v>
      </c>
      <c r="X65" s="42">
        <f>$I$22*$X$22</f>
        <v>0.16440770269293675</v>
      </c>
      <c r="Y65" s="42">
        <f>$I$22*$Y$22</f>
        <v>0</v>
      </c>
      <c r="Z65" s="42">
        <f>$I$22*$Z$22</f>
        <v>0</v>
      </c>
      <c r="AA65" s="42">
        <f>$I$22*$AA$22</f>
        <v>0</v>
      </c>
      <c r="AB65" s="42">
        <f>$I$22*$AB$22</f>
        <v>0</v>
      </c>
      <c r="AC65" s="42">
        <f>$I$22*$AC$22</f>
        <v>16.487907516114824</v>
      </c>
      <c r="AD65" s="42">
        <f>$I$22*$AD$22</f>
        <v>0</v>
      </c>
      <c r="AE65" s="42">
        <f>$I$22*$AE$22</f>
        <v>0</v>
      </c>
      <c r="AF65" s="42">
        <f>$I$22*$AF$22</f>
        <v>0</v>
      </c>
      <c r="AG65" s="42">
        <f>$I$22*$AG$22</f>
        <v>0</v>
      </c>
      <c r="AH65" s="42">
        <f>$I$22*$AH$22</f>
        <v>0</v>
      </c>
    </row>
    <row r="66" spans="1:34" ht="11.25" customHeight="1" x14ac:dyDescent="0.25">
      <c r="A66" s="9" t="s">
        <v>43</v>
      </c>
      <c r="B66" s="9" t="s">
        <v>1093</v>
      </c>
      <c r="C66" s="9" t="s">
        <v>1094</v>
      </c>
      <c r="D66" s="9" t="s">
        <v>1095</v>
      </c>
      <c r="E66" s="9" t="s">
        <v>1096</v>
      </c>
      <c r="F66" s="9" t="s">
        <v>1097</v>
      </c>
      <c r="G66" s="9" t="s">
        <v>1100</v>
      </c>
      <c r="L66" s="42">
        <f>$I$23*$L$23</f>
        <v>2.8820591109576545</v>
      </c>
      <c r="M66" s="42">
        <f>$I$23*$M$23</f>
        <v>0</v>
      </c>
      <c r="N66" s="42">
        <f>$I$23*$N$23</f>
        <v>0</v>
      </c>
      <c r="O66" s="42">
        <f>$I$23*$O$23</f>
        <v>0.7800745593170969</v>
      </c>
      <c r="P66" s="42">
        <f>$I$23*$P$23</f>
        <v>0</v>
      </c>
      <c r="Q66" s="42">
        <f>$I$23*$Q$23</f>
        <v>269.62115738693018</v>
      </c>
      <c r="R66" s="42">
        <f>$I$23*$R$23</f>
        <v>0</v>
      </c>
      <c r="S66" s="42">
        <f>$I$23*$S$23</f>
        <v>0</v>
      </c>
      <c r="T66" s="42">
        <f>$I$23*$T$23</f>
        <v>0</v>
      </c>
      <c r="U66" s="42">
        <f>$I$23*$U$23</f>
        <v>0</v>
      </c>
      <c r="V66" s="42">
        <f>$I$23*$V$23</f>
        <v>0</v>
      </c>
      <c r="X66" s="42">
        <f>$I$23*$X$23</f>
        <v>2.0079660755564008</v>
      </c>
      <c r="Y66" s="42">
        <f>$I$23*$Y$23</f>
        <v>0</v>
      </c>
      <c r="Z66" s="42">
        <f>$I$23*$Z$23</f>
        <v>0</v>
      </c>
      <c r="AA66" s="42">
        <f>$I$23*$AA$23</f>
        <v>0</v>
      </c>
      <c r="AB66" s="42">
        <f>$I$23*$AB$23</f>
        <v>0</v>
      </c>
      <c r="AC66" s="42">
        <f>$I$23*$AC$23</f>
        <v>201.37231046348239</v>
      </c>
      <c r="AD66" s="42">
        <f>$I$23*$AD$23</f>
        <v>0</v>
      </c>
      <c r="AE66" s="42">
        <f>$I$23*$AE$23</f>
        <v>0</v>
      </c>
      <c r="AF66" s="42">
        <f>$I$23*$AF$23</f>
        <v>0</v>
      </c>
      <c r="AG66" s="42">
        <f>$I$23*$AG$23</f>
        <v>0</v>
      </c>
      <c r="AH66" s="42">
        <f>$I$23*$AH$23</f>
        <v>0</v>
      </c>
    </row>
    <row r="67" spans="1:34" ht="11.25" customHeight="1" x14ac:dyDescent="0.25">
      <c r="A67" s="9" t="s">
        <v>43</v>
      </c>
      <c r="B67" s="9" t="s">
        <v>1101</v>
      </c>
      <c r="C67" s="9" t="s">
        <v>1102</v>
      </c>
      <c r="D67" s="9" t="s">
        <v>1103</v>
      </c>
      <c r="E67" s="9" t="s">
        <v>1104</v>
      </c>
      <c r="F67" s="9" t="s">
        <v>1105</v>
      </c>
      <c r="G67" s="9" t="s">
        <v>1106</v>
      </c>
      <c r="L67" s="42">
        <f>$I$24*$L$24</f>
        <v>172475.0309278456</v>
      </c>
      <c r="M67" s="42">
        <f>$I$24*$M$24</f>
        <v>0</v>
      </c>
      <c r="N67" s="42">
        <f>$I$24*$N$24</f>
        <v>0</v>
      </c>
      <c r="O67" s="42">
        <f>$I$24*$O$24</f>
        <v>46683.075733146761</v>
      </c>
      <c r="P67" s="42">
        <f>$I$24*$P$24</f>
        <v>0</v>
      </c>
      <c r="Q67" s="42">
        <f>$I$24*$Q$24</f>
        <v>17103428.697643839</v>
      </c>
      <c r="R67" s="42">
        <f>$I$24*$R$24</f>
        <v>0</v>
      </c>
      <c r="S67" s="42">
        <f>$I$24*$S$24</f>
        <v>0</v>
      </c>
      <c r="T67" s="42">
        <f>$I$24*$T$24</f>
        <v>0</v>
      </c>
      <c r="U67" s="42">
        <f>$I$24*$U$24</f>
        <v>0</v>
      </c>
      <c r="V67" s="42">
        <f>$I$24*$V$24</f>
        <v>0</v>
      </c>
      <c r="X67" s="42">
        <f>$I$24*$X$24</f>
        <v>120165.47810102963</v>
      </c>
      <c r="Y67" s="42">
        <f>$I$24*$Y$24</f>
        <v>0</v>
      </c>
      <c r="Z67" s="42">
        <f>$I$24*$Z$24</f>
        <v>0</v>
      </c>
      <c r="AA67" s="42">
        <f>$I$24*$AA$24</f>
        <v>0</v>
      </c>
      <c r="AB67" s="42">
        <f>$I$24*$AB$24</f>
        <v>0</v>
      </c>
      <c r="AC67" s="42">
        <f>$I$24*$AC$24</f>
        <v>12774060.415256293</v>
      </c>
      <c r="AD67" s="42">
        <f>$I$24*$AD$24</f>
        <v>0</v>
      </c>
      <c r="AE67" s="42">
        <f>$I$24*$AE$24</f>
        <v>0</v>
      </c>
      <c r="AF67" s="42">
        <f>$I$24*$AF$24</f>
        <v>0</v>
      </c>
      <c r="AG67" s="42">
        <f>$I$24*$AG$24</f>
        <v>0</v>
      </c>
      <c r="AH67" s="42">
        <f>$I$24*$AH$24</f>
        <v>0</v>
      </c>
    </row>
    <row r="68" spans="1:34" ht="11.25" customHeight="1" x14ac:dyDescent="0.25">
      <c r="A68" s="9" t="s">
        <v>43</v>
      </c>
      <c r="B68" s="9" t="s">
        <v>1093</v>
      </c>
      <c r="C68" s="9" t="s">
        <v>1094</v>
      </c>
      <c r="D68" s="9" t="s">
        <v>1107</v>
      </c>
      <c r="E68" s="9" t="s">
        <v>1108</v>
      </c>
      <c r="F68" s="9" t="s">
        <v>1109</v>
      </c>
      <c r="G68" s="9" t="s">
        <v>1110</v>
      </c>
      <c r="L68" s="42">
        <f>$I$25*$L$25</f>
        <v>0</v>
      </c>
      <c r="M68" s="42">
        <f>$I$25*$M$25</f>
        <v>0</v>
      </c>
      <c r="N68" s="42">
        <f>$I$25*$N$25</f>
        <v>0</v>
      </c>
      <c r="O68" s="42">
        <f>$I$25*$O$25</f>
        <v>0</v>
      </c>
      <c r="P68" s="42">
        <f>$I$25*$P$25</f>
        <v>0</v>
      </c>
      <c r="Q68" s="42">
        <f>$I$25*$Q$25</f>
        <v>0</v>
      </c>
      <c r="R68" s="42">
        <f>$I$25*$R$25</f>
        <v>0</v>
      </c>
      <c r="S68" s="42">
        <f>$I$25*$S$25</f>
        <v>0</v>
      </c>
      <c r="T68" s="42">
        <f>$I$25*$T$25</f>
        <v>0</v>
      </c>
      <c r="U68" s="42">
        <f>$I$25*$U$25</f>
        <v>0</v>
      </c>
      <c r="V68" s="42">
        <f>$I$25*$V$25</f>
        <v>0</v>
      </c>
      <c r="X68" s="42">
        <f>$I$25*$X$25</f>
        <v>0</v>
      </c>
      <c r="Y68" s="42">
        <f>$I$25*$Y$25</f>
        <v>0</v>
      </c>
      <c r="Z68" s="42">
        <f>$I$25*$Z$25</f>
        <v>0</v>
      </c>
      <c r="AA68" s="42">
        <f>$I$25*$AA$25</f>
        <v>0</v>
      </c>
      <c r="AB68" s="42">
        <f>$I$25*$AB$25</f>
        <v>0</v>
      </c>
      <c r="AC68" s="42">
        <f>$I$25*$AC$25</f>
        <v>0</v>
      </c>
      <c r="AD68" s="42">
        <f>$I$25*$AD$25</f>
        <v>0</v>
      </c>
      <c r="AE68" s="42">
        <f>$I$25*$AE$25</f>
        <v>0</v>
      </c>
      <c r="AF68" s="42">
        <f>$I$25*$AF$25</f>
        <v>0</v>
      </c>
      <c r="AG68" s="42">
        <f>$I$25*$AG$25</f>
        <v>0</v>
      </c>
      <c r="AH68" s="42">
        <f>$I$25*$AH$25</f>
        <v>0</v>
      </c>
    </row>
    <row r="69" spans="1:34" ht="11.25" customHeight="1" x14ac:dyDescent="0.25">
      <c r="A69" s="9" t="s">
        <v>43</v>
      </c>
      <c r="B69" s="9" t="s">
        <v>1093</v>
      </c>
      <c r="C69" s="9" t="s">
        <v>1094</v>
      </c>
      <c r="D69" s="9" t="s">
        <v>1107</v>
      </c>
      <c r="E69" s="9" t="s">
        <v>1108</v>
      </c>
      <c r="F69" s="9" t="s">
        <v>1109</v>
      </c>
      <c r="G69" s="9" t="s">
        <v>1111</v>
      </c>
      <c r="L69" s="42">
        <f>$I$26*$L$26</f>
        <v>0</v>
      </c>
      <c r="M69" s="42">
        <f>$I$26*$M$26</f>
        <v>0</v>
      </c>
      <c r="N69" s="42">
        <f>$I$26*$N$26</f>
        <v>0</v>
      </c>
      <c r="O69" s="42">
        <f>$I$26*$O$26</f>
        <v>0</v>
      </c>
      <c r="P69" s="42">
        <f>$I$26*$P$26</f>
        <v>0</v>
      </c>
      <c r="Q69" s="42">
        <f>$I$26*$Q$26</f>
        <v>0</v>
      </c>
      <c r="R69" s="42">
        <f>$I$26*$R$26</f>
        <v>0</v>
      </c>
      <c r="S69" s="42">
        <f>$I$26*$S$26</f>
        <v>0</v>
      </c>
      <c r="T69" s="42">
        <f>$I$26*$T$26</f>
        <v>0</v>
      </c>
      <c r="U69" s="42">
        <f>$I$26*$U$26</f>
        <v>0</v>
      </c>
      <c r="V69" s="42">
        <f>$I$26*$V$26</f>
        <v>0</v>
      </c>
      <c r="X69" s="42">
        <f>$I$26*$X$26</f>
        <v>0</v>
      </c>
      <c r="Y69" s="42">
        <f>$I$26*$Y$26</f>
        <v>0</v>
      </c>
      <c r="Z69" s="42">
        <f>$I$26*$Z$26</f>
        <v>0</v>
      </c>
      <c r="AA69" s="42">
        <f>$I$26*$AA$26</f>
        <v>0</v>
      </c>
      <c r="AB69" s="42">
        <f>$I$26*$AB$26</f>
        <v>0</v>
      </c>
      <c r="AC69" s="42">
        <f>$I$26*$AC$26</f>
        <v>0</v>
      </c>
      <c r="AD69" s="42">
        <f>$I$26*$AD$26</f>
        <v>0</v>
      </c>
      <c r="AE69" s="42">
        <f>$I$26*$AE$26</f>
        <v>0</v>
      </c>
      <c r="AF69" s="42">
        <f>$I$26*$AF$26</f>
        <v>0</v>
      </c>
      <c r="AG69" s="42">
        <f>$I$26*$AG$26</f>
        <v>0</v>
      </c>
      <c r="AH69" s="42">
        <f>$I$26*$AH$26</f>
        <v>0</v>
      </c>
    </row>
    <row r="70" spans="1:34" ht="11.25" customHeight="1" x14ac:dyDescent="0.25">
      <c r="A70" s="9" t="s">
        <v>43</v>
      </c>
      <c r="B70" s="9" t="s">
        <v>1093</v>
      </c>
      <c r="C70" s="9" t="s">
        <v>1094</v>
      </c>
      <c r="D70" s="9" t="s">
        <v>1107</v>
      </c>
      <c r="E70" s="9" t="s">
        <v>1108</v>
      </c>
      <c r="F70" s="9" t="s">
        <v>1109</v>
      </c>
      <c r="G70" s="9" t="s">
        <v>1112</v>
      </c>
      <c r="L70" s="42">
        <f>$I$27*$L$27</f>
        <v>0</v>
      </c>
      <c r="M70" s="42">
        <f>$I$27*$M$27</f>
        <v>0</v>
      </c>
      <c r="N70" s="42">
        <f>$I$27*$N$27</f>
        <v>0</v>
      </c>
      <c r="O70" s="42">
        <f>$I$27*$O$27</f>
        <v>0</v>
      </c>
      <c r="P70" s="42">
        <f>$I$27*$P$27</f>
        <v>0</v>
      </c>
      <c r="Q70" s="42">
        <f>$I$27*$Q$27</f>
        <v>0</v>
      </c>
      <c r="R70" s="42">
        <f>$I$27*$R$27</f>
        <v>0</v>
      </c>
      <c r="S70" s="42">
        <f>$I$27*$S$27</f>
        <v>0</v>
      </c>
      <c r="T70" s="42">
        <f>$I$27*$T$27</f>
        <v>0</v>
      </c>
      <c r="U70" s="42">
        <f>$I$27*$U$27</f>
        <v>0</v>
      </c>
      <c r="V70" s="42">
        <f>$I$27*$V$27</f>
        <v>0</v>
      </c>
      <c r="X70" s="42">
        <f>$I$27*$X$27</f>
        <v>0</v>
      </c>
      <c r="Y70" s="42">
        <f>$I$27*$Y$27</f>
        <v>0</v>
      </c>
      <c r="Z70" s="42">
        <f>$I$27*$Z$27</f>
        <v>0</v>
      </c>
      <c r="AA70" s="42">
        <f>$I$27*$AA$27</f>
        <v>0</v>
      </c>
      <c r="AB70" s="42">
        <f>$I$27*$AB$27</f>
        <v>0</v>
      </c>
      <c r="AC70" s="42">
        <f>$I$27*$AC$27</f>
        <v>0</v>
      </c>
      <c r="AD70" s="42">
        <f>$I$27*$AD$27</f>
        <v>0</v>
      </c>
      <c r="AE70" s="42">
        <f>$I$27*$AE$27</f>
        <v>0</v>
      </c>
      <c r="AF70" s="42">
        <f>$I$27*$AF$27</f>
        <v>0</v>
      </c>
      <c r="AG70" s="42">
        <f>$I$27*$AG$27</f>
        <v>0</v>
      </c>
      <c r="AH70" s="42">
        <f>$I$27*$AH$27</f>
        <v>0</v>
      </c>
    </row>
    <row r="71" spans="1:34" ht="11.25" customHeight="1" x14ac:dyDescent="0.25">
      <c r="A71" s="9" t="s">
        <v>43</v>
      </c>
      <c r="B71" s="9" t="s">
        <v>1101</v>
      </c>
      <c r="C71" s="9" t="s">
        <v>1102</v>
      </c>
      <c r="D71" s="9" t="s">
        <v>1113</v>
      </c>
      <c r="E71" s="9" t="s">
        <v>1114</v>
      </c>
      <c r="F71" s="9" t="s">
        <v>1115</v>
      </c>
      <c r="G71" s="9" t="s">
        <v>1116</v>
      </c>
      <c r="L71" s="42">
        <f>$I$28*$L$28</f>
        <v>0</v>
      </c>
      <c r="M71" s="42">
        <f>$I$28*$M$28</f>
        <v>0</v>
      </c>
      <c r="N71" s="42">
        <f>$I$28*$N$28</f>
        <v>0</v>
      </c>
      <c r="O71" s="42">
        <f>$I$28*$O$28</f>
        <v>0</v>
      </c>
      <c r="P71" s="42">
        <f>$I$28*$P$28</f>
        <v>0</v>
      </c>
      <c r="Q71" s="42">
        <f>$I$28*$Q$28</f>
        <v>0</v>
      </c>
      <c r="R71" s="42">
        <f>$I$28*$R$28</f>
        <v>0</v>
      </c>
      <c r="S71" s="42">
        <f>$I$28*$S$28</f>
        <v>0</v>
      </c>
      <c r="T71" s="42">
        <f>$I$28*$T$28</f>
        <v>0</v>
      </c>
      <c r="U71" s="42">
        <f>$I$28*$U$28</f>
        <v>0</v>
      </c>
      <c r="V71" s="42">
        <f>$I$28*$V$28</f>
        <v>0</v>
      </c>
      <c r="X71" s="42">
        <f>$I$28*$X$28</f>
        <v>0</v>
      </c>
      <c r="Y71" s="42">
        <f>$I$28*$Y$28</f>
        <v>0</v>
      </c>
      <c r="Z71" s="42">
        <f>$I$28*$Z$28</f>
        <v>0</v>
      </c>
      <c r="AA71" s="42">
        <f>$I$28*$AA$28</f>
        <v>0</v>
      </c>
      <c r="AB71" s="42">
        <f>$I$28*$AB$28</f>
        <v>0</v>
      </c>
      <c r="AC71" s="42">
        <f>$I$28*$AC$28</f>
        <v>0</v>
      </c>
      <c r="AD71" s="42">
        <f>$I$28*$AD$28</f>
        <v>0</v>
      </c>
      <c r="AE71" s="42">
        <f>$I$28*$AE$28</f>
        <v>0</v>
      </c>
      <c r="AF71" s="42">
        <f>$I$28*$AF$28</f>
        <v>0</v>
      </c>
      <c r="AG71" s="42">
        <f>$I$28*$AG$28</f>
        <v>0</v>
      </c>
      <c r="AH71" s="42">
        <f>$I$28*$AH$28</f>
        <v>0</v>
      </c>
    </row>
    <row r="72" spans="1:34" ht="11.25" customHeight="1" x14ac:dyDescent="0.25">
      <c r="A72" s="9" t="s">
        <v>43</v>
      </c>
      <c r="B72" s="9" t="s">
        <v>1093</v>
      </c>
      <c r="C72" s="9" t="s">
        <v>1094</v>
      </c>
      <c r="D72" s="9" t="s">
        <v>1117</v>
      </c>
      <c r="E72" s="9" t="s">
        <v>1118</v>
      </c>
      <c r="F72" s="9" t="s">
        <v>1119</v>
      </c>
      <c r="G72" s="9" t="s">
        <v>1120</v>
      </c>
      <c r="L72" s="42">
        <f>$I$29*$L$29</f>
        <v>0</v>
      </c>
      <c r="M72" s="42">
        <f>$I$29*$M$29</f>
        <v>0</v>
      </c>
      <c r="N72" s="42">
        <f>$I$29*$N$29</f>
        <v>0</v>
      </c>
      <c r="O72" s="42">
        <f>$I$29*$O$29</f>
        <v>0</v>
      </c>
      <c r="P72" s="42">
        <f>$I$29*$P$29</f>
        <v>0</v>
      </c>
      <c r="Q72" s="42">
        <f>$I$29*$Q$29</f>
        <v>0</v>
      </c>
      <c r="R72" s="42">
        <f>$I$29*$R$29</f>
        <v>0</v>
      </c>
      <c r="S72" s="42">
        <f>$I$29*$S$29</f>
        <v>0</v>
      </c>
      <c r="T72" s="42">
        <f>$I$29*$T$29</f>
        <v>0</v>
      </c>
      <c r="U72" s="42">
        <f>$I$29*$U$29</f>
        <v>0</v>
      </c>
      <c r="V72" s="42">
        <f>$I$29*$V$29</f>
        <v>0</v>
      </c>
      <c r="X72" s="42">
        <f>$I$29*$X$29</f>
        <v>0</v>
      </c>
      <c r="Y72" s="42">
        <f>$I$29*$Y$29</f>
        <v>0</v>
      </c>
      <c r="Z72" s="42">
        <f>$I$29*$Z$29</f>
        <v>0</v>
      </c>
      <c r="AA72" s="42">
        <f>$I$29*$AA$29</f>
        <v>0</v>
      </c>
      <c r="AB72" s="42">
        <f>$I$29*$AB$29</f>
        <v>0</v>
      </c>
      <c r="AC72" s="42">
        <f>$I$29*$AC$29</f>
        <v>0</v>
      </c>
      <c r="AD72" s="42">
        <f>$I$29*$AD$29</f>
        <v>0</v>
      </c>
      <c r="AE72" s="42">
        <f>$I$29*$AE$29</f>
        <v>0</v>
      </c>
      <c r="AF72" s="42">
        <f>$I$29*$AF$29</f>
        <v>0</v>
      </c>
      <c r="AG72" s="42">
        <f>$I$29*$AG$29</f>
        <v>0</v>
      </c>
      <c r="AH72" s="42">
        <f>$I$29*$AH$29</f>
        <v>0</v>
      </c>
    </row>
    <row r="73" spans="1:34" ht="11.25" customHeight="1" x14ac:dyDescent="0.25">
      <c r="A73" s="9" t="s">
        <v>43</v>
      </c>
      <c r="B73" s="9" t="s">
        <v>1093</v>
      </c>
      <c r="C73" s="9" t="s">
        <v>1094</v>
      </c>
      <c r="D73" s="9" t="s">
        <v>1117</v>
      </c>
      <c r="E73" s="9" t="s">
        <v>1118</v>
      </c>
      <c r="F73" s="9" t="s">
        <v>1119</v>
      </c>
      <c r="G73" s="9" t="s">
        <v>1121</v>
      </c>
      <c r="L73" s="42">
        <f>$I$30*$L$30</f>
        <v>0</v>
      </c>
      <c r="M73" s="42">
        <f>$I$30*$M$30</f>
        <v>0</v>
      </c>
      <c r="N73" s="42">
        <f>$I$30*$N$30</f>
        <v>0</v>
      </c>
      <c r="O73" s="42">
        <f>$I$30*$O$30</f>
        <v>0</v>
      </c>
      <c r="P73" s="42">
        <f>$I$30*$P$30</f>
        <v>0</v>
      </c>
      <c r="Q73" s="42">
        <f>$I$30*$Q$30</f>
        <v>0</v>
      </c>
      <c r="R73" s="42">
        <f>$I$30*$R$30</f>
        <v>0</v>
      </c>
      <c r="S73" s="42">
        <f>$I$30*$S$30</f>
        <v>0</v>
      </c>
      <c r="T73" s="42">
        <f>$I$30*$T$30</f>
        <v>0</v>
      </c>
      <c r="U73" s="42">
        <f>$I$30*$U$30</f>
        <v>0</v>
      </c>
      <c r="V73" s="42">
        <f>$I$30*$V$30</f>
        <v>0</v>
      </c>
      <c r="X73" s="42">
        <f>$I$30*$X$30</f>
        <v>0</v>
      </c>
      <c r="Y73" s="42">
        <f>$I$30*$Y$30</f>
        <v>0</v>
      </c>
      <c r="Z73" s="42">
        <f>$I$30*$Z$30</f>
        <v>0</v>
      </c>
      <c r="AA73" s="42">
        <f>$I$30*$AA$30</f>
        <v>0</v>
      </c>
      <c r="AB73" s="42">
        <f>$I$30*$AB$30</f>
        <v>0</v>
      </c>
      <c r="AC73" s="42">
        <f>$I$30*$AC$30</f>
        <v>0</v>
      </c>
      <c r="AD73" s="42">
        <f>$I$30*$AD$30</f>
        <v>0</v>
      </c>
      <c r="AE73" s="42">
        <f>$I$30*$AE$30</f>
        <v>0</v>
      </c>
      <c r="AF73" s="42">
        <f>$I$30*$AF$30</f>
        <v>0</v>
      </c>
      <c r="AG73" s="42">
        <f>$I$30*$AG$30</f>
        <v>0</v>
      </c>
      <c r="AH73" s="42">
        <f>$I$30*$AH$30</f>
        <v>0</v>
      </c>
    </row>
    <row r="74" spans="1:34" ht="11.25" customHeight="1" x14ac:dyDescent="0.25">
      <c r="A74" s="9" t="s">
        <v>43</v>
      </c>
      <c r="B74" s="9" t="s">
        <v>1093</v>
      </c>
      <c r="C74" s="9" t="s">
        <v>1094</v>
      </c>
      <c r="D74" s="9" t="s">
        <v>1117</v>
      </c>
      <c r="E74" s="9" t="s">
        <v>1118</v>
      </c>
      <c r="F74" s="9" t="s">
        <v>1119</v>
      </c>
      <c r="G74" s="9" t="s">
        <v>1122</v>
      </c>
      <c r="L74" s="42">
        <f>$I$31*$L$31</f>
        <v>0</v>
      </c>
      <c r="M74" s="42">
        <f>$I$31*$M$31</f>
        <v>0</v>
      </c>
      <c r="N74" s="42">
        <f>$I$31*$N$31</f>
        <v>0</v>
      </c>
      <c r="O74" s="42">
        <f>$I$31*$O$31</f>
        <v>0</v>
      </c>
      <c r="P74" s="42">
        <f>$I$31*$P$31</f>
        <v>0</v>
      </c>
      <c r="Q74" s="42">
        <f>$I$31*$Q$31</f>
        <v>0</v>
      </c>
      <c r="R74" s="42">
        <f>$I$31*$R$31</f>
        <v>0</v>
      </c>
      <c r="S74" s="42">
        <f>$I$31*$S$31</f>
        <v>0</v>
      </c>
      <c r="T74" s="42">
        <f>$I$31*$T$31</f>
        <v>0</v>
      </c>
      <c r="U74" s="42">
        <f>$I$31*$U$31</f>
        <v>0</v>
      </c>
      <c r="V74" s="42">
        <f>$I$31*$V$31</f>
        <v>0</v>
      </c>
      <c r="X74" s="42">
        <f>$I$31*$X$31</f>
        <v>0</v>
      </c>
      <c r="Y74" s="42">
        <f>$I$31*$Y$31</f>
        <v>0</v>
      </c>
      <c r="Z74" s="42">
        <f>$I$31*$Z$31</f>
        <v>0</v>
      </c>
      <c r="AA74" s="42">
        <f>$I$31*$AA$31</f>
        <v>0</v>
      </c>
      <c r="AB74" s="42">
        <f>$I$31*$AB$31</f>
        <v>0</v>
      </c>
      <c r="AC74" s="42">
        <f>$I$31*$AC$31</f>
        <v>0</v>
      </c>
      <c r="AD74" s="42">
        <f>$I$31*$AD$31</f>
        <v>0</v>
      </c>
      <c r="AE74" s="42">
        <f>$I$31*$AE$31</f>
        <v>0</v>
      </c>
      <c r="AF74" s="42">
        <f>$I$31*$AF$31</f>
        <v>0</v>
      </c>
      <c r="AG74" s="42">
        <f>$I$31*$AG$31</f>
        <v>0</v>
      </c>
      <c r="AH74" s="42">
        <f>$I$31*$AH$31</f>
        <v>0</v>
      </c>
    </row>
    <row r="75" spans="1:34" ht="11.25" customHeight="1" x14ac:dyDescent="0.25">
      <c r="A75" s="9" t="s">
        <v>43</v>
      </c>
      <c r="B75" s="9" t="s">
        <v>1101</v>
      </c>
      <c r="C75" s="9" t="s">
        <v>1102</v>
      </c>
      <c r="D75" s="9" t="s">
        <v>1123</v>
      </c>
      <c r="E75" s="9" t="s">
        <v>1124</v>
      </c>
      <c r="F75" s="9" t="s">
        <v>1125</v>
      </c>
      <c r="G75" s="9" t="s">
        <v>1126</v>
      </c>
      <c r="L75" s="42">
        <f>$I$32*$L$32</f>
        <v>0</v>
      </c>
      <c r="M75" s="42">
        <f>$I$32*$M$32</f>
        <v>0</v>
      </c>
      <c r="N75" s="42">
        <f>$I$32*$N$32</f>
        <v>0</v>
      </c>
      <c r="O75" s="42">
        <f>$I$32*$O$32</f>
        <v>0</v>
      </c>
      <c r="P75" s="42">
        <f>$I$32*$P$32</f>
        <v>0</v>
      </c>
      <c r="Q75" s="42">
        <f>$I$32*$Q$32</f>
        <v>0</v>
      </c>
      <c r="R75" s="42">
        <f>$I$32*$R$32</f>
        <v>0</v>
      </c>
      <c r="S75" s="42">
        <f>$I$32*$S$32</f>
        <v>0</v>
      </c>
      <c r="T75" s="42">
        <f>$I$32*$T$32</f>
        <v>0</v>
      </c>
      <c r="U75" s="42">
        <f>$I$32*$U$32</f>
        <v>0</v>
      </c>
      <c r="V75" s="42">
        <f>$I$32*$V$32</f>
        <v>0</v>
      </c>
      <c r="X75" s="42">
        <f>$I$32*$X$32</f>
        <v>0</v>
      </c>
      <c r="Y75" s="42">
        <f>$I$32*$Y$32</f>
        <v>0</v>
      </c>
      <c r="Z75" s="42">
        <f>$I$32*$Z$32</f>
        <v>0</v>
      </c>
      <c r="AA75" s="42">
        <f>$I$32*$AA$32</f>
        <v>0</v>
      </c>
      <c r="AB75" s="42">
        <f>$I$32*$AB$32</f>
        <v>0</v>
      </c>
      <c r="AC75" s="42">
        <f>$I$32*$AC$32</f>
        <v>0</v>
      </c>
      <c r="AD75" s="42">
        <f>$I$32*$AD$32</f>
        <v>0</v>
      </c>
      <c r="AE75" s="42">
        <f>$I$32*$AE$32</f>
        <v>0</v>
      </c>
      <c r="AF75" s="42">
        <f>$I$32*$AF$32</f>
        <v>0</v>
      </c>
      <c r="AG75" s="42">
        <f>$I$32*$AG$32</f>
        <v>0</v>
      </c>
      <c r="AH75" s="42">
        <f>$I$32*$AH$32</f>
        <v>0</v>
      </c>
    </row>
    <row r="76" spans="1:34" ht="11.25" customHeight="1" x14ac:dyDescent="0.25">
      <c r="A76" s="9" t="s">
        <v>43</v>
      </c>
      <c r="B76" s="9" t="s">
        <v>1127</v>
      </c>
      <c r="C76" s="9" t="s">
        <v>1128</v>
      </c>
      <c r="D76" s="9" t="s">
        <v>1129</v>
      </c>
      <c r="E76" s="9" t="s">
        <v>1130</v>
      </c>
      <c r="F76" s="9" t="s">
        <v>1131</v>
      </c>
      <c r="G76" s="9" t="s">
        <v>1132</v>
      </c>
      <c r="L76" s="42">
        <f>$I$33*$L$33</f>
        <v>0</v>
      </c>
      <c r="M76" s="42">
        <f>$I$33*$M$33</f>
        <v>0</v>
      </c>
      <c r="N76" s="42">
        <f>$I$33*$N$33</f>
        <v>0</v>
      </c>
      <c r="O76" s="42">
        <f>$I$33*$O$33</f>
        <v>0</v>
      </c>
      <c r="P76" s="42">
        <f>$I$33*$P$33</f>
        <v>0</v>
      </c>
      <c r="Q76" s="42">
        <f>$I$33*$Q$33</f>
        <v>0</v>
      </c>
      <c r="R76" s="42">
        <f>$I$33*$R$33</f>
        <v>0</v>
      </c>
      <c r="S76" s="42">
        <f>$I$33*$S$33</f>
        <v>0</v>
      </c>
      <c r="T76" s="42">
        <f>$I$33*$T$33</f>
        <v>0</v>
      </c>
      <c r="U76" s="42">
        <f>$I$33*$U$33</f>
        <v>0</v>
      </c>
      <c r="V76" s="42">
        <f>$I$33*$V$33</f>
        <v>0</v>
      </c>
      <c r="X76" s="42">
        <f>$I$33*$X$33</f>
        <v>0</v>
      </c>
      <c r="Y76" s="42">
        <f>$I$33*$Y$33</f>
        <v>0</v>
      </c>
      <c r="Z76" s="42">
        <f>$I$33*$Z$33</f>
        <v>0</v>
      </c>
      <c r="AA76" s="42">
        <f>$I$33*$AA$33</f>
        <v>0</v>
      </c>
      <c r="AB76" s="42">
        <f>$I$33*$AB$33</f>
        <v>0</v>
      </c>
      <c r="AC76" s="42">
        <f>$I$33*$AC$33</f>
        <v>0</v>
      </c>
      <c r="AD76" s="42">
        <f>$I$33*$AD$33</f>
        <v>0</v>
      </c>
      <c r="AE76" s="42">
        <f>$I$33*$AE$33</f>
        <v>0</v>
      </c>
      <c r="AF76" s="42">
        <f>$I$33*$AF$33</f>
        <v>0</v>
      </c>
      <c r="AG76" s="42">
        <f>$I$33*$AG$33</f>
        <v>0</v>
      </c>
      <c r="AH76" s="42">
        <f>$I$33*$AH$33</f>
        <v>0</v>
      </c>
    </row>
    <row r="77" spans="1:34" ht="11.25" customHeight="1" x14ac:dyDescent="0.25">
      <c r="A77" s="9" t="s">
        <v>43</v>
      </c>
      <c r="B77" s="9" t="s">
        <v>1127</v>
      </c>
      <c r="C77" s="9" t="s">
        <v>1128</v>
      </c>
      <c r="D77" s="9" t="s">
        <v>1133</v>
      </c>
      <c r="E77" s="9" t="s">
        <v>1134</v>
      </c>
      <c r="F77" s="9" t="s">
        <v>1135</v>
      </c>
      <c r="G77" s="9" t="s">
        <v>1136</v>
      </c>
      <c r="L77" s="42">
        <f>$I$34*$L$34</f>
        <v>0</v>
      </c>
      <c r="M77" s="42">
        <f>$I$34*$M$34</f>
        <v>0</v>
      </c>
      <c r="N77" s="42">
        <f>$I$34*$N$34</f>
        <v>0</v>
      </c>
      <c r="O77" s="42">
        <f>$I$34*$O$34</f>
        <v>0</v>
      </c>
      <c r="P77" s="42">
        <f>$I$34*$P$34</f>
        <v>0</v>
      </c>
      <c r="Q77" s="42">
        <f>$I$34*$Q$34</f>
        <v>0</v>
      </c>
      <c r="R77" s="42">
        <f>$I$34*$R$34</f>
        <v>0</v>
      </c>
      <c r="S77" s="42">
        <f>$I$34*$S$34</f>
        <v>0</v>
      </c>
      <c r="T77" s="42">
        <f>$I$34*$T$34</f>
        <v>0</v>
      </c>
      <c r="U77" s="42">
        <f>$I$34*$U$34</f>
        <v>0</v>
      </c>
      <c r="V77" s="42">
        <f>$I$34*$V$34</f>
        <v>0</v>
      </c>
      <c r="X77" s="42">
        <f>$I$34*$X$34</f>
        <v>0</v>
      </c>
      <c r="Y77" s="42">
        <f>$I$34*$Y$34</f>
        <v>0</v>
      </c>
      <c r="Z77" s="42">
        <f>$I$34*$Z$34</f>
        <v>0</v>
      </c>
      <c r="AA77" s="42">
        <f>$I$34*$AA$34</f>
        <v>0</v>
      </c>
      <c r="AB77" s="42">
        <f>$I$34*$AB$34</f>
        <v>0</v>
      </c>
      <c r="AC77" s="42">
        <f>$I$34*$AC$34</f>
        <v>0</v>
      </c>
      <c r="AD77" s="42">
        <f>$I$34*$AD$34</f>
        <v>0</v>
      </c>
      <c r="AE77" s="42">
        <f>$I$34*$AE$34</f>
        <v>0</v>
      </c>
      <c r="AF77" s="42">
        <f>$I$34*$AF$34</f>
        <v>0</v>
      </c>
      <c r="AG77" s="42">
        <f>$I$34*$AG$34</f>
        <v>0</v>
      </c>
      <c r="AH77" s="42">
        <f>$I$34*$AH$34</f>
        <v>0</v>
      </c>
    </row>
    <row r="78" spans="1:34" ht="11.25" customHeight="1" x14ac:dyDescent="0.25">
      <c r="A78" s="9" t="s">
        <v>43</v>
      </c>
      <c r="B78" s="9" t="s">
        <v>1127</v>
      </c>
      <c r="C78" s="9" t="s">
        <v>1128</v>
      </c>
      <c r="D78" s="9" t="s">
        <v>1137</v>
      </c>
      <c r="E78" s="9" t="s">
        <v>1138</v>
      </c>
      <c r="F78" s="9" t="s">
        <v>1139</v>
      </c>
      <c r="G78" s="9" t="s">
        <v>1140</v>
      </c>
      <c r="L78" s="42">
        <f>$I$35*$L$35</f>
        <v>0</v>
      </c>
      <c r="M78" s="42">
        <f>$I$35*$M$35</f>
        <v>0</v>
      </c>
      <c r="N78" s="42">
        <f>$I$35*$N$35</f>
        <v>0</v>
      </c>
      <c r="O78" s="42">
        <f>$I$35*$O$35</f>
        <v>0</v>
      </c>
      <c r="P78" s="42">
        <f>$I$35*$P$35</f>
        <v>0</v>
      </c>
      <c r="Q78" s="42">
        <f>$I$35*$Q$35</f>
        <v>0</v>
      </c>
      <c r="R78" s="42">
        <f>$I$35*$R$35</f>
        <v>0</v>
      </c>
      <c r="S78" s="42">
        <f>$I$35*$S$35</f>
        <v>0</v>
      </c>
      <c r="T78" s="42">
        <f>$I$35*$T$35</f>
        <v>0</v>
      </c>
      <c r="U78" s="42">
        <f>$I$35*$U$35</f>
        <v>0</v>
      </c>
      <c r="V78" s="42">
        <f>$I$35*$V$35</f>
        <v>0</v>
      </c>
      <c r="X78" s="42">
        <f>$I$35*$X$35</f>
        <v>0</v>
      </c>
      <c r="Y78" s="42">
        <f>$I$35*$Y$35</f>
        <v>0</v>
      </c>
      <c r="Z78" s="42">
        <f>$I$35*$Z$35</f>
        <v>0</v>
      </c>
      <c r="AA78" s="42">
        <f>$I$35*$AA$35</f>
        <v>0</v>
      </c>
      <c r="AB78" s="42">
        <f>$I$35*$AB$35</f>
        <v>0</v>
      </c>
      <c r="AC78" s="42">
        <f>$I$35*$AC$35</f>
        <v>0</v>
      </c>
      <c r="AD78" s="42">
        <f>$I$35*$AD$35</f>
        <v>0</v>
      </c>
      <c r="AE78" s="42">
        <f>$I$35*$AE$35</f>
        <v>0</v>
      </c>
      <c r="AF78" s="42">
        <f>$I$35*$AF$35</f>
        <v>0</v>
      </c>
      <c r="AG78" s="42">
        <f>$I$35*$AG$35</f>
        <v>0</v>
      </c>
      <c r="AH78" s="42">
        <f>$I$35*$AH$35</f>
        <v>0</v>
      </c>
    </row>
    <row r="79" spans="1:34" ht="11.25" customHeight="1" x14ac:dyDescent="0.25">
      <c r="A79" s="9" t="s">
        <v>37</v>
      </c>
      <c r="B79" s="9" t="s">
        <v>1141</v>
      </c>
      <c r="C79" s="9" t="s">
        <v>1142</v>
      </c>
      <c r="D79" s="9" t="s">
        <v>1143</v>
      </c>
      <c r="E79" s="9" t="s">
        <v>1144</v>
      </c>
      <c r="F79" s="9" t="s">
        <v>1145</v>
      </c>
      <c r="G79" s="9" t="s">
        <v>1146</v>
      </c>
      <c r="L79" s="42">
        <f>$I$36*$L$36</f>
        <v>128.0030016273839</v>
      </c>
      <c r="M79" s="42">
        <f>$I$36*$M$36</f>
        <v>0</v>
      </c>
      <c r="N79" s="42">
        <f>$I$36*$N$36</f>
        <v>0</v>
      </c>
      <c r="O79" s="42">
        <f>$I$36*$O$36</f>
        <v>34.646022597561576</v>
      </c>
      <c r="P79" s="42">
        <f>$I$36*$P$36</f>
        <v>0</v>
      </c>
      <c r="Q79" s="42">
        <f>$I$36*$Q$36</f>
        <v>20596.796847255053</v>
      </c>
      <c r="R79" s="42">
        <f>$I$36*$R$36</f>
        <v>0</v>
      </c>
      <c r="S79" s="42">
        <f>$I$36*$S$36</f>
        <v>0</v>
      </c>
      <c r="T79" s="42">
        <f>$I$36*$T$36</f>
        <v>0</v>
      </c>
      <c r="U79" s="42">
        <f>$I$36*$U$36</f>
        <v>0</v>
      </c>
      <c r="V79" s="42">
        <f>$I$36*$V$36</f>
        <v>0</v>
      </c>
      <c r="X79" s="42">
        <f>$I$36*$X$36</f>
        <v>95.26180858156458</v>
      </c>
      <c r="Y79" s="42">
        <f>$I$36*$Y$36</f>
        <v>0</v>
      </c>
      <c r="Z79" s="42">
        <f>$I$36*$Z$36</f>
        <v>0</v>
      </c>
      <c r="AA79" s="42">
        <f>$I$36*$AA$36</f>
        <v>0</v>
      </c>
      <c r="AB79" s="42">
        <f>$I$36*$AB$36</f>
        <v>0</v>
      </c>
      <c r="AC79" s="42">
        <f>$I$36*$AC$36</f>
        <v>16432.008513299577</v>
      </c>
      <c r="AD79" s="42">
        <f>$I$36*$AD$36</f>
        <v>0</v>
      </c>
      <c r="AE79" s="42">
        <f>$I$36*$AE$36</f>
        <v>0</v>
      </c>
      <c r="AF79" s="42">
        <f>$I$36*$AF$36</f>
        <v>0</v>
      </c>
      <c r="AG79" s="42">
        <f>$I$36*$AG$36</f>
        <v>0</v>
      </c>
      <c r="AH79" s="42">
        <f>$I$36*$AH$36</f>
        <v>0</v>
      </c>
    </row>
    <row r="80" spans="1:34" ht="11.25" customHeight="1" x14ac:dyDescent="0.25">
      <c r="A80" s="9" t="s">
        <v>37</v>
      </c>
      <c r="B80" s="9" t="s">
        <v>1141</v>
      </c>
      <c r="C80" s="9" t="s">
        <v>1142</v>
      </c>
      <c r="D80" s="9" t="s">
        <v>1143</v>
      </c>
      <c r="E80" s="9" t="s">
        <v>1144</v>
      </c>
      <c r="F80" s="9" t="s">
        <v>1145</v>
      </c>
      <c r="G80" s="9" t="s">
        <v>1147</v>
      </c>
      <c r="L80" s="42">
        <f>$I$37*$L$37</f>
        <v>88.332179617872015</v>
      </c>
      <c r="M80" s="42">
        <f>$I$37*$M$37</f>
        <v>0</v>
      </c>
      <c r="N80" s="42">
        <f>$I$37*$N$37</f>
        <v>0</v>
      </c>
      <c r="O80" s="42">
        <f>$I$37*$O$37</f>
        <v>23.908491615230641</v>
      </c>
      <c r="P80" s="42">
        <f>$I$37*$P$37</f>
        <v>0</v>
      </c>
      <c r="Q80" s="42">
        <f>$I$37*$Q$37</f>
        <v>8263.6141682629022</v>
      </c>
      <c r="R80" s="42">
        <f>$I$37*$R$37</f>
        <v>0</v>
      </c>
      <c r="S80" s="42">
        <f>$I$37*$S$37</f>
        <v>0</v>
      </c>
      <c r="T80" s="42">
        <f>$I$37*$T$37</f>
        <v>0</v>
      </c>
      <c r="U80" s="42">
        <f>$I$37*$U$37</f>
        <v>0</v>
      </c>
      <c r="V80" s="42">
        <f>$I$37*$V$37</f>
        <v>0</v>
      </c>
      <c r="X80" s="42">
        <f>$I$37*$X$37</f>
        <v>65.738170819190671</v>
      </c>
      <c r="Y80" s="42">
        <f>$I$37*$Y$37</f>
        <v>0</v>
      </c>
      <c r="Z80" s="42">
        <f>$I$37*$Z$37</f>
        <v>0</v>
      </c>
      <c r="AA80" s="42">
        <f>$I$37*$AA$37</f>
        <v>0</v>
      </c>
      <c r="AB80" s="42">
        <f>$I$37*$AB$37</f>
        <v>0</v>
      </c>
      <c r="AC80" s="42">
        <f>$I$37*$AC$37</f>
        <v>6592.6648386404513</v>
      </c>
      <c r="AD80" s="42">
        <f>$I$37*$AD$37</f>
        <v>0</v>
      </c>
      <c r="AE80" s="42">
        <f>$I$37*$AE$37</f>
        <v>0</v>
      </c>
      <c r="AF80" s="42">
        <f>$I$37*$AF$37</f>
        <v>0</v>
      </c>
      <c r="AG80" s="42">
        <f>$I$37*$AG$37</f>
        <v>0</v>
      </c>
      <c r="AH80" s="42">
        <f>$I$37*$AH$37</f>
        <v>0</v>
      </c>
    </row>
    <row r="81" spans="1:34" ht="11.25" customHeight="1" x14ac:dyDescent="0.25">
      <c r="A81" s="9" t="s">
        <v>37</v>
      </c>
      <c r="B81" s="9" t="s">
        <v>1141</v>
      </c>
      <c r="C81" s="9" t="s">
        <v>1142</v>
      </c>
      <c r="D81" s="9" t="s">
        <v>1143</v>
      </c>
      <c r="E81" s="9" t="s">
        <v>1144</v>
      </c>
      <c r="F81" s="9" t="s">
        <v>1145</v>
      </c>
      <c r="G81" s="9" t="s">
        <v>1148</v>
      </c>
      <c r="L81" s="42">
        <f>$I$38*$L$38</f>
        <v>3955.1327549020884</v>
      </c>
      <c r="M81" s="42">
        <f>$I$38*$M$38</f>
        <v>0</v>
      </c>
      <c r="N81" s="42">
        <f>$I$38*$N$38</f>
        <v>0</v>
      </c>
      <c r="O81" s="42">
        <f>$I$38*$O$38</f>
        <v>1070.5187930013255</v>
      </c>
      <c r="P81" s="42">
        <f>$I$38*$P$38</f>
        <v>0</v>
      </c>
      <c r="Q81" s="42">
        <f>$I$38*$Q$38</f>
        <v>370008.88251779054</v>
      </c>
      <c r="R81" s="42">
        <f>$I$38*$R$38</f>
        <v>0</v>
      </c>
      <c r="S81" s="42">
        <f>$I$38*$S$38</f>
        <v>0</v>
      </c>
      <c r="T81" s="42">
        <f>$I$38*$T$38</f>
        <v>0</v>
      </c>
      <c r="U81" s="42">
        <f>$I$38*$U$38</f>
        <v>0</v>
      </c>
      <c r="V81" s="42">
        <f>$I$38*$V$38</f>
        <v>0</v>
      </c>
      <c r="X81" s="42">
        <f>$I$38*$X$38</f>
        <v>2943.4708141371834</v>
      </c>
      <c r="Y81" s="42">
        <f>$I$38*$Y$38</f>
        <v>0</v>
      </c>
      <c r="Z81" s="42">
        <f>$I$38*$Z$38</f>
        <v>0</v>
      </c>
      <c r="AA81" s="42">
        <f>$I$38*$AA$38</f>
        <v>0</v>
      </c>
      <c r="AB81" s="42">
        <f>$I$38*$AB$38</f>
        <v>0</v>
      </c>
      <c r="AC81" s="42">
        <f>$I$38*$AC$38</f>
        <v>295191.00239798089</v>
      </c>
      <c r="AD81" s="42">
        <f>$I$38*$AD$38</f>
        <v>0</v>
      </c>
      <c r="AE81" s="42">
        <f>$I$38*$AE$38</f>
        <v>0</v>
      </c>
      <c r="AF81" s="42">
        <f>$I$38*$AF$38</f>
        <v>0</v>
      </c>
      <c r="AG81" s="42">
        <f>$I$38*$AG$38</f>
        <v>0</v>
      </c>
      <c r="AH81" s="42">
        <f>$I$38*$AH$38</f>
        <v>0</v>
      </c>
    </row>
    <row r="82" spans="1:34" ht="11.25" customHeight="1" x14ac:dyDescent="0.25">
      <c r="A82" s="9" t="s">
        <v>37</v>
      </c>
      <c r="B82" s="9" t="s">
        <v>1149</v>
      </c>
      <c r="C82" s="9" t="s">
        <v>1150</v>
      </c>
      <c r="D82" s="9" t="s">
        <v>1151</v>
      </c>
      <c r="E82" s="9" t="s">
        <v>1152</v>
      </c>
      <c r="F82" s="9" t="s">
        <v>1153</v>
      </c>
      <c r="G82" s="9" t="s">
        <v>1154</v>
      </c>
      <c r="L82" s="42">
        <f>$I$39*$L$39</f>
        <v>660423.93230272457</v>
      </c>
      <c r="M82" s="42">
        <f>$I$39*$M$39</f>
        <v>0</v>
      </c>
      <c r="N82" s="42">
        <f>$I$39*$N$39</f>
        <v>0</v>
      </c>
      <c r="O82" s="42">
        <f>$I$39*$O$39</f>
        <v>178754.10882267694</v>
      </c>
      <c r="P82" s="42">
        <f>$I$39*$P$39</f>
        <v>0</v>
      </c>
      <c r="Q82" s="42">
        <f>$I$39*$Q$39</f>
        <v>65490718.138109259</v>
      </c>
      <c r="R82" s="42">
        <f>$I$39*$R$39</f>
        <v>0</v>
      </c>
      <c r="S82" s="42">
        <f>$I$39*$S$39</f>
        <v>0</v>
      </c>
      <c r="T82" s="42">
        <f>$I$39*$T$39</f>
        <v>0</v>
      </c>
      <c r="U82" s="42">
        <f>$I$39*$U$39</f>
        <v>0</v>
      </c>
      <c r="V82" s="42">
        <f>$I$39*$V$39</f>
        <v>0</v>
      </c>
      <c r="X82" s="42">
        <f>$I$39*$X$39</f>
        <v>491497.67913135554</v>
      </c>
      <c r="Y82" s="42">
        <f>$I$39*$Y$39</f>
        <v>0</v>
      </c>
      <c r="Z82" s="42">
        <f>$I$39*$Z$39</f>
        <v>0</v>
      </c>
      <c r="AA82" s="42">
        <f>$I$39*$AA$39</f>
        <v>0</v>
      </c>
      <c r="AB82" s="42">
        <f>$I$39*$AB$39</f>
        <v>0</v>
      </c>
      <c r="AC82" s="42">
        <f>$I$39*$AC$39</f>
        <v>52248126.05417008</v>
      </c>
      <c r="AD82" s="42">
        <f>$I$39*$AD$39</f>
        <v>0</v>
      </c>
      <c r="AE82" s="42">
        <f>$I$39*$AE$39</f>
        <v>0</v>
      </c>
      <c r="AF82" s="42">
        <f>$I$39*$AF$39</f>
        <v>0</v>
      </c>
      <c r="AG82" s="42">
        <f>$I$39*$AG$39</f>
        <v>0</v>
      </c>
      <c r="AH82" s="42">
        <f>$I$39*$AH$39</f>
        <v>0</v>
      </c>
    </row>
    <row r="83" spans="1:34" ht="11.25" customHeight="1" x14ac:dyDescent="0.25">
      <c r="A83" s="9" t="s">
        <v>37</v>
      </c>
      <c r="B83" s="9" t="s">
        <v>1155</v>
      </c>
      <c r="C83" s="9" t="s">
        <v>1156</v>
      </c>
      <c r="D83" s="9" t="s">
        <v>1157</v>
      </c>
      <c r="E83" s="9" t="s">
        <v>1158</v>
      </c>
      <c r="F83" s="9" t="s">
        <v>1159</v>
      </c>
      <c r="G83" s="9" t="s">
        <v>1160</v>
      </c>
      <c r="L83" s="42">
        <f>$I$40*$L$40</f>
        <v>0</v>
      </c>
      <c r="M83" s="42">
        <f>$I$40*$M$40</f>
        <v>0</v>
      </c>
      <c r="N83" s="42">
        <f>$I$40*$N$40</f>
        <v>0</v>
      </c>
      <c r="O83" s="42">
        <f>$I$40*$O$40</f>
        <v>0</v>
      </c>
      <c r="P83" s="42">
        <f>$I$40*$P$40</f>
        <v>0</v>
      </c>
      <c r="Q83" s="42">
        <f>$I$40*$Q$40</f>
        <v>0</v>
      </c>
      <c r="R83" s="42">
        <f>$I$40*$R$40</f>
        <v>0</v>
      </c>
      <c r="S83" s="42">
        <f>$I$40*$S$40</f>
        <v>0</v>
      </c>
      <c r="T83" s="42">
        <f>$I$40*$T$40</f>
        <v>0</v>
      </c>
      <c r="U83" s="42">
        <f>$I$40*$U$40</f>
        <v>0</v>
      </c>
      <c r="V83" s="42">
        <f>$I$40*$V$40</f>
        <v>0</v>
      </c>
      <c r="X83" s="42">
        <f>$I$40*$X$40</f>
        <v>0</v>
      </c>
      <c r="Y83" s="42">
        <f>$I$40*$Y$40</f>
        <v>0</v>
      </c>
      <c r="Z83" s="42">
        <f>$I$40*$Z$40</f>
        <v>0</v>
      </c>
      <c r="AA83" s="42">
        <f>$I$40*$AA$40</f>
        <v>0</v>
      </c>
      <c r="AB83" s="42">
        <f>$I$40*$AB$40</f>
        <v>0</v>
      </c>
      <c r="AC83" s="42">
        <f>$I$40*$AC$40</f>
        <v>0</v>
      </c>
      <c r="AD83" s="42">
        <f>$I$40*$AD$40</f>
        <v>0</v>
      </c>
      <c r="AE83" s="42">
        <f>$I$40*$AE$40</f>
        <v>0</v>
      </c>
      <c r="AF83" s="42">
        <f>$I$40*$AF$40</f>
        <v>0</v>
      </c>
      <c r="AG83" s="42">
        <f>$I$40*$AG$40</f>
        <v>0</v>
      </c>
      <c r="AH83" s="42">
        <f>$I$40*$AH$40</f>
        <v>0</v>
      </c>
    </row>
    <row r="84" spans="1:34" ht="11.25" customHeight="1" x14ac:dyDescent="0.25">
      <c r="A84" s="9" t="s">
        <v>46</v>
      </c>
      <c r="B84" s="9" t="s">
        <v>1161</v>
      </c>
      <c r="C84" s="9" t="s">
        <v>1162</v>
      </c>
      <c r="D84" s="9" t="s">
        <v>1163</v>
      </c>
      <c r="E84" s="9" t="s">
        <v>1164</v>
      </c>
      <c r="F84" s="9" t="s">
        <v>1165</v>
      </c>
      <c r="G84" s="9" t="s">
        <v>1166</v>
      </c>
      <c r="L84" s="42">
        <f>$I$41*$L$41</f>
        <v>78233.185621883822</v>
      </c>
      <c r="M84" s="42">
        <f>$I$41*$M$41</f>
        <v>0</v>
      </c>
      <c r="N84" s="42">
        <f>$I$41*$N$41</f>
        <v>0</v>
      </c>
      <c r="O84" s="42">
        <f>$I$41*$O$41</f>
        <v>21175.040291829853</v>
      </c>
      <c r="P84" s="42">
        <f>$I$41*$P$41</f>
        <v>0</v>
      </c>
      <c r="Q84" s="42">
        <f>$I$41*$Q$41</f>
        <v>7757967.6598707037</v>
      </c>
      <c r="R84" s="42">
        <f>$I$41*$R$41</f>
        <v>0</v>
      </c>
      <c r="S84" s="42">
        <f>$I$41*$S$41</f>
        <v>0</v>
      </c>
      <c r="T84" s="42">
        <f>$I$41*$T$41</f>
        <v>0</v>
      </c>
      <c r="U84" s="42">
        <f>$I$41*$U$41</f>
        <v>0</v>
      </c>
      <c r="V84" s="42">
        <f>$I$41*$V$41</f>
        <v>0</v>
      </c>
      <c r="X84" s="42">
        <f>$I$41*$X$41</f>
        <v>58222.343684818305</v>
      </c>
      <c r="Y84" s="42">
        <f>$I$41*$Y$41</f>
        <v>0</v>
      </c>
      <c r="Z84" s="42">
        <f>$I$41*$Z$41</f>
        <v>0</v>
      </c>
      <c r="AA84" s="42">
        <f>$I$41*$AA$41</f>
        <v>0</v>
      </c>
      <c r="AB84" s="42">
        <f>$I$41*$AB$41</f>
        <v>0</v>
      </c>
      <c r="AC84" s="42">
        <f>$I$41*$AC$41</f>
        <v>6189262.9022986731</v>
      </c>
      <c r="AD84" s="42">
        <f>$I$41*$AD$41</f>
        <v>0</v>
      </c>
      <c r="AE84" s="42">
        <f>$I$41*$AE$41</f>
        <v>0</v>
      </c>
      <c r="AF84" s="42">
        <f>$I$41*$AF$41</f>
        <v>0</v>
      </c>
      <c r="AG84" s="42">
        <f>$I$41*$AG$41</f>
        <v>0</v>
      </c>
      <c r="AH84" s="42">
        <f>$I$41*$AH$41</f>
        <v>0</v>
      </c>
    </row>
    <row r="85" spans="1:34" ht="11.25" customHeight="1" x14ac:dyDescent="0.25">
      <c r="A85" s="9" t="s">
        <v>46</v>
      </c>
      <c r="B85" s="9" t="s">
        <v>1161</v>
      </c>
      <c r="C85" s="9" t="s">
        <v>1162</v>
      </c>
      <c r="D85" s="9" t="s">
        <v>1167</v>
      </c>
      <c r="E85" s="9" t="s">
        <v>1168</v>
      </c>
      <c r="F85" s="9" t="s">
        <v>1169</v>
      </c>
      <c r="G85" s="9" t="s">
        <v>1170</v>
      </c>
      <c r="L85" s="42">
        <f>$I$42*$L$42</f>
        <v>0</v>
      </c>
      <c r="M85" s="42">
        <f>$I$42*$M$42</f>
        <v>0</v>
      </c>
      <c r="N85" s="42">
        <f>$I$42*$N$42</f>
        <v>0</v>
      </c>
      <c r="O85" s="42">
        <f>$I$42*$O$42</f>
        <v>0</v>
      </c>
      <c r="P85" s="42">
        <f>$I$42*$P$42</f>
        <v>0</v>
      </c>
      <c r="Q85" s="42">
        <f>$I$42*$Q$42</f>
        <v>0</v>
      </c>
      <c r="R85" s="42">
        <f>$I$42*$R$42</f>
        <v>0</v>
      </c>
      <c r="S85" s="42">
        <f>$I$42*$S$42</f>
        <v>0</v>
      </c>
      <c r="T85" s="42">
        <f>$I$42*$T$42</f>
        <v>0</v>
      </c>
      <c r="U85" s="42">
        <f>$I$42*$U$42</f>
        <v>0</v>
      </c>
      <c r="V85" s="42">
        <f>$I$42*$V$42</f>
        <v>0</v>
      </c>
      <c r="X85" s="42">
        <f>$I$42*$X$42</f>
        <v>0</v>
      </c>
      <c r="Y85" s="42">
        <f>$I$42*$Y$42</f>
        <v>0</v>
      </c>
      <c r="Z85" s="42">
        <f>$I$42*$Z$42</f>
        <v>0</v>
      </c>
      <c r="AA85" s="42">
        <f>$I$42*$AA$42</f>
        <v>0</v>
      </c>
      <c r="AB85" s="42">
        <f>$I$42*$AB$42</f>
        <v>0</v>
      </c>
      <c r="AC85" s="42">
        <f>$I$42*$AC$42</f>
        <v>0</v>
      </c>
      <c r="AD85" s="42">
        <f>$I$42*$AD$42</f>
        <v>0</v>
      </c>
      <c r="AE85" s="42">
        <f>$I$42*$AE$42</f>
        <v>0</v>
      </c>
      <c r="AF85" s="42">
        <f>$I$42*$AF$42</f>
        <v>0</v>
      </c>
      <c r="AG85" s="42">
        <f>$I$42*$AG$42</f>
        <v>0</v>
      </c>
      <c r="AH85" s="42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0728-1AF5-4591-B458-5B8FF05949E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7.28515625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10" style="14" bestFit="1" customWidth="1"/>
    <col min="13" max="13" width="9.7109375" style="14" bestFit="1" customWidth="1"/>
    <col min="14" max="14" width="6" style="14" bestFit="1" customWidth="1"/>
    <col min="15" max="15" width="7.42578125" style="14" bestFit="1" customWidth="1"/>
    <col min="16" max="16" width="9.7109375" style="14" bestFit="1" customWidth="1"/>
    <col min="17" max="17" width="11.7109375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1.71093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62</v>
      </c>
      <c r="B1" s="14" t="s">
        <v>63</v>
      </c>
      <c r="C1" s="14" t="s">
        <v>64</v>
      </c>
      <c r="D1" s="14" t="s">
        <v>65</v>
      </c>
      <c r="E1" s="14" t="s">
        <v>66</v>
      </c>
      <c r="F1" s="14" t="s">
        <v>15</v>
      </c>
      <c r="G1" s="14" t="s">
        <v>68</v>
      </c>
      <c r="I1" s="14" t="s">
        <v>1178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82</v>
      </c>
      <c r="AB2" s="14" t="s">
        <v>40</v>
      </c>
      <c r="AC2" s="14" t="s">
        <v>24</v>
      </c>
      <c r="AD2" s="14" t="s">
        <v>24</v>
      </c>
      <c r="AE2" s="14" t="s">
        <v>80</v>
      </c>
      <c r="AG2" s="14" t="s">
        <v>78</v>
      </c>
    </row>
    <row r="3" spans="1:33" x14ac:dyDescent="0.2">
      <c r="AA3" s="14" t="s">
        <v>22</v>
      </c>
      <c r="AB3" s="14" t="s">
        <v>81</v>
      </c>
      <c r="AC3" s="14" t="s">
        <v>44</v>
      </c>
      <c r="AD3" s="14" t="s">
        <v>29</v>
      </c>
      <c r="AE3" s="14" t="s">
        <v>83</v>
      </c>
      <c r="AG3" s="14" t="s">
        <v>79</v>
      </c>
    </row>
    <row r="4" spans="1:33" x14ac:dyDescent="0.2">
      <c r="AA4" s="14" t="s">
        <v>43</v>
      </c>
      <c r="AB4" s="14" t="s">
        <v>41</v>
      </c>
      <c r="AC4" s="14" t="s">
        <v>47</v>
      </c>
      <c r="AD4" s="14" t="s">
        <v>30</v>
      </c>
      <c r="AE4" s="14" t="s">
        <v>84</v>
      </c>
      <c r="AG4" s="14" t="s">
        <v>76</v>
      </c>
    </row>
    <row r="5" spans="1:33" x14ac:dyDescent="0.2">
      <c r="A5" s="14" t="s">
        <v>1171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598</v>
      </c>
      <c r="AA5" s="14" t="s">
        <v>37</v>
      </c>
      <c r="AB5" s="14" t="s">
        <v>33</v>
      </c>
      <c r="AD5" s="14" t="s">
        <v>31</v>
      </c>
      <c r="AG5" s="14" t="s">
        <v>9</v>
      </c>
    </row>
    <row r="6" spans="1:33" x14ac:dyDescent="0.2">
      <c r="A6" s="14" t="s">
        <v>1172</v>
      </c>
      <c r="B6" s="18">
        <f>SUM(TUSD!$AI$57:'TUSD'!$AI$103)</f>
        <v>24262070.588382747</v>
      </c>
      <c r="C6" s="18">
        <f>SUM(TUSD!$AJ$57:'TUSD'!$AJ$103)</f>
        <v>2144029.681317566</v>
      </c>
      <c r="D6" s="18">
        <f>SUM(TUSD!$AK$57:'TUSD'!$AK$103)</f>
        <v>2969083.9238984864</v>
      </c>
      <c r="E6" s="18">
        <f>SUM(TUSD!$AL$57:'TUSD'!$AL$103)</f>
        <v>0</v>
      </c>
      <c r="F6" s="18">
        <f>SUM(TUSD!$AM$57:'TUSD'!$AM$103)</f>
        <v>0</v>
      </c>
      <c r="G6" s="18">
        <f>SUM(TUSD!$AN$57:'TUSD'!$AN$103)</f>
        <v>18178146.651068196</v>
      </c>
      <c r="H6" s="18">
        <f>SUM(TUSD!$AO$57:'TUSD'!$AO$103)</f>
        <v>0</v>
      </c>
      <c r="I6" s="18">
        <f>SUM(TUSD!$AP$57:'TUSD'!$AP$103)</f>
        <v>0</v>
      </c>
      <c r="J6" s="18">
        <f>SUM(TUSD!$AQ$57:'TUSD'!$AQ$103)</f>
        <v>0</v>
      </c>
      <c r="K6" s="18">
        <f>SUM(TUSD!$AR$57:'TUSD'!$AR$103)</f>
        <v>0</v>
      </c>
      <c r="L6" s="18">
        <f>SUM(TUSD!$AS$57:'TUSD'!$AS$103)</f>
        <v>5227210.6103477273</v>
      </c>
      <c r="M6" s="18">
        <f>SUM(TUSD!$AT$57:'TUSD'!$AT$103)</f>
        <v>0</v>
      </c>
      <c r="N6" s="18">
        <f>SUM(TUSD!$AU$57:'TUSD'!$AU$103)</f>
        <v>0</v>
      </c>
      <c r="O6" s="18">
        <f>SUM(TUSD!$AV$57:'TUSD'!$AV$103)</f>
        <v>0</v>
      </c>
      <c r="P6" s="18">
        <f>SUM(TUSD!$AW$57:'TUSD'!$AW$103)</f>
        <v>0</v>
      </c>
      <c r="Q6" s="18">
        <f>SUM(TUSD!$AX$57:'TUSD'!$AX$103)</f>
        <v>200252580.9264833</v>
      </c>
      <c r="R6" s="18">
        <f>SUM(TUSD!$AY$57:'TUSD'!$AY$103)</f>
        <v>0</v>
      </c>
      <c r="S6" s="18">
        <f>SUM(TUSD!$AZ$57:'TUSD'!$AZ$103)</f>
        <v>0</v>
      </c>
      <c r="T6" s="18">
        <f>SUM(TUSD!$BA$57:'TUSD'!$BA$103)</f>
        <v>27589142.23850657</v>
      </c>
      <c r="U6" s="18">
        <f>SUM(TUSD!$BB$57:'TUSD'!$BB$103)</f>
        <v>0</v>
      </c>
      <c r="V6" s="18">
        <f>SUM(TUSD!$BC$57:'TUSD'!$BC$103)</f>
        <v>43207043.158893615</v>
      </c>
      <c r="W6" s="18">
        <f>SUM(TUSD!$BD$57:'TUSD'!$BD$103)</f>
        <v>3202464.6753262165</v>
      </c>
      <c r="X6" s="18">
        <f t="shared" ref="X6:X11" si="0">SUM(B6:W6)</f>
        <v>327031772.45422447</v>
      </c>
      <c r="AA6" s="14" t="s">
        <v>46</v>
      </c>
      <c r="AB6" s="14" t="s">
        <v>23</v>
      </c>
      <c r="AD6" s="14" t="s">
        <v>32</v>
      </c>
      <c r="AG6" s="14" t="s">
        <v>73</v>
      </c>
    </row>
    <row r="7" spans="1:33" x14ac:dyDescent="0.2">
      <c r="A7" s="14" t="s">
        <v>1173</v>
      </c>
      <c r="B7" s="18">
        <f>SUM(TUSD!$L$57:'TUSD'!$L$103)</f>
        <v>14233249.014676316</v>
      </c>
      <c r="C7" s="18">
        <f>SUM(TUSD!$M$57:'TUSD'!$M$103)</f>
        <v>861962.99751911045</v>
      </c>
      <c r="D7" s="18">
        <f ca="1">SUM(TUSD!$N$57:'TUSD'!$N$103)</f>
        <v>3524365.3975121239</v>
      </c>
      <c r="E7" s="18">
        <f>SUM(TUSD!$O$57:'TUSD'!$O$103)</f>
        <v>0</v>
      </c>
      <c r="F7" s="18">
        <f>SUM(TUSD!$P$57:'TUSD'!$P$103)</f>
        <v>0</v>
      </c>
      <c r="G7" s="18">
        <f>SUM(TUSD!$Q$57:'TUSD'!$Q$103)</f>
        <v>45337768.932021536</v>
      </c>
      <c r="H7" s="18">
        <f>SUM(TUSD!$R$57:'TUSD'!$R$103)</f>
        <v>0</v>
      </c>
      <c r="I7" s="18">
        <f>SUM(TUSD!$S$57:'TUSD'!$S$103)</f>
        <v>0</v>
      </c>
      <c r="J7" s="18">
        <f>SUM(TUSD!$T$57:'TUSD'!$T$103)</f>
        <v>0</v>
      </c>
      <c r="K7" s="18">
        <f>SUM(TUSD!$U$57:'TUSD'!$U$103)</f>
        <v>0</v>
      </c>
      <c r="L7" s="18">
        <f>SUM(TUSD!$V$57:'TUSD'!$V$103)</f>
        <v>1874925.0911825784</v>
      </c>
      <c r="M7" s="18">
        <f>SUM(TUSD!$W$57:'TUSD'!$W$103)</f>
        <v>0</v>
      </c>
      <c r="N7" s="18">
        <f>SUM(TUSD!$X$57:'TUSD'!$X$103)</f>
        <v>0</v>
      </c>
      <c r="O7" s="18">
        <f>SUM(TUSD!$Y$57:'TUSD'!$Y$103)</f>
        <v>0</v>
      </c>
      <c r="P7" s="18">
        <f>SUM(TUSD!$Z$57:'TUSD'!$Z$103)</f>
        <v>0</v>
      </c>
      <c r="Q7" s="18">
        <f>SUM(TUSD!$AA$57:'TUSD'!$AA$103)</f>
        <v>265211463.12171239</v>
      </c>
      <c r="R7" s="18">
        <f ca="1">SUM(TUSD!$AB$57:'TUSD'!$AB$103)</f>
        <v>0</v>
      </c>
      <c r="S7" s="18">
        <f ca="1">SUM(TUSD!$AC$57:'TUSD'!$AC$103)</f>
        <v>0</v>
      </c>
      <c r="T7" s="18">
        <f>SUM(TUSD!$AD$57:'TUSD'!$AD$103)</f>
        <v>34466261.319531336</v>
      </c>
      <c r="U7" s="18">
        <f>SUM(TUSD!$AE$57:'TUSD'!$AE$103)</f>
        <v>0</v>
      </c>
      <c r="V7" s="18">
        <f ca="1">SUM(TUSD!$AF$57:'TUSD'!$AF$103)</f>
        <v>49472082.625534743</v>
      </c>
      <c r="W7" s="18">
        <f ca="1">SUM(TUSD!$AG$57:'TUSD'!$AG$103)</f>
        <v>5008960.5646938812</v>
      </c>
      <c r="X7" s="18">
        <f t="shared" ca="1" si="0"/>
        <v>419991039.06438404</v>
      </c>
      <c r="AB7" s="14" t="s">
        <v>87</v>
      </c>
      <c r="AD7" s="14" t="s">
        <v>88</v>
      </c>
      <c r="AG7" s="14" t="s">
        <v>74</v>
      </c>
    </row>
    <row r="8" spans="1:33" x14ac:dyDescent="0.2">
      <c r="A8" s="14" t="s">
        <v>1176</v>
      </c>
      <c r="B8" s="18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5140597.9910725299</v>
      </c>
      <c r="C8" s="18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402553.76396723831</v>
      </c>
      <c r="D8" s="18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330093.88658886013</v>
      </c>
      <c r="E8" s="18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8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8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3851548.6061048433</v>
      </c>
      <c r="H8" s="18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0</v>
      </c>
      <c r="I8" s="18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8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18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18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873764.90707245772</v>
      </c>
      <c r="M8" s="18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8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0</v>
      </c>
      <c r="O8" s="18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8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8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37921696.504603036</v>
      </c>
      <c r="R8" s="18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18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8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3300735.7720620572</v>
      </c>
      <c r="U8" s="18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8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8117009.5984472167</v>
      </c>
      <c r="W8" s="18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601624.98721849383</v>
      </c>
      <c r="X8" s="18">
        <f t="shared" si="0"/>
        <v>60539626.01713673</v>
      </c>
      <c r="AD8" s="14" t="s">
        <v>89</v>
      </c>
      <c r="AG8" s="14" t="s">
        <v>85</v>
      </c>
    </row>
    <row r="9" spans="1:33" x14ac:dyDescent="0.2">
      <c r="A9" s="14" t="s">
        <v>1177</v>
      </c>
      <c r="B9" s="18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2923581.025752252</v>
      </c>
      <c r="C9" s="18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162726.41573371174</v>
      </c>
      <c r="D9" s="18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398679.42802384589</v>
      </c>
      <c r="E9" s="18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8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8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9312606.0580351893</v>
      </c>
      <c r="H9" s="18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0</v>
      </c>
      <c r="I9" s="18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8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18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18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312417.66251589177</v>
      </c>
      <c r="M9" s="18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8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0</v>
      </c>
      <c r="O9" s="18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8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8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50068611.504917793</v>
      </c>
      <c r="R9" s="18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18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8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4109755.163372417</v>
      </c>
      <c r="U9" s="18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18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9268546.1359813306</v>
      </c>
      <c r="W9" s="18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938423.84681040188</v>
      </c>
      <c r="X9" s="18">
        <f t="shared" ca="1" si="0"/>
        <v>77495347.241142839</v>
      </c>
      <c r="AD9" s="14" t="s">
        <v>48</v>
      </c>
    </row>
    <row r="10" spans="1:33" x14ac:dyDescent="0.2">
      <c r="A10" s="14" t="s">
        <v>1174</v>
      </c>
      <c r="B10" s="18">
        <f>SUMIF(TUSD!$A$57:'TUSD'!$A$103,$A$2,TUSD!$AI$57:'TUSD'!$AI$103)</f>
        <v>5140597.9910725299</v>
      </c>
      <c r="C10" s="18">
        <f>SUMIF(TUSD!$A$57:'TUSD'!$A$103,$A$2,TUSD!$AJ$57:'TUSD'!$AJ$103)</f>
        <v>402553.76396723831</v>
      </c>
      <c r="D10" s="18">
        <f>SUMIF(TUSD!$A$57:'TUSD'!$A$103,$A$2,TUSD!$AK$57:'TUSD'!$AK$103)</f>
        <v>330093.88658886013</v>
      </c>
      <c r="E10" s="18">
        <f>SUMIF(TUSD!$A$57:'TUSD'!$A$103,$A$2,TUSD!$AL$57:'TUSD'!$AL$103)</f>
        <v>0</v>
      </c>
      <c r="F10" s="18">
        <f>SUMIF(TUSD!$A$57:'TUSD'!$A$103,$A$2,TUSD!$AM$57:'TUSD'!$AM$103)</f>
        <v>0</v>
      </c>
      <c r="G10" s="18">
        <f>SUMIF(TUSD!$A$57:'TUSD'!$A$103,$A$2,TUSD!$AN$57:'TUSD'!$AN$103)</f>
        <v>3851548.6061048433</v>
      </c>
      <c r="H10" s="18">
        <f>SUMIF(TUSD!$A$57:'TUSD'!$A$103,$A$2,TUSD!$AO$57:'TUSD'!$AO$103)</f>
        <v>0</v>
      </c>
      <c r="I10" s="18">
        <f>SUMIF(TUSD!$A$57:'TUSD'!$A$103,$A$2,TUSD!$AP$57:'TUSD'!$AP$103)</f>
        <v>0</v>
      </c>
      <c r="J10" s="18">
        <f>SUMIF(TUSD!$A$57:'TUSD'!$A$103,$A$2,TUSD!$AQ$57:'TUSD'!$AQ$103)</f>
        <v>0</v>
      </c>
      <c r="K10" s="18">
        <f>SUMIF(TUSD!$A$57:'TUSD'!$A$103,$A$2,TUSD!$AR$57:'TUSD'!$AR$103)</f>
        <v>0</v>
      </c>
      <c r="L10" s="18">
        <f>SUMIF(TUSD!$A$57:'TUSD'!$A$103,$A$2,TUSD!$AS$57:'TUSD'!$AS$103)</f>
        <v>873764.90707245772</v>
      </c>
      <c r="M10" s="18">
        <f>SUMIF(TUSD!$A$57:'TUSD'!$A$103,$A$2,TUSD!$AT$57:'TUSD'!$AT$103)</f>
        <v>0</v>
      </c>
      <c r="N10" s="18">
        <f>SUMIF(TUSD!$A$57:'TUSD'!$A$103,$A$2,TUSD!$AU$57:'TUSD'!$AU$103)</f>
        <v>0</v>
      </c>
      <c r="O10" s="18">
        <f>SUMIF(TUSD!$A$57:'TUSD'!$A$103,$A$2,TUSD!$AV$57:'TUSD'!$AV$103)</f>
        <v>0</v>
      </c>
      <c r="P10" s="18">
        <f>SUMIF(TUSD!$A$57:'TUSD'!$A$103,$A$2,TUSD!$AW$57:'TUSD'!$AW$103)</f>
        <v>0</v>
      </c>
      <c r="Q10" s="18">
        <f>SUMIF(TUSD!$A$57:'TUSD'!$A$103,$A$2,TUSD!$AX$57:'TUSD'!$AX$103)</f>
        <v>37921696.504603036</v>
      </c>
      <c r="R10" s="18">
        <f>SUMIF(TUSD!$A$57:'TUSD'!$A$103,$A$2,TUSD!$AY$57:'TUSD'!$AY$103)</f>
        <v>0</v>
      </c>
      <c r="S10" s="18">
        <f>SUMIF(TUSD!$A$57:'TUSD'!$A$103,$A$2,TUSD!$AZ$57:'TUSD'!$AZ$103)</f>
        <v>0</v>
      </c>
      <c r="T10" s="18">
        <f>SUMIF(TUSD!$A$57:'TUSD'!$A$103,$A$2,TUSD!$BA$57:'TUSD'!$BA$103)</f>
        <v>3300735.7720620572</v>
      </c>
      <c r="U10" s="18">
        <f>SUMIF(TUSD!$A$57:'TUSD'!$A$103,$A$2,TUSD!$BB$57:'TUSD'!$BB$103)</f>
        <v>0</v>
      </c>
      <c r="V10" s="18">
        <f>SUMIF(TUSD!$A$57:'TUSD'!$A$103,$A$2,TUSD!$BC$57:'TUSD'!$BC$103)</f>
        <v>8117009.5984472167</v>
      </c>
      <c r="W10" s="18">
        <f>SUMIF(TUSD!$A$57:'TUSD'!$A$103,$A$2,TUSD!$BD$57:'TUSD'!$BD$103)</f>
        <v>601624.98721849383</v>
      </c>
      <c r="X10" s="18">
        <f t="shared" si="0"/>
        <v>60539626.01713673</v>
      </c>
      <c r="AD10" s="14" t="s">
        <v>90</v>
      </c>
    </row>
    <row r="11" spans="1:33" x14ac:dyDescent="0.2">
      <c r="A11" s="14" t="s">
        <v>1175</v>
      </c>
      <c r="B11" s="18">
        <f>SUMIF(TUSD!$A$57:'TUSD'!$A$103,$A$2,TUSD!$L$57:'TUSD'!$L$103)</f>
        <v>2923581.025752252</v>
      </c>
      <c r="C11" s="18">
        <f>SUMIF(TUSD!$A$57:'TUSD'!$A$103,$A$2,TUSD!$M$57:'TUSD'!$M$103)</f>
        <v>162726.41573371174</v>
      </c>
      <c r="D11" s="18">
        <f ca="1">SUMIF(TUSD!$A$57:'TUSD'!$A$103,$A$2,TUSD!$N$57:'TUSD'!$N$103)</f>
        <v>398679.42802384589</v>
      </c>
      <c r="E11" s="18">
        <f>SUMIF(TUSD!$A$57:'TUSD'!$A$103,$A$2,TUSD!$O$57:'TUSD'!$O$103)</f>
        <v>0</v>
      </c>
      <c r="F11" s="18">
        <f>SUMIF(TUSD!$A$57:'TUSD'!$A$103,$A$2,TUSD!$P$57:'TUSD'!$P$103)</f>
        <v>0</v>
      </c>
      <c r="G11" s="18">
        <f>SUMIF(TUSD!$A$57:'TUSD'!$A$103,$A$2,TUSD!$Q$57:'TUSD'!$Q$103)</f>
        <v>9312606.0580351893</v>
      </c>
      <c r="H11" s="18">
        <f>SUMIF(TUSD!$A$57:'TUSD'!$A$103,$A$2,TUSD!$R$57:'TUSD'!$R$103)</f>
        <v>0</v>
      </c>
      <c r="I11" s="18">
        <f>SUMIF(TUSD!$A$57:'TUSD'!$A$103,$A$2,TUSD!$S$57:'TUSD'!$S$103)</f>
        <v>0</v>
      </c>
      <c r="J11" s="18">
        <f>SUMIF(TUSD!$A$57:'TUSD'!$A$103,$A$2,TUSD!$T$57:'TUSD'!$T$103)</f>
        <v>0</v>
      </c>
      <c r="K11" s="18">
        <f>SUMIF(TUSD!$A$57:'TUSD'!$A$103,$A$2,TUSD!$U$57:'TUSD'!$U$103)</f>
        <v>0</v>
      </c>
      <c r="L11" s="18">
        <f>SUMIF(TUSD!$A$57:'TUSD'!$A$103,$A$2,TUSD!$V$57:'TUSD'!$V$103)</f>
        <v>312417.66251589177</v>
      </c>
      <c r="M11" s="18">
        <f>SUMIF(TUSD!$A$57:'TUSD'!$A$103,$A$2,TUSD!$W$57:'TUSD'!$W$103)</f>
        <v>0</v>
      </c>
      <c r="N11" s="18">
        <f>SUMIF(TUSD!$A$57:'TUSD'!$A$103,$A$2,TUSD!$X$57:'TUSD'!$X$103)</f>
        <v>0</v>
      </c>
      <c r="O11" s="18">
        <f>SUMIF(TUSD!$A$57:'TUSD'!$A$103,$A$2,TUSD!$Y$57:'TUSD'!$Y$103)</f>
        <v>0</v>
      </c>
      <c r="P11" s="18">
        <f>SUMIF(TUSD!$A$57:'TUSD'!$A$103,$A$2,TUSD!$Z$57:'TUSD'!$Z$103)</f>
        <v>0</v>
      </c>
      <c r="Q11" s="18">
        <f>SUMIF(TUSD!$A$57:'TUSD'!$A$103,$A$2,TUSD!$AA$57:'TUSD'!$AA$103)</f>
        <v>50068611.504917793</v>
      </c>
      <c r="R11" s="18">
        <f ca="1">SUMIF(TUSD!$A$57:'TUSD'!$A$103,$A$2,TUSD!$AB$57:'TUSD'!$AB$103)</f>
        <v>0</v>
      </c>
      <c r="S11" s="18">
        <f ca="1">SUMIF(TUSD!$A$57:'TUSD'!$A$103,$A$2,TUSD!$AC$57:'TUSD'!$AC$103)</f>
        <v>0</v>
      </c>
      <c r="T11" s="18">
        <f>SUMIF(TUSD!$A$57:'TUSD'!$A$103,$A$2,TUSD!$AD$57:'TUSD'!$AD$103)</f>
        <v>4109755.163372417</v>
      </c>
      <c r="U11" s="18">
        <f>SUMIF(TUSD!$A$57:'TUSD'!$A$103,$A$2,TUSD!$AE$57:'TUSD'!$AE$103)</f>
        <v>0</v>
      </c>
      <c r="V11" s="18">
        <f ca="1">SUMIF(TUSD!$A$57:'TUSD'!$A$103,$A$2,TUSD!$AF$57:'TUSD'!$AF$103)</f>
        <v>9268546.1359813306</v>
      </c>
      <c r="W11" s="18">
        <f ca="1">SUMIF(TUSD!$A$57:'TUSD'!$A$103,$A$2,TUSD!$AG$57:'TUSD'!$AG$103)</f>
        <v>938423.84681040188</v>
      </c>
      <c r="X11" s="18">
        <f t="shared" ca="1" si="0"/>
        <v>77495347.241142839</v>
      </c>
    </row>
    <row r="13" spans="1:33" x14ac:dyDescent="0.2">
      <c r="A13" s="14" t="s">
        <v>1179</v>
      </c>
      <c r="B13" s="29">
        <f t="shared" ref="B13:X13" si="1">IF($X$6&lt;&gt;0,(B$7-B$6)/$X$6,0)</f>
        <v>-3.0666199490173979E-2</v>
      </c>
      <c r="C13" s="29">
        <f t="shared" si="1"/>
        <v>-3.92031231148316E-3</v>
      </c>
      <c r="D13" s="29">
        <f t="shared" ca="1" si="1"/>
        <v>1.697943503918604E-3</v>
      </c>
      <c r="E13" s="29">
        <f t="shared" si="1"/>
        <v>0</v>
      </c>
      <c r="F13" s="29">
        <f t="shared" si="1"/>
        <v>0</v>
      </c>
      <c r="G13" s="29">
        <f t="shared" si="1"/>
        <v>8.304887955421808E-2</v>
      </c>
      <c r="H13" s="29">
        <f t="shared" si="1"/>
        <v>0</v>
      </c>
      <c r="I13" s="29">
        <f t="shared" si="1"/>
        <v>0</v>
      </c>
      <c r="J13" s="29">
        <f t="shared" si="1"/>
        <v>0</v>
      </c>
      <c r="K13" s="29">
        <f t="shared" si="1"/>
        <v>0</v>
      </c>
      <c r="L13" s="29">
        <f t="shared" si="1"/>
        <v>-1.0250641685386632E-2</v>
      </c>
      <c r="M13" s="29">
        <f t="shared" si="1"/>
        <v>0</v>
      </c>
      <c r="N13" s="29">
        <f t="shared" si="1"/>
        <v>0</v>
      </c>
      <c r="O13" s="29">
        <f t="shared" si="1"/>
        <v>0</v>
      </c>
      <c r="P13" s="29">
        <f t="shared" si="1"/>
        <v>0</v>
      </c>
      <c r="Q13" s="29">
        <f t="shared" si="1"/>
        <v>0.19863171614104116</v>
      </c>
      <c r="R13" s="29">
        <f t="shared" ca="1" si="1"/>
        <v>0</v>
      </c>
      <c r="S13" s="29">
        <f t="shared" ca="1" si="1"/>
        <v>0</v>
      </c>
      <c r="T13" s="29">
        <f t="shared" si="1"/>
        <v>2.1028901960855731E-2</v>
      </c>
      <c r="U13" s="29">
        <f t="shared" si="1"/>
        <v>0</v>
      </c>
      <c r="V13" s="29">
        <f t="shared" ca="1" si="1"/>
        <v>1.9157280711977497E-2</v>
      </c>
      <c r="W13" s="29">
        <f t="shared" ca="1" si="1"/>
        <v>5.5239155382693734E-3</v>
      </c>
      <c r="X13" s="29">
        <f t="shared" ca="1" si="1"/>
        <v>0.28425148392323668</v>
      </c>
    </row>
    <row r="14" spans="1:33" x14ac:dyDescent="0.2">
      <c r="A14" s="14" t="s">
        <v>1180</v>
      </c>
      <c r="B14" s="29">
        <f t="shared" ref="B14:X14" si="2">IF($X$10&lt;&gt;0,(B$9-B$8)/$X$10,0)</f>
        <v>-3.6620922710898729E-2</v>
      </c>
      <c r="C14" s="29">
        <f t="shared" si="2"/>
        <v>-3.9614937192647926E-3</v>
      </c>
      <c r="D14" s="29">
        <f t="shared" ca="1" si="2"/>
        <v>1.1329032890882329E-3</v>
      </c>
      <c r="E14" s="29">
        <f t="shared" si="2"/>
        <v>0</v>
      </c>
      <c r="F14" s="29">
        <f t="shared" si="2"/>
        <v>0</v>
      </c>
      <c r="G14" s="29">
        <f t="shared" si="2"/>
        <v>9.0206329493751819E-2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-9.2723936615939362E-3</v>
      </c>
      <c r="M14" s="29">
        <f t="shared" si="2"/>
        <v>0</v>
      </c>
      <c r="N14" s="29">
        <f t="shared" si="2"/>
        <v>0</v>
      </c>
      <c r="O14" s="29">
        <f t="shared" si="2"/>
        <v>0</v>
      </c>
      <c r="P14" s="29">
        <f t="shared" si="2"/>
        <v>0</v>
      </c>
      <c r="Q14" s="29">
        <f t="shared" si="2"/>
        <v>0.20064403762382632</v>
      </c>
      <c r="R14" s="29">
        <f t="shared" ca="1" si="2"/>
        <v>0</v>
      </c>
      <c r="S14" s="29">
        <f t="shared" ca="1" si="2"/>
        <v>0</v>
      </c>
      <c r="T14" s="29">
        <f t="shared" si="2"/>
        <v>1.3363468599580606E-2</v>
      </c>
      <c r="U14" s="29">
        <f t="shared" si="2"/>
        <v>0</v>
      </c>
      <c r="V14" s="29">
        <f t="shared" ca="1" si="2"/>
        <v>1.9021203355437853E-2</v>
      </c>
      <c r="W14" s="29">
        <f t="shared" ca="1" si="2"/>
        <v>5.5632794873323402E-3</v>
      </c>
      <c r="X14" s="29">
        <f t="shared" ca="1" si="2"/>
        <v>0.28007641175725989</v>
      </c>
    </row>
    <row r="15" spans="1:33" x14ac:dyDescent="0.2">
      <c r="A15" s="14" t="s">
        <v>1181</v>
      </c>
      <c r="B15" s="29">
        <f t="shared" ref="B15:X15" si="3">IF($X$8&lt;&gt;0,(B$9-B$8)/$X$8,0)</f>
        <v>-3.6620922710898729E-2</v>
      </c>
      <c r="C15" s="29">
        <f t="shared" si="3"/>
        <v>-3.9614937192647926E-3</v>
      </c>
      <c r="D15" s="29">
        <f t="shared" ca="1" si="3"/>
        <v>1.1329032890882329E-3</v>
      </c>
      <c r="E15" s="29">
        <f t="shared" si="3"/>
        <v>0</v>
      </c>
      <c r="F15" s="29">
        <f t="shared" si="3"/>
        <v>0</v>
      </c>
      <c r="G15" s="29">
        <f t="shared" si="3"/>
        <v>9.0206329493751819E-2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-9.2723936615939362E-3</v>
      </c>
      <c r="M15" s="29">
        <f t="shared" si="3"/>
        <v>0</v>
      </c>
      <c r="N15" s="29">
        <f t="shared" si="3"/>
        <v>0</v>
      </c>
      <c r="O15" s="29">
        <f t="shared" si="3"/>
        <v>0</v>
      </c>
      <c r="P15" s="29">
        <f t="shared" si="3"/>
        <v>0</v>
      </c>
      <c r="Q15" s="29">
        <f t="shared" si="3"/>
        <v>0.20064403762382632</v>
      </c>
      <c r="R15" s="29">
        <f t="shared" ca="1" si="3"/>
        <v>0</v>
      </c>
      <c r="S15" s="29">
        <f t="shared" ca="1" si="3"/>
        <v>0</v>
      </c>
      <c r="T15" s="29">
        <f t="shared" si="3"/>
        <v>1.3363468599580606E-2</v>
      </c>
      <c r="U15" s="29">
        <f t="shared" si="3"/>
        <v>0</v>
      </c>
      <c r="V15" s="29">
        <f t="shared" ca="1" si="3"/>
        <v>1.9021203355437853E-2</v>
      </c>
      <c r="W15" s="29">
        <f t="shared" ca="1" si="3"/>
        <v>5.5632794873323402E-3</v>
      </c>
      <c r="X15" s="29">
        <f t="shared" ca="1" si="3"/>
        <v>0.28007641175725989</v>
      </c>
    </row>
  </sheetData>
  <dataValidations count="6">
    <dataValidation type="list" allowBlank="1" showInputMessage="1" showErrorMessage="1" error="Deve-se selecionar grupo válido" sqref="A2" xr:uid="{156B93D2-536B-4241-AC7D-44BEE41A1372}">
      <formula1>AA1:AA6</formula1>
    </dataValidation>
    <dataValidation type="list" allowBlank="1" showInputMessage="1" showErrorMessage="1" error="Deve-se selecionar grupo válido" sqref="B2" xr:uid="{2516D29B-7046-4528-B8F1-41A2AD97A6E3}">
      <formula1>AB1:AB7</formula1>
    </dataValidation>
    <dataValidation type="list" allowBlank="1" showInputMessage="1" showErrorMessage="1" error="Deve-se selecionar grupo válido" sqref="C2 E2" xr:uid="{FDF4A34E-5D14-44D0-B079-38F902D6FD60}">
      <formula1>AC1:AC4</formula1>
    </dataValidation>
    <dataValidation type="list" allowBlank="1" showInputMessage="1" showErrorMessage="1" error="Deve-se selecionar grupo válido" sqref="D2" xr:uid="{2D1341F8-2ECE-42C3-9D98-668F31421C0A}">
      <formula1>AD1:AD10</formula1>
    </dataValidation>
    <dataValidation type="list" allowBlank="1" showInputMessage="1" showErrorMessage="1" error="Deve-se selecionar grupo válido" sqref="F2" xr:uid="{D163B08C-7B86-413A-8A69-38CC31305F93}">
      <formula1>AF1:AF1</formula1>
    </dataValidation>
    <dataValidation type="list" allowBlank="1" showInputMessage="1" showErrorMessage="1" error="Deve-se selecionar grupo válido" sqref="G2" xr:uid="{DB576872-B158-47CD-9F5B-AEE20AFB9660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38541-1609-439F-94B8-2BE28C1317D1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6" width="10.285156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7.7109375" style="14" bestFit="1" customWidth="1"/>
    <col min="12" max="12" width="10.7109375" style="14" bestFit="1" customWidth="1"/>
    <col min="13" max="13" width="11.71093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62</v>
      </c>
      <c r="B1" s="14" t="s">
        <v>63</v>
      </c>
      <c r="C1" s="14" t="s">
        <v>64</v>
      </c>
      <c r="D1" s="14" t="s">
        <v>65</v>
      </c>
      <c r="E1" s="14" t="s">
        <v>66</v>
      </c>
      <c r="F1" s="14" t="s">
        <v>15</v>
      </c>
      <c r="G1" s="14" t="s">
        <v>68</v>
      </c>
      <c r="I1" s="14" t="s">
        <v>1178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71</v>
      </c>
      <c r="AC2" s="14" t="s">
        <v>24</v>
      </c>
      <c r="AD2" s="14" t="s">
        <v>24</v>
      </c>
      <c r="AG2" s="14" t="s">
        <v>73</v>
      </c>
    </row>
    <row r="3" spans="1:33" x14ac:dyDescent="0.2">
      <c r="AA3" s="14" t="s">
        <v>43</v>
      </c>
      <c r="AB3" s="14" t="s">
        <v>75</v>
      </c>
      <c r="AC3" s="14" t="s">
        <v>44</v>
      </c>
      <c r="AD3" s="14" t="s">
        <v>29</v>
      </c>
      <c r="AG3" s="14" t="s">
        <v>74</v>
      </c>
    </row>
    <row r="4" spans="1:33" x14ac:dyDescent="0.2">
      <c r="AA4" s="14" t="s">
        <v>37</v>
      </c>
      <c r="AB4" s="14" t="s">
        <v>86</v>
      </c>
      <c r="AC4" s="14" t="s">
        <v>47</v>
      </c>
      <c r="AD4" s="14" t="s">
        <v>30</v>
      </c>
      <c r="AG4" s="14" t="s">
        <v>76</v>
      </c>
    </row>
    <row r="5" spans="1:33" x14ac:dyDescent="0.2">
      <c r="A5" s="14" t="s">
        <v>1171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598</v>
      </c>
      <c r="AA5" s="14" t="s">
        <v>46</v>
      </c>
      <c r="AD5" s="14" t="s">
        <v>31</v>
      </c>
      <c r="AG5" s="14" t="s">
        <v>85</v>
      </c>
    </row>
    <row r="6" spans="1:33" x14ac:dyDescent="0.2">
      <c r="A6" s="14" t="s">
        <v>1172</v>
      </c>
      <c r="B6" s="18">
        <f>SUM(TE!$X$48:'TE'!$X$85)</f>
        <v>2769639.504078507</v>
      </c>
      <c r="C6" s="18">
        <f>SUM(TE!$Y$48:'TE'!$Y$85)</f>
        <v>0</v>
      </c>
      <c r="D6" s="18">
        <f>SUM(TE!$Z$48:'TE'!$Z$85)</f>
        <v>0</v>
      </c>
      <c r="E6" s="18">
        <f>SUM(TE!$AA$48:'TE'!$AA$85)</f>
        <v>0</v>
      </c>
      <c r="F6" s="18">
        <f>SUM(TE!$AB$48:'TE'!$AB$85)</f>
        <v>0</v>
      </c>
      <c r="G6" s="18">
        <f>SUM(TE!$AC$48:'TE'!$AC$85)</f>
        <v>293786679.41681284</v>
      </c>
      <c r="H6" s="18">
        <f>SUM(TE!$AD$48:'TE'!$AD$85)</f>
        <v>0</v>
      </c>
      <c r="I6" s="18">
        <f>SUM(TE!$AE$48:'TE'!$AE$85)</f>
        <v>0</v>
      </c>
      <c r="J6" s="18">
        <f>SUM(TE!$AF$48:'TE'!$AF$85)</f>
        <v>0</v>
      </c>
      <c r="K6" s="18">
        <f>SUM(TE!$AG$48:'TE'!$AG$85)</f>
        <v>0</v>
      </c>
      <c r="L6" s="18">
        <f>SUM(TE!$AH$48:'TE'!$AH$85)</f>
        <v>0</v>
      </c>
      <c r="M6" s="18">
        <f t="shared" ref="M6:M11" si="0">SUM(B6:L6)</f>
        <v>296556318.92089134</v>
      </c>
      <c r="AD6" s="14" t="s">
        <v>32</v>
      </c>
    </row>
    <row r="7" spans="1:33" x14ac:dyDescent="0.2">
      <c r="A7" s="14" t="s">
        <v>1173</v>
      </c>
      <c r="B7" s="18">
        <f>SUM(TE!$L$48:'TE'!$L$85)</f>
        <v>3732565.4198333118</v>
      </c>
      <c r="C7" s="18">
        <f>SUM(TE!$M$48:'TE'!$M$85)</f>
        <v>0</v>
      </c>
      <c r="D7" s="18">
        <f>SUM(TE!$N$48:'TE'!$N$85)</f>
        <v>0</v>
      </c>
      <c r="E7" s="18">
        <f>SUM(TE!$O$48:'TE'!$O$85)</f>
        <v>1010277.4484841181</v>
      </c>
      <c r="F7" s="18">
        <f>SUM(TE!$P$48:'TE'!$P$85)</f>
        <v>0</v>
      </c>
      <c r="G7" s="18">
        <f>SUM(TE!$Q$48:'TE'!$Q$85)</f>
        <v>369340356.14479238</v>
      </c>
      <c r="H7" s="18">
        <f>SUM(TE!$R$48:'TE'!$R$85)</f>
        <v>0</v>
      </c>
      <c r="I7" s="18">
        <f>SUM(TE!$S$48:'TE'!$S$85)</f>
        <v>0</v>
      </c>
      <c r="J7" s="18">
        <f>SUM(TE!$T$48:'TE'!$T$85)</f>
        <v>0</v>
      </c>
      <c r="K7" s="18">
        <f>SUM(TE!$U$48:'TE'!$U$85)</f>
        <v>0</v>
      </c>
      <c r="L7" s="18">
        <f>SUM(TE!$V$48:'TE'!$V$85)</f>
        <v>0</v>
      </c>
      <c r="M7" s="18">
        <f t="shared" si="0"/>
        <v>374083199.0131098</v>
      </c>
      <c r="AD7" s="14" t="s">
        <v>88</v>
      </c>
    </row>
    <row r="8" spans="1:33" x14ac:dyDescent="0.2">
      <c r="A8" s="14" t="s">
        <v>1176</v>
      </c>
      <c r="B8" s="18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614018.000842468</v>
      </c>
      <c r="C8" s="18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0</v>
      </c>
      <c r="D8" s="18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8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8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8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64645772.36049857</v>
      </c>
      <c r="H8" s="18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18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18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8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18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18">
        <f t="shared" si="0"/>
        <v>65259790.361341037</v>
      </c>
      <c r="AD8" s="14" t="s">
        <v>89</v>
      </c>
    </row>
    <row r="9" spans="1:33" x14ac:dyDescent="0.2">
      <c r="A9" s="14" t="s">
        <v>1177</v>
      </c>
      <c r="B9" s="18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825054.11487948219</v>
      </c>
      <c r="C9" s="18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0</v>
      </c>
      <c r="D9" s="18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8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223313.85315116317</v>
      </c>
      <c r="F9" s="18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0</v>
      </c>
      <c r="G9" s="18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81030620.162192166</v>
      </c>
      <c r="H9" s="18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18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18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8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0</v>
      </c>
      <c r="L9" s="18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0</v>
      </c>
      <c r="M9" s="18">
        <f t="shared" si="0"/>
        <v>82078988.130222812</v>
      </c>
      <c r="AD9" s="14" t="s">
        <v>48</v>
      </c>
    </row>
    <row r="10" spans="1:33" x14ac:dyDescent="0.2">
      <c r="A10" s="14" t="s">
        <v>1174</v>
      </c>
      <c r="B10" s="18">
        <f>SUMIF(TE!$A$48:'TE'!$A$85,$A$2,TE!$X$48:'TE'!$X$85)</f>
        <v>614018.000842468</v>
      </c>
      <c r="C10" s="18">
        <f>SUMIF(TE!$A$48:'TE'!$A$85,$A$2,TE!$Y$48:'TE'!$Y$85)</f>
        <v>0</v>
      </c>
      <c r="D10" s="18">
        <f>SUMIF(TE!$A$48:'TE'!$A$85,$A$2,TE!$Z$48:'TE'!$Z$85)</f>
        <v>0</v>
      </c>
      <c r="E10" s="18">
        <f>SUMIF(TE!$A$48:'TE'!$A$85,$A$2,TE!$AA$48:'TE'!$AA$85)</f>
        <v>0</v>
      </c>
      <c r="F10" s="18">
        <f>SUMIF(TE!$A$48:'TE'!$A$85,$A$2,TE!$AB$48:'TE'!$AB$85)</f>
        <v>0</v>
      </c>
      <c r="G10" s="18">
        <f>SUMIF(TE!$A$48:'TE'!$A$85,$A$2,TE!$AC$48:'TE'!$AC$85)</f>
        <v>64645772.36049857</v>
      </c>
      <c r="H10" s="18">
        <f>SUMIF(TE!$A$48:'TE'!$A$85,$A$2,TE!$AD$48:'TE'!$AD$85)</f>
        <v>0</v>
      </c>
      <c r="I10" s="18">
        <f>SUMIF(TE!$A$48:'TE'!$A$85,$A$2,TE!$AE$48:'TE'!$AE$85)</f>
        <v>0</v>
      </c>
      <c r="J10" s="18">
        <f>SUMIF(TE!$A$48:'TE'!$A$85,$A$2,TE!$AF$48:'TE'!$AF$85)</f>
        <v>0</v>
      </c>
      <c r="K10" s="18">
        <f>SUMIF(TE!$A$48:'TE'!$A$85,$A$2,TE!$AG$48:'TE'!$AG$85)</f>
        <v>0</v>
      </c>
      <c r="L10" s="18">
        <f>SUMIF(TE!$A$48:'TE'!$A$85,$A$2,TE!$AH$48:'TE'!$AH$85)</f>
        <v>0</v>
      </c>
      <c r="M10" s="18">
        <f t="shared" si="0"/>
        <v>65259790.361341037</v>
      </c>
      <c r="AD10" s="14" t="s">
        <v>90</v>
      </c>
    </row>
    <row r="11" spans="1:33" x14ac:dyDescent="0.2">
      <c r="A11" s="14" t="s">
        <v>1175</v>
      </c>
      <c r="B11" s="18">
        <f>SUMIF(TE!$A$48:'TE'!$A$85,$A$2,TE!$L$48:'TE'!$L$85)</f>
        <v>825054.11487948219</v>
      </c>
      <c r="C11" s="18">
        <f>SUMIF(TE!$A$48:'TE'!$A$85,$A$2,TE!$M$48:'TE'!$M$85)</f>
        <v>0</v>
      </c>
      <c r="D11" s="18">
        <f>SUMIF(TE!$A$48:'TE'!$A$85,$A$2,TE!$N$48:'TE'!$N$85)</f>
        <v>0</v>
      </c>
      <c r="E11" s="18">
        <f>SUMIF(TE!$A$48:'TE'!$A$85,$A$2,TE!$O$48:'TE'!$O$85)</f>
        <v>223313.85315116317</v>
      </c>
      <c r="F11" s="18">
        <f>SUMIF(TE!$A$48:'TE'!$A$85,$A$2,TE!$P$48:'TE'!$P$85)</f>
        <v>0</v>
      </c>
      <c r="G11" s="18">
        <f>SUMIF(TE!$A$48:'TE'!$A$85,$A$2,TE!$Q$48:'TE'!$Q$85)</f>
        <v>81030620.162192166</v>
      </c>
      <c r="H11" s="18">
        <f>SUMIF(TE!$A$48:'TE'!$A$85,$A$2,TE!$R$48:'TE'!$R$85)</f>
        <v>0</v>
      </c>
      <c r="I11" s="18">
        <f>SUMIF(TE!$A$48:'TE'!$A$85,$A$2,TE!$S$48:'TE'!$S$85)</f>
        <v>0</v>
      </c>
      <c r="J11" s="18">
        <f>SUMIF(TE!$A$48:'TE'!$A$85,$A$2,TE!$T$48:'TE'!$T$85)</f>
        <v>0</v>
      </c>
      <c r="K11" s="18">
        <f>SUMIF(TE!$A$48:'TE'!$A$85,$A$2,TE!$U$48:'TE'!$U$85)</f>
        <v>0</v>
      </c>
      <c r="L11" s="18">
        <f>SUMIF(TE!$A$48:'TE'!$A$85,$A$2,TE!$V$48:'TE'!$V$85)</f>
        <v>0</v>
      </c>
      <c r="M11" s="18">
        <f t="shared" si="0"/>
        <v>82078988.130222812</v>
      </c>
    </row>
    <row r="13" spans="1:33" x14ac:dyDescent="0.2">
      <c r="A13" s="14" t="s">
        <v>1179</v>
      </c>
      <c r="B13" s="29">
        <f t="shared" ref="B13:M13" si="1">IF($M$6&lt;&gt;0,(B$7-B$6)/$M$6,0)</f>
        <v>3.247025452901149E-3</v>
      </c>
      <c r="C13" s="29">
        <f t="shared" si="1"/>
        <v>0</v>
      </c>
      <c r="D13" s="29">
        <f t="shared" si="1"/>
        <v>0</v>
      </c>
      <c r="E13" s="29">
        <f t="shared" si="1"/>
        <v>3.4066967521053475E-3</v>
      </c>
      <c r="F13" s="29">
        <f t="shared" si="1"/>
        <v>0</v>
      </c>
      <c r="G13" s="29">
        <f t="shared" si="1"/>
        <v>0.25477007875908408</v>
      </c>
      <c r="H13" s="29">
        <f t="shared" si="1"/>
        <v>0</v>
      </c>
      <c r="I13" s="29">
        <f t="shared" si="1"/>
        <v>0</v>
      </c>
      <c r="J13" s="29">
        <f t="shared" si="1"/>
        <v>0</v>
      </c>
      <c r="K13" s="29">
        <f t="shared" si="1"/>
        <v>0</v>
      </c>
      <c r="L13" s="29">
        <f t="shared" si="1"/>
        <v>0</v>
      </c>
      <c r="M13" s="29">
        <f t="shared" si="1"/>
        <v>0.26142380096409057</v>
      </c>
    </row>
    <row r="14" spans="1:33" x14ac:dyDescent="0.2">
      <c r="A14" s="14" t="s">
        <v>1180</v>
      </c>
      <c r="B14" s="29">
        <f t="shared" ref="B14:M14" si="2">IF($M$10&lt;&gt;0,(B$9-B$8)/$M$10,0)</f>
        <v>3.2337847374089785E-3</v>
      </c>
      <c r="C14" s="29">
        <f t="shared" si="2"/>
        <v>0</v>
      </c>
      <c r="D14" s="29">
        <f t="shared" si="2"/>
        <v>0</v>
      </c>
      <c r="E14" s="29">
        <f t="shared" si="2"/>
        <v>3.4219210928304036E-3</v>
      </c>
      <c r="F14" s="29">
        <f t="shared" si="2"/>
        <v>0</v>
      </c>
      <c r="G14" s="29">
        <f t="shared" si="2"/>
        <v>0.25107110689402007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0</v>
      </c>
      <c r="M14" s="29">
        <f t="shared" si="2"/>
        <v>0.25772681272425946</v>
      </c>
    </row>
    <row r="15" spans="1:33" x14ac:dyDescent="0.2">
      <c r="A15" s="14" t="s">
        <v>1181</v>
      </c>
      <c r="B15" s="29">
        <f t="shared" ref="B15:M15" si="3">IF($M$8&lt;&gt;0,(B$9-B$8)/$M$8,0)</f>
        <v>3.2337847374089785E-3</v>
      </c>
      <c r="C15" s="29">
        <f t="shared" si="3"/>
        <v>0</v>
      </c>
      <c r="D15" s="29">
        <f t="shared" si="3"/>
        <v>0</v>
      </c>
      <c r="E15" s="29">
        <f t="shared" si="3"/>
        <v>3.4219210928304036E-3</v>
      </c>
      <c r="F15" s="29">
        <f t="shared" si="3"/>
        <v>0</v>
      </c>
      <c r="G15" s="29">
        <f t="shared" si="3"/>
        <v>0.25107110689402007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0</v>
      </c>
      <c r="M15" s="29">
        <f t="shared" si="3"/>
        <v>0.25772681272425946</v>
      </c>
    </row>
  </sheetData>
  <dataValidations count="4">
    <dataValidation type="list" allowBlank="1" showInputMessage="1" showErrorMessage="1" sqref="A2 G2" xr:uid="{A59E9EA9-B57F-48B2-94B6-D2AAAF9A7F52}">
      <formula1>AA1:AA5</formula1>
    </dataValidation>
    <dataValidation type="list" allowBlank="1" showInputMessage="1" showErrorMessage="1" sqref="B2 C2" xr:uid="{1DA64AB3-3574-48E7-B9BB-99CE0C5F9701}">
      <formula1>AB1:AB4</formula1>
    </dataValidation>
    <dataValidation type="list" allowBlank="1" showInputMessage="1" showErrorMessage="1" sqref="D2" xr:uid="{910DDD81-FD02-4516-9713-E137331538D8}">
      <formula1>AD1:AD10</formula1>
    </dataValidation>
    <dataValidation type="list" allowBlank="1" showInputMessage="1" showErrorMessage="1" sqref="E2 F2" xr:uid="{00447E6A-7CF9-4C21-84A8-B1B65460BC0E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EDF85-DF26-4EEC-8EAF-0ADB422D1676}">
  <sheetPr codeName="Planilha26"/>
  <dimension ref="B1:U15"/>
  <sheetViews>
    <sheetView showGridLines="0" topLeftCell="B1" workbookViewId="0">
      <selection activeCell="U1" sqref="U1"/>
    </sheetView>
  </sheetViews>
  <sheetFormatPr defaultRowHeight="15" x14ac:dyDescent="0.25"/>
  <sheetData>
    <row r="1" spans="2:21" x14ac:dyDescent="0.25">
      <c r="B1" s="62" t="s">
        <v>787</v>
      </c>
      <c r="C1" s="62" t="s">
        <v>788</v>
      </c>
      <c r="D1" s="62" t="s">
        <v>789</v>
      </c>
      <c r="E1" s="62" t="s">
        <v>2</v>
      </c>
      <c r="F1" s="62" t="s">
        <v>790</v>
      </c>
      <c r="G1" s="62" t="s">
        <v>697</v>
      </c>
      <c r="H1" s="62" t="s">
        <v>3</v>
      </c>
      <c r="I1" s="62" t="s">
        <v>791</v>
      </c>
      <c r="J1" s="62" t="s">
        <v>5</v>
      </c>
      <c r="K1" s="62" t="s">
        <v>1</v>
      </c>
      <c r="L1" s="62" t="s">
        <v>792</v>
      </c>
      <c r="M1" s="62" t="s">
        <v>793</v>
      </c>
      <c r="N1" s="62" t="s">
        <v>794</v>
      </c>
      <c r="O1" s="62" t="s">
        <v>795</v>
      </c>
      <c r="P1" s="62" t="s">
        <v>796</v>
      </c>
      <c r="Q1" s="62" t="s">
        <v>797</v>
      </c>
      <c r="R1" s="62" t="s">
        <v>798</v>
      </c>
      <c r="S1" s="62" t="s">
        <v>799</v>
      </c>
      <c r="T1" s="62" t="s">
        <v>800</v>
      </c>
      <c r="U1" s="62" t="s">
        <v>801</v>
      </c>
    </row>
    <row r="2" spans="2:21" x14ac:dyDescent="0.25">
      <c r="B2" s="61" t="s">
        <v>768</v>
      </c>
      <c r="C2" s="61">
        <v>8458</v>
      </c>
      <c r="D2" s="61">
        <v>370</v>
      </c>
      <c r="E2" s="61" t="s">
        <v>40</v>
      </c>
      <c r="F2" s="61">
        <v>1</v>
      </c>
      <c r="G2" s="61" t="s">
        <v>769</v>
      </c>
      <c r="H2" s="61" t="s">
        <v>49</v>
      </c>
      <c r="I2" s="61" t="s">
        <v>50</v>
      </c>
      <c r="J2" s="61" t="s">
        <v>770</v>
      </c>
      <c r="K2" s="61" t="s">
        <v>39</v>
      </c>
      <c r="L2" s="61">
        <v>0.15</v>
      </c>
      <c r="M2" s="61">
        <v>0.12</v>
      </c>
      <c r="N2" s="61">
        <v>0.09</v>
      </c>
      <c r="O2" s="61">
        <v>0.06</v>
      </c>
      <c r="P2" s="61">
        <v>0.03</v>
      </c>
      <c r="Q2" s="61">
        <v>0</v>
      </c>
      <c r="R2" s="61"/>
      <c r="S2" s="61"/>
      <c r="T2" s="61"/>
      <c r="U2" s="61">
        <v>3</v>
      </c>
    </row>
    <row r="3" spans="2:21" x14ac:dyDescent="0.25">
      <c r="B3" s="61" t="s">
        <v>771</v>
      </c>
      <c r="C3" s="61">
        <v>8459</v>
      </c>
      <c r="D3" s="61">
        <v>370</v>
      </c>
      <c r="E3" s="61" t="s">
        <v>41</v>
      </c>
      <c r="F3" s="61">
        <v>1</v>
      </c>
      <c r="G3" s="61" t="s">
        <v>769</v>
      </c>
      <c r="H3" s="61" t="s">
        <v>49</v>
      </c>
      <c r="I3" s="61" t="s">
        <v>50</v>
      </c>
      <c r="J3" s="61" t="s">
        <v>770</v>
      </c>
      <c r="K3" s="61" t="s">
        <v>39</v>
      </c>
      <c r="L3" s="61">
        <v>0.15</v>
      </c>
      <c r="M3" s="61">
        <v>0.12</v>
      </c>
      <c r="N3" s="61">
        <v>0.09</v>
      </c>
      <c r="O3" s="61">
        <v>0.06</v>
      </c>
      <c r="P3" s="61">
        <v>0.03</v>
      </c>
      <c r="Q3" s="61">
        <v>0</v>
      </c>
      <c r="R3" s="61"/>
      <c r="S3" s="61"/>
      <c r="T3" s="61"/>
      <c r="U3" s="61">
        <v>3</v>
      </c>
    </row>
    <row r="4" spans="2:21" x14ac:dyDescent="0.25">
      <c r="B4" s="61" t="s">
        <v>772</v>
      </c>
      <c r="C4" s="61">
        <v>8460</v>
      </c>
      <c r="D4" s="61">
        <v>370</v>
      </c>
      <c r="E4" s="61" t="s">
        <v>23</v>
      </c>
      <c r="F4" s="61">
        <v>1</v>
      </c>
      <c r="G4" s="61" t="s">
        <v>769</v>
      </c>
      <c r="H4" s="61" t="s">
        <v>49</v>
      </c>
      <c r="I4" s="61" t="s">
        <v>50</v>
      </c>
      <c r="J4" s="61" t="s">
        <v>770</v>
      </c>
      <c r="K4" s="61" t="s">
        <v>39</v>
      </c>
      <c r="L4" s="61">
        <v>0.15</v>
      </c>
      <c r="M4" s="61">
        <v>0.12</v>
      </c>
      <c r="N4" s="61">
        <v>0.09</v>
      </c>
      <c r="O4" s="61">
        <v>0.06</v>
      </c>
      <c r="P4" s="61">
        <v>0.03</v>
      </c>
      <c r="Q4" s="61">
        <v>0</v>
      </c>
      <c r="R4" s="61"/>
      <c r="S4" s="61"/>
      <c r="T4" s="61"/>
      <c r="U4" s="61">
        <v>3</v>
      </c>
    </row>
    <row r="5" spans="2:21" x14ac:dyDescent="0.25">
      <c r="B5" s="61" t="s">
        <v>773</v>
      </c>
      <c r="C5" s="61">
        <v>8461</v>
      </c>
      <c r="D5" s="61">
        <v>370</v>
      </c>
      <c r="E5" s="61" t="s">
        <v>23</v>
      </c>
      <c r="F5" s="61">
        <v>1</v>
      </c>
      <c r="G5" s="61" t="s">
        <v>769</v>
      </c>
      <c r="H5" s="61" t="s">
        <v>49</v>
      </c>
      <c r="I5" s="61" t="s">
        <v>50</v>
      </c>
      <c r="J5" s="61" t="s">
        <v>770</v>
      </c>
      <c r="K5" s="61" t="s">
        <v>37</v>
      </c>
      <c r="L5" s="61">
        <v>0.15</v>
      </c>
      <c r="M5" s="61">
        <v>0.12</v>
      </c>
      <c r="N5" s="61">
        <v>0.09</v>
      </c>
      <c r="O5" s="61">
        <v>0.06</v>
      </c>
      <c r="P5" s="61">
        <v>0.03</v>
      </c>
      <c r="Q5" s="61">
        <v>0</v>
      </c>
      <c r="R5" s="61"/>
      <c r="S5" s="61"/>
      <c r="T5" s="61"/>
      <c r="U5" s="61">
        <v>3</v>
      </c>
    </row>
    <row r="6" spans="2:21" x14ac:dyDescent="0.25">
      <c r="B6" s="61" t="s">
        <v>774</v>
      </c>
      <c r="C6" s="61">
        <v>8462</v>
      </c>
      <c r="D6" s="61">
        <v>370</v>
      </c>
      <c r="E6" s="61" t="s">
        <v>775</v>
      </c>
      <c r="F6" s="61">
        <v>1</v>
      </c>
      <c r="G6" s="61" t="s">
        <v>769</v>
      </c>
      <c r="H6" s="61" t="s">
        <v>49</v>
      </c>
      <c r="I6" s="61" t="s">
        <v>50</v>
      </c>
      <c r="J6" s="61" t="s">
        <v>770</v>
      </c>
      <c r="K6" s="61" t="s">
        <v>37</v>
      </c>
      <c r="L6" s="61">
        <v>0.15</v>
      </c>
      <c r="M6" s="61">
        <v>0.12</v>
      </c>
      <c r="N6" s="61">
        <v>0.09</v>
      </c>
      <c r="O6" s="61">
        <v>0.06</v>
      </c>
      <c r="P6" s="61">
        <v>0.03</v>
      </c>
      <c r="Q6" s="61">
        <v>0</v>
      </c>
      <c r="R6" s="61"/>
      <c r="S6" s="61"/>
      <c r="T6" s="61"/>
      <c r="U6" s="61">
        <v>3</v>
      </c>
    </row>
    <row r="7" spans="2:21" x14ac:dyDescent="0.25">
      <c r="B7" s="61" t="s">
        <v>776</v>
      </c>
      <c r="C7" s="61">
        <v>8463</v>
      </c>
      <c r="D7" s="61">
        <v>370</v>
      </c>
      <c r="E7" s="61" t="s">
        <v>23</v>
      </c>
      <c r="F7" s="61">
        <v>1</v>
      </c>
      <c r="G7" s="61" t="s">
        <v>769</v>
      </c>
      <c r="H7" s="61" t="s">
        <v>44</v>
      </c>
      <c r="I7" s="61" t="s">
        <v>88</v>
      </c>
      <c r="J7" s="61" t="s">
        <v>770</v>
      </c>
      <c r="K7" s="61" t="s">
        <v>43</v>
      </c>
      <c r="L7" s="61">
        <v>0.3</v>
      </c>
      <c r="M7" s="61">
        <v>0.24</v>
      </c>
      <c r="N7" s="61">
        <v>0.18</v>
      </c>
      <c r="O7" s="61">
        <v>0.12</v>
      </c>
      <c r="P7" s="61">
        <v>0.06</v>
      </c>
      <c r="Q7" s="61">
        <v>0</v>
      </c>
      <c r="R7" s="61"/>
      <c r="S7" s="61"/>
      <c r="T7" s="61"/>
      <c r="U7" s="61">
        <v>3</v>
      </c>
    </row>
    <row r="8" spans="2:21" x14ac:dyDescent="0.25">
      <c r="B8" s="61" t="s">
        <v>777</v>
      </c>
      <c r="C8" s="61">
        <v>8464</v>
      </c>
      <c r="D8" s="61">
        <v>370</v>
      </c>
      <c r="E8" s="61" t="s">
        <v>33</v>
      </c>
      <c r="F8" s="61">
        <v>1</v>
      </c>
      <c r="G8" s="61" t="s">
        <v>769</v>
      </c>
      <c r="H8" s="61" t="s">
        <v>44</v>
      </c>
      <c r="I8" s="61" t="s">
        <v>88</v>
      </c>
      <c r="J8" s="61" t="s">
        <v>770</v>
      </c>
      <c r="K8" s="61" t="s">
        <v>43</v>
      </c>
      <c r="L8" s="61">
        <v>0.3</v>
      </c>
      <c r="M8" s="61">
        <v>0.24</v>
      </c>
      <c r="N8" s="61">
        <v>0.18</v>
      </c>
      <c r="O8" s="61">
        <v>0.12</v>
      </c>
      <c r="P8" s="61">
        <v>0.06</v>
      </c>
      <c r="Q8" s="61">
        <v>0</v>
      </c>
      <c r="R8" s="61"/>
      <c r="S8" s="61"/>
      <c r="T8" s="61"/>
      <c r="U8" s="61">
        <v>3</v>
      </c>
    </row>
    <row r="9" spans="2:21" x14ac:dyDescent="0.25">
      <c r="B9" s="61" t="s">
        <v>778</v>
      </c>
      <c r="C9" s="61">
        <v>8465</v>
      </c>
      <c r="D9" s="61">
        <v>370</v>
      </c>
      <c r="E9" s="61" t="s">
        <v>40</v>
      </c>
      <c r="F9" s="61">
        <v>1</v>
      </c>
      <c r="G9" s="61" t="s">
        <v>769</v>
      </c>
      <c r="H9" s="61" t="s">
        <v>44</v>
      </c>
      <c r="I9" s="61" t="s">
        <v>25</v>
      </c>
      <c r="J9" s="61" t="s">
        <v>779</v>
      </c>
      <c r="K9" s="61" t="s">
        <v>39</v>
      </c>
      <c r="L9" s="61">
        <v>0.1</v>
      </c>
      <c r="M9" s="61">
        <v>0.08</v>
      </c>
      <c r="N9" s="61">
        <v>0.06</v>
      </c>
      <c r="O9" s="61">
        <v>0.04</v>
      </c>
      <c r="P9" s="61">
        <v>0.02</v>
      </c>
      <c r="Q9" s="61">
        <v>0</v>
      </c>
      <c r="R9" s="61"/>
      <c r="S9" s="61"/>
      <c r="T9" s="61"/>
      <c r="U9" s="61">
        <v>3</v>
      </c>
    </row>
    <row r="10" spans="2:21" x14ac:dyDescent="0.25">
      <c r="B10" s="61" t="s">
        <v>780</v>
      </c>
      <c r="C10" s="61">
        <v>8466</v>
      </c>
      <c r="D10" s="61">
        <v>370</v>
      </c>
      <c r="E10" s="61" t="s">
        <v>41</v>
      </c>
      <c r="F10" s="61">
        <v>1</v>
      </c>
      <c r="G10" s="61" t="s">
        <v>769</v>
      </c>
      <c r="H10" s="61" t="s">
        <v>44</v>
      </c>
      <c r="I10" s="61" t="s">
        <v>25</v>
      </c>
      <c r="J10" s="61" t="s">
        <v>779</v>
      </c>
      <c r="K10" s="61" t="s">
        <v>39</v>
      </c>
      <c r="L10" s="61">
        <v>0.1</v>
      </c>
      <c r="M10" s="61">
        <v>0.08</v>
      </c>
      <c r="N10" s="61">
        <v>0.06</v>
      </c>
      <c r="O10" s="61">
        <v>0.04</v>
      </c>
      <c r="P10" s="61">
        <v>0.02</v>
      </c>
      <c r="Q10" s="61">
        <v>0</v>
      </c>
      <c r="R10" s="61"/>
      <c r="S10" s="61"/>
      <c r="T10" s="61"/>
      <c r="U10" s="61">
        <v>3</v>
      </c>
    </row>
    <row r="11" spans="2:21" x14ac:dyDescent="0.25">
      <c r="B11" s="61" t="s">
        <v>781</v>
      </c>
      <c r="C11" s="61">
        <v>8467</v>
      </c>
      <c r="D11" s="61">
        <v>370</v>
      </c>
      <c r="E11" s="61" t="s">
        <v>782</v>
      </c>
      <c r="F11" s="61">
        <v>1</v>
      </c>
      <c r="G11" s="61" t="s">
        <v>769</v>
      </c>
      <c r="H11" s="61" t="s">
        <v>44</v>
      </c>
      <c r="I11" s="61" t="s">
        <v>25</v>
      </c>
      <c r="J11" s="61" t="s">
        <v>779</v>
      </c>
      <c r="K11" s="61" t="s">
        <v>39</v>
      </c>
      <c r="L11" s="61">
        <v>0.1</v>
      </c>
      <c r="M11" s="61">
        <v>0.08</v>
      </c>
      <c r="N11" s="61">
        <v>0.06</v>
      </c>
      <c r="O11" s="61">
        <v>0.04</v>
      </c>
      <c r="P11" s="61">
        <v>0.02</v>
      </c>
      <c r="Q11" s="61">
        <v>0</v>
      </c>
      <c r="R11" s="61"/>
      <c r="S11" s="61"/>
      <c r="T11" s="61"/>
      <c r="U11" s="61">
        <v>3</v>
      </c>
    </row>
    <row r="12" spans="2:21" x14ac:dyDescent="0.25">
      <c r="B12" s="61" t="s">
        <v>783</v>
      </c>
      <c r="C12" s="61">
        <v>8468</v>
      </c>
      <c r="D12" s="61">
        <v>370</v>
      </c>
      <c r="E12" s="61" t="s">
        <v>23</v>
      </c>
      <c r="F12" s="61">
        <v>1</v>
      </c>
      <c r="G12" s="61" t="s">
        <v>769</v>
      </c>
      <c r="H12" s="61" t="s">
        <v>44</v>
      </c>
      <c r="I12" s="61" t="s">
        <v>25</v>
      </c>
      <c r="J12" s="61" t="s">
        <v>44</v>
      </c>
      <c r="K12" s="61" t="s">
        <v>43</v>
      </c>
      <c r="L12" s="61">
        <v>0.3</v>
      </c>
      <c r="M12" s="61">
        <v>0.24</v>
      </c>
      <c r="N12" s="61">
        <v>0.18</v>
      </c>
      <c r="O12" s="61">
        <v>0.12</v>
      </c>
      <c r="P12" s="61">
        <v>0.06</v>
      </c>
      <c r="Q12" s="61">
        <v>0</v>
      </c>
      <c r="R12" s="61"/>
      <c r="S12" s="61"/>
      <c r="T12" s="61"/>
      <c r="U12" s="61">
        <v>3</v>
      </c>
    </row>
    <row r="13" spans="2:21" x14ac:dyDescent="0.25">
      <c r="B13" s="61" t="s">
        <v>784</v>
      </c>
      <c r="C13" s="61">
        <v>8469</v>
      </c>
      <c r="D13" s="61">
        <v>370</v>
      </c>
      <c r="E13" s="61" t="s">
        <v>775</v>
      </c>
      <c r="F13" s="61">
        <v>1</v>
      </c>
      <c r="G13" s="61" t="s">
        <v>769</v>
      </c>
      <c r="H13" s="61" t="s">
        <v>44</v>
      </c>
      <c r="I13" s="61" t="s">
        <v>25</v>
      </c>
      <c r="J13" s="61" t="s">
        <v>44</v>
      </c>
      <c r="K13" s="61" t="s">
        <v>43</v>
      </c>
      <c r="L13" s="61">
        <v>0.3</v>
      </c>
      <c r="M13" s="61">
        <v>0.24</v>
      </c>
      <c r="N13" s="61">
        <v>0.18</v>
      </c>
      <c r="O13" s="61">
        <v>0.12</v>
      </c>
      <c r="P13" s="61">
        <v>0.06</v>
      </c>
      <c r="Q13" s="61">
        <v>0</v>
      </c>
      <c r="R13" s="61"/>
      <c r="S13" s="61"/>
      <c r="T13" s="61"/>
      <c r="U13" s="61">
        <v>3</v>
      </c>
    </row>
    <row r="14" spans="2:21" x14ac:dyDescent="0.25">
      <c r="B14" s="61" t="s">
        <v>785</v>
      </c>
      <c r="C14" s="61">
        <v>8470</v>
      </c>
      <c r="D14" s="61">
        <v>370</v>
      </c>
      <c r="E14" s="61" t="s">
        <v>23</v>
      </c>
      <c r="F14" s="61">
        <v>1</v>
      </c>
      <c r="G14" s="61" t="s">
        <v>769</v>
      </c>
      <c r="H14" s="61" t="s">
        <v>44</v>
      </c>
      <c r="I14" s="61" t="s">
        <v>89</v>
      </c>
      <c r="J14" s="61" t="s">
        <v>770</v>
      </c>
      <c r="K14" s="61" t="s">
        <v>43</v>
      </c>
      <c r="L14" s="61">
        <v>0.4</v>
      </c>
      <c r="M14" s="61">
        <v>0.32</v>
      </c>
      <c r="N14" s="61">
        <v>0.24</v>
      </c>
      <c r="O14" s="61">
        <v>0.16</v>
      </c>
      <c r="P14" s="61">
        <v>0.08</v>
      </c>
      <c r="Q14" s="61">
        <v>0</v>
      </c>
      <c r="R14" s="61"/>
      <c r="S14" s="61"/>
      <c r="T14" s="61"/>
      <c r="U14" s="61">
        <v>3</v>
      </c>
    </row>
    <row r="15" spans="2:21" x14ac:dyDescent="0.25">
      <c r="B15" s="61" t="s">
        <v>786</v>
      </c>
      <c r="C15" s="61">
        <v>8471</v>
      </c>
      <c r="D15" s="61">
        <v>370</v>
      </c>
      <c r="E15" s="61" t="s">
        <v>33</v>
      </c>
      <c r="F15" s="61">
        <v>1</v>
      </c>
      <c r="G15" s="61" t="s">
        <v>769</v>
      </c>
      <c r="H15" s="61" t="s">
        <v>44</v>
      </c>
      <c r="I15" s="61" t="s">
        <v>89</v>
      </c>
      <c r="J15" s="61" t="s">
        <v>770</v>
      </c>
      <c r="K15" s="61" t="s">
        <v>43</v>
      </c>
      <c r="L15" s="61">
        <v>0.4</v>
      </c>
      <c r="M15" s="61">
        <v>0.32</v>
      </c>
      <c r="N15" s="61">
        <v>0.24</v>
      </c>
      <c r="O15" s="61">
        <v>0.16</v>
      </c>
      <c r="P15" s="61">
        <v>0.08</v>
      </c>
      <c r="Q15" s="61">
        <v>0</v>
      </c>
      <c r="R15" s="61"/>
      <c r="S15" s="61"/>
      <c r="T15" s="61"/>
      <c r="U15" s="61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EFFCE-1C06-45E2-BDB7-3309292FA6E9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8" t="s">
        <v>1202</v>
      </c>
      <c r="B1" s="78" t="s">
        <v>22</v>
      </c>
      <c r="C1" s="78" t="s">
        <v>1201</v>
      </c>
      <c r="D1" s="78" t="s">
        <v>1200</v>
      </c>
      <c r="E1" s="78" t="s">
        <v>37</v>
      </c>
      <c r="F1" s="78" t="s">
        <v>1199</v>
      </c>
      <c r="G1" s="78" t="s">
        <v>1198</v>
      </c>
      <c r="H1" s="78" t="s">
        <v>690</v>
      </c>
      <c r="I1" s="78" t="s">
        <v>39</v>
      </c>
      <c r="J1" s="78" t="s">
        <v>689</v>
      </c>
      <c r="K1" s="78" t="s">
        <v>688</v>
      </c>
      <c r="L1" s="78" t="s">
        <v>687</v>
      </c>
    </row>
    <row r="2" spans="1:12" x14ac:dyDescent="0.2">
      <c r="A2" s="74" t="s">
        <v>1197</v>
      </c>
      <c r="B2" s="8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972.80999537224261</v>
      </c>
      <c r="C2" s="80">
        <f t="shared" si="0"/>
        <v>914.60336193425735</v>
      </c>
      <c r="D2" s="80">
        <f t="shared" si="0"/>
        <v>894.86372102920132</v>
      </c>
      <c r="E2" s="80">
        <f t="shared" si="0"/>
        <v>972.80999537224261</v>
      </c>
      <c r="F2" s="80">
        <f t="shared" si="0"/>
        <v>534.99488299087432</v>
      </c>
      <c r="G2" s="80">
        <f t="shared" si="0"/>
        <v>583.58476829562721</v>
      </c>
      <c r="H2" s="80">
        <f t="shared" si="0"/>
        <v>0</v>
      </c>
      <c r="I2" s="80">
        <f t="shared" si="0"/>
        <v>936.58404204255839</v>
      </c>
      <c r="J2" s="80">
        <f t="shared" si="0"/>
        <v>0</v>
      </c>
      <c r="K2" s="80">
        <f t="shared" si="0"/>
        <v>0</v>
      </c>
      <c r="L2" s="80">
        <f t="shared" si="0"/>
        <v>0</v>
      </c>
    </row>
    <row r="3" spans="1:12" ht="12" thickBot="1" x14ac:dyDescent="0.25">
      <c r="A3" s="72" t="s">
        <v>1196</v>
      </c>
      <c r="B3" s="79">
        <v>19.22</v>
      </c>
      <c r="C3" s="79">
        <v>18.07</v>
      </c>
      <c r="D3" s="79">
        <v>17.68</v>
      </c>
      <c r="E3" s="79">
        <v>19.22</v>
      </c>
      <c r="F3" s="79">
        <v>10.57</v>
      </c>
      <c r="G3" s="79">
        <v>11.53</v>
      </c>
      <c r="H3" s="79">
        <v>0</v>
      </c>
      <c r="I3" s="79">
        <f>'TUSD BE'!$AC$6</f>
        <v>18.504276655967018</v>
      </c>
      <c r="J3" s="79">
        <v>0</v>
      </c>
      <c r="K3" s="79">
        <v>0</v>
      </c>
      <c r="L3" s="79">
        <v>0</v>
      </c>
    </row>
    <row r="5" spans="1:12" ht="12" thickBot="1" x14ac:dyDescent="0.25">
      <c r="A5" s="78" t="s">
        <v>1195</v>
      </c>
      <c r="B5" s="78" t="s">
        <v>1194</v>
      </c>
    </row>
    <row r="6" spans="1:12" x14ac:dyDescent="0.2">
      <c r="A6" s="74" t="s">
        <v>1193</v>
      </c>
      <c r="B6" s="77">
        <v>0.1108</v>
      </c>
    </row>
    <row r="7" spans="1:12" x14ac:dyDescent="0.2">
      <c r="A7" s="76" t="s">
        <v>1192</v>
      </c>
      <c r="B7" s="75">
        <v>0.34</v>
      </c>
    </row>
    <row r="8" spans="1:12" x14ac:dyDescent="0.2">
      <c r="A8" s="74" t="s">
        <v>1191</v>
      </c>
      <c r="B8" s="73">
        <v>196266650.68403801</v>
      </c>
    </row>
    <row r="9" spans="1:12" x14ac:dyDescent="0.2">
      <c r="A9" s="76" t="s">
        <v>1190</v>
      </c>
      <c r="B9" s="75">
        <v>3.7200000000000004E-2</v>
      </c>
    </row>
    <row r="10" spans="1:12" x14ac:dyDescent="0.2">
      <c r="A10" s="74" t="s">
        <v>1189</v>
      </c>
      <c r="B10" s="73">
        <v>98758812.054642096</v>
      </c>
    </row>
    <row r="11" spans="1:12" ht="12" thickBot="1" x14ac:dyDescent="0.25">
      <c r="A11" s="72" t="s">
        <v>1188</v>
      </c>
      <c r="B11" s="71">
        <f>(1+$B$6)^(1/IF($B$9&lt;&gt;0,$B$9,1))*$B$6/IF((1+$B$6)^(1/IF($B$9&lt;&gt;0,$B$9,1))-1&lt;&gt;0,(1+$B$6)^(1/IF($B$9&lt;&gt;0,$B$9,1))-1,1)</f>
        <v>0.11778761383342753</v>
      </c>
    </row>
    <row r="18" spans="2:2" x14ac:dyDescent="0.2">
      <c r="B18" s="7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23CAD-31C9-4DEF-AB3A-4817DAAF8A2B}">
  <dimension ref="B1:AT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6" t="s">
        <v>1242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7" t="s">
        <v>561</v>
      </c>
      <c r="M2" s="127"/>
      <c r="N2" s="127"/>
      <c r="O2" s="127"/>
      <c r="P2" s="127"/>
      <c r="Q2" s="127"/>
      <c r="R2" s="127"/>
      <c r="S2" s="128"/>
      <c r="T2" s="127" t="s">
        <v>570</v>
      </c>
      <c r="U2" s="127"/>
      <c r="V2" s="127"/>
      <c r="W2" s="127"/>
      <c r="X2" s="127"/>
      <c r="Y2" s="127"/>
      <c r="Z2" s="128"/>
      <c r="AA2" s="91" t="s">
        <v>578</v>
      </c>
      <c r="AB2" s="127" t="s">
        <v>25</v>
      </c>
      <c r="AC2" s="127"/>
      <c r="AD2" s="128"/>
      <c r="AE2" s="127" t="s">
        <v>1241</v>
      </c>
      <c r="AF2" s="127"/>
      <c r="AG2" s="127"/>
      <c r="AH2" s="128"/>
      <c r="AI2" s="127" t="s">
        <v>561</v>
      </c>
      <c r="AJ2" s="127"/>
      <c r="AK2" s="127"/>
      <c r="AL2" s="127"/>
      <c r="AM2" s="128"/>
      <c r="AN2" s="91" t="s">
        <v>592</v>
      </c>
      <c r="AO2" s="127" t="s">
        <v>570</v>
      </c>
      <c r="AP2" s="127"/>
      <c r="AQ2" s="127"/>
      <c r="AR2" s="127"/>
      <c r="AS2" s="128"/>
      <c r="AT2" s="90" t="s">
        <v>1241</v>
      </c>
    </row>
    <row r="3" spans="2:46" ht="12" customHeight="1" x14ac:dyDescent="0.25">
      <c r="B3" s="81" t="s">
        <v>62</v>
      </c>
      <c r="C3" s="82" t="s">
        <v>63</v>
      </c>
      <c r="D3" s="82" t="s">
        <v>64</v>
      </c>
      <c r="E3" s="82" t="s">
        <v>65</v>
      </c>
      <c r="F3" s="82" t="s">
        <v>66</v>
      </c>
      <c r="G3" s="82" t="s">
        <v>68</v>
      </c>
      <c r="H3" s="82" t="s">
        <v>69</v>
      </c>
      <c r="I3" s="82" t="s">
        <v>832</v>
      </c>
      <c r="J3" s="82" t="s">
        <v>1203</v>
      </c>
      <c r="K3" s="82" t="s">
        <v>1204</v>
      </c>
      <c r="L3" s="82" t="s">
        <v>1205</v>
      </c>
      <c r="M3" s="82" t="s">
        <v>1206</v>
      </c>
      <c r="N3" s="82" t="s">
        <v>1207</v>
      </c>
      <c r="O3" s="82" t="s">
        <v>1208</v>
      </c>
      <c r="P3" s="82" t="s">
        <v>1209</v>
      </c>
      <c r="Q3" s="82" t="s">
        <v>1210</v>
      </c>
      <c r="R3" s="82" t="s">
        <v>1211</v>
      </c>
      <c r="S3" s="82" t="s">
        <v>1212</v>
      </c>
      <c r="T3" s="82" t="s">
        <v>1213</v>
      </c>
      <c r="U3" s="82" t="s">
        <v>1214</v>
      </c>
      <c r="V3" s="82" t="s">
        <v>1215</v>
      </c>
      <c r="W3" s="82" t="s">
        <v>1216</v>
      </c>
      <c r="X3" s="82" t="s">
        <v>1217</v>
      </c>
      <c r="Y3" s="82" t="s">
        <v>1218</v>
      </c>
      <c r="Z3" s="82" t="s">
        <v>1219</v>
      </c>
      <c r="AA3" s="82" t="s">
        <v>1220</v>
      </c>
      <c r="AB3" s="82" t="s">
        <v>1221</v>
      </c>
      <c r="AC3" s="82" t="s">
        <v>1222</v>
      </c>
      <c r="AD3" s="82" t="s">
        <v>1223</v>
      </c>
      <c r="AE3" s="82" t="s">
        <v>1224</v>
      </c>
      <c r="AF3" s="82" t="s">
        <v>1225</v>
      </c>
      <c r="AG3" s="82" t="s">
        <v>1226</v>
      </c>
      <c r="AH3" s="82" t="s">
        <v>1227</v>
      </c>
      <c r="AI3" s="82" t="s">
        <v>1228</v>
      </c>
      <c r="AJ3" s="82" t="s">
        <v>1229</v>
      </c>
      <c r="AK3" s="82" t="s">
        <v>1230</v>
      </c>
      <c r="AL3" s="82" t="s">
        <v>1231</v>
      </c>
      <c r="AM3" s="82" t="s">
        <v>1232</v>
      </c>
      <c r="AN3" s="82" t="s">
        <v>1233</v>
      </c>
      <c r="AO3" s="82" t="s">
        <v>1234</v>
      </c>
      <c r="AP3" s="82" t="s">
        <v>1235</v>
      </c>
      <c r="AQ3" s="82" t="s">
        <v>1236</v>
      </c>
      <c r="AR3" s="82" t="s">
        <v>1237</v>
      </c>
      <c r="AS3" s="82" t="s">
        <v>1238</v>
      </c>
      <c r="AT3" s="83" t="s">
        <v>1239</v>
      </c>
    </row>
    <row r="4" spans="2:46" ht="12" customHeight="1" x14ac:dyDescent="0.25">
      <c r="B4" s="84" t="s">
        <v>39</v>
      </c>
      <c r="C4" s="85" t="s">
        <v>40</v>
      </c>
      <c r="D4" s="85" t="s">
        <v>25</v>
      </c>
      <c r="E4" s="85" t="s">
        <v>25</v>
      </c>
      <c r="F4" s="85" t="s">
        <v>80</v>
      </c>
      <c r="G4" s="85" t="s">
        <v>34</v>
      </c>
      <c r="H4" s="85" t="s">
        <v>72</v>
      </c>
      <c r="I4" s="85" t="s">
        <v>25</v>
      </c>
      <c r="J4" s="85">
        <v>59.79</v>
      </c>
      <c r="K4" s="85">
        <v>0</v>
      </c>
      <c r="L4" s="85">
        <v>0</v>
      </c>
      <c r="M4" s="85">
        <v>0.66016908154819398</v>
      </c>
      <c r="N4" s="85">
        <v>1.0484704947580199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0</v>
      </c>
      <c r="AC4" s="85">
        <v>0</v>
      </c>
      <c r="AD4" s="85">
        <v>0</v>
      </c>
      <c r="AE4" s="85">
        <v>16.672973956676699</v>
      </c>
      <c r="AF4" s="85">
        <v>0</v>
      </c>
      <c r="AG4" s="85">
        <v>37.601808915221099</v>
      </c>
      <c r="AH4" s="85">
        <v>3.8071164184279498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39</v>
      </c>
      <c r="C5" s="85" t="s">
        <v>40</v>
      </c>
      <c r="D5" s="85" t="s">
        <v>25</v>
      </c>
      <c r="E5" s="85" t="s">
        <v>25</v>
      </c>
      <c r="F5" s="85" t="s">
        <v>80</v>
      </c>
      <c r="G5" s="85" t="s">
        <v>34</v>
      </c>
      <c r="H5" s="85" t="s">
        <v>77</v>
      </c>
      <c r="I5" s="85" t="s">
        <v>25</v>
      </c>
      <c r="J5" s="85">
        <v>57.09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0</v>
      </c>
      <c r="U5" s="85">
        <v>0</v>
      </c>
      <c r="V5" s="85">
        <v>0.37281350351036702</v>
      </c>
      <c r="W5" s="85">
        <v>0</v>
      </c>
      <c r="X5" s="85">
        <v>0</v>
      </c>
      <c r="Y5" s="85">
        <v>0</v>
      </c>
      <c r="Z5" s="85">
        <v>0</v>
      </c>
      <c r="AA5" s="85">
        <v>56.718440237963101</v>
      </c>
      <c r="AB5" s="85">
        <v>0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39</v>
      </c>
      <c r="C6" s="85" t="s">
        <v>40</v>
      </c>
      <c r="D6" s="85" t="s">
        <v>25</v>
      </c>
      <c r="E6" s="85" t="s">
        <v>25</v>
      </c>
      <c r="F6" s="85" t="s">
        <v>80</v>
      </c>
      <c r="G6" s="85" t="s">
        <v>35</v>
      </c>
      <c r="H6" s="85" t="s">
        <v>72</v>
      </c>
      <c r="I6" s="85" t="s">
        <v>25</v>
      </c>
      <c r="J6" s="85">
        <v>59.79</v>
      </c>
      <c r="K6" s="85">
        <v>0</v>
      </c>
      <c r="L6" s="85">
        <v>0</v>
      </c>
      <c r="M6" s="85">
        <v>0.66016908154819398</v>
      </c>
      <c r="N6" s="85">
        <v>1.0484704947580199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16.672973956676699</v>
      </c>
      <c r="AF6" s="85">
        <v>0</v>
      </c>
      <c r="AG6" s="85">
        <v>37.601808915221099</v>
      </c>
      <c r="AH6" s="85">
        <v>3.8071164184279498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39</v>
      </c>
      <c r="C7" s="85" t="s">
        <v>40</v>
      </c>
      <c r="D7" s="85" t="s">
        <v>25</v>
      </c>
      <c r="E7" s="85" t="s">
        <v>25</v>
      </c>
      <c r="F7" s="85" t="s">
        <v>80</v>
      </c>
      <c r="G7" s="85" t="s">
        <v>35</v>
      </c>
      <c r="H7" s="85" t="s">
        <v>77</v>
      </c>
      <c r="I7" s="85" t="s">
        <v>25</v>
      </c>
      <c r="J7" s="85">
        <v>19.02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</v>
      </c>
      <c r="U7" s="85">
        <v>0</v>
      </c>
      <c r="V7" s="85">
        <v>0.113464979329242</v>
      </c>
      <c r="W7" s="85">
        <v>0</v>
      </c>
      <c r="X7" s="85">
        <v>0</v>
      </c>
      <c r="Y7" s="85">
        <v>0</v>
      </c>
      <c r="Z7" s="85">
        <v>0</v>
      </c>
      <c r="AA7" s="85">
        <v>18.911011806217701</v>
      </c>
      <c r="AB7" s="85">
        <v>0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39</v>
      </c>
      <c r="C8" s="85" t="s">
        <v>40</v>
      </c>
      <c r="D8" s="85" t="s">
        <v>25</v>
      </c>
      <c r="E8" s="85" t="s">
        <v>25</v>
      </c>
      <c r="F8" s="85" t="s">
        <v>25</v>
      </c>
      <c r="G8" s="85" t="s">
        <v>34</v>
      </c>
      <c r="H8" s="85" t="s">
        <v>72</v>
      </c>
      <c r="I8" s="85" t="s">
        <v>25</v>
      </c>
      <c r="J8" s="85">
        <v>109.44</v>
      </c>
      <c r="K8" s="85">
        <v>542.84</v>
      </c>
      <c r="L8" s="85">
        <v>11.8607528587182</v>
      </c>
      <c r="M8" s="85">
        <v>0.66016908154819398</v>
      </c>
      <c r="N8" s="85">
        <v>1.0585867592881799</v>
      </c>
      <c r="O8" s="85">
        <v>0</v>
      </c>
      <c r="P8" s="85">
        <v>0</v>
      </c>
      <c r="Q8" s="85">
        <v>37.7805567733622</v>
      </c>
      <c r="R8" s="85">
        <v>0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85">
        <v>0</v>
      </c>
      <c r="AE8" s="85">
        <v>16.672973956676699</v>
      </c>
      <c r="AF8" s="85">
        <v>0</v>
      </c>
      <c r="AG8" s="85">
        <v>37.601808915221099</v>
      </c>
      <c r="AH8" s="85">
        <v>3.8071164184279498</v>
      </c>
      <c r="AI8" s="85">
        <v>0.90596785203602304</v>
      </c>
      <c r="AJ8" s="85">
        <v>0</v>
      </c>
      <c r="AK8" s="85">
        <v>3.3471837672554798</v>
      </c>
      <c r="AL8" s="85">
        <v>0</v>
      </c>
      <c r="AM8" s="85">
        <v>0</v>
      </c>
      <c r="AN8" s="85">
        <v>538.59099543054901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6">
        <v>0</v>
      </c>
    </row>
    <row r="9" spans="2:46" ht="12" customHeight="1" x14ac:dyDescent="0.25">
      <c r="B9" s="84" t="s">
        <v>39</v>
      </c>
      <c r="C9" s="85" t="s">
        <v>40</v>
      </c>
      <c r="D9" s="85" t="s">
        <v>25</v>
      </c>
      <c r="E9" s="85" t="s">
        <v>25</v>
      </c>
      <c r="F9" s="85" t="s">
        <v>25</v>
      </c>
      <c r="G9" s="85" t="s">
        <v>34</v>
      </c>
      <c r="H9" s="85" t="s">
        <v>77</v>
      </c>
      <c r="I9" s="85" t="s">
        <v>25</v>
      </c>
      <c r="J9" s="85">
        <v>57.09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0</v>
      </c>
      <c r="U9" s="85">
        <v>0</v>
      </c>
      <c r="V9" s="85">
        <v>0.37281350351036702</v>
      </c>
      <c r="W9" s="85">
        <v>0</v>
      </c>
      <c r="X9" s="85">
        <v>0</v>
      </c>
      <c r="Y9" s="85">
        <v>0</v>
      </c>
      <c r="Z9" s="85">
        <v>0</v>
      </c>
      <c r="AA9" s="85">
        <v>56.718440237963101</v>
      </c>
      <c r="AB9" s="85">
        <v>0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39</v>
      </c>
      <c r="C10" s="85" t="s">
        <v>40</v>
      </c>
      <c r="D10" s="85" t="s">
        <v>25</v>
      </c>
      <c r="E10" s="85" t="s">
        <v>25</v>
      </c>
      <c r="F10" s="85" t="s">
        <v>25</v>
      </c>
      <c r="G10" s="85" t="s">
        <v>35</v>
      </c>
      <c r="H10" s="85" t="s">
        <v>72</v>
      </c>
      <c r="I10" s="85" t="s">
        <v>25</v>
      </c>
      <c r="J10" s="85">
        <v>109.44</v>
      </c>
      <c r="K10" s="85">
        <v>317.39</v>
      </c>
      <c r="L10" s="85">
        <v>11.8607528587182</v>
      </c>
      <c r="M10" s="85">
        <v>0.66016908154819398</v>
      </c>
      <c r="N10" s="85">
        <v>1.0585867592881799</v>
      </c>
      <c r="O10" s="85">
        <v>0</v>
      </c>
      <c r="P10" s="85">
        <v>0</v>
      </c>
      <c r="Q10" s="85">
        <v>37.7805567733622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85">
        <v>0</v>
      </c>
      <c r="AE10" s="85">
        <v>16.672973956676699</v>
      </c>
      <c r="AF10" s="85">
        <v>0</v>
      </c>
      <c r="AG10" s="85">
        <v>37.601808915221099</v>
      </c>
      <c r="AH10" s="85">
        <v>3.8071164184279498</v>
      </c>
      <c r="AI10" s="85">
        <v>0.90596785203602304</v>
      </c>
      <c r="AJ10" s="85">
        <v>0</v>
      </c>
      <c r="AK10" s="85">
        <v>3.3471837672554798</v>
      </c>
      <c r="AL10" s="85">
        <v>0</v>
      </c>
      <c r="AM10" s="85">
        <v>0</v>
      </c>
      <c r="AN10" s="85">
        <v>313.13429966892397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6">
        <v>0</v>
      </c>
    </row>
    <row r="11" spans="2:46" ht="12" customHeight="1" x14ac:dyDescent="0.25">
      <c r="B11" s="84" t="s">
        <v>39</v>
      </c>
      <c r="C11" s="85" t="s">
        <v>40</v>
      </c>
      <c r="D11" s="85" t="s">
        <v>25</v>
      </c>
      <c r="E11" s="85" t="s">
        <v>25</v>
      </c>
      <c r="F11" s="85" t="s">
        <v>25</v>
      </c>
      <c r="G11" s="85" t="s">
        <v>35</v>
      </c>
      <c r="H11" s="85" t="s">
        <v>77</v>
      </c>
      <c r="I11" s="85" t="s">
        <v>25</v>
      </c>
      <c r="J11" s="85">
        <v>19.02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0</v>
      </c>
      <c r="U11" s="85">
        <v>0</v>
      </c>
      <c r="V11" s="85">
        <v>0.113464979329242</v>
      </c>
      <c r="W11" s="85">
        <v>0</v>
      </c>
      <c r="X11" s="85">
        <v>0</v>
      </c>
      <c r="Y11" s="85">
        <v>0</v>
      </c>
      <c r="Z11" s="85">
        <v>0</v>
      </c>
      <c r="AA11" s="85">
        <v>18.911011806217701</v>
      </c>
      <c r="AB11" s="85">
        <v>0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39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72</v>
      </c>
      <c r="I12" s="85" t="s">
        <v>25</v>
      </c>
      <c r="J12" s="85">
        <v>0</v>
      </c>
      <c r="K12" s="85">
        <v>336.18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0.90596785203602304</v>
      </c>
      <c r="AJ12" s="85">
        <v>0</v>
      </c>
      <c r="AK12" s="85">
        <v>3.3471837672554798</v>
      </c>
      <c r="AL12" s="85">
        <v>0</v>
      </c>
      <c r="AM12" s="85">
        <v>0</v>
      </c>
      <c r="AN12" s="85">
        <v>331.92235764905899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6">
        <v>0</v>
      </c>
    </row>
    <row r="13" spans="2:46" ht="12" customHeight="1" x14ac:dyDescent="0.25">
      <c r="B13" s="84" t="s">
        <v>39</v>
      </c>
      <c r="C13" s="85" t="s">
        <v>81</v>
      </c>
      <c r="D13" s="85" t="s">
        <v>25</v>
      </c>
      <c r="E13" s="85" t="s">
        <v>25</v>
      </c>
      <c r="F13" s="85" t="s">
        <v>25</v>
      </c>
      <c r="G13" s="85" t="s">
        <v>25</v>
      </c>
      <c r="H13" s="85" t="s">
        <v>77</v>
      </c>
      <c r="I13" s="85" t="s">
        <v>25</v>
      </c>
      <c r="J13" s="85">
        <v>14.98</v>
      </c>
      <c r="K13" s="85">
        <v>0</v>
      </c>
      <c r="L13" s="85">
        <v>0</v>
      </c>
      <c r="M13" s="85">
        <v>4.0581408028881799E-2</v>
      </c>
      <c r="N13" s="85">
        <v>0.124733541656898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14.818812631975099</v>
      </c>
      <c r="AB13" s="85">
        <v>0</v>
      </c>
      <c r="AC13" s="85">
        <v>0</v>
      </c>
      <c r="AD13" s="85">
        <v>0</v>
      </c>
      <c r="AE13" s="85">
        <v>0</v>
      </c>
      <c r="AF13" s="85">
        <v>0</v>
      </c>
      <c r="AG13" s="85">
        <v>0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39</v>
      </c>
      <c r="C14" s="85" t="s">
        <v>41</v>
      </c>
      <c r="D14" s="85" t="s">
        <v>25</v>
      </c>
      <c r="E14" s="85" t="s">
        <v>25</v>
      </c>
      <c r="F14" s="85" t="s">
        <v>80</v>
      </c>
      <c r="G14" s="85" t="s">
        <v>34</v>
      </c>
      <c r="H14" s="85" t="s">
        <v>72</v>
      </c>
      <c r="I14" s="85" t="s">
        <v>25</v>
      </c>
      <c r="J14" s="85">
        <v>1444.13</v>
      </c>
      <c r="K14" s="85">
        <v>0</v>
      </c>
      <c r="L14" s="85">
        <v>0</v>
      </c>
      <c r="M14" s="85">
        <v>0.66016908154819398</v>
      </c>
      <c r="N14" s="85">
        <v>12.4892909235272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</v>
      </c>
      <c r="U14" s="85">
        <v>0</v>
      </c>
      <c r="V14" s="85">
        <v>8.8178498221582498</v>
      </c>
      <c r="W14" s="85">
        <v>0</v>
      </c>
      <c r="X14" s="85">
        <v>0</v>
      </c>
      <c r="Y14" s="85">
        <v>0</v>
      </c>
      <c r="Z14" s="85">
        <v>0</v>
      </c>
      <c r="AA14" s="85">
        <v>1364.0811474233001</v>
      </c>
      <c r="AB14" s="85">
        <v>0</v>
      </c>
      <c r="AC14" s="85">
        <v>0</v>
      </c>
      <c r="AD14" s="85">
        <v>0</v>
      </c>
      <c r="AE14" s="85">
        <v>16.672973956676699</v>
      </c>
      <c r="AF14" s="85">
        <v>0</v>
      </c>
      <c r="AG14" s="85">
        <v>37.601808915221099</v>
      </c>
      <c r="AH14" s="85">
        <v>3.8071164184279498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39</v>
      </c>
      <c r="C15" s="85" t="s">
        <v>41</v>
      </c>
      <c r="D15" s="85" t="s">
        <v>25</v>
      </c>
      <c r="E15" s="85" t="s">
        <v>25</v>
      </c>
      <c r="F15" s="85" t="s">
        <v>80</v>
      </c>
      <c r="G15" s="85" t="s">
        <v>25</v>
      </c>
      <c r="H15" s="85" t="s">
        <v>77</v>
      </c>
      <c r="I15" s="85" t="s">
        <v>25</v>
      </c>
      <c r="J15" s="85">
        <v>19.02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0.113464979329242</v>
      </c>
      <c r="W15" s="85">
        <v>0</v>
      </c>
      <c r="X15" s="85">
        <v>0</v>
      </c>
      <c r="Y15" s="85">
        <v>0</v>
      </c>
      <c r="Z15" s="85">
        <v>0</v>
      </c>
      <c r="AA15" s="85">
        <v>18.911011806217701</v>
      </c>
      <c r="AB15" s="85">
        <v>0</v>
      </c>
      <c r="AC15" s="85">
        <v>0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39</v>
      </c>
      <c r="C16" s="85" t="s">
        <v>41</v>
      </c>
      <c r="D16" s="85" t="s">
        <v>25</v>
      </c>
      <c r="E16" s="85" t="s">
        <v>25</v>
      </c>
      <c r="F16" s="85" t="s">
        <v>80</v>
      </c>
      <c r="G16" s="85" t="s">
        <v>35</v>
      </c>
      <c r="H16" s="85" t="s">
        <v>72</v>
      </c>
      <c r="I16" s="85" t="s">
        <v>25</v>
      </c>
      <c r="J16" s="85">
        <v>59.79</v>
      </c>
      <c r="K16" s="85">
        <v>0</v>
      </c>
      <c r="L16" s="85">
        <v>0</v>
      </c>
      <c r="M16" s="85">
        <v>0.66016908154819398</v>
      </c>
      <c r="N16" s="85">
        <v>1.0484704947580199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0</v>
      </c>
      <c r="U16" s="85">
        <v>0</v>
      </c>
      <c r="V16" s="85">
        <v>0</v>
      </c>
      <c r="W16" s="85">
        <v>0</v>
      </c>
      <c r="X16" s="85">
        <v>0</v>
      </c>
      <c r="Y16" s="85">
        <v>0</v>
      </c>
      <c r="Z16" s="85">
        <v>0</v>
      </c>
      <c r="AA16" s="85">
        <v>0</v>
      </c>
      <c r="AB16" s="85">
        <v>0</v>
      </c>
      <c r="AC16" s="85">
        <v>0</v>
      </c>
      <c r="AD16" s="85">
        <v>0</v>
      </c>
      <c r="AE16" s="85">
        <v>16.672973956676699</v>
      </c>
      <c r="AF16" s="85">
        <v>0</v>
      </c>
      <c r="AG16" s="85">
        <v>37.601808915221099</v>
      </c>
      <c r="AH16" s="85">
        <v>3.8071164184279498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39</v>
      </c>
      <c r="C17" s="85" t="s">
        <v>41</v>
      </c>
      <c r="D17" s="85" t="s">
        <v>25</v>
      </c>
      <c r="E17" s="85" t="s">
        <v>25</v>
      </c>
      <c r="F17" s="85" t="s">
        <v>25</v>
      </c>
      <c r="G17" s="85" t="s">
        <v>34</v>
      </c>
      <c r="H17" s="85" t="s">
        <v>72</v>
      </c>
      <c r="I17" s="85" t="s">
        <v>25</v>
      </c>
      <c r="J17" s="85">
        <v>1493.78</v>
      </c>
      <c r="K17" s="85">
        <v>542.84</v>
      </c>
      <c r="L17" s="85">
        <v>11.8607528587182</v>
      </c>
      <c r="M17" s="85">
        <v>0.66016908154819398</v>
      </c>
      <c r="N17" s="85">
        <v>12.499407188057299</v>
      </c>
      <c r="O17" s="85">
        <v>0</v>
      </c>
      <c r="P17" s="85">
        <v>0</v>
      </c>
      <c r="Q17" s="85">
        <v>37.7805567733622</v>
      </c>
      <c r="R17" s="85">
        <v>0</v>
      </c>
      <c r="S17" s="85">
        <v>0</v>
      </c>
      <c r="T17" s="85">
        <v>0</v>
      </c>
      <c r="U17" s="85">
        <v>0</v>
      </c>
      <c r="V17" s="85">
        <v>8.8178498221582498</v>
      </c>
      <c r="W17" s="85">
        <v>0</v>
      </c>
      <c r="X17" s="85">
        <v>0</v>
      </c>
      <c r="Y17" s="85">
        <v>0</v>
      </c>
      <c r="Z17" s="85">
        <v>0</v>
      </c>
      <c r="AA17" s="85">
        <v>1364.0811474233001</v>
      </c>
      <c r="AB17" s="85">
        <v>0</v>
      </c>
      <c r="AC17" s="85">
        <v>0</v>
      </c>
      <c r="AD17" s="85">
        <v>0</v>
      </c>
      <c r="AE17" s="85">
        <v>16.672973956676699</v>
      </c>
      <c r="AF17" s="85">
        <v>0</v>
      </c>
      <c r="AG17" s="85">
        <v>37.601808915221099</v>
      </c>
      <c r="AH17" s="85">
        <v>3.8071164184279498</v>
      </c>
      <c r="AI17" s="85">
        <v>0.90596785203602304</v>
      </c>
      <c r="AJ17" s="85">
        <v>0</v>
      </c>
      <c r="AK17" s="85">
        <v>3.3471837672554798</v>
      </c>
      <c r="AL17" s="85">
        <v>0</v>
      </c>
      <c r="AM17" s="85">
        <v>0</v>
      </c>
      <c r="AN17" s="85">
        <v>538.59099543054901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6">
        <v>0</v>
      </c>
    </row>
    <row r="18" spans="2:46" ht="12" customHeight="1" x14ac:dyDescent="0.25">
      <c r="B18" s="84" t="s">
        <v>39</v>
      </c>
      <c r="C18" s="85" t="s">
        <v>41</v>
      </c>
      <c r="D18" s="85" t="s">
        <v>25</v>
      </c>
      <c r="E18" s="85" t="s">
        <v>25</v>
      </c>
      <c r="F18" s="85" t="s">
        <v>25</v>
      </c>
      <c r="G18" s="85" t="s">
        <v>25</v>
      </c>
      <c r="H18" s="85" t="s">
        <v>77</v>
      </c>
      <c r="I18" s="85" t="s">
        <v>25</v>
      </c>
      <c r="J18" s="85">
        <v>19.02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</v>
      </c>
      <c r="U18" s="85">
        <v>0</v>
      </c>
      <c r="V18" s="85">
        <v>0.113464979329242</v>
      </c>
      <c r="W18" s="85">
        <v>0</v>
      </c>
      <c r="X18" s="85">
        <v>0</v>
      </c>
      <c r="Y18" s="85">
        <v>0</v>
      </c>
      <c r="Z18" s="85">
        <v>0</v>
      </c>
      <c r="AA18" s="85">
        <v>18.911011806217701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39</v>
      </c>
      <c r="C19" s="85" t="s">
        <v>41</v>
      </c>
      <c r="D19" s="85" t="s">
        <v>25</v>
      </c>
      <c r="E19" s="85" t="s">
        <v>25</v>
      </c>
      <c r="F19" s="85" t="s">
        <v>25</v>
      </c>
      <c r="G19" s="85" t="s">
        <v>35</v>
      </c>
      <c r="H19" s="85" t="s">
        <v>72</v>
      </c>
      <c r="I19" s="85" t="s">
        <v>25</v>
      </c>
      <c r="J19" s="85">
        <v>109.44</v>
      </c>
      <c r="K19" s="85">
        <v>317.39</v>
      </c>
      <c r="L19" s="85">
        <v>11.8607528587182</v>
      </c>
      <c r="M19" s="85">
        <v>0.66016908154819398</v>
      </c>
      <c r="N19" s="85">
        <v>1.0585867592881799</v>
      </c>
      <c r="O19" s="85">
        <v>0</v>
      </c>
      <c r="P19" s="85">
        <v>0</v>
      </c>
      <c r="Q19" s="85">
        <v>37.7805567733622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16.672973956676699</v>
      </c>
      <c r="AF19" s="85">
        <v>0</v>
      </c>
      <c r="AG19" s="85">
        <v>37.601808915221099</v>
      </c>
      <c r="AH19" s="85">
        <v>3.8071164184279498</v>
      </c>
      <c r="AI19" s="85">
        <v>0.90596785203602304</v>
      </c>
      <c r="AJ19" s="85">
        <v>0</v>
      </c>
      <c r="AK19" s="85">
        <v>3.3471837672554798</v>
      </c>
      <c r="AL19" s="85">
        <v>0</v>
      </c>
      <c r="AM19" s="85">
        <v>0</v>
      </c>
      <c r="AN19" s="85">
        <v>313.13429966892397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6">
        <v>0</v>
      </c>
    </row>
    <row r="20" spans="2:46" ht="12" customHeight="1" x14ac:dyDescent="0.25">
      <c r="B20" s="84" t="s">
        <v>82</v>
      </c>
      <c r="C20" s="85" t="s">
        <v>81</v>
      </c>
      <c r="D20" s="85" t="s">
        <v>25</v>
      </c>
      <c r="E20" s="85" t="s">
        <v>25</v>
      </c>
      <c r="F20" s="85" t="s">
        <v>83</v>
      </c>
      <c r="G20" s="85" t="s">
        <v>25</v>
      </c>
      <c r="H20" s="85" t="s">
        <v>77</v>
      </c>
      <c r="I20" s="85" t="s">
        <v>25</v>
      </c>
      <c r="J20" s="85">
        <v>4.3499999999999996</v>
      </c>
      <c r="K20" s="85">
        <v>0</v>
      </c>
      <c r="L20" s="85">
        <v>0</v>
      </c>
      <c r="M20" s="85">
        <v>1.1819025148941099E-2</v>
      </c>
      <c r="N20" s="85">
        <v>3.6216227017980301E-2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  <c r="X20" s="85">
        <v>0</v>
      </c>
      <c r="Y20" s="85">
        <v>0</v>
      </c>
      <c r="Z20" s="85">
        <v>0</v>
      </c>
      <c r="AA20" s="85">
        <v>4.30401022623714</v>
      </c>
      <c r="AB20" s="85">
        <v>0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82</v>
      </c>
      <c r="C21" s="85" t="s">
        <v>81</v>
      </c>
      <c r="D21" s="85" t="s">
        <v>25</v>
      </c>
      <c r="E21" s="85" t="s">
        <v>25</v>
      </c>
      <c r="F21" s="85" t="s">
        <v>84</v>
      </c>
      <c r="G21" s="85" t="s">
        <v>25</v>
      </c>
      <c r="H21" s="85" t="s">
        <v>77</v>
      </c>
      <c r="I21" s="85" t="s">
        <v>25</v>
      </c>
      <c r="J21" s="85">
        <v>21.45</v>
      </c>
      <c r="K21" s="85">
        <v>0</v>
      </c>
      <c r="L21" s="85">
        <v>0</v>
      </c>
      <c r="M21" s="85">
        <v>1.1819025148941099E-2</v>
      </c>
      <c r="N21" s="85">
        <v>3.6216227017980301E-2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21.3976204832503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0</v>
      </c>
      <c r="AJ21" s="85">
        <v>0</v>
      </c>
      <c r="AK21" s="85">
        <v>0</v>
      </c>
      <c r="AL21" s="85">
        <v>0</v>
      </c>
      <c r="AM21" s="85">
        <v>0</v>
      </c>
      <c r="AN21" s="85">
        <v>0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6">
        <v>0</v>
      </c>
    </row>
    <row r="22" spans="2:46" ht="12" customHeight="1" x14ac:dyDescent="0.25">
      <c r="B22" s="84" t="s">
        <v>22</v>
      </c>
      <c r="C22" s="85" t="s">
        <v>33</v>
      </c>
      <c r="D22" s="85" t="s">
        <v>24</v>
      </c>
      <c r="E22" s="85" t="s">
        <v>24</v>
      </c>
      <c r="F22" s="85" t="s">
        <v>25</v>
      </c>
      <c r="G22" s="85" t="s">
        <v>34</v>
      </c>
      <c r="H22" s="85" t="s">
        <v>72</v>
      </c>
      <c r="I22" s="85" t="s">
        <v>25</v>
      </c>
      <c r="J22" s="85">
        <v>914.77</v>
      </c>
      <c r="K22" s="85">
        <v>542.84</v>
      </c>
      <c r="L22" s="85">
        <v>14.119943879426501</v>
      </c>
      <c r="M22" s="85">
        <v>0.80497480165789304</v>
      </c>
      <c r="N22" s="85">
        <v>7.8592056452165</v>
      </c>
      <c r="O22" s="85">
        <v>0</v>
      </c>
      <c r="P22" s="85">
        <v>0</v>
      </c>
      <c r="Q22" s="85">
        <v>44.976853301621702</v>
      </c>
      <c r="R22" s="85">
        <v>0</v>
      </c>
      <c r="S22" s="85">
        <v>0</v>
      </c>
      <c r="T22" s="85">
        <v>0</v>
      </c>
      <c r="U22" s="85">
        <v>0</v>
      </c>
      <c r="V22" s="85">
        <v>5.4949468560875898</v>
      </c>
      <c r="W22" s="85">
        <v>0</v>
      </c>
      <c r="X22" s="85">
        <v>0</v>
      </c>
      <c r="Y22" s="85">
        <v>0</v>
      </c>
      <c r="Z22" s="85">
        <v>0</v>
      </c>
      <c r="AA22" s="85">
        <v>755.59841475783196</v>
      </c>
      <c r="AB22" s="85">
        <v>0</v>
      </c>
      <c r="AC22" s="85">
        <v>0</v>
      </c>
      <c r="AD22" s="85">
        <v>0</v>
      </c>
      <c r="AE22" s="85">
        <v>34.947002428972397</v>
      </c>
      <c r="AF22" s="85">
        <v>0</v>
      </c>
      <c r="AG22" s="85">
        <v>46.2830959572944</v>
      </c>
      <c r="AH22" s="85">
        <v>4.6860813242249204</v>
      </c>
      <c r="AI22" s="85">
        <v>0.90596785203602304</v>
      </c>
      <c r="AJ22" s="85">
        <v>0</v>
      </c>
      <c r="AK22" s="85">
        <v>3.3471837672554798</v>
      </c>
      <c r="AL22" s="85">
        <v>0</v>
      </c>
      <c r="AM22" s="85">
        <v>0</v>
      </c>
      <c r="AN22" s="85">
        <v>538.59099543054901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22</v>
      </c>
      <c r="C23" s="85" t="s">
        <v>33</v>
      </c>
      <c r="D23" s="85" t="s">
        <v>24</v>
      </c>
      <c r="E23" s="85" t="s">
        <v>24</v>
      </c>
      <c r="F23" s="85" t="s">
        <v>25</v>
      </c>
      <c r="G23" s="85" t="s">
        <v>36</v>
      </c>
      <c r="H23" s="85" t="s">
        <v>72</v>
      </c>
      <c r="I23" s="85" t="s">
        <v>25</v>
      </c>
      <c r="J23" s="85">
        <v>607.79</v>
      </c>
      <c r="K23" s="85">
        <v>317.39</v>
      </c>
      <c r="L23" s="85">
        <v>14.119943879426501</v>
      </c>
      <c r="M23" s="85">
        <v>0.80497480165789304</v>
      </c>
      <c r="N23" s="85">
        <v>5.3242478002136098</v>
      </c>
      <c r="O23" s="85">
        <v>0</v>
      </c>
      <c r="P23" s="85">
        <v>0</v>
      </c>
      <c r="Q23" s="85">
        <v>44.976853301621702</v>
      </c>
      <c r="R23" s="85">
        <v>0</v>
      </c>
      <c r="S23" s="85">
        <v>0</v>
      </c>
      <c r="T23" s="85">
        <v>0</v>
      </c>
      <c r="U23" s="85">
        <v>0</v>
      </c>
      <c r="V23" s="85">
        <v>3.2904844005480198</v>
      </c>
      <c r="W23" s="85">
        <v>0</v>
      </c>
      <c r="X23" s="85">
        <v>0</v>
      </c>
      <c r="Y23" s="85">
        <v>0</v>
      </c>
      <c r="Z23" s="85">
        <v>0</v>
      </c>
      <c r="AA23" s="85">
        <v>453.35900060616802</v>
      </c>
      <c r="AB23" s="85">
        <v>0</v>
      </c>
      <c r="AC23" s="85">
        <v>0</v>
      </c>
      <c r="AD23" s="85">
        <v>0</v>
      </c>
      <c r="AE23" s="85">
        <v>34.947002428972397</v>
      </c>
      <c r="AF23" s="85">
        <v>0</v>
      </c>
      <c r="AG23" s="85">
        <v>46.2830959572944</v>
      </c>
      <c r="AH23" s="85">
        <v>4.6860813242249204</v>
      </c>
      <c r="AI23" s="85">
        <v>0.90596785203602304</v>
      </c>
      <c r="AJ23" s="85">
        <v>0</v>
      </c>
      <c r="AK23" s="85">
        <v>3.3471837672554798</v>
      </c>
      <c r="AL23" s="85">
        <v>0</v>
      </c>
      <c r="AM23" s="85">
        <v>0</v>
      </c>
      <c r="AN23" s="85">
        <v>313.13429966892397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22</v>
      </c>
      <c r="C24" s="85" t="s">
        <v>33</v>
      </c>
      <c r="D24" s="85" t="s">
        <v>24</v>
      </c>
      <c r="E24" s="85" t="s">
        <v>24</v>
      </c>
      <c r="F24" s="85" t="s">
        <v>25</v>
      </c>
      <c r="G24" s="85" t="s">
        <v>35</v>
      </c>
      <c r="H24" s="85" t="s">
        <v>72</v>
      </c>
      <c r="I24" s="85" t="s">
        <v>25</v>
      </c>
      <c r="J24" s="85">
        <v>300.83</v>
      </c>
      <c r="K24" s="85">
        <v>317.39</v>
      </c>
      <c r="L24" s="85">
        <v>14.119943879426501</v>
      </c>
      <c r="M24" s="85">
        <v>0.80497480165789304</v>
      </c>
      <c r="N24" s="85">
        <v>2.7892919784636301</v>
      </c>
      <c r="O24" s="85">
        <v>0</v>
      </c>
      <c r="P24" s="85">
        <v>0</v>
      </c>
      <c r="Q24" s="85">
        <v>44.976853301621702</v>
      </c>
      <c r="R24" s="85">
        <v>0</v>
      </c>
      <c r="S24" s="85">
        <v>0</v>
      </c>
      <c r="T24" s="85">
        <v>0</v>
      </c>
      <c r="U24" s="85">
        <v>0</v>
      </c>
      <c r="V24" s="85">
        <v>1.1022312277697801</v>
      </c>
      <c r="W24" s="85">
        <v>0</v>
      </c>
      <c r="X24" s="85">
        <v>0</v>
      </c>
      <c r="Y24" s="85">
        <v>0</v>
      </c>
      <c r="Z24" s="85">
        <v>0</v>
      </c>
      <c r="AA24" s="85">
        <v>151.119707075832</v>
      </c>
      <c r="AB24" s="85">
        <v>0</v>
      </c>
      <c r="AC24" s="85">
        <v>0</v>
      </c>
      <c r="AD24" s="85">
        <v>0</v>
      </c>
      <c r="AE24" s="85">
        <v>34.947002428972397</v>
      </c>
      <c r="AF24" s="85">
        <v>0</v>
      </c>
      <c r="AG24" s="85">
        <v>46.2830959572944</v>
      </c>
      <c r="AH24" s="85">
        <v>4.6860813242249204</v>
      </c>
      <c r="AI24" s="85">
        <v>0.90596785203602304</v>
      </c>
      <c r="AJ24" s="85">
        <v>0</v>
      </c>
      <c r="AK24" s="85">
        <v>3.3471837672554798</v>
      </c>
      <c r="AL24" s="85">
        <v>0</v>
      </c>
      <c r="AM24" s="85">
        <v>0</v>
      </c>
      <c r="AN24" s="85">
        <v>313.13429966892397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22</v>
      </c>
      <c r="C25" s="85" t="s">
        <v>23</v>
      </c>
      <c r="D25" s="85" t="s">
        <v>24</v>
      </c>
      <c r="E25" s="85" t="s">
        <v>1240</v>
      </c>
      <c r="F25" s="85" t="s">
        <v>25</v>
      </c>
      <c r="G25" s="85" t="s">
        <v>25</v>
      </c>
      <c r="H25" s="85" t="s">
        <v>72</v>
      </c>
      <c r="I25" s="85" t="s">
        <v>25</v>
      </c>
      <c r="J25" s="85">
        <v>339.85</v>
      </c>
      <c r="K25" s="85">
        <v>336.18</v>
      </c>
      <c r="L25" s="85">
        <v>0</v>
      </c>
      <c r="M25" s="85">
        <v>0.80497480165789304</v>
      </c>
      <c r="N25" s="85">
        <v>3.5895299794840199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1.79923038650656</v>
      </c>
      <c r="W25" s="85">
        <v>0</v>
      </c>
      <c r="X25" s="85">
        <v>0</v>
      </c>
      <c r="Y25" s="85">
        <v>0</v>
      </c>
      <c r="Z25" s="85">
        <v>0</v>
      </c>
      <c r="AA25" s="85">
        <v>247.73714957332399</v>
      </c>
      <c r="AB25" s="85">
        <v>0</v>
      </c>
      <c r="AC25" s="85">
        <v>0</v>
      </c>
      <c r="AD25" s="85">
        <v>0</v>
      </c>
      <c r="AE25" s="85">
        <v>34.947002428972397</v>
      </c>
      <c r="AF25" s="85">
        <v>0</v>
      </c>
      <c r="AG25" s="85">
        <v>46.2830959572944</v>
      </c>
      <c r="AH25" s="85">
        <v>4.6860813242249204</v>
      </c>
      <c r="AI25" s="85">
        <v>0.90596785203602304</v>
      </c>
      <c r="AJ25" s="85">
        <v>0</v>
      </c>
      <c r="AK25" s="85">
        <v>3.3471837672554798</v>
      </c>
      <c r="AL25" s="85">
        <v>0</v>
      </c>
      <c r="AM25" s="85">
        <v>0</v>
      </c>
      <c r="AN25" s="85">
        <v>331.92235764905899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22</v>
      </c>
      <c r="C26" s="85" t="s">
        <v>23</v>
      </c>
      <c r="D26" s="85" t="s">
        <v>24</v>
      </c>
      <c r="E26" s="85" t="s">
        <v>24</v>
      </c>
      <c r="F26" s="85" t="s">
        <v>25</v>
      </c>
      <c r="G26" s="85" t="s">
        <v>25</v>
      </c>
      <c r="H26" s="85" t="s">
        <v>72</v>
      </c>
      <c r="I26" s="85" t="s">
        <v>25</v>
      </c>
      <c r="J26" s="85">
        <v>398.95</v>
      </c>
      <c r="K26" s="85">
        <v>336.18</v>
      </c>
      <c r="L26" s="85">
        <v>14.119943879426501</v>
      </c>
      <c r="M26" s="85">
        <v>0.80497480165789304</v>
      </c>
      <c r="N26" s="85">
        <v>3.5996462440141799</v>
      </c>
      <c r="O26" s="85">
        <v>0</v>
      </c>
      <c r="P26" s="85">
        <v>0</v>
      </c>
      <c r="Q26" s="85">
        <v>44.976853301621702</v>
      </c>
      <c r="R26" s="85">
        <v>0</v>
      </c>
      <c r="S26" s="85">
        <v>0</v>
      </c>
      <c r="T26" s="85">
        <v>0</v>
      </c>
      <c r="U26" s="85">
        <v>0</v>
      </c>
      <c r="V26" s="85">
        <v>1.79923038650656</v>
      </c>
      <c r="W26" s="85">
        <v>0</v>
      </c>
      <c r="X26" s="85">
        <v>0</v>
      </c>
      <c r="Y26" s="85">
        <v>0</v>
      </c>
      <c r="Z26" s="85">
        <v>0</v>
      </c>
      <c r="AA26" s="85">
        <v>247.73714957332399</v>
      </c>
      <c r="AB26" s="85">
        <v>0</v>
      </c>
      <c r="AC26" s="85">
        <v>0</v>
      </c>
      <c r="AD26" s="85">
        <v>0</v>
      </c>
      <c r="AE26" s="85">
        <v>34.947002428972397</v>
      </c>
      <c r="AF26" s="85">
        <v>0</v>
      </c>
      <c r="AG26" s="85">
        <v>46.2830959572944</v>
      </c>
      <c r="AH26" s="85">
        <v>4.6860813242249204</v>
      </c>
      <c r="AI26" s="85">
        <v>0.90596785203602304</v>
      </c>
      <c r="AJ26" s="85">
        <v>0</v>
      </c>
      <c r="AK26" s="85">
        <v>3.3471837672554798</v>
      </c>
      <c r="AL26" s="85">
        <v>0</v>
      </c>
      <c r="AM26" s="85">
        <v>0</v>
      </c>
      <c r="AN26" s="85">
        <v>331.92235764905899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6">
        <v>0</v>
      </c>
    </row>
    <row r="27" spans="2:46" ht="12" customHeight="1" x14ac:dyDescent="0.25">
      <c r="B27" s="84" t="s">
        <v>22</v>
      </c>
      <c r="C27" s="85" t="s">
        <v>87</v>
      </c>
      <c r="D27" s="85" t="s">
        <v>24</v>
      </c>
      <c r="E27" s="85" t="s">
        <v>1240</v>
      </c>
      <c r="F27" s="85" t="s">
        <v>25</v>
      </c>
      <c r="G27" s="85" t="s">
        <v>25</v>
      </c>
      <c r="H27" s="85" t="s">
        <v>72</v>
      </c>
      <c r="I27" s="85" t="s">
        <v>25</v>
      </c>
      <c r="J27" s="85">
        <v>339.85</v>
      </c>
      <c r="K27" s="85">
        <v>336.18</v>
      </c>
      <c r="L27" s="85">
        <v>0</v>
      </c>
      <c r="M27" s="85">
        <v>0.80497480165789304</v>
      </c>
      <c r="N27" s="85">
        <v>3.5895299794840199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1.79923038650656</v>
      </c>
      <c r="W27" s="85">
        <v>0</v>
      </c>
      <c r="X27" s="85">
        <v>0</v>
      </c>
      <c r="Y27" s="85">
        <v>0</v>
      </c>
      <c r="Z27" s="85">
        <v>0</v>
      </c>
      <c r="AA27" s="85">
        <v>247.73714957332399</v>
      </c>
      <c r="AB27" s="85">
        <v>0</v>
      </c>
      <c r="AC27" s="85">
        <v>0</v>
      </c>
      <c r="AD27" s="85">
        <v>0</v>
      </c>
      <c r="AE27" s="85">
        <v>34.947002428972397</v>
      </c>
      <c r="AF27" s="85">
        <v>0</v>
      </c>
      <c r="AG27" s="85">
        <v>46.2830959572944</v>
      </c>
      <c r="AH27" s="85">
        <v>4.6860813242249204</v>
      </c>
      <c r="AI27" s="85">
        <v>0.90596785203602304</v>
      </c>
      <c r="AJ27" s="85">
        <v>0</v>
      </c>
      <c r="AK27" s="85">
        <v>3.3471837672554798</v>
      </c>
      <c r="AL27" s="85">
        <v>0</v>
      </c>
      <c r="AM27" s="85">
        <v>0</v>
      </c>
      <c r="AN27" s="85">
        <v>331.92235764905899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22</v>
      </c>
      <c r="C28" s="85" t="s">
        <v>87</v>
      </c>
      <c r="D28" s="85" t="s">
        <v>24</v>
      </c>
      <c r="E28" s="85" t="s">
        <v>24</v>
      </c>
      <c r="F28" s="85" t="s">
        <v>25</v>
      </c>
      <c r="G28" s="85" t="s">
        <v>25</v>
      </c>
      <c r="H28" s="85" t="s">
        <v>72</v>
      </c>
      <c r="I28" s="85" t="s">
        <v>25</v>
      </c>
      <c r="J28" s="85">
        <v>398.95</v>
      </c>
      <c r="K28" s="85">
        <v>336.18</v>
      </c>
      <c r="L28" s="85">
        <v>14.119943879426501</v>
      </c>
      <c r="M28" s="85">
        <v>0.80497480165789304</v>
      </c>
      <c r="N28" s="85">
        <v>3.5996462440141799</v>
      </c>
      <c r="O28" s="85">
        <v>0</v>
      </c>
      <c r="P28" s="85">
        <v>0</v>
      </c>
      <c r="Q28" s="85">
        <v>44.976853301621702</v>
      </c>
      <c r="R28" s="85">
        <v>0</v>
      </c>
      <c r="S28" s="85">
        <v>0</v>
      </c>
      <c r="T28" s="85">
        <v>0</v>
      </c>
      <c r="U28" s="85">
        <v>0</v>
      </c>
      <c r="V28" s="85">
        <v>1.79923038650656</v>
      </c>
      <c r="W28" s="85">
        <v>0</v>
      </c>
      <c r="X28" s="85">
        <v>0</v>
      </c>
      <c r="Y28" s="85">
        <v>0</v>
      </c>
      <c r="Z28" s="85">
        <v>0</v>
      </c>
      <c r="AA28" s="85">
        <v>247.73714957332399</v>
      </c>
      <c r="AB28" s="85">
        <v>0</v>
      </c>
      <c r="AC28" s="85">
        <v>0</v>
      </c>
      <c r="AD28" s="85">
        <v>0</v>
      </c>
      <c r="AE28" s="85">
        <v>34.947002428972397</v>
      </c>
      <c r="AF28" s="85">
        <v>0</v>
      </c>
      <c r="AG28" s="85">
        <v>46.2830959572944</v>
      </c>
      <c r="AH28" s="85">
        <v>4.6860813242249204</v>
      </c>
      <c r="AI28" s="85">
        <v>0.90596785203602304</v>
      </c>
      <c r="AJ28" s="85">
        <v>0</v>
      </c>
      <c r="AK28" s="85">
        <v>3.3471837672554798</v>
      </c>
      <c r="AL28" s="85">
        <v>0</v>
      </c>
      <c r="AM28" s="85">
        <v>0</v>
      </c>
      <c r="AN28" s="85">
        <v>331.92235764905899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6">
        <v>0</v>
      </c>
    </row>
    <row r="29" spans="2:46" ht="12" customHeight="1" x14ac:dyDescent="0.25">
      <c r="B29" s="84" t="s">
        <v>43</v>
      </c>
      <c r="C29" s="85" t="s">
        <v>33</v>
      </c>
      <c r="D29" s="85" t="s">
        <v>44</v>
      </c>
      <c r="E29" s="85" t="s">
        <v>88</v>
      </c>
      <c r="F29" s="85" t="s">
        <v>25</v>
      </c>
      <c r="G29" s="85" t="s">
        <v>34</v>
      </c>
      <c r="H29" s="85" t="s">
        <v>72</v>
      </c>
      <c r="I29" s="85" t="s">
        <v>25</v>
      </c>
      <c r="J29" s="85">
        <v>895.35</v>
      </c>
      <c r="K29" s="85">
        <v>510.27</v>
      </c>
      <c r="L29" s="85">
        <v>13.2727472466609</v>
      </c>
      <c r="M29" s="85">
        <v>0.75667631355842002</v>
      </c>
      <c r="N29" s="85">
        <v>7.6806268826364104</v>
      </c>
      <c r="O29" s="85">
        <v>0</v>
      </c>
      <c r="P29" s="85">
        <v>0</v>
      </c>
      <c r="Q29" s="85">
        <v>42.278242103524398</v>
      </c>
      <c r="R29" s="85">
        <v>0</v>
      </c>
      <c r="S29" s="85">
        <v>0</v>
      </c>
      <c r="T29" s="85">
        <v>0</v>
      </c>
      <c r="U29" s="85">
        <v>0</v>
      </c>
      <c r="V29" s="85">
        <v>5.4090376574525898</v>
      </c>
      <c r="W29" s="85">
        <v>0</v>
      </c>
      <c r="X29" s="85">
        <v>0</v>
      </c>
      <c r="Y29" s="85">
        <v>0</v>
      </c>
      <c r="Z29" s="85">
        <v>0</v>
      </c>
      <c r="AA29" s="85">
        <v>745.19341394698597</v>
      </c>
      <c r="AB29" s="85">
        <v>0</v>
      </c>
      <c r="AC29" s="85">
        <v>0</v>
      </c>
      <c r="AD29" s="85">
        <v>0</v>
      </c>
      <c r="AE29" s="85">
        <v>32.850182283233998</v>
      </c>
      <c r="AF29" s="85">
        <v>0</v>
      </c>
      <c r="AG29" s="85">
        <v>43.5061101998567</v>
      </c>
      <c r="AH29" s="85">
        <v>4.4049164447714197</v>
      </c>
      <c r="AI29" s="85">
        <v>0.85160978091386097</v>
      </c>
      <c r="AJ29" s="85">
        <v>0</v>
      </c>
      <c r="AK29" s="85">
        <v>3.14635274122015</v>
      </c>
      <c r="AL29" s="85">
        <v>0</v>
      </c>
      <c r="AM29" s="85">
        <v>0</v>
      </c>
      <c r="AN29" s="85">
        <v>506.27553570471599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43</v>
      </c>
      <c r="C30" s="85" t="s">
        <v>33</v>
      </c>
      <c r="D30" s="85" t="s">
        <v>44</v>
      </c>
      <c r="E30" s="85" t="s">
        <v>88</v>
      </c>
      <c r="F30" s="85" t="s">
        <v>25</v>
      </c>
      <c r="G30" s="85" t="s">
        <v>36</v>
      </c>
      <c r="H30" s="85" t="s">
        <v>72</v>
      </c>
      <c r="I30" s="85" t="s">
        <v>25</v>
      </c>
      <c r="J30" s="85">
        <v>592.61</v>
      </c>
      <c r="K30" s="85">
        <v>298.33999999999997</v>
      </c>
      <c r="L30" s="85">
        <v>13.2727472466609</v>
      </c>
      <c r="M30" s="85">
        <v>0.75667631355842002</v>
      </c>
      <c r="N30" s="85">
        <v>5.1805778386236296</v>
      </c>
      <c r="O30" s="85">
        <v>0</v>
      </c>
      <c r="P30" s="85">
        <v>0</v>
      </c>
      <c r="Q30" s="85">
        <v>42.278242103524398</v>
      </c>
      <c r="R30" s="85">
        <v>0</v>
      </c>
      <c r="S30" s="85">
        <v>0</v>
      </c>
      <c r="T30" s="85">
        <v>0</v>
      </c>
      <c r="U30" s="85">
        <v>0</v>
      </c>
      <c r="V30" s="85">
        <v>3.2454225944715498</v>
      </c>
      <c r="W30" s="85">
        <v>0</v>
      </c>
      <c r="X30" s="85">
        <v>0</v>
      </c>
      <c r="Y30" s="85">
        <v>0</v>
      </c>
      <c r="Z30" s="85">
        <v>0</v>
      </c>
      <c r="AA30" s="85">
        <v>447.11604836819203</v>
      </c>
      <c r="AB30" s="85">
        <v>0</v>
      </c>
      <c r="AC30" s="85">
        <v>0</v>
      </c>
      <c r="AD30" s="85">
        <v>0</v>
      </c>
      <c r="AE30" s="85">
        <v>32.850182283233998</v>
      </c>
      <c r="AF30" s="85">
        <v>0</v>
      </c>
      <c r="AG30" s="85">
        <v>43.5061101998567</v>
      </c>
      <c r="AH30" s="85">
        <v>4.4049164447714197</v>
      </c>
      <c r="AI30" s="85">
        <v>0.85160978091386097</v>
      </c>
      <c r="AJ30" s="85">
        <v>0</v>
      </c>
      <c r="AK30" s="85">
        <v>3.14635274122015</v>
      </c>
      <c r="AL30" s="85">
        <v>0</v>
      </c>
      <c r="AM30" s="85">
        <v>0</v>
      </c>
      <c r="AN30" s="85">
        <v>294.34624168878798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43</v>
      </c>
      <c r="C31" s="85" t="s">
        <v>33</v>
      </c>
      <c r="D31" s="85" t="s">
        <v>44</v>
      </c>
      <c r="E31" s="85" t="s">
        <v>88</v>
      </c>
      <c r="F31" s="85" t="s">
        <v>25</v>
      </c>
      <c r="G31" s="85" t="s">
        <v>35</v>
      </c>
      <c r="H31" s="85" t="s">
        <v>72</v>
      </c>
      <c r="I31" s="85" t="s">
        <v>25</v>
      </c>
      <c r="J31" s="85">
        <v>289.87</v>
      </c>
      <c r="K31" s="85">
        <v>298.33999999999997</v>
      </c>
      <c r="L31" s="85">
        <v>13.2727472466609</v>
      </c>
      <c r="M31" s="85">
        <v>0.75667631355842002</v>
      </c>
      <c r="N31" s="85">
        <v>2.68052879461084</v>
      </c>
      <c r="O31" s="85">
        <v>0</v>
      </c>
      <c r="P31" s="85">
        <v>0</v>
      </c>
      <c r="Q31" s="85">
        <v>42.278242103524398</v>
      </c>
      <c r="R31" s="85">
        <v>0</v>
      </c>
      <c r="S31" s="85">
        <v>0</v>
      </c>
      <c r="T31" s="85">
        <v>0</v>
      </c>
      <c r="U31" s="85">
        <v>0</v>
      </c>
      <c r="V31" s="85">
        <v>1.08180753149052</v>
      </c>
      <c r="W31" s="85">
        <v>0</v>
      </c>
      <c r="X31" s="85">
        <v>0</v>
      </c>
      <c r="Y31" s="85">
        <v>0</v>
      </c>
      <c r="Z31" s="85">
        <v>0</v>
      </c>
      <c r="AA31" s="85">
        <v>149.038682789397</v>
      </c>
      <c r="AB31" s="85">
        <v>0</v>
      </c>
      <c r="AC31" s="85">
        <v>0</v>
      </c>
      <c r="AD31" s="85">
        <v>0</v>
      </c>
      <c r="AE31" s="85">
        <v>32.850182283233998</v>
      </c>
      <c r="AF31" s="85">
        <v>0</v>
      </c>
      <c r="AG31" s="85">
        <v>43.5061101998567</v>
      </c>
      <c r="AH31" s="85">
        <v>4.4049164447714197</v>
      </c>
      <c r="AI31" s="85">
        <v>0.85160978091386097</v>
      </c>
      <c r="AJ31" s="85">
        <v>0</v>
      </c>
      <c r="AK31" s="85">
        <v>3.14635274122015</v>
      </c>
      <c r="AL31" s="85">
        <v>0</v>
      </c>
      <c r="AM31" s="85">
        <v>0</v>
      </c>
      <c r="AN31" s="85">
        <v>294.34624168878798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43</v>
      </c>
      <c r="C32" s="85" t="s">
        <v>33</v>
      </c>
      <c r="D32" s="85" t="s">
        <v>44</v>
      </c>
      <c r="E32" s="85" t="s">
        <v>25</v>
      </c>
      <c r="F32" s="85" t="s">
        <v>25</v>
      </c>
      <c r="G32" s="85" t="s">
        <v>34</v>
      </c>
      <c r="H32" s="85" t="s">
        <v>72</v>
      </c>
      <c r="I32" s="85" t="s">
        <v>25</v>
      </c>
      <c r="J32" s="85">
        <v>895.35</v>
      </c>
      <c r="K32" s="85">
        <v>510.27</v>
      </c>
      <c r="L32" s="85">
        <v>13.2727472466609</v>
      </c>
      <c r="M32" s="85">
        <v>0.75667631355842002</v>
      </c>
      <c r="N32" s="85">
        <v>7.6806268826364104</v>
      </c>
      <c r="O32" s="85">
        <v>0</v>
      </c>
      <c r="P32" s="85">
        <v>0</v>
      </c>
      <c r="Q32" s="85">
        <v>42.278242103524398</v>
      </c>
      <c r="R32" s="85">
        <v>0</v>
      </c>
      <c r="S32" s="85">
        <v>0</v>
      </c>
      <c r="T32" s="85">
        <v>0</v>
      </c>
      <c r="U32" s="85">
        <v>0</v>
      </c>
      <c r="V32" s="85">
        <v>5.4090376574525898</v>
      </c>
      <c r="W32" s="85">
        <v>0</v>
      </c>
      <c r="X32" s="85">
        <v>0</v>
      </c>
      <c r="Y32" s="85">
        <v>0</v>
      </c>
      <c r="Z32" s="85">
        <v>0</v>
      </c>
      <c r="AA32" s="85">
        <v>745.19341394698597</v>
      </c>
      <c r="AB32" s="85">
        <v>0</v>
      </c>
      <c r="AC32" s="85">
        <v>0</v>
      </c>
      <c r="AD32" s="85">
        <v>0</v>
      </c>
      <c r="AE32" s="85">
        <v>32.850182283233998</v>
      </c>
      <c r="AF32" s="85">
        <v>0</v>
      </c>
      <c r="AG32" s="85">
        <v>43.5061101998567</v>
      </c>
      <c r="AH32" s="85">
        <v>4.4049164447714197</v>
      </c>
      <c r="AI32" s="85">
        <v>0.85160978091386097</v>
      </c>
      <c r="AJ32" s="85">
        <v>0</v>
      </c>
      <c r="AK32" s="85">
        <v>3.14635274122015</v>
      </c>
      <c r="AL32" s="85">
        <v>0</v>
      </c>
      <c r="AM32" s="85">
        <v>0</v>
      </c>
      <c r="AN32" s="85">
        <v>506.27553570471599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43</v>
      </c>
      <c r="C33" s="85" t="s">
        <v>33</v>
      </c>
      <c r="D33" s="85" t="s">
        <v>44</v>
      </c>
      <c r="E33" s="85" t="s">
        <v>25</v>
      </c>
      <c r="F33" s="85" t="s">
        <v>25</v>
      </c>
      <c r="G33" s="85" t="s">
        <v>36</v>
      </c>
      <c r="H33" s="85" t="s">
        <v>72</v>
      </c>
      <c r="I33" s="85" t="s">
        <v>25</v>
      </c>
      <c r="J33" s="85">
        <v>592.61</v>
      </c>
      <c r="K33" s="85">
        <v>298.33999999999997</v>
      </c>
      <c r="L33" s="85">
        <v>13.2727472466609</v>
      </c>
      <c r="M33" s="85">
        <v>0.75667631355842002</v>
      </c>
      <c r="N33" s="85">
        <v>5.1805778386236296</v>
      </c>
      <c r="O33" s="85">
        <v>0</v>
      </c>
      <c r="P33" s="85">
        <v>0</v>
      </c>
      <c r="Q33" s="85">
        <v>42.278242103524398</v>
      </c>
      <c r="R33" s="85">
        <v>0</v>
      </c>
      <c r="S33" s="85">
        <v>0</v>
      </c>
      <c r="T33" s="85">
        <v>0</v>
      </c>
      <c r="U33" s="85">
        <v>0</v>
      </c>
      <c r="V33" s="85">
        <v>3.2454225944715498</v>
      </c>
      <c r="W33" s="85">
        <v>0</v>
      </c>
      <c r="X33" s="85">
        <v>0</v>
      </c>
      <c r="Y33" s="85">
        <v>0</v>
      </c>
      <c r="Z33" s="85">
        <v>0</v>
      </c>
      <c r="AA33" s="85">
        <v>447.11604836819203</v>
      </c>
      <c r="AB33" s="85">
        <v>0</v>
      </c>
      <c r="AC33" s="85">
        <v>0</v>
      </c>
      <c r="AD33" s="85">
        <v>0</v>
      </c>
      <c r="AE33" s="85">
        <v>32.850182283233998</v>
      </c>
      <c r="AF33" s="85">
        <v>0</v>
      </c>
      <c r="AG33" s="85">
        <v>43.5061101998567</v>
      </c>
      <c r="AH33" s="85">
        <v>4.4049164447714197</v>
      </c>
      <c r="AI33" s="85">
        <v>0.85160978091386097</v>
      </c>
      <c r="AJ33" s="85">
        <v>0</v>
      </c>
      <c r="AK33" s="85">
        <v>3.14635274122015</v>
      </c>
      <c r="AL33" s="85">
        <v>0</v>
      </c>
      <c r="AM33" s="85">
        <v>0</v>
      </c>
      <c r="AN33" s="85">
        <v>294.34624168878798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6">
        <v>0</v>
      </c>
    </row>
    <row r="34" spans="2:46" ht="12" customHeight="1" x14ac:dyDescent="0.25">
      <c r="B34" s="84" t="s">
        <v>43</v>
      </c>
      <c r="C34" s="85" t="s">
        <v>33</v>
      </c>
      <c r="D34" s="85" t="s">
        <v>44</v>
      </c>
      <c r="E34" s="85" t="s">
        <v>25</v>
      </c>
      <c r="F34" s="85" t="s">
        <v>25</v>
      </c>
      <c r="G34" s="85" t="s">
        <v>35</v>
      </c>
      <c r="H34" s="85" t="s">
        <v>72</v>
      </c>
      <c r="I34" s="85" t="s">
        <v>25</v>
      </c>
      <c r="J34" s="85">
        <v>289.87</v>
      </c>
      <c r="K34" s="85">
        <v>298.33999999999997</v>
      </c>
      <c r="L34" s="85">
        <v>13.2727472466609</v>
      </c>
      <c r="M34" s="85">
        <v>0.75667631355842002</v>
      </c>
      <c r="N34" s="85">
        <v>2.68052879461084</v>
      </c>
      <c r="O34" s="85">
        <v>0</v>
      </c>
      <c r="P34" s="85">
        <v>0</v>
      </c>
      <c r="Q34" s="85">
        <v>42.278242103524398</v>
      </c>
      <c r="R34" s="85">
        <v>0</v>
      </c>
      <c r="S34" s="85">
        <v>0</v>
      </c>
      <c r="T34" s="85">
        <v>0</v>
      </c>
      <c r="U34" s="85">
        <v>0</v>
      </c>
      <c r="V34" s="85">
        <v>1.08180753149052</v>
      </c>
      <c r="W34" s="85">
        <v>0</v>
      </c>
      <c r="X34" s="85">
        <v>0</v>
      </c>
      <c r="Y34" s="85">
        <v>0</v>
      </c>
      <c r="Z34" s="85">
        <v>0</v>
      </c>
      <c r="AA34" s="85">
        <v>149.038682789397</v>
      </c>
      <c r="AB34" s="85">
        <v>0</v>
      </c>
      <c r="AC34" s="85">
        <v>0</v>
      </c>
      <c r="AD34" s="85">
        <v>0</v>
      </c>
      <c r="AE34" s="85">
        <v>32.850182283233998</v>
      </c>
      <c r="AF34" s="85">
        <v>0</v>
      </c>
      <c r="AG34" s="85">
        <v>43.5061101998567</v>
      </c>
      <c r="AH34" s="85">
        <v>4.4049164447714197</v>
      </c>
      <c r="AI34" s="85">
        <v>0.85160978091386097</v>
      </c>
      <c r="AJ34" s="85">
        <v>0</v>
      </c>
      <c r="AK34" s="85">
        <v>3.14635274122015</v>
      </c>
      <c r="AL34" s="85">
        <v>0</v>
      </c>
      <c r="AM34" s="85">
        <v>0</v>
      </c>
      <c r="AN34" s="85">
        <v>294.34624168878798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43</v>
      </c>
      <c r="C35" s="85" t="s">
        <v>33</v>
      </c>
      <c r="D35" s="85" t="s">
        <v>44</v>
      </c>
      <c r="E35" s="85" t="s">
        <v>89</v>
      </c>
      <c r="F35" s="85" t="s">
        <v>25</v>
      </c>
      <c r="G35" s="85" t="s">
        <v>34</v>
      </c>
      <c r="H35" s="85" t="s">
        <v>72</v>
      </c>
      <c r="I35" s="85" t="s">
        <v>25</v>
      </c>
      <c r="J35" s="85">
        <v>876.3</v>
      </c>
      <c r="K35" s="85">
        <v>499.42</v>
      </c>
      <c r="L35" s="85">
        <v>12.990348369072301</v>
      </c>
      <c r="M35" s="85">
        <v>0.74057681752526205</v>
      </c>
      <c r="N35" s="85">
        <v>7.5172092893888296</v>
      </c>
      <c r="O35" s="85">
        <v>0</v>
      </c>
      <c r="P35" s="85">
        <v>0</v>
      </c>
      <c r="Q35" s="85">
        <v>41.378705037491997</v>
      </c>
      <c r="R35" s="85">
        <v>0</v>
      </c>
      <c r="S35" s="85">
        <v>0</v>
      </c>
      <c r="T35" s="85">
        <v>0</v>
      </c>
      <c r="U35" s="85">
        <v>0</v>
      </c>
      <c r="V35" s="85">
        <v>5.2939517498472197</v>
      </c>
      <c r="W35" s="85">
        <v>0</v>
      </c>
      <c r="X35" s="85">
        <v>0</v>
      </c>
      <c r="Y35" s="85">
        <v>0</v>
      </c>
      <c r="Z35" s="85">
        <v>0</v>
      </c>
      <c r="AA35" s="85">
        <v>729.33823492683803</v>
      </c>
      <c r="AB35" s="85">
        <v>0</v>
      </c>
      <c r="AC35" s="85">
        <v>0</v>
      </c>
      <c r="AD35" s="85">
        <v>0</v>
      </c>
      <c r="AE35" s="85">
        <v>32.151242234654603</v>
      </c>
      <c r="AF35" s="85">
        <v>0</v>
      </c>
      <c r="AG35" s="85">
        <v>42.580448280710797</v>
      </c>
      <c r="AH35" s="85">
        <v>4.3111948182869302</v>
      </c>
      <c r="AI35" s="85">
        <v>0.83349042387314098</v>
      </c>
      <c r="AJ35" s="85">
        <v>0</v>
      </c>
      <c r="AK35" s="85">
        <v>3.0794090658750402</v>
      </c>
      <c r="AL35" s="85">
        <v>0</v>
      </c>
      <c r="AM35" s="85">
        <v>0</v>
      </c>
      <c r="AN35" s="85">
        <v>495.50371579610498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6">
        <v>0</v>
      </c>
    </row>
    <row r="36" spans="2:46" ht="12" customHeight="1" x14ac:dyDescent="0.25">
      <c r="B36" s="84" t="s">
        <v>43</v>
      </c>
      <c r="C36" s="85" t="s">
        <v>33</v>
      </c>
      <c r="D36" s="85" t="s">
        <v>44</v>
      </c>
      <c r="E36" s="85" t="s">
        <v>89</v>
      </c>
      <c r="F36" s="85" t="s">
        <v>25</v>
      </c>
      <c r="G36" s="85" t="s">
        <v>36</v>
      </c>
      <c r="H36" s="85" t="s">
        <v>72</v>
      </c>
      <c r="I36" s="85" t="s">
        <v>25</v>
      </c>
      <c r="J36" s="85">
        <v>580</v>
      </c>
      <c r="K36" s="85">
        <v>292</v>
      </c>
      <c r="L36" s="85">
        <v>12.990348369072301</v>
      </c>
      <c r="M36" s="85">
        <v>0.74057681752526205</v>
      </c>
      <c r="N36" s="85">
        <v>5.0703527782273801</v>
      </c>
      <c r="O36" s="85">
        <v>0</v>
      </c>
      <c r="P36" s="85">
        <v>0</v>
      </c>
      <c r="Q36" s="85">
        <v>41.378705037491997</v>
      </c>
      <c r="R36" s="85">
        <v>0</v>
      </c>
      <c r="S36" s="85">
        <v>0</v>
      </c>
      <c r="T36" s="85">
        <v>0</v>
      </c>
      <c r="U36" s="85">
        <v>0</v>
      </c>
      <c r="V36" s="85">
        <v>3.17637104990833</v>
      </c>
      <c r="W36" s="85">
        <v>0</v>
      </c>
      <c r="X36" s="85">
        <v>0</v>
      </c>
      <c r="Y36" s="85">
        <v>0</v>
      </c>
      <c r="Z36" s="85">
        <v>0</v>
      </c>
      <c r="AA36" s="85">
        <v>437.602940956103</v>
      </c>
      <c r="AB36" s="85">
        <v>0</v>
      </c>
      <c r="AC36" s="85">
        <v>0</v>
      </c>
      <c r="AD36" s="85">
        <v>0</v>
      </c>
      <c r="AE36" s="85">
        <v>32.151242234654603</v>
      </c>
      <c r="AF36" s="85">
        <v>0</v>
      </c>
      <c r="AG36" s="85">
        <v>42.580448280710797</v>
      </c>
      <c r="AH36" s="85">
        <v>4.3111948182869302</v>
      </c>
      <c r="AI36" s="85">
        <v>0.83349042387314098</v>
      </c>
      <c r="AJ36" s="85">
        <v>0</v>
      </c>
      <c r="AK36" s="85">
        <v>3.0794090658750402</v>
      </c>
      <c r="AL36" s="85">
        <v>0</v>
      </c>
      <c r="AM36" s="85">
        <v>0</v>
      </c>
      <c r="AN36" s="85">
        <v>288.08355569540998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43</v>
      </c>
      <c r="C37" s="85" t="s">
        <v>33</v>
      </c>
      <c r="D37" s="85" t="s">
        <v>44</v>
      </c>
      <c r="E37" s="85" t="s">
        <v>89</v>
      </c>
      <c r="F37" s="85" t="s">
        <v>25</v>
      </c>
      <c r="G37" s="85" t="s">
        <v>35</v>
      </c>
      <c r="H37" s="85" t="s">
        <v>72</v>
      </c>
      <c r="I37" s="85" t="s">
        <v>25</v>
      </c>
      <c r="J37" s="85">
        <v>283.7</v>
      </c>
      <c r="K37" s="85">
        <v>292</v>
      </c>
      <c r="L37" s="85">
        <v>12.990348369072301</v>
      </c>
      <c r="M37" s="85">
        <v>0.74057681752526205</v>
      </c>
      <c r="N37" s="85">
        <v>2.6234962670659301</v>
      </c>
      <c r="O37" s="85">
        <v>0</v>
      </c>
      <c r="P37" s="85">
        <v>0</v>
      </c>
      <c r="Q37" s="85">
        <v>41.378705037491997</v>
      </c>
      <c r="R37" s="85">
        <v>0</v>
      </c>
      <c r="S37" s="85">
        <v>0</v>
      </c>
      <c r="T37" s="85">
        <v>0</v>
      </c>
      <c r="U37" s="85">
        <v>0</v>
      </c>
      <c r="V37" s="85">
        <v>1.05879034996944</v>
      </c>
      <c r="W37" s="85">
        <v>0</v>
      </c>
      <c r="X37" s="85">
        <v>0</v>
      </c>
      <c r="Y37" s="85">
        <v>0</v>
      </c>
      <c r="Z37" s="85">
        <v>0</v>
      </c>
      <c r="AA37" s="85">
        <v>145.867646985368</v>
      </c>
      <c r="AB37" s="85">
        <v>0</v>
      </c>
      <c r="AC37" s="85">
        <v>0</v>
      </c>
      <c r="AD37" s="85">
        <v>0</v>
      </c>
      <c r="AE37" s="85">
        <v>32.151242234654603</v>
      </c>
      <c r="AF37" s="85">
        <v>0</v>
      </c>
      <c r="AG37" s="85">
        <v>42.580448280710797</v>
      </c>
      <c r="AH37" s="85">
        <v>4.3111948182869302</v>
      </c>
      <c r="AI37" s="85">
        <v>0.83349042387314098</v>
      </c>
      <c r="AJ37" s="85">
        <v>0</v>
      </c>
      <c r="AK37" s="85">
        <v>3.0794090658750402</v>
      </c>
      <c r="AL37" s="85">
        <v>0</v>
      </c>
      <c r="AM37" s="85">
        <v>0</v>
      </c>
      <c r="AN37" s="85">
        <v>288.08355569540998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6">
        <v>0</v>
      </c>
    </row>
    <row r="38" spans="2:46" ht="12" customHeight="1" x14ac:dyDescent="0.25">
      <c r="B38" s="84" t="s">
        <v>43</v>
      </c>
      <c r="C38" s="85" t="s">
        <v>23</v>
      </c>
      <c r="D38" s="85" t="s">
        <v>44</v>
      </c>
      <c r="E38" s="85" t="s">
        <v>88</v>
      </c>
      <c r="F38" s="85" t="s">
        <v>25</v>
      </c>
      <c r="G38" s="85" t="s">
        <v>25</v>
      </c>
      <c r="H38" s="85" t="s">
        <v>72</v>
      </c>
      <c r="I38" s="85" t="s">
        <v>25</v>
      </c>
      <c r="J38" s="85">
        <v>375.02</v>
      </c>
      <c r="K38" s="85">
        <v>316</v>
      </c>
      <c r="L38" s="85">
        <v>13.2727472466609</v>
      </c>
      <c r="M38" s="85">
        <v>0.75667631355842002</v>
      </c>
      <c r="N38" s="85">
        <v>3.38366746937333</v>
      </c>
      <c r="O38" s="85">
        <v>0</v>
      </c>
      <c r="P38" s="85">
        <v>0</v>
      </c>
      <c r="Q38" s="85">
        <v>42.278242103524398</v>
      </c>
      <c r="R38" s="85">
        <v>0</v>
      </c>
      <c r="S38" s="85">
        <v>0</v>
      </c>
      <c r="T38" s="85">
        <v>0</v>
      </c>
      <c r="U38" s="85">
        <v>0</v>
      </c>
      <c r="V38" s="85">
        <v>1.6912765633161599</v>
      </c>
      <c r="W38" s="85">
        <v>0</v>
      </c>
      <c r="X38" s="85">
        <v>0</v>
      </c>
      <c r="Y38" s="85">
        <v>0</v>
      </c>
      <c r="Z38" s="85">
        <v>0</v>
      </c>
      <c r="AA38" s="85">
        <v>232.872920598924</v>
      </c>
      <c r="AB38" s="85">
        <v>0</v>
      </c>
      <c r="AC38" s="85">
        <v>0</v>
      </c>
      <c r="AD38" s="85">
        <v>0</v>
      </c>
      <c r="AE38" s="85">
        <v>32.850182283233998</v>
      </c>
      <c r="AF38" s="85">
        <v>0</v>
      </c>
      <c r="AG38" s="85">
        <v>43.5061101998567</v>
      </c>
      <c r="AH38" s="85">
        <v>4.4049164447714197</v>
      </c>
      <c r="AI38" s="85">
        <v>0.85160978091386097</v>
      </c>
      <c r="AJ38" s="85">
        <v>0</v>
      </c>
      <c r="AK38" s="85">
        <v>3.14635274122015</v>
      </c>
      <c r="AL38" s="85">
        <v>0</v>
      </c>
      <c r="AM38" s="85">
        <v>0</v>
      </c>
      <c r="AN38" s="85">
        <v>312.00701619011602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43</v>
      </c>
      <c r="C39" s="85" t="s">
        <v>23</v>
      </c>
      <c r="D39" s="85" t="s">
        <v>44</v>
      </c>
      <c r="E39" s="85" t="s">
        <v>25</v>
      </c>
      <c r="F39" s="85" t="s">
        <v>25</v>
      </c>
      <c r="G39" s="85" t="s">
        <v>25</v>
      </c>
      <c r="H39" s="85" t="s">
        <v>72</v>
      </c>
      <c r="I39" s="85" t="s">
        <v>25</v>
      </c>
      <c r="J39" s="85">
        <v>375.02</v>
      </c>
      <c r="K39" s="85">
        <v>316</v>
      </c>
      <c r="L39" s="85">
        <v>13.2727472466609</v>
      </c>
      <c r="M39" s="85">
        <v>0.75667631355842002</v>
      </c>
      <c r="N39" s="85">
        <v>3.38366746937333</v>
      </c>
      <c r="O39" s="85">
        <v>0</v>
      </c>
      <c r="P39" s="85">
        <v>0</v>
      </c>
      <c r="Q39" s="85">
        <v>42.278242103524398</v>
      </c>
      <c r="R39" s="85">
        <v>0</v>
      </c>
      <c r="S39" s="85">
        <v>0</v>
      </c>
      <c r="T39" s="85">
        <v>0</v>
      </c>
      <c r="U39" s="85">
        <v>0</v>
      </c>
      <c r="V39" s="85">
        <v>1.6912765633161599</v>
      </c>
      <c r="W39" s="85">
        <v>0</v>
      </c>
      <c r="X39" s="85">
        <v>0</v>
      </c>
      <c r="Y39" s="85">
        <v>0</v>
      </c>
      <c r="Z39" s="85">
        <v>0</v>
      </c>
      <c r="AA39" s="85">
        <v>232.872920598924</v>
      </c>
      <c r="AB39" s="85">
        <v>0</v>
      </c>
      <c r="AC39" s="85">
        <v>0</v>
      </c>
      <c r="AD39" s="85">
        <v>0</v>
      </c>
      <c r="AE39" s="85">
        <v>32.850182283233998</v>
      </c>
      <c r="AF39" s="85">
        <v>0</v>
      </c>
      <c r="AG39" s="85">
        <v>43.5061101998567</v>
      </c>
      <c r="AH39" s="85">
        <v>4.4049164447714197</v>
      </c>
      <c r="AI39" s="85">
        <v>0.85160978091386097</v>
      </c>
      <c r="AJ39" s="85">
        <v>0</v>
      </c>
      <c r="AK39" s="85">
        <v>3.14635274122015</v>
      </c>
      <c r="AL39" s="85">
        <v>0</v>
      </c>
      <c r="AM39" s="85">
        <v>0</v>
      </c>
      <c r="AN39" s="85">
        <v>312.00701619011602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43</v>
      </c>
      <c r="C40" s="85" t="s">
        <v>23</v>
      </c>
      <c r="D40" s="85" t="s">
        <v>44</v>
      </c>
      <c r="E40" s="85" t="s">
        <v>89</v>
      </c>
      <c r="F40" s="85" t="s">
        <v>25</v>
      </c>
      <c r="G40" s="85" t="s">
        <v>25</v>
      </c>
      <c r="H40" s="85" t="s">
        <v>72</v>
      </c>
      <c r="I40" s="85" t="s">
        <v>25</v>
      </c>
      <c r="J40" s="85">
        <v>367.04</v>
      </c>
      <c r="K40" s="85">
        <v>309.27999999999997</v>
      </c>
      <c r="L40" s="85">
        <v>12.990348369072301</v>
      </c>
      <c r="M40" s="85">
        <v>0.74057681752526205</v>
      </c>
      <c r="N40" s="85">
        <v>3.3116745444930502</v>
      </c>
      <c r="O40" s="85">
        <v>0</v>
      </c>
      <c r="P40" s="85">
        <v>0</v>
      </c>
      <c r="Q40" s="85">
        <v>41.378705037491997</v>
      </c>
      <c r="R40" s="85">
        <v>0</v>
      </c>
      <c r="S40" s="85">
        <v>0</v>
      </c>
      <c r="T40" s="85">
        <v>0</v>
      </c>
      <c r="U40" s="85">
        <v>0</v>
      </c>
      <c r="V40" s="85">
        <v>1.6552919555860299</v>
      </c>
      <c r="W40" s="85">
        <v>0</v>
      </c>
      <c r="X40" s="85">
        <v>0</v>
      </c>
      <c r="Y40" s="85">
        <v>0</v>
      </c>
      <c r="Z40" s="85">
        <v>0</v>
      </c>
      <c r="AA40" s="85">
        <v>227.91817760745801</v>
      </c>
      <c r="AB40" s="85">
        <v>0</v>
      </c>
      <c r="AC40" s="85">
        <v>0</v>
      </c>
      <c r="AD40" s="85">
        <v>0</v>
      </c>
      <c r="AE40" s="85">
        <v>32.151242234654603</v>
      </c>
      <c r="AF40" s="85">
        <v>0</v>
      </c>
      <c r="AG40" s="85">
        <v>42.580448280710797</v>
      </c>
      <c r="AH40" s="85">
        <v>4.3111948182869302</v>
      </c>
      <c r="AI40" s="85">
        <v>0.83349042387314098</v>
      </c>
      <c r="AJ40" s="85">
        <v>0</v>
      </c>
      <c r="AK40" s="85">
        <v>3.0794090658750402</v>
      </c>
      <c r="AL40" s="85">
        <v>0</v>
      </c>
      <c r="AM40" s="85">
        <v>0</v>
      </c>
      <c r="AN40" s="85">
        <v>305.36856903713499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43</v>
      </c>
      <c r="C41" s="85" t="s">
        <v>87</v>
      </c>
      <c r="D41" s="85" t="s">
        <v>44</v>
      </c>
      <c r="E41" s="85" t="s">
        <v>88</v>
      </c>
      <c r="F41" s="85" t="s">
        <v>25</v>
      </c>
      <c r="G41" s="85" t="s">
        <v>25</v>
      </c>
      <c r="H41" s="85" t="s">
        <v>72</v>
      </c>
      <c r="I41" s="85" t="s">
        <v>25</v>
      </c>
      <c r="J41" s="85">
        <v>375.02</v>
      </c>
      <c r="K41" s="85">
        <v>316</v>
      </c>
      <c r="L41" s="85">
        <v>13.2727472466609</v>
      </c>
      <c r="M41" s="85">
        <v>0.75667631355842002</v>
      </c>
      <c r="N41" s="85">
        <v>3.38366746937333</v>
      </c>
      <c r="O41" s="85">
        <v>0</v>
      </c>
      <c r="P41" s="85">
        <v>0</v>
      </c>
      <c r="Q41" s="85">
        <v>42.278242103524398</v>
      </c>
      <c r="R41" s="85">
        <v>0</v>
      </c>
      <c r="S41" s="85">
        <v>0</v>
      </c>
      <c r="T41" s="85">
        <v>0</v>
      </c>
      <c r="U41" s="85">
        <v>0</v>
      </c>
      <c r="V41" s="85">
        <v>1.6912765633161599</v>
      </c>
      <c r="W41" s="85">
        <v>0</v>
      </c>
      <c r="X41" s="85">
        <v>0</v>
      </c>
      <c r="Y41" s="85">
        <v>0</v>
      </c>
      <c r="Z41" s="85">
        <v>0</v>
      </c>
      <c r="AA41" s="85">
        <v>232.872920598924</v>
      </c>
      <c r="AB41" s="85">
        <v>0</v>
      </c>
      <c r="AC41" s="85">
        <v>0</v>
      </c>
      <c r="AD41" s="85">
        <v>0</v>
      </c>
      <c r="AE41" s="85">
        <v>32.850182283233998</v>
      </c>
      <c r="AF41" s="85">
        <v>0</v>
      </c>
      <c r="AG41" s="85">
        <v>43.5061101998567</v>
      </c>
      <c r="AH41" s="85">
        <v>4.4049164447714197</v>
      </c>
      <c r="AI41" s="85">
        <v>0.85160978091386097</v>
      </c>
      <c r="AJ41" s="85">
        <v>0</v>
      </c>
      <c r="AK41" s="85">
        <v>3.14635274122015</v>
      </c>
      <c r="AL41" s="85">
        <v>0</v>
      </c>
      <c r="AM41" s="85">
        <v>0</v>
      </c>
      <c r="AN41" s="85">
        <v>312.00701619011602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43</v>
      </c>
      <c r="C42" s="85" t="s">
        <v>87</v>
      </c>
      <c r="D42" s="85" t="s">
        <v>44</v>
      </c>
      <c r="E42" s="85" t="s">
        <v>25</v>
      </c>
      <c r="F42" s="85" t="s">
        <v>25</v>
      </c>
      <c r="G42" s="85" t="s">
        <v>25</v>
      </c>
      <c r="H42" s="85" t="s">
        <v>72</v>
      </c>
      <c r="I42" s="85" t="s">
        <v>25</v>
      </c>
      <c r="J42" s="85">
        <v>375.02</v>
      </c>
      <c r="K42" s="85">
        <v>316</v>
      </c>
      <c r="L42" s="85">
        <v>13.2727472466609</v>
      </c>
      <c r="M42" s="85">
        <v>0.75667631355842002</v>
      </c>
      <c r="N42" s="85">
        <v>3.38366746937333</v>
      </c>
      <c r="O42" s="85">
        <v>0</v>
      </c>
      <c r="P42" s="85">
        <v>0</v>
      </c>
      <c r="Q42" s="85">
        <v>42.278242103524398</v>
      </c>
      <c r="R42" s="85">
        <v>0</v>
      </c>
      <c r="S42" s="85">
        <v>0</v>
      </c>
      <c r="T42" s="85">
        <v>0</v>
      </c>
      <c r="U42" s="85">
        <v>0</v>
      </c>
      <c r="V42" s="85">
        <v>1.6912765633161599</v>
      </c>
      <c r="W42" s="85">
        <v>0</v>
      </c>
      <c r="X42" s="85">
        <v>0</v>
      </c>
      <c r="Y42" s="85">
        <v>0</v>
      </c>
      <c r="Z42" s="85">
        <v>0</v>
      </c>
      <c r="AA42" s="85">
        <v>232.872920598924</v>
      </c>
      <c r="AB42" s="85">
        <v>0</v>
      </c>
      <c r="AC42" s="85">
        <v>0</v>
      </c>
      <c r="AD42" s="85">
        <v>0</v>
      </c>
      <c r="AE42" s="85">
        <v>32.850182283233998</v>
      </c>
      <c r="AF42" s="85">
        <v>0</v>
      </c>
      <c r="AG42" s="85">
        <v>43.5061101998567</v>
      </c>
      <c r="AH42" s="85">
        <v>4.4049164447714197</v>
      </c>
      <c r="AI42" s="85">
        <v>0.85160978091386097</v>
      </c>
      <c r="AJ42" s="85">
        <v>0</v>
      </c>
      <c r="AK42" s="85">
        <v>3.14635274122015</v>
      </c>
      <c r="AL42" s="85">
        <v>0</v>
      </c>
      <c r="AM42" s="85">
        <v>0</v>
      </c>
      <c r="AN42" s="85">
        <v>312.00701619011602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43</v>
      </c>
      <c r="C43" s="85" t="s">
        <v>87</v>
      </c>
      <c r="D43" s="85" t="s">
        <v>44</v>
      </c>
      <c r="E43" s="85" t="s">
        <v>89</v>
      </c>
      <c r="F43" s="85" t="s">
        <v>25</v>
      </c>
      <c r="G43" s="85" t="s">
        <v>25</v>
      </c>
      <c r="H43" s="85" t="s">
        <v>72</v>
      </c>
      <c r="I43" s="85" t="s">
        <v>25</v>
      </c>
      <c r="J43" s="85">
        <v>367.04</v>
      </c>
      <c r="K43" s="85">
        <v>309.27999999999997</v>
      </c>
      <c r="L43" s="85">
        <v>12.990348369072301</v>
      </c>
      <c r="M43" s="85">
        <v>0.74057681752526205</v>
      </c>
      <c r="N43" s="85">
        <v>3.3116745444930502</v>
      </c>
      <c r="O43" s="85">
        <v>0</v>
      </c>
      <c r="P43" s="85">
        <v>0</v>
      </c>
      <c r="Q43" s="85">
        <v>41.378705037491997</v>
      </c>
      <c r="R43" s="85">
        <v>0</v>
      </c>
      <c r="S43" s="85">
        <v>0</v>
      </c>
      <c r="T43" s="85">
        <v>0</v>
      </c>
      <c r="U43" s="85">
        <v>0</v>
      </c>
      <c r="V43" s="85">
        <v>1.6552919555860299</v>
      </c>
      <c r="W43" s="85">
        <v>0</v>
      </c>
      <c r="X43" s="85">
        <v>0</v>
      </c>
      <c r="Y43" s="85">
        <v>0</v>
      </c>
      <c r="Z43" s="85">
        <v>0</v>
      </c>
      <c r="AA43" s="85">
        <v>227.91817760745801</v>
      </c>
      <c r="AB43" s="85">
        <v>0</v>
      </c>
      <c r="AC43" s="85">
        <v>0</v>
      </c>
      <c r="AD43" s="85">
        <v>0</v>
      </c>
      <c r="AE43" s="85">
        <v>32.151242234654603</v>
      </c>
      <c r="AF43" s="85">
        <v>0</v>
      </c>
      <c r="AG43" s="85">
        <v>42.580448280710797</v>
      </c>
      <c r="AH43" s="85">
        <v>4.3111948182869302</v>
      </c>
      <c r="AI43" s="85">
        <v>0.83349042387314098</v>
      </c>
      <c r="AJ43" s="85">
        <v>0</v>
      </c>
      <c r="AK43" s="85">
        <v>3.0794090658750402</v>
      </c>
      <c r="AL43" s="85">
        <v>0</v>
      </c>
      <c r="AM43" s="85">
        <v>0</v>
      </c>
      <c r="AN43" s="85">
        <v>305.36856903713499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37</v>
      </c>
      <c r="C44" s="85" t="s">
        <v>33</v>
      </c>
      <c r="D44" s="85" t="s">
        <v>25</v>
      </c>
      <c r="E44" s="85" t="s">
        <v>25</v>
      </c>
      <c r="F44" s="85" t="s">
        <v>25</v>
      </c>
      <c r="G44" s="85" t="s">
        <v>34</v>
      </c>
      <c r="H44" s="85" t="s">
        <v>72</v>
      </c>
      <c r="I44" s="85" t="s">
        <v>25</v>
      </c>
      <c r="J44" s="85">
        <v>1090.8900000000001</v>
      </c>
      <c r="K44" s="85">
        <v>542.84</v>
      </c>
      <c r="L44" s="85">
        <v>14.119943879426501</v>
      </c>
      <c r="M44" s="85">
        <v>0.80497480165789304</v>
      </c>
      <c r="N44" s="85">
        <v>9.3136877640638005</v>
      </c>
      <c r="O44" s="85">
        <v>0</v>
      </c>
      <c r="P44" s="85">
        <v>0</v>
      </c>
      <c r="Q44" s="85">
        <v>44.976853301621702</v>
      </c>
      <c r="R44" s="85">
        <v>0</v>
      </c>
      <c r="S44" s="85">
        <v>0</v>
      </c>
      <c r="T44" s="85">
        <v>0</v>
      </c>
      <c r="U44" s="85">
        <v>0</v>
      </c>
      <c r="V44" s="85">
        <v>6.74306162870925</v>
      </c>
      <c r="W44" s="85">
        <v>0</v>
      </c>
      <c r="X44" s="85">
        <v>0</v>
      </c>
      <c r="Y44" s="85">
        <v>0</v>
      </c>
      <c r="Z44" s="85">
        <v>0</v>
      </c>
      <c r="AA44" s="85">
        <v>929.01437121062702</v>
      </c>
      <c r="AB44" s="85">
        <v>0</v>
      </c>
      <c r="AC44" s="85">
        <v>0</v>
      </c>
      <c r="AD44" s="85">
        <v>0</v>
      </c>
      <c r="AE44" s="85">
        <v>34.947002428972397</v>
      </c>
      <c r="AF44" s="85">
        <v>0</v>
      </c>
      <c r="AG44" s="85">
        <v>46.2830959572944</v>
      </c>
      <c r="AH44" s="85">
        <v>4.6860813242249204</v>
      </c>
      <c r="AI44" s="85">
        <v>0.90596785203602304</v>
      </c>
      <c r="AJ44" s="85">
        <v>0</v>
      </c>
      <c r="AK44" s="85">
        <v>3.3471837672554798</v>
      </c>
      <c r="AL44" s="85">
        <v>0</v>
      </c>
      <c r="AM44" s="85">
        <v>0</v>
      </c>
      <c r="AN44" s="85">
        <v>538.59099543054901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37</v>
      </c>
      <c r="C45" s="85" t="s">
        <v>33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72</v>
      </c>
      <c r="I45" s="85" t="s">
        <v>25</v>
      </c>
      <c r="J45" s="85">
        <v>713.48</v>
      </c>
      <c r="K45" s="85">
        <v>317.39</v>
      </c>
      <c r="L45" s="85">
        <v>14.119943879426501</v>
      </c>
      <c r="M45" s="85">
        <v>0.80497480165789304</v>
      </c>
      <c r="N45" s="85">
        <v>6.1969384877990201</v>
      </c>
      <c r="O45" s="85">
        <v>0</v>
      </c>
      <c r="P45" s="85">
        <v>0</v>
      </c>
      <c r="Q45" s="85">
        <v>44.976853301621702</v>
      </c>
      <c r="R45" s="85">
        <v>0</v>
      </c>
      <c r="S45" s="85">
        <v>0</v>
      </c>
      <c r="T45" s="85">
        <v>0</v>
      </c>
      <c r="U45" s="85">
        <v>0</v>
      </c>
      <c r="V45" s="85">
        <v>4.0523206903300801</v>
      </c>
      <c r="W45" s="85">
        <v>0</v>
      </c>
      <c r="X45" s="85">
        <v>0</v>
      </c>
      <c r="Y45" s="85">
        <v>0</v>
      </c>
      <c r="Z45" s="85">
        <v>0</v>
      </c>
      <c r="AA45" s="85">
        <v>557.40864685064196</v>
      </c>
      <c r="AB45" s="85">
        <v>0</v>
      </c>
      <c r="AC45" s="85">
        <v>0</v>
      </c>
      <c r="AD45" s="85">
        <v>0</v>
      </c>
      <c r="AE45" s="85">
        <v>34.947002428972397</v>
      </c>
      <c r="AF45" s="85">
        <v>0</v>
      </c>
      <c r="AG45" s="85">
        <v>46.2830959572944</v>
      </c>
      <c r="AH45" s="85">
        <v>4.6860813242249204</v>
      </c>
      <c r="AI45" s="85">
        <v>0.90596785203602304</v>
      </c>
      <c r="AJ45" s="85">
        <v>0</v>
      </c>
      <c r="AK45" s="85">
        <v>3.3471837672554798</v>
      </c>
      <c r="AL45" s="85">
        <v>0</v>
      </c>
      <c r="AM45" s="85">
        <v>0</v>
      </c>
      <c r="AN45" s="85">
        <v>313.13429966892397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6">
        <v>0</v>
      </c>
    </row>
    <row r="46" spans="2:46" ht="12" customHeight="1" x14ac:dyDescent="0.25">
      <c r="B46" s="84" t="s">
        <v>37</v>
      </c>
      <c r="C46" s="85" t="s">
        <v>33</v>
      </c>
      <c r="D46" s="85" t="s">
        <v>25</v>
      </c>
      <c r="E46" s="85" t="s">
        <v>25</v>
      </c>
      <c r="F46" s="85" t="s">
        <v>25</v>
      </c>
      <c r="G46" s="85" t="s">
        <v>35</v>
      </c>
      <c r="H46" s="85" t="s">
        <v>72</v>
      </c>
      <c r="I46" s="85" t="s">
        <v>25</v>
      </c>
      <c r="J46" s="85">
        <v>336.05</v>
      </c>
      <c r="K46" s="85">
        <v>317.39</v>
      </c>
      <c r="L46" s="85">
        <v>14.119943879426501</v>
      </c>
      <c r="M46" s="85">
        <v>0.80497480165789304</v>
      </c>
      <c r="N46" s="85">
        <v>3.0801881999077998</v>
      </c>
      <c r="O46" s="85">
        <v>0</v>
      </c>
      <c r="P46" s="85">
        <v>0</v>
      </c>
      <c r="Q46" s="85">
        <v>44.976853301621702</v>
      </c>
      <c r="R46" s="85">
        <v>0</v>
      </c>
      <c r="S46" s="85">
        <v>0</v>
      </c>
      <c r="T46" s="85">
        <v>0</v>
      </c>
      <c r="U46" s="85">
        <v>0</v>
      </c>
      <c r="V46" s="85">
        <v>1.34537046918959</v>
      </c>
      <c r="W46" s="85">
        <v>0</v>
      </c>
      <c r="X46" s="85">
        <v>0</v>
      </c>
      <c r="Y46" s="85">
        <v>0</v>
      </c>
      <c r="Z46" s="85">
        <v>0</v>
      </c>
      <c r="AA46" s="85">
        <v>185.80292249065701</v>
      </c>
      <c r="AB46" s="85">
        <v>0</v>
      </c>
      <c r="AC46" s="85">
        <v>0</v>
      </c>
      <c r="AD46" s="85">
        <v>0</v>
      </c>
      <c r="AE46" s="85">
        <v>34.947002428972397</v>
      </c>
      <c r="AF46" s="85">
        <v>0</v>
      </c>
      <c r="AG46" s="85">
        <v>46.2830959572944</v>
      </c>
      <c r="AH46" s="85">
        <v>4.6860813242249204</v>
      </c>
      <c r="AI46" s="85">
        <v>0.90596785203602304</v>
      </c>
      <c r="AJ46" s="85">
        <v>0</v>
      </c>
      <c r="AK46" s="85">
        <v>3.3471837672554798</v>
      </c>
      <c r="AL46" s="85">
        <v>0</v>
      </c>
      <c r="AM46" s="85">
        <v>0</v>
      </c>
      <c r="AN46" s="85">
        <v>313.13429966892397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37</v>
      </c>
      <c r="C47" s="85" t="s">
        <v>23</v>
      </c>
      <c r="D47" s="85" t="s">
        <v>25</v>
      </c>
      <c r="E47" s="85" t="s">
        <v>25</v>
      </c>
      <c r="F47" s="85" t="s">
        <v>25</v>
      </c>
      <c r="G47" s="85" t="s">
        <v>25</v>
      </c>
      <c r="H47" s="85" t="s">
        <v>72</v>
      </c>
      <c r="I47" s="85" t="s">
        <v>25</v>
      </c>
      <c r="J47" s="85">
        <v>398.95</v>
      </c>
      <c r="K47" s="85">
        <v>336.18</v>
      </c>
      <c r="L47" s="85">
        <v>14.119943879426501</v>
      </c>
      <c r="M47" s="85">
        <v>0.80497480165789304</v>
      </c>
      <c r="N47" s="85">
        <v>3.5996462440141799</v>
      </c>
      <c r="O47" s="85">
        <v>0</v>
      </c>
      <c r="P47" s="85">
        <v>0</v>
      </c>
      <c r="Q47" s="85">
        <v>44.976853301621702</v>
      </c>
      <c r="R47" s="85">
        <v>0</v>
      </c>
      <c r="S47" s="85">
        <v>0</v>
      </c>
      <c r="T47" s="85">
        <v>0</v>
      </c>
      <c r="U47" s="85">
        <v>0</v>
      </c>
      <c r="V47" s="85">
        <v>1.79923038650656</v>
      </c>
      <c r="W47" s="85">
        <v>0</v>
      </c>
      <c r="X47" s="85">
        <v>0</v>
      </c>
      <c r="Y47" s="85">
        <v>0</v>
      </c>
      <c r="Z47" s="85">
        <v>0</v>
      </c>
      <c r="AA47" s="85">
        <v>247.73714957332399</v>
      </c>
      <c r="AB47" s="85">
        <v>0</v>
      </c>
      <c r="AC47" s="85">
        <v>0</v>
      </c>
      <c r="AD47" s="85">
        <v>0</v>
      </c>
      <c r="AE47" s="85">
        <v>34.947002428972397</v>
      </c>
      <c r="AF47" s="85">
        <v>0</v>
      </c>
      <c r="AG47" s="85">
        <v>46.2830959572944</v>
      </c>
      <c r="AH47" s="85">
        <v>4.6860813242249204</v>
      </c>
      <c r="AI47" s="85">
        <v>0.90596785203602304</v>
      </c>
      <c r="AJ47" s="85">
        <v>0</v>
      </c>
      <c r="AK47" s="85">
        <v>3.3471837672554798</v>
      </c>
      <c r="AL47" s="85">
        <v>0</v>
      </c>
      <c r="AM47" s="85">
        <v>0</v>
      </c>
      <c r="AN47" s="85">
        <v>331.92235764905899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6">
        <v>0</v>
      </c>
    </row>
    <row r="48" spans="2:46" ht="12" customHeight="1" x14ac:dyDescent="0.25">
      <c r="B48" s="84" t="s">
        <v>37</v>
      </c>
      <c r="C48" s="85" t="s">
        <v>87</v>
      </c>
      <c r="D48" s="85" t="s">
        <v>25</v>
      </c>
      <c r="E48" s="85" t="s">
        <v>25</v>
      </c>
      <c r="F48" s="85" t="s">
        <v>25</v>
      </c>
      <c r="G48" s="85" t="s">
        <v>25</v>
      </c>
      <c r="H48" s="85" t="s">
        <v>72</v>
      </c>
      <c r="I48" s="85" t="s">
        <v>25</v>
      </c>
      <c r="J48" s="85">
        <v>398.95</v>
      </c>
      <c r="K48" s="85">
        <v>336.18</v>
      </c>
      <c r="L48" s="85">
        <v>14.119943879426501</v>
      </c>
      <c r="M48" s="85">
        <v>0.80497480165789304</v>
      </c>
      <c r="N48" s="85">
        <v>3.5996462440141799</v>
      </c>
      <c r="O48" s="85">
        <v>0</v>
      </c>
      <c r="P48" s="85">
        <v>0</v>
      </c>
      <c r="Q48" s="85">
        <v>44.976853301621702</v>
      </c>
      <c r="R48" s="85">
        <v>0</v>
      </c>
      <c r="S48" s="85">
        <v>0</v>
      </c>
      <c r="T48" s="85">
        <v>0</v>
      </c>
      <c r="U48" s="85">
        <v>0</v>
      </c>
      <c r="V48" s="85">
        <v>1.79923038650656</v>
      </c>
      <c r="W48" s="85">
        <v>0</v>
      </c>
      <c r="X48" s="85">
        <v>0</v>
      </c>
      <c r="Y48" s="85">
        <v>0</v>
      </c>
      <c r="Z48" s="85">
        <v>0</v>
      </c>
      <c r="AA48" s="85">
        <v>247.73714957332399</v>
      </c>
      <c r="AB48" s="85">
        <v>0</v>
      </c>
      <c r="AC48" s="85">
        <v>0</v>
      </c>
      <c r="AD48" s="85">
        <v>0</v>
      </c>
      <c r="AE48" s="85">
        <v>34.947002428972397</v>
      </c>
      <c r="AF48" s="85">
        <v>0</v>
      </c>
      <c r="AG48" s="85">
        <v>46.2830959572944</v>
      </c>
      <c r="AH48" s="85">
        <v>4.6860813242249204</v>
      </c>
      <c r="AI48" s="85">
        <v>0.90596785203602304</v>
      </c>
      <c r="AJ48" s="85">
        <v>0</v>
      </c>
      <c r="AK48" s="85">
        <v>3.3471837672554798</v>
      </c>
      <c r="AL48" s="85">
        <v>0</v>
      </c>
      <c r="AM48" s="85">
        <v>0</v>
      </c>
      <c r="AN48" s="85">
        <v>331.92235764905899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46</v>
      </c>
      <c r="C49" s="85" t="s">
        <v>23</v>
      </c>
      <c r="D49" s="85" t="s">
        <v>47</v>
      </c>
      <c r="E49" s="85" t="s">
        <v>48</v>
      </c>
      <c r="F49" s="85" t="s">
        <v>25</v>
      </c>
      <c r="G49" s="85" t="s">
        <v>25</v>
      </c>
      <c r="H49" s="85" t="s">
        <v>72</v>
      </c>
      <c r="I49" s="85" t="s">
        <v>25</v>
      </c>
      <c r="J49" s="85">
        <v>219.42</v>
      </c>
      <c r="K49" s="85">
        <v>184.9</v>
      </c>
      <c r="L49" s="85">
        <v>7.7659691336845498</v>
      </c>
      <c r="M49" s="85">
        <v>0.44273614091184099</v>
      </c>
      <c r="N49" s="85">
        <v>1.9798054342078</v>
      </c>
      <c r="O49" s="85">
        <v>0</v>
      </c>
      <c r="P49" s="85">
        <v>0</v>
      </c>
      <c r="Q49" s="85">
        <v>24.737269315891901</v>
      </c>
      <c r="R49" s="85">
        <v>0</v>
      </c>
      <c r="S49" s="85">
        <v>0</v>
      </c>
      <c r="T49" s="85">
        <v>0</v>
      </c>
      <c r="U49" s="85">
        <v>0</v>
      </c>
      <c r="V49" s="85">
        <v>0.98957671257860502</v>
      </c>
      <c r="W49" s="85">
        <v>0</v>
      </c>
      <c r="X49" s="85">
        <v>0</v>
      </c>
      <c r="Y49" s="85">
        <v>0</v>
      </c>
      <c r="Z49" s="85">
        <v>0</v>
      </c>
      <c r="AA49" s="85">
        <v>136.25543226532801</v>
      </c>
      <c r="AB49" s="85">
        <v>0</v>
      </c>
      <c r="AC49" s="85">
        <v>0</v>
      </c>
      <c r="AD49" s="85">
        <v>0</v>
      </c>
      <c r="AE49" s="85">
        <v>19.2208513359348</v>
      </c>
      <c r="AF49" s="85">
        <v>0</v>
      </c>
      <c r="AG49" s="85">
        <v>25.455702776511899</v>
      </c>
      <c r="AH49" s="85">
        <v>2.5773447283237099</v>
      </c>
      <c r="AI49" s="85">
        <v>0.49828231861981198</v>
      </c>
      <c r="AJ49" s="85">
        <v>0</v>
      </c>
      <c r="AK49" s="85">
        <v>1.84095107199051</v>
      </c>
      <c r="AL49" s="85">
        <v>0</v>
      </c>
      <c r="AM49" s="85">
        <v>0</v>
      </c>
      <c r="AN49" s="85">
        <v>182.55729670698301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7" t="s">
        <v>46</v>
      </c>
      <c r="C50" s="88" t="s">
        <v>23</v>
      </c>
      <c r="D50" s="88" t="s">
        <v>47</v>
      </c>
      <c r="E50" s="88" t="s">
        <v>90</v>
      </c>
      <c r="F50" s="88" t="s">
        <v>25</v>
      </c>
      <c r="G50" s="88" t="s">
        <v>25</v>
      </c>
      <c r="H50" s="88" t="s">
        <v>72</v>
      </c>
      <c r="I50" s="88" t="s">
        <v>25</v>
      </c>
      <c r="J50" s="88">
        <v>239.37</v>
      </c>
      <c r="K50" s="88">
        <v>201.71</v>
      </c>
      <c r="L50" s="88">
        <v>8.4719663276558705</v>
      </c>
      <c r="M50" s="88">
        <v>0.48298488099473602</v>
      </c>
      <c r="N50" s="88">
        <v>2.1597877464085098</v>
      </c>
      <c r="O50" s="88">
        <v>0</v>
      </c>
      <c r="P50" s="88">
        <v>0</v>
      </c>
      <c r="Q50" s="88">
        <v>26.986111980973</v>
      </c>
      <c r="R50" s="88">
        <v>0</v>
      </c>
      <c r="S50" s="88">
        <v>0</v>
      </c>
      <c r="T50" s="88">
        <v>0</v>
      </c>
      <c r="U50" s="88">
        <v>0</v>
      </c>
      <c r="V50" s="88">
        <v>1.0795382319039299</v>
      </c>
      <c r="W50" s="88">
        <v>0</v>
      </c>
      <c r="X50" s="88">
        <v>0</v>
      </c>
      <c r="Y50" s="88">
        <v>0</v>
      </c>
      <c r="Z50" s="88">
        <v>0</v>
      </c>
      <c r="AA50" s="88">
        <v>148.64228974399401</v>
      </c>
      <c r="AB50" s="88">
        <v>0</v>
      </c>
      <c r="AC50" s="88">
        <v>0</v>
      </c>
      <c r="AD50" s="88">
        <v>0</v>
      </c>
      <c r="AE50" s="88">
        <v>20.968201457383401</v>
      </c>
      <c r="AF50" s="88">
        <v>0</v>
      </c>
      <c r="AG50" s="88">
        <v>27.769857574376601</v>
      </c>
      <c r="AH50" s="88">
        <v>2.8116487945349502</v>
      </c>
      <c r="AI50" s="88">
        <v>0.543580711221614</v>
      </c>
      <c r="AJ50" s="88">
        <v>0</v>
      </c>
      <c r="AK50" s="88">
        <v>2.0083102603532899</v>
      </c>
      <c r="AL50" s="88">
        <v>0</v>
      </c>
      <c r="AM50" s="88">
        <v>0</v>
      </c>
      <c r="AN50" s="88">
        <v>199.15341458943601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9">
        <v>0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E2077-18E7-46E7-B2E1-C7B28EDBBCF7}">
  <dimension ref="B1:AT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6" t="s">
        <v>1242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7" t="s">
        <v>561</v>
      </c>
      <c r="M2" s="127"/>
      <c r="N2" s="127"/>
      <c r="O2" s="127"/>
      <c r="P2" s="127"/>
      <c r="Q2" s="127"/>
      <c r="R2" s="127"/>
      <c r="S2" s="128"/>
      <c r="T2" s="127" t="s">
        <v>570</v>
      </c>
      <c r="U2" s="127"/>
      <c r="V2" s="127"/>
      <c r="W2" s="127"/>
      <c r="X2" s="127"/>
      <c r="Y2" s="127"/>
      <c r="Z2" s="128"/>
      <c r="AA2" s="91" t="s">
        <v>578</v>
      </c>
      <c r="AB2" s="127" t="s">
        <v>25</v>
      </c>
      <c r="AC2" s="127"/>
      <c r="AD2" s="128"/>
      <c r="AE2" s="127" t="s">
        <v>1241</v>
      </c>
      <c r="AF2" s="127"/>
      <c r="AG2" s="127"/>
      <c r="AH2" s="128"/>
      <c r="AI2" s="127" t="s">
        <v>561</v>
      </c>
      <c r="AJ2" s="127"/>
      <c r="AK2" s="127"/>
      <c r="AL2" s="127"/>
      <c r="AM2" s="128"/>
      <c r="AN2" s="91" t="s">
        <v>592</v>
      </c>
      <c r="AO2" s="127" t="s">
        <v>570</v>
      </c>
      <c r="AP2" s="127"/>
      <c r="AQ2" s="127"/>
      <c r="AR2" s="127"/>
      <c r="AS2" s="128"/>
      <c r="AT2" s="90" t="s">
        <v>1241</v>
      </c>
    </row>
    <row r="3" spans="2:46" ht="12" customHeight="1" x14ac:dyDescent="0.25">
      <c r="B3" s="81" t="s">
        <v>62</v>
      </c>
      <c r="C3" s="82" t="s">
        <v>63</v>
      </c>
      <c r="D3" s="82" t="s">
        <v>64</v>
      </c>
      <c r="E3" s="82" t="s">
        <v>65</v>
      </c>
      <c r="F3" s="82" t="s">
        <v>66</v>
      </c>
      <c r="G3" s="82" t="s">
        <v>68</v>
      </c>
      <c r="H3" s="82" t="s">
        <v>69</v>
      </c>
      <c r="I3" s="82" t="s">
        <v>832</v>
      </c>
      <c r="J3" s="82" t="s">
        <v>1203</v>
      </c>
      <c r="K3" s="82" t="s">
        <v>1204</v>
      </c>
      <c r="L3" s="82" t="s">
        <v>1205</v>
      </c>
      <c r="M3" s="82" t="s">
        <v>1206</v>
      </c>
      <c r="N3" s="82" t="s">
        <v>1207</v>
      </c>
      <c r="O3" s="82" t="s">
        <v>1208</v>
      </c>
      <c r="P3" s="82" t="s">
        <v>1209</v>
      </c>
      <c r="Q3" s="82" t="s">
        <v>1210</v>
      </c>
      <c r="R3" s="82" t="s">
        <v>1211</v>
      </c>
      <c r="S3" s="82" t="s">
        <v>1212</v>
      </c>
      <c r="T3" s="82" t="s">
        <v>1213</v>
      </c>
      <c r="U3" s="82" t="s">
        <v>1214</v>
      </c>
      <c r="V3" s="82" t="s">
        <v>1215</v>
      </c>
      <c r="W3" s="82" t="s">
        <v>1216</v>
      </c>
      <c r="X3" s="82" t="s">
        <v>1217</v>
      </c>
      <c r="Y3" s="82" t="s">
        <v>1218</v>
      </c>
      <c r="Z3" s="82" t="s">
        <v>1219</v>
      </c>
      <c r="AA3" s="82" t="s">
        <v>1220</v>
      </c>
      <c r="AB3" s="82" t="s">
        <v>1221</v>
      </c>
      <c r="AC3" s="82" t="s">
        <v>1222</v>
      </c>
      <c r="AD3" s="82" t="s">
        <v>1223</v>
      </c>
      <c r="AE3" s="82" t="s">
        <v>1224</v>
      </c>
      <c r="AF3" s="82" t="s">
        <v>1225</v>
      </c>
      <c r="AG3" s="82" t="s">
        <v>1226</v>
      </c>
      <c r="AH3" s="82" t="s">
        <v>1227</v>
      </c>
      <c r="AI3" s="82" t="s">
        <v>1228</v>
      </c>
      <c r="AJ3" s="82" t="s">
        <v>1229</v>
      </c>
      <c r="AK3" s="82" t="s">
        <v>1230</v>
      </c>
      <c r="AL3" s="82" t="s">
        <v>1231</v>
      </c>
      <c r="AM3" s="82" t="s">
        <v>1232</v>
      </c>
      <c r="AN3" s="82" t="s">
        <v>1233</v>
      </c>
      <c r="AO3" s="82" t="s">
        <v>1234</v>
      </c>
      <c r="AP3" s="82" t="s">
        <v>1235</v>
      </c>
      <c r="AQ3" s="82" t="s">
        <v>1236</v>
      </c>
      <c r="AR3" s="82" t="s">
        <v>1237</v>
      </c>
      <c r="AS3" s="82" t="s">
        <v>1238</v>
      </c>
      <c r="AT3" s="83" t="s">
        <v>1239</v>
      </c>
    </row>
    <row r="4" spans="2:46" ht="12" customHeight="1" x14ac:dyDescent="0.25">
      <c r="B4" s="84" t="s">
        <v>39</v>
      </c>
      <c r="C4" s="85" t="s">
        <v>40</v>
      </c>
      <c r="D4" s="85" t="s">
        <v>25</v>
      </c>
      <c r="E4" s="85" t="s">
        <v>25</v>
      </c>
      <c r="F4" s="85" t="s">
        <v>80</v>
      </c>
      <c r="G4" s="85" t="s">
        <v>34</v>
      </c>
      <c r="H4" s="85" t="s">
        <v>72</v>
      </c>
      <c r="I4" s="85" t="s">
        <v>25</v>
      </c>
      <c r="J4" s="85">
        <v>61.74</v>
      </c>
      <c r="K4" s="85">
        <v>0</v>
      </c>
      <c r="L4" s="85">
        <v>0</v>
      </c>
      <c r="M4" s="85">
        <v>0.812734964320735</v>
      </c>
      <c r="N4" s="85">
        <v>1.04846806557557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0</v>
      </c>
      <c r="AC4" s="85">
        <v>0</v>
      </c>
      <c r="AD4" s="85">
        <v>0</v>
      </c>
      <c r="AE4" s="85">
        <v>17.211956843700101</v>
      </c>
      <c r="AF4" s="85">
        <v>0</v>
      </c>
      <c r="AG4" s="85">
        <v>38.817352799538902</v>
      </c>
      <c r="AH4" s="85">
        <v>3.8476713218006098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39</v>
      </c>
      <c r="C5" s="85" t="s">
        <v>40</v>
      </c>
      <c r="D5" s="85" t="s">
        <v>25</v>
      </c>
      <c r="E5" s="85" t="s">
        <v>25</v>
      </c>
      <c r="F5" s="85" t="s">
        <v>80</v>
      </c>
      <c r="G5" s="85" t="s">
        <v>34</v>
      </c>
      <c r="H5" s="85" t="s">
        <v>77</v>
      </c>
      <c r="I5" s="85" t="s">
        <v>25</v>
      </c>
      <c r="J5" s="85">
        <v>55.97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0</v>
      </c>
      <c r="U5" s="85">
        <v>0</v>
      </c>
      <c r="V5" s="85">
        <v>0.46997459071672898</v>
      </c>
      <c r="W5" s="85">
        <v>0</v>
      </c>
      <c r="X5" s="85">
        <v>0</v>
      </c>
      <c r="Y5" s="85">
        <v>0</v>
      </c>
      <c r="Z5" s="85">
        <v>0</v>
      </c>
      <c r="AA5" s="85">
        <v>55.498548698125802</v>
      </c>
      <c r="AB5" s="85">
        <v>0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39</v>
      </c>
      <c r="C6" s="85" t="s">
        <v>40</v>
      </c>
      <c r="D6" s="85" t="s">
        <v>25</v>
      </c>
      <c r="E6" s="85" t="s">
        <v>25</v>
      </c>
      <c r="F6" s="85" t="s">
        <v>80</v>
      </c>
      <c r="G6" s="85" t="s">
        <v>35</v>
      </c>
      <c r="H6" s="85" t="s">
        <v>72</v>
      </c>
      <c r="I6" s="85" t="s">
        <v>25</v>
      </c>
      <c r="J6" s="85">
        <v>61.74</v>
      </c>
      <c r="K6" s="85">
        <v>0</v>
      </c>
      <c r="L6" s="85">
        <v>0</v>
      </c>
      <c r="M6" s="85">
        <v>0.812734964320735</v>
      </c>
      <c r="N6" s="85">
        <v>1.04846806557557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17.211956843700101</v>
      </c>
      <c r="AF6" s="85">
        <v>0</v>
      </c>
      <c r="AG6" s="85">
        <v>38.817352799538902</v>
      </c>
      <c r="AH6" s="85">
        <v>3.8476713218006098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39</v>
      </c>
      <c r="C7" s="85" t="s">
        <v>40</v>
      </c>
      <c r="D7" s="85" t="s">
        <v>25</v>
      </c>
      <c r="E7" s="85" t="s">
        <v>25</v>
      </c>
      <c r="F7" s="85" t="s">
        <v>80</v>
      </c>
      <c r="G7" s="85" t="s">
        <v>35</v>
      </c>
      <c r="H7" s="85" t="s">
        <v>77</v>
      </c>
      <c r="I7" s="85" t="s">
        <v>25</v>
      </c>
      <c r="J7" s="85">
        <v>18.649999999999999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</v>
      </c>
      <c r="U7" s="85">
        <v>0</v>
      </c>
      <c r="V7" s="85">
        <v>0.14303574500074401</v>
      </c>
      <c r="W7" s="85">
        <v>0</v>
      </c>
      <c r="X7" s="85">
        <v>0</v>
      </c>
      <c r="Y7" s="85">
        <v>0</v>
      </c>
      <c r="Z7" s="85">
        <v>0</v>
      </c>
      <c r="AA7" s="85">
        <v>18.504276655967001</v>
      </c>
      <c r="AB7" s="85">
        <v>0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39</v>
      </c>
      <c r="C8" s="85" t="s">
        <v>40</v>
      </c>
      <c r="D8" s="85" t="s">
        <v>25</v>
      </c>
      <c r="E8" s="85" t="s">
        <v>25</v>
      </c>
      <c r="F8" s="85" t="s">
        <v>25</v>
      </c>
      <c r="G8" s="85" t="s">
        <v>34</v>
      </c>
      <c r="H8" s="85" t="s">
        <v>72</v>
      </c>
      <c r="I8" s="85" t="s">
        <v>25</v>
      </c>
      <c r="J8" s="85">
        <v>109.59</v>
      </c>
      <c r="K8" s="85">
        <v>560.79999999999995</v>
      </c>
      <c r="L8" s="85">
        <v>18.655074048043101</v>
      </c>
      <c r="M8" s="85">
        <v>0.812734964320735</v>
      </c>
      <c r="N8" s="85">
        <v>1.05858430666754</v>
      </c>
      <c r="O8" s="85">
        <v>0</v>
      </c>
      <c r="P8" s="85">
        <v>0</v>
      </c>
      <c r="Q8" s="85">
        <v>29.188402706738799</v>
      </c>
      <c r="R8" s="85">
        <v>0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85">
        <v>0</v>
      </c>
      <c r="AE8" s="85">
        <v>17.211956843700101</v>
      </c>
      <c r="AF8" s="85">
        <v>0</v>
      </c>
      <c r="AG8" s="85">
        <v>38.817352799538902</v>
      </c>
      <c r="AH8" s="85">
        <v>3.8476713218006098</v>
      </c>
      <c r="AI8" s="85">
        <v>1.45112923558403</v>
      </c>
      <c r="AJ8" s="85">
        <v>0</v>
      </c>
      <c r="AK8" s="85">
        <v>3.3471760122255501</v>
      </c>
      <c r="AL8" s="85">
        <v>0</v>
      </c>
      <c r="AM8" s="85">
        <v>0</v>
      </c>
      <c r="AN8" s="85">
        <v>556.00188627679404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6">
        <v>0</v>
      </c>
    </row>
    <row r="9" spans="2:46" ht="12" customHeight="1" x14ac:dyDescent="0.25">
      <c r="B9" s="84" t="s">
        <v>39</v>
      </c>
      <c r="C9" s="85" t="s">
        <v>40</v>
      </c>
      <c r="D9" s="85" t="s">
        <v>25</v>
      </c>
      <c r="E9" s="85" t="s">
        <v>25</v>
      </c>
      <c r="F9" s="85" t="s">
        <v>25</v>
      </c>
      <c r="G9" s="85" t="s">
        <v>34</v>
      </c>
      <c r="H9" s="85" t="s">
        <v>77</v>
      </c>
      <c r="I9" s="85" t="s">
        <v>25</v>
      </c>
      <c r="J9" s="85">
        <v>55.97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0</v>
      </c>
      <c r="U9" s="85">
        <v>0</v>
      </c>
      <c r="V9" s="85">
        <v>0.46997459071672898</v>
      </c>
      <c r="W9" s="85">
        <v>0</v>
      </c>
      <c r="X9" s="85">
        <v>0</v>
      </c>
      <c r="Y9" s="85">
        <v>0</v>
      </c>
      <c r="Z9" s="85">
        <v>0</v>
      </c>
      <c r="AA9" s="85">
        <v>55.498548698125802</v>
      </c>
      <c r="AB9" s="85">
        <v>0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39</v>
      </c>
      <c r="C10" s="85" t="s">
        <v>40</v>
      </c>
      <c r="D10" s="85" t="s">
        <v>25</v>
      </c>
      <c r="E10" s="85" t="s">
        <v>25</v>
      </c>
      <c r="F10" s="85" t="s">
        <v>25</v>
      </c>
      <c r="G10" s="85" t="s">
        <v>35</v>
      </c>
      <c r="H10" s="85" t="s">
        <v>72</v>
      </c>
      <c r="I10" s="85" t="s">
        <v>25</v>
      </c>
      <c r="J10" s="85">
        <v>109.59</v>
      </c>
      <c r="K10" s="85">
        <v>328.06</v>
      </c>
      <c r="L10" s="85">
        <v>18.655074048043101</v>
      </c>
      <c r="M10" s="85">
        <v>0.812734964320735</v>
      </c>
      <c r="N10" s="85">
        <v>1.05858430666754</v>
      </c>
      <c r="O10" s="85">
        <v>0</v>
      </c>
      <c r="P10" s="85">
        <v>0</v>
      </c>
      <c r="Q10" s="85">
        <v>29.188402706738799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85">
        <v>0</v>
      </c>
      <c r="AE10" s="85">
        <v>17.211956843700101</v>
      </c>
      <c r="AF10" s="85">
        <v>0</v>
      </c>
      <c r="AG10" s="85">
        <v>38.817352799538902</v>
      </c>
      <c r="AH10" s="85">
        <v>3.8476713218006098</v>
      </c>
      <c r="AI10" s="85">
        <v>1.45112923558403</v>
      </c>
      <c r="AJ10" s="85">
        <v>0</v>
      </c>
      <c r="AK10" s="85">
        <v>3.3471760122255501</v>
      </c>
      <c r="AL10" s="85">
        <v>0</v>
      </c>
      <c r="AM10" s="85">
        <v>0</v>
      </c>
      <c r="AN10" s="85">
        <v>323.25691062604301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6">
        <v>0</v>
      </c>
    </row>
    <row r="11" spans="2:46" ht="12" customHeight="1" x14ac:dyDescent="0.25">
      <c r="B11" s="84" t="s">
        <v>39</v>
      </c>
      <c r="C11" s="85" t="s">
        <v>40</v>
      </c>
      <c r="D11" s="85" t="s">
        <v>25</v>
      </c>
      <c r="E11" s="85" t="s">
        <v>25</v>
      </c>
      <c r="F11" s="85" t="s">
        <v>25</v>
      </c>
      <c r="G11" s="85" t="s">
        <v>35</v>
      </c>
      <c r="H11" s="85" t="s">
        <v>77</v>
      </c>
      <c r="I11" s="85" t="s">
        <v>25</v>
      </c>
      <c r="J11" s="85">
        <v>18.649999999999999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0</v>
      </c>
      <c r="U11" s="85">
        <v>0</v>
      </c>
      <c r="V11" s="85">
        <v>0.14303574500074401</v>
      </c>
      <c r="W11" s="85">
        <v>0</v>
      </c>
      <c r="X11" s="85">
        <v>0</v>
      </c>
      <c r="Y11" s="85">
        <v>0</v>
      </c>
      <c r="Z11" s="85">
        <v>0</v>
      </c>
      <c r="AA11" s="85">
        <v>18.504276655967001</v>
      </c>
      <c r="AB11" s="85">
        <v>0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39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72</v>
      </c>
      <c r="I12" s="85" t="s">
        <v>25</v>
      </c>
      <c r="J12" s="85">
        <v>0</v>
      </c>
      <c r="K12" s="85">
        <v>347.45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1.45112923558403</v>
      </c>
      <c r="AJ12" s="85">
        <v>0</v>
      </c>
      <c r="AK12" s="85">
        <v>3.3471760122255501</v>
      </c>
      <c r="AL12" s="85">
        <v>0</v>
      </c>
      <c r="AM12" s="85">
        <v>0</v>
      </c>
      <c r="AN12" s="85">
        <v>342.65232526360501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6">
        <v>0</v>
      </c>
    </row>
    <row r="13" spans="2:46" ht="12" customHeight="1" x14ac:dyDescent="0.25">
      <c r="B13" s="84" t="s">
        <v>39</v>
      </c>
      <c r="C13" s="85" t="s">
        <v>81</v>
      </c>
      <c r="D13" s="85" t="s">
        <v>25</v>
      </c>
      <c r="E13" s="85" t="s">
        <v>25</v>
      </c>
      <c r="F13" s="85" t="s">
        <v>25</v>
      </c>
      <c r="G13" s="85" t="s">
        <v>25</v>
      </c>
      <c r="H13" s="85" t="s">
        <v>77</v>
      </c>
      <c r="I13" s="85" t="s">
        <v>25</v>
      </c>
      <c r="J13" s="85">
        <v>14.67</v>
      </c>
      <c r="K13" s="85">
        <v>0</v>
      </c>
      <c r="L13" s="85">
        <v>0</v>
      </c>
      <c r="M13" s="85">
        <v>4.9959821094758002E-2</v>
      </c>
      <c r="N13" s="85">
        <v>0.124733252663997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14.500091875827099</v>
      </c>
      <c r="AB13" s="85">
        <v>0</v>
      </c>
      <c r="AC13" s="85">
        <v>0</v>
      </c>
      <c r="AD13" s="85">
        <v>0</v>
      </c>
      <c r="AE13" s="85">
        <v>0</v>
      </c>
      <c r="AF13" s="85">
        <v>0</v>
      </c>
      <c r="AG13" s="85">
        <v>0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39</v>
      </c>
      <c r="C14" s="85" t="s">
        <v>41</v>
      </c>
      <c r="D14" s="85" t="s">
        <v>25</v>
      </c>
      <c r="E14" s="85" t="s">
        <v>25</v>
      </c>
      <c r="F14" s="85" t="s">
        <v>80</v>
      </c>
      <c r="G14" s="85" t="s">
        <v>34</v>
      </c>
      <c r="H14" s="85" t="s">
        <v>72</v>
      </c>
      <c r="I14" s="85" t="s">
        <v>25</v>
      </c>
      <c r="J14" s="85">
        <v>1419.04</v>
      </c>
      <c r="K14" s="85">
        <v>0</v>
      </c>
      <c r="L14" s="85">
        <v>0</v>
      </c>
      <c r="M14" s="85">
        <v>0.812734964320735</v>
      </c>
      <c r="N14" s="85">
        <v>12.4892619873134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</v>
      </c>
      <c r="U14" s="85">
        <v>0</v>
      </c>
      <c r="V14" s="85">
        <v>11.115920754343501</v>
      </c>
      <c r="W14" s="85">
        <v>0</v>
      </c>
      <c r="X14" s="85">
        <v>0</v>
      </c>
      <c r="Y14" s="85">
        <v>0</v>
      </c>
      <c r="Z14" s="85">
        <v>0</v>
      </c>
      <c r="AA14" s="85">
        <v>1334.7426986857799</v>
      </c>
      <c r="AB14" s="85">
        <v>0</v>
      </c>
      <c r="AC14" s="85">
        <v>0</v>
      </c>
      <c r="AD14" s="85">
        <v>0</v>
      </c>
      <c r="AE14" s="85">
        <v>17.211956843700101</v>
      </c>
      <c r="AF14" s="85">
        <v>0</v>
      </c>
      <c r="AG14" s="85">
        <v>38.817352799538902</v>
      </c>
      <c r="AH14" s="85">
        <v>3.8476713218006098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39</v>
      </c>
      <c r="C15" s="85" t="s">
        <v>41</v>
      </c>
      <c r="D15" s="85" t="s">
        <v>25</v>
      </c>
      <c r="E15" s="85" t="s">
        <v>25</v>
      </c>
      <c r="F15" s="85" t="s">
        <v>80</v>
      </c>
      <c r="G15" s="85" t="s">
        <v>25</v>
      </c>
      <c r="H15" s="85" t="s">
        <v>77</v>
      </c>
      <c r="I15" s="85" t="s">
        <v>25</v>
      </c>
      <c r="J15" s="85">
        <v>18.649999999999999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0.14303574500074401</v>
      </c>
      <c r="W15" s="85">
        <v>0</v>
      </c>
      <c r="X15" s="85">
        <v>0</v>
      </c>
      <c r="Y15" s="85">
        <v>0</v>
      </c>
      <c r="Z15" s="85">
        <v>0</v>
      </c>
      <c r="AA15" s="85">
        <v>18.504276655967001</v>
      </c>
      <c r="AB15" s="85">
        <v>0</v>
      </c>
      <c r="AC15" s="85">
        <v>0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39</v>
      </c>
      <c r="C16" s="85" t="s">
        <v>41</v>
      </c>
      <c r="D16" s="85" t="s">
        <v>25</v>
      </c>
      <c r="E16" s="85" t="s">
        <v>25</v>
      </c>
      <c r="F16" s="85" t="s">
        <v>80</v>
      </c>
      <c r="G16" s="85" t="s">
        <v>35</v>
      </c>
      <c r="H16" s="85" t="s">
        <v>72</v>
      </c>
      <c r="I16" s="85" t="s">
        <v>25</v>
      </c>
      <c r="J16" s="85">
        <v>61.74</v>
      </c>
      <c r="K16" s="85">
        <v>0</v>
      </c>
      <c r="L16" s="85">
        <v>0</v>
      </c>
      <c r="M16" s="85">
        <v>0.812734964320735</v>
      </c>
      <c r="N16" s="85">
        <v>1.04846806557557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0</v>
      </c>
      <c r="U16" s="85">
        <v>0</v>
      </c>
      <c r="V16" s="85">
        <v>0</v>
      </c>
      <c r="W16" s="85">
        <v>0</v>
      </c>
      <c r="X16" s="85">
        <v>0</v>
      </c>
      <c r="Y16" s="85">
        <v>0</v>
      </c>
      <c r="Z16" s="85">
        <v>0</v>
      </c>
      <c r="AA16" s="85">
        <v>0</v>
      </c>
      <c r="AB16" s="85">
        <v>0</v>
      </c>
      <c r="AC16" s="85">
        <v>0</v>
      </c>
      <c r="AD16" s="85">
        <v>0</v>
      </c>
      <c r="AE16" s="85">
        <v>17.211956843700101</v>
      </c>
      <c r="AF16" s="85">
        <v>0</v>
      </c>
      <c r="AG16" s="85">
        <v>38.817352799538902</v>
      </c>
      <c r="AH16" s="85">
        <v>3.8476713218006098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39</v>
      </c>
      <c r="C17" s="85" t="s">
        <v>41</v>
      </c>
      <c r="D17" s="85" t="s">
        <v>25</v>
      </c>
      <c r="E17" s="85" t="s">
        <v>25</v>
      </c>
      <c r="F17" s="85" t="s">
        <v>25</v>
      </c>
      <c r="G17" s="85" t="s">
        <v>34</v>
      </c>
      <c r="H17" s="85" t="s">
        <v>72</v>
      </c>
      <c r="I17" s="85" t="s">
        <v>25</v>
      </c>
      <c r="J17" s="85">
        <v>1466.89</v>
      </c>
      <c r="K17" s="85">
        <v>560.79999999999995</v>
      </c>
      <c r="L17" s="85">
        <v>18.655074048043101</v>
      </c>
      <c r="M17" s="85">
        <v>0.812734964320735</v>
      </c>
      <c r="N17" s="85">
        <v>12.4993782284054</v>
      </c>
      <c r="O17" s="85">
        <v>0</v>
      </c>
      <c r="P17" s="85">
        <v>0</v>
      </c>
      <c r="Q17" s="85">
        <v>29.188402706738799</v>
      </c>
      <c r="R17" s="85">
        <v>0</v>
      </c>
      <c r="S17" s="85">
        <v>0</v>
      </c>
      <c r="T17" s="85">
        <v>0</v>
      </c>
      <c r="U17" s="85">
        <v>0</v>
      </c>
      <c r="V17" s="85">
        <v>11.115920754343501</v>
      </c>
      <c r="W17" s="85">
        <v>0</v>
      </c>
      <c r="X17" s="85">
        <v>0</v>
      </c>
      <c r="Y17" s="85">
        <v>0</v>
      </c>
      <c r="Z17" s="85">
        <v>0</v>
      </c>
      <c r="AA17" s="85">
        <v>1334.7426986857799</v>
      </c>
      <c r="AB17" s="85">
        <v>0</v>
      </c>
      <c r="AC17" s="85">
        <v>0</v>
      </c>
      <c r="AD17" s="85">
        <v>0</v>
      </c>
      <c r="AE17" s="85">
        <v>17.211956843700101</v>
      </c>
      <c r="AF17" s="85">
        <v>0</v>
      </c>
      <c r="AG17" s="85">
        <v>38.817352799538902</v>
      </c>
      <c r="AH17" s="85">
        <v>3.8476713218006098</v>
      </c>
      <c r="AI17" s="85">
        <v>1.45112923558403</v>
      </c>
      <c r="AJ17" s="85">
        <v>0</v>
      </c>
      <c r="AK17" s="85">
        <v>3.3471760122255501</v>
      </c>
      <c r="AL17" s="85">
        <v>0</v>
      </c>
      <c r="AM17" s="85">
        <v>0</v>
      </c>
      <c r="AN17" s="85">
        <v>556.00188627679404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6">
        <v>0</v>
      </c>
    </row>
    <row r="18" spans="2:46" ht="12" customHeight="1" x14ac:dyDescent="0.25">
      <c r="B18" s="84" t="s">
        <v>39</v>
      </c>
      <c r="C18" s="85" t="s">
        <v>41</v>
      </c>
      <c r="D18" s="85" t="s">
        <v>25</v>
      </c>
      <c r="E18" s="85" t="s">
        <v>25</v>
      </c>
      <c r="F18" s="85" t="s">
        <v>25</v>
      </c>
      <c r="G18" s="85" t="s">
        <v>25</v>
      </c>
      <c r="H18" s="85" t="s">
        <v>77</v>
      </c>
      <c r="I18" s="85" t="s">
        <v>25</v>
      </c>
      <c r="J18" s="85">
        <v>18.649999999999999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</v>
      </c>
      <c r="U18" s="85">
        <v>0</v>
      </c>
      <c r="V18" s="85">
        <v>0.14303574500074401</v>
      </c>
      <c r="W18" s="85">
        <v>0</v>
      </c>
      <c r="X18" s="85">
        <v>0</v>
      </c>
      <c r="Y18" s="85">
        <v>0</v>
      </c>
      <c r="Z18" s="85">
        <v>0</v>
      </c>
      <c r="AA18" s="85">
        <v>18.504276655967001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39</v>
      </c>
      <c r="C19" s="85" t="s">
        <v>41</v>
      </c>
      <c r="D19" s="85" t="s">
        <v>25</v>
      </c>
      <c r="E19" s="85" t="s">
        <v>25</v>
      </c>
      <c r="F19" s="85" t="s">
        <v>25</v>
      </c>
      <c r="G19" s="85" t="s">
        <v>35</v>
      </c>
      <c r="H19" s="85" t="s">
        <v>72</v>
      </c>
      <c r="I19" s="85" t="s">
        <v>25</v>
      </c>
      <c r="J19" s="85">
        <v>109.59</v>
      </c>
      <c r="K19" s="85">
        <v>328.06</v>
      </c>
      <c r="L19" s="85">
        <v>18.655074048043101</v>
      </c>
      <c r="M19" s="85">
        <v>0.812734964320735</v>
      </c>
      <c r="N19" s="85">
        <v>1.05858430666754</v>
      </c>
      <c r="O19" s="85">
        <v>0</v>
      </c>
      <c r="P19" s="85">
        <v>0</v>
      </c>
      <c r="Q19" s="85">
        <v>29.188402706738799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17.211956843700101</v>
      </c>
      <c r="AF19" s="85">
        <v>0</v>
      </c>
      <c r="AG19" s="85">
        <v>38.817352799538902</v>
      </c>
      <c r="AH19" s="85">
        <v>3.8476713218006098</v>
      </c>
      <c r="AI19" s="85">
        <v>1.45112923558403</v>
      </c>
      <c r="AJ19" s="85">
        <v>0</v>
      </c>
      <c r="AK19" s="85">
        <v>3.3471760122255501</v>
      </c>
      <c r="AL19" s="85">
        <v>0</v>
      </c>
      <c r="AM19" s="85">
        <v>0</v>
      </c>
      <c r="AN19" s="85">
        <v>323.25691062604301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6">
        <v>0</v>
      </c>
    </row>
    <row r="20" spans="2:46" ht="12" customHeight="1" x14ac:dyDescent="0.25">
      <c r="B20" s="84" t="s">
        <v>82</v>
      </c>
      <c r="C20" s="85" t="s">
        <v>81</v>
      </c>
      <c r="D20" s="85" t="s">
        <v>25</v>
      </c>
      <c r="E20" s="85" t="s">
        <v>25</v>
      </c>
      <c r="F20" s="85" t="s">
        <v>83</v>
      </c>
      <c r="G20" s="85" t="s">
        <v>25</v>
      </c>
      <c r="H20" s="85" t="s">
        <v>77</v>
      </c>
      <c r="I20" s="85" t="s">
        <v>25</v>
      </c>
      <c r="J20" s="85">
        <v>4.26</v>
      </c>
      <c r="K20" s="85">
        <v>0</v>
      </c>
      <c r="L20" s="85">
        <v>0</v>
      </c>
      <c r="M20" s="85">
        <v>1.45504163269865E-2</v>
      </c>
      <c r="N20" s="85">
        <v>3.6216143109254598E-2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  <c r="X20" s="85">
        <v>0</v>
      </c>
      <c r="Y20" s="85">
        <v>0</v>
      </c>
      <c r="Z20" s="85">
        <v>0</v>
      </c>
      <c r="AA20" s="85">
        <v>4.2114402324162201</v>
      </c>
      <c r="AB20" s="85">
        <v>0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82</v>
      </c>
      <c r="C21" s="85" t="s">
        <v>81</v>
      </c>
      <c r="D21" s="85" t="s">
        <v>25</v>
      </c>
      <c r="E21" s="85" t="s">
        <v>25</v>
      </c>
      <c r="F21" s="85" t="s">
        <v>84</v>
      </c>
      <c r="G21" s="85" t="s">
        <v>25</v>
      </c>
      <c r="H21" s="85" t="s">
        <v>77</v>
      </c>
      <c r="I21" s="85" t="s">
        <v>25</v>
      </c>
      <c r="J21" s="85">
        <v>20.99</v>
      </c>
      <c r="K21" s="85">
        <v>0</v>
      </c>
      <c r="L21" s="85">
        <v>0</v>
      </c>
      <c r="M21" s="85">
        <v>1.45504163269865E-2</v>
      </c>
      <c r="N21" s="85">
        <v>3.6216143109254598E-2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20.9374037338007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0</v>
      </c>
      <c r="AJ21" s="85">
        <v>0</v>
      </c>
      <c r="AK21" s="85">
        <v>0</v>
      </c>
      <c r="AL21" s="85">
        <v>0</v>
      </c>
      <c r="AM21" s="85">
        <v>0</v>
      </c>
      <c r="AN21" s="85">
        <v>0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6">
        <v>0</v>
      </c>
    </row>
    <row r="22" spans="2:46" ht="12" customHeight="1" x14ac:dyDescent="0.25">
      <c r="B22" s="84" t="s">
        <v>22</v>
      </c>
      <c r="C22" s="85" t="s">
        <v>33</v>
      </c>
      <c r="D22" s="85" t="s">
        <v>24</v>
      </c>
      <c r="E22" s="85" t="s">
        <v>24</v>
      </c>
      <c r="F22" s="85" t="s">
        <v>25</v>
      </c>
      <c r="G22" s="85" t="s">
        <v>34</v>
      </c>
      <c r="H22" s="85" t="s">
        <v>72</v>
      </c>
      <c r="I22" s="85" t="s">
        <v>25</v>
      </c>
      <c r="J22" s="85">
        <v>900.67</v>
      </c>
      <c r="K22" s="85">
        <v>560.79999999999995</v>
      </c>
      <c r="L22" s="85">
        <v>22.208421485765601</v>
      </c>
      <c r="M22" s="85">
        <v>0.99100546358555597</v>
      </c>
      <c r="N22" s="85">
        <v>7.8591874363641496</v>
      </c>
      <c r="O22" s="85">
        <v>0</v>
      </c>
      <c r="P22" s="85">
        <v>0</v>
      </c>
      <c r="Q22" s="85">
        <v>34.748098460403398</v>
      </c>
      <c r="R22" s="85">
        <v>0</v>
      </c>
      <c r="S22" s="85">
        <v>0</v>
      </c>
      <c r="T22" s="85">
        <v>0</v>
      </c>
      <c r="U22" s="85">
        <v>0</v>
      </c>
      <c r="V22" s="85">
        <v>6.9270167936074403</v>
      </c>
      <c r="W22" s="85">
        <v>0</v>
      </c>
      <c r="X22" s="85">
        <v>0</v>
      </c>
      <c r="Y22" s="85">
        <v>0</v>
      </c>
      <c r="Z22" s="85">
        <v>0</v>
      </c>
      <c r="AA22" s="85">
        <v>739.34711959156198</v>
      </c>
      <c r="AB22" s="85">
        <v>0</v>
      </c>
      <c r="AC22" s="85">
        <v>0</v>
      </c>
      <c r="AD22" s="85">
        <v>0</v>
      </c>
      <c r="AE22" s="85">
        <v>36.076725075389596</v>
      </c>
      <c r="AF22" s="85">
        <v>0</v>
      </c>
      <c r="AG22" s="85">
        <v>47.779277546989398</v>
      </c>
      <c r="AH22" s="85">
        <v>4.73599930792001</v>
      </c>
      <c r="AI22" s="85">
        <v>1.45112923558403</v>
      </c>
      <c r="AJ22" s="85">
        <v>0</v>
      </c>
      <c r="AK22" s="85">
        <v>3.3471760122255501</v>
      </c>
      <c r="AL22" s="85">
        <v>0</v>
      </c>
      <c r="AM22" s="85">
        <v>0</v>
      </c>
      <c r="AN22" s="85">
        <v>556.00188627679404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22</v>
      </c>
      <c r="C23" s="85" t="s">
        <v>33</v>
      </c>
      <c r="D23" s="85" t="s">
        <v>24</v>
      </c>
      <c r="E23" s="85" t="s">
        <v>24</v>
      </c>
      <c r="F23" s="85" t="s">
        <v>25</v>
      </c>
      <c r="G23" s="85" t="s">
        <v>36</v>
      </c>
      <c r="H23" s="85" t="s">
        <v>72</v>
      </c>
      <c r="I23" s="85" t="s">
        <v>25</v>
      </c>
      <c r="J23" s="85">
        <v>599.62</v>
      </c>
      <c r="K23" s="85">
        <v>328.06</v>
      </c>
      <c r="L23" s="85">
        <v>22.208421485765601</v>
      </c>
      <c r="M23" s="85">
        <v>0.99100546358555597</v>
      </c>
      <c r="N23" s="85">
        <v>5.32423546455954</v>
      </c>
      <c r="O23" s="85">
        <v>0</v>
      </c>
      <c r="P23" s="85">
        <v>0</v>
      </c>
      <c r="Q23" s="85">
        <v>34.748098460403398</v>
      </c>
      <c r="R23" s="85">
        <v>0</v>
      </c>
      <c r="S23" s="85">
        <v>0</v>
      </c>
      <c r="T23" s="85">
        <v>0</v>
      </c>
      <c r="U23" s="85">
        <v>0</v>
      </c>
      <c r="V23" s="85">
        <v>4.14803660502157</v>
      </c>
      <c r="W23" s="85">
        <v>0</v>
      </c>
      <c r="X23" s="85">
        <v>0</v>
      </c>
      <c r="Y23" s="85">
        <v>0</v>
      </c>
      <c r="Z23" s="85">
        <v>0</v>
      </c>
      <c r="AA23" s="85">
        <v>443.60822454412801</v>
      </c>
      <c r="AB23" s="85">
        <v>0</v>
      </c>
      <c r="AC23" s="85">
        <v>0</v>
      </c>
      <c r="AD23" s="85">
        <v>0</v>
      </c>
      <c r="AE23" s="85">
        <v>36.076725075389596</v>
      </c>
      <c r="AF23" s="85">
        <v>0</v>
      </c>
      <c r="AG23" s="85">
        <v>47.779277546989398</v>
      </c>
      <c r="AH23" s="85">
        <v>4.73599930792001</v>
      </c>
      <c r="AI23" s="85">
        <v>1.45112923558403</v>
      </c>
      <c r="AJ23" s="85">
        <v>0</v>
      </c>
      <c r="AK23" s="85">
        <v>3.3471760122255501</v>
      </c>
      <c r="AL23" s="85">
        <v>0</v>
      </c>
      <c r="AM23" s="85">
        <v>0</v>
      </c>
      <c r="AN23" s="85">
        <v>323.25691062604301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22</v>
      </c>
      <c r="C24" s="85" t="s">
        <v>33</v>
      </c>
      <c r="D24" s="85" t="s">
        <v>24</v>
      </c>
      <c r="E24" s="85" t="s">
        <v>24</v>
      </c>
      <c r="F24" s="85" t="s">
        <v>25</v>
      </c>
      <c r="G24" s="85" t="s">
        <v>35</v>
      </c>
      <c r="H24" s="85" t="s">
        <v>72</v>
      </c>
      <c r="I24" s="85" t="s">
        <v>25</v>
      </c>
      <c r="J24" s="85">
        <v>298.58999999999997</v>
      </c>
      <c r="K24" s="85">
        <v>328.06</v>
      </c>
      <c r="L24" s="85">
        <v>22.208421485765601</v>
      </c>
      <c r="M24" s="85">
        <v>0.99100546358555597</v>
      </c>
      <c r="N24" s="85">
        <v>2.7892855160031602</v>
      </c>
      <c r="O24" s="85">
        <v>0</v>
      </c>
      <c r="P24" s="85">
        <v>0</v>
      </c>
      <c r="Q24" s="85">
        <v>34.748098460403398</v>
      </c>
      <c r="R24" s="85">
        <v>0</v>
      </c>
      <c r="S24" s="85">
        <v>0</v>
      </c>
      <c r="T24" s="85">
        <v>0</v>
      </c>
      <c r="U24" s="85">
        <v>0</v>
      </c>
      <c r="V24" s="85">
        <v>1.38949009429294</v>
      </c>
      <c r="W24" s="85">
        <v>0</v>
      </c>
      <c r="X24" s="85">
        <v>0</v>
      </c>
      <c r="Y24" s="85">
        <v>0</v>
      </c>
      <c r="Z24" s="85">
        <v>0</v>
      </c>
      <c r="AA24" s="85">
        <v>147.86944752371701</v>
      </c>
      <c r="AB24" s="85">
        <v>0</v>
      </c>
      <c r="AC24" s="85">
        <v>0</v>
      </c>
      <c r="AD24" s="85">
        <v>0</v>
      </c>
      <c r="AE24" s="85">
        <v>36.076725075389596</v>
      </c>
      <c r="AF24" s="85">
        <v>0</v>
      </c>
      <c r="AG24" s="85">
        <v>47.779277546989398</v>
      </c>
      <c r="AH24" s="85">
        <v>4.73599930792001</v>
      </c>
      <c r="AI24" s="85">
        <v>1.45112923558403</v>
      </c>
      <c r="AJ24" s="85">
        <v>0</v>
      </c>
      <c r="AK24" s="85">
        <v>3.3471760122255501</v>
      </c>
      <c r="AL24" s="85">
        <v>0</v>
      </c>
      <c r="AM24" s="85">
        <v>0</v>
      </c>
      <c r="AN24" s="85">
        <v>323.25691062604301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22</v>
      </c>
      <c r="C25" s="85" t="s">
        <v>23</v>
      </c>
      <c r="D25" s="85" t="s">
        <v>24</v>
      </c>
      <c r="E25" s="85" t="s">
        <v>1240</v>
      </c>
      <c r="F25" s="85" t="s">
        <v>25</v>
      </c>
      <c r="G25" s="85" t="s">
        <v>25</v>
      </c>
      <c r="H25" s="85" t="s">
        <v>72</v>
      </c>
      <c r="I25" s="85" t="s">
        <v>25</v>
      </c>
      <c r="J25" s="85">
        <v>337.85</v>
      </c>
      <c r="K25" s="85">
        <v>347.45</v>
      </c>
      <c r="L25" s="85">
        <v>0</v>
      </c>
      <c r="M25" s="85">
        <v>0.99100546358555597</v>
      </c>
      <c r="N25" s="85">
        <v>3.5895216629665101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2.2681382421546501</v>
      </c>
      <c r="W25" s="85">
        <v>0</v>
      </c>
      <c r="X25" s="85">
        <v>0</v>
      </c>
      <c r="Y25" s="85">
        <v>0</v>
      </c>
      <c r="Z25" s="85">
        <v>0</v>
      </c>
      <c r="AA25" s="85">
        <v>242.40885684171801</v>
      </c>
      <c r="AB25" s="85">
        <v>0</v>
      </c>
      <c r="AC25" s="85">
        <v>0</v>
      </c>
      <c r="AD25" s="85">
        <v>0</v>
      </c>
      <c r="AE25" s="85">
        <v>36.076725075389596</v>
      </c>
      <c r="AF25" s="85">
        <v>0</v>
      </c>
      <c r="AG25" s="85">
        <v>47.779277546989398</v>
      </c>
      <c r="AH25" s="85">
        <v>4.73599930792001</v>
      </c>
      <c r="AI25" s="85">
        <v>1.45112923558403</v>
      </c>
      <c r="AJ25" s="85">
        <v>0</v>
      </c>
      <c r="AK25" s="85">
        <v>3.3471760122255501</v>
      </c>
      <c r="AL25" s="85">
        <v>0</v>
      </c>
      <c r="AM25" s="85">
        <v>0</v>
      </c>
      <c r="AN25" s="85">
        <v>342.65232526360501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22</v>
      </c>
      <c r="C26" s="85" t="s">
        <v>23</v>
      </c>
      <c r="D26" s="85" t="s">
        <v>24</v>
      </c>
      <c r="E26" s="85" t="s">
        <v>24</v>
      </c>
      <c r="F26" s="85" t="s">
        <v>25</v>
      </c>
      <c r="G26" s="85" t="s">
        <v>25</v>
      </c>
      <c r="H26" s="85" t="s">
        <v>72</v>
      </c>
      <c r="I26" s="85" t="s">
        <v>25</v>
      </c>
      <c r="J26" s="85">
        <v>394.82</v>
      </c>
      <c r="K26" s="85">
        <v>347.45</v>
      </c>
      <c r="L26" s="85">
        <v>22.208421485765601</v>
      </c>
      <c r="M26" s="85">
        <v>0.99100546358555597</v>
      </c>
      <c r="N26" s="85">
        <v>3.5996379040584801</v>
      </c>
      <c r="O26" s="85">
        <v>0</v>
      </c>
      <c r="P26" s="85">
        <v>0</v>
      </c>
      <c r="Q26" s="85">
        <v>34.748098460403398</v>
      </c>
      <c r="R26" s="85">
        <v>0</v>
      </c>
      <c r="S26" s="85">
        <v>0</v>
      </c>
      <c r="T26" s="85">
        <v>0</v>
      </c>
      <c r="U26" s="85">
        <v>0</v>
      </c>
      <c r="V26" s="85">
        <v>2.2681382421546501</v>
      </c>
      <c r="W26" s="85">
        <v>0</v>
      </c>
      <c r="X26" s="85">
        <v>0</v>
      </c>
      <c r="Y26" s="85">
        <v>0</v>
      </c>
      <c r="Z26" s="85">
        <v>0</v>
      </c>
      <c r="AA26" s="85">
        <v>242.40885684171801</v>
      </c>
      <c r="AB26" s="85">
        <v>0</v>
      </c>
      <c r="AC26" s="85">
        <v>0</v>
      </c>
      <c r="AD26" s="85">
        <v>0</v>
      </c>
      <c r="AE26" s="85">
        <v>36.076725075389596</v>
      </c>
      <c r="AF26" s="85">
        <v>0</v>
      </c>
      <c r="AG26" s="85">
        <v>47.779277546989398</v>
      </c>
      <c r="AH26" s="85">
        <v>4.73599930792001</v>
      </c>
      <c r="AI26" s="85">
        <v>1.45112923558403</v>
      </c>
      <c r="AJ26" s="85">
        <v>0</v>
      </c>
      <c r="AK26" s="85">
        <v>3.3471760122255501</v>
      </c>
      <c r="AL26" s="85">
        <v>0</v>
      </c>
      <c r="AM26" s="85">
        <v>0</v>
      </c>
      <c r="AN26" s="85">
        <v>342.65232526360501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6">
        <v>0</v>
      </c>
    </row>
    <row r="27" spans="2:46" ht="12" customHeight="1" x14ac:dyDescent="0.25">
      <c r="B27" s="84" t="s">
        <v>22</v>
      </c>
      <c r="C27" s="85" t="s">
        <v>87</v>
      </c>
      <c r="D27" s="85" t="s">
        <v>24</v>
      </c>
      <c r="E27" s="85" t="s">
        <v>1240</v>
      </c>
      <c r="F27" s="85" t="s">
        <v>25</v>
      </c>
      <c r="G27" s="85" t="s">
        <v>25</v>
      </c>
      <c r="H27" s="85" t="s">
        <v>72</v>
      </c>
      <c r="I27" s="85" t="s">
        <v>25</v>
      </c>
      <c r="J27" s="85">
        <v>337.85</v>
      </c>
      <c r="K27" s="85">
        <v>347.45</v>
      </c>
      <c r="L27" s="85">
        <v>0</v>
      </c>
      <c r="M27" s="85">
        <v>0.99100546358555597</v>
      </c>
      <c r="N27" s="85">
        <v>3.5895216629665101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2.2681382421546501</v>
      </c>
      <c r="W27" s="85">
        <v>0</v>
      </c>
      <c r="X27" s="85">
        <v>0</v>
      </c>
      <c r="Y27" s="85">
        <v>0</v>
      </c>
      <c r="Z27" s="85">
        <v>0</v>
      </c>
      <c r="AA27" s="85">
        <v>242.40885684171801</v>
      </c>
      <c r="AB27" s="85">
        <v>0</v>
      </c>
      <c r="AC27" s="85">
        <v>0</v>
      </c>
      <c r="AD27" s="85">
        <v>0</v>
      </c>
      <c r="AE27" s="85">
        <v>36.076725075389596</v>
      </c>
      <c r="AF27" s="85">
        <v>0</v>
      </c>
      <c r="AG27" s="85">
        <v>47.779277546989398</v>
      </c>
      <c r="AH27" s="85">
        <v>4.73599930792001</v>
      </c>
      <c r="AI27" s="85">
        <v>1.45112923558403</v>
      </c>
      <c r="AJ27" s="85">
        <v>0</v>
      </c>
      <c r="AK27" s="85">
        <v>3.3471760122255501</v>
      </c>
      <c r="AL27" s="85">
        <v>0</v>
      </c>
      <c r="AM27" s="85">
        <v>0</v>
      </c>
      <c r="AN27" s="85">
        <v>342.65232526360501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22</v>
      </c>
      <c r="C28" s="85" t="s">
        <v>87</v>
      </c>
      <c r="D28" s="85" t="s">
        <v>24</v>
      </c>
      <c r="E28" s="85" t="s">
        <v>24</v>
      </c>
      <c r="F28" s="85" t="s">
        <v>25</v>
      </c>
      <c r="G28" s="85" t="s">
        <v>25</v>
      </c>
      <c r="H28" s="85" t="s">
        <v>72</v>
      </c>
      <c r="I28" s="85" t="s">
        <v>25</v>
      </c>
      <c r="J28" s="85">
        <v>394.82</v>
      </c>
      <c r="K28" s="85">
        <v>347.45</v>
      </c>
      <c r="L28" s="85">
        <v>22.208421485765601</v>
      </c>
      <c r="M28" s="85">
        <v>0.99100546358555597</v>
      </c>
      <c r="N28" s="85">
        <v>3.5996379040584801</v>
      </c>
      <c r="O28" s="85">
        <v>0</v>
      </c>
      <c r="P28" s="85">
        <v>0</v>
      </c>
      <c r="Q28" s="85">
        <v>34.748098460403398</v>
      </c>
      <c r="R28" s="85">
        <v>0</v>
      </c>
      <c r="S28" s="85">
        <v>0</v>
      </c>
      <c r="T28" s="85">
        <v>0</v>
      </c>
      <c r="U28" s="85">
        <v>0</v>
      </c>
      <c r="V28" s="85">
        <v>2.2681382421546501</v>
      </c>
      <c r="W28" s="85">
        <v>0</v>
      </c>
      <c r="X28" s="85">
        <v>0</v>
      </c>
      <c r="Y28" s="85">
        <v>0</v>
      </c>
      <c r="Z28" s="85">
        <v>0</v>
      </c>
      <c r="AA28" s="85">
        <v>242.40885684171801</v>
      </c>
      <c r="AB28" s="85">
        <v>0</v>
      </c>
      <c r="AC28" s="85">
        <v>0</v>
      </c>
      <c r="AD28" s="85">
        <v>0</v>
      </c>
      <c r="AE28" s="85">
        <v>36.076725075389596</v>
      </c>
      <c r="AF28" s="85">
        <v>0</v>
      </c>
      <c r="AG28" s="85">
        <v>47.779277546989398</v>
      </c>
      <c r="AH28" s="85">
        <v>4.73599930792001</v>
      </c>
      <c r="AI28" s="85">
        <v>1.45112923558403</v>
      </c>
      <c r="AJ28" s="85">
        <v>0</v>
      </c>
      <c r="AK28" s="85">
        <v>3.3471760122255501</v>
      </c>
      <c r="AL28" s="85">
        <v>0</v>
      </c>
      <c r="AM28" s="85">
        <v>0</v>
      </c>
      <c r="AN28" s="85">
        <v>342.65232526360501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6">
        <v>0</v>
      </c>
    </row>
    <row r="29" spans="2:46" ht="12" customHeight="1" x14ac:dyDescent="0.25">
      <c r="B29" s="84" t="s">
        <v>43</v>
      </c>
      <c r="C29" s="85" t="s">
        <v>33</v>
      </c>
      <c r="D29" s="85" t="s">
        <v>44</v>
      </c>
      <c r="E29" s="85" t="s">
        <v>88</v>
      </c>
      <c r="F29" s="85" t="s">
        <v>25</v>
      </c>
      <c r="G29" s="85" t="s">
        <v>34</v>
      </c>
      <c r="H29" s="85" t="s">
        <v>72</v>
      </c>
      <c r="I29" s="85" t="s">
        <v>25</v>
      </c>
      <c r="J29" s="85">
        <v>881.41</v>
      </c>
      <c r="K29" s="85">
        <v>527.15</v>
      </c>
      <c r="L29" s="85">
        <v>20.875916196619698</v>
      </c>
      <c r="M29" s="85">
        <v>0.93154513577042297</v>
      </c>
      <c r="N29" s="85">
        <v>7.6806090875299899</v>
      </c>
      <c r="O29" s="85">
        <v>0</v>
      </c>
      <c r="P29" s="85">
        <v>0</v>
      </c>
      <c r="Q29" s="85">
        <v>32.6632125527792</v>
      </c>
      <c r="R29" s="85">
        <v>0</v>
      </c>
      <c r="S29" s="85">
        <v>0</v>
      </c>
      <c r="T29" s="85">
        <v>0</v>
      </c>
      <c r="U29" s="85">
        <v>0</v>
      </c>
      <c r="V29" s="85">
        <v>6.8187183009640204</v>
      </c>
      <c r="W29" s="85">
        <v>0</v>
      </c>
      <c r="X29" s="85">
        <v>0</v>
      </c>
      <c r="Y29" s="85">
        <v>0</v>
      </c>
      <c r="Z29" s="85">
        <v>0</v>
      </c>
      <c r="AA29" s="85">
        <v>729.16590794712999</v>
      </c>
      <c r="AB29" s="85">
        <v>0</v>
      </c>
      <c r="AC29" s="85">
        <v>0</v>
      </c>
      <c r="AD29" s="85">
        <v>0</v>
      </c>
      <c r="AE29" s="85">
        <v>33.912121570866198</v>
      </c>
      <c r="AF29" s="85">
        <v>0</v>
      </c>
      <c r="AG29" s="85">
        <v>44.9125208941701</v>
      </c>
      <c r="AH29" s="85">
        <v>4.4518393494448096</v>
      </c>
      <c r="AI29" s="85">
        <v>1.36406148144899</v>
      </c>
      <c r="AJ29" s="85">
        <v>0</v>
      </c>
      <c r="AK29" s="85">
        <v>3.1463454514920102</v>
      </c>
      <c r="AL29" s="85">
        <v>0</v>
      </c>
      <c r="AM29" s="85">
        <v>0</v>
      </c>
      <c r="AN29" s="85">
        <v>522.64177310018601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43</v>
      </c>
      <c r="C30" s="85" t="s">
        <v>33</v>
      </c>
      <c r="D30" s="85" t="s">
        <v>44</v>
      </c>
      <c r="E30" s="85" t="s">
        <v>88</v>
      </c>
      <c r="F30" s="85" t="s">
        <v>25</v>
      </c>
      <c r="G30" s="85" t="s">
        <v>36</v>
      </c>
      <c r="H30" s="85" t="s">
        <v>72</v>
      </c>
      <c r="I30" s="85" t="s">
        <v>25</v>
      </c>
      <c r="J30" s="85">
        <v>584.52</v>
      </c>
      <c r="K30" s="85">
        <v>308.37</v>
      </c>
      <c r="L30" s="85">
        <v>20.875916196619698</v>
      </c>
      <c r="M30" s="85">
        <v>0.93154513577042297</v>
      </c>
      <c r="N30" s="85">
        <v>5.1805658358359201</v>
      </c>
      <c r="O30" s="85">
        <v>0</v>
      </c>
      <c r="P30" s="85">
        <v>0</v>
      </c>
      <c r="Q30" s="85">
        <v>32.6632125527792</v>
      </c>
      <c r="R30" s="85">
        <v>0</v>
      </c>
      <c r="S30" s="85">
        <v>0</v>
      </c>
      <c r="T30" s="85">
        <v>0</v>
      </c>
      <c r="U30" s="85">
        <v>0</v>
      </c>
      <c r="V30" s="85">
        <v>4.0912309805784099</v>
      </c>
      <c r="W30" s="85">
        <v>0</v>
      </c>
      <c r="X30" s="85">
        <v>0</v>
      </c>
      <c r="Y30" s="85">
        <v>0</v>
      </c>
      <c r="Z30" s="85">
        <v>0</v>
      </c>
      <c r="AA30" s="85">
        <v>437.49954476827799</v>
      </c>
      <c r="AB30" s="85">
        <v>0</v>
      </c>
      <c r="AC30" s="85">
        <v>0</v>
      </c>
      <c r="AD30" s="85">
        <v>0</v>
      </c>
      <c r="AE30" s="85">
        <v>33.912121570866198</v>
      </c>
      <c r="AF30" s="85">
        <v>0</v>
      </c>
      <c r="AG30" s="85">
        <v>44.9125208941701</v>
      </c>
      <c r="AH30" s="85">
        <v>4.4518393494448096</v>
      </c>
      <c r="AI30" s="85">
        <v>1.36406148144899</v>
      </c>
      <c r="AJ30" s="85">
        <v>0</v>
      </c>
      <c r="AK30" s="85">
        <v>3.1463454514920102</v>
      </c>
      <c r="AL30" s="85">
        <v>0</v>
      </c>
      <c r="AM30" s="85">
        <v>0</v>
      </c>
      <c r="AN30" s="85">
        <v>303.86149598847999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43</v>
      </c>
      <c r="C31" s="85" t="s">
        <v>33</v>
      </c>
      <c r="D31" s="85" t="s">
        <v>44</v>
      </c>
      <c r="E31" s="85" t="s">
        <v>88</v>
      </c>
      <c r="F31" s="85" t="s">
        <v>25</v>
      </c>
      <c r="G31" s="85" t="s">
        <v>35</v>
      </c>
      <c r="H31" s="85" t="s">
        <v>72</v>
      </c>
      <c r="I31" s="85" t="s">
        <v>25</v>
      </c>
      <c r="J31" s="85">
        <v>287.62</v>
      </c>
      <c r="K31" s="85">
        <v>308.37</v>
      </c>
      <c r="L31" s="85">
        <v>20.875916196619698</v>
      </c>
      <c r="M31" s="85">
        <v>0.93154513577042297</v>
      </c>
      <c r="N31" s="85">
        <v>2.6805225841418401</v>
      </c>
      <c r="O31" s="85">
        <v>0</v>
      </c>
      <c r="P31" s="85">
        <v>0</v>
      </c>
      <c r="Q31" s="85">
        <v>32.6632125527792</v>
      </c>
      <c r="R31" s="85">
        <v>0</v>
      </c>
      <c r="S31" s="85">
        <v>0</v>
      </c>
      <c r="T31" s="85">
        <v>0</v>
      </c>
      <c r="U31" s="85">
        <v>0</v>
      </c>
      <c r="V31" s="85">
        <v>1.3637436601927999</v>
      </c>
      <c r="W31" s="85">
        <v>0</v>
      </c>
      <c r="X31" s="85">
        <v>0</v>
      </c>
      <c r="Y31" s="85">
        <v>0</v>
      </c>
      <c r="Z31" s="85">
        <v>0</v>
      </c>
      <c r="AA31" s="85">
        <v>145.833181589426</v>
      </c>
      <c r="AB31" s="85">
        <v>0</v>
      </c>
      <c r="AC31" s="85">
        <v>0</v>
      </c>
      <c r="AD31" s="85">
        <v>0</v>
      </c>
      <c r="AE31" s="85">
        <v>33.912121570866198</v>
      </c>
      <c r="AF31" s="85">
        <v>0</v>
      </c>
      <c r="AG31" s="85">
        <v>44.9125208941701</v>
      </c>
      <c r="AH31" s="85">
        <v>4.4518393494448096</v>
      </c>
      <c r="AI31" s="85">
        <v>1.36406148144899</v>
      </c>
      <c r="AJ31" s="85">
        <v>0</v>
      </c>
      <c r="AK31" s="85">
        <v>3.1463454514920102</v>
      </c>
      <c r="AL31" s="85">
        <v>0</v>
      </c>
      <c r="AM31" s="85">
        <v>0</v>
      </c>
      <c r="AN31" s="85">
        <v>303.86149598847999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43</v>
      </c>
      <c r="C32" s="85" t="s">
        <v>33</v>
      </c>
      <c r="D32" s="85" t="s">
        <v>44</v>
      </c>
      <c r="E32" s="85" t="s">
        <v>25</v>
      </c>
      <c r="F32" s="85" t="s">
        <v>25</v>
      </c>
      <c r="G32" s="85" t="s">
        <v>34</v>
      </c>
      <c r="H32" s="85" t="s">
        <v>72</v>
      </c>
      <c r="I32" s="85" t="s">
        <v>25</v>
      </c>
      <c r="J32" s="85">
        <v>881.41</v>
      </c>
      <c r="K32" s="85">
        <v>527.15</v>
      </c>
      <c r="L32" s="85">
        <v>20.875916196619698</v>
      </c>
      <c r="M32" s="85">
        <v>0.93154513577042297</v>
      </c>
      <c r="N32" s="85">
        <v>7.6806090875299899</v>
      </c>
      <c r="O32" s="85">
        <v>0</v>
      </c>
      <c r="P32" s="85">
        <v>0</v>
      </c>
      <c r="Q32" s="85">
        <v>32.6632125527792</v>
      </c>
      <c r="R32" s="85">
        <v>0</v>
      </c>
      <c r="S32" s="85">
        <v>0</v>
      </c>
      <c r="T32" s="85">
        <v>0</v>
      </c>
      <c r="U32" s="85">
        <v>0</v>
      </c>
      <c r="V32" s="85">
        <v>6.8187183009640204</v>
      </c>
      <c r="W32" s="85">
        <v>0</v>
      </c>
      <c r="X32" s="85">
        <v>0</v>
      </c>
      <c r="Y32" s="85">
        <v>0</v>
      </c>
      <c r="Z32" s="85">
        <v>0</v>
      </c>
      <c r="AA32" s="85">
        <v>729.16590794712999</v>
      </c>
      <c r="AB32" s="85">
        <v>0</v>
      </c>
      <c r="AC32" s="85">
        <v>0</v>
      </c>
      <c r="AD32" s="85">
        <v>0</v>
      </c>
      <c r="AE32" s="85">
        <v>33.912121570866198</v>
      </c>
      <c r="AF32" s="85">
        <v>0</v>
      </c>
      <c r="AG32" s="85">
        <v>44.9125208941701</v>
      </c>
      <c r="AH32" s="85">
        <v>4.4518393494448096</v>
      </c>
      <c r="AI32" s="85">
        <v>1.36406148144899</v>
      </c>
      <c r="AJ32" s="85">
        <v>0</v>
      </c>
      <c r="AK32" s="85">
        <v>3.1463454514920102</v>
      </c>
      <c r="AL32" s="85">
        <v>0</v>
      </c>
      <c r="AM32" s="85">
        <v>0</v>
      </c>
      <c r="AN32" s="85">
        <v>522.64177310018601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43</v>
      </c>
      <c r="C33" s="85" t="s">
        <v>33</v>
      </c>
      <c r="D33" s="85" t="s">
        <v>44</v>
      </c>
      <c r="E33" s="85" t="s">
        <v>25</v>
      </c>
      <c r="F33" s="85" t="s">
        <v>25</v>
      </c>
      <c r="G33" s="85" t="s">
        <v>36</v>
      </c>
      <c r="H33" s="85" t="s">
        <v>72</v>
      </c>
      <c r="I33" s="85" t="s">
        <v>25</v>
      </c>
      <c r="J33" s="85">
        <v>584.52</v>
      </c>
      <c r="K33" s="85">
        <v>308.37</v>
      </c>
      <c r="L33" s="85">
        <v>20.875916196619698</v>
      </c>
      <c r="M33" s="85">
        <v>0.93154513577042297</v>
      </c>
      <c r="N33" s="85">
        <v>5.1805658358359201</v>
      </c>
      <c r="O33" s="85">
        <v>0</v>
      </c>
      <c r="P33" s="85">
        <v>0</v>
      </c>
      <c r="Q33" s="85">
        <v>32.6632125527792</v>
      </c>
      <c r="R33" s="85">
        <v>0</v>
      </c>
      <c r="S33" s="85">
        <v>0</v>
      </c>
      <c r="T33" s="85">
        <v>0</v>
      </c>
      <c r="U33" s="85">
        <v>0</v>
      </c>
      <c r="V33" s="85">
        <v>4.0912309805784099</v>
      </c>
      <c r="W33" s="85">
        <v>0</v>
      </c>
      <c r="X33" s="85">
        <v>0</v>
      </c>
      <c r="Y33" s="85">
        <v>0</v>
      </c>
      <c r="Z33" s="85">
        <v>0</v>
      </c>
      <c r="AA33" s="85">
        <v>437.49954476827799</v>
      </c>
      <c r="AB33" s="85">
        <v>0</v>
      </c>
      <c r="AC33" s="85">
        <v>0</v>
      </c>
      <c r="AD33" s="85">
        <v>0</v>
      </c>
      <c r="AE33" s="85">
        <v>33.912121570866198</v>
      </c>
      <c r="AF33" s="85">
        <v>0</v>
      </c>
      <c r="AG33" s="85">
        <v>44.9125208941701</v>
      </c>
      <c r="AH33" s="85">
        <v>4.4518393494448096</v>
      </c>
      <c r="AI33" s="85">
        <v>1.36406148144899</v>
      </c>
      <c r="AJ33" s="85">
        <v>0</v>
      </c>
      <c r="AK33" s="85">
        <v>3.1463454514920102</v>
      </c>
      <c r="AL33" s="85">
        <v>0</v>
      </c>
      <c r="AM33" s="85">
        <v>0</v>
      </c>
      <c r="AN33" s="85">
        <v>303.86149598847999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6">
        <v>0</v>
      </c>
    </row>
    <row r="34" spans="2:46" ht="12" customHeight="1" x14ac:dyDescent="0.25">
      <c r="B34" s="84" t="s">
        <v>43</v>
      </c>
      <c r="C34" s="85" t="s">
        <v>33</v>
      </c>
      <c r="D34" s="85" t="s">
        <v>44</v>
      </c>
      <c r="E34" s="85" t="s">
        <v>25</v>
      </c>
      <c r="F34" s="85" t="s">
        <v>25</v>
      </c>
      <c r="G34" s="85" t="s">
        <v>35</v>
      </c>
      <c r="H34" s="85" t="s">
        <v>72</v>
      </c>
      <c r="I34" s="85" t="s">
        <v>25</v>
      </c>
      <c r="J34" s="85">
        <v>287.62</v>
      </c>
      <c r="K34" s="85">
        <v>308.37</v>
      </c>
      <c r="L34" s="85">
        <v>20.875916196619698</v>
      </c>
      <c r="M34" s="85">
        <v>0.93154513577042297</v>
      </c>
      <c r="N34" s="85">
        <v>2.6805225841418401</v>
      </c>
      <c r="O34" s="85">
        <v>0</v>
      </c>
      <c r="P34" s="85">
        <v>0</v>
      </c>
      <c r="Q34" s="85">
        <v>32.6632125527792</v>
      </c>
      <c r="R34" s="85">
        <v>0</v>
      </c>
      <c r="S34" s="85">
        <v>0</v>
      </c>
      <c r="T34" s="85">
        <v>0</v>
      </c>
      <c r="U34" s="85">
        <v>0</v>
      </c>
      <c r="V34" s="85">
        <v>1.3637436601927999</v>
      </c>
      <c r="W34" s="85">
        <v>0</v>
      </c>
      <c r="X34" s="85">
        <v>0</v>
      </c>
      <c r="Y34" s="85">
        <v>0</v>
      </c>
      <c r="Z34" s="85">
        <v>0</v>
      </c>
      <c r="AA34" s="85">
        <v>145.833181589426</v>
      </c>
      <c r="AB34" s="85">
        <v>0</v>
      </c>
      <c r="AC34" s="85">
        <v>0</v>
      </c>
      <c r="AD34" s="85">
        <v>0</v>
      </c>
      <c r="AE34" s="85">
        <v>33.912121570866198</v>
      </c>
      <c r="AF34" s="85">
        <v>0</v>
      </c>
      <c r="AG34" s="85">
        <v>44.9125208941701</v>
      </c>
      <c r="AH34" s="85">
        <v>4.4518393494448096</v>
      </c>
      <c r="AI34" s="85">
        <v>1.36406148144899</v>
      </c>
      <c r="AJ34" s="85">
        <v>0</v>
      </c>
      <c r="AK34" s="85">
        <v>3.1463454514920102</v>
      </c>
      <c r="AL34" s="85">
        <v>0</v>
      </c>
      <c r="AM34" s="85">
        <v>0</v>
      </c>
      <c r="AN34" s="85">
        <v>303.86149598847999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43</v>
      </c>
      <c r="C35" s="85" t="s">
        <v>33</v>
      </c>
      <c r="D35" s="85" t="s">
        <v>44</v>
      </c>
      <c r="E35" s="85" t="s">
        <v>89</v>
      </c>
      <c r="F35" s="85" t="s">
        <v>25</v>
      </c>
      <c r="G35" s="85" t="s">
        <v>34</v>
      </c>
      <c r="H35" s="85" t="s">
        <v>72</v>
      </c>
      <c r="I35" s="85" t="s">
        <v>25</v>
      </c>
      <c r="J35" s="85">
        <v>862.66</v>
      </c>
      <c r="K35" s="85">
        <v>515.94000000000005</v>
      </c>
      <c r="L35" s="85">
        <v>20.431747766904401</v>
      </c>
      <c r="M35" s="85">
        <v>0.91172502649871201</v>
      </c>
      <c r="N35" s="85">
        <v>7.5171918729016998</v>
      </c>
      <c r="O35" s="85">
        <v>0</v>
      </c>
      <c r="P35" s="85">
        <v>0</v>
      </c>
      <c r="Q35" s="85">
        <v>31.968250583571098</v>
      </c>
      <c r="R35" s="85">
        <v>0</v>
      </c>
      <c r="S35" s="85">
        <v>0</v>
      </c>
      <c r="T35" s="85">
        <v>0</v>
      </c>
      <c r="U35" s="85">
        <v>0</v>
      </c>
      <c r="V35" s="85">
        <v>6.6736391881775603</v>
      </c>
      <c r="W35" s="85">
        <v>0</v>
      </c>
      <c r="X35" s="85">
        <v>0</v>
      </c>
      <c r="Y35" s="85">
        <v>0</v>
      </c>
      <c r="Z35" s="85">
        <v>0</v>
      </c>
      <c r="AA35" s="85">
        <v>713.65173969293596</v>
      </c>
      <c r="AB35" s="85">
        <v>0</v>
      </c>
      <c r="AC35" s="85">
        <v>0</v>
      </c>
      <c r="AD35" s="85">
        <v>0</v>
      </c>
      <c r="AE35" s="85">
        <v>33.190587069358401</v>
      </c>
      <c r="AF35" s="85">
        <v>0</v>
      </c>
      <c r="AG35" s="85">
        <v>43.956935343230299</v>
      </c>
      <c r="AH35" s="85">
        <v>4.3571193632864098</v>
      </c>
      <c r="AI35" s="85">
        <v>1.3350388967373099</v>
      </c>
      <c r="AJ35" s="85">
        <v>0</v>
      </c>
      <c r="AK35" s="85">
        <v>3.0794019312474998</v>
      </c>
      <c r="AL35" s="85">
        <v>0</v>
      </c>
      <c r="AM35" s="85">
        <v>0</v>
      </c>
      <c r="AN35" s="85">
        <v>511.52173537465001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6">
        <v>0</v>
      </c>
    </row>
    <row r="36" spans="2:46" ht="12" customHeight="1" x14ac:dyDescent="0.25">
      <c r="B36" s="84" t="s">
        <v>43</v>
      </c>
      <c r="C36" s="85" t="s">
        <v>33</v>
      </c>
      <c r="D36" s="85" t="s">
        <v>44</v>
      </c>
      <c r="E36" s="85" t="s">
        <v>89</v>
      </c>
      <c r="F36" s="85" t="s">
        <v>25</v>
      </c>
      <c r="G36" s="85" t="s">
        <v>36</v>
      </c>
      <c r="H36" s="85" t="s">
        <v>72</v>
      </c>
      <c r="I36" s="85" t="s">
        <v>25</v>
      </c>
      <c r="J36" s="85">
        <v>572.08000000000004</v>
      </c>
      <c r="K36" s="85">
        <v>301.81</v>
      </c>
      <c r="L36" s="85">
        <v>20.431747766904401</v>
      </c>
      <c r="M36" s="85">
        <v>0.91172502649871201</v>
      </c>
      <c r="N36" s="85">
        <v>5.0703410308181303</v>
      </c>
      <c r="O36" s="85">
        <v>0</v>
      </c>
      <c r="P36" s="85">
        <v>0</v>
      </c>
      <c r="Q36" s="85">
        <v>31.968250583571098</v>
      </c>
      <c r="R36" s="85">
        <v>0</v>
      </c>
      <c r="S36" s="85">
        <v>0</v>
      </c>
      <c r="T36" s="85">
        <v>0</v>
      </c>
      <c r="U36" s="85">
        <v>0</v>
      </c>
      <c r="V36" s="85">
        <v>4.00418351290653</v>
      </c>
      <c r="W36" s="85">
        <v>0</v>
      </c>
      <c r="X36" s="85">
        <v>0</v>
      </c>
      <c r="Y36" s="85">
        <v>0</v>
      </c>
      <c r="Z36" s="85">
        <v>0</v>
      </c>
      <c r="AA36" s="85">
        <v>428.19104381576102</v>
      </c>
      <c r="AB36" s="85">
        <v>0</v>
      </c>
      <c r="AC36" s="85">
        <v>0</v>
      </c>
      <c r="AD36" s="85">
        <v>0</v>
      </c>
      <c r="AE36" s="85">
        <v>33.190587069358401</v>
      </c>
      <c r="AF36" s="85">
        <v>0</v>
      </c>
      <c r="AG36" s="85">
        <v>43.956935343230299</v>
      </c>
      <c r="AH36" s="85">
        <v>4.3571193632864098</v>
      </c>
      <c r="AI36" s="85">
        <v>1.3350388967373099</v>
      </c>
      <c r="AJ36" s="85">
        <v>0</v>
      </c>
      <c r="AK36" s="85">
        <v>3.0794019312474998</v>
      </c>
      <c r="AL36" s="85">
        <v>0</v>
      </c>
      <c r="AM36" s="85">
        <v>0</v>
      </c>
      <c r="AN36" s="85">
        <v>297.39635777595902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43</v>
      </c>
      <c r="C37" s="85" t="s">
        <v>33</v>
      </c>
      <c r="D37" s="85" t="s">
        <v>44</v>
      </c>
      <c r="E37" s="85" t="s">
        <v>89</v>
      </c>
      <c r="F37" s="85" t="s">
        <v>25</v>
      </c>
      <c r="G37" s="85" t="s">
        <v>35</v>
      </c>
      <c r="H37" s="85" t="s">
        <v>72</v>
      </c>
      <c r="I37" s="85" t="s">
        <v>25</v>
      </c>
      <c r="J37" s="85">
        <v>281.5</v>
      </c>
      <c r="K37" s="85">
        <v>301.81</v>
      </c>
      <c r="L37" s="85">
        <v>20.431747766904401</v>
      </c>
      <c r="M37" s="85">
        <v>0.91172502649871201</v>
      </c>
      <c r="N37" s="85">
        <v>2.6234901887345701</v>
      </c>
      <c r="O37" s="85">
        <v>0</v>
      </c>
      <c r="P37" s="85">
        <v>0</v>
      </c>
      <c r="Q37" s="85">
        <v>31.968250583571098</v>
      </c>
      <c r="R37" s="85">
        <v>0</v>
      </c>
      <c r="S37" s="85">
        <v>0</v>
      </c>
      <c r="T37" s="85">
        <v>0</v>
      </c>
      <c r="U37" s="85">
        <v>0</v>
      </c>
      <c r="V37" s="85">
        <v>1.3347278376355101</v>
      </c>
      <c r="W37" s="85">
        <v>0</v>
      </c>
      <c r="X37" s="85">
        <v>0</v>
      </c>
      <c r="Y37" s="85">
        <v>0</v>
      </c>
      <c r="Z37" s="85">
        <v>0</v>
      </c>
      <c r="AA37" s="85">
        <v>142.73034793858699</v>
      </c>
      <c r="AB37" s="85">
        <v>0</v>
      </c>
      <c r="AC37" s="85">
        <v>0</v>
      </c>
      <c r="AD37" s="85">
        <v>0</v>
      </c>
      <c r="AE37" s="85">
        <v>33.190587069358401</v>
      </c>
      <c r="AF37" s="85">
        <v>0</v>
      </c>
      <c r="AG37" s="85">
        <v>43.956935343230299</v>
      </c>
      <c r="AH37" s="85">
        <v>4.3571193632864098</v>
      </c>
      <c r="AI37" s="85">
        <v>1.3350388967373099</v>
      </c>
      <c r="AJ37" s="85">
        <v>0</v>
      </c>
      <c r="AK37" s="85">
        <v>3.0794019312474998</v>
      </c>
      <c r="AL37" s="85">
        <v>0</v>
      </c>
      <c r="AM37" s="85">
        <v>0</v>
      </c>
      <c r="AN37" s="85">
        <v>297.39635777595902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6">
        <v>0</v>
      </c>
    </row>
    <row r="38" spans="2:46" ht="12" customHeight="1" x14ac:dyDescent="0.25">
      <c r="B38" s="84" t="s">
        <v>43</v>
      </c>
      <c r="C38" s="85" t="s">
        <v>23</v>
      </c>
      <c r="D38" s="85" t="s">
        <v>44</v>
      </c>
      <c r="E38" s="85" t="s">
        <v>88</v>
      </c>
      <c r="F38" s="85" t="s">
        <v>25</v>
      </c>
      <c r="G38" s="85" t="s">
        <v>25</v>
      </c>
      <c r="H38" s="85" t="s">
        <v>72</v>
      </c>
      <c r="I38" s="85" t="s">
        <v>25</v>
      </c>
      <c r="J38" s="85">
        <v>371.13</v>
      </c>
      <c r="K38" s="85">
        <v>326.60000000000002</v>
      </c>
      <c r="L38" s="85">
        <v>20.875916196619698</v>
      </c>
      <c r="M38" s="85">
        <v>0.93154513577042297</v>
      </c>
      <c r="N38" s="85">
        <v>3.3836596298149701</v>
      </c>
      <c r="O38" s="85">
        <v>0</v>
      </c>
      <c r="P38" s="85">
        <v>0</v>
      </c>
      <c r="Q38" s="85">
        <v>32.6632125527792</v>
      </c>
      <c r="R38" s="85">
        <v>0</v>
      </c>
      <c r="S38" s="85">
        <v>0</v>
      </c>
      <c r="T38" s="85">
        <v>0</v>
      </c>
      <c r="U38" s="85">
        <v>0</v>
      </c>
      <c r="V38" s="85">
        <v>2.13204994762537</v>
      </c>
      <c r="W38" s="85">
        <v>0</v>
      </c>
      <c r="X38" s="85">
        <v>0</v>
      </c>
      <c r="Y38" s="85">
        <v>0</v>
      </c>
      <c r="Z38" s="85">
        <v>0</v>
      </c>
      <c r="AA38" s="85">
        <v>227.86432543121501</v>
      </c>
      <c r="AB38" s="85">
        <v>0</v>
      </c>
      <c r="AC38" s="85">
        <v>0</v>
      </c>
      <c r="AD38" s="85">
        <v>0</v>
      </c>
      <c r="AE38" s="85">
        <v>33.912121570866198</v>
      </c>
      <c r="AF38" s="85">
        <v>0</v>
      </c>
      <c r="AG38" s="85">
        <v>44.9125208941701</v>
      </c>
      <c r="AH38" s="85">
        <v>4.4518393494448096</v>
      </c>
      <c r="AI38" s="85">
        <v>1.36406148144899</v>
      </c>
      <c r="AJ38" s="85">
        <v>0</v>
      </c>
      <c r="AK38" s="85">
        <v>3.1463454514920102</v>
      </c>
      <c r="AL38" s="85">
        <v>0</v>
      </c>
      <c r="AM38" s="85">
        <v>0</v>
      </c>
      <c r="AN38" s="85">
        <v>322.09318574778899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43</v>
      </c>
      <c r="C39" s="85" t="s">
        <v>23</v>
      </c>
      <c r="D39" s="85" t="s">
        <v>44</v>
      </c>
      <c r="E39" s="85" t="s">
        <v>25</v>
      </c>
      <c r="F39" s="85" t="s">
        <v>25</v>
      </c>
      <c r="G39" s="85" t="s">
        <v>25</v>
      </c>
      <c r="H39" s="85" t="s">
        <v>72</v>
      </c>
      <c r="I39" s="85" t="s">
        <v>25</v>
      </c>
      <c r="J39" s="85">
        <v>371.13</v>
      </c>
      <c r="K39" s="85">
        <v>326.60000000000002</v>
      </c>
      <c r="L39" s="85">
        <v>20.875916196619698</v>
      </c>
      <c r="M39" s="85">
        <v>0.93154513577042297</v>
      </c>
      <c r="N39" s="85">
        <v>3.3836596298149701</v>
      </c>
      <c r="O39" s="85">
        <v>0</v>
      </c>
      <c r="P39" s="85">
        <v>0</v>
      </c>
      <c r="Q39" s="85">
        <v>32.6632125527792</v>
      </c>
      <c r="R39" s="85">
        <v>0</v>
      </c>
      <c r="S39" s="85">
        <v>0</v>
      </c>
      <c r="T39" s="85">
        <v>0</v>
      </c>
      <c r="U39" s="85">
        <v>0</v>
      </c>
      <c r="V39" s="85">
        <v>2.13204994762537</v>
      </c>
      <c r="W39" s="85">
        <v>0</v>
      </c>
      <c r="X39" s="85">
        <v>0</v>
      </c>
      <c r="Y39" s="85">
        <v>0</v>
      </c>
      <c r="Z39" s="85">
        <v>0</v>
      </c>
      <c r="AA39" s="85">
        <v>227.86432543121501</v>
      </c>
      <c r="AB39" s="85">
        <v>0</v>
      </c>
      <c r="AC39" s="85">
        <v>0</v>
      </c>
      <c r="AD39" s="85">
        <v>0</v>
      </c>
      <c r="AE39" s="85">
        <v>33.912121570866198</v>
      </c>
      <c r="AF39" s="85">
        <v>0</v>
      </c>
      <c r="AG39" s="85">
        <v>44.9125208941701</v>
      </c>
      <c r="AH39" s="85">
        <v>4.4518393494448096</v>
      </c>
      <c r="AI39" s="85">
        <v>1.36406148144899</v>
      </c>
      <c r="AJ39" s="85">
        <v>0</v>
      </c>
      <c r="AK39" s="85">
        <v>3.1463454514920102</v>
      </c>
      <c r="AL39" s="85">
        <v>0</v>
      </c>
      <c r="AM39" s="85">
        <v>0</v>
      </c>
      <c r="AN39" s="85">
        <v>322.09318574778899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43</v>
      </c>
      <c r="C40" s="85" t="s">
        <v>23</v>
      </c>
      <c r="D40" s="85" t="s">
        <v>44</v>
      </c>
      <c r="E40" s="85" t="s">
        <v>89</v>
      </c>
      <c r="F40" s="85" t="s">
        <v>25</v>
      </c>
      <c r="G40" s="85" t="s">
        <v>25</v>
      </c>
      <c r="H40" s="85" t="s">
        <v>72</v>
      </c>
      <c r="I40" s="85" t="s">
        <v>25</v>
      </c>
      <c r="J40" s="85">
        <v>363.23</v>
      </c>
      <c r="K40" s="85">
        <v>319.64999999999998</v>
      </c>
      <c r="L40" s="85">
        <v>20.431747766904401</v>
      </c>
      <c r="M40" s="85">
        <v>0.91172502649871201</v>
      </c>
      <c r="N40" s="85">
        <v>3.3116668717338</v>
      </c>
      <c r="O40" s="85">
        <v>0</v>
      </c>
      <c r="P40" s="85">
        <v>0</v>
      </c>
      <c r="Q40" s="85">
        <v>31.968250583571098</v>
      </c>
      <c r="R40" s="85">
        <v>0</v>
      </c>
      <c r="S40" s="85">
        <v>0</v>
      </c>
      <c r="T40" s="85">
        <v>0</v>
      </c>
      <c r="U40" s="85">
        <v>0</v>
      </c>
      <c r="V40" s="85">
        <v>2.0866871827822799</v>
      </c>
      <c r="W40" s="85">
        <v>0</v>
      </c>
      <c r="X40" s="85">
        <v>0</v>
      </c>
      <c r="Y40" s="85">
        <v>0</v>
      </c>
      <c r="Z40" s="85">
        <v>0</v>
      </c>
      <c r="AA40" s="85">
        <v>223.016148294381</v>
      </c>
      <c r="AB40" s="85">
        <v>0</v>
      </c>
      <c r="AC40" s="85">
        <v>0</v>
      </c>
      <c r="AD40" s="85">
        <v>0</v>
      </c>
      <c r="AE40" s="85">
        <v>33.190587069358401</v>
      </c>
      <c r="AF40" s="85">
        <v>0</v>
      </c>
      <c r="AG40" s="85">
        <v>43.956935343230299</v>
      </c>
      <c r="AH40" s="85">
        <v>4.3571193632864098</v>
      </c>
      <c r="AI40" s="85">
        <v>1.3350388967373099</v>
      </c>
      <c r="AJ40" s="85">
        <v>0</v>
      </c>
      <c r="AK40" s="85">
        <v>3.0794019312474998</v>
      </c>
      <c r="AL40" s="85">
        <v>0</v>
      </c>
      <c r="AM40" s="85">
        <v>0</v>
      </c>
      <c r="AN40" s="85">
        <v>315.24013924251699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43</v>
      </c>
      <c r="C41" s="85" t="s">
        <v>87</v>
      </c>
      <c r="D41" s="85" t="s">
        <v>44</v>
      </c>
      <c r="E41" s="85" t="s">
        <v>88</v>
      </c>
      <c r="F41" s="85" t="s">
        <v>25</v>
      </c>
      <c r="G41" s="85" t="s">
        <v>25</v>
      </c>
      <c r="H41" s="85" t="s">
        <v>72</v>
      </c>
      <c r="I41" s="85" t="s">
        <v>25</v>
      </c>
      <c r="J41" s="85">
        <v>371.13</v>
      </c>
      <c r="K41" s="85">
        <v>326.60000000000002</v>
      </c>
      <c r="L41" s="85">
        <v>20.875916196619698</v>
      </c>
      <c r="M41" s="85">
        <v>0.93154513577042297</v>
      </c>
      <c r="N41" s="85">
        <v>3.3836596298149701</v>
      </c>
      <c r="O41" s="85">
        <v>0</v>
      </c>
      <c r="P41" s="85">
        <v>0</v>
      </c>
      <c r="Q41" s="85">
        <v>32.6632125527792</v>
      </c>
      <c r="R41" s="85">
        <v>0</v>
      </c>
      <c r="S41" s="85">
        <v>0</v>
      </c>
      <c r="T41" s="85">
        <v>0</v>
      </c>
      <c r="U41" s="85">
        <v>0</v>
      </c>
      <c r="V41" s="85">
        <v>2.13204994762537</v>
      </c>
      <c r="W41" s="85">
        <v>0</v>
      </c>
      <c r="X41" s="85">
        <v>0</v>
      </c>
      <c r="Y41" s="85">
        <v>0</v>
      </c>
      <c r="Z41" s="85">
        <v>0</v>
      </c>
      <c r="AA41" s="85">
        <v>227.86432543121501</v>
      </c>
      <c r="AB41" s="85">
        <v>0</v>
      </c>
      <c r="AC41" s="85">
        <v>0</v>
      </c>
      <c r="AD41" s="85">
        <v>0</v>
      </c>
      <c r="AE41" s="85">
        <v>33.912121570866198</v>
      </c>
      <c r="AF41" s="85">
        <v>0</v>
      </c>
      <c r="AG41" s="85">
        <v>44.9125208941701</v>
      </c>
      <c r="AH41" s="85">
        <v>4.4518393494448096</v>
      </c>
      <c r="AI41" s="85">
        <v>1.36406148144899</v>
      </c>
      <c r="AJ41" s="85">
        <v>0</v>
      </c>
      <c r="AK41" s="85">
        <v>3.1463454514920102</v>
      </c>
      <c r="AL41" s="85">
        <v>0</v>
      </c>
      <c r="AM41" s="85">
        <v>0</v>
      </c>
      <c r="AN41" s="85">
        <v>322.09318574778899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43</v>
      </c>
      <c r="C42" s="85" t="s">
        <v>87</v>
      </c>
      <c r="D42" s="85" t="s">
        <v>44</v>
      </c>
      <c r="E42" s="85" t="s">
        <v>25</v>
      </c>
      <c r="F42" s="85" t="s">
        <v>25</v>
      </c>
      <c r="G42" s="85" t="s">
        <v>25</v>
      </c>
      <c r="H42" s="85" t="s">
        <v>72</v>
      </c>
      <c r="I42" s="85" t="s">
        <v>25</v>
      </c>
      <c r="J42" s="85">
        <v>371.13</v>
      </c>
      <c r="K42" s="85">
        <v>326.60000000000002</v>
      </c>
      <c r="L42" s="85">
        <v>20.875916196619698</v>
      </c>
      <c r="M42" s="85">
        <v>0.93154513577042297</v>
      </c>
      <c r="N42" s="85">
        <v>3.3836596298149701</v>
      </c>
      <c r="O42" s="85">
        <v>0</v>
      </c>
      <c r="P42" s="85">
        <v>0</v>
      </c>
      <c r="Q42" s="85">
        <v>32.6632125527792</v>
      </c>
      <c r="R42" s="85">
        <v>0</v>
      </c>
      <c r="S42" s="85">
        <v>0</v>
      </c>
      <c r="T42" s="85">
        <v>0</v>
      </c>
      <c r="U42" s="85">
        <v>0</v>
      </c>
      <c r="V42" s="85">
        <v>2.13204994762537</v>
      </c>
      <c r="W42" s="85">
        <v>0</v>
      </c>
      <c r="X42" s="85">
        <v>0</v>
      </c>
      <c r="Y42" s="85">
        <v>0</v>
      </c>
      <c r="Z42" s="85">
        <v>0</v>
      </c>
      <c r="AA42" s="85">
        <v>227.86432543121501</v>
      </c>
      <c r="AB42" s="85">
        <v>0</v>
      </c>
      <c r="AC42" s="85">
        <v>0</v>
      </c>
      <c r="AD42" s="85">
        <v>0</v>
      </c>
      <c r="AE42" s="85">
        <v>33.912121570866198</v>
      </c>
      <c r="AF42" s="85">
        <v>0</v>
      </c>
      <c r="AG42" s="85">
        <v>44.9125208941701</v>
      </c>
      <c r="AH42" s="85">
        <v>4.4518393494448096</v>
      </c>
      <c r="AI42" s="85">
        <v>1.36406148144899</v>
      </c>
      <c r="AJ42" s="85">
        <v>0</v>
      </c>
      <c r="AK42" s="85">
        <v>3.1463454514920102</v>
      </c>
      <c r="AL42" s="85">
        <v>0</v>
      </c>
      <c r="AM42" s="85">
        <v>0</v>
      </c>
      <c r="AN42" s="85">
        <v>322.09318574778899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43</v>
      </c>
      <c r="C43" s="85" t="s">
        <v>87</v>
      </c>
      <c r="D43" s="85" t="s">
        <v>44</v>
      </c>
      <c r="E43" s="85" t="s">
        <v>89</v>
      </c>
      <c r="F43" s="85" t="s">
        <v>25</v>
      </c>
      <c r="G43" s="85" t="s">
        <v>25</v>
      </c>
      <c r="H43" s="85" t="s">
        <v>72</v>
      </c>
      <c r="I43" s="85" t="s">
        <v>25</v>
      </c>
      <c r="J43" s="85">
        <v>363.23</v>
      </c>
      <c r="K43" s="85">
        <v>319.64999999999998</v>
      </c>
      <c r="L43" s="85">
        <v>20.431747766904401</v>
      </c>
      <c r="M43" s="85">
        <v>0.91172502649871201</v>
      </c>
      <c r="N43" s="85">
        <v>3.3116668717338</v>
      </c>
      <c r="O43" s="85">
        <v>0</v>
      </c>
      <c r="P43" s="85">
        <v>0</v>
      </c>
      <c r="Q43" s="85">
        <v>31.968250583571098</v>
      </c>
      <c r="R43" s="85">
        <v>0</v>
      </c>
      <c r="S43" s="85">
        <v>0</v>
      </c>
      <c r="T43" s="85">
        <v>0</v>
      </c>
      <c r="U43" s="85">
        <v>0</v>
      </c>
      <c r="V43" s="85">
        <v>2.0866871827822799</v>
      </c>
      <c r="W43" s="85">
        <v>0</v>
      </c>
      <c r="X43" s="85">
        <v>0</v>
      </c>
      <c r="Y43" s="85">
        <v>0</v>
      </c>
      <c r="Z43" s="85">
        <v>0</v>
      </c>
      <c r="AA43" s="85">
        <v>223.016148294381</v>
      </c>
      <c r="AB43" s="85">
        <v>0</v>
      </c>
      <c r="AC43" s="85">
        <v>0</v>
      </c>
      <c r="AD43" s="85">
        <v>0</v>
      </c>
      <c r="AE43" s="85">
        <v>33.190587069358401</v>
      </c>
      <c r="AF43" s="85">
        <v>0</v>
      </c>
      <c r="AG43" s="85">
        <v>43.956935343230299</v>
      </c>
      <c r="AH43" s="85">
        <v>4.3571193632864098</v>
      </c>
      <c r="AI43" s="85">
        <v>1.3350388967373099</v>
      </c>
      <c r="AJ43" s="85">
        <v>0</v>
      </c>
      <c r="AK43" s="85">
        <v>3.0794019312474998</v>
      </c>
      <c r="AL43" s="85">
        <v>0</v>
      </c>
      <c r="AM43" s="85">
        <v>0</v>
      </c>
      <c r="AN43" s="85">
        <v>315.24013924251699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37</v>
      </c>
      <c r="C44" s="85" t="s">
        <v>33</v>
      </c>
      <c r="D44" s="85" t="s">
        <v>25</v>
      </c>
      <c r="E44" s="85" t="s">
        <v>25</v>
      </c>
      <c r="F44" s="85" t="s">
        <v>25</v>
      </c>
      <c r="G44" s="85" t="s">
        <v>34</v>
      </c>
      <c r="H44" s="85" t="s">
        <v>72</v>
      </c>
      <c r="I44" s="85" t="s">
        <v>25</v>
      </c>
      <c r="J44" s="85">
        <v>1073.3900000000001</v>
      </c>
      <c r="K44" s="85">
        <v>560.79999999999995</v>
      </c>
      <c r="L44" s="85">
        <v>22.208421485765601</v>
      </c>
      <c r="M44" s="85">
        <v>0.99100546358555597</v>
      </c>
      <c r="N44" s="85">
        <v>9.3136661853479605</v>
      </c>
      <c r="O44" s="85">
        <v>0</v>
      </c>
      <c r="P44" s="85">
        <v>0</v>
      </c>
      <c r="Q44" s="85">
        <v>34.748098460403398</v>
      </c>
      <c r="R44" s="85">
        <v>0</v>
      </c>
      <c r="S44" s="85">
        <v>0</v>
      </c>
      <c r="T44" s="85">
        <v>0</v>
      </c>
      <c r="U44" s="85">
        <v>0</v>
      </c>
      <c r="V44" s="85">
        <v>8.5004099886156208</v>
      </c>
      <c r="W44" s="85">
        <v>0</v>
      </c>
      <c r="X44" s="85">
        <v>0</v>
      </c>
      <c r="Y44" s="85">
        <v>0</v>
      </c>
      <c r="Z44" s="85">
        <v>0</v>
      </c>
      <c r="AA44" s="85">
        <v>909.03327216995501</v>
      </c>
      <c r="AB44" s="85">
        <v>0</v>
      </c>
      <c r="AC44" s="85">
        <v>0</v>
      </c>
      <c r="AD44" s="85">
        <v>0</v>
      </c>
      <c r="AE44" s="85">
        <v>36.076725075389596</v>
      </c>
      <c r="AF44" s="85">
        <v>0</v>
      </c>
      <c r="AG44" s="85">
        <v>47.779277546989398</v>
      </c>
      <c r="AH44" s="85">
        <v>4.73599930792001</v>
      </c>
      <c r="AI44" s="85">
        <v>1.45112923558403</v>
      </c>
      <c r="AJ44" s="85">
        <v>0</v>
      </c>
      <c r="AK44" s="85">
        <v>3.3471760122255501</v>
      </c>
      <c r="AL44" s="85">
        <v>0</v>
      </c>
      <c r="AM44" s="85">
        <v>0</v>
      </c>
      <c r="AN44" s="85">
        <v>556.00188627679404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37</v>
      </c>
      <c r="C45" s="85" t="s">
        <v>33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72</v>
      </c>
      <c r="I45" s="85" t="s">
        <v>25</v>
      </c>
      <c r="J45" s="85">
        <v>703.26</v>
      </c>
      <c r="K45" s="85">
        <v>328.06</v>
      </c>
      <c r="L45" s="85">
        <v>22.208421485765601</v>
      </c>
      <c r="M45" s="85">
        <v>0.99100546358555597</v>
      </c>
      <c r="N45" s="85">
        <v>6.1969241302235902</v>
      </c>
      <c r="O45" s="85">
        <v>0</v>
      </c>
      <c r="P45" s="85">
        <v>0</v>
      </c>
      <c r="Q45" s="85">
        <v>34.748098460403398</v>
      </c>
      <c r="R45" s="85">
        <v>0</v>
      </c>
      <c r="S45" s="85">
        <v>0</v>
      </c>
      <c r="T45" s="85">
        <v>0</v>
      </c>
      <c r="U45" s="85">
        <v>0</v>
      </c>
      <c r="V45" s="85">
        <v>5.10841946431227</v>
      </c>
      <c r="W45" s="85">
        <v>0</v>
      </c>
      <c r="X45" s="85">
        <v>0</v>
      </c>
      <c r="Y45" s="85">
        <v>0</v>
      </c>
      <c r="Z45" s="85">
        <v>0</v>
      </c>
      <c r="AA45" s="85">
        <v>545.41998690737796</v>
      </c>
      <c r="AB45" s="85">
        <v>0</v>
      </c>
      <c r="AC45" s="85">
        <v>0</v>
      </c>
      <c r="AD45" s="85">
        <v>0</v>
      </c>
      <c r="AE45" s="85">
        <v>36.076725075389596</v>
      </c>
      <c r="AF45" s="85">
        <v>0</v>
      </c>
      <c r="AG45" s="85">
        <v>47.779277546989398</v>
      </c>
      <c r="AH45" s="85">
        <v>4.73599930792001</v>
      </c>
      <c r="AI45" s="85">
        <v>1.45112923558403</v>
      </c>
      <c r="AJ45" s="85">
        <v>0</v>
      </c>
      <c r="AK45" s="85">
        <v>3.3471760122255501</v>
      </c>
      <c r="AL45" s="85">
        <v>0</v>
      </c>
      <c r="AM45" s="85">
        <v>0</v>
      </c>
      <c r="AN45" s="85">
        <v>323.25691062604301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6">
        <v>0</v>
      </c>
    </row>
    <row r="46" spans="2:46" ht="12" customHeight="1" x14ac:dyDescent="0.25">
      <c r="B46" s="84" t="s">
        <v>37</v>
      </c>
      <c r="C46" s="85" t="s">
        <v>33</v>
      </c>
      <c r="D46" s="85" t="s">
        <v>25</v>
      </c>
      <c r="E46" s="85" t="s">
        <v>25</v>
      </c>
      <c r="F46" s="85" t="s">
        <v>25</v>
      </c>
      <c r="G46" s="85" t="s">
        <v>35</v>
      </c>
      <c r="H46" s="85" t="s">
        <v>72</v>
      </c>
      <c r="I46" s="85" t="s">
        <v>25</v>
      </c>
      <c r="J46" s="85">
        <v>333.12</v>
      </c>
      <c r="K46" s="85">
        <v>328.06</v>
      </c>
      <c r="L46" s="85">
        <v>22.208421485765601</v>
      </c>
      <c r="M46" s="85">
        <v>0.99100546358555597</v>
      </c>
      <c r="N46" s="85">
        <v>3.0801810634750999</v>
      </c>
      <c r="O46" s="85">
        <v>0</v>
      </c>
      <c r="P46" s="85">
        <v>0</v>
      </c>
      <c r="Q46" s="85">
        <v>34.748098460403398</v>
      </c>
      <c r="R46" s="85">
        <v>0</v>
      </c>
      <c r="S46" s="85">
        <v>0</v>
      </c>
      <c r="T46" s="85">
        <v>0</v>
      </c>
      <c r="U46" s="85">
        <v>0</v>
      </c>
      <c r="V46" s="85">
        <v>1.6959952621516801</v>
      </c>
      <c r="W46" s="85">
        <v>0</v>
      </c>
      <c r="X46" s="85">
        <v>0</v>
      </c>
      <c r="Y46" s="85">
        <v>0</v>
      </c>
      <c r="Z46" s="85">
        <v>0</v>
      </c>
      <c r="AA46" s="85">
        <v>181.8067016448</v>
      </c>
      <c r="AB46" s="85">
        <v>0</v>
      </c>
      <c r="AC46" s="85">
        <v>0</v>
      </c>
      <c r="AD46" s="85">
        <v>0</v>
      </c>
      <c r="AE46" s="85">
        <v>36.076725075389596</v>
      </c>
      <c r="AF46" s="85">
        <v>0</v>
      </c>
      <c r="AG46" s="85">
        <v>47.779277546989398</v>
      </c>
      <c r="AH46" s="85">
        <v>4.73599930792001</v>
      </c>
      <c r="AI46" s="85">
        <v>1.45112923558403</v>
      </c>
      <c r="AJ46" s="85">
        <v>0</v>
      </c>
      <c r="AK46" s="85">
        <v>3.3471760122255501</v>
      </c>
      <c r="AL46" s="85">
        <v>0</v>
      </c>
      <c r="AM46" s="85">
        <v>0</v>
      </c>
      <c r="AN46" s="85">
        <v>323.25691062604301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37</v>
      </c>
      <c r="C47" s="85" t="s">
        <v>23</v>
      </c>
      <c r="D47" s="85" t="s">
        <v>25</v>
      </c>
      <c r="E47" s="85" t="s">
        <v>25</v>
      </c>
      <c r="F47" s="85" t="s">
        <v>25</v>
      </c>
      <c r="G47" s="85" t="s">
        <v>25</v>
      </c>
      <c r="H47" s="85" t="s">
        <v>72</v>
      </c>
      <c r="I47" s="85" t="s">
        <v>25</v>
      </c>
      <c r="J47" s="85">
        <v>394.82</v>
      </c>
      <c r="K47" s="85">
        <v>347.45</v>
      </c>
      <c r="L47" s="85">
        <v>22.208421485765601</v>
      </c>
      <c r="M47" s="85">
        <v>0.99100546358555597</v>
      </c>
      <c r="N47" s="85">
        <v>3.5996379040584801</v>
      </c>
      <c r="O47" s="85">
        <v>0</v>
      </c>
      <c r="P47" s="85">
        <v>0</v>
      </c>
      <c r="Q47" s="85">
        <v>34.748098460403398</v>
      </c>
      <c r="R47" s="85">
        <v>0</v>
      </c>
      <c r="S47" s="85">
        <v>0</v>
      </c>
      <c r="T47" s="85">
        <v>0</v>
      </c>
      <c r="U47" s="85">
        <v>0</v>
      </c>
      <c r="V47" s="85">
        <v>2.2681382421546501</v>
      </c>
      <c r="W47" s="85">
        <v>0</v>
      </c>
      <c r="X47" s="85">
        <v>0</v>
      </c>
      <c r="Y47" s="85">
        <v>0</v>
      </c>
      <c r="Z47" s="85">
        <v>0</v>
      </c>
      <c r="AA47" s="85">
        <v>242.40885684171801</v>
      </c>
      <c r="AB47" s="85">
        <v>0</v>
      </c>
      <c r="AC47" s="85">
        <v>0</v>
      </c>
      <c r="AD47" s="85">
        <v>0</v>
      </c>
      <c r="AE47" s="85">
        <v>36.076725075389596</v>
      </c>
      <c r="AF47" s="85">
        <v>0</v>
      </c>
      <c r="AG47" s="85">
        <v>47.779277546989398</v>
      </c>
      <c r="AH47" s="85">
        <v>4.73599930792001</v>
      </c>
      <c r="AI47" s="85">
        <v>1.45112923558403</v>
      </c>
      <c r="AJ47" s="85">
        <v>0</v>
      </c>
      <c r="AK47" s="85">
        <v>3.3471760122255501</v>
      </c>
      <c r="AL47" s="85">
        <v>0</v>
      </c>
      <c r="AM47" s="85">
        <v>0</v>
      </c>
      <c r="AN47" s="85">
        <v>342.65232526360501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6">
        <v>0</v>
      </c>
    </row>
    <row r="48" spans="2:46" ht="12" customHeight="1" x14ac:dyDescent="0.25">
      <c r="B48" s="84" t="s">
        <v>37</v>
      </c>
      <c r="C48" s="85" t="s">
        <v>87</v>
      </c>
      <c r="D48" s="85" t="s">
        <v>25</v>
      </c>
      <c r="E48" s="85" t="s">
        <v>25</v>
      </c>
      <c r="F48" s="85" t="s">
        <v>25</v>
      </c>
      <c r="G48" s="85" t="s">
        <v>25</v>
      </c>
      <c r="H48" s="85" t="s">
        <v>72</v>
      </c>
      <c r="I48" s="85" t="s">
        <v>25</v>
      </c>
      <c r="J48" s="85">
        <v>394.82</v>
      </c>
      <c r="K48" s="85">
        <v>347.45</v>
      </c>
      <c r="L48" s="85">
        <v>22.208421485765601</v>
      </c>
      <c r="M48" s="85">
        <v>0.99100546358555597</v>
      </c>
      <c r="N48" s="85">
        <v>3.5996379040584801</v>
      </c>
      <c r="O48" s="85">
        <v>0</v>
      </c>
      <c r="P48" s="85">
        <v>0</v>
      </c>
      <c r="Q48" s="85">
        <v>34.748098460403398</v>
      </c>
      <c r="R48" s="85">
        <v>0</v>
      </c>
      <c r="S48" s="85">
        <v>0</v>
      </c>
      <c r="T48" s="85">
        <v>0</v>
      </c>
      <c r="U48" s="85">
        <v>0</v>
      </c>
      <c r="V48" s="85">
        <v>2.2681382421546501</v>
      </c>
      <c r="W48" s="85">
        <v>0</v>
      </c>
      <c r="X48" s="85">
        <v>0</v>
      </c>
      <c r="Y48" s="85">
        <v>0</v>
      </c>
      <c r="Z48" s="85">
        <v>0</v>
      </c>
      <c r="AA48" s="85">
        <v>242.40885684171801</v>
      </c>
      <c r="AB48" s="85">
        <v>0</v>
      </c>
      <c r="AC48" s="85">
        <v>0</v>
      </c>
      <c r="AD48" s="85">
        <v>0</v>
      </c>
      <c r="AE48" s="85">
        <v>36.076725075389596</v>
      </c>
      <c r="AF48" s="85">
        <v>0</v>
      </c>
      <c r="AG48" s="85">
        <v>47.779277546989398</v>
      </c>
      <c r="AH48" s="85">
        <v>4.73599930792001</v>
      </c>
      <c r="AI48" s="85">
        <v>1.45112923558403</v>
      </c>
      <c r="AJ48" s="85">
        <v>0</v>
      </c>
      <c r="AK48" s="85">
        <v>3.3471760122255501</v>
      </c>
      <c r="AL48" s="85">
        <v>0</v>
      </c>
      <c r="AM48" s="85">
        <v>0</v>
      </c>
      <c r="AN48" s="85">
        <v>342.65232526360501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46</v>
      </c>
      <c r="C49" s="85" t="s">
        <v>23</v>
      </c>
      <c r="D49" s="85" t="s">
        <v>47</v>
      </c>
      <c r="E49" s="85" t="s">
        <v>48</v>
      </c>
      <c r="F49" s="85" t="s">
        <v>25</v>
      </c>
      <c r="G49" s="85" t="s">
        <v>25</v>
      </c>
      <c r="H49" s="85" t="s">
        <v>72</v>
      </c>
      <c r="I49" s="85" t="s">
        <v>25</v>
      </c>
      <c r="J49" s="85">
        <v>217.15</v>
      </c>
      <c r="K49" s="85">
        <v>191.1</v>
      </c>
      <c r="L49" s="85">
        <v>12.214631817171099</v>
      </c>
      <c r="M49" s="85">
        <v>0.545053004972056</v>
      </c>
      <c r="N49" s="85">
        <v>1.97980084723216</v>
      </c>
      <c r="O49" s="85">
        <v>0</v>
      </c>
      <c r="P49" s="85">
        <v>0</v>
      </c>
      <c r="Q49" s="85">
        <v>19.111454153221899</v>
      </c>
      <c r="R49" s="85">
        <v>0</v>
      </c>
      <c r="S49" s="85">
        <v>0</v>
      </c>
      <c r="T49" s="85">
        <v>0</v>
      </c>
      <c r="U49" s="85">
        <v>0</v>
      </c>
      <c r="V49" s="85">
        <v>1.2474760331850601</v>
      </c>
      <c r="W49" s="85">
        <v>0</v>
      </c>
      <c r="X49" s="85">
        <v>0</v>
      </c>
      <c r="Y49" s="85">
        <v>0</v>
      </c>
      <c r="Z49" s="85">
        <v>0</v>
      </c>
      <c r="AA49" s="85">
        <v>133.32487126294501</v>
      </c>
      <c r="AB49" s="85">
        <v>0</v>
      </c>
      <c r="AC49" s="85">
        <v>0</v>
      </c>
      <c r="AD49" s="85">
        <v>0</v>
      </c>
      <c r="AE49" s="85">
        <v>19.842198791464298</v>
      </c>
      <c r="AF49" s="85">
        <v>0</v>
      </c>
      <c r="AG49" s="85">
        <v>26.278602650844199</v>
      </c>
      <c r="AH49" s="85">
        <v>2.6047996193560001</v>
      </c>
      <c r="AI49" s="85">
        <v>0.79812107957121603</v>
      </c>
      <c r="AJ49" s="85">
        <v>0</v>
      </c>
      <c r="AK49" s="85">
        <v>1.84094680672405</v>
      </c>
      <c r="AL49" s="85">
        <v>0</v>
      </c>
      <c r="AM49" s="85">
        <v>0</v>
      </c>
      <c r="AN49" s="85">
        <v>188.458778894983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7" t="s">
        <v>46</v>
      </c>
      <c r="C50" s="88" t="s">
        <v>23</v>
      </c>
      <c r="D50" s="88" t="s">
        <v>47</v>
      </c>
      <c r="E50" s="88" t="s">
        <v>90</v>
      </c>
      <c r="F50" s="88" t="s">
        <v>25</v>
      </c>
      <c r="G50" s="88" t="s">
        <v>25</v>
      </c>
      <c r="H50" s="88" t="s">
        <v>72</v>
      </c>
      <c r="I50" s="88" t="s">
        <v>25</v>
      </c>
      <c r="J50" s="88">
        <v>236.89</v>
      </c>
      <c r="K50" s="88">
        <v>208.47</v>
      </c>
      <c r="L50" s="88">
        <v>13.3250528914594</v>
      </c>
      <c r="M50" s="88">
        <v>0.59460327815133396</v>
      </c>
      <c r="N50" s="88">
        <v>2.1597827424350902</v>
      </c>
      <c r="O50" s="88">
        <v>0</v>
      </c>
      <c r="P50" s="88">
        <v>0</v>
      </c>
      <c r="Q50" s="88">
        <v>20.848859076242</v>
      </c>
      <c r="R50" s="88">
        <v>0</v>
      </c>
      <c r="S50" s="88">
        <v>0</v>
      </c>
      <c r="T50" s="88">
        <v>0</v>
      </c>
      <c r="U50" s="88">
        <v>0</v>
      </c>
      <c r="V50" s="88">
        <v>1.36088294529279</v>
      </c>
      <c r="W50" s="88">
        <v>0</v>
      </c>
      <c r="X50" s="88">
        <v>0</v>
      </c>
      <c r="Y50" s="88">
        <v>0</v>
      </c>
      <c r="Z50" s="88">
        <v>0</v>
      </c>
      <c r="AA50" s="88">
        <v>145.445314105031</v>
      </c>
      <c r="AB50" s="88">
        <v>0</v>
      </c>
      <c r="AC50" s="88">
        <v>0</v>
      </c>
      <c r="AD50" s="88">
        <v>0</v>
      </c>
      <c r="AE50" s="88">
        <v>21.646035045233699</v>
      </c>
      <c r="AF50" s="88">
        <v>0</v>
      </c>
      <c r="AG50" s="88">
        <v>28.667566528193699</v>
      </c>
      <c r="AH50" s="88">
        <v>2.8415995847520001</v>
      </c>
      <c r="AI50" s="88">
        <v>0.87067754135041797</v>
      </c>
      <c r="AJ50" s="88">
        <v>0</v>
      </c>
      <c r="AK50" s="88">
        <v>2.00830560733533</v>
      </c>
      <c r="AL50" s="88">
        <v>0</v>
      </c>
      <c r="AM50" s="88">
        <v>0</v>
      </c>
      <c r="AN50" s="88">
        <v>205.59139515816301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9">
        <v>0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FA16-709F-4D28-9E3E-6693BCDB26B8}">
  <dimension ref="B1:AT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.7109375" bestFit="1" customWidth="1"/>
    <col min="32" max="32" width="17.7109375" bestFit="1" customWidth="1"/>
    <col min="33" max="33" width="12.710937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6" t="s">
        <v>1242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7" t="s">
        <v>561</v>
      </c>
      <c r="M2" s="127"/>
      <c r="N2" s="127"/>
      <c r="O2" s="127"/>
      <c r="P2" s="127"/>
      <c r="Q2" s="127"/>
      <c r="R2" s="127"/>
      <c r="S2" s="128"/>
      <c r="T2" s="127" t="s">
        <v>570</v>
      </c>
      <c r="U2" s="127"/>
      <c r="V2" s="127"/>
      <c r="W2" s="127"/>
      <c r="X2" s="127"/>
      <c r="Y2" s="127"/>
      <c r="Z2" s="128"/>
      <c r="AA2" s="91" t="s">
        <v>578</v>
      </c>
      <c r="AB2" s="127" t="s">
        <v>25</v>
      </c>
      <c r="AC2" s="127"/>
      <c r="AD2" s="128"/>
      <c r="AE2" s="127" t="s">
        <v>1241</v>
      </c>
      <c r="AF2" s="127"/>
      <c r="AG2" s="127"/>
      <c r="AH2" s="128"/>
      <c r="AI2" s="127" t="s">
        <v>561</v>
      </c>
      <c r="AJ2" s="127"/>
      <c r="AK2" s="127"/>
      <c r="AL2" s="127"/>
      <c r="AM2" s="128"/>
      <c r="AN2" s="91" t="s">
        <v>592</v>
      </c>
      <c r="AO2" s="127" t="s">
        <v>570</v>
      </c>
      <c r="AP2" s="127"/>
      <c r="AQ2" s="127"/>
      <c r="AR2" s="127"/>
      <c r="AS2" s="128"/>
      <c r="AT2" s="90" t="s">
        <v>1241</v>
      </c>
    </row>
    <row r="3" spans="2:46" ht="12" customHeight="1" x14ac:dyDescent="0.25">
      <c r="B3" s="81" t="s">
        <v>62</v>
      </c>
      <c r="C3" s="82" t="s">
        <v>63</v>
      </c>
      <c r="D3" s="82" t="s">
        <v>64</v>
      </c>
      <c r="E3" s="82" t="s">
        <v>65</v>
      </c>
      <c r="F3" s="82" t="s">
        <v>66</v>
      </c>
      <c r="G3" s="82" t="s">
        <v>68</v>
      </c>
      <c r="H3" s="82" t="s">
        <v>69</v>
      </c>
      <c r="I3" s="82" t="s">
        <v>832</v>
      </c>
      <c r="J3" s="82" t="s">
        <v>1203</v>
      </c>
      <c r="K3" s="82" t="s">
        <v>1204</v>
      </c>
      <c r="L3" s="82" t="s">
        <v>1205</v>
      </c>
      <c r="M3" s="82" t="s">
        <v>1206</v>
      </c>
      <c r="N3" s="82" t="s">
        <v>1207</v>
      </c>
      <c r="O3" s="82" t="s">
        <v>1208</v>
      </c>
      <c r="P3" s="82" t="s">
        <v>1209</v>
      </c>
      <c r="Q3" s="82" t="s">
        <v>1210</v>
      </c>
      <c r="R3" s="82" t="s">
        <v>1211</v>
      </c>
      <c r="S3" s="82" t="s">
        <v>1212</v>
      </c>
      <c r="T3" s="82" t="s">
        <v>1213</v>
      </c>
      <c r="U3" s="82" t="s">
        <v>1214</v>
      </c>
      <c r="V3" s="82" t="s">
        <v>1215</v>
      </c>
      <c r="W3" s="82" t="s">
        <v>1216</v>
      </c>
      <c r="X3" s="82" t="s">
        <v>1217</v>
      </c>
      <c r="Y3" s="82" t="s">
        <v>1218</v>
      </c>
      <c r="Z3" s="82" t="s">
        <v>1219</v>
      </c>
      <c r="AA3" s="82" t="s">
        <v>1220</v>
      </c>
      <c r="AB3" s="82" t="s">
        <v>1221</v>
      </c>
      <c r="AC3" s="82" t="s">
        <v>1222</v>
      </c>
      <c r="AD3" s="82" t="s">
        <v>1223</v>
      </c>
      <c r="AE3" s="82" t="s">
        <v>1224</v>
      </c>
      <c r="AF3" s="82" t="s">
        <v>1225</v>
      </c>
      <c r="AG3" s="82" t="s">
        <v>1226</v>
      </c>
      <c r="AH3" s="82" t="s">
        <v>1227</v>
      </c>
      <c r="AI3" s="82" t="s">
        <v>1228</v>
      </c>
      <c r="AJ3" s="82" t="s">
        <v>1229</v>
      </c>
      <c r="AK3" s="82" t="s">
        <v>1230</v>
      </c>
      <c r="AL3" s="82" t="s">
        <v>1231</v>
      </c>
      <c r="AM3" s="82" t="s">
        <v>1232</v>
      </c>
      <c r="AN3" s="82" t="s">
        <v>1233</v>
      </c>
      <c r="AO3" s="82" t="s">
        <v>1234</v>
      </c>
      <c r="AP3" s="82" t="s">
        <v>1235</v>
      </c>
      <c r="AQ3" s="82" t="s">
        <v>1236</v>
      </c>
      <c r="AR3" s="82" t="s">
        <v>1237</v>
      </c>
      <c r="AS3" s="82" t="s">
        <v>1238</v>
      </c>
      <c r="AT3" s="83" t="s">
        <v>1239</v>
      </c>
    </row>
    <row r="4" spans="2:46" ht="12" customHeight="1" x14ac:dyDescent="0.25">
      <c r="B4" s="84" t="s">
        <v>39</v>
      </c>
      <c r="C4" s="85" t="s">
        <v>40</v>
      </c>
      <c r="D4" s="85" t="s">
        <v>25</v>
      </c>
      <c r="E4" s="85" t="s">
        <v>25</v>
      </c>
      <c r="F4" s="85" t="s">
        <v>80</v>
      </c>
      <c r="G4" s="85" t="s">
        <v>34</v>
      </c>
      <c r="H4" s="85" t="s">
        <v>72</v>
      </c>
      <c r="I4" s="85" t="s">
        <v>25</v>
      </c>
      <c r="J4" s="85">
        <v>-0.22</v>
      </c>
      <c r="K4" s="85">
        <v>0</v>
      </c>
      <c r="L4" s="85">
        <v>0</v>
      </c>
      <c r="M4" s="85">
        <v>0</v>
      </c>
      <c r="N4" s="85">
        <v>0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0</v>
      </c>
      <c r="AC4" s="85">
        <v>0</v>
      </c>
      <c r="AD4" s="85">
        <v>0</v>
      </c>
      <c r="AE4" s="85">
        <v>-6.7068252568050005E-2</v>
      </c>
      <c r="AF4" s="85">
        <v>0</v>
      </c>
      <c r="AG4" s="85">
        <v>-0.15125601610693601</v>
      </c>
      <c r="AH4" s="85">
        <v>0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39</v>
      </c>
      <c r="C5" s="85" t="s">
        <v>40</v>
      </c>
      <c r="D5" s="85" t="s">
        <v>25</v>
      </c>
      <c r="E5" s="85" t="s">
        <v>25</v>
      </c>
      <c r="F5" s="85" t="s">
        <v>80</v>
      </c>
      <c r="G5" s="85" t="s">
        <v>34</v>
      </c>
      <c r="H5" s="85" t="s">
        <v>77</v>
      </c>
      <c r="I5" s="85" t="s">
        <v>25</v>
      </c>
      <c r="J5" s="85">
        <v>0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0</v>
      </c>
      <c r="U5" s="85">
        <v>0</v>
      </c>
      <c r="V5" s="85">
        <v>0</v>
      </c>
      <c r="W5" s="85">
        <v>0</v>
      </c>
      <c r="X5" s="85">
        <v>0</v>
      </c>
      <c r="Y5" s="85">
        <v>0</v>
      </c>
      <c r="Z5" s="85">
        <v>0</v>
      </c>
      <c r="AA5" s="85">
        <v>0</v>
      </c>
      <c r="AB5" s="85">
        <v>0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39</v>
      </c>
      <c r="C6" s="85" t="s">
        <v>40</v>
      </c>
      <c r="D6" s="85" t="s">
        <v>25</v>
      </c>
      <c r="E6" s="85" t="s">
        <v>25</v>
      </c>
      <c r="F6" s="85" t="s">
        <v>80</v>
      </c>
      <c r="G6" s="85" t="s">
        <v>35</v>
      </c>
      <c r="H6" s="85" t="s">
        <v>72</v>
      </c>
      <c r="I6" s="85" t="s">
        <v>25</v>
      </c>
      <c r="J6" s="85">
        <v>-0.22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-6.7068252568050005E-2</v>
      </c>
      <c r="AF6" s="85">
        <v>0</v>
      </c>
      <c r="AG6" s="85">
        <v>-0.15125601610693601</v>
      </c>
      <c r="AH6" s="85">
        <v>0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39</v>
      </c>
      <c r="C7" s="85" t="s">
        <v>40</v>
      </c>
      <c r="D7" s="85" t="s">
        <v>25</v>
      </c>
      <c r="E7" s="85" t="s">
        <v>25</v>
      </c>
      <c r="F7" s="85" t="s">
        <v>80</v>
      </c>
      <c r="G7" s="85" t="s">
        <v>35</v>
      </c>
      <c r="H7" s="85" t="s">
        <v>77</v>
      </c>
      <c r="I7" s="85" t="s">
        <v>25</v>
      </c>
      <c r="J7" s="85">
        <v>0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</v>
      </c>
      <c r="U7" s="85">
        <v>0</v>
      </c>
      <c r="V7" s="85">
        <v>0</v>
      </c>
      <c r="W7" s="85">
        <v>0</v>
      </c>
      <c r="X7" s="85">
        <v>0</v>
      </c>
      <c r="Y7" s="85">
        <v>0</v>
      </c>
      <c r="Z7" s="85">
        <v>0</v>
      </c>
      <c r="AA7" s="85">
        <v>0</v>
      </c>
      <c r="AB7" s="85">
        <v>0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39</v>
      </c>
      <c r="C8" s="85" t="s">
        <v>40</v>
      </c>
      <c r="D8" s="85" t="s">
        <v>25</v>
      </c>
      <c r="E8" s="85" t="s">
        <v>25</v>
      </c>
      <c r="F8" s="85" t="s">
        <v>25</v>
      </c>
      <c r="G8" s="85" t="s">
        <v>34</v>
      </c>
      <c r="H8" s="85" t="s">
        <v>72</v>
      </c>
      <c r="I8" s="85" t="s">
        <v>25</v>
      </c>
      <c r="J8" s="85">
        <v>9.52</v>
      </c>
      <c r="K8" s="85">
        <v>-2.17</v>
      </c>
      <c r="L8" s="85">
        <v>0</v>
      </c>
      <c r="M8" s="85">
        <v>0</v>
      </c>
      <c r="N8" s="85">
        <v>0</v>
      </c>
      <c r="O8" s="85">
        <v>0</v>
      </c>
      <c r="P8" s="85">
        <v>0</v>
      </c>
      <c r="Q8" s="85">
        <v>9.7364927674097093</v>
      </c>
      <c r="R8" s="85">
        <v>0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85">
        <v>0</v>
      </c>
      <c r="AE8" s="85">
        <v>-6.7068252568050005E-2</v>
      </c>
      <c r="AF8" s="85">
        <v>0</v>
      </c>
      <c r="AG8" s="85">
        <v>-0.15125601610693601</v>
      </c>
      <c r="AH8" s="85">
        <v>0</v>
      </c>
      <c r="AI8" s="85">
        <v>0</v>
      </c>
      <c r="AJ8" s="85">
        <v>0</v>
      </c>
      <c r="AK8" s="85">
        <v>0</v>
      </c>
      <c r="AL8" s="85">
        <v>0</v>
      </c>
      <c r="AM8" s="85">
        <v>0</v>
      </c>
      <c r="AN8" s="85">
        <v>-2.1665215219716898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6">
        <v>0</v>
      </c>
    </row>
    <row r="9" spans="2:46" ht="12" customHeight="1" x14ac:dyDescent="0.25">
      <c r="B9" s="84" t="s">
        <v>39</v>
      </c>
      <c r="C9" s="85" t="s">
        <v>40</v>
      </c>
      <c r="D9" s="85" t="s">
        <v>25</v>
      </c>
      <c r="E9" s="85" t="s">
        <v>25</v>
      </c>
      <c r="F9" s="85" t="s">
        <v>25</v>
      </c>
      <c r="G9" s="85" t="s">
        <v>34</v>
      </c>
      <c r="H9" s="85" t="s">
        <v>77</v>
      </c>
      <c r="I9" s="85" t="s">
        <v>25</v>
      </c>
      <c r="J9" s="85">
        <v>0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0</v>
      </c>
      <c r="U9" s="85">
        <v>0</v>
      </c>
      <c r="V9" s="85">
        <v>0</v>
      </c>
      <c r="W9" s="85">
        <v>0</v>
      </c>
      <c r="X9" s="85">
        <v>0</v>
      </c>
      <c r="Y9" s="85">
        <v>0</v>
      </c>
      <c r="Z9" s="85">
        <v>0</v>
      </c>
      <c r="AA9" s="85">
        <v>0</v>
      </c>
      <c r="AB9" s="85">
        <v>0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39</v>
      </c>
      <c r="C10" s="85" t="s">
        <v>40</v>
      </c>
      <c r="D10" s="85" t="s">
        <v>25</v>
      </c>
      <c r="E10" s="85" t="s">
        <v>25</v>
      </c>
      <c r="F10" s="85" t="s">
        <v>25</v>
      </c>
      <c r="G10" s="85" t="s">
        <v>35</v>
      </c>
      <c r="H10" s="85" t="s">
        <v>72</v>
      </c>
      <c r="I10" s="85" t="s">
        <v>25</v>
      </c>
      <c r="J10" s="85">
        <v>9.52</v>
      </c>
      <c r="K10" s="85">
        <v>-1.26</v>
      </c>
      <c r="L10" s="85">
        <v>0</v>
      </c>
      <c r="M10" s="85">
        <v>0</v>
      </c>
      <c r="N10" s="85">
        <v>0</v>
      </c>
      <c r="O10" s="85">
        <v>0</v>
      </c>
      <c r="P10" s="85">
        <v>0</v>
      </c>
      <c r="Q10" s="85">
        <v>9.7364927674097093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85">
        <v>0</v>
      </c>
      <c r="AE10" s="85">
        <v>-6.7068252568050005E-2</v>
      </c>
      <c r="AF10" s="85">
        <v>0</v>
      </c>
      <c r="AG10" s="85">
        <v>-0.15125601610693601</v>
      </c>
      <c r="AH10" s="85">
        <v>0</v>
      </c>
      <c r="AI10" s="85">
        <v>0</v>
      </c>
      <c r="AJ10" s="85">
        <v>0</v>
      </c>
      <c r="AK10" s="85">
        <v>0</v>
      </c>
      <c r="AL10" s="85">
        <v>0</v>
      </c>
      <c r="AM10" s="85">
        <v>0</v>
      </c>
      <c r="AN10" s="85">
        <v>-1.25960553603005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6">
        <v>0</v>
      </c>
    </row>
    <row r="11" spans="2:46" ht="12" customHeight="1" x14ac:dyDescent="0.25">
      <c r="B11" s="84" t="s">
        <v>39</v>
      </c>
      <c r="C11" s="85" t="s">
        <v>40</v>
      </c>
      <c r="D11" s="85" t="s">
        <v>25</v>
      </c>
      <c r="E11" s="85" t="s">
        <v>25</v>
      </c>
      <c r="F11" s="85" t="s">
        <v>25</v>
      </c>
      <c r="G11" s="85" t="s">
        <v>35</v>
      </c>
      <c r="H11" s="85" t="s">
        <v>77</v>
      </c>
      <c r="I11" s="85" t="s">
        <v>25</v>
      </c>
      <c r="J11" s="85">
        <v>0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0</v>
      </c>
      <c r="U11" s="85">
        <v>0</v>
      </c>
      <c r="V11" s="85">
        <v>0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0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39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72</v>
      </c>
      <c r="I12" s="85" t="s">
        <v>25</v>
      </c>
      <c r="J12" s="85">
        <v>0</v>
      </c>
      <c r="K12" s="85">
        <v>-1.34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0</v>
      </c>
      <c r="AJ12" s="85">
        <v>0</v>
      </c>
      <c r="AK12" s="85">
        <v>0</v>
      </c>
      <c r="AL12" s="85">
        <v>0</v>
      </c>
      <c r="AM12" s="85">
        <v>0</v>
      </c>
      <c r="AN12" s="85">
        <v>-1.3351818681918599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6">
        <v>0</v>
      </c>
    </row>
    <row r="13" spans="2:46" ht="12" customHeight="1" x14ac:dyDescent="0.25">
      <c r="B13" s="84" t="s">
        <v>39</v>
      </c>
      <c r="C13" s="85" t="s">
        <v>81</v>
      </c>
      <c r="D13" s="85" t="s">
        <v>25</v>
      </c>
      <c r="E13" s="85" t="s">
        <v>25</v>
      </c>
      <c r="F13" s="85" t="s">
        <v>25</v>
      </c>
      <c r="G13" s="85" t="s">
        <v>25</v>
      </c>
      <c r="H13" s="85" t="s">
        <v>77</v>
      </c>
      <c r="I13" s="85" t="s">
        <v>25</v>
      </c>
      <c r="J13" s="85">
        <v>0</v>
      </c>
      <c r="K13" s="85">
        <v>0</v>
      </c>
      <c r="L13" s="85">
        <v>0</v>
      </c>
      <c r="M13" s="85">
        <v>0</v>
      </c>
      <c r="N13" s="85">
        <v>0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v>0</v>
      </c>
      <c r="AF13" s="85">
        <v>0</v>
      </c>
      <c r="AG13" s="85">
        <v>0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39</v>
      </c>
      <c r="C14" s="85" t="s">
        <v>41</v>
      </c>
      <c r="D14" s="85" t="s">
        <v>25</v>
      </c>
      <c r="E14" s="85" t="s">
        <v>25</v>
      </c>
      <c r="F14" s="85" t="s">
        <v>80</v>
      </c>
      <c r="G14" s="85" t="s">
        <v>34</v>
      </c>
      <c r="H14" s="85" t="s">
        <v>72</v>
      </c>
      <c r="I14" s="85" t="s">
        <v>25</v>
      </c>
      <c r="J14" s="85">
        <v>-0.22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</v>
      </c>
      <c r="U14" s="85">
        <v>0</v>
      </c>
      <c r="V14" s="85">
        <v>0</v>
      </c>
      <c r="W14" s="85">
        <v>0</v>
      </c>
      <c r="X14" s="85">
        <v>0</v>
      </c>
      <c r="Y14" s="85">
        <v>0</v>
      </c>
      <c r="Z14" s="85">
        <v>0</v>
      </c>
      <c r="AA14" s="85">
        <v>0</v>
      </c>
      <c r="AB14" s="85">
        <v>0</v>
      </c>
      <c r="AC14" s="85">
        <v>0</v>
      </c>
      <c r="AD14" s="85">
        <v>0</v>
      </c>
      <c r="AE14" s="85">
        <v>-6.7068252568050005E-2</v>
      </c>
      <c r="AF14" s="85">
        <v>0</v>
      </c>
      <c r="AG14" s="85">
        <v>-0.15125601610693601</v>
      </c>
      <c r="AH14" s="85">
        <v>0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39</v>
      </c>
      <c r="C15" s="85" t="s">
        <v>41</v>
      </c>
      <c r="D15" s="85" t="s">
        <v>25</v>
      </c>
      <c r="E15" s="85" t="s">
        <v>25</v>
      </c>
      <c r="F15" s="85" t="s">
        <v>80</v>
      </c>
      <c r="G15" s="85" t="s">
        <v>25</v>
      </c>
      <c r="H15" s="85" t="s">
        <v>77</v>
      </c>
      <c r="I15" s="85" t="s">
        <v>25</v>
      </c>
      <c r="J15" s="85">
        <v>0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39</v>
      </c>
      <c r="C16" s="85" t="s">
        <v>41</v>
      </c>
      <c r="D16" s="85" t="s">
        <v>25</v>
      </c>
      <c r="E16" s="85" t="s">
        <v>25</v>
      </c>
      <c r="F16" s="85" t="s">
        <v>80</v>
      </c>
      <c r="G16" s="85" t="s">
        <v>35</v>
      </c>
      <c r="H16" s="85" t="s">
        <v>72</v>
      </c>
      <c r="I16" s="85" t="s">
        <v>25</v>
      </c>
      <c r="J16" s="85">
        <v>-0.22</v>
      </c>
      <c r="K16" s="85">
        <v>0</v>
      </c>
      <c r="L16" s="85">
        <v>0</v>
      </c>
      <c r="M16" s="85">
        <v>0</v>
      </c>
      <c r="N16" s="85">
        <v>0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0</v>
      </c>
      <c r="U16" s="85">
        <v>0</v>
      </c>
      <c r="V16" s="85">
        <v>0</v>
      </c>
      <c r="W16" s="85">
        <v>0</v>
      </c>
      <c r="X16" s="85">
        <v>0</v>
      </c>
      <c r="Y16" s="85">
        <v>0</v>
      </c>
      <c r="Z16" s="85">
        <v>0</v>
      </c>
      <c r="AA16" s="85">
        <v>0</v>
      </c>
      <c r="AB16" s="85">
        <v>0</v>
      </c>
      <c r="AC16" s="85">
        <v>0</v>
      </c>
      <c r="AD16" s="85">
        <v>0</v>
      </c>
      <c r="AE16" s="85">
        <v>-6.7068252568050005E-2</v>
      </c>
      <c r="AF16" s="85">
        <v>0</v>
      </c>
      <c r="AG16" s="85">
        <v>-0.15125601610693601</v>
      </c>
      <c r="AH16" s="85"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39</v>
      </c>
      <c r="C17" s="85" t="s">
        <v>41</v>
      </c>
      <c r="D17" s="85" t="s">
        <v>25</v>
      </c>
      <c r="E17" s="85" t="s">
        <v>25</v>
      </c>
      <c r="F17" s="85" t="s">
        <v>25</v>
      </c>
      <c r="G17" s="85" t="s">
        <v>34</v>
      </c>
      <c r="H17" s="85" t="s">
        <v>72</v>
      </c>
      <c r="I17" s="85" t="s">
        <v>25</v>
      </c>
      <c r="J17" s="85">
        <v>9.52</v>
      </c>
      <c r="K17" s="85">
        <v>-2.17</v>
      </c>
      <c r="L17" s="85">
        <v>0</v>
      </c>
      <c r="M17" s="85">
        <v>0</v>
      </c>
      <c r="N17" s="85">
        <v>0</v>
      </c>
      <c r="O17" s="85">
        <v>0</v>
      </c>
      <c r="P17" s="85">
        <v>0</v>
      </c>
      <c r="Q17" s="85">
        <v>9.7364927674097093</v>
      </c>
      <c r="R17" s="85">
        <v>0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0</v>
      </c>
      <c r="AC17" s="85">
        <v>0</v>
      </c>
      <c r="AD17" s="85">
        <v>0</v>
      </c>
      <c r="AE17" s="85">
        <v>-6.7068252568050005E-2</v>
      </c>
      <c r="AF17" s="85">
        <v>0</v>
      </c>
      <c r="AG17" s="85">
        <v>-0.15125601610693601</v>
      </c>
      <c r="AH17" s="85">
        <v>0</v>
      </c>
      <c r="AI17" s="85">
        <v>0</v>
      </c>
      <c r="AJ17" s="85">
        <v>0</v>
      </c>
      <c r="AK17" s="85">
        <v>0</v>
      </c>
      <c r="AL17" s="85">
        <v>0</v>
      </c>
      <c r="AM17" s="85">
        <v>0</v>
      </c>
      <c r="AN17" s="85">
        <v>-2.1665215219716898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6">
        <v>0</v>
      </c>
    </row>
    <row r="18" spans="2:46" ht="12" customHeight="1" x14ac:dyDescent="0.25">
      <c r="B18" s="84" t="s">
        <v>39</v>
      </c>
      <c r="C18" s="85" t="s">
        <v>41</v>
      </c>
      <c r="D18" s="85" t="s">
        <v>25</v>
      </c>
      <c r="E18" s="85" t="s">
        <v>25</v>
      </c>
      <c r="F18" s="85" t="s">
        <v>25</v>
      </c>
      <c r="G18" s="85" t="s">
        <v>25</v>
      </c>
      <c r="H18" s="85" t="s">
        <v>77</v>
      </c>
      <c r="I18" s="85" t="s">
        <v>25</v>
      </c>
      <c r="J18" s="85">
        <v>0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</v>
      </c>
      <c r="U18" s="85">
        <v>0</v>
      </c>
      <c r="V18" s="85">
        <v>0</v>
      </c>
      <c r="W18" s="85">
        <v>0</v>
      </c>
      <c r="X18" s="85">
        <v>0</v>
      </c>
      <c r="Y18" s="85">
        <v>0</v>
      </c>
      <c r="Z18" s="85">
        <v>0</v>
      </c>
      <c r="AA18" s="85">
        <v>0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39</v>
      </c>
      <c r="C19" s="85" t="s">
        <v>41</v>
      </c>
      <c r="D19" s="85" t="s">
        <v>25</v>
      </c>
      <c r="E19" s="85" t="s">
        <v>25</v>
      </c>
      <c r="F19" s="85" t="s">
        <v>25</v>
      </c>
      <c r="G19" s="85" t="s">
        <v>35</v>
      </c>
      <c r="H19" s="85" t="s">
        <v>72</v>
      </c>
      <c r="I19" s="85" t="s">
        <v>25</v>
      </c>
      <c r="J19" s="85">
        <v>9.52</v>
      </c>
      <c r="K19" s="85">
        <v>-1.26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9.7364927674097093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-6.7068252568050005E-2</v>
      </c>
      <c r="AF19" s="85">
        <v>0</v>
      </c>
      <c r="AG19" s="85">
        <v>-0.15125601610693601</v>
      </c>
      <c r="AH19" s="85">
        <v>0</v>
      </c>
      <c r="AI19" s="85">
        <v>0</v>
      </c>
      <c r="AJ19" s="85">
        <v>0</v>
      </c>
      <c r="AK19" s="85">
        <v>0</v>
      </c>
      <c r="AL19" s="85">
        <v>0</v>
      </c>
      <c r="AM19" s="85">
        <v>0</v>
      </c>
      <c r="AN19" s="85">
        <v>-1.25960553603005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6">
        <v>0</v>
      </c>
    </row>
    <row r="20" spans="2:46" ht="12" customHeight="1" x14ac:dyDescent="0.25">
      <c r="B20" s="84" t="s">
        <v>82</v>
      </c>
      <c r="C20" s="85" t="s">
        <v>81</v>
      </c>
      <c r="D20" s="85" t="s">
        <v>25</v>
      </c>
      <c r="E20" s="85" t="s">
        <v>25</v>
      </c>
      <c r="F20" s="85" t="s">
        <v>83</v>
      </c>
      <c r="G20" s="85" t="s">
        <v>25</v>
      </c>
      <c r="H20" s="85" t="s">
        <v>77</v>
      </c>
      <c r="I20" s="85" t="s">
        <v>25</v>
      </c>
      <c r="J20" s="85">
        <v>0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  <c r="X20" s="85">
        <v>0</v>
      </c>
      <c r="Y20" s="85">
        <v>0</v>
      </c>
      <c r="Z20" s="85">
        <v>0</v>
      </c>
      <c r="AA20" s="85">
        <v>0</v>
      </c>
      <c r="AB20" s="85">
        <v>0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82</v>
      </c>
      <c r="C21" s="85" t="s">
        <v>81</v>
      </c>
      <c r="D21" s="85" t="s">
        <v>25</v>
      </c>
      <c r="E21" s="85" t="s">
        <v>25</v>
      </c>
      <c r="F21" s="85" t="s">
        <v>84</v>
      </c>
      <c r="G21" s="85" t="s">
        <v>25</v>
      </c>
      <c r="H21" s="85" t="s">
        <v>77</v>
      </c>
      <c r="I21" s="85" t="s">
        <v>25</v>
      </c>
      <c r="J21" s="85">
        <v>0</v>
      </c>
      <c r="K21" s="85">
        <v>0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0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0</v>
      </c>
      <c r="AJ21" s="85">
        <v>0</v>
      </c>
      <c r="AK21" s="85">
        <v>0</v>
      </c>
      <c r="AL21" s="85">
        <v>0</v>
      </c>
      <c r="AM21" s="85">
        <v>0</v>
      </c>
      <c r="AN21" s="85">
        <v>0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6">
        <v>0</v>
      </c>
    </row>
    <row r="22" spans="2:46" ht="12" customHeight="1" x14ac:dyDescent="0.25">
      <c r="B22" s="84" t="s">
        <v>22</v>
      </c>
      <c r="C22" s="85" t="s">
        <v>33</v>
      </c>
      <c r="D22" s="85" t="s">
        <v>24</v>
      </c>
      <c r="E22" s="85" t="s">
        <v>24</v>
      </c>
      <c r="F22" s="85" t="s">
        <v>25</v>
      </c>
      <c r="G22" s="85" t="s">
        <v>34</v>
      </c>
      <c r="H22" s="85" t="s">
        <v>72</v>
      </c>
      <c r="I22" s="85" t="s">
        <v>25</v>
      </c>
      <c r="J22" s="85">
        <v>11.26</v>
      </c>
      <c r="K22" s="85">
        <v>-2.17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11.5910628183449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  <c r="X22" s="85">
        <v>0</v>
      </c>
      <c r="Y22" s="85">
        <v>0</v>
      </c>
      <c r="Z22" s="85">
        <v>0</v>
      </c>
      <c r="AA22" s="85">
        <v>0</v>
      </c>
      <c r="AB22" s="85">
        <v>0</v>
      </c>
      <c r="AC22" s="85">
        <v>0</v>
      </c>
      <c r="AD22" s="85">
        <v>0</v>
      </c>
      <c r="AE22" s="85">
        <v>-0.14057686358131599</v>
      </c>
      <c r="AF22" s="85">
        <v>0</v>
      </c>
      <c r="AG22" s="85">
        <v>-0.186177125770179</v>
      </c>
      <c r="AH22" s="85">
        <v>0</v>
      </c>
      <c r="AI22" s="85">
        <v>0</v>
      </c>
      <c r="AJ22" s="85">
        <v>0</v>
      </c>
      <c r="AK22" s="85">
        <v>0</v>
      </c>
      <c r="AL22" s="85">
        <v>0</v>
      </c>
      <c r="AM22" s="85">
        <v>0</v>
      </c>
      <c r="AN22" s="85">
        <v>-2.1665215219716898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22</v>
      </c>
      <c r="C23" s="85" t="s">
        <v>33</v>
      </c>
      <c r="D23" s="85" t="s">
        <v>24</v>
      </c>
      <c r="E23" s="85" t="s">
        <v>24</v>
      </c>
      <c r="F23" s="85" t="s">
        <v>25</v>
      </c>
      <c r="G23" s="85" t="s">
        <v>36</v>
      </c>
      <c r="H23" s="85" t="s">
        <v>72</v>
      </c>
      <c r="I23" s="85" t="s">
        <v>25</v>
      </c>
      <c r="J23" s="85">
        <v>11.26</v>
      </c>
      <c r="K23" s="85">
        <v>-1.26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11.5910628183449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  <c r="X23" s="85">
        <v>0</v>
      </c>
      <c r="Y23" s="85">
        <v>0</v>
      </c>
      <c r="Z23" s="85">
        <v>0</v>
      </c>
      <c r="AA23" s="85">
        <v>0</v>
      </c>
      <c r="AB23" s="85">
        <v>0</v>
      </c>
      <c r="AC23" s="85">
        <v>0</v>
      </c>
      <c r="AD23" s="85">
        <v>0</v>
      </c>
      <c r="AE23" s="85">
        <v>-0.14057686358131599</v>
      </c>
      <c r="AF23" s="85">
        <v>0</v>
      </c>
      <c r="AG23" s="85">
        <v>-0.186177125770179</v>
      </c>
      <c r="AH23" s="85">
        <v>0</v>
      </c>
      <c r="AI23" s="85">
        <v>0</v>
      </c>
      <c r="AJ23" s="85">
        <v>0</v>
      </c>
      <c r="AK23" s="85">
        <v>0</v>
      </c>
      <c r="AL23" s="85">
        <v>0</v>
      </c>
      <c r="AM23" s="85">
        <v>0</v>
      </c>
      <c r="AN23" s="85">
        <v>-1.25960553603005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22</v>
      </c>
      <c r="C24" s="85" t="s">
        <v>33</v>
      </c>
      <c r="D24" s="85" t="s">
        <v>24</v>
      </c>
      <c r="E24" s="85" t="s">
        <v>24</v>
      </c>
      <c r="F24" s="85" t="s">
        <v>25</v>
      </c>
      <c r="G24" s="85" t="s">
        <v>35</v>
      </c>
      <c r="H24" s="85" t="s">
        <v>72</v>
      </c>
      <c r="I24" s="85" t="s">
        <v>25</v>
      </c>
      <c r="J24" s="85">
        <v>11.26</v>
      </c>
      <c r="K24" s="85">
        <v>-1.26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11.5910628183449</v>
      </c>
      <c r="R24" s="85">
        <v>0</v>
      </c>
      <c r="S24" s="85">
        <v>0</v>
      </c>
      <c r="T24" s="85">
        <v>0</v>
      </c>
      <c r="U24" s="85">
        <v>0</v>
      </c>
      <c r="V24" s="85">
        <v>0</v>
      </c>
      <c r="W24" s="85">
        <v>0</v>
      </c>
      <c r="X24" s="85">
        <v>0</v>
      </c>
      <c r="Y24" s="85">
        <v>0</v>
      </c>
      <c r="Z24" s="85">
        <v>0</v>
      </c>
      <c r="AA24" s="85">
        <v>0</v>
      </c>
      <c r="AB24" s="85">
        <v>0</v>
      </c>
      <c r="AC24" s="85">
        <v>0</v>
      </c>
      <c r="AD24" s="85">
        <v>0</v>
      </c>
      <c r="AE24" s="85">
        <v>-0.14057686358131599</v>
      </c>
      <c r="AF24" s="85">
        <v>0</v>
      </c>
      <c r="AG24" s="85">
        <v>-0.186177125770179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5">
        <v>-1.25960553603005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22</v>
      </c>
      <c r="C25" s="85" t="s">
        <v>23</v>
      </c>
      <c r="D25" s="85" t="s">
        <v>24</v>
      </c>
      <c r="E25" s="85" t="s">
        <v>1240</v>
      </c>
      <c r="F25" s="85" t="s">
        <v>25</v>
      </c>
      <c r="G25" s="85" t="s">
        <v>25</v>
      </c>
      <c r="H25" s="85" t="s">
        <v>72</v>
      </c>
      <c r="I25" s="85" t="s">
        <v>25</v>
      </c>
      <c r="J25" s="85">
        <v>-0.33</v>
      </c>
      <c r="K25" s="85">
        <v>-1.34</v>
      </c>
      <c r="L25" s="85">
        <v>0</v>
      </c>
      <c r="M25" s="85">
        <v>0</v>
      </c>
      <c r="N25" s="85">
        <v>0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5">
        <v>0</v>
      </c>
      <c r="AC25" s="85">
        <v>0</v>
      </c>
      <c r="AD25" s="85">
        <v>0</v>
      </c>
      <c r="AE25" s="85">
        <v>-0.14057686358131599</v>
      </c>
      <c r="AF25" s="85">
        <v>0</v>
      </c>
      <c r="AG25" s="85">
        <v>-0.186177125770179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-1.3351818681918599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22</v>
      </c>
      <c r="C26" s="85" t="s">
        <v>23</v>
      </c>
      <c r="D26" s="85" t="s">
        <v>24</v>
      </c>
      <c r="E26" s="85" t="s">
        <v>24</v>
      </c>
      <c r="F26" s="85" t="s">
        <v>25</v>
      </c>
      <c r="G26" s="85" t="s">
        <v>25</v>
      </c>
      <c r="H26" s="85" t="s">
        <v>72</v>
      </c>
      <c r="I26" s="85" t="s">
        <v>25</v>
      </c>
      <c r="J26" s="85">
        <v>11.26</v>
      </c>
      <c r="K26" s="85">
        <v>-1.34</v>
      </c>
      <c r="L26" s="85">
        <v>0</v>
      </c>
      <c r="M26" s="85">
        <v>0</v>
      </c>
      <c r="N26" s="85">
        <v>0</v>
      </c>
      <c r="O26" s="85">
        <v>0</v>
      </c>
      <c r="P26" s="85">
        <v>0</v>
      </c>
      <c r="Q26" s="85">
        <v>11.5910628183449</v>
      </c>
      <c r="R26" s="85">
        <v>0</v>
      </c>
      <c r="S26" s="85">
        <v>0</v>
      </c>
      <c r="T26" s="85">
        <v>0</v>
      </c>
      <c r="U26" s="85">
        <v>0</v>
      </c>
      <c r="V26" s="85">
        <v>0</v>
      </c>
      <c r="W26" s="85">
        <v>0</v>
      </c>
      <c r="X26" s="85">
        <v>0</v>
      </c>
      <c r="Y26" s="85">
        <v>0</v>
      </c>
      <c r="Z26" s="85">
        <v>0</v>
      </c>
      <c r="AA26" s="85">
        <v>0</v>
      </c>
      <c r="AB26" s="85">
        <v>0</v>
      </c>
      <c r="AC26" s="85">
        <v>0</v>
      </c>
      <c r="AD26" s="85">
        <v>0</v>
      </c>
      <c r="AE26" s="85">
        <v>-0.14057686358131599</v>
      </c>
      <c r="AF26" s="85">
        <v>0</v>
      </c>
      <c r="AG26" s="85">
        <v>-0.186177125770179</v>
      </c>
      <c r="AH26" s="85">
        <v>0</v>
      </c>
      <c r="AI26" s="85">
        <v>0</v>
      </c>
      <c r="AJ26" s="85">
        <v>0</v>
      </c>
      <c r="AK26" s="85">
        <v>0</v>
      </c>
      <c r="AL26" s="85">
        <v>0</v>
      </c>
      <c r="AM26" s="85">
        <v>0</v>
      </c>
      <c r="AN26" s="85">
        <v>-1.3351818681918599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6">
        <v>0</v>
      </c>
    </row>
    <row r="27" spans="2:46" ht="12" customHeight="1" x14ac:dyDescent="0.25">
      <c r="B27" s="84" t="s">
        <v>22</v>
      </c>
      <c r="C27" s="85" t="s">
        <v>87</v>
      </c>
      <c r="D27" s="85" t="s">
        <v>24</v>
      </c>
      <c r="E27" s="85" t="s">
        <v>1240</v>
      </c>
      <c r="F27" s="85" t="s">
        <v>25</v>
      </c>
      <c r="G27" s="85" t="s">
        <v>25</v>
      </c>
      <c r="H27" s="85" t="s">
        <v>72</v>
      </c>
      <c r="I27" s="85" t="s">
        <v>25</v>
      </c>
      <c r="J27" s="85">
        <v>-0.33</v>
      </c>
      <c r="K27" s="85">
        <v>-1.34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85">
        <v>0</v>
      </c>
      <c r="X27" s="85">
        <v>0</v>
      </c>
      <c r="Y27" s="85">
        <v>0</v>
      </c>
      <c r="Z27" s="85">
        <v>0</v>
      </c>
      <c r="AA27" s="85">
        <v>0</v>
      </c>
      <c r="AB27" s="85">
        <v>0</v>
      </c>
      <c r="AC27" s="85">
        <v>0</v>
      </c>
      <c r="AD27" s="85">
        <v>0</v>
      </c>
      <c r="AE27" s="85">
        <v>-0.14057686358131599</v>
      </c>
      <c r="AF27" s="85">
        <v>0</v>
      </c>
      <c r="AG27" s="85">
        <v>-0.186177125770179</v>
      </c>
      <c r="AH27" s="85"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-1.3351818681918599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22</v>
      </c>
      <c r="C28" s="85" t="s">
        <v>87</v>
      </c>
      <c r="D28" s="85" t="s">
        <v>24</v>
      </c>
      <c r="E28" s="85" t="s">
        <v>24</v>
      </c>
      <c r="F28" s="85" t="s">
        <v>25</v>
      </c>
      <c r="G28" s="85" t="s">
        <v>25</v>
      </c>
      <c r="H28" s="85" t="s">
        <v>72</v>
      </c>
      <c r="I28" s="85" t="s">
        <v>25</v>
      </c>
      <c r="J28" s="85">
        <v>11.26</v>
      </c>
      <c r="K28" s="85">
        <v>-1.34</v>
      </c>
      <c r="L28" s="85">
        <v>0</v>
      </c>
      <c r="M28" s="85">
        <v>0</v>
      </c>
      <c r="N28" s="85">
        <v>0</v>
      </c>
      <c r="O28" s="85">
        <v>0</v>
      </c>
      <c r="P28" s="85">
        <v>0</v>
      </c>
      <c r="Q28" s="85">
        <v>11.5910628183449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5">
        <v>0</v>
      </c>
      <c r="Y28" s="85">
        <v>0</v>
      </c>
      <c r="Z28" s="85">
        <v>0</v>
      </c>
      <c r="AA28" s="85">
        <v>0</v>
      </c>
      <c r="AB28" s="85">
        <v>0</v>
      </c>
      <c r="AC28" s="85">
        <v>0</v>
      </c>
      <c r="AD28" s="85">
        <v>0</v>
      </c>
      <c r="AE28" s="85">
        <v>-0.14057686358131599</v>
      </c>
      <c r="AF28" s="85">
        <v>0</v>
      </c>
      <c r="AG28" s="85">
        <v>-0.186177125770179</v>
      </c>
      <c r="AH28" s="85">
        <v>0</v>
      </c>
      <c r="AI28" s="85">
        <v>0</v>
      </c>
      <c r="AJ28" s="85">
        <v>0</v>
      </c>
      <c r="AK28" s="85">
        <v>0</v>
      </c>
      <c r="AL28" s="85">
        <v>0</v>
      </c>
      <c r="AM28" s="85">
        <v>0</v>
      </c>
      <c r="AN28" s="85">
        <v>-1.3351818681918599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6">
        <v>0</v>
      </c>
    </row>
    <row r="29" spans="2:46" ht="12" customHeight="1" x14ac:dyDescent="0.25">
      <c r="B29" s="84" t="s">
        <v>43</v>
      </c>
      <c r="C29" s="85" t="s">
        <v>33</v>
      </c>
      <c r="D29" s="85" t="s">
        <v>44</v>
      </c>
      <c r="E29" s="85" t="s">
        <v>88</v>
      </c>
      <c r="F29" s="85" t="s">
        <v>25</v>
      </c>
      <c r="G29" s="85" t="s">
        <v>34</v>
      </c>
      <c r="H29" s="85" t="s">
        <v>72</v>
      </c>
      <c r="I29" s="85" t="s">
        <v>25</v>
      </c>
      <c r="J29" s="85">
        <v>10.59</v>
      </c>
      <c r="K29" s="85">
        <v>-2.04</v>
      </c>
      <c r="L29" s="85">
        <v>0</v>
      </c>
      <c r="M29" s="85">
        <v>0</v>
      </c>
      <c r="N29" s="85">
        <v>0</v>
      </c>
      <c r="O29" s="85">
        <v>0</v>
      </c>
      <c r="P29" s="85">
        <v>0</v>
      </c>
      <c r="Q29" s="85">
        <v>10.895599049244201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85">
        <v>0</v>
      </c>
      <c r="AC29" s="85">
        <v>0</v>
      </c>
      <c r="AD29" s="85">
        <v>0</v>
      </c>
      <c r="AE29" s="85">
        <v>-0.13214225176643701</v>
      </c>
      <c r="AF29" s="85">
        <v>0</v>
      </c>
      <c r="AG29" s="85">
        <v>-0.17500649822396799</v>
      </c>
      <c r="AH29" s="85">
        <v>0</v>
      </c>
      <c r="AI29" s="85">
        <v>0</v>
      </c>
      <c r="AJ29" s="85">
        <v>0</v>
      </c>
      <c r="AK29" s="85">
        <v>0</v>
      </c>
      <c r="AL29" s="85">
        <v>0</v>
      </c>
      <c r="AM29" s="85">
        <v>0</v>
      </c>
      <c r="AN29" s="85">
        <v>-2.0365302306533901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43</v>
      </c>
      <c r="C30" s="85" t="s">
        <v>33</v>
      </c>
      <c r="D30" s="85" t="s">
        <v>44</v>
      </c>
      <c r="E30" s="85" t="s">
        <v>88</v>
      </c>
      <c r="F30" s="85" t="s">
        <v>25</v>
      </c>
      <c r="G30" s="85" t="s">
        <v>36</v>
      </c>
      <c r="H30" s="85" t="s">
        <v>72</v>
      </c>
      <c r="I30" s="85" t="s">
        <v>25</v>
      </c>
      <c r="J30" s="85">
        <v>10.59</v>
      </c>
      <c r="K30" s="85">
        <v>-1.18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10.895599049244201</v>
      </c>
      <c r="R30" s="85">
        <v>0</v>
      </c>
      <c r="S30" s="85">
        <v>0</v>
      </c>
      <c r="T30" s="85">
        <v>0</v>
      </c>
      <c r="U30" s="85">
        <v>0</v>
      </c>
      <c r="V30" s="85">
        <v>0</v>
      </c>
      <c r="W30" s="85">
        <v>0</v>
      </c>
      <c r="X30" s="85">
        <v>0</v>
      </c>
      <c r="Y30" s="85">
        <v>0</v>
      </c>
      <c r="Z30" s="85">
        <v>0</v>
      </c>
      <c r="AA30" s="85">
        <v>0</v>
      </c>
      <c r="AB30" s="85">
        <v>0</v>
      </c>
      <c r="AC30" s="85">
        <v>0</v>
      </c>
      <c r="AD30" s="85">
        <v>0</v>
      </c>
      <c r="AE30" s="85">
        <v>-0.13214225176643701</v>
      </c>
      <c r="AF30" s="85">
        <v>0</v>
      </c>
      <c r="AG30" s="85">
        <v>-0.17500649822396799</v>
      </c>
      <c r="AH30" s="85">
        <v>0</v>
      </c>
      <c r="AI30" s="85">
        <v>0</v>
      </c>
      <c r="AJ30" s="85">
        <v>0</v>
      </c>
      <c r="AK30" s="85">
        <v>0</v>
      </c>
      <c r="AL30" s="85">
        <v>0</v>
      </c>
      <c r="AM30" s="85">
        <v>0</v>
      </c>
      <c r="AN30" s="85">
        <v>-1.1840292038682501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43</v>
      </c>
      <c r="C31" s="85" t="s">
        <v>33</v>
      </c>
      <c r="D31" s="85" t="s">
        <v>44</v>
      </c>
      <c r="E31" s="85" t="s">
        <v>88</v>
      </c>
      <c r="F31" s="85" t="s">
        <v>25</v>
      </c>
      <c r="G31" s="85" t="s">
        <v>35</v>
      </c>
      <c r="H31" s="85" t="s">
        <v>72</v>
      </c>
      <c r="I31" s="85" t="s">
        <v>25</v>
      </c>
      <c r="J31" s="85">
        <v>10.59</v>
      </c>
      <c r="K31" s="85">
        <v>-1.18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10.895599049244201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0</v>
      </c>
      <c r="AC31" s="85">
        <v>0</v>
      </c>
      <c r="AD31" s="85">
        <v>0</v>
      </c>
      <c r="AE31" s="85">
        <v>-0.13214225176643701</v>
      </c>
      <c r="AF31" s="85">
        <v>0</v>
      </c>
      <c r="AG31" s="85">
        <v>-0.17500649822396799</v>
      </c>
      <c r="AH31" s="85">
        <v>0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-1.1840292038682501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43</v>
      </c>
      <c r="C32" s="85" t="s">
        <v>33</v>
      </c>
      <c r="D32" s="85" t="s">
        <v>44</v>
      </c>
      <c r="E32" s="85" t="s">
        <v>25</v>
      </c>
      <c r="F32" s="85" t="s">
        <v>25</v>
      </c>
      <c r="G32" s="85" t="s">
        <v>34</v>
      </c>
      <c r="H32" s="85" t="s">
        <v>72</v>
      </c>
      <c r="I32" s="85" t="s">
        <v>25</v>
      </c>
      <c r="J32" s="85">
        <v>10.59</v>
      </c>
      <c r="K32" s="85">
        <v>-2.04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10.895599049244201</v>
      </c>
      <c r="R32" s="85">
        <v>0</v>
      </c>
      <c r="S32" s="85">
        <v>0</v>
      </c>
      <c r="T32" s="85">
        <v>0</v>
      </c>
      <c r="U32" s="85">
        <v>0</v>
      </c>
      <c r="V32" s="85">
        <v>0</v>
      </c>
      <c r="W32" s="85">
        <v>0</v>
      </c>
      <c r="X32" s="85">
        <v>0</v>
      </c>
      <c r="Y32" s="85">
        <v>0</v>
      </c>
      <c r="Z32" s="85">
        <v>0</v>
      </c>
      <c r="AA32" s="85">
        <v>0</v>
      </c>
      <c r="AB32" s="85">
        <v>0</v>
      </c>
      <c r="AC32" s="85">
        <v>0</v>
      </c>
      <c r="AD32" s="85">
        <v>0</v>
      </c>
      <c r="AE32" s="85">
        <v>-0.13214225176643701</v>
      </c>
      <c r="AF32" s="85">
        <v>0</v>
      </c>
      <c r="AG32" s="85">
        <v>-0.17500649822396799</v>
      </c>
      <c r="AH32" s="85"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-2.0365302306533901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43</v>
      </c>
      <c r="C33" s="85" t="s">
        <v>33</v>
      </c>
      <c r="D33" s="85" t="s">
        <v>44</v>
      </c>
      <c r="E33" s="85" t="s">
        <v>25</v>
      </c>
      <c r="F33" s="85" t="s">
        <v>25</v>
      </c>
      <c r="G33" s="85" t="s">
        <v>36</v>
      </c>
      <c r="H33" s="85" t="s">
        <v>72</v>
      </c>
      <c r="I33" s="85" t="s">
        <v>25</v>
      </c>
      <c r="J33" s="85">
        <v>10.59</v>
      </c>
      <c r="K33" s="85">
        <v>-1.18</v>
      </c>
      <c r="L33" s="85">
        <v>0</v>
      </c>
      <c r="M33" s="85">
        <v>0</v>
      </c>
      <c r="N33" s="85">
        <v>0</v>
      </c>
      <c r="O33" s="85">
        <v>0</v>
      </c>
      <c r="P33" s="85">
        <v>0</v>
      </c>
      <c r="Q33" s="85">
        <v>10.895599049244201</v>
      </c>
      <c r="R33" s="85">
        <v>0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5">
        <v>0</v>
      </c>
      <c r="Y33" s="85">
        <v>0</v>
      </c>
      <c r="Z33" s="85">
        <v>0</v>
      </c>
      <c r="AA33" s="85">
        <v>0</v>
      </c>
      <c r="AB33" s="85">
        <v>0</v>
      </c>
      <c r="AC33" s="85">
        <v>0</v>
      </c>
      <c r="AD33" s="85">
        <v>0</v>
      </c>
      <c r="AE33" s="85">
        <v>-0.13214225176643701</v>
      </c>
      <c r="AF33" s="85">
        <v>0</v>
      </c>
      <c r="AG33" s="85">
        <v>-0.17500649822396799</v>
      </c>
      <c r="AH33" s="85">
        <v>0</v>
      </c>
      <c r="AI33" s="85">
        <v>0</v>
      </c>
      <c r="AJ33" s="85">
        <v>0</v>
      </c>
      <c r="AK33" s="85">
        <v>0</v>
      </c>
      <c r="AL33" s="85">
        <v>0</v>
      </c>
      <c r="AM33" s="85">
        <v>0</v>
      </c>
      <c r="AN33" s="85">
        <v>-1.1840292038682501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6">
        <v>0</v>
      </c>
    </row>
    <row r="34" spans="2:46" ht="12" customHeight="1" x14ac:dyDescent="0.25">
      <c r="B34" s="84" t="s">
        <v>43</v>
      </c>
      <c r="C34" s="85" t="s">
        <v>33</v>
      </c>
      <c r="D34" s="85" t="s">
        <v>44</v>
      </c>
      <c r="E34" s="85" t="s">
        <v>25</v>
      </c>
      <c r="F34" s="85" t="s">
        <v>25</v>
      </c>
      <c r="G34" s="85" t="s">
        <v>35</v>
      </c>
      <c r="H34" s="85" t="s">
        <v>72</v>
      </c>
      <c r="I34" s="85" t="s">
        <v>25</v>
      </c>
      <c r="J34" s="85">
        <v>10.59</v>
      </c>
      <c r="K34" s="85">
        <v>-1.18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10.895599049244201</v>
      </c>
      <c r="R34" s="85">
        <v>0</v>
      </c>
      <c r="S34" s="85">
        <v>0</v>
      </c>
      <c r="T34" s="85">
        <v>0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-0.13214225176643701</v>
      </c>
      <c r="AF34" s="85">
        <v>0</v>
      </c>
      <c r="AG34" s="85">
        <v>-0.17500649822396799</v>
      </c>
      <c r="AH34" s="85">
        <v>0</v>
      </c>
      <c r="AI34" s="85">
        <v>0</v>
      </c>
      <c r="AJ34" s="85">
        <v>0</v>
      </c>
      <c r="AK34" s="85">
        <v>0</v>
      </c>
      <c r="AL34" s="85">
        <v>0</v>
      </c>
      <c r="AM34" s="85">
        <v>0</v>
      </c>
      <c r="AN34" s="85">
        <v>-1.1840292038682501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43</v>
      </c>
      <c r="C35" s="85" t="s">
        <v>33</v>
      </c>
      <c r="D35" s="85" t="s">
        <v>44</v>
      </c>
      <c r="E35" s="85" t="s">
        <v>89</v>
      </c>
      <c r="F35" s="85" t="s">
        <v>25</v>
      </c>
      <c r="G35" s="85" t="s">
        <v>34</v>
      </c>
      <c r="H35" s="85" t="s">
        <v>72</v>
      </c>
      <c r="I35" s="85" t="s">
        <v>25</v>
      </c>
      <c r="J35" s="85">
        <v>10.36</v>
      </c>
      <c r="K35" s="85">
        <v>-1.99</v>
      </c>
      <c r="L35" s="85">
        <v>0</v>
      </c>
      <c r="M35" s="85">
        <v>0</v>
      </c>
      <c r="N35" s="85">
        <v>0</v>
      </c>
      <c r="O35" s="85">
        <v>0</v>
      </c>
      <c r="P35" s="85">
        <v>0</v>
      </c>
      <c r="Q35" s="85">
        <v>10.663777792877299</v>
      </c>
      <c r="R35" s="85">
        <v>0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0</v>
      </c>
      <c r="AC35" s="85">
        <v>0</v>
      </c>
      <c r="AD35" s="85">
        <v>0</v>
      </c>
      <c r="AE35" s="85">
        <v>-0.12933071449481101</v>
      </c>
      <c r="AF35" s="85">
        <v>0</v>
      </c>
      <c r="AG35" s="85">
        <v>-0.171282955708565</v>
      </c>
      <c r="AH35" s="85">
        <v>0</v>
      </c>
      <c r="AI35" s="85">
        <v>0</v>
      </c>
      <c r="AJ35" s="85">
        <v>0</v>
      </c>
      <c r="AK35" s="85">
        <v>0</v>
      </c>
      <c r="AL35" s="85">
        <v>0</v>
      </c>
      <c r="AM35" s="85">
        <v>0</v>
      </c>
      <c r="AN35" s="85">
        <v>-1.9931998002139599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6">
        <v>0</v>
      </c>
    </row>
    <row r="36" spans="2:46" ht="12" customHeight="1" x14ac:dyDescent="0.25">
      <c r="B36" s="84" t="s">
        <v>43</v>
      </c>
      <c r="C36" s="85" t="s">
        <v>33</v>
      </c>
      <c r="D36" s="85" t="s">
        <v>44</v>
      </c>
      <c r="E36" s="85" t="s">
        <v>89</v>
      </c>
      <c r="F36" s="85" t="s">
        <v>25</v>
      </c>
      <c r="G36" s="85" t="s">
        <v>36</v>
      </c>
      <c r="H36" s="85" t="s">
        <v>72</v>
      </c>
      <c r="I36" s="85" t="s">
        <v>25</v>
      </c>
      <c r="J36" s="85">
        <v>10.36</v>
      </c>
      <c r="K36" s="85">
        <v>-1.1599999999999999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10.663777792877299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-0.12933071449481101</v>
      </c>
      <c r="AF36" s="85">
        <v>0</v>
      </c>
      <c r="AG36" s="85">
        <v>-0.171282955708565</v>
      </c>
      <c r="AH36" s="85">
        <v>0</v>
      </c>
      <c r="AI36" s="85">
        <v>0</v>
      </c>
      <c r="AJ36" s="85">
        <v>0</v>
      </c>
      <c r="AK36" s="85">
        <v>0</v>
      </c>
      <c r="AL36" s="85">
        <v>0</v>
      </c>
      <c r="AM36" s="85">
        <v>0</v>
      </c>
      <c r="AN36" s="85">
        <v>-1.1588370931476499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43</v>
      </c>
      <c r="C37" s="85" t="s">
        <v>33</v>
      </c>
      <c r="D37" s="85" t="s">
        <v>44</v>
      </c>
      <c r="E37" s="85" t="s">
        <v>89</v>
      </c>
      <c r="F37" s="85" t="s">
        <v>25</v>
      </c>
      <c r="G37" s="85" t="s">
        <v>35</v>
      </c>
      <c r="H37" s="85" t="s">
        <v>72</v>
      </c>
      <c r="I37" s="85" t="s">
        <v>25</v>
      </c>
      <c r="J37" s="85">
        <v>10.36</v>
      </c>
      <c r="K37" s="85">
        <v>-1.1599999999999999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10.663777792877299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85">
        <v>0</v>
      </c>
      <c r="AE37" s="85">
        <v>-0.12933071449481101</v>
      </c>
      <c r="AF37" s="85">
        <v>0</v>
      </c>
      <c r="AG37" s="85">
        <v>-0.171282955708565</v>
      </c>
      <c r="AH37" s="85">
        <v>0</v>
      </c>
      <c r="AI37" s="85">
        <v>0</v>
      </c>
      <c r="AJ37" s="85">
        <v>0</v>
      </c>
      <c r="AK37" s="85">
        <v>0</v>
      </c>
      <c r="AL37" s="85">
        <v>0</v>
      </c>
      <c r="AM37" s="85">
        <v>0</v>
      </c>
      <c r="AN37" s="85">
        <v>-1.1588370931476499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6">
        <v>0</v>
      </c>
    </row>
    <row r="38" spans="2:46" ht="12" customHeight="1" x14ac:dyDescent="0.25">
      <c r="B38" s="84" t="s">
        <v>43</v>
      </c>
      <c r="C38" s="85" t="s">
        <v>23</v>
      </c>
      <c r="D38" s="85" t="s">
        <v>44</v>
      </c>
      <c r="E38" s="85" t="s">
        <v>88</v>
      </c>
      <c r="F38" s="85" t="s">
        <v>25</v>
      </c>
      <c r="G38" s="85" t="s">
        <v>25</v>
      </c>
      <c r="H38" s="85" t="s">
        <v>72</v>
      </c>
      <c r="I38" s="85" t="s">
        <v>25</v>
      </c>
      <c r="J38" s="85">
        <v>10.59</v>
      </c>
      <c r="K38" s="85">
        <v>-1.26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10.895599049244201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  <c r="X38" s="85">
        <v>0</v>
      </c>
      <c r="Y38" s="85">
        <v>0</v>
      </c>
      <c r="Z38" s="85">
        <v>0</v>
      </c>
      <c r="AA38" s="85">
        <v>0</v>
      </c>
      <c r="AB38" s="85">
        <v>0</v>
      </c>
      <c r="AC38" s="85">
        <v>0</v>
      </c>
      <c r="AD38" s="85">
        <v>0</v>
      </c>
      <c r="AE38" s="85">
        <v>-0.13214225176643701</v>
      </c>
      <c r="AF38" s="85">
        <v>0</v>
      </c>
      <c r="AG38" s="85">
        <v>-0.17500649822396799</v>
      </c>
      <c r="AH38" s="85">
        <v>0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-1.2550709561003499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43</v>
      </c>
      <c r="C39" s="85" t="s">
        <v>23</v>
      </c>
      <c r="D39" s="85" t="s">
        <v>44</v>
      </c>
      <c r="E39" s="85" t="s">
        <v>25</v>
      </c>
      <c r="F39" s="85" t="s">
        <v>25</v>
      </c>
      <c r="G39" s="85" t="s">
        <v>25</v>
      </c>
      <c r="H39" s="85" t="s">
        <v>72</v>
      </c>
      <c r="I39" s="85" t="s">
        <v>25</v>
      </c>
      <c r="J39" s="85">
        <v>10.59</v>
      </c>
      <c r="K39" s="85">
        <v>-1.26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10.895599049244201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85">
        <v>0</v>
      </c>
      <c r="AC39" s="85">
        <v>0</v>
      </c>
      <c r="AD39" s="85">
        <v>0</v>
      </c>
      <c r="AE39" s="85">
        <v>-0.13214225176643701</v>
      </c>
      <c r="AF39" s="85">
        <v>0</v>
      </c>
      <c r="AG39" s="85">
        <v>-0.17500649822396799</v>
      </c>
      <c r="AH39" s="85"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-1.2550709561003499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43</v>
      </c>
      <c r="C40" s="85" t="s">
        <v>23</v>
      </c>
      <c r="D40" s="85" t="s">
        <v>44</v>
      </c>
      <c r="E40" s="85" t="s">
        <v>89</v>
      </c>
      <c r="F40" s="85" t="s">
        <v>25</v>
      </c>
      <c r="G40" s="85" t="s">
        <v>25</v>
      </c>
      <c r="H40" s="85" t="s">
        <v>72</v>
      </c>
      <c r="I40" s="85" t="s">
        <v>25</v>
      </c>
      <c r="J40" s="85">
        <v>10.36</v>
      </c>
      <c r="K40" s="85">
        <v>-1.23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10.663777792877299</v>
      </c>
      <c r="R40" s="85">
        <v>0</v>
      </c>
      <c r="S40" s="85">
        <v>0</v>
      </c>
      <c r="T40" s="85">
        <v>0</v>
      </c>
      <c r="U40" s="85">
        <v>0</v>
      </c>
      <c r="V40" s="85">
        <v>0</v>
      </c>
      <c r="W40" s="85">
        <v>0</v>
      </c>
      <c r="X40" s="85">
        <v>0</v>
      </c>
      <c r="Y40" s="85">
        <v>0</v>
      </c>
      <c r="Z40" s="85">
        <v>0</v>
      </c>
      <c r="AA40" s="85">
        <v>0</v>
      </c>
      <c r="AB40" s="85">
        <v>0</v>
      </c>
      <c r="AC40" s="85">
        <v>0</v>
      </c>
      <c r="AD40" s="85">
        <v>0</v>
      </c>
      <c r="AE40" s="85">
        <v>-0.12933071449481101</v>
      </c>
      <c r="AF40" s="85">
        <v>0</v>
      </c>
      <c r="AG40" s="85">
        <v>-0.171282955708565</v>
      </c>
      <c r="AH40" s="85"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-1.2283673187365101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43</v>
      </c>
      <c r="C41" s="85" t="s">
        <v>87</v>
      </c>
      <c r="D41" s="85" t="s">
        <v>44</v>
      </c>
      <c r="E41" s="85" t="s">
        <v>88</v>
      </c>
      <c r="F41" s="85" t="s">
        <v>25</v>
      </c>
      <c r="G41" s="85" t="s">
        <v>25</v>
      </c>
      <c r="H41" s="85" t="s">
        <v>72</v>
      </c>
      <c r="I41" s="85" t="s">
        <v>25</v>
      </c>
      <c r="J41" s="85">
        <v>10.59</v>
      </c>
      <c r="K41" s="85">
        <v>-1.26</v>
      </c>
      <c r="L41" s="85">
        <v>0</v>
      </c>
      <c r="M41" s="85">
        <v>0</v>
      </c>
      <c r="N41" s="85">
        <v>0</v>
      </c>
      <c r="O41" s="85">
        <v>0</v>
      </c>
      <c r="P41" s="85">
        <v>0</v>
      </c>
      <c r="Q41" s="85">
        <v>10.895599049244201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0</v>
      </c>
      <c r="AB41" s="85">
        <v>0</v>
      </c>
      <c r="AC41" s="85">
        <v>0</v>
      </c>
      <c r="AD41" s="85">
        <v>0</v>
      </c>
      <c r="AE41" s="85">
        <v>-0.13214225176643701</v>
      </c>
      <c r="AF41" s="85">
        <v>0</v>
      </c>
      <c r="AG41" s="85">
        <v>-0.17500649822396799</v>
      </c>
      <c r="AH41" s="85">
        <v>0</v>
      </c>
      <c r="AI41" s="85">
        <v>0</v>
      </c>
      <c r="AJ41" s="85">
        <v>0</v>
      </c>
      <c r="AK41" s="85">
        <v>0</v>
      </c>
      <c r="AL41" s="85">
        <v>0</v>
      </c>
      <c r="AM41" s="85">
        <v>0</v>
      </c>
      <c r="AN41" s="85">
        <v>-1.2550709561003499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43</v>
      </c>
      <c r="C42" s="85" t="s">
        <v>87</v>
      </c>
      <c r="D42" s="85" t="s">
        <v>44</v>
      </c>
      <c r="E42" s="85" t="s">
        <v>25</v>
      </c>
      <c r="F42" s="85" t="s">
        <v>25</v>
      </c>
      <c r="G42" s="85" t="s">
        <v>25</v>
      </c>
      <c r="H42" s="85" t="s">
        <v>72</v>
      </c>
      <c r="I42" s="85" t="s">
        <v>25</v>
      </c>
      <c r="J42" s="85">
        <v>10.59</v>
      </c>
      <c r="K42" s="85">
        <v>-1.26</v>
      </c>
      <c r="L42" s="85">
        <v>0</v>
      </c>
      <c r="M42" s="85">
        <v>0</v>
      </c>
      <c r="N42" s="85">
        <v>0</v>
      </c>
      <c r="O42" s="85">
        <v>0</v>
      </c>
      <c r="P42" s="85">
        <v>0</v>
      </c>
      <c r="Q42" s="85">
        <v>10.895599049244201</v>
      </c>
      <c r="R42" s="85">
        <v>0</v>
      </c>
      <c r="S42" s="85">
        <v>0</v>
      </c>
      <c r="T42" s="85">
        <v>0</v>
      </c>
      <c r="U42" s="85">
        <v>0</v>
      </c>
      <c r="V42" s="85">
        <v>0</v>
      </c>
      <c r="W42" s="85">
        <v>0</v>
      </c>
      <c r="X42" s="85">
        <v>0</v>
      </c>
      <c r="Y42" s="85">
        <v>0</v>
      </c>
      <c r="Z42" s="85">
        <v>0</v>
      </c>
      <c r="AA42" s="85">
        <v>0</v>
      </c>
      <c r="AB42" s="85">
        <v>0</v>
      </c>
      <c r="AC42" s="85">
        <v>0</v>
      </c>
      <c r="AD42" s="85">
        <v>0</v>
      </c>
      <c r="AE42" s="85">
        <v>-0.13214225176643701</v>
      </c>
      <c r="AF42" s="85">
        <v>0</v>
      </c>
      <c r="AG42" s="85">
        <v>-0.17500649822396799</v>
      </c>
      <c r="AH42" s="85">
        <v>0</v>
      </c>
      <c r="AI42" s="85">
        <v>0</v>
      </c>
      <c r="AJ42" s="85">
        <v>0</v>
      </c>
      <c r="AK42" s="85">
        <v>0</v>
      </c>
      <c r="AL42" s="85">
        <v>0</v>
      </c>
      <c r="AM42" s="85">
        <v>0</v>
      </c>
      <c r="AN42" s="85">
        <v>-1.2550709561003499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43</v>
      </c>
      <c r="C43" s="85" t="s">
        <v>87</v>
      </c>
      <c r="D43" s="85" t="s">
        <v>44</v>
      </c>
      <c r="E43" s="85" t="s">
        <v>89</v>
      </c>
      <c r="F43" s="85" t="s">
        <v>25</v>
      </c>
      <c r="G43" s="85" t="s">
        <v>25</v>
      </c>
      <c r="H43" s="85" t="s">
        <v>72</v>
      </c>
      <c r="I43" s="85" t="s">
        <v>25</v>
      </c>
      <c r="J43" s="85">
        <v>10.36</v>
      </c>
      <c r="K43" s="85">
        <v>-1.23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10.663777792877299</v>
      </c>
      <c r="R43" s="85">
        <v>0</v>
      </c>
      <c r="S43" s="85">
        <v>0</v>
      </c>
      <c r="T43" s="85">
        <v>0</v>
      </c>
      <c r="U43" s="85">
        <v>0</v>
      </c>
      <c r="V43" s="85">
        <v>0</v>
      </c>
      <c r="W43" s="85">
        <v>0</v>
      </c>
      <c r="X43" s="85">
        <v>0</v>
      </c>
      <c r="Y43" s="85">
        <v>0</v>
      </c>
      <c r="Z43" s="85">
        <v>0</v>
      </c>
      <c r="AA43" s="85">
        <v>0</v>
      </c>
      <c r="AB43" s="85">
        <v>0</v>
      </c>
      <c r="AC43" s="85">
        <v>0</v>
      </c>
      <c r="AD43" s="85">
        <v>0</v>
      </c>
      <c r="AE43" s="85">
        <v>-0.12933071449481101</v>
      </c>
      <c r="AF43" s="85">
        <v>0</v>
      </c>
      <c r="AG43" s="85">
        <v>-0.171282955708565</v>
      </c>
      <c r="AH43" s="85"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-1.2283673187365101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37</v>
      </c>
      <c r="C44" s="85" t="s">
        <v>33</v>
      </c>
      <c r="D44" s="85" t="s">
        <v>25</v>
      </c>
      <c r="E44" s="85" t="s">
        <v>25</v>
      </c>
      <c r="F44" s="85" t="s">
        <v>25</v>
      </c>
      <c r="G44" s="85" t="s">
        <v>34</v>
      </c>
      <c r="H44" s="85" t="s">
        <v>72</v>
      </c>
      <c r="I44" s="85" t="s">
        <v>25</v>
      </c>
      <c r="J44" s="85">
        <v>11.26</v>
      </c>
      <c r="K44" s="85">
        <v>-2.17</v>
      </c>
      <c r="L44" s="85">
        <v>0</v>
      </c>
      <c r="M44" s="85">
        <v>0</v>
      </c>
      <c r="N44" s="85">
        <v>0</v>
      </c>
      <c r="O44" s="85">
        <v>0</v>
      </c>
      <c r="P44" s="85">
        <v>0</v>
      </c>
      <c r="Q44" s="85">
        <v>11.5910628183449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0</v>
      </c>
      <c r="AC44" s="85">
        <v>0</v>
      </c>
      <c r="AD44" s="85">
        <v>0</v>
      </c>
      <c r="AE44" s="85">
        <v>-0.14057686358131599</v>
      </c>
      <c r="AF44" s="85">
        <v>0</v>
      </c>
      <c r="AG44" s="85">
        <v>-0.186177125770179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-2.1665215219716898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37</v>
      </c>
      <c r="C45" s="85" t="s">
        <v>33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72</v>
      </c>
      <c r="I45" s="85" t="s">
        <v>25</v>
      </c>
      <c r="J45" s="85">
        <v>11.26</v>
      </c>
      <c r="K45" s="85">
        <v>-1.26</v>
      </c>
      <c r="L45" s="85">
        <v>0</v>
      </c>
      <c r="M45" s="85">
        <v>0</v>
      </c>
      <c r="N45" s="85">
        <v>0</v>
      </c>
      <c r="O45" s="85">
        <v>0</v>
      </c>
      <c r="P45" s="85">
        <v>0</v>
      </c>
      <c r="Q45" s="85">
        <v>11.5910628183449</v>
      </c>
      <c r="R45" s="85">
        <v>0</v>
      </c>
      <c r="S45" s="85">
        <v>0</v>
      </c>
      <c r="T45" s="85">
        <v>0</v>
      </c>
      <c r="U45" s="85">
        <v>0</v>
      </c>
      <c r="V45" s="85">
        <v>0</v>
      </c>
      <c r="W45" s="85">
        <v>0</v>
      </c>
      <c r="X45" s="85">
        <v>0</v>
      </c>
      <c r="Y45" s="85">
        <v>0</v>
      </c>
      <c r="Z45" s="85">
        <v>0</v>
      </c>
      <c r="AA45" s="85">
        <v>0</v>
      </c>
      <c r="AB45" s="85">
        <v>0</v>
      </c>
      <c r="AC45" s="85">
        <v>0</v>
      </c>
      <c r="AD45" s="85">
        <v>0</v>
      </c>
      <c r="AE45" s="85">
        <v>-0.14057686358131599</v>
      </c>
      <c r="AF45" s="85">
        <v>0</v>
      </c>
      <c r="AG45" s="85">
        <v>-0.186177125770179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-1.25960553603005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6">
        <v>0</v>
      </c>
    </row>
    <row r="46" spans="2:46" ht="12" customHeight="1" x14ac:dyDescent="0.25">
      <c r="B46" s="84" t="s">
        <v>37</v>
      </c>
      <c r="C46" s="85" t="s">
        <v>33</v>
      </c>
      <c r="D46" s="85" t="s">
        <v>25</v>
      </c>
      <c r="E46" s="85" t="s">
        <v>25</v>
      </c>
      <c r="F46" s="85" t="s">
        <v>25</v>
      </c>
      <c r="G46" s="85" t="s">
        <v>35</v>
      </c>
      <c r="H46" s="85" t="s">
        <v>72</v>
      </c>
      <c r="I46" s="85" t="s">
        <v>25</v>
      </c>
      <c r="J46" s="85">
        <v>11.26</v>
      </c>
      <c r="K46" s="85">
        <v>-1.26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11.5910628183449</v>
      </c>
      <c r="R46" s="85">
        <v>0</v>
      </c>
      <c r="S46" s="85">
        <v>0</v>
      </c>
      <c r="T46" s="85">
        <v>0</v>
      </c>
      <c r="U46" s="85">
        <v>0</v>
      </c>
      <c r="V46" s="85">
        <v>0</v>
      </c>
      <c r="W46" s="85">
        <v>0</v>
      </c>
      <c r="X46" s="85">
        <v>0</v>
      </c>
      <c r="Y46" s="85">
        <v>0</v>
      </c>
      <c r="Z46" s="85">
        <v>0</v>
      </c>
      <c r="AA46" s="85">
        <v>0</v>
      </c>
      <c r="AB46" s="85">
        <v>0</v>
      </c>
      <c r="AC46" s="85">
        <v>0</v>
      </c>
      <c r="AD46" s="85">
        <v>0</v>
      </c>
      <c r="AE46" s="85">
        <v>-0.14057686358131599</v>
      </c>
      <c r="AF46" s="85">
        <v>0</v>
      </c>
      <c r="AG46" s="85">
        <v>-0.186177125770179</v>
      </c>
      <c r="AH46" s="85">
        <v>0</v>
      </c>
      <c r="AI46" s="85">
        <v>0</v>
      </c>
      <c r="AJ46" s="85">
        <v>0</v>
      </c>
      <c r="AK46" s="85">
        <v>0</v>
      </c>
      <c r="AL46" s="85">
        <v>0</v>
      </c>
      <c r="AM46" s="85">
        <v>0</v>
      </c>
      <c r="AN46" s="85">
        <v>-1.25960553603005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37</v>
      </c>
      <c r="C47" s="85" t="s">
        <v>23</v>
      </c>
      <c r="D47" s="85" t="s">
        <v>25</v>
      </c>
      <c r="E47" s="85" t="s">
        <v>25</v>
      </c>
      <c r="F47" s="85" t="s">
        <v>25</v>
      </c>
      <c r="G47" s="85" t="s">
        <v>25</v>
      </c>
      <c r="H47" s="85" t="s">
        <v>72</v>
      </c>
      <c r="I47" s="85" t="s">
        <v>25</v>
      </c>
      <c r="J47" s="85">
        <v>11.26</v>
      </c>
      <c r="K47" s="85">
        <v>-1.34</v>
      </c>
      <c r="L47" s="85">
        <v>0</v>
      </c>
      <c r="M47" s="85">
        <v>0</v>
      </c>
      <c r="N47" s="85">
        <v>0</v>
      </c>
      <c r="O47" s="85">
        <v>0</v>
      </c>
      <c r="P47" s="85">
        <v>0</v>
      </c>
      <c r="Q47" s="85">
        <v>11.5910628183449</v>
      </c>
      <c r="R47" s="85">
        <v>0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  <c r="X47" s="85">
        <v>0</v>
      </c>
      <c r="Y47" s="85">
        <v>0</v>
      </c>
      <c r="Z47" s="85">
        <v>0</v>
      </c>
      <c r="AA47" s="85">
        <v>0</v>
      </c>
      <c r="AB47" s="85">
        <v>0</v>
      </c>
      <c r="AC47" s="85">
        <v>0</v>
      </c>
      <c r="AD47" s="85">
        <v>0</v>
      </c>
      <c r="AE47" s="85">
        <v>-0.14057686358131599</v>
      </c>
      <c r="AF47" s="85">
        <v>0</v>
      </c>
      <c r="AG47" s="85">
        <v>-0.186177125770179</v>
      </c>
      <c r="AH47" s="85">
        <v>0</v>
      </c>
      <c r="AI47" s="85">
        <v>0</v>
      </c>
      <c r="AJ47" s="85">
        <v>0</v>
      </c>
      <c r="AK47" s="85">
        <v>0</v>
      </c>
      <c r="AL47" s="85">
        <v>0</v>
      </c>
      <c r="AM47" s="85">
        <v>0</v>
      </c>
      <c r="AN47" s="85">
        <v>-1.3351818681918599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6">
        <v>0</v>
      </c>
    </row>
    <row r="48" spans="2:46" ht="12" customHeight="1" x14ac:dyDescent="0.25">
      <c r="B48" s="84" t="s">
        <v>37</v>
      </c>
      <c r="C48" s="85" t="s">
        <v>87</v>
      </c>
      <c r="D48" s="85" t="s">
        <v>25</v>
      </c>
      <c r="E48" s="85" t="s">
        <v>25</v>
      </c>
      <c r="F48" s="85" t="s">
        <v>25</v>
      </c>
      <c r="G48" s="85" t="s">
        <v>25</v>
      </c>
      <c r="H48" s="85" t="s">
        <v>72</v>
      </c>
      <c r="I48" s="85" t="s">
        <v>25</v>
      </c>
      <c r="J48" s="85">
        <v>11.26</v>
      </c>
      <c r="K48" s="85">
        <v>-1.34</v>
      </c>
      <c r="L48" s="85">
        <v>0</v>
      </c>
      <c r="M48" s="85">
        <v>0</v>
      </c>
      <c r="N48" s="85">
        <v>0</v>
      </c>
      <c r="O48" s="85">
        <v>0</v>
      </c>
      <c r="P48" s="85">
        <v>0</v>
      </c>
      <c r="Q48" s="85">
        <v>11.5910628183449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0</v>
      </c>
      <c r="AB48" s="85">
        <v>0</v>
      </c>
      <c r="AC48" s="85">
        <v>0</v>
      </c>
      <c r="AD48" s="85">
        <v>0</v>
      </c>
      <c r="AE48" s="85">
        <v>-0.14057686358131599</v>
      </c>
      <c r="AF48" s="85">
        <v>0</v>
      </c>
      <c r="AG48" s="85">
        <v>-0.186177125770179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-1.3351818681918599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46</v>
      </c>
      <c r="C49" s="85" t="s">
        <v>23</v>
      </c>
      <c r="D49" s="85" t="s">
        <v>47</v>
      </c>
      <c r="E49" s="85" t="s">
        <v>48</v>
      </c>
      <c r="F49" s="85" t="s">
        <v>25</v>
      </c>
      <c r="G49" s="85" t="s">
        <v>25</v>
      </c>
      <c r="H49" s="85" t="s">
        <v>72</v>
      </c>
      <c r="I49" s="85" t="s">
        <v>25</v>
      </c>
      <c r="J49" s="85">
        <v>6.2</v>
      </c>
      <c r="K49" s="85">
        <v>-0.73</v>
      </c>
      <c r="L49" s="85">
        <v>0</v>
      </c>
      <c r="M49" s="85">
        <v>0</v>
      </c>
      <c r="N49" s="85">
        <v>0</v>
      </c>
      <c r="O49" s="85">
        <v>0</v>
      </c>
      <c r="P49" s="85">
        <v>0</v>
      </c>
      <c r="Q49" s="85">
        <v>6.3750845500896904</v>
      </c>
      <c r="R49" s="85">
        <v>0</v>
      </c>
      <c r="S49" s="85">
        <v>0</v>
      </c>
      <c r="T49" s="85">
        <v>0</v>
      </c>
      <c r="U49" s="85">
        <v>0</v>
      </c>
      <c r="V49" s="85">
        <v>0</v>
      </c>
      <c r="W49" s="85">
        <v>0</v>
      </c>
      <c r="X49" s="85">
        <v>0</v>
      </c>
      <c r="Y49" s="85">
        <v>0</v>
      </c>
      <c r="Z49" s="85">
        <v>0</v>
      </c>
      <c r="AA49" s="85">
        <v>0</v>
      </c>
      <c r="AB49" s="85">
        <v>0</v>
      </c>
      <c r="AC49" s="85">
        <v>0</v>
      </c>
      <c r="AD49" s="85">
        <v>0</v>
      </c>
      <c r="AE49" s="85">
        <v>-7.7317274969724001E-2</v>
      </c>
      <c r="AF49" s="85">
        <v>0</v>
      </c>
      <c r="AG49" s="85">
        <v>-0.102397419173599</v>
      </c>
      <c r="AH49" s="85">
        <v>0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-0.73435002750552203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7" t="s">
        <v>46</v>
      </c>
      <c r="C50" s="88" t="s">
        <v>23</v>
      </c>
      <c r="D50" s="88" t="s">
        <v>47</v>
      </c>
      <c r="E50" s="88" t="s">
        <v>90</v>
      </c>
      <c r="F50" s="88" t="s">
        <v>25</v>
      </c>
      <c r="G50" s="88" t="s">
        <v>25</v>
      </c>
      <c r="H50" s="88" t="s">
        <v>72</v>
      </c>
      <c r="I50" s="88" t="s">
        <v>25</v>
      </c>
      <c r="J50" s="88">
        <v>6.76</v>
      </c>
      <c r="K50" s="88">
        <v>-0.8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6.9546376910069396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-8.4346118148789798E-2</v>
      </c>
      <c r="AF50" s="88">
        <v>0</v>
      </c>
      <c r="AG50" s="88">
        <v>-0.111706275462108</v>
      </c>
      <c r="AH50" s="88">
        <v>0</v>
      </c>
      <c r="AI50" s="88">
        <v>0</v>
      </c>
      <c r="AJ50" s="88">
        <v>0</v>
      </c>
      <c r="AK50" s="88">
        <v>0</v>
      </c>
      <c r="AL50" s="88">
        <v>0</v>
      </c>
      <c r="AM50" s="88">
        <v>0</v>
      </c>
      <c r="AN50" s="88">
        <v>-0.80110912091511399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9">
        <v>0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2022-10-07T15:24:23Z</dcterms:created>
  <dcterms:modified xsi:type="dcterms:W3CDTF">2022-10-31T18:49:20Z</dcterms:modified>
</cp:coreProperties>
</file>